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7.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KD012200\GitHub_Repos\California-Urban-Water-Management-Economic-Tool\CaUWMET\src\inputData\"/>
    </mc:Choice>
  </mc:AlternateContent>
  <xr:revisionPtr revIDLastSave="0" documentId="13_ncr:1_{F16DB5DD-D903-4B38-83F1-B0543C577271}" xr6:coauthVersionLast="47" xr6:coauthVersionMax="47" xr10:uidLastSave="{00000000-0000-0000-0000-000000000000}"/>
  <bookViews>
    <workbookView xWindow="28680" yWindow="-120" windowWidth="24240" windowHeight="13140" firstSheet="48" activeTab="50" xr2:uid="{B30071D7-BFD6-49FB-9CD4-0D9416F94CE0}"/>
  </bookViews>
  <sheets>
    <sheet name="Read Me" sheetId="90" r:id="rId1"/>
    <sheet name="Input Data Checklist" sheetId="75" r:id="rId2"/>
    <sheet name="Legacy Models Data Inventory" sheetId="29" r:id="rId3"/>
    <sheet name="LookupTables" sheetId="107" r:id="rId4"/>
    <sheet name="Lists" sheetId="162" r:id="rId5"/>
    <sheet name="UWMP Table Key" sheetId="74" r:id="rId6"/>
    <sheet name="Agency Data Collection Tracker" sheetId="63" r:id="rId7"/>
    <sheet name="&gt;&gt;&gt;Contractor Assumptions" sheetId="8" r:id="rId8"/>
    <sheet name="Contractor Assumptions" sheetId="36" r:id="rId9"/>
    <sheet name="Hydrology Assumptions" sheetId="65" r:id="rId10"/>
    <sheet name="&gt;&gt;&gt;Demand Assumptions" sheetId="55" r:id="rId11"/>
    <sheet name="Demand Assumptions" sheetId="37" r:id="rId12"/>
    <sheet name="Demand and Conservation_Calcs" sheetId="109" r:id="rId13"/>
    <sheet name="Wholesaler Demands by Use Type" sheetId="132" r:id="rId14"/>
    <sheet name="Met 2020 UWMP Demand Data" sheetId="113" r:id="rId15"/>
    <sheet name="Comm_Indust_InteriorWaterUse" sheetId="121" r:id="rId16"/>
    <sheet name="uwmp_table_4_1_r" sheetId="108" r:id="rId17"/>
    <sheet name="uwmp_table_4_1_w" sheetId="110" r:id="rId18"/>
    <sheet name="uwmp_table_4_2_r" sheetId="72" r:id="rId19"/>
    <sheet name="uwmp_table_4_2_w" sheetId="73" r:id="rId20"/>
    <sheet name="uwmp_table_4_5_r" sheetId="82" r:id="rId21"/>
    <sheet name="uwmp_table_7_2_r" sheetId="66" r:id="rId22"/>
    <sheet name="uwmp_table_7_2_w" sheetId="67" r:id="rId23"/>
    <sheet name="uwmp_table_7_3_r" sheetId="68" r:id="rId24"/>
    <sheet name="uwmp_table_7_3_w" sheetId="69" r:id="rId25"/>
    <sheet name="uwmp_table_7_4_r" sheetId="70" r:id="rId26"/>
    <sheet name="uwmp_table_7_4_w" sheetId="71" r:id="rId27"/>
    <sheet name="&gt;&gt;&gt;Supply Assumptions" sheetId="44" r:id="rId28"/>
    <sheet name="Supply Assumptions" sheetId="166" r:id="rId29"/>
    <sheet name="UWMP Reported SWP CVP Supplies" sheetId="88" r:id="rId30"/>
    <sheet name="uwmp_table_6_9_r" sheetId="77" r:id="rId31"/>
    <sheet name="uwmp_table_6_9_w" sheetId="78" r:id="rId32"/>
    <sheet name="&gt;&gt;System Operations Assumptions" sheetId="48" r:id="rId33"/>
    <sheet name="System Operations Assumptions" sheetId="169" r:id="rId34"/>
    <sheet name="SWP_CVP Delivery Costs" sheetId="131" r:id="rId35"/>
    <sheet name="Energy price forecasts" sheetId="106" r:id="rId36"/>
    <sheet name="Put and Take Costs" sheetId="129" r:id="rId37"/>
    <sheet name="uwmp_table_6_3_r_conv_to_af" sheetId="130" r:id="rId38"/>
    <sheet name="Treatment Costs" sheetId="117" r:id="rId39"/>
    <sheet name="Wastewater Treatment Costs" sheetId="126" r:id="rId40"/>
    <sheet name="Sheet1" sheetId="127" r:id="rId41"/>
    <sheet name="GW Banking Costs" sheetId="128" r:id="rId42"/>
    <sheet name="Distribution Costs" sheetId="118" r:id="rId43"/>
    <sheet name="Met water rate forecast" sheetId="124" r:id="rId44"/>
    <sheet name="Carryover and Bank Storage Data" sheetId="119" r:id="rId45"/>
    <sheet name="SWP CVP Cost Calcs" sheetId="105" r:id="rId46"/>
    <sheet name="Groundwater Depths" sheetId="122" r:id="rId47"/>
    <sheet name="uwmp_table_6_2_r_conv_to_af" sheetId="120" r:id="rId48"/>
    <sheet name="&gt;&gt;&gt;Water Mgmt Assumptions" sheetId="64" r:id="rId49"/>
    <sheet name="Contingent WMOs Assumptions" sheetId="173" r:id="rId50"/>
    <sheet name="Long-term WMOs Assumptions" sheetId="174" r:id="rId51"/>
  </sheets>
  <externalReferences>
    <externalReference r:id="rId52"/>
    <externalReference r:id="rId53"/>
    <externalReference r:id="rId54"/>
  </externalReferences>
  <definedNames>
    <definedName name="_xlnm._FilterDatabase" localSheetId="6" hidden="1">'Agency Data Collection Tracker'!$A$1:$F$45</definedName>
    <definedName name="_xlnm._FilterDatabase" localSheetId="8" hidden="1">'Contractor Assumptions'!$A$5:$I$48</definedName>
    <definedName name="_xlnm._FilterDatabase" localSheetId="11" hidden="1">'Demand Assumptions'!$D$583:$H$800</definedName>
    <definedName name="_xlnm._FilterDatabase" localSheetId="1" hidden="1">'Input Data Checklist'!$A$1:$G$68</definedName>
    <definedName name="_xlnm._FilterDatabase" localSheetId="2" hidden="1">'Legacy Models Data Inventory'!$A$2:$M$186</definedName>
    <definedName name="_xlnm._FilterDatabase" localSheetId="50" hidden="1">'Long-term WMOs Assumptions'!$A$4:$I$373</definedName>
    <definedName name="_xlnm._FilterDatabase" localSheetId="28" hidden="1">'Supply Assumptions'!$A$12:$I$978</definedName>
    <definedName name="_xlnm._FilterDatabase" localSheetId="33" hidden="1">'System Operations Assumptions'!$A$287:$K$333</definedName>
    <definedName name="_xlnm._FilterDatabase" localSheetId="16" hidden="1">uwmp_table_4_1_r!$A$1:$J$1</definedName>
    <definedName name="_xlnm._FilterDatabase" localSheetId="17" hidden="1">uwmp_table_4_1_w!$A$1:$J$178</definedName>
    <definedName name="_xlnm._FilterDatabase" localSheetId="18" hidden="1">uwmp_table_4_2_r!$A$1:$N$2618</definedName>
    <definedName name="_xlnm._FilterDatabase" localSheetId="19" hidden="1">uwmp_table_4_2_w!$A$1:$N$173</definedName>
    <definedName name="_xlnm._FilterDatabase" localSheetId="20" hidden="1">uwmp_table_4_5_r!$A$1:$I$326</definedName>
    <definedName name="_xlnm._FilterDatabase" localSheetId="30" hidden="1">uwmp_table_6_9_r!$A$1:$S$1208</definedName>
    <definedName name="_xlnm._FilterDatabase" localSheetId="31" hidden="1">uwmp_table_6_9_w!$A$1:$S$1</definedName>
    <definedName name="_xlnm._FilterDatabase" localSheetId="21" hidden="1">uwmp_table_7_2_r!$A$1:$L$765</definedName>
    <definedName name="_xlnm._FilterDatabase" localSheetId="22" hidden="1">uwmp_table_7_2_w!$A$1:$L$101</definedName>
    <definedName name="_xlnm._FilterDatabase" localSheetId="23" hidden="1">uwmp_table_7_3_r!$A$1:$M$765</definedName>
    <definedName name="_xlnm._FilterDatabase" localSheetId="24" hidden="1">uwmp_table_7_3_w!$A$1:$M$103</definedName>
    <definedName name="_xlnm._FilterDatabase" localSheetId="25" hidden="1">uwmp_table_7_4_r!$A$1:$N$4585</definedName>
    <definedName name="_xlnm._FilterDatabase" localSheetId="26" hidden="1">uwmp_table_7_4_w!$A$1:$N$517</definedName>
    <definedName name="addyr">'[1]Cost Assumptions'!$BR$4</definedName>
    <definedName name="Alt_1" localSheetId="44">#REF!</definedName>
    <definedName name="Alt_1" localSheetId="46">#REF!</definedName>
    <definedName name="Alt_1" localSheetId="28">#REF!</definedName>
    <definedName name="Alt_1" localSheetId="33">#REF!</definedName>
    <definedName name="Alt_1">#REF!</definedName>
    <definedName name="Alt_2" localSheetId="44">#REF!</definedName>
    <definedName name="Alt_2" localSheetId="46">#REF!</definedName>
    <definedName name="Alt_2" localSheetId="28">#REF!</definedName>
    <definedName name="Alt_2" localSheetId="33">#REF!</definedName>
    <definedName name="Alt_2">#REF!</definedName>
    <definedName name="Alt_3" localSheetId="44">#REF!</definedName>
    <definedName name="Alt_3" localSheetId="46">#REF!</definedName>
    <definedName name="Alt_3" localSheetId="28">#REF!</definedName>
    <definedName name="Alt_3" localSheetId="33">#REF!</definedName>
    <definedName name="Alt_3">#REF!</definedName>
    <definedName name="Alt_4" localSheetId="44">#REF!</definedName>
    <definedName name="Alt_4" localSheetId="46">#REF!</definedName>
    <definedName name="Alt_4" localSheetId="28">#REF!</definedName>
    <definedName name="Alt_4" localSheetId="33">#REF!</definedName>
    <definedName name="Alt_4">#REF!</definedName>
    <definedName name="alternative">[1]Calsim!$T$5</definedName>
    <definedName name="alternatives">[1]Calsim!$T$6:$T$9</definedName>
    <definedName name="bw2o" localSheetId="44">#REF!</definedName>
    <definedName name="bw2o" localSheetId="46">#REF!</definedName>
    <definedName name="bw2o" localSheetId="28">#REF!</definedName>
    <definedName name="bw2o" localSheetId="33">#REF!</definedName>
    <definedName name="bw2o">#REF!</definedName>
    <definedName name="current" localSheetId="44">#REF!</definedName>
    <definedName name="current" localSheetId="46">#REF!</definedName>
    <definedName name="current" localSheetId="28">#REF!</definedName>
    <definedName name="current" localSheetId="33">#REF!</definedName>
    <definedName name="current">#REF!</definedName>
    <definedName name="datafilename" localSheetId="44">#REF!</definedName>
    <definedName name="datafilename" localSheetId="46">#REF!</definedName>
    <definedName name="datafilename" localSheetId="28">#REF!</definedName>
    <definedName name="datafilename" localSheetId="33">#REF!</definedName>
    <definedName name="datafilename">#REF!</definedName>
    <definedName name="Dem_2030" localSheetId="44">#REF!</definedName>
    <definedName name="Dem_2030" localSheetId="46">#REF!</definedName>
    <definedName name="Dem_2030" localSheetId="28">#REF!</definedName>
    <definedName name="Dem_2030" localSheetId="33">#REF!</definedName>
    <definedName name="Dem_2030">#REF!</definedName>
    <definedName name="Dem_2040" localSheetId="44">#REF!</definedName>
    <definedName name="Dem_2040" localSheetId="46">#REF!</definedName>
    <definedName name="Dem_2040" localSheetId="28">#REF!</definedName>
    <definedName name="Dem_2040" localSheetId="33">#REF!</definedName>
    <definedName name="Dem_2040">#REF!</definedName>
    <definedName name="Dem_2050" localSheetId="44">#REF!</definedName>
    <definedName name="Dem_2050" localSheetId="46">#REF!</definedName>
    <definedName name="Dem_2050" localSheetId="28">#REF!</definedName>
    <definedName name="Dem_2050" localSheetId="33">#REF!</definedName>
    <definedName name="Dem_2050">#REF!</definedName>
    <definedName name="Dem_2060" localSheetId="44">#REF!</definedName>
    <definedName name="Dem_2060" localSheetId="46">#REF!</definedName>
    <definedName name="Dem_2060" localSheetId="28">#REF!</definedName>
    <definedName name="Dem_2060" localSheetId="33">#REF!</definedName>
    <definedName name="Dem_2060">#REF!</definedName>
    <definedName name="DemLoaded" localSheetId="44">#REF!</definedName>
    <definedName name="DemLoaded" localSheetId="46">#REF!</definedName>
    <definedName name="DemLoaded" localSheetId="28">#REF!</definedName>
    <definedName name="DemLoaded" localSheetId="33">#REF!</definedName>
    <definedName name="DemLoaded">#REF!</definedName>
    <definedName name="DemYr" localSheetId="44">#REF!</definedName>
    <definedName name="DemYr" localSheetId="46">#REF!</definedName>
    <definedName name="DemYr" localSheetId="28">#REF!</definedName>
    <definedName name="DemYr" localSheetId="33">#REF!</definedName>
    <definedName name="DemYr">#REF!</definedName>
    <definedName name="DemYrRange" localSheetId="44">#REF!</definedName>
    <definedName name="DemYrRange" localSheetId="46">#REF!</definedName>
    <definedName name="DemYrRange" localSheetId="28">#REF!</definedName>
    <definedName name="DemYrRange" localSheetId="33">#REF!</definedName>
    <definedName name="DemYrRange">#REF!</definedName>
    <definedName name="derate">'[1]Cost Assumptions'!$BE$6</definedName>
    <definedName name="drate">'[1]Regional Summaries (Control)'!$BE$4</definedName>
    <definedName name="escalate">'[1]Regional Summaries (Control)'!$BP$9</definedName>
    <definedName name="fcstyr">'[1]Regional Summaries (Control)'!$BP$6</definedName>
    <definedName name="fcstyrselect">'[1]Regional Summaries (Control)'!$BP$2:$BP$5</definedName>
    <definedName name="gwrate">'[1]Cost Assumptions'!$BF$6</definedName>
    <definedName name="H_100">[2]QFreq!$G$2:$G$11</definedName>
    <definedName name="H_50">[2]QFreq!$I$2:$I$11</definedName>
    <definedName name="ierate">'[1]Cost Assumptions'!$BD$6</definedName>
    <definedName name="LinkData" localSheetId="44">#REF!</definedName>
    <definedName name="LinkData" localSheetId="46">#REF!</definedName>
    <definedName name="LinkData" localSheetId="28">#REF!</definedName>
    <definedName name="LinkData" localSheetId="33">#REF!</definedName>
    <definedName name="LinkData">#REF!</definedName>
    <definedName name="Print_Area_MI" localSheetId="46">#REF!</definedName>
    <definedName name="Print_Area_MI" localSheetId="28">#REF!</definedName>
    <definedName name="Print_Area_MI" localSheetId="33">#REF!</definedName>
    <definedName name="Print_Area_MI">#REF!</definedName>
    <definedName name="Q_100">[2]QFreq!$D$2:$D$11</definedName>
    <definedName name="solver_adj" localSheetId="6" hidden="1">'Agency Data Collection Tracker'!$I$55:$I$57</definedName>
    <definedName name="solver_cvg" localSheetId="6" hidden="1">0.0001</definedName>
    <definedName name="solver_drv" localSheetId="6" hidden="1">2</definedName>
    <definedName name="solver_eng" localSheetId="6" hidden="1">1</definedName>
    <definedName name="solver_est" localSheetId="6" hidden="1">1</definedName>
    <definedName name="solver_itr" localSheetId="6" hidden="1">2147483647</definedName>
    <definedName name="solver_mip" localSheetId="6" hidden="1">2147483647</definedName>
    <definedName name="solver_mni" localSheetId="6" hidden="1">30</definedName>
    <definedName name="solver_mrt" localSheetId="6" hidden="1">0.075</definedName>
    <definedName name="solver_msl" localSheetId="6" hidden="1">2</definedName>
    <definedName name="solver_neg" localSheetId="6" hidden="1">1</definedName>
    <definedName name="solver_nod" localSheetId="6" hidden="1">2147483647</definedName>
    <definedName name="solver_num" localSheetId="6" hidden="1">0</definedName>
    <definedName name="solver_nwt" localSheetId="6" hidden="1">1</definedName>
    <definedName name="solver_opt" localSheetId="6" hidden="1">'Agency Data Collection Tracker'!$H$60</definedName>
    <definedName name="solver_pre" localSheetId="6" hidden="1">0.000001</definedName>
    <definedName name="solver_rbv" localSheetId="6" hidden="1">2</definedName>
    <definedName name="solver_rlx" localSheetId="6" hidden="1">2</definedName>
    <definedName name="solver_rsd" localSheetId="6" hidden="1">0</definedName>
    <definedName name="solver_scl" localSheetId="6" hidden="1">2</definedName>
    <definedName name="solver_sho" localSheetId="6" hidden="1">2</definedName>
    <definedName name="solver_ssz" localSheetId="6" hidden="1">100</definedName>
    <definedName name="solver_tim" localSheetId="6" hidden="1">2147483647</definedName>
    <definedName name="solver_tol" localSheetId="6" hidden="1">0.01</definedName>
    <definedName name="solver_typ" localSheetId="6" hidden="1">2</definedName>
    <definedName name="solver_val" localSheetId="6" hidden="1">0</definedName>
    <definedName name="solver_ver" localSheetId="6" hidden="1">3</definedName>
    <definedName name="trfrate">'[1]Cost Assumptions'!$CA$8:$CD$8</definedName>
    <definedName name="Wyear">[3]Summary!$F$1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 i="169" l="1"/>
  <c r="A10" i="169"/>
  <c r="A11" i="169"/>
  <c r="A12" i="169"/>
  <c r="A13" i="169"/>
  <c r="A14" i="169"/>
  <c r="A15" i="169"/>
  <c r="A16" i="169"/>
  <c r="A17" i="169"/>
  <c r="A18" i="169"/>
  <c r="A19" i="169"/>
  <c r="A20" i="169"/>
  <c r="A21" i="169"/>
  <c r="A22" i="169"/>
  <c r="A23" i="169"/>
  <c r="A24" i="169"/>
  <c r="A25" i="169"/>
  <c r="A26" i="169"/>
  <c r="A27" i="169"/>
  <c r="A28" i="169"/>
  <c r="A29" i="169"/>
  <c r="A30" i="169"/>
  <c r="A31" i="169"/>
  <c r="A32" i="169"/>
  <c r="A33" i="169"/>
  <c r="A34" i="169"/>
  <c r="A35" i="169"/>
  <c r="A36" i="169"/>
  <c r="A37" i="169"/>
  <c r="A38" i="169"/>
  <c r="A39" i="169"/>
  <c r="A40" i="169"/>
  <c r="A41" i="169"/>
  <c r="A42" i="169"/>
  <c r="A43" i="169"/>
  <c r="A44" i="169"/>
  <c r="A45" i="169"/>
  <c r="A46" i="169"/>
  <c r="A47" i="169"/>
  <c r="A48" i="169"/>
  <c r="A49" i="169"/>
  <c r="A50" i="169"/>
  <c r="A8" i="169"/>
  <c r="J29" i="117"/>
  <c r="O14" i="117"/>
  <c r="P14" i="117"/>
  <c r="F12" i="122" l="1"/>
  <c r="E12" i="122"/>
  <c r="P6" i="117" l="1"/>
  <c r="P7" i="117"/>
  <c r="P8" i="117"/>
  <c r="P9" i="117"/>
  <c r="P10" i="117"/>
  <c r="P11" i="117"/>
  <c r="P12" i="117"/>
  <c r="P13" i="117"/>
  <c r="P5" i="117"/>
  <c r="P16" i="117" s="1"/>
  <c r="O6" i="117"/>
  <c r="O7" i="117"/>
  <c r="O8" i="117"/>
  <c r="O9" i="117"/>
  <c r="O10" i="117"/>
  <c r="O11" i="117"/>
  <c r="O12" i="117"/>
  <c r="O13" i="117"/>
  <c r="O5" i="117"/>
  <c r="L5" i="117"/>
  <c r="M5" i="117" s="1"/>
  <c r="M16" i="117" s="1"/>
  <c r="C43" i="117" l="1"/>
  <c r="L14" i="117"/>
  <c r="L42" i="109" l="1"/>
  <c r="M42" i="109"/>
  <c r="N42" i="109"/>
  <c r="O42" i="109"/>
  <c r="P42" i="109"/>
  <c r="Q45" i="88" l="1"/>
  <c r="Q44" i="88"/>
  <c r="Q43" i="88"/>
  <c r="Q42" i="88"/>
  <c r="Q41" i="88"/>
  <c r="Q40" i="88"/>
  <c r="Q39" i="88"/>
  <c r="Q38" i="88"/>
  <c r="Q37" i="88"/>
  <c r="Q36" i="88"/>
  <c r="Q35" i="88"/>
  <c r="Q34" i="88"/>
  <c r="Q33" i="88"/>
  <c r="Q32" i="88"/>
  <c r="Q31" i="88"/>
  <c r="Q30" i="88"/>
  <c r="Q29" i="88"/>
  <c r="Q28" i="88"/>
  <c r="Q27" i="88"/>
  <c r="Q26" i="88"/>
  <c r="Q25" i="88"/>
  <c r="Q24" i="88"/>
  <c r="Q23" i="88"/>
  <c r="Q22" i="88"/>
  <c r="Q21" i="88"/>
  <c r="Q20" i="88"/>
  <c r="Q19" i="88"/>
  <c r="Q18" i="88"/>
  <c r="Q17" i="88"/>
  <c r="Q16" i="88"/>
  <c r="Q15" i="88"/>
  <c r="Q14" i="88"/>
  <c r="Q13" i="88"/>
  <c r="Q12" i="88"/>
  <c r="Q11" i="88"/>
  <c r="Q10" i="88"/>
  <c r="Q9" i="88"/>
  <c r="Q8" i="88"/>
  <c r="Q7" i="88"/>
  <c r="Q6" i="88"/>
  <c r="Q5" i="88"/>
  <c r="Q4" i="88"/>
  <c r="Q3" i="88"/>
  <c r="I3" i="88"/>
  <c r="I45" i="88"/>
  <c r="I44" i="88"/>
  <c r="I43" i="88"/>
  <c r="I42" i="88"/>
  <c r="I41" i="88"/>
  <c r="I40" i="88"/>
  <c r="I39" i="88"/>
  <c r="I38" i="88"/>
  <c r="I37" i="88"/>
  <c r="I36" i="88"/>
  <c r="I35" i="88"/>
  <c r="I34" i="88"/>
  <c r="I33" i="88"/>
  <c r="I32" i="88"/>
  <c r="I31" i="88"/>
  <c r="I30" i="88"/>
  <c r="I29" i="88"/>
  <c r="I28" i="88"/>
  <c r="I27" i="88"/>
  <c r="I26" i="88"/>
  <c r="I25" i="88"/>
  <c r="I24" i="88"/>
  <c r="I23" i="88"/>
  <c r="I22" i="88"/>
  <c r="I21" i="88"/>
  <c r="I20" i="88"/>
  <c r="I19" i="88"/>
  <c r="I18" i="88"/>
  <c r="I17" i="88"/>
  <c r="I16" i="88"/>
  <c r="I15" i="88"/>
  <c r="I14" i="88"/>
  <c r="I13" i="88"/>
  <c r="I12" i="88"/>
  <c r="I11" i="88"/>
  <c r="I10" i="88"/>
  <c r="I9" i="88"/>
  <c r="I8" i="88"/>
  <c r="I7" i="88"/>
  <c r="I6" i="88"/>
  <c r="I5" i="88"/>
  <c r="I4" i="88"/>
  <c r="A3" i="88"/>
  <c r="A45" i="88"/>
  <c r="A44" i="88"/>
  <c r="A43" i="88"/>
  <c r="A42" i="88"/>
  <c r="A41" i="88"/>
  <c r="A40" i="88"/>
  <c r="A39" i="88"/>
  <c r="A38" i="88"/>
  <c r="A37" i="88"/>
  <c r="A36" i="88"/>
  <c r="A35" i="88"/>
  <c r="A34" i="88"/>
  <c r="A33" i="88"/>
  <c r="A32" i="88"/>
  <c r="A31" i="88"/>
  <c r="A30" i="88"/>
  <c r="A29" i="88"/>
  <c r="A28" i="88"/>
  <c r="A27" i="88"/>
  <c r="A26" i="88"/>
  <c r="A25" i="88"/>
  <c r="A24" i="88"/>
  <c r="A23" i="88"/>
  <c r="A22" i="88"/>
  <c r="A21" i="88"/>
  <c r="A20" i="88"/>
  <c r="A19" i="88"/>
  <c r="A18" i="88"/>
  <c r="A17" i="88"/>
  <c r="A16" i="88"/>
  <c r="A15" i="88"/>
  <c r="A14" i="88"/>
  <c r="A13" i="88"/>
  <c r="A12" i="88"/>
  <c r="A11" i="88"/>
  <c r="A10" i="88"/>
  <c r="A9" i="88"/>
  <c r="A8" i="88"/>
  <c r="A7" i="88"/>
  <c r="A6" i="88"/>
  <c r="A5" i="88"/>
  <c r="A4" i="88"/>
  <c r="AR4" i="65"/>
  <c r="AQ4" i="65"/>
  <c r="AP4" i="65"/>
  <c r="AO4" i="65"/>
  <c r="AN4" i="65"/>
  <c r="AM4" i="65"/>
  <c r="AL4" i="65"/>
  <c r="AK4" i="65"/>
  <c r="AJ4" i="65"/>
  <c r="AI4" i="65"/>
  <c r="AH4" i="65"/>
  <c r="AG4" i="65"/>
  <c r="AF4" i="65"/>
  <c r="AE4" i="65"/>
  <c r="AD4" i="65"/>
  <c r="AC4" i="65"/>
  <c r="AB4" i="65"/>
  <c r="AA4" i="65"/>
  <c r="Z4" i="65"/>
  <c r="Y4" i="65"/>
  <c r="X4" i="65"/>
  <c r="W4" i="65"/>
  <c r="V4" i="65"/>
  <c r="U4" i="65"/>
  <c r="T4" i="65"/>
  <c r="S4" i="65"/>
  <c r="R4" i="65"/>
  <c r="Q4" i="65"/>
  <c r="P4" i="65"/>
  <c r="O4" i="65"/>
  <c r="N4" i="65"/>
  <c r="M4" i="65"/>
  <c r="L4" i="65"/>
  <c r="K4" i="65"/>
  <c r="J4" i="65"/>
  <c r="I4" i="65"/>
  <c r="H4" i="65"/>
  <c r="G4" i="65"/>
  <c r="F4" i="65"/>
  <c r="E4" i="65"/>
  <c r="D4" i="65"/>
  <c r="C4" i="65"/>
  <c r="B4" i="65"/>
  <c r="K4" i="109"/>
  <c r="A4" i="109" s="1"/>
  <c r="K5" i="109"/>
  <c r="A52" i="109" s="1"/>
  <c r="K6" i="109"/>
  <c r="A53" i="109" s="1"/>
  <c r="K7" i="109"/>
  <c r="A54" i="109" s="1"/>
  <c r="K8" i="109"/>
  <c r="A102" i="109" s="1"/>
  <c r="K9" i="109"/>
  <c r="A103" i="109" s="1"/>
  <c r="K10" i="109"/>
  <c r="A104" i="109" s="1"/>
  <c r="K11" i="109"/>
  <c r="A105" i="109" s="1"/>
  <c r="K12" i="109"/>
  <c r="A106" i="109" s="1"/>
  <c r="K13" i="109"/>
  <c r="A107" i="109" s="1"/>
  <c r="K14" i="109"/>
  <c r="A108" i="109" s="1"/>
  <c r="K15" i="109"/>
  <c r="A109" i="109" s="1"/>
  <c r="K16" i="109"/>
  <c r="A63" i="109" s="1"/>
  <c r="K17" i="109"/>
  <c r="A64" i="109" s="1"/>
  <c r="K18" i="109"/>
  <c r="A18" i="109" s="1"/>
  <c r="K19" i="109"/>
  <c r="A113" i="109" s="1"/>
  <c r="K20" i="109"/>
  <c r="A67" i="109" s="1"/>
  <c r="K21" i="109"/>
  <c r="A68" i="109" s="1"/>
  <c r="K22" i="109"/>
  <c r="A22" i="109" s="1"/>
  <c r="K23" i="109"/>
  <c r="A23" i="109" s="1"/>
  <c r="K24" i="109"/>
  <c r="A24" i="109" s="1"/>
  <c r="K25" i="109"/>
  <c r="A72" i="109" s="1"/>
  <c r="K26" i="109"/>
  <c r="A26" i="109" s="1"/>
  <c r="K27" i="109"/>
  <c r="A74" i="109" s="1"/>
  <c r="K28" i="109"/>
  <c r="A122" i="109" s="1"/>
  <c r="K29" i="109"/>
  <c r="A123" i="109" s="1"/>
  <c r="K30" i="109"/>
  <c r="A77" i="109" s="1"/>
  <c r="K31" i="109"/>
  <c r="A31" i="109" s="1"/>
  <c r="K32" i="109"/>
  <c r="A126" i="109" s="1"/>
  <c r="K33" i="109"/>
  <c r="A127" i="109" s="1"/>
  <c r="K34" i="109"/>
  <c r="A81" i="109" s="1"/>
  <c r="K35" i="109"/>
  <c r="A82" i="109" s="1"/>
  <c r="K36" i="109"/>
  <c r="A83" i="109" s="1"/>
  <c r="K37" i="109"/>
  <c r="A84" i="109" s="1"/>
  <c r="K38" i="109"/>
  <c r="A38" i="109" s="1"/>
  <c r="K39" i="109"/>
  <c r="A133" i="109" s="1"/>
  <c r="K40" i="109"/>
  <c r="A87" i="109" s="1"/>
  <c r="K41" i="109"/>
  <c r="A88" i="109" s="1"/>
  <c r="K42" i="109"/>
  <c r="A42" i="109" s="1"/>
  <c r="K43" i="109"/>
  <c r="A43" i="109" s="1"/>
  <c r="K44" i="109"/>
  <c r="A44" i="109" s="1"/>
  <c r="K45" i="109"/>
  <c r="A92" i="109" s="1"/>
  <c r="K3" i="109"/>
  <c r="A97" i="109" s="1"/>
  <c r="D66" i="119"/>
  <c r="C66" i="119"/>
  <c r="E66" i="119"/>
  <c r="B66" i="119"/>
  <c r="A36" i="109" l="1"/>
  <c r="A35" i="109"/>
  <c r="A34" i="109"/>
  <c r="A131" i="109"/>
  <c r="A134" i="109"/>
  <c r="A32" i="109"/>
  <c r="A15" i="109"/>
  <c r="A14" i="109"/>
  <c r="A12" i="109"/>
  <c r="A79" i="109"/>
  <c r="A61" i="109"/>
  <c r="A135" i="109"/>
  <c r="A136" i="109"/>
  <c r="A132" i="109"/>
  <c r="A130" i="109"/>
  <c r="A128" i="109"/>
  <c r="A116" i="109"/>
  <c r="A10" i="109"/>
  <c r="A9" i="109"/>
  <c r="A86" i="109"/>
  <c r="A129" i="109"/>
  <c r="A85" i="109"/>
  <c r="A41" i="109"/>
  <c r="A125" i="109"/>
  <c r="A40" i="109"/>
  <c r="A124" i="109"/>
  <c r="A78" i="109"/>
  <c r="A115" i="109"/>
  <c r="A114" i="109"/>
  <c r="A112" i="109"/>
  <c r="A111" i="109"/>
  <c r="A30" i="109"/>
  <c r="A62" i="109"/>
  <c r="A110" i="109"/>
  <c r="A11" i="109"/>
  <c r="A29" i="109"/>
  <c r="A21" i="109"/>
  <c r="A59" i="109"/>
  <c r="A20" i="109"/>
  <c r="A58" i="109"/>
  <c r="A66" i="109"/>
  <c r="A65" i="109"/>
  <c r="A16" i="109"/>
  <c r="A57" i="109"/>
  <c r="A8" i="109"/>
  <c r="A27" i="109"/>
  <c r="A71" i="109"/>
  <c r="A70" i="109"/>
  <c r="A120" i="109"/>
  <c r="A39" i="109"/>
  <c r="A19" i="109"/>
  <c r="A89" i="109"/>
  <c r="A69" i="109"/>
  <c r="A139" i="109"/>
  <c r="A119" i="109"/>
  <c r="A99" i="109"/>
  <c r="A51" i="109"/>
  <c r="A101" i="109"/>
  <c r="A100" i="109"/>
  <c r="A7" i="109"/>
  <c r="A91" i="109"/>
  <c r="A121" i="109"/>
  <c r="A90" i="109"/>
  <c r="A138" i="109"/>
  <c r="A118" i="109"/>
  <c r="A98" i="109"/>
  <c r="A37" i="109"/>
  <c r="A17" i="109"/>
  <c r="A137" i="109"/>
  <c r="A117" i="109"/>
  <c r="A33" i="109"/>
  <c r="A13" i="109"/>
  <c r="A80" i="109"/>
  <c r="A60" i="109"/>
  <c r="A76" i="109"/>
  <c r="A5" i="109"/>
  <c r="A55" i="109"/>
  <c r="A3" i="109"/>
  <c r="A6" i="109"/>
  <c r="A56" i="109"/>
  <c r="A25" i="109"/>
  <c r="A50" i="109"/>
  <c r="A73" i="109"/>
  <c r="A28" i="109"/>
  <c r="A45" i="109"/>
  <c r="A75" i="109"/>
  <c r="S34" i="88"/>
  <c r="T34" i="88"/>
  <c r="U34" i="88"/>
  <c r="V34" i="88"/>
  <c r="R34" i="88"/>
  <c r="F122" i="109"/>
  <c r="E122" i="109"/>
  <c r="D122" i="109"/>
  <c r="C122" i="109"/>
  <c r="B122" i="109"/>
  <c r="V26" i="88"/>
  <c r="U26" i="88"/>
  <c r="T26" i="88"/>
  <c r="S26" i="88"/>
  <c r="R26" i="88"/>
  <c r="N26" i="88" l="1"/>
  <c r="M26" i="88"/>
  <c r="L26" i="88"/>
  <c r="K26" i="88"/>
  <c r="J26" i="88"/>
  <c r="F107" i="109" l="1"/>
  <c r="E107" i="109"/>
  <c r="D107" i="109"/>
  <c r="C107" i="109"/>
  <c r="B107" i="109"/>
  <c r="F60" i="109"/>
  <c r="E60" i="109"/>
  <c r="D60" i="109"/>
  <c r="C60" i="109"/>
  <c r="B60" i="109"/>
  <c r="F13" i="109"/>
  <c r="E13" i="109"/>
  <c r="D13" i="109"/>
  <c r="C13" i="109"/>
  <c r="B13" i="109"/>
  <c r="V12" i="88"/>
  <c r="U12" i="88"/>
  <c r="T12" i="88"/>
  <c r="S12" i="88"/>
  <c r="R12" i="88"/>
  <c r="K12" i="88"/>
  <c r="L12" i="88"/>
  <c r="M12" i="88"/>
  <c r="N12" i="88"/>
  <c r="J12" i="88"/>
  <c r="C12" i="88"/>
  <c r="D12" i="88"/>
  <c r="E12" i="88"/>
  <c r="F12" i="88"/>
  <c r="B12" i="88"/>
  <c r="V8" i="88" l="1"/>
  <c r="U8" i="88"/>
  <c r="T8" i="88"/>
  <c r="S8" i="88"/>
  <c r="R8" i="88"/>
  <c r="F133" i="109" l="1"/>
  <c r="E133" i="109"/>
  <c r="D133" i="109"/>
  <c r="C133" i="109"/>
  <c r="B133" i="109"/>
  <c r="F86" i="109"/>
  <c r="E86" i="109"/>
  <c r="D86" i="109"/>
  <c r="C86" i="109"/>
  <c r="B86" i="109"/>
  <c r="B42" i="122" l="1"/>
  <c r="C42" i="122"/>
  <c r="C43" i="122"/>
  <c r="B43" i="122"/>
  <c r="D520" i="37"/>
  <c r="E520" i="37"/>
  <c r="F520" i="37"/>
  <c r="G520" i="37"/>
  <c r="B41" i="109" l="1"/>
  <c r="C41" i="109"/>
  <c r="D41" i="109"/>
  <c r="E41" i="109"/>
  <c r="F41" i="109"/>
  <c r="D120" i="109"/>
  <c r="E120" i="109"/>
  <c r="F120" i="109"/>
  <c r="D121" i="109"/>
  <c r="E121" i="109"/>
  <c r="F121" i="109"/>
  <c r="D123" i="109"/>
  <c r="E123" i="109"/>
  <c r="F123" i="109"/>
  <c r="D124" i="109"/>
  <c r="E124" i="109"/>
  <c r="D125" i="109"/>
  <c r="E125" i="109"/>
  <c r="F125" i="109"/>
  <c r="D126" i="109"/>
  <c r="E126" i="109"/>
  <c r="F126" i="109"/>
  <c r="C119" i="109"/>
  <c r="B119" i="109"/>
  <c r="B46" i="109"/>
  <c r="E557" i="37" l="1"/>
  <c r="F557" i="37"/>
  <c r="G557" i="37"/>
  <c r="H557" i="37"/>
  <c r="D557" i="37"/>
  <c r="E511" i="37"/>
  <c r="F511" i="37"/>
  <c r="G511" i="37"/>
  <c r="H511" i="37"/>
  <c r="D511" i="37"/>
  <c r="E465" i="37"/>
  <c r="F465" i="37"/>
  <c r="G465" i="37"/>
  <c r="H465" i="37"/>
  <c r="D465" i="37"/>
  <c r="E419" i="37"/>
  <c r="F419" i="37"/>
  <c r="G419" i="37"/>
  <c r="H419" i="37"/>
  <c r="D419" i="37"/>
  <c r="D373" i="37"/>
  <c r="E373" i="37"/>
  <c r="F373" i="37"/>
  <c r="G373" i="37"/>
  <c r="H373" i="37"/>
  <c r="D327" i="37"/>
  <c r="E327" i="37"/>
  <c r="F327" i="37"/>
  <c r="G327" i="37"/>
  <c r="H327" i="37"/>
  <c r="D281" i="37"/>
  <c r="E281" i="37"/>
  <c r="F281" i="37"/>
  <c r="G281" i="37"/>
  <c r="H281" i="37"/>
  <c r="C35" i="132"/>
  <c r="C36" i="132" s="1"/>
  <c r="D35" i="132"/>
  <c r="E35" i="132"/>
  <c r="F35" i="132"/>
  <c r="D36" i="132"/>
  <c r="E36" i="132"/>
  <c r="F36" i="132"/>
  <c r="B35" i="132"/>
  <c r="B36" i="132" s="1"/>
  <c r="B34" i="132"/>
  <c r="C26" i="132"/>
  <c r="D26" i="132"/>
  <c r="E26" i="132"/>
  <c r="F26" i="132"/>
  <c r="B26" i="132"/>
  <c r="C34" i="132"/>
  <c r="D34" i="132"/>
  <c r="E34" i="132"/>
  <c r="F34" i="132"/>
  <c r="B29" i="132"/>
  <c r="C29" i="132"/>
  <c r="D29" i="132"/>
  <c r="E29" i="132"/>
  <c r="F29" i="132"/>
  <c r="B32" i="132"/>
  <c r="C32" i="132"/>
  <c r="D32" i="132"/>
  <c r="E32" i="132"/>
  <c r="F32" i="132"/>
  <c r="B33" i="132"/>
  <c r="C33" i="132"/>
  <c r="D33" i="132"/>
  <c r="E33" i="132"/>
  <c r="F33" i="132"/>
  <c r="C28" i="132"/>
  <c r="D28" i="132"/>
  <c r="E28" i="132"/>
  <c r="F28" i="132"/>
  <c r="B28" i="132"/>
  <c r="F45" i="132"/>
  <c r="E45" i="132"/>
  <c r="D45" i="132"/>
  <c r="C45" i="132"/>
  <c r="B45" i="132"/>
  <c r="F41" i="132"/>
  <c r="F30" i="132" s="1"/>
  <c r="E41" i="132"/>
  <c r="E30" i="132" s="1"/>
  <c r="D41" i="132"/>
  <c r="D30" i="132" s="1"/>
  <c r="C41" i="132"/>
  <c r="C30" i="132" s="1"/>
  <c r="B41" i="132"/>
  <c r="B30" i="132" s="1"/>
  <c r="O25" i="109" l="1"/>
  <c r="N25" i="109"/>
  <c r="P25" i="109"/>
  <c r="M25" i="109"/>
  <c r="L25" i="109"/>
  <c r="F46" i="132"/>
  <c r="E46" i="132"/>
  <c r="D46" i="132"/>
  <c r="C46" i="132"/>
  <c r="F53" i="132"/>
  <c r="E53" i="132"/>
  <c r="D53" i="132"/>
  <c r="D31" i="132" s="1"/>
  <c r="C53" i="132"/>
  <c r="C31" i="132" s="1"/>
  <c r="B53" i="132"/>
  <c r="C56" i="132"/>
  <c r="D56" i="132"/>
  <c r="E56" i="132"/>
  <c r="F56" i="132"/>
  <c r="B56" i="132"/>
  <c r="D57" i="132" l="1"/>
  <c r="B57" i="132"/>
  <c r="B31" i="132"/>
  <c r="E57" i="132"/>
  <c r="E31" i="132"/>
  <c r="F57" i="132"/>
  <c r="F31" i="132"/>
  <c r="C57" i="132"/>
  <c r="B46" i="132"/>
  <c r="K10" i="122"/>
  <c r="E15" i="122"/>
  <c r="S9" i="88" l="1"/>
  <c r="T9" i="88"/>
  <c r="U9" i="88"/>
  <c r="V9" i="88"/>
  <c r="R9" i="88"/>
  <c r="B41" i="126"/>
  <c r="B39" i="126"/>
  <c r="D21" i="118"/>
  <c r="C44" i="117"/>
  <c r="C46" i="117" s="1"/>
  <c r="J31" i="117"/>
  <c r="J30" i="117"/>
  <c r="B36" i="117"/>
  <c r="M14" i="117"/>
  <c r="M6" i="117"/>
  <c r="M7" i="117"/>
  <c r="M8" i="117"/>
  <c r="M9" i="117"/>
  <c r="M10" i="117"/>
  <c r="M11" i="117"/>
  <c r="M12" i="117"/>
  <c r="M13" i="117"/>
  <c r="K4" i="131"/>
  <c r="K5" i="131"/>
  <c r="K6" i="131"/>
  <c r="K7" i="131"/>
  <c r="K8" i="131"/>
  <c r="K9" i="131"/>
  <c r="K10" i="131"/>
  <c r="K11" i="131"/>
  <c r="K12" i="131"/>
  <c r="K13" i="131"/>
  <c r="K14" i="131"/>
  <c r="K15" i="131"/>
  <c r="K16" i="131"/>
  <c r="K17" i="131"/>
  <c r="K18" i="131"/>
  <c r="K19" i="131"/>
  <c r="K20" i="131"/>
  <c r="K21" i="131"/>
  <c r="K22" i="131"/>
  <c r="K23" i="131"/>
  <c r="K24" i="131"/>
  <c r="K25" i="131"/>
  <c r="K26" i="131"/>
  <c r="K27" i="131"/>
  <c r="K28" i="131"/>
  <c r="K29" i="131"/>
  <c r="K30" i="131"/>
  <c r="K31" i="131"/>
  <c r="K32" i="131"/>
  <c r="K33" i="131"/>
  <c r="K34" i="131"/>
  <c r="K35" i="131"/>
  <c r="K36" i="131"/>
  <c r="K37" i="131"/>
  <c r="K38" i="131"/>
  <c r="K39" i="131"/>
  <c r="K40" i="131"/>
  <c r="K41" i="131"/>
  <c r="K42" i="131"/>
  <c r="K43" i="131"/>
  <c r="K44" i="131"/>
  <c r="K45" i="131"/>
  <c r="K3" i="131"/>
  <c r="E33" i="131"/>
  <c r="E37" i="131"/>
  <c r="E38" i="131"/>
  <c r="D14" i="131" a="1"/>
  <c r="D14" i="131" s="1"/>
  <c r="D27" i="131" a="1"/>
  <c r="D27" i="131" s="1"/>
  <c r="R18" i="106"/>
  <c r="S18" i="106"/>
  <c r="R22" i="106"/>
  <c r="S22" i="106"/>
  <c r="S23" i="106"/>
  <c r="P28" i="106"/>
  <c r="M42" i="106"/>
  <c r="I23" i="106"/>
  <c r="J23" i="106"/>
  <c r="K23" i="106"/>
  <c r="Q23" i="106" s="1"/>
  <c r="L23" i="106"/>
  <c r="R23" i="106" s="1"/>
  <c r="M23" i="106"/>
  <c r="I24" i="106"/>
  <c r="J24" i="106"/>
  <c r="P24" i="106" s="1"/>
  <c r="K24" i="106"/>
  <c r="L24" i="106"/>
  <c r="R24" i="106" s="1"/>
  <c r="M24" i="106"/>
  <c r="S24" i="106" s="1"/>
  <c r="I25" i="106"/>
  <c r="J25" i="106"/>
  <c r="K25" i="106"/>
  <c r="L25" i="106"/>
  <c r="M25" i="106"/>
  <c r="I26" i="106"/>
  <c r="O26" i="106" s="1"/>
  <c r="J26" i="106"/>
  <c r="P26" i="106" s="1"/>
  <c r="K26" i="106"/>
  <c r="L26" i="106"/>
  <c r="M26" i="106"/>
  <c r="I27" i="106"/>
  <c r="O27" i="106" s="1"/>
  <c r="J27" i="106"/>
  <c r="K27" i="106"/>
  <c r="Q27" i="106" s="1"/>
  <c r="L27" i="106"/>
  <c r="R27" i="106" s="1"/>
  <c r="M27" i="106"/>
  <c r="I28" i="106"/>
  <c r="J28" i="106"/>
  <c r="K28" i="106"/>
  <c r="L28" i="106"/>
  <c r="R28" i="106" s="1"/>
  <c r="M28" i="106"/>
  <c r="S28" i="106" s="1"/>
  <c r="I29" i="106"/>
  <c r="J29" i="106"/>
  <c r="K29" i="106"/>
  <c r="L29" i="106"/>
  <c r="M29" i="106"/>
  <c r="I30" i="106"/>
  <c r="O30" i="106" s="1"/>
  <c r="J30" i="106"/>
  <c r="P30" i="106" s="1"/>
  <c r="K30" i="106"/>
  <c r="Q30" i="106" s="1"/>
  <c r="L30" i="106"/>
  <c r="M30" i="106"/>
  <c r="S30" i="106" s="1"/>
  <c r="I31" i="106"/>
  <c r="O31" i="106" s="1"/>
  <c r="J31" i="106"/>
  <c r="P31" i="106" s="1"/>
  <c r="K31" i="106"/>
  <c r="Q31" i="106" s="1"/>
  <c r="L31" i="106"/>
  <c r="R31" i="106" s="1"/>
  <c r="M31" i="106"/>
  <c r="S31" i="106" s="1"/>
  <c r="I32" i="106"/>
  <c r="J32" i="106"/>
  <c r="P32" i="106" s="1"/>
  <c r="K32" i="106"/>
  <c r="L32" i="106"/>
  <c r="R32" i="106" s="1"/>
  <c r="M32" i="106"/>
  <c r="S32" i="106" s="1"/>
  <c r="I33" i="106"/>
  <c r="J33" i="106"/>
  <c r="K33" i="106"/>
  <c r="L33" i="106"/>
  <c r="M33" i="106"/>
  <c r="I34" i="106"/>
  <c r="O34" i="106" s="1"/>
  <c r="J34" i="106"/>
  <c r="P34" i="106" s="1"/>
  <c r="K34" i="106"/>
  <c r="Q34" i="106" s="1"/>
  <c r="L34" i="106"/>
  <c r="M34" i="106"/>
  <c r="S34" i="106" s="1"/>
  <c r="I35" i="106"/>
  <c r="O35" i="106" s="1"/>
  <c r="J35" i="106"/>
  <c r="P35" i="106" s="1"/>
  <c r="K35" i="106"/>
  <c r="Q35" i="106" s="1"/>
  <c r="L35" i="106"/>
  <c r="R35" i="106" s="1"/>
  <c r="M35" i="106"/>
  <c r="S35" i="106" s="1"/>
  <c r="I36" i="106"/>
  <c r="J36" i="106"/>
  <c r="P36" i="106" s="1"/>
  <c r="K36" i="106"/>
  <c r="Q36" i="106" s="1"/>
  <c r="L36" i="106"/>
  <c r="R36" i="106" s="1"/>
  <c r="M36" i="106"/>
  <c r="S36" i="106" s="1"/>
  <c r="I37" i="106"/>
  <c r="J37" i="106"/>
  <c r="K37" i="106"/>
  <c r="L37" i="106"/>
  <c r="M37" i="106"/>
  <c r="I38" i="106"/>
  <c r="O38" i="106" s="1"/>
  <c r="J38" i="106"/>
  <c r="P38" i="106" s="1"/>
  <c r="K38" i="106"/>
  <c r="Q38" i="106" s="1"/>
  <c r="L38" i="106"/>
  <c r="M38" i="106"/>
  <c r="S38" i="106" s="1"/>
  <c r="I39" i="106"/>
  <c r="O39" i="106" s="1"/>
  <c r="J39" i="106"/>
  <c r="P39" i="106" s="1"/>
  <c r="K39" i="106"/>
  <c r="Q39" i="106" s="1"/>
  <c r="L39" i="106"/>
  <c r="R39" i="106" s="1"/>
  <c r="M39" i="106"/>
  <c r="S39" i="106" s="1"/>
  <c r="I40" i="106"/>
  <c r="J40" i="106"/>
  <c r="P40" i="106" s="1"/>
  <c r="K40" i="106"/>
  <c r="Q40" i="106" s="1"/>
  <c r="L40" i="106"/>
  <c r="R40" i="106" s="1"/>
  <c r="M40" i="106"/>
  <c r="S40" i="106" s="1"/>
  <c r="I41" i="106"/>
  <c r="J41" i="106"/>
  <c r="K41" i="106"/>
  <c r="L41" i="106"/>
  <c r="M41" i="106"/>
  <c r="I42" i="106"/>
  <c r="O42" i="106" s="1"/>
  <c r="J42" i="106"/>
  <c r="P42" i="106" s="1"/>
  <c r="K42" i="106"/>
  <c r="Q42" i="106" s="1"/>
  <c r="L42" i="106"/>
  <c r="I11" i="106"/>
  <c r="J11" i="106"/>
  <c r="K11" i="106"/>
  <c r="L11" i="106"/>
  <c r="M11" i="106"/>
  <c r="S11" i="106" s="1"/>
  <c r="I12" i="106"/>
  <c r="V3" i="106" s="1"/>
  <c r="J12" i="106"/>
  <c r="P12" i="106" s="1"/>
  <c r="K12" i="106"/>
  <c r="Q12" i="106" s="1"/>
  <c r="L12" i="106"/>
  <c r="R12" i="106" s="1"/>
  <c r="M12" i="106"/>
  <c r="S12" i="106" s="1"/>
  <c r="I13" i="106"/>
  <c r="O13" i="106" s="1"/>
  <c r="O2" i="106" s="1"/>
  <c r="R2" i="106" s="1"/>
  <c r="J13" i="106"/>
  <c r="K13" i="106"/>
  <c r="L13" i="106"/>
  <c r="M13" i="106"/>
  <c r="I14" i="106"/>
  <c r="D28" i="131" s="1" a="1"/>
  <c r="D28" i="131" s="1"/>
  <c r="J14" i="106"/>
  <c r="P14" i="106" s="1"/>
  <c r="K14" i="106"/>
  <c r="Q14" i="106" s="1"/>
  <c r="L14" i="106"/>
  <c r="R14" i="106" s="1"/>
  <c r="M14" i="106"/>
  <c r="S14" i="106" s="1"/>
  <c r="I15" i="106"/>
  <c r="O15" i="106" s="1"/>
  <c r="J15" i="106"/>
  <c r="P15" i="106" s="1"/>
  <c r="K15" i="106"/>
  <c r="Q15" i="106" s="1"/>
  <c r="L15" i="106"/>
  <c r="R15" i="106" s="1"/>
  <c r="M15" i="106"/>
  <c r="S15" i="106" s="1"/>
  <c r="I16" i="106"/>
  <c r="O16" i="106" s="1"/>
  <c r="J16" i="106"/>
  <c r="P16" i="106" s="1"/>
  <c r="K16" i="106"/>
  <c r="Q16" i="106" s="1"/>
  <c r="L16" i="106"/>
  <c r="R16" i="106" s="1"/>
  <c r="M16" i="106"/>
  <c r="S16" i="106" s="1"/>
  <c r="I17" i="106"/>
  <c r="E19" i="131" s="1"/>
  <c r="J17" i="106"/>
  <c r="E39" i="131" s="1"/>
  <c r="K17" i="106"/>
  <c r="L17" i="106"/>
  <c r="M17" i="106"/>
  <c r="I18" i="106"/>
  <c r="J18" i="106"/>
  <c r="P18" i="106" s="1"/>
  <c r="K18" i="106"/>
  <c r="Q18" i="106" s="1"/>
  <c r="L18" i="106"/>
  <c r="M18" i="106"/>
  <c r="I19" i="106"/>
  <c r="O19" i="106" s="1"/>
  <c r="J19" i="106"/>
  <c r="P19" i="106" s="1"/>
  <c r="K19" i="106"/>
  <c r="Q19" i="106" s="1"/>
  <c r="L19" i="106"/>
  <c r="R19" i="106" s="1"/>
  <c r="M19" i="106"/>
  <c r="S19" i="106" s="1"/>
  <c r="I20" i="106"/>
  <c r="O20" i="106" s="1"/>
  <c r="J20" i="106"/>
  <c r="P20" i="106" s="1"/>
  <c r="K20" i="106"/>
  <c r="Q20" i="106" s="1"/>
  <c r="L20" i="106"/>
  <c r="R20" i="106" s="1"/>
  <c r="M20" i="106"/>
  <c r="S20" i="106" s="1"/>
  <c r="I21" i="106"/>
  <c r="O21" i="106" s="1"/>
  <c r="J21" i="106"/>
  <c r="K21" i="106"/>
  <c r="L21" i="106"/>
  <c r="M21" i="106"/>
  <c r="I22" i="106"/>
  <c r="J22" i="106"/>
  <c r="P22" i="106" s="1"/>
  <c r="K22" i="106"/>
  <c r="Q22" i="106" s="1"/>
  <c r="L22" i="106"/>
  <c r="M22" i="106"/>
  <c r="J10" i="106"/>
  <c r="D42" i="131" s="1" a="1"/>
  <c r="D42" i="131" s="1"/>
  <c r="K10" i="106"/>
  <c r="L10" i="106"/>
  <c r="M10" i="106"/>
  <c r="I10" i="106"/>
  <c r="D15" i="131" s="1" a="1"/>
  <c r="D15" i="131" s="1"/>
  <c r="E8" i="129"/>
  <c r="D8" i="129"/>
  <c r="E3" i="129"/>
  <c r="D3" i="129"/>
  <c r="D11" i="129" s="1"/>
  <c r="H31" i="122"/>
  <c r="L13" i="117"/>
  <c r="L12" i="117"/>
  <c r="L11" i="117"/>
  <c r="L10" i="117"/>
  <c r="L9" i="117"/>
  <c r="L8" i="117"/>
  <c r="L7" i="117"/>
  <c r="L6" i="117"/>
  <c r="Q32" i="106" l="1"/>
  <c r="Q28" i="106"/>
  <c r="Q24" i="106"/>
  <c r="D23" i="131" a="1"/>
  <c r="D23" i="131" s="1"/>
  <c r="D10" i="131" a="1"/>
  <c r="D10" i="131" s="1"/>
  <c r="E32" i="131"/>
  <c r="P11" i="106"/>
  <c r="O24" i="106"/>
  <c r="E31" i="131"/>
  <c r="O11" i="106"/>
  <c r="S27" i="106"/>
  <c r="S42" i="106"/>
  <c r="E30" i="131"/>
  <c r="E18" i="131"/>
  <c r="E17" i="131"/>
  <c r="E12" i="131"/>
  <c r="E11" i="131"/>
  <c r="S41" i="106"/>
  <c r="S37" i="106"/>
  <c r="S33" i="106"/>
  <c r="S29" i="106"/>
  <c r="S26" i="106"/>
  <c r="O12" i="106"/>
  <c r="E10" i="131"/>
  <c r="R11" i="106"/>
  <c r="Q11" i="106"/>
  <c r="O18" i="106"/>
  <c r="S21" i="106"/>
  <c r="S17" i="106"/>
  <c r="S13" i="106"/>
  <c r="R42" i="106"/>
  <c r="R37" i="106"/>
  <c r="R34" i="106"/>
  <c r="R29" i="106"/>
  <c r="R26" i="106"/>
  <c r="D3" i="131" a="1"/>
  <c r="D3" i="131" s="1"/>
  <c r="R21" i="106"/>
  <c r="R17" i="106"/>
  <c r="R13" i="106"/>
  <c r="Q41" i="106"/>
  <c r="Q37" i="106"/>
  <c r="Q33" i="106"/>
  <c r="Q29" i="106"/>
  <c r="Q26" i="106"/>
  <c r="D41" i="131" a="1"/>
  <c r="D41" i="131" s="1"/>
  <c r="Q21" i="106"/>
  <c r="Q17" i="106"/>
  <c r="Q13" i="106"/>
  <c r="P41" i="106"/>
  <c r="P37" i="106"/>
  <c r="P33" i="106"/>
  <c r="P29" i="106"/>
  <c r="P25" i="106"/>
  <c r="D37" i="131" a="1"/>
  <c r="D37" i="131" s="1"/>
  <c r="O22" i="106"/>
  <c r="P21" i="106"/>
  <c r="P13" i="106"/>
  <c r="O41" i="106"/>
  <c r="O37" i="106"/>
  <c r="O33" i="106"/>
  <c r="O4" i="106" s="1"/>
  <c r="O29" i="106"/>
  <c r="O25" i="106"/>
  <c r="W3" i="106"/>
  <c r="D26" i="131" a="1"/>
  <c r="D26" i="131" s="1"/>
  <c r="D13" i="131" a="1"/>
  <c r="D13" i="131" s="1"/>
  <c r="E36" i="131"/>
  <c r="E16" i="131"/>
  <c r="O36" i="106"/>
  <c r="D40" i="131" a="1"/>
  <c r="D40" i="131" s="1"/>
  <c r="D39" i="131" a="1"/>
  <c r="D39" i="131" s="1"/>
  <c r="D12" i="131" a="1"/>
  <c r="D12" i="131" s="1"/>
  <c r="E35" i="131"/>
  <c r="E15" i="131"/>
  <c r="O40" i="106"/>
  <c r="O32" i="106"/>
  <c r="P27" i="106"/>
  <c r="P23" i="106"/>
  <c r="D38" i="131" a="1"/>
  <c r="D38" i="131" s="1"/>
  <c r="D25" i="131" a="1"/>
  <c r="D25" i="131" s="1"/>
  <c r="E34" i="131"/>
  <c r="E14" i="131"/>
  <c r="O23" i="106"/>
  <c r="O3" i="106" s="1"/>
  <c r="D24" i="131" a="1"/>
  <c r="D24" i="131" s="1"/>
  <c r="D11" i="131" a="1"/>
  <c r="D11" i="131" s="1"/>
  <c r="E13" i="131"/>
  <c r="D36" i="131" a="1"/>
  <c r="D36" i="131" s="1"/>
  <c r="D6" i="131" a="1"/>
  <c r="D6" i="131" s="1"/>
  <c r="D35" i="131" a="1"/>
  <c r="D35" i="131" s="1"/>
  <c r="D8" i="131" a="1"/>
  <c r="D8" i="131" s="1"/>
  <c r="E29" i="131"/>
  <c r="E9" i="131"/>
  <c r="R38" i="106"/>
  <c r="R30" i="106"/>
  <c r="O14" i="106"/>
  <c r="D5" i="131" a="1"/>
  <c r="D5" i="131" s="1"/>
  <c r="D34" i="131" a="1"/>
  <c r="D34" i="131" s="1"/>
  <c r="D21" i="131" a="1"/>
  <c r="D21" i="131" s="1"/>
  <c r="E28" i="131"/>
  <c r="E8" i="131"/>
  <c r="D22" i="131" a="1"/>
  <c r="D22" i="131" s="1"/>
  <c r="S25" i="106"/>
  <c r="D20" i="131" a="1"/>
  <c r="D20" i="131" s="1"/>
  <c r="D7" i="131" a="1"/>
  <c r="D7" i="131" s="1"/>
  <c r="E27" i="131"/>
  <c r="E7" i="131"/>
  <c r="D9" i="131" a="1"/>
  <c r="D9" i="131" s="1"/>
  <c r="R25" i="106"/>
  <c r="D4" i="131" a="1"/>
  <c r="D4" i="131" s="1"/>
  <c r="F4" i="131" s="1"/>
  <c r="D33" i="131" a="1"/>
  <c r="D33" i="131" s="1"/>
  <c r="E3" i="131"/>
  <c r="E26" i="131"/>
  <c r="E6" i="131"/>
  <c r="R41" i="106"/>
  <c r="R33" i="106"/>
  <c r="Q25" i="106"/>
  <c r="D32" i="131" a="1"/>
  <c r="D32" i="131" s="1"/>
  <c r="D19" i="131" a="1"/>
  <c r="D19" i="131" s="1"/>
  <c r="E45" i="131"/>
  <c r="E25" i="131"/>
  <c r="E5" i="131"/>
  <c r="P17" i="106"/>
  <c r="D45" i="131" a="1"/>
  <c r="D45" i="131" s="1"/>
  <c r="D18" i="131" a="1"/>
  <c r="D18" i="131" s="1"/>
  <c r="E44" i="131"/>
  <c r="E24" i="131"/>
  <c r="E4" i="131"/>
  <c r="O28" i="106"/>
  <c r="O17" i="106"/>
  <c r="D44" i="131" a="1"/>
  <c r="D44" i="131" s="1"/>
  <c r="D31" i="131" a="1"/>
  <c r="D31" i="131" s="1"/>
  <c r="E43" i="131"/>
  <c r="E23" i="131"/>
  <c r="V4" i="106"/>
  <c r="V5" i="106" s="1"/>
  <c r="V6" i="106" s="1"/>
  <c r="V7" i="106" s="1"/>
  <c r="D30" i="131" a="1"/>
  <c r="D30" i="131" s="1"/>
  <c r="D17" i="131" a="1"/>
  <c r="D17" i="131" s="1"/>
  <c r="E42" i="131"/>
  <c r="E22" i="131"/>
  <c r="D43" i="131" a="1"/>
  <c r="D43" i="131" s="1"/>
  <c r="D16" i="131" a="1"/>
  <c r="D16" i="131" s="1"/>
  <c r="E41" i="131"/>
  <c r="E21" i="131"/>
  <c r="D29" i="131" a="1"/>
  <c r="D29" i="131" s="1"/>
  <c r="E40" i="131"/>
  <c r="E20" i="131"/>
  <c r="E11" i="129"/>
  <c r="D13" i="129" s="1"/>
  <c r="F3" i="131" l="1"/>
  <c r="V8" i="106"/>
  <c r="C58" i="119"/>
  <c r="D58" i="119"/>
  <c r="E58" i="119"/>
  <c r="F26" i="88"/>
  <c r="E26" i="88"/>
  <c r="D26" i="88"/>
  <c r="C26" i="88"/>
  <c r="B26" i="88"/>
  <c r="B58" i="119"/>
  <c r="D13" i="128" l="1"/>
  <c r="E52" i="119"/>
  <c r="F22" i="131" l="1"/>
  <c r="F28" i="131"/>
  <c r="F38" i="131"/>
  <c r="F12" i="131"/>
  <c r="S4" i="88"/>
  <c r="T4" i="88"/>
  <c r="U4" i="88"/>
  <c r="V4" i="88"/>
  <c r="R4" i="88"/>
  <c r="D25" i="124"/>
  <c r="C25" i="124"/>
  <c r="B25" i="124"/>
  <c r="E21" i="124"/>
  <c r="F21" i="124"/>
  <c r="G21" i="124"/>
  <c r="H21" i="124"/>
  <c r="I21" i="124"/>
  <c r="J21" i="124"/>
  <c r="K21" i="124"/>
  <c r="L21" i="124"/>
  <c r="M21" i="124"/>
  <c r="D21" i="124"/>
  <c r="F20" i="131" l="1"/>
  <c r="F37" i="131"/>
  <c r="F5" i="131"/>
  <c r="F21" i="131"/>
  <c r="F14" i="131"/>
  <c r="F6" i="131"/>
  <c r="F30" i="131"/>
  <c r="F33" i="131"/>
  <c r="F17" i="131"/>
  <c r="F40" i="131"/>
  <c r="F9" i="131"/>
  <c r="F41" i="131"/>
  <c r="F44" i="131"/>
  <c r="F36" i="131"/>
  <c r="F8" i="131"/>
  <c r="F25" i="131"/>
  <c r="F24" i="131"/>
  <c r="F16" i="131"/>
  <c r="F27" i="131"/>
  <c r="F31" i="131"/>
  <c r="F23" i="131"/>
  <c r="F29" i="131"/>
  <c r="F45" i="131"/>
  <c r="F10" i="131"/>
  <c r="F43" i="131"/>
  <c r="F35" i="131"/>
  <c r="F19" i="131"/>
  <c r="F42" i="131"/>
  <c r="F34" i="131"/>
  <c r="F26" i="131"/>
  <c r="F18" i="131"/>
  <c r="F7" i="131"/>
  <c r="F32" i="131"/>
  <c r="F11" i="131"/>
  <c r="F39" i="131"/>
  <c r="F15" i="131"/>
  <c r="F13" i="131"/>
  <c r="E11" i="122" l="1"/>
  <c r="C21" i="118"/>
  <c r="C13" i="118"/>
  <c r="B8" i="129"/>
  <c r="A8" i="129"/>
  <c r="B3" i="129"/>
  <c r="A3" i="129"/>
  <c r="B42" i="119"/>
  <c r="C42" i="119"/>
  <c r="D42" i="119"/>
  <c r="S44" i="88"/>
  <c r="T44" i="88"/>
  <c r="U44" i="88"/>
  <c r="V44" i="88"/>
  <c r="R44" i="88"/>
  <c r="V40" i="88" l="1"/>
  <c r="U40" i="88"/>
  <c r="T40" i="88"/>
  <c r="S40" i="88"/>
  <c r="R40" i="88"/>
  <c r="E7" i="127"/>
  <c r="F3" i="127"/>
  <c r="F2" i="127"/>
  <c r="D5" i="126"/>
  <c r="B37" i="126" s="1"/>
  <c r="F9" i="126"/>
  <c r="D21" i="126"/>
  <c r="D22" i="126"/>
  <c r="D23" i="126"/>
  <c r="D24" i="126"/>
  <c r="D25" i="126"/>
  <c r="D26" i="126"/>
  <c r="D27" i="126"/>
  <c r="D28" i="126"/>
  <c r="D29" i="126"/>
  <c r="D30" i="126"/>
  <c r="D31" i="126"/>
  <c r="D20" i="126"/>
  <c r="D37" i="126" l="1"/>
  <c r="E37" i="126"/>
  <c r="F37" i="126"/>
  <c r="G37" i="126"/>
  <c r="H37" i="126"/>
  <c r="I37" i="126"/>
  <c r="J37" i="126"/>
  <c r="K37" i="126"/>
  <c r="L37" i="126"/>
  <c r="M37" i="126"/>
  <c r="N37" i="126"/>
  <c r="O37" i="126"/>
  <c r="P37" i="126"/>
  <c r="Q37" i="126"/>
  <c r="R37" i="126"/>
  <c r="S37" i="126"/>
  <c r="T37" i="126"/>
  <c r="U37" i="126"/>
  <c r="V37" i="126"/>
  <c r="W37" i="126"/>
  <c r="X37" i="126"/>
  <c r="Y37" i="126"/>
  <c r="Z37" i="126"/>
  <c r="AA37" i="126"/>
  <c r="C37" i="126"/>
  <c r="D33" i="126"/>
  <c r="D10" i="126" s="1"/>
  <c r="F10" i="126" s="1"/>
  <c r="B12" i="126"/>
  <c r="B14" i="126" l="1"/>
  <c r="C10" i="126"/>
  <c r="C9" i="126"/>
  <c r="F12" i="126"/>
  <c r="G10" i="126" s="1"/>
  <c r="B38" i="126"/>
  <c r="F32" i="109"/>
  <c r="E32" i="109"/>
  <c r="D32" i="109"/>
  <c r="C32" i="109"/>
  <c r="B32" i="109"/>
  <c r="S31" i="88"/>
  <c r="T31" i="88"/>
  <c r="U31" i="88"/>
  <c r="V31" i="88"/>
  <c r="R31" i="88"/>
  <c r="K31" i="88"/>
  <c r="L31" i="88"/>
  <c r="M31" i="88"/>
  <c r="N31" i="88"/>
  <c r="J31" i="88"/>
  <c r="S25" i="88"/>
  <c r="T25" i="88"/>
  <c r="U25" i="88"/>
  <c r="V25" i="88"/>
  <c r="R25" i="88"/>
  <c r="N25" i="88"/>
  <c r="M25" i="88"/>
  <c r="L25" i="88"/>
  <c r="K25" i="88"/>
  <c r="J25" i="88"/>
  <c r="F25" i="88"/>
  <c r="E25" i="88"/>
  <c r="D25" i="88"/>
  <c r="C25" i="88"/>
  <c r="B25" i="88"/>
  <c r="D135" i="37"/>
  <c r="E135" i="37"/>
  <c r="F14" i="126" l="1"/>
  <c r="G9" i="126"/>
  <c r="K6" i="122" l="1"/>
  <c r="K7" i="122" s="1"/>
  <c r="K9" i="122" s="1"/>
  <c r="I29" i="118"/>
  <c r="J29" i="118"/>
  <c r="K29" i="118"/>
  <c r="K30" i="118" s="1"/>
  <c r="L29" i="118"/>
  <c r="C29" i="118"/>
  <c r="D29" i="118"/>
  <c r="E29" i="118"/>
  <c r="F29" i="118"/>
  <c r="G29" i="118"/>
  <c r="H29" i="118"/>
  <c r="B29" i="118"/>
  <c r="C36" i="117"/>
  <c r="D36" i="117"/>
  <c r="E36" i="117"/>
  <c r="F36" i="117"/>
  <c r="G36" i="117"/>
  <c r="H36" i="117"/>
  <c r="H38" i="117" s="1"/>
  <c r="I36" i="117"/>
  <c r="J36" i="117"/>
  <c r="K36" i="117"/>
  <c r="L36" i="117"/>
  <c r="M5" i="121"/>
  <c r="F5" i="121"/>
  <c r="F11" i="122" l="1"/>
  <c r="E13" i="122"/>
  <c r="F20" i="122"/>
  <c r="F28" i="122"/>
  <c r="F36" i="122"/>
  <c r="F44" i="122"/>
  <c r="F52" i="122"/>
  <c r="E20" i="122"/>
  <c r="E28" i="122"/>
  <c r="E36" i="122"/>
  <c r="E44" i="122"/>
  <c r="E52" i="122"/>
  <c r="F16" i="122"/>
  <c r="E48" i="122"/>
  <c r="E33" i="122"/>
  <c r="E49" i="122"/>
  <c r="F26" i="122"/>
  <c r="E18" i="122"/>
  <c r="E42" i="122"/>
  <c r="F43" i="122"/>
  <c r="E35" i="122"/>
  <c r="F13" i="122"/>
  <c r="F21" i="122"/>
  <c r="F29" i="122"/>
  <c r="F37" i="122"/>
  <c r="F45" i="122"/>
  <c r="F53" i="122"/>
  <c r="E21" i="122"/>
  <c r="E29" i="122"/>
  <c r="E37" i="122"/>
  <c r="E45" i="122"/>
  <c r="E53" i="122"/>
  <c r="F23" i="122"/>
  <c r="F39" i="122"/>
  <c r="E31" i="122"/>
  <c r="F32" i="122"/>
  <c r="F40" i="122"/>
  <c r="E16" i="122"/>
  <c r="E32" i="122"/>
  <c r="E17" i="122"/>
  <c r="F18" i="122"/>
  <c r="F50" i="122"/>
  <c r="F51" i="122"/>
  <c r="E19" i="122"/>
  <c r="E51" i="122"/>
  <c r="F14" i="122"/>
  <c r="F22" i="122"/>
  <c r="F30" i="122"/>
  <c r="F38" i="122"/>
  <c r="F46" i="122"/>
  <c r="E14" i="122"/>
  <c r="E22" i="122"/>
  <c r="E30" i="122"/>
  <c r="E38" i="122"/>
  <c r="E46" i="122"/>
  <c r="F15" i="122"/>
  <c r="F31" i="122"/>
  <c r="F47" i="122"/>
  <c r="E23" i="122"/>
  <c r="E39" i="122"/>
  <c r="F24" i="122"/>
  <c r="F48" i="122"/>
  <c r="E40" i="122"/>
  <c r="F27" i="122"/>
  <c r="E27" i="122"/>
  <c r="E47" i="122"/>
  <c r="E25" i="122"/>
  <c r="F34" i="122"/>
  <c r="E34" i="122"/>
  <c r="E50" i="122"/>
  <c r="F19" i="122"/>
  <c r="F17" i="122"/>
  <c r="F25" i="122"/>
  <c r="F33" i="122"/>
  <c r="F41" i="122"/>
  <c r="F49" i="122"/>
  <c r="E41" i="122"/>
  <c r="F42" i="122"/>
  <c r="E26" i="122"/>
  <c r="F35" i="122"/>
  <c r="E43" i="122"/>
  <c r="E38" i="117"/>
  <c r="G38" i="117"/>
  <c r="K38" i="117"/>
  <c r="C38" i="117"/>
  <c r="B33" i="117" s="1"/>
  <c r="F38" i="117"/>
  <c r="L38" i="117"/>
  <c r="D38" i="117"/>
  <c r="J38" i="117"/>
  <c r="I38" i="117"/>
  <c r="L30" i="118"/>
  <c r="I30" i="118"/>
  <c r="J30" i="118"/>
  <c r="P4" i="106"/>
  <c r="P3" i="106"/>
  <c r="C630" i="37"/>
  <c r="C673" i="37" s="1"/>
  <c r="C716" i="37" s="1"/>
  <c r="C759" i="37" s="1"/>
  <c r="D44" i="117" l="1"/>
  <c r="E44" i="117" s="1"/>
  <c r="F44" i="117" s="1"/>
  <c r="G44" i="117" s="1"/>
  <c r="D43" i="117"/>
  <c r="D46" i="117" s="1"/>
  <c r="R3" i="106"/>
  <c r="O6" i="106"/>
  <c r="R4" i="106"/>
  <c r="B24" i="122"/>
  <c r="E24" i="122" s="1"/>
  <c r="E43" i="117" l="1"/>
  <c r="F43" i="117" s="1"/>
  <c r="H44" i="117"/>
  <c r="I44" i="117" s="1"/>
  <c r="J44" i="117" s="1"/>
  <c r="K44" i="117" s="1"/>
  <c r="L44" i="117" s="1"/>
  <c r="E46" i="117" l="1"/>
  <c r="M44" i="117"/>
  <c r="N44" i="117" s="1"/>
  <c r="O44" i="117" s="1"/>
  <c r="P44" i="117" s="1"/>
  <c r="Q44" i="117" s="1"/>
  <c r="G43" i="117"/>
  <c r="G46" i="117" s="1"/>
  <c r="F46" i="117"/>
  <c r="R44" i="117" l="1"/>
  <c r="S44" i="117" s="1"/>
  <c r="T44" i="117" s="1"/>
  <c r="U44" i="117" s="1"/>
  <c r="V44" i="117" s="1"/>
  <c r="H43" i="117"/>
  <c r="H30" i="118"/>
  <c r="G30" i="118"/>
  <c r="F30" i="118"/>
  <c r="E30" i="118"/>
  <c r="D30" i="118"/>
  <c r="C30" i="118"/>
  <c r="B32" i="118"/>
  <c r="B120" i="109"/>
  <c r="C120" i="109"/>
  <c r="B121" i="109"/>
  <c r="C121" i="109"/>
  <c r="B123" i="109"/>
  <c r="C123" i="109"/>
  <c r="B124" i="109"/>
  <c r="C124" i="109"/>
  <c r="B125" i="109"/>
  <c r="C125" i="109"/>
  <c r="B126" i="109"/>
  <c r="C126" i="109"/>
  <c r="B128" i="109"/>
  <c r="C128" i="109"/>
  <c r="D128" i="109"/>
  <c r="E128" i="109"/>
  <c r="F128" i="109"/>
  <c r="B129" i="109"/>
  <c r="C129" i="109"/>
  <c r="D129" i="109"/>
  <c r="E129" i="109"/>
  <c r="F129" i="109"/>
  <c r="B134" i="109"/>
  <c r="C134" i="109"/>
  <c r="D134" i="109"/>
  <c r="E134" i="109"/>
  <c r="F134" i="109"/>
  <c r="B135" i="109"/>
  <c r="C135" i="109"/>
  <c r="D135" i="109"/>
  <c r="E135" i="109"/>
  <c r="F135" i="109"/>
  <c r="B138" i="109"/>
  <c r="C138" i="109"/>
  <c r="D138" i="109"/>
  <c r="E138" i="109"/>
  <c r="F138" i="109"/>
  <c r="C117" i="109"/>
  <c r="D117" i="109"/>
  <c r="E117" i="109"/>
  <c r="F117" i="109"/>
  <c r="B117" i="109"/>
  <c r="B99" i="109"/>
  <c r="C99" i="109"/>
  <c r="D99" i="109"/>
  <c r="E99" i="109"/>
  <c r="F99" i="109"/>
  <c r="B100" i="109"/>
  <c r="C100" i="109"/>
  <c r="D100" i="109"/>
  <c r="E100" i="109"/>
  <c r="F100" i="109"/>
  <c r="B101" i="109"/>
  <c r="C101" i="109"/>
  <c r="D101" i="109"/>
  <c r="E101" i="109"/>
  <c r="F101" i="109"/>
  <c r="B102" i="109"/>
  <c r="C102" i="109"/>
  <c r="D102" i="109"/>
  <c r="E102" i="109"/>
  <c r="F102" i="109"/>
  <c r="B103" i="109"/>
  <c r="C103" i="109"/>
  <c r="D103" i="109"/>
  <c r="E103" i="109"/>
  <c r="F103" i="109"/>
  <c r="B105" i="109"/>
  <c r="C105" i="109"/>
  <c r="D105" i="109"/>
  <c r="E105" i="109"/>
  <c r="B106" i="109"/>
  <c r="C106" i="109"/>
  <c r="D106" i="109"/>
  <c r="E106" i="109"/>
  <c r="F106" i="109"/>
  <c r="B111" i="109"/>
  <c r="C111" i="109"/>
  <c r="D111" i="109"/>
  <c r="E111" i="109"/>
  <c r="B112" i="109"/>
  <c r="C112" i="109"/>
  <c r="D112" i="109"/>
  <c r="E112" i="109"/>
  <c r="F112" i="109"/>
  <c r="B116" i="109"/>
  <c r="C116" i="109"/>
  <c r="D116" i="109"/>
  <c r="E116" i="109"/>
  <c r="F116" i="109"/>
  <c r="C98" i="109"/>
  <c r="D98" i="109"/>
  <c r="E98" i="109"/>
  <c r="F98" i="109"/>
  <c r="B98" i="109"/>
  <c r="W44" i="117" l="1"/>
  <c r="X44" i="117" s="1"/>
  <c r="Y44" i="117" s="1"/>
  <c r="Z44" i="117" s="1"/>
  <c r="AA44" i="117" s="1"/>
  <c r="I43" i="117"/>
  <c r="H46" i="117"/>
  <c r="B25" i="118"/>
  <c r="C32" i="118" s="1"/>
  <c r="B52" i="109"/>
  <c r="C52" i="109"/>
  <c r="D52" i="109"/>
  <c r="E52" i="109"/>
  <c r="F52" i="109"/>
  <c r="B53" i="109"/>
  <c r="C53" i="109"/>
  <c r="D53" i="109"/>
  <c r="E53" i="109"/>
  <c r="F53" i="109"/>
  <c r="B54" i="109"/>
  <c r="C54" i="109"/>
  <c r="D54" i="109"/>
  <c r="E54" i="109"/>
  <c r="F54" i="109"/>
  <c r="B55" i="109"/>
  <c r="C55" i="109"/>
  <c r="D55" i="109"/>
  <c r="E55" i="109"/>
  <c r="F55" i="109"/>
  <c r="B56" i="109"/>
  <c r="C56" i="109"/>
  <c r="D56" i="109"/>
  <c r="E56" i="109"/>
  <c r="F56" i="109"/>
  <c r="B59" i="109"/>
  <c r="C59" i="109"/>
  <c r="D59" i="109"/>
  <c r="E59" i="109"/>
  <c r="F59" i="109"/>
  <c r="B64" i="109"/>
  <c r="C64" i="109"/>
  <c r="D64" i="109"/>
  <c r="E64" i="109"/>
  <c r="F64" i="109" s="1"/>
  <c r="B65" i="109"/>
  <c r="C65" i="109"/>
  <c r="D65" i="109"/>
  <c r="E65" i="109"/>
  <c r="F65" i="109"/>
  <c r="B69" i="109"/>
  <c r="C69" i="109"/>
  <c r="D69" i="109"/>
  <c r="E69" i="109"/>
  <c r="F69" i="109"/>
  <c r="B70" i="109"/>
  <c r="C70" i="109"/>
  <c r="D70" i="109"/>
  <c r="E70" i="109"/>
  <c r="F70" i="109"/>
  <c r="B73" i="109"/>
  <c r="C73" i="109"/>
  <c r="D73" i="109"/>
  <c r="E73" i="109"/>
  <c r="F73" i="109"/>
  <c r="B74" i="109"/>
  <c r="C74" i="109"/>
  <c r="D74" i="109"/>
  <c r="E74" i="109"/>
  <c r="F74" i="109"/>
  <c r="B75" i="109"/>
  <c r="C75" i="109"/>
  <c r="D75" i="109"/>
  <c r="E75" i="109"/>
  <c r="F75" i="109"/>
  <c r="B76" i="109"/>
  <c r="C76" i="109"/>
  <c r="D76" i="109"/>
  <c r="E76" i="109"/>
  <c r="F76" i="109"/>
  <c r="B77" i="109"/>
  <c r="C77" i="109"/>
  <c r="D77" i="109"/>
  <c r="E77" i="109"/>
  <c r="F77" i="109"/>
  <c r="B78" i="109"/>
  <c r="C78" i="109"/>
  <c r="D78" i="109"/>
  <c r="E78" i="109"/>
  <c r="F78" i="109"/>
  <c r="B79" i="109"/>
  <c r="C79" i="109"/>
  <c r="D79" i="109"/>
  <c r="E79" i="109"/>
  <c r="F79" i="109"/>
  <c r="B81" i="109"/>
  <c r="C81" i="109"/>
  <c r="D81" i="109"/>
  <c r="E81" i="109"/>
  <c r="F81" i="109"/>
  <c r="B82" i="109"/>
  <c r="C82" i="109"/>
  <c r="D82" i="109"/>
  <c r="E82" i="109"/>
  <c r="F82" i="109"/>
  <c r="B87" i="109"/>
  <c r="C87" i="109"/>
  <c r="D87" i="109"/>
  <c r="E87" i="109"/>
  <c r="F87" i="109"/>
  <c r="B88" i="109"/>
  <c r="C88" i="109"/>
  <c r="D88" i="109"/>
  <c r="E88" i="109"/>
  <c r="F88" i="109"/>
  <c r="B91" i="109"/>
  <c r="C91" i="109"/>
  <c r="D91" i="109"/>
  <c r="E91" i="109"/>
  <c r="F91" i="109"/>
  <c r="C51" i="109"/>
  <c r="D51" i="109"/>
  <c r="E51" i="109"/>
  <c r="F51" i="109"/>
  <c r="B51" i="109"/>
  <c r="D32" i="118" l="1"/>
  <c r="E32" i="118" s="1"/>
  <c r="F32" i="118" s="1"/>
  <c r="G32" i="118" s="1"/>
  <c r="J43" i="117"/>
  <c r="I46" i="117"/>
  <c r="H571" i="37"/>
  <c r="G571" i="37"/>
  <c r="E571" i="37"/>
  <c r="F571" i="37"/>
  <c r="D571" i="37"/>
  <c r="C39" i="109"/>
  <c r="D39" i="109"/>
  <c r="E39" i="109"/>
  <c r="F39" i="109"/>
  <c r="B39" i="109"/>
  <c r="D1" i="113"/>
  <c r="D2" i="113"/>
  <c r="E433" i="37"/>
  <c r="F433" i="37"/>
  <c r="G433" i="37"/>
  <c r="H433" i="37"/>
  <c r="D433" i="37"/>
  <c r="E387" i="37"/>
  <c r="F387" i="37"/>
  <c r="G387" i="37"/>
  <c r="H387" i="37"/>
  <c r="D387" i="37"/>
  <c r="E479" i="37"/>
  <c r="F479" i="37"/>
  <c r="G479" i="37"/>
  <c r="H479" i="37"/>
  <c r="D479" i="37"/>
  <c r="E341" i="37"/>
  <c r="F341" i="37"/>
  <c r="G341" i="37"/>
  <c r="H341" i="37"/>
  <c r="D341" i="37"/>
  <c r="E295" i="37"/>
  <c r="F295" i="37"/>
  <c r="G295" i="37"/>
  <c r="H295" i="37"/>
  <c r="D295" i="37"/>
  <c r="E57" i="37"/>
  <c r="F57" i="37"/>
  <c r="G57" i="37"/>
  <c r="H57" i="37"/>
  <c r="D57" i="37"/>
  <c r="M39" i="109"/>
  <c r="E149" i="37" s="1"/>
  <c r="N39" i="109"/>
  <c r="F149" i="37" s="1"/>
  <c r="O39" i="109"/>
  <c r="G149" i="37" s="1"/>
  <c r="P39" i="109"/>
  <c r="H149" i="37" s="1"/>
  <c r="L39" i="109"/>
  <c r="H32" i="118" l="1"/>
  <c r="I32" i="118" s="1"/>
  <c r="J32" i="118" s="1"/>
  <c r="K32" i="118" s="1"/>
  <c r="L32" i="118" s="1"/>
  <c r="K43" i="117"/>
  <c r="J46" i="117"/>
  <c r="M32" i="118"/>
  <c r="N32" i="118" s="1"/>
  <c r="O32" i="118" s="1"/>
  <c r="P32" i="118" s="1"/>
  <c r="Q32" i="118" s="1"/>
  <c r="G103" i="37"/>
  <c r="D149" i="37"/>
  <c r="D103" i="37"/>
  <c r="E103" i="37"/>
  <c r="H103" i="37"/>
  <c r="F103" i="37"/>
  <c r="L13" i="109"/>
  <c r="D620" i="37"/>
  <c r="E620" i="37"/>
  <c r="F620" i="37"/>
  <c r="G620" i="37"/>
  <c r="H620" i="37"/>
  <c r="L43" i="117" l="1"/>
  <c r="K46" i="117"/>
  <c r="R32" i="118"/>
  <c r="S32" i="118" s="1"/>
  <c r="T32" i="118" s="1"/>
  <c r="U32" i="118" s="1"/>
  <c r="V32" i="118" s="1"/>
  <c r="D31" i="37"/>
  <c r="D123" i="37"/>
  <c r="D77" i="37"/>
  <c r="M43" i="117" l="1"/>
  <c r="L46" i="117"/>
  <c r="W32" i="118"/>
  <c r="X32" i="118" s="1"/>
  <c r="Y32" i="118" s="1"/>
  <c r="Z32" i="118" s="1"/>
  <c r="AA32" i="118" s="1"/>
  <c r="S22" i="88"/>
  <c r="T22" i="88"/>
  <c r="U22" i="88"/>
  <c r="V22" i="88"/>
  <c r="R22" i="88"/>
  <c r="K22" i="88"/>
  <c r="L22" i="88"/>
  <c r="M22" i="88"/>
  <c r="N22" i="88"/>
  <c r="J22" i="88"/>
  <c r="C22" i="88"/>
  <c r="D22" i="88"/>
  <c r="E22" i="88"/>
  <c r="F22" i="88"/>
  <c r="B22" i="88"/>
  <c r="V27" i="88"/>
  <c r="U27" i="88"/>
  <c r="T27" i="88"/>
  <c r="S27" i="88"/>
  <c r="R27" i="88"/>
  <c r="C27" i="88"/>
  <c r="D27" i="88"/>
  <c r="E27" i="88"/>
  <c r="F27" i="88"/>
  <c r="B27" i="88"/>
  <c r="N27" i="88"/>
  <c r="M27" i="88"/>
  <c r="L27" i="88"/>
  <c r="K27" i="88"/>
  <c r="J27" i="88"/>
  <c r="S18" i="88"/>
  <c r="T18" i="88"/>
  <c r="U18" i="88"/>
  <c r="V18" i="88"/>
  <c r="R18" i="88"/>
  <c r="M46" i="117" l="1"/>
  <c r="N43" i="117"/>
  <c r="H436" i="37"/>
  <c r="G436" i="37"/>
  <c r="F436" i="37"/>
  <c r="E436" i="37"/>
  <c r="D436" i="37"/>
  <c r="H425" i="37"/>
  <c r="G425" i="37"/>
  <c r="F425" i="37"/>
  <c r="E425" i="37"/>
  <c r="D425" i="37"/>
  <c r="H390" i="37"/>
  <c r="G390" i="37"/>
  <c r="F390" i="37"/>
  <c r="E390" i="37"/>
  <c r="D390" i="37"/>
  <c r="H379" i="37"/>
  <c r="G379" i="37"/>
  <c r="F379" i="37"/>
  <c r="E379" i="37"/>
  <c r="D379" i="37"/>
  <c r="H344" i="37"/>
  <c r="G344" i="37"/>
  <c r="F344" i="37"/>
  <c r="E344" i="37"/>
  <c r="D344" i="37"/>
  <c r="H333" i="37"/>
  <c r="G333" i="37"/>
  <c r="F333" i="37"/>
  <c r="E333" i="37"/>
  <c r="D333" i="37"/>
  <c r="H298" i="37"/>
  <c r="G298" i="37"/>
  <c r="F298" i="37"/>
  <c r="E298" i="37"/>
  <c r="D298" i="37"/>
  <c r="H574" i="37"/>
  <c r="G574" i="37"/>
  <c r="F574" i="37"/>
  <c r="E574" i="37"/>
  <c r="D574" i="37"/>
  <c r="H563" i="37"/>
  <c r="G563" i="37"/>
  <c r="F563" i="37"/>
  <c r="E563" i="37"/>
  <c r="D563" i="37"/>
  <c r="H528" i="37"/>
  <c r="G528" i="37"/>
  <c r="F528" i="37"/>
  <c r="E528" i="37"/>
  <c r="D528" i="37"/>
  <c r="D525" i="37"/>
  <c r="H520" i="37"/>
  <c r="N32" i="109"/>
  <c r="F613" i="37" s="1"/>
  <c r="H517" i="37"/>
  <c r="G517" i="37"/>
  <c r="F517" i="37"/>
  <c r="E517" i="37"/>
  <c r="D517" i="37"/>
  <c r="M26" i="109"/>
  <c r="E607" i="37" s="1"/>
  <c r="N26" i="109"/>
  <c r="F607" i="37" s="1"/>
  <c r="O26" i="109"/>
  <c r="G607" i="37" s="1"/>
  <c r="P26" i="109"/>
  <c r="L26" i="109"/>
  <c r="D607" i="37" s="1"/>
  <c r="D481" i="37"/>
  <c r="E481" i="37"/>
  <c r="F481" i="37"/>
  <c r="G481" i="37"/>
  <c r="H481" i="37"/>
  <c r="H484" i="37"/>
  <c r="G484" i="37"/>
  <c r="F484" i="37"/>
  <c r="E484" i="37"/>
  <c r="D484" i="37"/>
  <c r="H482" i="37"/>
  <c r="G482" i="37"/>
  <c r="F482" i="37"/>
  <c r="E482" i="37"/>
  <c r="D482" i="37"/>
  <c r="H471" i="37"/>
  <c r="G471" i="37"/>
  <c r="F471" i="37"/>
  <c r="E471" i="37"/>
  <c r="D471" i="37"/>
  <c r="E466" i="37"/>
  <c r="F466" i="37"/>
  <c r="G466" i="37"/>
  <c r="H466" i="37"/>
  <c r="D466" i="37"/>
  <c r="H607" i="37" l="1"/>
  <c r="O43" i="117"/>
  <c r="N46" i="117"/>
  <c r="L30" i="109"/>
  <c r="D611" i="37" s="1"/>
  <c r="P40" i="109"/>
  <c r="N30" i="109"/>
  <c r="P32" i="109"/>
  <c r="D623" i="37"/>
  <c r="N44" i="109"/>
  <c r="F625" i="37" s="1"/>
  <c r="N34" i="109"/>
  <c r="M32" i="109"/>
  <c r="O40" i="109"/>
  <c r="M44" i="109"/>
  <c r="E625" i="37" s="1"/>
  <c r="H623" i="37"/>
  <c r="G612" i="37"/>
  <c r="L40" i="109"/>
  <c r="D621" i="37" s="1"/>
  <c r="L44" i="109"/>
  <c r="P30" i="109"/>
  <c r="M34" i="109"/>
  <c r="G152" i="37"/>
  <c r="E136" i="37"/>
  <c r="E90" i="37"/>
  <c r="E606" i="37"/>
  <c r="F142" i="37"/>
  <c r="F96" i="37"/>
  <c r="F606" i="37"/>
  <c r="G606" i="37"/>
  <c r="F136" i="37"/>
  <c r="F90" i="37"/>
  <c r="H606" i="37"/>
  <c r="D606" i="37"/>
  <c r="D612" i="37"/>
  <c r="D141" i="37"/>
  <c r="D95" i="37"/>
  <c r="H136" i="37"/>
  <c r="H90" i="37"/>
  <c r="G136" i="37"/>
  <c r="G90" i="37"/>
  <c r="L32" i="109"/>
  <c r="D613" i="37" s="1"/>
  <c r="N40" i="109"/>
  <c r="F621" i="37" s="1"/>
  <c r="M30" i="109"/>
  <c r="E611" i="37" s="1"/>
  <c r="O32" i="109"/>
  <c r="G613" i="37" s="1"/>
  <c r="O44" i="109"/>
  <c r="G625" i="37" s="1"/>
  <c r="P34" i="109"/>
  <c r="D3" i="113"/>
  <c r="L34" i="109"/>
  <c r="D615" i="37" s="1"/>
  <c r="O30" i="109"/>
  <c r="G611" i="37" s="1"/>
  <c r="P44" i="109"/>
  <c r="O34" i="109"/>
  <c r="G615" i="37" s="1"/>
  <c r="M40" i="109"/>
  <c r="E621" i="37" s="1"/>
  <c r="P13" i="109"/>
  <c r="O13" i="109"/>
  <c r="N13" i="109"/>
  <c r="M13" i="109"/>
  <c r="D594" i="37"/>
  <c r="H625" i="37" l="1"/>
  <c r="H621" i="37"/>
  <c r="H615" i="37"/>
  <c r="E142" i="37"/>
  <c r="E613" i="37"/>
  <c r="H611" i="37"/>
  <c r="D108" i="37"/>
  <c r="D625" i="37"/>
  <c r="H96" i="37"/>
  <c r="H613" i="37"/>
  <c r="F140" i="37"/>
  <c r="F611" i="37"/>
  <c r="F144" i="37"/>
  <c r="F615" i="37"/>
  <c r="E98" i="37"/>
  <c r="E615" i="37"/>
  <c r="G104" i="37"/>
  <c r="G621" i="37"/>
  <c r="D94" i="37"/>
  <c r="D140" i="37"/>
  <c r="P43" i="117"/>
  <c r="O46" i="117"/>
  <c r="H142" i="37"/>
  <c r="F94" i="37"/>
  <c r="F154" i="37"/>
  <c r="D106" i="37"/>
  <c r="D152" i="37"/>
  <c r="F108" i="37"/>
  <c r="H104" i="37"/>
  <c r="H150" i="37"/>
  <c r="F98" i="37"/>
  <c r="D104" i="37"/>
  <c r="D150" i="37"/>
  <c r="G150" i="37"/>
  <c r="H106" i="37"/>
  <c r="H152" i="37"/>
  <c r="E154" i="37"/>
  <c r="E108" i="37"/>
  <c r="G623" i="37"/>
  <c r="G95" i="37"/>
  <c r="G141" i="37"/>
  <c r="E96" i="37"/>
  <c r="G106" i="37"/>
  <c r="E144" i="37"/>
  <c r="D154" i="37"/>
  <c r="H140" i="37"/>
  <c r="F150" i="37"/>
  <c r="F104" i="37"/>
  <c r="E140" i="37"/>
  <c r="E94" i="37"/>
  <c r="E612" i="37"/>
  <c r="E141" i="37"/>
  <c r="E95" i="37"/>
  <c r="E623" i="37"/>
  <c r="E152" i="37"/>
  <c r="E106" i="37"/>
  <c r="H594" i="37"/>
  <c r="H123" i="37"/>
  <c r="H77" i="37"/>
  <c r="H612" i="37"/>
  <c r="H141" i="37"/>
  <c r="H95" i="37"/>
  <c r="F594" i="37"/>
  <c r="F123" i="37"/>
  <c r="F77" i="37"/>
  <c r="E150" i="37"/>
  <c r="E104" i="37"/>
  <c r="G144" i="37"/>
  <c r="G98" i="37"/>
  <c r="G594" i="37"/>
  <c r="G123" i="37"/>
  <c r="G77" i="37"/>
  <c r="H144" i="37"/>
  <c r="H98" i="37"/>
  <c r="F623" i="37"/>
  <c r="F152" i="37"/>
  <c r="F106" i="37"/>
  <c r="F612" i="37"/>
  <c r="F141" i="37"/>
  <c r="F95" i="37"/>
  <c r="H154" i="37"/>
  <c r="H108" i="37"/>
  <c r="G140" i="37"/>
  <c r="G94" i="37"/>
  <c r="H94" i="37" s="1"/>
  <c r="D136" i="37"/>
  <c r="D90" i="37"/>
  <c r="E594" i="37"/>
  <c r="E123" i="37"/>
  <c r="E77" i="37"/>
  <c r="G142" i="37"/>
  <c r="G96" i="37"/>
  <c r="D142" i="37"/>
  <c r="D96" i="37"/>
  <c r="D144" i="37"/>
  <c r="D98" i="37"/>
  <c r="G154" i="37"/>
  <c r="G108" i="37"/>
  <c r="B20" i="105"/>
  <c r="Q43" i="117" l="1"/>
  <c r="P46" i="117"/>
  <c r="F44" i="109"/>
  <c r="H62" i="37" s="1"/>
  <c r="E44" i="109"/>
  <c r="G62" i="37" s="1"/>
  <c r="D44" i="109"/>
  <c r="F62" i="37" s="1"/>
  <c r="C44" i="109"/>
  <c r="E62" i="37" s="1"/>
  <c r="B44" i="109"/>
  <c r="D62" i="37" s="1"/>
  <c r="H60" i="37"/>
  <c r="G60" i="37"/>
  <c r="F60" i="37"/>
  <c r="E60" i="37"/>
  <c r="D60" i="37"/>
  <c r="H58" i="37"/>
  <c r="E40" i="109"/>
  <c r="G58" i="37" s="1"/>
  <c r="D40" i="109"/>
  <c r="F58" i="37" s="1"/>
  <c r="C40" i="109"/>
  <c r="E58" i="37" s="1"/>
  <c r="B40" i="109"/>
  <c r="D58" i="37" s="1"/>
  <c r="F35" i="109"/>
  <c r="E35" i="109"/>
  <c r="D35" i="109"/>
  <c r="C35" i="109"/>
  <c r="B35" i="109"/>
  <c r="F34" i="109"/>
  <c r="H52" i="37" s="1"/>
  <c r="E34" i="109"/>
  <c r="G52" i="37" s="1"/>
  <c r="D34" i="109"/>
  <c r="F52" i="37" s="1"/>
  <c r="C34" i="109"/>
  <c r="E52" i="37" s="1"/>
  <c r="B34" i="109"/>
  <c r="D52" i="37" s="1"/>
  <c r="H50" i="37"/>
  <c r="G50" i="37"/>
  <c r="F50" i="37"/>
  <c r="E50" i="37"/>
  <c r="D50" i="37"/>
  <c r="F31" i="109"/>
  <c r="H49" i="37" s="1"/>
  <c r="E31" i="109"/>
  <c r="G49" i="37" s="1"/>
  <c r="D31" i="109"/>
  <c r="F49" i="37" s="1"/>
  <c r="C31" i="109"/>
  <c r="E49" i="37" s="1"/>
  <c r="B31" i="109"/>
  <c r="D49" i="37" s="1"/>
  <c r="E30" i="109"/>
  <c r="F30" i="109" s="1"/>
  <c r="H48" i="37" s="1"/>
  <c r="D30" i="109"/>
  <c r="F48" i="37" s="1"/>
  <c r="C30" i="109"/>
  <c r="E48" i="37" s="1"/>
  <c r="B30" i="109"/>
  <c r="D48" i="37" s="1"/>
  <c r="F29" i="109"/>
  <c r="E29" i="109"/>
  <c r="D29" i="109"/>
  <c r="C29" i="109"/>
  <c r="B29" i="109"/>
  <c r="F28" i="109"/>
  <c r="E28" i="109"/>
  <c r="D28" i="109"/>
  <c r="C28" i="109"/>
  <c r="B28" i="109"/>
  <c r="F27" i="109"/>
  <c r="E27" i="109"/>
  <c r="D27" i="109"/>
  <c r="C27" i="109"/>
  <c r="B27" i="109"/>
  <c r="F26" i="109"/>
  <c r="H44" i="37" s="1"/>
  <c r="E26" i="109"/>
  <c r="G44" i="37" s="1"/>
  <c r="D26" i="109"/>
  <c r="F44" i="37" s="1"/>
  <c r="C26" i="109"/>
  <c r="E44" i="37" s="1"/>
  <c r="B26" i="109"/>
  <c r="D44" i="37" s="1"/>
  <c r="E43" i="37"/>
  <c r="D43" i="37"/>
  <c r="F22" i="109"/>
  <c r="E22" i="109"/>
  <c r="D22" i="109"/>
  <c r="C22" i="109"/>
  <c r="B22" i="109"/>
  <c r="F18" i="109"/>
  <c r="E18" i="109"/>
  <c r="D18" i="109"/>
  <c r="C18" i="109"/>
  <c r="B18" i="109"/>
  <c r="E17" i="109"/>
  <c r="F17" i="109" s="1"/>
  <c r="D17" i="109"/>
  <c r="C17" i="109"/>
  <c r="B17" i="109"/>
  <c r="H31" i="37"/>
  <c r="G31" i="37"/>
  <c r="F31" i="37"/>
  <c r="E31" i="37"/>
  <c r="B11" i="109"/>
  <c r="F9" i="109"/>
  <c r="E9" i="109"/>
  <c r="D9" i="109"/>
  <c r="C9" i="109"/>
  <c r="B9" i="109"/>
  <c r="F7" i="109"/>
  <c r="E7" i="109"/>
  <c r="D7" i="109"/>
  <c r="C7" i="109"/>
  <c r="B7" i="109"/>
  <c r="F6" i="109"/>
  <c r="E6" i="109"/>
  <c r="D6" i="109"/>
  <c r="C6" i="109"/>
  <c r="B6" i="109"/>
  <c r="F5" i="109"/>
  <c r="E5" i="109"/>
  <c r="D5" i="109"/>
  <c r="C5" i="109"/>
  <c r="B5" i="109"/>
  <c r="F4" i="109"/>
  <c r="E4" i="109"/>
  <c r="D4" i="109"/>
  <c r="C4" i="109"/>
  <c r="B4" i="109"/>
  <c r="Q46" i="117" l="1"/>
  <c r="R43" i="117"/>
  <c r="G48" i="37"/>
  <c r="S43" i="117" l="1"/>
  <c r="R46" i="117"/>
  <c r="B17" i="105" a="1"/>
  <c r="T43" i="117" l="1"/>
  <c r="S46" i="117"/>
  <c r="O5" i="106"/>
  <c r="P5" i="106"/>
  <c r="P2" i="106"/>
  <c r="W4" i="106" s="1"/>
  <c r="W5" i="106" s="1"/>
  <c r="W6" i="106" s="1"/>
  <c r="W7" i="106" s="1"/>
  <c r="W8" i="106" s="1"/>
  <c r="B19" i="105"/>
  <c r="B18" i="105"/>
  <c r="B17" i="105"/>
  <c r="U43" i="117" l="1"/>
  <c r="T46" i="117"/>
  <c r="C38" i="126"/>
  <c r="C39" i="126" s="1"/>
  <c r="C41" i="126" s="1"/>
  <c r="V43" i="117" l="1"/>
  <c r="U46" i="117"/>
  <c r="D38" i="126"/>
  <c r="D39" i="126" s="1"/>
  <c r="D41" i="126" s="1"/>
  <c r="V46" i="117" l="1"/>
  <c r="W43" i="117"/>
  <c r="E38" i="126"/>
  <c r="E39" i="126" s="1"/>
  <c r="E41" i="126" s="1"/>
  <c r="X43" i="117" l="1"/>
  <c r="W46" i="117"/>
  <c r="F38" i="126"/>
  <c r="F39" i="126" s="1"/>
  <c r="F41" i="126" s="1"/>
  <c r="Y43" i="117" l="1"/>
  <c r="X46" i="117"/>
  <c r="G38" i="126"/>
  <c r="G39" i="126" s="1"/>
  <c r="G41" i="126" s="1"/>
  <c r="Z43" i="117" l="1"/>
  <c r="Y46" i="117"/>
  <c r="H38" i="126"/>
  <c r="H39" i="126" s="1"/>
  <c r="H41" i="126" s="1"/>
  <c r="C585" i="37"/>
  <c r="H536" i="37"/>
  <c r="G536" i="37"/>
  <c r="F536" i="37"/>
  <c r="E536" i="37"/>
  <c r="D536" i="37"/>
  <c r="H490" i="37"/>
  <c r="G490" i="37"/>
  <c r="F490" i="37"/>
  <c r="E490" i="37"/>
  <c r="D490" i="37"/>
  <c r="H444" i="37"/>
  <c r="G444" i="37"/>
  <c r="F444" i="37"/>
  <c r="E444" i="37"/>
  <c r="D444" i="37"/>
  <c r="H398" i="37"/>
  <c r="G398" i="37"/>
  <c r="F398" i="37"/>
  <c r="E398" i="37"/>
  <c r="D398" i="37"/>
  <c r="H352" i="37"/>
  <c r="G352" i="37"/>
  <c r="F352" i="37"/>
  <c r="E352" i="37"/>
  <c r="D352" i="37"/>
  <c r="H306" i="37"/>
  <c r="G306" i="37"/>
  <c r="F306" i="37"/>
  <c r="E306" i="37"/>
  <c r="D306" i="37"/>
  <c r="H260" i="37"/>
  <c r="G260" i="37"/>
  <c r="F260" i="37"/>
  <c r="E260" i="37"/>
  <c r="D260" i="37"/>
  <c r="C22" i="37"/>
  <c r="C68" i="37" s="1"/>
  <c r="C114" i="37" s="1"/>
  <c r="C260" i="37" s="1"/>
  <c r="M4" i="109" l="1"/>
  <c r="E68" i="37" s="1"/>
  <c r="O4" i="109"/>
  <c r="G22" i="37" s="1"/>
  <c r="P4" i="109"/>
  <c r="L4" i="109"/>
  <c r="D68" i="37" s="1"/>
  <c r="N4" i="109"/>
  <c r="F22" i="37" s="1"/>
  <c r="AA43" i="117"/>
  <c r="Z46" i="117"/>
  <c r="I38" i="126"/>
  <c r="I39" i="126" s="1"/>
  <c r="I41" i="126" s="1"/>
  <c r="C306" i="37"/>
  <c r="C352" i="37" s="1"/>
  <c r="C398" i="37" s="1"/>
  <c r="C444" i="37" s="1"/>
  <c r="C490" i="37" s="1"/>
  <c r="C536" i="37" s="1"/>
  <c r="H585" i="37" l="1"/>
  <c r="E585" i="37"/>
  <c r="E114" i="37"/>
  <c r="E22" i="37"/>
  <c r="G68" i="37"/>
  <c r="G114" i="37"/>
  <c r="G585" i="37"/>
  <c r="H22" i="37"/>
  <c r="H68" i="37"/>
  <c r="H114" i="37"/>
  <c r="F114" i="37"/>
  <c r="F68" i="37"/>
  <c r="F585" i="37"/>
  <c r="D585" i="37"/>
  <c r="D22" i="37"/>
  <c r="D114" i="37"/>
  <c r="AA46" i="117"/>
  <c r="J38" i="126"/>
  <c r="J39" i="126" s="1"/>
  <c r="J41" i="126" s="1"/>
  <c r="K38" i="126" l="1"/>
  <c r="K39" i="126" s="1"/>
  <c r="K41" i="126" s="1"/>
  <c r="L38" i="126" l="1"/>
  <c r="L39" i="126" s="1"/>
  <c r="L41" i="126" s="1"/>
  <c r="M38" i="126" l="1"/>
  <c r="M39" i="126" s="1"/>
  <c r="M41" i="126" s="1"/>
  <c r="N38" i="126" l="1"/>
  <c r="N39" i="126" s="1"/>
  <c r="N41" i="126" s="1"/>
  <c r="O38" i="126" l="1"/>
  <c r="O39" i="126" s="1"/>
  <c r="O41" i="126" s="1"/>
  <c r="P38" i="126" l="1"/>
  <c r="P39" i="126" s="1"/>
  <c r="P41" i="126" s="1"/>
  <c r="C21" i="37"/>
  <c r="Q38" i="126" l="1"/>
  <c r="Q39" i="126" s="1"/>
  <c r="Q41" i="126" s="1"/>
  <c r="H544" i="37"/>
  <c r="G544" i="37"/>
  <c r="F544" i="37"/>
  <c r="E544" i="37"/>
  <c r="D544" i="37"/>
  <c r="H498" i="37"/>
  <c r="G498" i="37"/>
  <c r="F498" i="37"/>
  <c r="E498" i="37"/>
  <c r="D498" i="37"/>
  <c r="H406" i="37"/>
  <c r="G406" i="37"/>
  <c r="F406" i="37"/>
  <c r="E406" i="37"/>
  <c r="D406" i="37"/>
  <c r="H314" i="37"/>
  <c r="G314" i="37"/>
  <c r="F314" i="37"/>
  <c r="E314" i="37"/>
  <c r="D314" i="37"/>
  <c r="H268" i="37"/>
  <c r="G268" i="37"/>
  <c r="F268" i="37"/>
  <c r="E268" i="37"/>
  <c r="D268" i="37"/>
  <c r="H360" i="37"/>
  <c r="G360" i="37"/>
  <c r="F360" i="37"/>
  <c r="E360" i="37"/>
  <c r="D360" i="37"/>
  <c r="R38" i="126" l="1"/>
  <c r="R39" i="126" s="1"/>
  <c r="R41" i="126" s="1"/>
  <c r="N12" i="109"/>
  <c r="M12" i="109"/>
  <c r="O12" i="109"/>
  <c r="P12" i="109"/>
  <c r="L12" i="109"/>
  <c r="H543" i="37"/>
  <c r="H451" i="37"/>
  <c r="G451" i="37"/>
  <c r="G543" i="37" s="1"/>
  <c r="F451" i="37"/>
  <c r="F543" i="37" s="1"/>
  <c r="E451" i="37"/>
  <c r="E543" i="37" s="1"/>
  <c r="D451" i="37"/>
  <c r="D543" i="37" s="1"/>
  <c r="H497" i="37"/>
  <c r="H405" i="37"/>
  <c r="H359" i="37"/>
  <c r="H313" i="37"/>
  <c r="H267" i="37"/>
  <c r="H265" i="37"/>
  <c r="G265" i="37"/>
  <c r="F265" i="37"/>
  <c r="E265" i="37"/>
  <c r="H541" i="37"/>
  <c r="G541" i="37"/>
  <c r="F541" i="37"/>
  <c r="E541" i="37"/>
  <c r="D541" i="37"/>
  <c r="H495" i="37"/>
  <c r="G495" i="37"/>
  <c r="F495" i="37"/>
  <c r="E495" i="37"/>
  <c r="D495" i="37"/>
  <c r="H403" i="37"/>
  <c r="G403" i="37"/>
  <c r="F403" i="37"/>
  <c r="E403" i="37"/>
  <c r="D403" i="37"/>
  <c r="I311" i="37"/>
  <c r="I357" i="37" s="1"/>
  <c r="I403" i="37" s="1"/>
  <c r="I449" i="37" s="1"/>
  <c r="I495" i="37" s="1"/>
  <c r="I541" i="37" s="1"/>
  <c r="D265" i="37"/>
  <c r="H540" i="37"/>
  <c r="G540" i="37"/>
  <c r="F540" i="37"/>
  <c r="E540" i="37"/>
  <c r="D540" i="37"/>
  <c r="H494" i="37"/>
  <c r="G494" i="37"/>
  <c r="F494" i="37"/>
  <c r="E494" i="37"/>
  <c r="D494" i="37"/>
  <c r="H402" i="37"/>
  <c r="G402" i="37"/>
  <c r="F402" i="37"/>
  <c r="E402" i="37"/>
  <c r="D402" i="37"/>
  <c r="I310" i="37"/>
  <c r="I356" i="37" s="1"/>
  <c r="I402" i="37" s="1"/>
  <c r="I448" i="37" s="1"/>
  <c r="I494" i="37" s="1"/>
  <c r="I540" i="37" s="1"/>
  <c r="H310" i="37"/>
  <c r="G310" i="37"/>
  <c r="F310" i="37"/>
  <c r="E310" i="37"/>
  <c r="D310" i="37"/>
  <c r="H264" i="37"/>
  <c r="G264" i="37"/>
  <c r="F264" i="37"/>
  <c r="E264" i="37"/>
  <c r="D264" i="37"/>
  <c r="S38" i="126" l="1"/>
  <c r="S39" i="126" s="1"/>
  <c r="S41" i="126" s="1"/>
  <c r="D122" i="37"/>
  <c r="D76" i="37"/>
  <c r="H122" i="37"/>
  <c r="H76" i="37"/>
  <c r="G122" i="37"/>
  <c r="G76" i="37"/>
  <c r="E593" i="37"/>
  <c r="E122" i="37"/>
  <c r="E76" i="37"/>
  <c r="F593" i="37"/>
  <c r="F122" i="37"/>
  <c r="F76" i="37"/>
  <c r="F30" i="37"/>
  <c r="P8" i="109"/>
  <c r="H26" i="37" s="1"/>
  <c r="E30" i="37"/>
  <c r="L8" i="109"/>
  <c r="D26" i="37" s="1"/>
  <c r="N9" i="109"/>
  <c r="O9" i="109"/>
  <c r="M9" i="109"/>
  <c r="P9" i="109"/>
  <c r="D593" i="37"/>
  <c r="D30" i="37"/>
  <c r="P11" i="109"/>
  <c r="M8" i="109"/>
  <c r="H593" i="37"/>
  <c r="H30" i="37"/>
  <c r="N8" i="109"/>
  <c r="L9" i="109"/>
  <c r="O8" i="109"/>
  <c r="G593" i="37"/>
  <c r="G30" i="37"/>
  <c r="T38" i="126" l="1"/>
  <c r="T39" i="126" s="1"/>
  <c r="T41" i="126" s="1"/>
  <c r="E118" i="37"/>
  <c r="E72" i="37"/>
  <c r="H121" i="37"/>
  <c r="H75" i="37"/>
  <c r="G119" i="37"/>
  <c r="G73" i="37"/>
  <c r="G118" i="37"/>
  <c r="G72" i="37"/>
  <c r="F119" i="37"/>
  <c r="F73" i="37"/>
  <c r="H119" i="37"/>
  <c r="H73" i="37"/>
  <c r="E119" i="37"/>
  <c r="E73" i="37"/>
  <c r="D119" i="37"/>
  <c r="D73" i="37"/>
  <c r="D589" i="37"/>
  <c r="D118" i="37"/>
  <c r="D72" i="37"/>
  <c r="F118" i="37"/>
  <c r="F72" i="37"/>
  <c r="H589" i="37"/>
  <c r="H118" i="37"/>
  <c r="H72" i="37"/>
  <c r="H592" i="37"/>
  <c r="H29" i="37"/>
  <c r="H590" i="37"/>
  <c r="H27" i="37"/>
  <c r="E590" i="37"/>
  <c r="E27" i="37"/>
  <c r="G589" i="37"/>
  <c r="G26" i="37"/>
  <c r="D590" i="37"/>
  <c r="D27" i="37"/>
  <c r="F589" i="37"/>
  <c r="F26" i="37"/>
  <c r="G590" i="37"/>
  <c r="G27" i="37"/>
  <c r="E589" i="37"/>
  <c r="E26" i="37"/>
  <c r="F590" i="37"/>
  <c r="F27" i="37"/>
  <c r="U38" i="126" l="1"/>
  <c r="U39" i="126" s="1"/>
  <c r="U41" i="126" s="1"/>
  <c r="H573" i="37"/>
  <c r="G573" i="37"/>
  <c r="F573" i="37"/>
  <c r="E573" i="37"/>
  <c r="D573" i="37"/>
  <c r="D537" i="37"/>
  <c r="E537" i="37"/>
  <c r="F537" i="37"/>
  <c r="G537" i="37"/>
  <c r="H537" i="37"/>
  <c r="D538" i="37"/>
  <c r="E538" i="37"/>
  <c r="F538" i="37"/>
  <c r="G538" i="37"/>
  <c r="H538" i="37"/>
  <c r="D539" i="37"/>
  <c r="E539" i="37"/>
  <c r="F539" i="37"/>
  <c r="G539" i="37"/>
  <c r="H539" i="37"/>
  <c r="D549" i="37"/>
  <c r="E549" i="37"/>
  <c r="F549" i="37"/>
  <c r="G549" i="37"/>
  <c r="H549" i="37"/>
  <c r="D550" i="37"/>
  <c r="E550" i="37"/>
  <c r="F550" i="37"/>
  <c r="G550" i="37"/>
  <c r="H550" i="37"/>
  <c r="D554" i="37"/>
  <c r="E554" i="37"/>
  <c r="F554" i="37"/>
  <c r="G554" i="37"/>
  <c r="H554" i="37"/>
  <c r="D559" i="37"/>
  <c r="E559" i="37"/>
  <c r="F559" i="37"/>
  <c r="G559" i="37"/>
  <c r="H559" i="37"/>
  <c r="D560" i="37"/>
  <c r="E560" i="37"/>
  <c r="F560" i="37"/>
  <c r="G560" i="37"/>
  <c r="H560" i="37"/>
  <c r="D561" i="37"/>
  <c r="E561" i="37"/>
  <c r="F561" i="37"/>
  <c r="G561" i="37"/>
  <c r="H561" i="37"/>
  <c r="D567" i="37"/>
  <c r="E567" i="37"/>
  <c r="F567" i="37"/>
  <c r="G567" i="37"/>
  <c r="H567" i="37"/>
  <c r="D491" i="37"/>
  <c r="E491" i="37"/>
  <c r="F491" i="37"/>
  <c r="G491" i="37"/>
  <c r="H491" i="37"/>
  <c r="D492" i="37"/>
  <c r="E492" i="37"/>
  <c r="F492" i="37"/>
  <c r="G492" i="37"/>
  <c r="H492" i="37"/>
  <c r="D493" i="37"/>
  <c r="E493" i="37"/>
  <c r="F493" i="37"/>
  <c r="G493" i="37"/>
  <c r="H493" i="37"/>
  <c r="D497" i="37"/>
  <c r="E497" i="37"/>
  <c r="F497" i="37"/>
  <c r="G497" i="37"/>
  <c r="D503" i="37"/>
  <c r="E503" i="37"/>
  <c r="F503" i="37"/>
  <c r="G503" i="37"/>
  <c r="H503" i="37"/>
  <c r="D504" i="37"/>
  <c r="E504" i="37"/>
  <c r="F504" i="37"/>
  <c r="G504" i="37"/>
  <c r="H504" i="37"/>
  <c r="D508" i="37"/>
  <c r="E508" i="37"/>
  <c r="F508" i="37"/>
  <c r="G508" i="37"/>
  <c r="H508" i="37"/>
  <c r="D513" i="37"/>
  <c r="E513" i="37"/>
  <c r="F513" i="37"/>
  <c r="G513" i="37"/>
  <c r="H513" i="37"/>
  <c r="D514" i="37"/>
  <c r="E514" i="37"/>
  <c r="F514" i="37"/>
  <c r="G514" i="37"/>
  <c r="H514" i="37"/>
  <c r="D515" i="37"/>
  <c r="E515" i="37"/>
  <c r="F515" i="37"/>
  <c r="G515" i="37"/>
  <c r="H515" i="37"/>
  <c r="D521" i="37"/>
  <c r="E521" i="37"/>
  <c r="F521" i="37"/>
  <c r="G521" i="37"/>
  <c r="H521" i="37"/>
  <c r="D527" i="37"/>
  <c r="E527" i="37"/>
  <c r="F527" i="37"/>
  <c r="G527" i="37"/>
  <c r="H527" i="37"/>
  <c r="D445" i="37"/>
  <c r="E445" i="37"/>
  <c r="F445" i="37"/>
  <c r="G445" i="37"/>
  <c r="H445" i="37"/>
  <c r="D446" i="37"/>
  <c r="E446" i="37"/>
  <c r="F446" i="37"/>
  <c r="G446" i="37"/>
  <c r="H446" i="37"/>
  <c r="D447" i="37"/>
  <c r="E447" i="37"/>
  <c r="F447" i="37"/>
  <c r="G447" i="37"/>
  <c r="H447" i="37"/>
  <c r="D448" i="37"/>
  <c r="E448" i="37"/>
  <c r="F448" i="37"/>
  <c r="G448" i="37"/>
  <c r="H448" i="37"/>
  <c r="D457" i="37"/>
  <c r="E457" i="37"/>
  <c r="F457" i="37"/>
  <c r="G457" i="37"/>
  <c r="H457" i="37"/>
  <c r="D458" i="37"/>
  <c r="E458" i="37"/>
  <c r="F458" i="37"/>
  <c r="G458" i="37"/>
  <c r="H458" i="37"/>
  <c r="D462" i="37"/>
  <c r="E462" i="37"/>
  <c r="F462" i="37"/>
  <c r="G462" i="37"/>
  <c r="H462" i="37"/>
  <c r="D467" i="37"/>
  <c r="E467" i="37"/>
  <c r="F467" i="37"/>
  <c r="G467" i="37"/>
  <c r="H467" i="37"/>
  <c r="D468" i="37"/>
  <c r="E468" i="37"/>
  <c r="F468" i="37"/>
  <c r="G468" i="37"/>
  <c r="H468" i="37"/>
  <c r="D469" i="37"/>
  <c r="E469" i="37"/>
  <c r="F469" i="37"/>
  <c r="G469" i="37"/>
  <c r="H469" i="37"/>
  <c r="D475" i="37"/>
  <c r="E475" i="37"/>
  <c r="F475" i="37"/>
  <c r="G475" i="37"/>
  <c r="H475" i="37"/>
  <c r="D399" i="37"/>
  <c r="E399" i="37"/>
  <c r="F399" i="37"/>
  <c r="G399" i="37"/>
  <c r="H399" i="37"/>
  <c r="D400" i="37"/>
  <c r="E400" i="37"/>
  <c r="F400" i="37"/>
  <c r="G400" i="37"/>
  <c r="H400" i="37"/>
  <c r="D401" i="37"/>
  <c r="E401" i="37"/>
  <c r="F401" i="37"/>
  <c r="G401" i="37"/>
  <c r="H401" i="37"/>
  <c r="D405" i="37"/>
  <c r="E405" i="37"/>
  <c r="F405" i="37"/>
  <c r="G405" i="37"/>
  <c r="D411" i="37"/>
  <c r="E411" i="37"/>
  <c r="F411" i="37"/>
  <c r="G411" i="37"/>
  <c r="H411" i="37"/>
  <c r="D412" i="37"/>
  <c r="E412" i="37"/>
  <c r="F412" i="37"/>
  <c r="G412" i="37"/>
  <c r="H412" i="37"/>
  <c r="D416" i="37"/>
  <c r="E416" i="37"/>
  <c r="F416" i="37"/>
  <c r="G416" i="37"/>
  <c r="H416" i="37"/>
  <c r="D421" i="37"/>
  <c r="E421" i="37"/>
  <c r="F421" i="37"/>
  <c r="G421" i="37"/>
  <c r="H421" i="37"/>
  <c r="D422" i="37"/>
  <c r="E422" i="37"/>
  <c r="F422" i="37"/>
  <c r="G422" i="37"/>
  <c r="H422" i="37"/>
  <c r="D423" i="37"/>
  <c r="E423" i="37"/>
  <c r="F423" i="37"/>
  <c r="G423" i="37"/>
  <c r="H423" i="37"/>
  <c r="D429" i="37"/>
  <c r="E429" i="37"/>
  <c r="F429" i="37"/>
  <c r="G429" i="37"/>
  <c r="H429" i="37"/>
  <c r="D435" i="37"/>
  <c r="E435" i="37"/>
  <c r="F435" i="37"/>
  <c r="G435" i="37"/>
  <c r="H435" i="37"/>
  <c r="V38" i="126" l="1"/>
  <c r="V39" i="126" s="1"/>
  <c r="V41" i="126" s="1"/>
  <c r="D353" i="37"/>
  <c r="E353" i="37"/>
  <c r="F353" i="37"/>
  <c r="G353" i="37"/>
  <c r="H353" i="37"/>
  <c r="D354" i="37"/>
  <c r="E354" i="37"/>
  <c r="F354" i="37"/>
  <c r="G354" i="37"/>
  <c r="H354" i="37"/>
  <c r="D355" i="37"/>
  <c r="E355" i="37"/>
  <c r="F355" i="37"/>
  <c r="G355" i="37"/>
  <c r="H355" i="37"/>
  <c r="D359" i="37"/>
  <c r="E359" i="37"/>
  <c r="F359" i="37"/>
  <c r="G359" i="37"/>
  <c r="D365" i="37"/>
  <c r="E365" i="37"/>
  <c r="F365" i="37"/>
  <c r="G365" i="37"/>
  <c r="H365" i="37"/>
  <c r="D366" i="37"/>
  <c r="E366" i="37"/>
  <c r="F366" i="37"/>
  <c r="G366" i="37"/>
  <c r="H366" i="37"/>
  <c r="D370" i="37"/>
  <c r="E370" i="37"/>
  <c r="F370" i="37"/>
  <c r="G370" i="37"/>
  <c r="H370" i="37"/>
  <c r="D375" i="37"/>
  <c r="E375" i="37"/>
  <c r="F375" i="37"/>
  <c r="G375" i="37"/>
  <c r="H375" i="37"/>
  <c r="D376" i="37"/>
  <c r="E376" i="37"/>
  <c r="F376" i="37"/>
  <c r="G376" i="37"/>
  <c r="H376" i="37"/>
  <c r="D377" i="37"/>
  <c r="E377" i="37"/>
  <c r="F377" i="37"/>
  <c r="G377" i="37"/>
  <c r="H377" i="37"/>
  <c r="D383" i="37"/>
  <c r="E383" i="37"/>
  <c r="F383" i="37"/>
  <c r="G383" i="37"/>
  <c r="H383" i="37"/>
  <c r="D389" i="37"/>
  <c r="E389" i="37"/>
  <c r="F389" i="37"/>
  <c r="G389" i="37"/>
  <c r="H389" i="37"/>
  <c r="D307" i="37"/>
  <c r="E307" i="37"/>
  <c r="F307" i="37"/>
  <c r="G307" i="37"/>
  <c r="H307" i="37"/>
  <c r="D308" i="37"/>
  <c r="E308" i="37"/>
  <c r="F308" i="37"/>
  <c r="G308" i="37"/>
  <c r="H308" i="37"/>
  <c r="D309" i="37"/>
  <c r="E309" i="37"/>
  <c r="F309" i="37"/>
  <c r="G309" i="37"/>
  <c r="H309" i="37"/>
  <c r="D313" i="37"/>
  <c r="E313" i="37"/>
  <c r="F313" i="37"/>
  <c r="G313" i="37"/>
  <c r="D319" i="37"/>
  <c r="E319" i="37"/>
  <c r="F319" i="37"/>
  <c r="G319" i="37"/>
  <c r="H319" i="37"/>
  <c r="D320" i="37"/>
  <c r="E320" i="37"/>
  <c r="F320" i="37"/>
  <c r="G320" i="37"/>
  <c r="H320" i="37"/>
  <c r="D324" i="37"/>
  <c r="E324" i="37"/>
  <c r="F324" i="37"/>
  <c r="G324" i="37"/>
  <c r="H324" i="37"/>
  <c r="D329" i="37"/>
  <c r="E329" i="37"/>
  <c r="F329" i="37"/>
  <c r="G329" i="37"/>
  <c r="H329" i="37"/>
  <c r="D330" i="37"/>
  <c r="E330" i="37"/>
  <c r="F330" i="37"/>
  <c r="G330" i="37"/>
  <c r="H330" i="37"/>
  <c r="D331" i="37"/>
  <c r="E331" i="37"/>
  <c r="F331" i="37"/>
  <c r="G331" i="37"/>
  <c r="H331" i="37"/>
  <c r="D337" i="37"/>
  <c r="E337" i="37"/>
  <c r="F337" i="37"/>
  <c r="G337" i="37"/>
  <c r="H337" i="37"/>
  <c r="D343" i="37"/>
  <c r="E343" i="37"/>
  <c r="F343" i="37"/>
  <c r="G343" i="37"/>
  <c r="H343" i="37"/>
  <c r="D261" i="37"/>
  <c r="E261" i="37"/>
  <c r="F261" i="37"/>
  <c r="G261" i="37"/>
  <c r="H261" i="37"/>
  <c r="P5" i="109" s="1"/>
  <c r="D262" i="37"/>
  <c r="E262" i="37"/>
  <c r="F262" i="37"/>
  <c r="G262" i="37"/>
  <c r="H262" i="37"/>
  <c r="D263" i="37"/>
  <c r="E263" i="37"/>
  <c r="F263" i="37"/>
  <c r="G263" i="37"/>
  <c r="H263" i="37"/>
  <c r="D267" i="37"/>
  <c r="E267" i="37"/>
  <c r="F267" i="37"/>
  <c r="G267" i="37"/>
  <c r="D273" i="37"/>
  <c r="E273" i="37"/>
  <c r="F273" i="37"/>
  <c r="G273" i="37"/>
  <c r="H273" i="37"/>
  <c r="D274" i="37"/>
  <c r="E274" i="37"/>
  <c r="F274" i="37"/>
  <c r="G274" i="37"/>
  <c r="H274" i="37"/>
  <c r="D278" i="37"/>
  <c r="E278" i="37"/>
  <c r="F278" i="37"/>
  <c r="G278" i="37"/>
  <c r="H278" i="37"/>
  <c r="D283" i="37"/>
  <c r="E283" i="37"/>
  <c r="F283" i="37"/>
  <c r="G283" i="37"/>
  <c r="H283" i="37"/>
  <c r="D284" i="37"/>
  <c r="E284" i="37"/>
  <c r="F284" i="37"/>
  <c r="G284" i="37"/>
  <c r="H284" i="37"/>
  <c r="D291" i="37"/>
  <c r="E291" i="37"/>
  <c r="F291" i="37"/>
  <c r="G291" i="37"/>
  <c r="H291" i="37"/>
  <c r="D297" i="37"/>
  <c r="E297" i="37"/>
  <c r="F297" i="37"/>
  <c r="G297" i="37"/>
  <c r="H297" i="37"/>
  <c r="N5" i="109" l="1"/>
  <c r="F115" i="37" s="1"/>
  <c r="N17" i="109"/>
  <c r="F598" i="37" s="1"/>
  <c r="M5" i="109"/>
  <c r="E115" i="37" s="1"/>
  <c r="O7" i="109"/>
  <c r="G25" i="37" s="1"/>
  <c r="L5" i="109"/>
  <c r="D115" i="37" s="1"/>
  <c r="O17" i="109"/>
  <c r="G598" i="37" s="1"/>
  <c r="M17" i="109"/>
  <c r="E35" i="37" s="1"/>
  <c r="L17" i="109"/>
  <c r="D598" i="37" s="1"/>
  <c r="H586" i="37"/>
  <c r="H69" i="37"/>
  <c r="H23" i="37"/>
  <c r="H115" i="37"/>
  <c r="O5" i="109"/>
  <c r="M18" i="109"/>
  <c r="E128" i="37" s="1"/>
  <c r="P29" i="109"/>
  <c r="N27" i="109"/>
  <c r="F45" i="37" s="1"/>
  <c r="L18" i="109"/>
  <c r="D82" i="37" s="1"/>
  <c r="P7" i="109"/>
  <c r="L11" i="109"/>
  <c r="D592" i="37" s="1"/>
  <c r="W38" i="126"/>
  <c r="W39" i="126" s="1"/>
  <c r="W41" i="126" s="1"/>
  <c r="O27" i="109"/>
  <c r="G137" i="37" s="1"/>
  <c r="M38" i="109"/>
  <c r="L35" i="109"/>
  <c r="D53" i="37" s="1"/>
  <c r="N7" i="109"/>
  <c r="F25" i="37" s="1"/>
  <c r="P36" i="109"/>
  <c r="N29" i="109"/>
  <c r="L27" i="109"/>
  <c r="D137" i="37" s="1"/>
  <c r="D138" i="37"/>
  <c r="O18" i="109"/>
  <c r="G36" i="37" s="1"/>
  <c r="M11" i="109"/>
  <c r="O29" i="109"/>
  <c r="G610" i="37" s="1"/>
  <c r="M27" i="109"/>
  <c r="L38" i="109"/>
  <c r="O38" i="109"/>
  <c r="M35" i="109"/>
  <c r="P27" i="109"/>
  <c r="N18" i="109"/>
  <c r="N11" i="109"/>
  <c r="L6" i="109"/>
  <c r="N38" i="109"/>
  <c r="O41" i="109"/>
  <c r="M36" i="109"/>
  <c r="N22" i="109"/>
  <c r="L7" i="109"/>
  <c r="P38" i="109"/>
  <c r="N35" i="109"/>
  <c r="O11" i="109"/>
  <c r="M6" i="109"/>
  <c r="N6" i="109"/>
  <c r="L22" i="109"/>
  <c r="P41" i="109"/>
  <c r="M41" i="109"/>
  <c r="P35" i="109"/>
  <c r="O6" i="109"/>
  <c r="N36" i="109"/>
  <c r="L29" i="109"/>
  <c r="D610" i="37" s="1"/>
  <c r="O22" i="109"/>
  <c r="L41" i="109"/>
  <c r="O35" i="109"/>
  <c r="P18" i="109"/>
  <c r="L36" i="109"/>
  <c r="M22" i="109"/>
  <c r="M7" i="109"/>
  <c r="P6" i="109"/>
  <c r="N41" i="109"/>
  <c r="O36" i="109"/>
  <c r="M29" i="109"/>
  <c r="E610" i="37" s="1"/>
  <c r="P22" i="109"/>
  <c r="E586" i="37" l="1"/>
  <c r="F23" i="37"/>
  <c r="F69" i="37"/>
  <c r="F586" i="37"/>
  <c r="E23" i="37"/>
  <c r="E69" i="37"/>
  <c r="F81" i="37"/>
  <c r="F35" i="37"/>
  <c r="F127" i="37"/>
  <c r="G588" i="37"/>
  <c r="H588" i="37"/>
  <c r="H610" i="37"/>
  <c r="G71" i="37"/>
  <c r="G117" i="37"/>
  <c r="G35" i="37"/>
  <c r="G81" i="37"/>
  <c r="E127" i="37"/>
  <c r="G127" i="37"/>
  <c r="P17" i="109"/>
  <c r="D69" i="37"/>
  <c r="D586" i="37"/>
  <c r="D23" i="37"/>
  <c r="E81" i="37"/>
  <c r="D35" i="37"/>
  <c r="D127" i="37"/>
  <c r="D81" i="37"/>
  <c r="E598" i="37"/>
  <c r="F137" i="37"/>
  <c r="H93" i="37"/>
  <c r="H47" i="37"/>
  <c r="E599" i="37"/>
  <c r="E36" i="37"/>
  <c r="F139" i="37"/>
  <c r="F610" i="37"/>
  <c r="G69" i="37"/>
  <c r="G115" i="37"/>
  <c r="G586" i="37"/>
  <c r="G23" i="37"/>
  <c r="H139" i="37"/>
  <c r="E82" i="37"/>
  <c r="D36" i="37"/>
  <c r="D121" i="37"/>
  <c r="D29" i="37"/>
  <c r="D128" i="37"/>
  <c r="F91" i="37"/>
  <c r="D599" i="37"/>
  <c r="F608" i="37"/>
  <c r="D75" i="37"/>
  <c r="H25" i="37"/>
  <c r="H71" i="37"/>
  <c r="H117" i="37"/>
  <c r="X38" i="126"/>
  <c r="X39" i="126" s="1"/>
  <c r="X41" i="126" s="1"/>
  <c r="G608" i="37"/>
  <c r="G91" i="37"/>
  <c r="G45" i="37"/>
  <c r="D99" i="37"/>
  <c r="D616" i="37"/>
  <c r="D145" i="37"/>
  <c r="F47" i="37"/>
  <c r="D608" i="37"/>
  <c r="D45" i="37"/>
  <c r="D609" i="37"/>
  <c r="F71" i="37"/>
  <c r="F117" i="37"/>
  <c r="F93" i="37"/>
  <c r="F588" i="37"/>
  <c r="G82" i="37"/>
  <c r="D91" i="37"/>
  <c r="G128" i="37"/>
  <c r="G599" i="37"/>
  <c r="D46" i="37"/>
  <c r="D92" i="37"/>
  <c r="H116" i="37"/>
  <c r="H70" i="37"/>
  <c r="G138" i="37"/>
  <c r="G92" i="37"/>
  <c r="F138" i="37"/>
  <c r="F92" i="37"/>
  <c r="E117" i="37"/>
  <c r="E71" i="37"/>
  <c r="H145" i="37"/>
  <c r="H99" i="37"/>
  <c r="E45" i="37"/>
  <c r="E137" i="37"/>
  <c r="E91" i="37"/>
  <c r="E132" i="37"/>
  <c r="E86" i="37"/>
  <c r="E151" i="37"/>
  <c r="E105" i="37"/>
  <c r="G139" i="37"/>
  <c r="G93" i="37"/>
  <c r="H128" i="37"/>
  <c r="H82" i="37"/>
  <c r="D132" i="37"/>
  <c r="D86" i="37"/>
  <c r="D24" i="37"/>
  <c r="D116" i="37"/>
  <c r="D70" i="37"/>
  <c r="E138" i="37"/>
  <c r="E92" i="37"/>
  <c r="F116" i="37"/>
  <c r="F70" i="37"/>
  <c r="F592" i="37"/>
  <c r="F121" i="37"/>
  <c r="F75" i="37"/>
  <c r="H151" i="37"/>
  <c r="H105" i="37"/>
  <c r="G145" i="37"/>
  <c r="G99" i="37"/>
  <c r="E116" i="37"/>
  <c r="E70" i="37"/>
  <c r="D25" i="37"/>
  <c r="D117" i="37"/>
  <c r="D71" i="37"/>
  <c r="H132" i="37"/>
  <c r="H86" i="37"/>
  <c r="D151" i="37"/>
  <c r="D105" i="37"/>
  <c r="G121" i="37"/>
  <c r="G75" i="37"/>
  <c r="F40" i="37"/>
  <c r="F132" i="37"/>
  <c r="F86" i="37"/>
  <c r="F36" i="37"/>
  <c r="F128" i="37"/>
  <c r="F82" i="37"/>
  <c r="E29" i="37"/>
  <c r="E121" i="37"/>
  <c r="E75" i="37"/>
  <c r="E139" i="37"/>
  <c r="E93" i="37"/>
  <c r="G132" i="37"/>
  <c r="G86" i="37"/>
  <c r="F145" i="37"/>
  <c r="F99" i="37"/>
  <c r="H46" i="37"/>
  <c r="H138" i="37"/>
  <c r="H92" i="37"/>
  <c r="H608" i="37"/>
  <c r="H137" i="37"/>
  <c r="H91" i="37"/>
  <c r="D139" i="37"/>
  <c r="D93" i="37"/>
  <c r="E53" i="37"/>
  <c r="E145" i="37"/>
  <c r="E99" i="37"/>
  <c r="G116" i="37"/>
  <c r="G70" i="37"/>
  <c r="F151" i="37"/>
  <c r="F105" i="37"/>
  <c r="G622" i="37"/>
  <c r="G151" i="37"/>
  <c r="G105" i="37"/>
  <c r="E592" i="37"/>
  <c r="G47" i="37"/>
  <c r="D587" i="37"/>
  <c r="E608" i="37"/>
  <c r="F29" i="37"/>
  <c r="F599" i="37"/>
  <c r="H45" i="37"/>
  <c r="E616" i="37"/>
  <c r="G59" i="37"/>
  <c r="F603" i="37"/>
  <c r="H609" i="37"/>
  <c r="D588" i="37"/>
  <c r="H36" i="37"/>
  <c r="H599" i="37"/>
  <c r="D40" i="37"/>
  <c r="D603" i="37"/>
  <c r="G53" i="37"/>
  <c r="G616" i="37"/>
  <c r="E24" i="37"/>
  <c r="E587" i="37"/>
  <c r="E59" i="37"/>
  <c r="E622" i="37"/>
  <c r="F24" i="37"/>
  <c r="F587" i="37"/>
  <c r="H40" i="37"/>
  <c r="H603" i="37"/>
  <c r="D59" i="37"/>
  <c r="D622" i="37"/>
  <c r="G29" i="37"/>
  <c r="G592" i="37"/>
  <c r="E47" i="37"/>
  <c r="G40" i="37"/>
  <c r="G603" i="37"/>
  <c r="F53" i="37"/>
  <c r="F616" i="37"/>
  <c r="E40" i="37"/>
  <c r="E603" i="37"/>
  <c r="D47" i="37"/>
  <c r="F59" i="37"/>
  <c r="F622" i="37"/>
  <c r="H59" i="37"/>
  <c r="H622" i="37"/>
  <c r="E46" i="37"/>
  <c r="E609" i="37"/>
  <c r="H24" i="37"/>
  <c r="H587" i="37"/>
  <c r="G24" i="37"/>
  <c r="G587" i="37"/>
  <c r="G46" i="37"/>
  <c r="G609" i="37"/>
  <c r="F46" i="37"/>
  <c r="F609" i="37"/>
  <c r="E25" i="37"/>
  <c r="E588" i="37"/>
  <c r="H53" i="37"/>
  <c r="H616" i="37"/>
  <c r="H81" i="37" l="1"/>
  <c r="H127" i="37"/>
  <c r="H598" i="37"/>
  <c r="H35" i="37"/>
  <c r="D19" i="37"/>
  <c r="Y38" i="126"/>
  <c r="Y39" i="126" s="1"/>
  <c r="Y41" i="126" s="1"/>
  <c r="G111" i="37"/>
  <c r="Z38" i="126" l="1"/>
  <c r="Z39" i="126" s="1"/>
  <c r="Z41" i="126" s="1"/>
  <c r="AA38" i="126" l="1"/>
  <c r="AA39" i="126" s="1"/>
  <c r="AA41" i="126" s="1"/>
  <c r="D582" i="37" l="1"/>
  <c r="E582" i="37"/>
  <c r="F582" i="37"/>
  <c r="G582" i="37"/>
  <c r="H582" i="37"/>
  <c r="C584" i="37"/>
  <c r="C586" i="37"/>
  <c r="C587" i="37"/>
  <c r="C588" i="37"/>
  <c r="C589" i="37"/>
  <c r="C590" i="37"/>
  <c r="C591" i="37"/>
  <c r="C592" i="37"/>
  <c r="C593" i="37"/>
  <c r="C594" i="37"/>
  <c r="C595" i="37"/>
  <c r="C596" i="37"/>
  <c r="C597" i="37"/>
  <c r="C598" i="37"/>
  <c r="C599" i="37"/>
  <c r="C600" i="37"/>
  <c r="C601" i="37"/>
  <c r="C602" i="37"/>
  <c r="C603" i="37"/>
  <c r="C604" i="37"/>
  <c r="C605" i="37"/>
  <c r="C606" i="37"/>
  <c r="C607" i="37"/>
  <c r="C608" i="37"/>
  <c r="C609" i="37"/>
  <c r="C610" i="37"/>
  <c r="C611" i="37"/>
  <c r="C612" i="37"/>
  <c r="C613" i="37"/>
  <c r="C614" i="37"/>
  <c r="C615" i="37"/>
  <c r="C616" i="37"/>
  <c r="C617" i="37"/>
  <c r="C618" i="37"/>
  <c r="C619" i="37"/>
  <c r="C620" i="37"/>
  <c r="C621" i="37"/>
  <c r="C622" i="37"/>
  <c r="C623" i="37"/>
  <c r="C624" i="37"/>
  <c r="C625" i="37"/>
  <c r="C626" i="37"/>
  <c r="H533" i="37" l="1"/>
  <c r="G533" i="37"/>
  <c r="F533" i="37"/>
  <c r="E533" i="37"/>
  <c r="D533" i="37"/>
  <c r="E84" i="29" l="1"/>
  <c r="C631" i="37" l="1"/>
  <c r="C632" i="37"/>
  <c r="C633" i="37"/>
  <c r="C634" i="37"/>
  <c r="C635" i="37"/>
  <c r="C636" i="37"/>
  <c r="C637" i="37"/>
  <c r="C638" i="37"/>
  <c r="C639" i="37"/>
  <c r="C640" i="37"/>
  <c r="C641" i="37"/>
  <c r="C642" i="37"/>
  <c r="C643" i="37"/>
  <c r="C644" i="37"/>
  <c r="C645" i="37"/>
  <c r="C646" i="37"/>
  <c r="C647" i="37"/>
  <c r="C648" i="37"/>
  <c r="C649" i="37"/>
  <c r="C650" i="37"/>
  <c r="C651" i="37"/>
  <c r="C652" i="37"/>
  <c r="C653" i="37"/>
  <c r="C654" i="37"/>
  <c r="C655" i="37"/>
  <c r="C656" i="37"/>
  <c r="C657" i="37"/>
  <c r="C658" i="37"/>
  <c r="C659" i="37"/>
  <c r="C660" i="37"/>
  <c r="C661" i="37"/>
  <c r="C662" i="37"/>
  <c r="C663" i="37"/>
  <c r="C664" i="37"/>
  <c r="C665" i="37"/>
  <c r="C666" i="37"/>
  <c r="C667" i="37"/>
  <c r="C668" i="37"/>
  <c r="C669" i="37"/>
  <c r="C670" i="37"/>
  <c r="C671" i="37"/>
  <c r="C714" i="37" s="1"/>
  <c r="C757" i="37" s="1"/>
  <c r="C800" i="37" s="1"/>
  <c r="C629" i="37"/>
  <c r="H487" i="37"/>
  <c r="G487" i="37"/>
  <c r="F487" i="37"/>
  <c r="E487" i="37"/>
  <c r="D487" i="37"/>
  <c r="H441" i="37" l="1"/>
  <c r="G441" i="37"/>
  <c r="F441" i="37"/>
  <c r="E441" i="37"/>
  <c r="D441" i="37"/>
  <c r="H395" i="37"/>
  <c r="G395" i="37"/>
  <c r="F395" i="37"/>
  <c r="E395" i="37"/>
  <c r="D395" i="37"/>
  <c r="H349" i="37"/>
  <c r="G349" i="37"/>
  <c r="F349" i="37"/>
  <c r="E349" i="37"/>
  <c r="D349" i="37"/>
  <c r="H303" i="37"/>
  <c r="G303" i="37"/>
  <c r="F303" i="37"/>
  <c r="E303" i="37"/>
  <c r="D303" i="37"/>
  <c r="H257" i="37" l="1"/>
  <c r="G257" i="37"/>
  <c r="F257" i="37"/>
  <c r="E257" i="37"/>
  <c r="D257" i="37"/>
  <c r="H111" i="37"/>
  <c r="F111" i="37"/>
  <c r="E111" i="37"/>
  <c r="D111" i="37"/>
  <c r="H65" i="37"/>
  <c r="G65" i="37"/>
  <c r="F65" i="37"/>
  <c r="E65" i="37"/>
  <c r="D65" i="37"/>
  <c r="C63" i="37"/>
  <c r="C109" i="37" s="1"/>
  <c r="C155" i="37" s="1"/>
  <c r="C62" i="37"/>
  <c r="C108" i="37" s="1"/>
  <c r="C154" i="37" s="1"/>
  <c r="C61" i="37"/>
  <c r="C107" i="37" s="1"/>
  <c r="C153" i="37" s="1"/>
  <c r="C60" i="37"/>
  <c r="C106" i="37" s="1"/>
  <c r="C152" i="37" s="1"/>
  <c r="C59" i="37"/>
  <c r="C105" i="37" s="1"/>
  <c r="C151" i="37" s="1"/>
  <c r="C58" i="37"/>
  <c r="C104" i="37" s="1"/>
  <c r="C150" i="37" s="1"/>
  <c r="C57" i="37"/>
  <c r="C103" i="37" s="1"/>
  <c r="C149" i="37" s="1"/>
  <c r="C56" i="37"/>
  <c r="C102" i="37" s="1"/>
  <c r="C148" i="37" s="1"/>
  <c r="C55" i="37"/>
  <c r="C101" i="37" s="1"/>
  <c r="C147" i="37" s="1"/>
  <c r="C54" i="37"/>
  <c r="C100" i="37" s="1"/>
  <c r="C146" i="37" s="1"/>
  <c r="C53" i="37"/>
  <c r="C99" i="37" s="1"/>
  <c r="C145" i="37" s="1"/>
  <c r="C52" i="37"/>
  <c r="C98" i="37" s="1"/>
  <c r="C144" i="37" s="1"/>
  <c r="C51" i="37"/>
  <c r="C97" i="37" s="1"/>
  <c r="C143" i="37" s="1"/>
  <c r="C50" i="37"/>
  <c r="C96" i="37" s="1"/>
  <c r="C142" i="37" s="1"/>
  <c r="C49" i="37"/>
  <c r="C95" i="37" s="1"/>
  <c r="C141" i="37" s="1"/>
  <c r="C48" i="37"/>
  <c r="C94" i="37" s="1"/>
  <c r="C140" i="37" s="1"/>
  <c r="C47" i="37"/>
  <c r="C93" i="37" s="1"/>
  <c r="C139" i="37" s="1"/>
  <c r="C46" i="37"/>
  <c r="C92" i="37" s="1"/>
  <c r="C138" i="37" s="1"/>
  <c r="C45" i="37"/>
  <c r="C91" i="37" s="1"/>
  <c r="C137" i="37" s="1"/>
  <c r="C44" i="37"/>
  <c r="C90" i="37" s="1"/>
  <c r="C136" i="37" s="1"/>
  <c r="C43" i="37"/>
  <c r="C89" i="37" s="1"/>
  <c r="C135" i="37" s="1"/>
  <c r="C42" i="37"/>
  <c r="C88" i="37" s="1"/>
  <c r="C134" i="37" s="1"/>
  <c r="C41" i="37"/>
  <c r="C87" i="37" s="1"/>
  <c r="C133" i="37" s="1"/>
  <c r="C40" i="37"/>
  <c r="C86" i="37" s="1"/>
  <c r="C132" i="37" s="1"/>
  <c r="C39" i="37"/>
  <c r="C85" i="37" s="1"/>
  <c r="C131" i="37" s="1"/>
  <c r="C38" i="37"/>
  <c r="C84" i="37" s="1"/>
  <c r="C130" i="37" s="1"/>
  <c r="C37" i="37"/>
  <c r="C83" i="37" s="1"/>
  <c r="C129" i="37" s="1"/>
  <c r="C36" i="37"/>
  <c r="C82" i="37" s="1"/>
  <c r="C128" i="37" s="1"/>
  <c r="C35" i="37"/>
  <c r="C81" i="37" s="1"/>
  <c r="C127" i="37" s="1"/>
  <c r="C34" i="37"/>
  <c r="C80" i="37" s="1"/>
  <c r="C126" i="37" s="1"/>
  <c r="C33" i="37"/>
  <c r="C79" i="37" s="1"/>
  <c r="C125" i="37" s="1"/>
  <c r="C32" i="37"/>
  <c r="C78" i="37" s="1"/>
  <c r="C124" i="37" s="1"/>
  <c r="C31" i="37"/>
  <c r="C77" i="37" s="1"/>
  <c r="C123" i="37" s="1"/>
  <c r="C30" i="37"/>
  <c r="C76" i="37" s="1"/>
  <c r="C122" i="37" s="1"/>
  <c r="C29" i="37"/>
  <c r="C75" i="37" s="1"/>
  <c r="C121" i="37" s="1"/>
  <c r="C28" i="37"/>
  <c r="C74" i="37" s="1"/>
  <c r="C120" i="37" s="1"/>
  <c r="C27" i="37"/>
  <c r="C73" i="37" s="1"/>
  <c r="C119" i="37" s="1"/>
  <c r="C26" i="37"/>
  <c r="C72" i="37" s="1"/>
  <c r="C118" i="37" s="1"/>
  <c r="C25" i="37"/>
  <c r="C71" i="37" s="1"/>
  <c r="C117" i="37" s="1"/>
  <c r="C24" i="37"/>
  <c r="C70" i="37" s="1"/>
  <c r="C116" i="37" s="1"/>
  <c r="C23" i="37"/>
  <c r="C67" i="37"/>
  <c r="H19" i="37"/>
  <c r="G19" i="37"/>
  <c r="F19" i="37"/>
  <c r="E19" i="37"/>
  <c r="C113" i="37" l="1"/>
  <c r="C69" i="37"/>
  <c r="C115" i="37" s="1"/>
  <c r="C261" i="37"/>
  <c r="C262" i="37"/>
  <c r="C270" i="37"/>
  <c r="C274" i="37"/>
  <c r="C278" i="37"/>
  <c r="C282" i="37"/>
  <c r="C286" i="37"/>
  <c r="C290" i="37"/>
  <c r="C294" i="37"/>
  <c r="C298" i="37"/>
  <c r="C263" i="37"/>
  <c r="C271" i="37"/>
  <c r="C279" i="37"/>
  <c r="C287" i="37"/>
  <c r="C295" i="37"/>
  <c r="C259" i="37"/>
  <c r="C268" i="37"/>
  <c r="C276" i="37"/>
  <c r="C284" i="37"/>
  <c r="C288" i="37"/>
  <c r="C296" i="37"/>
  <c r="C300" i="37"/>
  <c r="C265" i="37"/>
  <c r="C267" i="37"/>
  <c r="C275" i="37"/>
  <c r="C283" i="37"/>
  <c r="C291" i="37"/>
  <c r="C299" i="37"/>
  <c r="C264" i="37"/>
  <c r="C272" i="37"/>
  <c r="C280" i="37"/>
  <c r="C292" i="37"/>
  <c r="C273" i="37"/>
  <c r="C269" i="37"/>
  <c r="C277" i="37"/>
  <c r="C281" i="37"/>
  <c r="C285" i="37"/>
  <c r="C289" i="37"/>
  <c r="C293" i="37"/>
  <c r="C297" i="37"/>
  <c r="C301" i="37"/>
  <c r="C266" i="37"/>
  <c r="C313" i="37" l="1"/>
  <c r="C359" i="37" s="1"/>
  <c r="C405" i="37" s="1"/>
  <c r="C451" i="37" s="1"/>
  <c r="C497" i="37" s="1"/>
  <c r="C543" i="37" s="1"/>
  <c r="C309" i="37"/>
  <c r="C355" i="37" s="1"/>
  <c r="C401" i="37" s="1"/>
  <c r="C447" i="37" s="1"/>
  <c r="C493" i="37" s="1"/>
  <c r="C539" i="37" s="1"/>
  <c r="C315" i="37"/>
  <c r="C361" i="37" s="1"/>
  <c r="C407" i="37" s="1"/>
  <c r="C453" i="37" s="1"/>
  <c r="C499" i="37" s="1"/>
  <c r="C545" i="37" s="1"/>
  <c r="C346" i="37"/>
  <c r="C392" i="37" s="1"/>
  <c r="C438" i="37" s="1"/>
  <c r="C484" i="37" s="1"/>
  <c r="C530" i="37" s="1"/>
  <c r="C576" i="37" s="1"/>
  <c r="C344" i="37"/>
  <c r="C390" i="37" s="1"/>
  <c r="C436" i="37" s="1"/>
  <c r="C482" i="37" s="1"/>
  <c r="C528" i="37" s="1"/>
  <c r="C574" i="37" s="1"/>
  <c r="C307" i="37"/>
  <c r="C353" i="37" s="1"/>
  <c r="C399" i="37" s="1"/>
  <c r="C445" i="37" s="1"/>
  <c r="C491" i="37" s="1"/>
  <c r="C537" i="37" s="1"/>
  <c r="C327" i="37"/>
  <c r="C373" i="37" s="1"/>
  <c r="C419" i="37" s="1"/>
  <c r="C465" i="37" s="1"/>
  <c r="C511" i="37" s="1"/>
  <c r="C557" i="37" s="1"/>
  <c r="C311" i="37"/>
  <c r="C357" i="37" s="1"/>
  <c r="C403" i="37" s="1"/>
  <c r="C449" i="37" s="1"/>
  <c r="C495" i="37" s="1"/>
  <c r="C541" i="37" s="1"/>
  <c r="C340" i="37"/>
  <c r="C386" i="37" s="1"/>
  <c r="C432" i="37" s="1"/>
  <c r="C478" i="37" s="1"/>
  <c r="C524" i="37" s="1"/>
  <c r="C570" i="37" s="1"/>
  <c r="C308" i="37"/>
  <c r="C354" i="37" s="1"/>
  <c r="C400" i="37" s="1"/>
  <c r="C446" i="37" s="1"/>
  <c r="C492" i="37" s="1"/>
  <c r="C538" i="37" s="1"/>
  <c r="C317" i="37"/>
  <c r="C363" i="37" s="1"/>
  <c r="C409" i="37" s="1"/>
  <c r="C455" i="37" s="1"/>
  <c r="C501" i="37" s="1"/>
  <c r="C547" i="37" s="1"/>
  <c r="C323" i="37"/>
  <c r="C369" i="37" s="1"/>
  <c r="C415" i="37" s="1"/>
  <c r="C461" i="37" s="1"/>
  <c r="C507" i="37" s="1"/>
  <c r="C553" i="37" s="1"/>
  <c r="C319" i="37"/>
  <c r="C365" i="37" s="1"/>
  <c r="C411" i="37" s="1"/>
  <c r="C457" i="37" s="1"/>
  <c r="C503" i="37" s="1"/>
  <c r="C549" i="37" s="1"/>
  <c r="C342" i="37"/>
  <c r="C388" i="37" s="1"/>
  <c r="C434" i="37" s="1"/>
  <c r="C480" i="37" s="1"/>
  <c r="C526" i="37" s="1"/>
  <c r="C572" i="37" s="1"/>
  <c r="C338" i="37"/>
  <c r="C384" i="37" s="1"/>
  <c r="C430" i="37" s="1"/>
  <c r="C476" i="37" s="1"/>
  <c r="C522" i="37" s="1"/>
  <c r="C568" i="37" s="1"/>
  <c r="C334" i="37"/>
  <c r="C380" i="37" s="1"/>
  <c r="C426" i="37" s="1"/>
  <c r="C472" i="37" s="1"/>
  <c r="C518" i="37" s="1"/>
  <c r="C564" i="37" s="1"/>
  <c r="C336" i="37"/>
  <c r="C382" i="37" s="1"/>
  <c r="C428" i="37" s="1"/>
  <c r="C474" i="37" s="1"/>
  <c r="C520" i="37" s="1"/>
  <c r="C566" i="37" s="1"/>
  <c r="C329" i="37"/>
  <c r="C375" i="37" s="1"/>
  <c r="C421" i="37" s="1"/>
  <c r="C467" i="37" s="1"/>
  <c r="C513" i="37" s="1"/>
  <c r="C559" i="37" s="1"/>
  <c r="C321" i="37"/>
  <c r="C367" i="37" s="1"/>
  <c r="C413" i="37" s="1"/>
  <c r="C459" i="37" s="1"/>
  <c r="C505" i="37" s="1"/>
  <c r="C551" i="37" s="1"/>
  <c r="C332" i="37"/>
  <c r="C378" i="37" s="1"/>
  <c r="C424" i="37" s="1"/>
  <c r="C470" i="37" s="1"/>
  <c r="C516" i="37" s="1"/>
  <c r="C562" i="37" s="1"/>
  <c r="C312" i="37"/>
  <c r="C358" i="37" s="1"/>
  <c r="C404" i="37" s="1"/>
  <c r="C450" i="37" s="1"/>
  <c r="C496" i="37" s="1"/>
  <c r="C542" i="37" s="1"/>
  <c r="C318" i="37"/>
  <c r="C364" i="37" s="1"/>
  <c r="C410" i="37" s="1"/>
  <c r="C456" i="37" s="1"/>
  <c r="C502" i="37" s="1"/>
  <c r="C548" i="37" s="1"/>
  <c r="C322" i="37"/>
  <c r="C368" i="37" s="1"/>
  <c r="C414" i="37" s="1"/>
  <c r="C460" i="37" s="1"/>
  <c r="C506" i="37" s="1"/>
  <c r="C552" i="37" s="1"/>
  <c r="C328" i="37"/>
  <c r="C374" i="37" s="1"/>
  <c r="C420" i="37" s="1"/>
  <c r="C466" i="37" s="1"/>
  <c r="C512" i="37" s="1"/>
  <c r="C558" i="37" s="1"/>
  <c r="C333" i="37"/>
  <c r="C379" i="37" s="1"/>
  <c r="C425" i="37" s="1"/>
  <c r="C471" i="37" s="1"/>
  <c r="C517" i="37" s="1"/>
  <c r="C563" i="37" s="1"/>
  <c r="C326" i="37"/>
  <c r="C372" i="37" s="1"/>
  <c r="C418" i="37" s="1"/>
  <c r="C464" i="37" s="1"/>
  <c r="C510" i="37" s="1"/>
  <c r="C556" i="37" s="1"/>
  <c r="C310" i="37"/>
  <c r="C356" i="37" s="1"/>
  <c r="C402" i="37" s="1"/>
  <c r="C448" i="37" s="1"/>
  <c r="C494" i="37" s="1"/>
  <c r="C540" i="37" s="1"/>
  <c r="C324" i="37"/>
  <c r="C370" i="37" s="1"/>
  <c r="C416" i="37" s="1"/>
  <c r="C462" i="37" s="1"/>
  <c r="C508" i="37" s="1"/>
  <c r="C554" i="37" s="1"/>
  <c r="C343" i="37"/>
  <c r="C389" i="37" s="1"/>
  <c r="C435" i="37" s="1"/>
  <c r="C481" i="37" s="1"/>
  <c r="C527" i="37" s="1"/>
  <c r="C573" i="37" s="1"/>
  <c r="C345" i="37"/>
  <c r="C391" i="37" s="1"/>
  <c r="C437" i="37" s="1"/>
  <c r="C483" i="37" s="1"/>
  <c r="C529" i="37" s="1"/>
  <c r="C575" i="37" s="1"/>
  <c r="C305" i="37"/>
  <c r="C351" i="37" s="1"/>
  <c r="C397" i="37" s="1"/>
  <c r="C443" i="37" s="1"/>
  <c r="C489" i="37" s="1"/>
  <c r="C535" i="37" s="1"/>
  <c r="C320" i="37"/>
  <c r="C366" i="37" s="1"/>
  <c r="C412" i="37" s="1"/>
  <c r="C458" i="37" s="1"/>
  <c r="C504" i="37" s="1"/>
  <c r="C550" i="37" s="1"/>
  <c r="C331" i="37"/>
  <c r="C377" i="37" s="1"/>
  <c r="C423" i="37" s="1"/>
  <c r="C469" i="37" s="1"/>
  <c r="C515" i="37" s="1"/>
  <c r="C561" i="37" s="1"/>
  <c r="C330" i="37"/>
  <c r="C376" i="37" s="1"/>
  <c r="C422" i="37" s="1"/>
  <c r="C468" i="37" s="1"/>
  <c r="C514" i="37" s="1"/>
  <c r="C560" i="37" s="1"/>
  <c r="C347" i="37"/>
  <c r="C393" i="37" s="1"/>
  <c r="C439" i="37" s="1"/>
  <c r="C485" i="37" s="1"/>
  <c r="C531" i="37" s="1"/>
  <c r="C577" i="37" s="1"/>
  <c r="C314" i="37"/>
  <c r="C360" i="37" s="1"/>
  <c r="C406" i="37" s="1"/>
  <c r="C452" i="37" s="1"/>
  <c r="C498" i="37" s="1"/>
  <c r="C544" i="37" s="1"/>
  <c r="C339" i="37"/>
  <c r="C385" i="37" s="1"/>
  <c r="C431" i="37" s="1"/>
  <c r="C477" i="37" s="1"/>
  <c r="C523" i="37" s="1"/>
  <c r="C569" i="37" s="1"/>
  <c r="C337" i="37"/>
  <c r="C383" i="37" s="1"/>
  <c r="C429" i="37" s="1"/>
  <c r="C475" i="37" s="1"/>
  <c r="C521" i="37" s="1"/>
  <c r="C567" i="37" s="1"/>
  <c r="C341" i="37"/>
  <c r="C387" i="37" s="1"/>
  <c r="C433" i="37" s="1"/>
  <c r="C479" i="37" s="1"/>
  <c r="C525" i="37" s="1"/>
  <c r="C571" i="37" s="1"/>
  <c r="C316" i="37"/>
  <c r="C362" i="37" s="1"/>
  <c r="C408" i="37" s="1"/>
  <c r="C454" i="37" s="1"/>
  <c r="C500" i="37" s="1"/>
  <c r="C546" i="37" s="1"/>
  <c r="C335" i="37"/>
  <c r="C381" i="37" s="1"/>
  <c r="C427" i="37" s="1"/>
  <c r="C473" i="37" s="1"/>
  <c r="C519" i="37" s="1"/>
  <c r="C565" i="37" s="1"/>
  <c r="C325" i="37"/>
  <c r="C371" i="37" s="1"/>
  <c r="C417" i="37" s="1"/>
  <c r="C463" i="37" s="1"/>
  <c r="C509" i="37" s="1"/>
  <c r="C555" i="37" s="1"/>
  <c r="C685" i="37"/>
  <c r="C728" i="37" s="1"/>
  <c r="C771" i="37" s="1"/>
  <c r="C704" i="37"/>
  <c r="C747" i="37" s="1"/>
  <c r="C790" i="37" s="1"/>
  <c r="C684" i="37"/>
  <c r="C727" i="37" s="1"/>
  <c r="C770" i="37" s="1"/>
  <c r="C699" i="37"/>
  <c r="C742" i="37" s="1"/>
  <c r="C785" i="37" s="1"/>
  <c r="C678" i="37"/>
  <c r="C721" i="37" s="1"/>
  <c r="C764" i="37" s="1"/>
  <c r="C692" i="37"/>
  <c r="C735" i="37" s="1"/>
  <c r="C778" i="37" s="1"/>
  <c r="C696" i="37"/>
  <c r="C739" i="37" s="1"/>
  <c r="C782" i="37" s="1"/>
  <c r="C676" i="37"/>
  <c r="C719" i="37" s="1"/>
  <c r="C762" i="37" s="1"/>
  <c r="C691" i="37"/>
  <c r="C734" i="37" s="1"/>
  <c r="C777" i="37" s="1"/>
  <c r="C710" i="37"/>
  <c r="C753" i="37" s="1"/>
  <c r="C796" i="37" s="1"/>
  <c r="C706" i="37"/>
  <c r="C749" i="37" s="1"/>
  <c r="C792" i="37" s="1"/>
  <c r="C713" i="37"/>
  <c r="C756" i="37" s="1"/>
  <c r="C799" i="37" s="1"/>
  <c r="C707" i="37"/>
  <c r="C750" i="37" s="1"/>
  <c r="C793" i="37" s="1"/>
  <c r="C687" i="37"/>
  <c r="C730" i="37" s="1"/>
  <c r="C773" i="37" s="1"/>
  <c r="C702" i="37"/>
  <c r="C745" i="37" s="1"/>
  <c r="C788" i="37" s="1"/>
  <c r="C677" i="37"/>
  <c r="C720" i="37" s="1"/>
  <c r="C763" i="37" s="1"/>
  <c r="C688" i="37"/>
  <c r="C731" i="37" s="1"/>
  <c r="C774" i="37" s="1"/>
  <c r="C705" i="37"/>
  <c r="C748" i="37" s="1"/>
  <c r="C791" i="37" s="1"/>
  <c r="C680" i="37"/>
  <c r="C723" i="37" s="1"/>
  <c r="C766" i="37" s="1"/>
  <c r="C703" i="37"/>
  <c r="C746" i="37" s="1"/>
  <c r="C789" i="37" s="1"/>
  <c r="C675" i="37"/>
  <c r="C718" i="37" s="1"/>
  <c r="C761" i="37" s="1"/>
  <c r="C686" i="37"/>
  <c r="C729" i="37" s="1"/>
  <c r="C772" i="37" s="1"/>
  <c r="C708" i="37"/>
  <c r="C751" i="37" s="1"/>
  <c r="C794" i="37" s="1"/>
  <c r="C697" i="37"/>
  <c r="C740" i="37" s="1"/>
  <c r="C783" i="37" s="1"/>
  <c r="C695" i="37"/>
  <c r="C738" i="37" s="1"/>
  <c r="C781" i="37" s="1"/>
  <c r="C682" i="37"/>
  <c r="C725" i="37" s="1"/>
  <c r="C768" i="37" s="1"/>
  <c r="C690" i="37"/>
  <c r="C733" i="37" s="1"/>
  <c r="C776" i="37" s="1"/>
  <c r="C711" i="37"/>
  <c r="C754" i="37" s="1"/>
  <c r="C797" i="37" s="1"/>
  <c r="C709" i="37"/>
  <c r="C752" i="37" s="1"/>
  <c r="C795" i="37" s="1"/>
  <c r="C689" i="37"/>
  <c r="C732" i="37" s="1"/>
  <c r="C775" i="37" s="1"/>
  <c r="C712" i="37"/>
  <c r="C755" i="37" s="1"/>
  <c r="C798" i="37" s="1"/>
  <c r="C683" i="37"/>
  <c r="C726" i="37" s="1"/>
  <c r="C769" i="37" s="1"/>
  <c r="C672" i="37"/>
  <c r="C715" i="37" s="1"/>
  <c r="C758" i="37" s="1"/>
  <c r="C674" i="37"/>
  <c r="C717" i="37" s="1"/>
  <c r="C760" i="37" s="1"/>
  <c r="C693" i="37"/>
  <c r="C736" i="37" s="1"/>
  <c r="C779" i="37" s="1"/>
  <c r="C701" i="37"/>
  <c r="C744" i="37" s="1"/>
  <c r="C787" i="37" s="1"/>
  <c r="C681" i="37"/>
  <c r="C724" i="37" s="1"/>
  <c r="C767" i="37" s="1"/>
  <c r="C700" i="37"/>
  <c r="C743" i="37" s="1"/>
  <c r="C786" i="37" s="1"/>
  <c r="C679" i="37"/>
  <c r="C722" i="37" s="1"/>
  <c r="C765" i="37" s="1"/>
  <c r="C698" i="37"/>
  <c r="C741" i="37" s="1"/>
  <c r="C784" i="37" s="1"/>
  <c r="C694" i="37"/>
  <c r="C737" i="37" s="1"/>
  <c r="C780"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tc={AC1A36C2-0D5D-4655-A7E3-A3F5D71397E9}</author>
  </authors>
  <commentList>
    <comment ref="D48" authorId="0" shapeId="0" xr:uid="{AC1A36C2-0D5D-4655-A7E3-A3F5D71397E9}">
      <text>
        <t>[Threaded comment]
Your version of Excel allows you to read this threaded comment; however, any edits to it will get removed if the file is opened in a newer version of Excel. Learn more: https://go.microsoft.com/fwlink/?linkid=870924
Comment:
    @Stryjewski, Liz can you add list of references here?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tc={96F52E75-BA48-4934-BDA0-A953125B6A65}</author>
    <author>tc={54849799-2DA1-4501-8F14-89CE70B190D2}</author>
    <author>tc={BC29C660-A602-448A-9738-BBA20508FE32}</author>
    <author>tc={A1D7ACE4-F3BA-4A16-ADD9-3A91007463B1}</author>
    <author>tc={E7681738-9751-4BE2-A11A-DAC54EFD792D}</author>
    <author>tc={B4C4BD9B-A6FA-4B94-942E-FB0B6963EF06}</author>
    <author>tc={980236DE-48DC-46C3-B276-1CADEB842F1D}</author>
    <author>tc={46DD73B2-D76A-4BBA-BBC6-A2558B980B73}</author>
    <author>tc={87832C19-6593-467A-9603-1B9C22378E00}</author>
    <author>tc={7B6B9BD0-436E-4EA2-8543-ABDC60328F3B}</author>
    <author>tc={0E1E4F80-B6C8-4ED1-8E25-840AB494F7E7}</author>
    <author>tc={58F25C7F-4F5D-46F1-9618-0DAA7489601D}</author>
    <author>tc={DFC29B92-1379-4A67-8603-43A5325CB14C}</author>
    <author>tc={1950EBC8-71EB-4FFF-894D-9EABA709F068}</author>
    <author>tc={9754BDBF-29AC-4D5E-921C-91B7959082CD}</author>
    <author>tc={83C47920-FC64-484E-85F4-8BEE04666DAC}</author>
    <author>tc={54B70DC6-A587-4C51-841A-069C0BAA7B29}</author>
    <author>tc={99645CC2-AFCF-4BF2-8480-740532AE0522}</author>
    <author>tc={7E1759CC-9877-4876-A423-9EACABE096A8}</author>
    <author>tc={EF4EB848-B1FC-47A5-967B-C6F4F8F9D85A}</author>
    <author>tc={97E17596-60F8-4F11-B955-238E0A08D2F9}</author>
  </authors>
  <commentList>
    <comment ref="H2" authorId="0" shapeId="0" xr:uid="{96F52E75-BA48-4934-BDA0-A953125B6A65}">
      <text>
        <t>[Threaded comment]
Your version of Excel allows you to read this threaded comment; however, any edits to it will get removed if the file is opened in a newer version of Excel. Learn more: https://go.microsoft.com/fwlink/?linkid=870924
Comment:
    o	Some of the values of the table headers in column H may not match exactly what I ended up using in the actual page, I made some edits after filling this table out and still need to go back and update this column.</t>
      </text>
    </comment>
    <comment ref="K2" authorId="1" shapeId="0" xr:uid="{54849799-2DA1-4501-8F14-89CE70B190D2}">
      <text>
        <t>[Threaded comment]
Your version of Excel allows you to read this threaded comment; however, any edits to it will get removed if the file is opened in a newer version of Excel. Learn more: https://go.microsoft.com/fwlink/?linkid=870924
Comment:
    Please note - This column is not complete yet.</t>
      </text>
    </comment>
    <comment ref="M2" authorId="2" shapeId="0" xr:uid="{BC29C660-A602-448A-9738-BBA20508FE32}">
      <text>
        <t>[Threaded comment]
Your version of Excel allows you to read this threaded comment; however, any edits to it will get removed if the file is opened in a newer version of Excel. Learn more: https://go.microsoft.com/fwlink/?linkid=870924
Comment:
    Please note, this column is not complete yet.</t>
      </text>
    </comment>
    <comment ref="C8" authorId="3" shapeId="0" xr:uid="{A1D7ACE4-F3BA-4A16-ADD9-3A91007463B1}">
      <text>
        <t>[Threaded comment]
Your version of Excel allows you to read this threaded comment; however, any edits to it will get removed if the file is opened in a newer version of Excel. Learn more: https://go.microsoft.com/fwlink/?linkid=870924
Comment:
    Ray suggested user will input escalation factor</t>
      </text>
    </comment>
    <comment ref="G36" authorId="4" shapeId="0" xr:uid="{E7681738-9751-4BE2-A11A-DAC54EFD792D}">
      <text>
        <t>[Threaded comment]
Your version of Excel allows you to read this threaded comment; however, any edits to it will get removed if the file is opened in a newer version of Excel. Learn more: https://go.microsoft.com/fwlink/?linkid=870924
Comment:
    Same question as SWP/CVP costs, should we put this on system operations page since its more of an operational cost than the supply unit cost?</t>
      </text>
    </comment>
    <comment ref="C81" authorId="5" shapeId="0" xr:uid="{B4C4BD9B-A6FA-4B94-942E-FB0B6963EF06}">
      <text>
        <t>[Threaded comment]
Your version of Excel allows you to read this threaded comment; however, any edits to it will get removed if the file is opened in a newer version of Excel. Learn more: https://go.microsoft.com/fwlink/?linkid=870924
Comment:
    Need to identify references to use for this</t>
      </text>
    </comment>
    <comment ref="C108" authorId="6" shapeId="0" xr:uid="{980236DE-48DC-46C3-B276-1CADEB842F1D}">
      <text>
        <t>[Threaded comment]
Your version of Excel allows you to read this threaded comment; however, any edits to it will get removed if the file is opened in a newer version of Excel. Learn more: https://go.microsoft.com/fwlink/?linkid=870924
Comment:
    How is this different than parameter #52? Is this the carryover storage volume threshold?</t>
      </text>
    </comment>
    <comment ref="C109" authorId="7" shapeId="0" xr:uid="{46DD73B2-D76A-4BBA-BBC6-A2558B980B73}">
      <text>
        <t>[Threaded comment]
Your version of Excel allows you to read this threaded comment; however, any edits to it will get removed if the file is opened in a newer version of Excel. Learn more: https://go.microsoft.com/fwlink/?linkid=870924
Comment:
    I think we understand what this parameter is, but we haven't discussed if it should be included in this first iteration of the model yet.</t>
      </text>
    </comment>
    <comment ref="C110" authorId="8" shapeId="0" xr:uid="{87832C19-6593-467A-9603-1B9C22378E00}">
      <text>
        <t>[Threaded comment]
Your version of Excel allows you to read this threaded comment; however, any edits to it will get removed if the file is opened in a newer version of Excel. Learn more: https://go.microsoft.com/fwlink/?linkid=870924
Comment:
    Same comment as above.</t>
      </text>
    </comment>
    <comment ref="C111" authorId="9" shapeId="0" xr:uid="{7B6B9BD0-436E-4EA2-8543-ABDC60328F3B}">
      <text>
        <t>[Threaded comment]
Your version of Excel allows you to read this threaded comment; however, any edits to it will get removed if the file is opened in a newer version of Excel. Learn more: https://go.microsoft.com/fwlink/?linkid=870924
Comment:
    Same comment as above.</t>
      </text>
    </comment>
    <comment ref="C116" authorId="10" shapeId="0" xr:uid="{0E1E4F80-B6C8-4ED1-8E25-840AB494F7E7}">
      <text>
        <t>[Threaded comment]
Your version of Excel allows you to read this threaded comment; however, any edits to it will get removed if the file is opened in a newer version of Excel. Learn more: https://go.microsoft.com/fwlink/?linkid=870924
Comment:
    Is this the total shortage threshold required before the rationing program costs kick in?</t>
      </text>
    </comment>
    <comment ref="C143" authorId="11" shapeId="0" xr:uid="{58F25C7F-4F5D-46F1-9618-0DAA7489601D}">
      <text>
        <t>[Threaded comment]
Your version of Excel allows you to read this threaded comment; however, any edits to it will get removed if the file is opened in a newer version of Excel. Learn more: https://go.microsoft.com/fwlink/?linkid=870924
Comment:
    What is this used for? Do we need?</t>
      </text>
    </comment>
    <comment ref="D147" authorId="12" shapeId="0" xr:uid="{DFC29B92-1379-4A67-8603-43A5325CB14C}">
      <text>
        <t>[Threaded comment]
Your version of Excel allows you to read this threaded comment; however, any edits to it will get removed if the file is opened in a newer version of Excel. Learn more: https://go.microsoft.com/fwlink/?linkid=870924
Comment:
    As I noted in my email, I've just put one table in here for now as CWEST had it, but based on the data we collect I think the format of this could be subject to change.</t>
      </text>
    </comment>
    <comment ref="C154" authorId="13" shapeId="0" xr:uid="{1950EBC8-71EB-4FFF-894D-9EABA709F068}">
      <text>
        <t>[Threaded comment]
Your version of Excel allows you to read this threaded comment; however, any edits to it will get removed if the file is opened in a newer version of Excel. Learn more: https://go.microsoft.com/fwlink/?linkid=870924
Comment:
    I think I understand what this is, I'm still thinking through how we want to approach this in the python code.</t>
      </text>
    </comment>
    <comment ref="I167" authorId="14" shapeId="0" xr:uid="{9754BDBF-29AC-4D5E-921C-91B7959082CD}">
      <text>
        <t>[Threaded comment]
Your version of Excel allows you to read this threaded comment; however, any edits to it will get removed if the file is opened in a newer version of Excel. Learn more: https://go.microsoft.com/fwlink/?linkid=870924
Comment:
    This was CWEST's approach.</t>
      </text>
    </comment>
    <comment ref="C168" authorId="15" shapeId="0" xr:uid="{83C47920-FC64-484E-85F4-8BEE04666DAC}">
      <text>
        <t>[Threaded comment]
Your version of Excel allows you to read this threaded comment; however, any edits to it will get removed if the file is opened in a newer version of Excel. Learn more: https://go.microsoft.com/fwlink/?linkid=870924
Comment:
    How is this different than the cost inputs on the Water Market Year-Type Cost inputs in highlighted rows below?</t>
      </text>
    </comment>
    <comment ref="C169" authorId="16" shapeId="0" xr:uid="{54B70DC6-A587-4C51-841A-069C0BAA7B29}">
      <text>
        <t>[Threaded comment]
Your version of Excel allows you to read this threaded comment; however, any edits to it will get removed if the file is opened in a newer version of Excel. Learn more: https://go.microsoft.com/fwlink/?linkid=870924
Comment:
    Same question as above.</t>
      </text>
    </comment>
    <comment ref="C174" authorId="17" shapeId="0" xr:uid="{99645CC2-AFCF-4BF2-8480-740532AE0522}">
      <text>
        <t>[Threaded comment]
Your version of Excel allows you to read this threaded comment; however, any edits to it will get removed if the file is opened in a newer version of Excel. Learn more: https://go.microsoft.com/fwlink/?linkid=870924
Comment:
    How are these costs different than "Cost (Base)" a few rows above?</t>
      </text>
    </comment>
    <comment ref="C175" authorId="18" shapeId="0" xr:uid="{7E1759CC-9877-4876-A423-9EACABE096A8}">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 ref="C176" authorId="19" shapeId="0" xr:uid="{EF4EB848-B1FC-47A5-967B-C6F4F8F9D85A}">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 ref="C177" authorId="20" shapeId="0" xr:uid="{97E17596-60F8-4F11-B955-238E0A08D2F9}">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tc={32B31D99-BB3D-4016-A719-EE2603AD15B5}</author>
  </authors>
  <commentList>
    <comment ref="B1" authorId="0" shapeId="0" xr:uid="{32B31D99-BB3D-4016-A719-EE2603AD15B5}">
      <text>
        <t>[Threaded comment]
Your version of Excel allows you to read this threaded comment; however, any edits to it will get removed if the file is opened in a newer version of Excel. Learn more: https://go.microsoft.com/fwlink/?linkid=870924
Comment:
    Yellow highlights mean they should have UWMP but can't find it.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tc={7BE57317-2ABF-4BD2-8A42-2140C7A537F9}</author>
    <author>tc={306D41EB-AF28-4E05-AD27-E4AECEE5448C}</author>
  </authors>
  <commentList>
    <comment ref="A7" authorId="0" shapeId="0" xr:uid="{7BE57317-2ABF-4BD2-8A42-2140C7A537F9}">
      <text>
        <t>[Threaded comment]
Your version of Excel allows you to read this threaded comment; however, any edits to it will get removed if the file is opened in a newer version of Excel. Learn more: https://go.microsoft.com/fwlink/?linkid=870924
Comment:
    Users will also have the option to input this data as a time series.</t>
      </text>
    </comment>
    <comment ref="A840" authorId="1" shapeId="0" xr:uid="{306D41EB-AF28-4E05-AD27-E4AECEE5448C}">
      <text>
        <t>[Threaded comment]
Your version of Excel allows you to read this threaded comment; however, any edits to it will get removed if the file is opened in a newer version of Excel. Learn more: https://go.microsoft.com/fwlink/?linkid=870924
Comment:
    Other imported water besides CVP &amp; SWP, etc.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tc={680ACC7E-1C07-4281-885A-B68BBFD011E0}</author>
  </authors>
  <commentList>
    <comment ref="D909" authorId="0" shapeId="0" xr:uid="{680ACC7E-1C07-4281-885A-B68BBFD011E0}">
      <text>
        <t>[Threaded comment]
Your version of Excel allows you to read this threaded comment; however, any edits to it will get removed if the file is opened in a newer version of Excel. Learn more: https://go.microsoft.com/fwlink/?linkid=870924
Comment:
    Missing Centerville Community Services District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tc={90946744-116F-434F-B0DF-7FC8A3D8453C}</author>
  </authors>
  <commentList>
    <comment ref="L14" authorId="0" shapeId="0" xr:uid="{90946744-116F-434F-B0DF-7FC8A3D8453C}">
      <text>
        <t>[Threaded comment]
Your version of Excel allows you to read this threaded comment; however, any edits to it will get removed if the file is opened in a newer version of Excel. Learn more: https://go.microsoft.com/fwlink/?linkid=870924
Comment:
    Missing Centerville Community Services District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tc={AD0549F1-A2A2-4ED5-B595-AF46484C154C}</author>
    <author>tc={A96E024A-9D29-4841-BDE9-FBE6C462C3A4}</author>
  </authors>
  <commentList>
    <comment ref="A9" authorId="0" shapeId="0" xr:uid="{AD0549F1-A2A2-4ED5-B595-AF46484C154C}">
      <text>
        <t>[Threaded comment]
Your version of Excel allows you to read this threaded comment; however, any edits to it will get removed if the file is opened in a newer version of Excel. Learn more: https://go.microsoft.com/fwlink/?linkid=870924
Comment:
    Surface reservoir</t>
      </text>
    </comment>
    <comment ref="D9" authorId="1" shapeId="0" xr:uid="{A96E024A-9D29-4841-BDE9-FBE6C462C3A4}">
      <text>
        <t>[Threaded comment]
Your version of Excel allows you to read this threaded comment; however, any edits to it will get removed if the file is opened in a newer version of Excel. Learn more: https://go.microsoft.com/fwlink/?linkid=870924
Comment:
    Average annual yield wasn't provided. Put reservoir capacity here.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tc={80E988A1-44FA-4054-977D-D96182575775}</author>
    <author>tc={4F01ADD2-9374-4E3D-950F-8EB663577029}</author>
    <author>tc={78B45A77-815A-4319-A3CB-C0004FFC8CFF}</author>
    <author>tc={194A55AC-020C-4EF0-8025-3922286E1751}</author>
    <author>tc={BB1ABF21-0668-4831-82CA-97F04686A4DC}</author>
    <author>tc={7804BAB7-0E8C-4557-9D71-64B2D97CD7E7}</author>
    <author>tc={0113D5D7-FAB5-4C4E-9370-8980388B69D3}</author>
    <author>tc={94208A49-8E6C-4880-B097-770C7779371B}</author>
    <author>tc={37FEED62-ACA8-4796-AF68-3FFBD36AE9E3}</author>
    <author>tc={CCB174DF-E5DC-4608-830C-74CEEE3B27AC}</author>
    <author>tc={F6219583-4829-4C73-8815-66ABCEC62C39}</author>
    <author>tc={5C4D6267-2073-44F5-B033-05CFB233D1A6}</author>
    <author>tc={EA1EF70F-92A6-42AD-BA9F-76B2FB45755F}</author>
    <author>tc={80BF62FF-A247-42F4-9107-F27124B05B1F}</author>
    <author>tc={D3A17E4D-0D84-4F2B-A349-5BB7C45C4EC2}</author>
    <author>tc={FC03CD5F-442D-41D4-BF55-0472A2580D66}</author>
    <author>tc={2E57AF14-70F2-4B0D-8921-CF078984D3A7}</author>
    <author>tc={B9F4077D-2B8C-48D9-908C-41E2CDB0FF21}</author>
    <author>tc={47358DAE-F3A8-472B-AA5B-C59C0C8FE239}</author>
    <author>tc={9C385EB1-EF53-43D4-B95F-2E9689417D94}</author>
    <author>tc={2B5D8184-0919-47F3-8348-E94A0368101F}</author>
    <author>tc={344A9D76-DD8C-4D47-86D5-7A0E8A55AE00}</author>
  </authors>
  <commentList>
    <comment ref="B5" authorId="0" shapeId="0" xr:uid="{80E988A1-44FA-4054-977D-D96182575775}">
      <text>
        <t>[Threaded comment]
Your version of Excel allows you to read this threaded comment; however, any edits to it will get removed if the file is opened in a newer version of Excel. Learn more: https://go.microsoft.com/fwlink/?linkid=870924
Comment:
    excludes 78000 of emergency storage</t>
      </text>
    </comment>
    <comment ref="C5" authorId="1" shapeId="0" xr:uid="{4F01ADD2-9374-4E3D-950F-8EB663577029}">
      <text>
        <t>[Threaded comment]
Your version of Excel allows you to read this threaded comment; however, any edits to it will get removed if the file is opened in a newer version of Excel. Learn more: https://go.microsoft.com/fwlink/?linkid=870924
Comment:
    excludes 33000 of emergency storage</t>
      </text>
    </comment>
    <comment ref="C7" authorId="2" shapeId="0" xr:uid="{78B45A77-815A-4319-A3CB-C0004FFC8CFF}">
      <text>
        <t>[Threaded comment]
Your version of Excel allows you to read this threaded comment; however, any edits to it will get removed if the file is opened in a newer version of Excel. Learn more: https://go.microsoft.com/fwlink/?linkid=870924
Comment:
    MCWEST citation: WSDM Plan Storage Projects and Semitropic Features Included in SoCalWem</t>
      </text>
    </comment>
    <comment ref="C15" authorId="3" shapeId="0" xr:uid="{194A55AC-020C-4EF0-8025-3922286E1751}">
      <text>
        <t>[Threaded comment]
Your version of Excel allows you to read this threaded comment; however, any edits to it will get removed if the file is opened in a newer version of Excel. Learn more: https://go.microsoft.com/fwlink/?linkid=870924
Comment:
    Offline</t>
      </text>
    </comment>
    <comment ref="D15" authorId="4" shapeId="0" xr:uid="{BB1ABF21-0668-4831-82CA-97F04686A4DC}">
      <text>
        <t>[Threaded comment]
Your version of Excel allows you to read this threaded comment; however, any edits to it will get removed if the file is opened in a newer version of Excel. Learn more: https://go.microsoft.com/fwlink/?linkid=870924
Comment:
    More of a transfer program of surplus SWP</t>
      </text>
    </comment>
    <comment ref="F15" authorId="5" shapeId="0" xr:uid="{7804BAB7-0E8C-4557-9D71-64B2D97CD7E7}">
      <text>
        <t>[Threaded comment]
Your version of Excel allows you to read this threaded comment; however, any edits to it will get removed if the file is opened in a newer version of Excel. Learn more: https://go.microsoft.com/fwlink/?linkid=870924
Comment:
    Offline</t>
      </text>
    </comment>
    <comment ref="I15" authorId="6" shapeId="0" xr:uid="{0113D5D7-FAB5-4C4E-9370-8980388B69D3}">
      <text>
        <t>[Threaded comment]
Your version of Excel allows you to read this threaded comment; however, any edits to it will get removed if the file is opened in a newer version of Excel. Learn more: https://go.microsoft.com/fwlink/?linkid=870924
Comment:
    no longer modeled as storage programs</t>
      </text>
    </comment>
    <comment ref="L15" authorId="7" shapeId="0" xr:uid="{94208A49-8E6C-4880-B097-770C7779371B}">
      <text>
        <t>[Threaded comment]
Your version of Excel allows you to read this threaded comment; however, any edits to it will get removed if the file is opened in a newer version of Excel. Learn more: https://go.microsoft.com/fwlink/?linkid=870924
Comment:
    Not sure what this is I don't believe this is modeled unless there is another name</t>
      </text>
    </comment>
    <comment ref="C16" authorId="8" shapeId="0" xr:uid="{37FEED62-ACA8-4796-AF68-3FFBD36AE9E3}">
      <text>
        <t>[Threaded comment]
Your version of Excel allows you to read this threaded comment; however, any edits to it will get removed if the file is opened in a newer version of Excel. Learn more: https://go.microsoft.com/fwlink/?linkid=870924
Comment:
    offline until 2025</t>
      </text>
    </comment>
    <comment ref="B19" authorId="9" shapeId="0" xr:uid="{CCB174DF-E5DC-4608-830C-74CEEE3B27AC}">
      <text>
        <t>[Threaded comment]
Your version of Excel allows you to read this threaded comment; however, any edits to it will get removed if the file is opened in a newer version of Excel. Learn more: https://go.microsoft.com/fwlink/?linkid=870924
Comment:
    UWMP notes the maximum annual yield is 229.77 TAF</t>
      </text>
    </comment>
    <comment ref="K19" authorId="10" shapeId="0" xr:uid="{F6219583-4829-4C73-8815-66ABCEC62C39}">
      <text>
        <t>[Threaded comment]
Your version of Excel allows you to read this threaded comment; however, any edits to it will get removed if the file is opened in a newer version of Excel. Learn more: https://go.microsoft.com/fwlink/?linkid=870924
Comment:
    Board report notes this is 38,000</t>
      </text>
    </comment>
    <comment ref="B52" authorId="11" shapeId="0" xr:uid="{5C4D6267-2073-44F5-B033-05CFB233D1A6}">
      <text>
        <t>[Threaded comment]
Your version of Excel allows you to read this threaded comment; however, any edits to it will get removed if the file is opened in a newer version of Excel. Learn more: https://go.microsoft.com/fwlink/?linkid=870924
Comment:
    Max reported in Table 4 in appendix: https://www.kcwa.com/wp-content/uploads/2022/02/ROWC2021_FINAL.pdf</t>
      </text>
    </comment>
    <comment ref="C52" authorId="12" shapeId="0" xr:uid="{EA1EF70F-92A6-42AD-BA9F-76B2FB45755F}">
      <text>
        <t>[Threaded comment]
Your version of Excel allows you to read this threaded comment; however, any edits to it will get removed if the file is opened in a newer version of Excel. Learn more: https://go.microsoft.com/fwlink/?linkid=870924
Comment:
    page 35 of UWMP</t>
      </text>
    </comment>
    <comment ref="D52" authorId="13" shapeId="0" xr:uid="{80BF62FF-A247-42F4-9107-F27124B05B1F}">
      <text>
        <t>[Threaded comment]
Your version of Excel allows you to read this threaded comment; however, any edits to it will get removed if the file is opened in a newer version of Excel. Learn more: https://go.microsoft.com/fwlink/?linkid=870924
Comment:
    UWMP Table 6-8</t>
      </text>
    </comment>
    <comment ref="C56" authorId="14" shapeId="0" xr:uid="{D3A17E4D-0D84-4F2B-A349-5BB7C45C4EC2}">
      <text>
        <t>[Threaded comment]
Your version of Excel allows you to read this threaded comment; however, any edits to it will get removed if the file is opened in a newer version of Excel. Learn more: https://go.microsoft.com/fwlink/?linkid=870924
Comment:
    MCWEST</t>
      </text>
    </comment>
    <comment ref="C57" authorId="15" shapeId="0" xr:uid="{FC03CD5F-442D-41D4-BF55-0472A2580D66}">
      <text>
        <t>[Threaded comment]
Your version of Excel allows you to read this threaded comment; however, any edits to it will get removed if the file is opened in a newer version of Excel. Learn more: https://go.microsoft.com/fwlink/?linkid=870924
Comment:
    MCWEST</t>
      </text>
    </comment>
    <comment ref="C62" authorId="16" shapeId="0" xr:uid="{2E57AF14-70F2-4B0D-8921-CF078984D3A7}">
      <text>
        <t>[Threaded comment]
Your version of Excel allows you to read this threaded comment; however, any edits to it will get removed if the file is opened in a newer version of Excel. Learn more: https://go.microsoft.com/fwlink/?linkid=870924
Comment:
    Not specified, assumed put capacity</t>
      </text>
    </comment>
    <comment ref="C63" authorId="17" shapeId="0" xr:uid="{B9F4077D-2B8C-48D9-908C-41E2CDB0FF21}">
      <text>
        <t>[Threaded comment]
Your version of Excel allows you to read this threaded comment; however, any edits to it will get removed if the file is opened in a newer version of Excel. Learn more: https://go.microsoft.com/fwlink/?linkid=870924
Comment:
    Not specified, assumed put capacity</t>
      </text>
    </comment>
    <comment ref="E63" authorId="18" shapeId="0" xr:uid="{47358DAE-F3A8-472B-AA5B-C59C0C8FE239}">
      <text>
        <t>[Threaded comment]
Your version of Excel allows you to read this threaded comment; however, any edits to it will get removed if the file is opened in a newer version of Excel. Learn more: https://go.microsoft.com/fwlink/?linkid=870924
Comment:
    Recoverable supplies that can be withdrawn from this bank (Table 7-3 footnote)</t>
      </text>
    </comment>
    <comment ref="B64" authorId="19" shapeId="0" xr:uid="{9C385EB1-EF53-43D4-B95F-2E9689417D94}">
      <text>
        <t>[Threaded comment]
Your version of Excel allows you to read this threaded comment; however, any edits to it will get removed if the file is opened in a newer version of Excel. Learn more: https://go.microsoft.com/fwlink/?linkid=870924
Comment:
    Not specified - assumed take capacity</t>
      </text>
    </comment>
    <comment ref="C64" authorId="20" shapeId="0" xr:uid="{2B5D8184-0919-47F3-8348-E94A0368101F}">
      <text>
        <t>[Threaded comment]
Your version of Excel allows you to read this threaded comment; however, any edits to it will get removed if the file is opened in a newer version of Excel. Learn more: https://go.microsoft.com/fwlink/?linkid=870924
Comment:
    Not specified - assumed take capacity</t>
      </text>
    </comment>
    <comment ref="D64" authorId="21" shapeId="0" xr:uid="{344A9D76-DD8C-4D47-86D5-7A0E8A55AE00}">
      <text>
        <t>[Threaded comment]
Your version of Excel allows you to read this threaded comment; however, any edits to it will get removed if the file is opened in a newer version of Excel. Learn more: https://go.microsoft.com/fwlink/?linkid=870924
Comment:
    Starting in 2035</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tc={8EB2D070-35B5-4BA2-AAD0-589EA7F7844B}</author>
  </authors>
  <commentList>
    <comment ref="C3" authorId="0" shapeId="0" xr:uid="{8EB2D070-35B5-4BA2-AAD0-589EA7F7844B}">
      <text>
        <t>[Threaded comment]
Your version of Excel allows you to read this threaded comment; however, any edits to it will get removed if the file is opened in a newer version of Excel. Learn more: https://go.microsoft.com/fwlink/?linkid=870924
Comment:
    There's 2 costs in table for "Shasta D&amp;R and Spring Creek Conduit" which is 29.76</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tc={C8FBF2C7-C28B-4671-A622-F1016B01181F}</author>
    <author>tc={ED796E6F-CF38-47F9-AACA-B3EEE116FF3B}</author>
    <author>tc={52F5E038-3DF4-4076-A8EC-3412EB9105D6}</author>
    <author>tc={169ACAE2-CC53-47DE-94DE-B2611771603C}</author>
  </authors>
  <commentList>
    <comment ref="A4" authorId="0" shapeId="0" xr:uid="{C8FBF2C7-C28B-4671-A622-F1016B01181F}">
      <text>
        <t>[Threaded comment]
Your version of Excel allows you to read this threaded comment; however, any edits to it will get removed if the file is opened in a newer version of Excel. Learn more: https://go.microsoft.com/fwlink/?linkid=870924
Comment:
    During times of drought, contractors may take further actions to manage shortages to minimize impacts to their region's economy and quality of life. This may include actions such as extraordinary restrictions for specific consumer uses, such as alternate day water regulations, water waster patrols, emergency water pricing programs, and intensive public education campaigns.</t>
      </text>
    </comment>
    <comment ref="I306" authorId="1" shapeId="0" xr:uid="{ED796E6F-CF38-47F9-AACA-B3EEE116FF3B}">
      <text>
        <t>[Threaded comment]
Your version of Excel allows you to read this threaded comment; however, any edits to it will get removed if the file is opened in a newer version of Excel. Learn more: https://go.microsoft.com/fwlink/?linkid=870924
Comment:
    https://www.kcwa.com/wp-content/uploads/2022/02/ROWC2021_FINAL.pdf</t>
      </text>
    </comment>
    <comment ref="I352" authorId="2" shapeId="0" xr:uid="{52F5E038-3DF4-4076-A8EC-3412EB9105D6}">
      <text>
        <t>[Threaded comment]
Your version of Excel allows you to read this threaded comment; however, any edits to it will get removed if the file is opened in a newer version of Excel. Learn more: https://go.microsoft.com/fwlink/?linkid=870924
Comment:
    https://www.kcwa.com/wp-content/uploads/2022/02/ROWC2021_FINAL.pdf</t>
      </text>
    </comment>
    <comment ref="A654" authorId="3" shapeId="0" xr:uid="{169ACAE2-CC53-47DE-94DE-B2611771603C}">
      <text>
        <t>[Threaded comment]
Your version of Excel allows you to read this threaded comment; however, any edits to it will get removed if the file is opened in a newer version of Excel. Learn more: https://go.microsoft.com/fwlink/?linkid=870924
Comment:
    Cut ratios charactarize how a shortage is distributed among user types. Each cut ratio is a ratio of the shortage distributed to that user type, relative to the shortage distributed to the single family user type, in percentage terms. For example, if the single family user type has a shortage of 10% and the multi-family user type has a shortage of 5%, the cut ratio for multi-family homes is 0.5. 
Price elasticity of demand, or simply elasticity, is a measure of how sensitive demand is to a change in price. The elasticity variable estimates the percentage change in the demand for water, given a 1% increase in the price of water. For example, an elasticity of -0.2 means that a 1% in the price of water leads to a -.2% decrease in the demand for water. Conversely, elasticity assumptions allow an estimate of customer willingness to pay to avoid shortage conditions. Default elasticity values are based on a 2012 Study by Sunding and Auffhammer, that uses a 1996-2011 dataset of single family residential demand across 120 California water retailers to estimate demand elasticity, controlling for temperature, precipitation, and income. Contractors for which elasticity was not estimated in Sunding and Auffhammer, 2012, have a default elasticity that is the statewide average of the elasticities for all 120 retailers in the study.
Upper and Lower boundaries allow the user to set a floor and ceiling on the model calculations of willingness to pay. The lower boundary sets a percentage shortage below which willingness to pay will be set at that shortage's value. The upper boundary sets a percentage shortage above which willingness to pay will be set at that shortage's value.
Retail price is the volumetric price of water faced by retail water users in each contractor's service area. Where volumetric block pricing or tiered pricing is used in a contractor service area, the retail prices is set at the middle tier or average of the two middle tiers.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<sst xmlns="http://schemas.openxmlformats.org/spreadsheetml/2006/main" count="137345" uniqueCount="6031">
  <si>
    <t>Tab Color Key:</t>
  </si>
  <si>
    <t>CaUWMET Input Data</t>
  </si>
  <si>
    <t>UWMP data tables</t>
  </si>
  <si>
    <t>Divider tabs by data category</t>
  </si>
  <si>
    <t>Category</t>
  </si>
  <si>
    <t>Variable</t>
  </si>
  <si>
    <t>Data Collection Status</t>
  </si>
  <si>
    <t>Reference</t>
  </si>
  <si>
    <t>Notes (potential references, other notes)</t>
  </si>
  <si>
    <t>Location in this file (tab name, location in tab)</t>
  </si>
  <si>
    <t>Location of data/reference</t>
  </si>
  <si>
    <t>Contractor Assumptions</t>
  </si>
  <si>
    <t>Contractor list</t>
  </si>
  <si>
    <t>Completed pending a few contractors to discuss with Calsim Team (Kensey)</t>
  </si>
  <si>
    <t>CalSim II equivalent node</t>
  </si>
  <si>
    <t>Completed pending a few contractors to check in with Calsim team</t>
  </si>
  <si>
    <t>Calsim II 2021 Benchmark Studies</t>
  </si>
  <si>
    <t>Centerville Community Services District not in Calsim II demand benchmark spreadsheet</t>
  </si>
  <si>
    <t>Contractor_Assumptions, Column I</t>
  </si>
  <si>
    <t>CalSim 3 equivalent node</t>
  </si>
  <si>
    <t>Completed pending a few contractors to discuss with Calsim Team</t>
  </si>
  <si>
    <t>Contractor_Assumptions, Column J</t>
  </si>
  <si>
    <t>Hydrology Assumptions</t>
  </si>
  <si>
    <t>Completed</t>
  </si>
  <si>
    <t>Cal-SIMETAW</t>
  </si>
  <si>
    <t>Demand Assumptions</t>
  </si>
  <si>
    <t>Total Demands</t>
  </si>
  <si>
    <t>2020 UWMPs/Contractor Communications</t>
  </si>
  <si>
    <t>Demand Assumptions, Total Demand Scenarios table</t>
  </si>
  <si>
    <t>Demands by Use Type</t>
  </si>
  <si>
    <t>Interior and exterior use by type</t>
  </si>
  <si>
    <t>WUE water balance data by county (2018)</t>
  </si>
  <si>
    <t>Planned Long-term Conservation</t>
  </si>
  <si>
    <t>ETAW adjustment factors</t>
  </si>
  <si>
    <t>Supply Assumptions</t>
  </si>
  <si>
    <t>Local surface supply volume</t>
  </si>
  <si>
    <t>2020 UWMPs</t>
  </si>
  <si>
    <t>Local groundwater supply volume</t>
  </si>
  <si>
    <t>Desalination supply volume</t>
  </si>
  <si>
    <t>Recycling supply volume</t>
  </si>
  <si>
    <t>Potable Reuse supply volume</t>
  </si>
  <si>
    <t>Contractual Transfers supply volume</t>
  </si>
  <si>
    <t>SWP &amp; CVP Delivery volumes from Calsim II</t>
  </si>
  <si>
    <t>SWP &amp; CVP Delivery volumes from Calsim 3</t>
  </si>
  <si>
    <t>Calsim 3 Delivery Capability Report Study (2021)</t>
  </si>
  <si>
    <t>System Operations</t>
  </si>
  <si>
    <t>Switch for where to send excess water supplies</t>
  </si>
  <si>
    <t>CWEST, UWMPs, GSPs</t>
  </si>
  <si>
    <t>Surface storage max capacity</t>
  </si>
  <si>
    <t>2021 Water Surplus and Drought management Plan, June 2021. Link: https://bda.mwdh2o.com/Board%20Archives/2021/06-June/Reports/06072021%20WPS%206a%20Report.pdf</t>
  </si>
  <si>
    <t>Surface storage initial volume</t>
  </si>
  <si>
    <t>2022 Water Surplus and Drought management Plan, June 2021. Link: https://bda.mwdh2o.com/Board%20Archives/2021/06-June/Reports/06072021%20WPS%206a%20Report.pdf</t>
  </si>
  <si>
    <t>If storage data not available, use max storage which is what CWEST assumed.</t>
  </si>
  <si>
    <t>Surface max put capacity</t>
  </si>
  <si>
    <t>Surface max take capacity</t>
  </si>
  <si>
    <t>Surface take loss</t>
  </si>
  <si>
    <t>Groundwater storage max capacity</t>
  </si>
  <si>
    <t>Groundwater storage initial capacity</t>
  </si>
  <si>
    <t>Groundwater max put capacity</t>
  </si>
  <si>
    <t>Completed pending a few contractors - Check in with Kelly on mojave</t>
  </si>
  <si>
    <t>Groundwater max take capacity</t>
  </si>
  <si>
    <t>Recharge effectiveness</t>
  </si>
  <si>
    <t>System Operations Cost Assumption</t>
  </si>
  <si>
    <t>Groundwater put cost ($/acre-feet)</t>
  </si>
  <si>
    <t>Data collected from met and Irvine Ranch. Finalize when we finalize storage operations assumptions. Kensey to check with Marcelo if we can use assumptions from SARCCUP and potentially reach out to Metropolitan.</t>
  </si>
  <si>
    <t>Groundwater take cost ($/acre-feet)</t>
  </si>
  <si>
    <t>System Operations Assumptions</t>
  </si>
  <si>
    <t>Groundwater Pumping Cost for Normal or Better or Single-Dry Years</t>
  </si>
  <si>
    <t>In progress. Kensey to get Liz groundwater depths. (Liz)</t>
  </si>
  <si>
    <t>Groundwater Pumping Cost for Multi-Dry Years</t>
  </si>
  <si>
    <t>SWP and CVP Delivery Costs</t>
  </si>
  <si>
    <t>California Department of Water Resources (CA DWR). 2019. Management of the California State Water Project Bulletin 132-18. Table B-24. Reclamation (Bureau of Reclamation). 2021. Schedule of M&amp;I Cost of Service Water Rates Per Acre-Foot by Contractor 2022 M&amp;I Water Rates</t>
  </si>
  <si>
    <t>Water treatment cost</t>
  </si>
  <si>
    <t>2021 MWDSC water rates, Treatment Surcharge; MWDSC Fiscal Years 2022/23 and 2023/24 Cost of Service Report for Proposed Water Rates and Charges
MWDSC 2020 and 2021 Biannual Budget and 10-year Financial Forecast</t>
  </si>
  <si>
    <t>Heavily caveat in documentation that water treatment costs vary by supply type but the model just applies one cost assumption for all deliveries. Based on Metropolitan's treatment surcharge. Checked against capital cost rule of thumb from Kim Irvin. O&amp;M component only included in Input data.</t>
  </si>
  <si>
    <t>Supply Delivery Costs</t>
  </si>
  <si>
    <t>Wastewater treatment cost</t>
  </si>
  <si>
    <t>Completed (wishlist to get more data points)</t>
  </si>
  <si>
    <t>Fraction of wastewater collected and treated</t>
  </si>
  <si>
    <t>Kensey reviewed UWMPs and this is not avialable. Daya to reach out internally.</t>
  </si>
  <si>
    <t>Energy Escalation Factor</t>
  </si>
  <si>
    <t>PG&amp;E &amp; Southern California Edison rate schedules; California Energy Commission. 2021 California Energy Demand Forecast. Mid-demand case, tables 2.3. Industrial price projections</t>
  </si>
  <si>
    <t>Distribution Costs</t>
  </si>
  <si>
    <t>MWDSC Fiscal Years 2022/23 and 2023/24 Cost of Service Report for Proposed Water Rates and Charges
MWDSC 2020 and 2021 Biannual Budget and 10-year Financial Forecast</t>
  </si>
  <si>
    <t>Isolated portion of system access rate that recovered distribution O&amp;M costs and portion of capital costs. Escalated according to Met's 10-year financial forecast.
Escalation issue resolved based on updated 10-year forecast</t>
  </si>
  <si>
    <t>Long-term Water Management Options</t>
  </si>
  <si>
    <t>Additional Long-Term Conservation Supply Volume</t>
  </si>
  <si>
    <t>Completed collecting long-term WMOs from UWMPs. Check if DWR is OK if we use GPCD legislation to develop estimates of additional conservation potential</t>
  </si>
  <si>
    <t>Additional Recycling Supply Volume</t>
  </si>
  <si>
    <t>Additional Desalination Supply Volume</t>
  </si>
  <si>
    <t>Additional Groundwater Supply Volume</t>
  </si>
  <si>
    <t>Additional Surface Supply Volume</t>
  </si>
  <si>
    <t>Additional Transfer Supply Volume</t>
  </si>
  <si>
    <t>Recycling cost function</t>
  </si>
  <si>
    <t>Cooley, H., R. Phurisamban. 2016. The Cost of Alternative Water Supply and Efficiency Options in California. The Pacific Institute
MWDSC. 2016. Potential Regional Recycled Water Program</t>
  </si>
  <si>
    <t>Review Larry Schimmoller's email.</t>
  </si>
  <si>
    <t>Potable Reuse cost function</t>
  </si>
  <si>
    <t>Cooley, H., R. Phurisamban. 2016. The Cost of Alternative Water Supply and Efficiency Options in California. The Pacific Institute
MWDSC. 2016. Potential Regional Recycled Water Program
email communication from Sara Bowles, San Diego
Orange County Water District. Groundwater Replenishment System website.
Schimmoller, L. and Kealy, M. 2014. Fit for Purpose Water: The cost of Overtreating Reclaimed Water. WateReuse Research Foundation.</t>
  </si>
  <si>
    <t>Desal cost function</t>
  </si>
  <si>
    <t>SDCWA. Carlsbad Desalination Plant. Financial Affordability website.
SDCWA. 2021. 2020 Urban Water Management Plan
GHD. Report for South Coast Water District--Doheny Ocean Desalination Project. EIR Section 8.</t>
  </si>
  <si>
    <t>Long-term conservation cost</t>
  </si>
  <si>
    <t>Daya to check internally with California Water Plan Update team and UWMPs. Pacific Institute might have a good reference.</t>
  </si>
  <si>
    <t>Groundwater cost function</t>
  </si>
  <si>
    <t>Contingent Water Management Options</t>
  </si>
  <si>
    <t>Use Reduction with Contingency Conservation Campaign (% of Total Applied Use)</t>
  </si>
  <si>
    <t>UWMPs</t>
  </si>
  <si>
    <t>Storage Volume Trigger for Contingency Conservation (AF)</t>
  </si>
  <si>
    <t>Communications with Met</t>
  </si>
  <si>
    <t>Contingency conservation publicity campaign cost</t>
  </si>
  <si>
    <t>Daya to check with water use efficiency if they have info on cost for the conservation publicity campaign assumptions (possibly in drought guidebook). Also check UWMPs</t>
  </si>
  <si>
    <t>Alameda Co 2020 UWMP has extensive cost data on their conservation programs as well as conservation impacts data. Could be enough to estimate $/AF program costs</t>
  </si>
  <si>
    <t>Urban Population (thousands)</t>
  </si>
  <si>
    <t>Transfer limits for Normal or Better Years</t>
  </si>
  <si>
    <t>Pending. Collected for several agencies from UWMP. Kensey also to review Bulletin 123</t>
  </si>
  <si>
    <t>2020 UWMPs, Bulletin 123</t>
  </si>
  <si>
    <t>https://www.waterboards.ca.gov/waterrights/water_issues/programs/water_transfers/</t>
  </si>
  <si>
    <t>Transfer limits for Dry Years</t>
  </si>
  <si>
    <t>2020 UWMPs and need to brainstorm additional potential references</t>
  </si>
  <si>
    <t>Maximum that can be transferred in any two consecutive years</t>
  </si>
  <si>
    <t>NA - full amount available (i.e. no consecutive year limits) set for default model</t>
  </si>
  <si>
    <t>Shortage Threshold before Water Market Transfer Supplies are Delivered (% of Total Applied Use)</t>
  </si>
  <si>
    <t>CWEST - Assuming 5%</t>
  </si>
  <si>
    <t>Water Market Transfer Loss Factor (%)</t>
  </si>
  <si>
    <t>Standard assumption of 18% for Cross-Delta transfers</t>
  </si>
  <si>
    <t>Transfers and Exchanges Cost by Year Type</t>
  </si>
  <si>
    <t>Standard assumption of 18% across the delta.
https://www.nasdaq.com/market-activity/index/nqh2o</t>
  </si>
  <si>
    <t>Storage Volume Trigger for Rationing Program (AF)</t>
  </si>
  <si>
    <t>Cost for rationing program</t>
  </si>
  <si>
    <t>Daya to check Metropolitan’s annual/comprehensive budget reports during drought years (2015 or 2020). Found 2018/2019 budget proposal, just found 2015 and will see if there are more specific details on demand management program. Reference Daya found only provides a single estimate for “Demand Management.” Post to Sharepoint. May need to follow up with Met for more details.</t>
  </si>
  <si>
    <t>Rationing Program Cut Ratio by Customer Class</t>
  </si>
  <si>
    <t>LCPSIM</t>
  </si>
  <si>
    <t>Other Economic Assumptions</t>
  </si>
  <si>
    <t>Demand hardening adjustment factor</t>
  </si>
  <si>
    <t>Elasticity and lower and upper bounds</t>
  </si>
  <si>
    <t>Statewide average of values from Sunding (2012)</t>
  </si>
  <si>
    <t>Max and min constraints for CPED function</t>
  </si>
  <si>
    <t>Default model will use 0 for lower boundary constraint, upper boundary of 70%</t>
  </si>
  <si>
    <t>Consecutive Year Loss Adjustment</t>
  </si>
  <si>
    <t>Retail Price</t>
  </si>
  <si>
    <t>Data obtained from AWWA, need to obtain for remaining contractors after Kensey provides list of wholesaler's retailers. (Daya)</t>
  </si>
  <si>
    <t>AWWA 2020 Water Survey</t>
  </si>
  <si>
    <t>Please see some notes in the comments in row 2 before reviewing table:</t>
  </si>
  <si>
    <t>Model Tab/Window</t>
  </si>
  <si>
    <t>Location in Tab/input file</t>
  </si>
  <si>
    <t>Parameter/Variable Name</t>
  </si>
  <si>
    <t>New Model Approach 
(Keep, remove, make dashboard input or background calc, etc.)</t>
  </si>
  <si>
    <t>Added to input data tabs</t>
  </si>
  <si>
    <t>tag</t>
  </si>
  <si>
    <t>Green Tab Name</t>
  </si>
  <si>
    <t>Black Table Header Name</t>
  </si>
  <si>
    <t>Name of parameter in new model</t>
  </si>
  <si>
    <t>Level of detail by Contractor, Region, Infrastructure-specific or Global Input</t>
  </si>
  <si>
    <t>Value in MCWEST/LCPSIM</t>
  </si>
  <si>
    <t>Notes</t>
  </si>
  <si>
    <t>Data Source for New Model</t>
  </si>
  <si>
    <t>MCWEST Cost Assumptions</t>
  </si>
  <si>
    <t>row 6</t>
  </si>
  <si>
    <t>$/AF cost for fixed yield project supply</t>
  </si>
  <si>
    <t>Dashboard Input</t>
  </si>
  <si>
    <t>Yes</t>
  </si>
  <si>
    <t>Cost functions by supply type</t>
  </si>
  <si>
    <t>Groundwater, Local Surface, Desalination, etc… Supply Cost</t>
  </si>
  <si>
    <t>Contractor/Base and Incremental Cost</t>
  </si>
  <si>
    <t>varies by contractor</t>
  </si>
  <si>
    <t>row 7</t>
  </si>
  <si>
    <t>Below normal or better cost (transfers)</t>
  </si>
  <si>
    <t>cost</t>
  </si>
  <si>
    <t>Long-term &amp; Contingent Water Management Options</t>
  </si>
  <si>
    <t>Transfers and Exchanges Supply Cost</t>
  </si>
  <si>
    <t xml:space="preserve">Annual options. </t>
  </si>
  <si>
    <t>row 9</t>
  </si>
  <si>
    <t>Dry or critical cost</t>
  </si>
  <si>
    <t>Contractor/Planning Year</t>
  </si>
  <si>
    <t>row 11</t>
  </si>
  <si>
    <t>Transfer Limit, Quantity, AF</t>
  </si>
  <si>
    <t>Transfer Operations</t>
  </si>
  <si>
    <t>row 12</t>
  </si>
  <si>
    <t>Cost of delivery in SWP system, B 132-10 Tab B-24, Total less capital charge, $/AF, 2010</t>
  </si>
  <si>
    <t>Supply Operations Costs</t>
  </si>
  <si>
    <t>SWP or CVP Delivery Costs</t>
  </si>
  <si>
    <t>Contractor/Year of Cost Input</t>
  </si>
  <si>
    <t>row 13</t>
  </si>
  <si>
    <t>Cost of delivery updated to 2030</t>
  </si>
  <si>
    <t>No - work in progress</t>
  </si>
  <si>
    <t>row 14</t>
  </si>
  <si>
    <t>Total central valley transfer cost, 2030, BN or better</t>
  </si>
  <si>
    <t>row 15</t>
  </si>
  <si>
    <t>Total central valley transfer cost, 2030, D or C</t>
  </si>
  <si>
    <t>row 16</t>
  </si>
  <si>
    <t>Demand level for demand function, 1000 AF</t>
  </si>
  <si>
    <t>Demands</t>
  </si>
  <si>
    <t>Total Demand Scenarios</t>
  </si>
  <si>
    <t>Demands by hydrologic year type</t>
  </si>
  <si>
    <t>Contractor</t>
  </si>
  <si>
    <t>Used to calculate end user shortage cost</t>
  </si>
  <si>
    <t>row 18</t>
  </si>
  <si>
    <t>Retail water price, 2010</t>
  </si>
  <si>
    <t>Economic loss function</t>
  </si>
  <si>
    <t>row 19</t>
  </si>
  <si>
    <t>Price updated to 2030</t>
  </si>
  <si>
    <t>Keep as two variables--current prices and a price escalation factor for each future year (2025, 2030, etc.) based on Met's projected rate increases. Escalation factors will not vary by agency, just one set of escalation factors for the model. I imagine Ray wants both prices and escalation factors to be adjustable by users...</t>
  </si>
  <si>
    <t>row 20</t>
  </si>
  <si>
    <t>CPED demand function coefficient</t>
  </si>
  <si>
    <t xml:space="preserve">Model logic -uses (price, elasticity, shortage amt) and is an intermediate step in the loss function calculations. It is the constant of integration associated with the loss function.  </t>
  </si>
  <si>
    <t>NA</t>
  </si>
  <si>
    <t>Note this input is only the -0.1 exponent value in MCWEST</t>
  </si>
  <si>
    <t>row 21</t>
  </si>
  <si>
    <t>Maximum shortage cost, $/AF</t>
  </si>
  <si>
    <t>Using the upper boundary on the percentage or shortage in the loss function instead</t>
  </si>
  <si>
    <t>Economic Loss Assumptions</t>
  </si>
  <si>
    <t>Upper Loss Boundary</t>
  </si>
  <si>
    <t>Maximum to constrain CPED function</t>
  </si>
  <si>
    <t>row 22</t>
  </si>
  <si>
    <t>Cost of puts, $/AF</t>
  </si>
  <si>
    <t>Carryover Storage and Banking Operation Cost</t>
  </si>
  <si>
    <t>Varies by system</t>
  </si>
  <si>
    <t>Groundwater Pumping Cost.</t>
  </si>
  <si>
    <t>row 23</t>
  </si>
  <si>
    <t>Cost of takes, $/AF</t>
  </si>
  <si>
    <t>row 28</t>
  </si>
  <si>
    <t>Groundwater pumping variable cost, $/AF</t>
  </si>
  <si>
    <t>row 29</t>
  </si>
  <si>
    <t>Excess Water Value</t>
  </si>
  <si>
    <t>Not including in model to avoid double counting</t>
  </si>
  <si>
    <t>Cost of SWP delivery</t>
  </si>
  <si>
    <t>B34:B38</t>
  </si>
  <si>
    <t>Groundwater storage volume (Arvin Edison, Semitropic, Kern Delta, Mojave Storage Program, Conjunctive Use programs)</t>
  </si>
  <si>
    <t>Groundwater Banking Operations</t>
  </si>
  <si>
    <t>Noted as an input for MWD</t>
  </si>
  <si>
    <t>C34:C38</t>
  </si>
  <si>
    <t>Groundwater put volume (Arvin Edison, Semitropic, Kern Delta, Mojave Storage Program, Conjunctive Use programs)</t>
  </si>
  <si>
    <t>D34:D38</t>
  </si>
  <si>
    <t>Groundwater take volume (Arvin Edison, Semitropic, Kern Delta, Mojave Storage Program, Conjunctive Use programs)</t>
  </si>
  <si>
    <t>E34:E38</t>
  </si>
  <si>
    <t>Groundwater put cost (Arvin Edison, Semitropic, Kern Delta, Mojave Storage Program, Conjunctive Use programs)</t>
  </si>
  <si>
    <t>F34:F38</t>
  </si>
  <si>
    <t>Groundwater take cost (Arvin Edison, Semitropic, Kern Delta, Mojave Storage Program, Conjunctive Use programs)</t>
  </si>
  <si>
    <t>B42:B47</t>
  </si>
  <si>
    <t>Surface storage volume (Castaic Lake, Lake Perris, Diamond Valley, Lake Mathews, Lake Skinner, Cyclic Storage)</t>
  </si>
  <si>
    <t>Surface Carryover Storage Operations</t>
  </si>
  <si>
    <t>C42:C47</t>
  </si>
  <si>
    <t>Surface put volume (Castaic Lake, Lake Perris, Diamond Valley, Lake Mathews, Lake Skinner, Cyclic Storage)</t>
  </si>
  <si>
    <t>D42:D47</t>
  </si>
  <si>
    <t>Surface take volume (Castaic Lake, Lake Perris, Diamond Valley, Lake Mathews, Lake Skinner, Cyclic Storage)</t>
  </si>
  <si>
    <t>E42:E47</t>
  </si>
  <si>
    <t>Surface put cost (Castaic Lake, Lake Perris, Diamond Valley, Lake Mathews, Lake Skinner, Cyclic Storage)</t>
  </si>
  <si>
    <t>F42:F47</t>
  </si>
  <si>
    <t>Surface take cost (Castaic Lake, Lake Perris, Diamond Valley, Lake Mathews, Lake Skinner, Cyclic Storage)</t>
  </si>
  <si>
    <t>B54:B58</t>
  </si>
  <si>
    <t>Maximum MWDSC fixed-yield supply volume constraint (for groundwater recovery, recycling, conservation, stormwater capture and desalination)</t>
  </si>
  <si>
    <t>Base Supplies</t>
  </si>
  <si>
    <t>C54:C58</t>
  </si>
  <si>
    <t>"a" parameter in the marginal cost function for  MWDSC fixed-yield supplies (for groundwater recovery, recycling, conservation, stormwater capture and desalination)</t>
  </si>
  <si>
    <t>Supply cost</t>
  </si>
  <si>
    <t>D54:D58</t>
  </si>
  <si>
    <t>"b" parameter in the marginal cost function for  MWDSC fixed-yield supplies (for groundwater recovery, recycling, conservation, stormwater capture and desalination)</t>
  </si>
  <si>
    <t>E54:E58 (input on "Regional Summaries (Control)" sheet</t>
  </si>
  <si>
    <t>Yield volume for  MWDSC fixed-yield supplies (for groundwater recovery, recycling, conservation, stormwater capture and desalination)</t>
  </si>
  <si>
    <t>Dashboard input</t>
  </si>
  <si>
    <t>Various for each supply type</t>
  </si>
  <si>
    <t>H22</t>
  </si>
  <si>
    <t>Cawleo GW put cost, $/AF</t>
  </si>
  <si>
    <t>H23</t>
  </si>
  <si>
    <t>Cawelo GW take cost, $/AF</t>
  </si>
  <si>
    <t>H24</t>
  </si>
  <si>
    <t>Local GW put cost, $/AF</t>
  </si>
  <si>
    <t>Supplies</t>
  </si>
  <si>
    <t>Storage Operations Cost</t>
  </si>
  <si>
    <t>H25</t>
  </si>
  <si>
    <t>Local GW take cost, $/AF</t>
  </si>
  <si>
    <t>H26</t>
  </si>
  <si>
    <t>Semitropic put cost, $/AF</t>
  </si>
  <si>
    <t>H27</t>
  </si>
  <si>
    <t>Semitropic take cost, $/AF</t>
  </si>
  <si>
    <t>H48:T51</t>
  </si>
  <si>
    <t>Alternative local/regional supplies | Yield and Cost</t>
  </si>
  <si>
    <t>Local or Regional supplies</t>
  </si>
  <si>
    <t>Zone 7 Water Supply Options from Table 8-1. Water Supply Options Included in the Backup Portfolios (12 alternatives); ACWD supply options; SCVWD options</t>
  </si>
  <si>
    <t>AX9:AY47</t>
  </si>
  <si>
    <t>GNP Implicit delflator</t>
  </si>
  <si>
    <t>Not necessary</t>
  </si>
  <si>
    <t>BD6:BF6</t>
  </si>
  <si>
    <t>Annual real energy cost increase for "Initial," "Future Delivery," and "Future GW"</t>
  </si>
  <si>
    <t>Dashboard Input -annual real energy cost increase will applied to future WMO costs. Not sure what "initial" means...</t>
  </si>
  <si>
    <t>BG10:BS10</t>
  </si>
  <si>
    <t>AveRate Increase</t>
  </si>
  <si>
    <t>Dashboard Input --this is the retail price escalation factor based on Met's forecast</t>
  </si>
  <si>
    <t>Used to calculated Annual Real Retail Water Rate Increase</t>
  </si>
  <si>
    <t>BG9:BS9</t>
  </si>
  <si>
    <t>Inflation</t>
  </si>
  <si>
    <t>BG11:BS11</t>
  </si>
  <si>
    <t>Rate inflation</t>
  </si>
  <si>
    <t>Model logic</t>
  </si>
  <si>
    <t>BZ10:CD11 &amp; CA15:CF16</t>
  </si>
  <si>
    <t>Assumed Water Transfer Prices for Remand M&amp;I Models</t>
  </si>
  <si>
    <t>Long-term and Contingent Water Management Options</t>
  </si>
  <si>
    <t>MCWEST UWMP</t>
  </si>
  <si>
    <t>row 4</t>
  </si>
  <si>
    <t>2030 Population, millions</t>
  </si>
  <si>
    <t>Demand_Management/Contingency Conservation Campaigns</t>
  </si>
  <si>
    <t>Population</t>
  </si>
  <si>
    <t>For use reduction with contingency conservation (related to cost of conservation campaign)</t>
  </si>
  <si>
    <t>2030 Water Demand, AF (NORMAL CONDITIONS)</t>
  </si>
  <si>
    <t>2030 Water Demand, AF (DRY CONDITIONS)</t>
  </si>
  <si>
    <t>UWMP</t>
  </si>
  <si>
    <t>Ground water   (NORMAL CONDITIONS)</t>
  </si>
  <si>
    <t>Local and Regional Supply Scenarios</t>
  </si>
  <si>
    <t>Groundwater Supply Volume</t>
  </si>
  <si>
    <t>Contractor/Planning Year/Hydrologic Year Type or Time Series</t>
  </si>
  <si>
    <t>Ground water   (DRY CONDITIONS)</t>
  </si>
  <si>
    <t>row 10</t>
  </si>
  <si>
    <t>Surface Water  (NORMAL CONDITIONS)</t>
  </si>
  <si>
    <t>Surface Supply Volume</t>
  </si>
  <si>
    <t>row 24</t>
  </si>
  <si>
    <t>Surface Water  (DRY CONDITIONS)</t>
  </si>
  <si>
    <t>Transfers  (NORMAL CONDITIONS)</t>
  </si>
  <si>
    <t>Long-term Contractual Transfers and Exchanges Supply Volume</t>
  </si>
  <si>
    <t>row 25</t>
  </si>
  <si>
    <t>Transfers  (DRY CONDITIONS)</t>
  </si>
  <si>
    <t>Desalination  (NORMAL CONDITIONS)</t>
  </si>
  <si>
    <t>Desalination Supply Volume</t>
  </si>
  <si>
    <t>row 26</t>
  </si>
  <si>
    <t>Desalination  (DRY CONDITIONS)</t>
  </si>
  <si>
    <t>Total Recycling  (NORMAL CONDITIONS)</t>
  </si>
  <si>
    <t>Recycle Supply Volume</t>
  </si>
  <si>
    <t>row 27</t>
  </si>
  <si>
    <t>Total Recycling  (DRY CONDITIONS)</t>
  </si>
  <si>
    <t>Other Imported Supplies  (NORMAL CONDITIONS)</t>
  </si>
  <si>
    <t>Other Supply Volume</t>
  </si>
  <si>
    <t>row 31</t>
  </si>
  <si>
    <t>Conservation</t>
  </si>
  <si>
    <t>Demand</t>
  </si>
  <si>
    <t>Planned Long-Term Conservation</t>
  </si>
  <si>
    <t>LCPSIM (v37) Parameter File</t>
  </si>
  <si>
    <t>parameter #1</t>
  </si>
  <si>
    <t>Total conveyance capacity available for Central Valley imports (TAF)</t>
  </si>
  <si>
    <t>Using CWEST approach and not inputting capacities by specific aqueducts, but limiting transfers by contractor. Recommended to be considered as a potential future enhancement for studies that may require disaggregation of costs by aqueduct system.</t>
  </si>
  <si>
    <t>Maximum Transfer Limits</t>
  </si>
  <si>
    <t>For transfers</t>
  </si>
  <si>
    <t>parameter #2</t>
  </si>
  <si>
    <t>Base average non-time series regional water supply (TAF)</t>
  </si>
  <si>
    <t>Input by supply type</t>
  </si>
  <si>
    <t>Regional Fixed/Avg. Yield Supply</t>
  </si>
  <si>
    <t>parameter #3</t>
  </si>
  <si>
    <t>Average year applied Ag water use (TAF)</t>
  </si>
  <si>
    <t>Demand by Use Type</t>
  </si>
  <si>
    <t>Data source?</t>
  </si>
  <si>
    <t>parameter #4</t>
  </si>
  <si>
    <t>Reuse of Ag applied water (TAF)</t>
  </si>
  <si>
    <t>Recommendation for future enhancement of the tool</t>
  </si>
  <si>
    <t>Reuse from value above - 10%</t>
  </si>
  <si>
    <t>parameter #5</t>
  </si>
  <si>
    <t>Average year Ag &amp; M&amp;I conveyance and other applied water use (TAF)</t>
  </si>
  <si>
    <t>parameter #6</t>
  </si>
  <si>
    <t>Reuse of Ag &amp; M&amp;I conveyance and other applied water (TAF)</t>
  </si>
  <si>
    <t>parameter #7</t>
  </si>
  <si>
    <t>Average year applied M&amp;I water use after base conservation (TAF)</t>
  </si>
  <si>
    <t>Calculated in model (Total Demand - Planned Conservation)</t>
  </si>
  <si>
    <t>parameter #8</t>
  </si>
  <si>
    <t>Base long-term M&amp;I conservation of applied water (TAF)</t>
  </si>
  <si>
    <t>Demand_Management/Planned Long-term Conservation</t>
  </si>
  <si>
    <t>parameter #9</t>
  </si>
  <si>
    <t>Interruptible program applied use (TAF)</t>
  </si>
  <si>
    <t>Not including in model, MWDSC no longer uses this program</t>
  </si>
  <si>
    <t>parameter #10</t>
  </si>
  <si>
    <t>Total reuse of M&amp;I applied water (TAF)</t>
  </si>
  <si>
    <t>parameter #11</t>
  </si>
  <si>
    <t>Supply-dependent reuse of interior M&amp;I applied water (TAF)</t>
  </si>
  <si>
    <r>
      <rPr>
        <sz val="11"/>
        <rFont val="Calibri"/>
        <family val="2"/>
        <scheme val="minor"/>
      </rPr>
      <t>Reuse which does not arise from a fixed source (i.e., recycling).</t>
    </r>
    <r>
      <rPr>
        <sz val="11"/>
        <color rgb="FFFF0000"/>
        <rFont val="Calibri"/>
        <family val="2"/>
        <scheme val="minor"/>
      </rPr>
      <t xml:space="preserve"> </t>
    </r>
  </si>
  <si>
    <t>parameter #12</t>
  </si>
  <si>
    <t>Supply-dependent reuse of exterior M&amp;I applied water (TAF)</t>
  </si>
  <si>
    <t>Reuse which does not arise from a fixed source (i.e., recycling).</t>
  </si>
  <si>
    <t>parameter #13</t>
  </si>
  <si>
    <t>Interior conservation effectiveness (%)</t>
  </si>
  <si>
    <t>Assuming conservation input in conservation input tables are 100% effective. Not including separate input table for this parameter.</t>
  </si>
  <si>
    <t>Ratio between the reduction in required regional supply and the quantity of applied water conserved.</t>
  </si>
  <si>
    <t>parameter #14</t>
  </si>
  <si>
    <t>Exterior conservation effectiveness (%)</t>
  </si>
  <si>
    <t>parameter #15</t>
  </si>
  <si>
    <t>Cost of reuse of deep percolation ($/AF)</t>
  </si>
  <si>
    <t>Used to reduce the effective cost of conservation to account for any resulting reduction in regional deep percolation.</t>
  </si>
  <si>
    <t>parameter #16</t>
  </si>
  <si>
    <t>Share of exterior use unaffected by ETAW (%)</t>
  </si>
  <si>
    <t>Share of exterior use which is assumed to be fixed rather than vary directly with ETAW.</t>
  </si>
  <si>
    <t>parameter #17</t>
  </si>
  <si>
    <t>Federal service contract aqueduct capacity (TAF)</t>
  </si>
  <si>
    <t>Using CWEST approach and not modeling aqueduct capacities. Recommended future enhancement for studies that may require disaggregation of costs by aqueduct system.</t>
  </si>
  <si>
    <t>Maximum transfer limit</t>
  </si>
  <si>
    <t>parameter #18</t>
  </si>
  <si>
    <t>Table A amount affecting federal svc aqueduct capacity (TAF)</t>
  </si>
  <si>
    <t>Federal service contract aqueduct capacity required for full SWP Table A exchange deliveries. Used with Table A percentage delivery time series file to model residual capacity in the Colorado River Aqueduct for the South Coast Region.</t>
  </si>
  <si>
    <t>parameter #19</t>
  </si>
  <si>
    <t>Cost of federal svc aqueduct conveyance ($/AF)</t>
  </si>
  <si>
    <t>Cost applied to Colorado River supply and other regional supplies</t>
  </si>
  <si>
    <t>parameter #20</t>
  </si>
  <si>
    <t>Cost of federal svc aqueduct use to GW bank ($/AF)</t>
  </si>
  <si>
    <t>In meeting on Jan 12, 2022, we decided to consolidate this cost assumption with the put cost to groundwater bank.</t>
  </si>
  <si>
    <t>Groundwater put cost</t>
  </si>
  <si>
    <t>Contractor/future planning year</t>
  </si>
  <si>
    <t>parameter #21</t>
  </si>
  <si>
    <t>Cost of SWP aqueduct use to region ($/AF)</t>
  </si>
  <si>
    <t>In meeting on Jan 12, 2022, we decided to consolidate this cost assumption with put cost to groundwater bank.</t>
  </si>
  <si>
    <t>Carryover Storage and Banking Operations Cost</t>
  </si>
  <si>
    <t>Contractor/Storage Type/Planning Year</t>
  </si>
  <si>
    <t>Variable OMP&amp;R</t>
  </si>
  <si>
    <t>parameter #22</t>
  </si>
  <si>
    <t>Cost of SWP aqueduct use to GW bank ($/AF)</t>
  </si>
  <si>
    <t>parameter #23</t>
  </si>
  <si>
    <t>Value of interruptible program delivery ($/AF)</t>
  </si>
  <si>
    <t>Assumed to be the price paid by users of that supply.</t>
  </si>
  <si>
    <t>parameter #24</t>
  </si>
  <si>
    <t>Fraction of interruptible supply treated (%)</t>
  </si>
  <si>
    <t>Interruptible supplies not to be included in new model.</t>
  </si>
  <si>
    <t>parameter #25</t>
  </si>
  <si>
    <t>Fraction of single-family residential use that is interior (%)</t>
  </si>
  <si>
    <t>Demands_and_Uses/Interior and Exterior Use by Type</t>
  </si>
  <si>
    <t>parameter #26</t>
  </si>
  <si>
    <t>Fraction of multi-family residential use that is interior (%)</t>
  </si>
  <si>
    <t>parameter #27</t>
  </si>
  <si>
    <t>Fraction of commercial use that is interior (%)</t>
  </si>
  <si>
    <t>parameter #28</t>
  </si>
  <si>
    <t>Fraction of industrial use that is interior (%)</t>
  </si>
  <si>
    <t>parameter #29</t>
  </si>
  <si>
    <t>Fraction of wastewater centrally treated (%)</t>
  </si>
  <si>
    <t>Treatment Operations</t>
  </si>
  <si>
    <t>Excludes wastewater going to septic tanks.</t>
  </si>
  <si>
    <t>parameter #30</t>
  </si>
  <si>
    <t>Cost of M&amp;I potable water treatment and delivery</t>
  </si>
  <si>
    <t>Dashboard input (note we're separating treatment and distribution cost input tables for now, might consider combining pending what the data we obtain looks like.)</t>
  </si>
  <si>
    <t>Treatment and Distribution Costs</t>
  </si>
  <si>
    <t>Cost of M&amp;I potable water treatment</t>
  </si>
  <si>
    <t>parameter #31</t>
  </si>
  <si>
    <t>Cost of M&amp;I wastewater treatment</t>
  </si>
  <si>
    <t>parameter #32</t>
  </si>
  <si>
    <t>Cost of M&amp;I delivery</t>
  </si>
  <si>
    <t>Cost of M&amp;I Distribution ($/acre-feet)</t>
  </si>
  <si>
    <t>parameter #33</t>
  </si>
  <si>
    <t>Multi-family residential customer size (%)</t>
  </si>
  <si>
    <t>Demand By Use Type</t>
  </si>
  <si>
    <t>Multi-Family Residential Use (AFY)</t>
  </si>
  <si>
    <t>Size of customer category for which use reduction will be held to the respective cut ratio compared to residential users. *Reduction to water availability in shortage events.</t>
  </si>
  <si>
    <t>parameter #34</t>
  </si>
  <si>
    <t>Industrial customer size (% of total use)</t>
  </si>
  <si>
    <t>Industrial Use (AFY)</t>
  </si>
  <si>
    <t>Size of customer category for which use reduction will be held to the respective cut ratio compared to residential users.</t>
  </si>
  <si>
    <t>parameter #35</t>
  </si>
  <si>
    <t>Commercial customer size (% of total use)</t>
  </si>
  <si>
    <t>Commercial and Governmental Use (AFY)</t>
  </si>
  <si>
    <t>parameter #36</t>
  </si>
  <si>
    <t>Landscape customer size (% of total use)</t>
  </si>
  <si>
    <t>Landscape Use (AFY)</t>
  </si>
  <si>
    <t>Should be in UWMP or agency website (may have shortage plans)</t>
  </si>
  <si>
    <t>parameter #37</t>
  </si>
  <si>
    <t>Cost for publicity campaign ($/capita)</t>
  </si>
  <si>
    <t>Contingency Conservation Campaigns</t>
  </si>
  <si>
    <t>parameter #38</t>
  </si>
  <si>
    <t>Use reduction with contingency conservation campaign (%)</t>
  </si>
  <si>
    <t>parameter #39</t>
  </si>
  <si>
    <t>NA (same as parameter #38)</t>
  </si>
  <si>
    <t>parameter #40</t>
  </si>
  <si>
    <t>Take call ratio for using contingency conservation (%)</t>
  </si>
  <si>
    <t>TBD pending input from Met</t>
  </si>
  <si>
    <t>Used for triggering contingency conservation over and above a mass balance requirement for its use. When (1 - capacity use ratio)/(1 - capacity use ratio limit) + (take call ratio)/(take call ratio limit) exceeds 1, contingency conservation is triggered (unrestricted transfers, if available, are used in the call calculation for this purpose).</t>
  </si>
  <si>
    <t>parameter #41</t>
  </si>
  <si>
    <t>Capacity use ratio for using contingency conservation (%)</t>
  </si>
  <si>
    <t>parameter #42</t>
  </si>
  <si>
    <t>Interior use cut ratio (%)</t>
  </si>
  <si>
    <t>Interior use cut ratio (% of Total Use Reduction)</t>
  </si>
  <si>
    <r>
      <t xml:space="preserve">Ratio at which interior urban use will be cut relative to total cut in urban use. </t>
    </r>
    <r>
      <rPr>
        <i/>
        <sz val="11"/>
        <rFont val="Calibri"/>
        <family val="2"/>
        <scheme val="minor"/>
      </rPr>
      <t>Associated with reuse computation. Cost saving from reduced wastewater production.</t>
    </r>
  </si>
  <si>
    <t>parameter #43</t>
  </si>
  <si>
    <t>Multi-family residential customer cut ratio (%)</t>
  </si>
  <si>
    <t>Rationing Programs</t>
  </si>
  <si>
    <t>Ratios with which users in the respective customer categories will be cut relative to residential users.</t>
  </si>
  <si>
    <t>parameter #44</t>
  </si>
  <si>
    <t>Industrial customer cut ratio (%)</t>
  </si>
  <si>
    <t xml:space="preserve">Ratios with which users in the respective customer categories will be cut relative to residential users. </t>
  </si>
  <si>
    <t>parameter #45</t>
  </si>
  <si>
    <t>Commercial customer cut ratio (%)</t>
  </si>
  <si>
    <t>parameter #46</t>
  </si>
  <si>
    <t>Landscape customer cut ratio (%)</t>
  </si>
  <si>
    <t>parameter #47</t>
  </si>
  <si>
    <t>Threshold for shortage allocation</t>
  </si>
  <si>
    <t>Economic Function</t>
  </si>
  <si>
    <t>Below this point, all users will experience the same percentage reduction.</t>
  </si>
  <si>
    <t>parameter #48</t>
  </si>
  <si>
    <t>Threshold to adjust loss for proximate shortages (%)</t>
  </si>
  <si>
    <t>Proximate losses are increased by a loss adjustment factor to account for residual damage effects: (consecutive shortage adjustment factor)/ (year of subsequent shortage ^ power function exponent)
No loss adjustment is made for loss event years more than two years apart (year of subsequent shortage = 3)</t>
  </si>
  <si>
    <t>Should be in UWMP or agency website (may have in shortage plans)</t>
  </si>
  <si>
    <t>parameter #49</t>
  </si>
  <si>
    <t>Loss value adjustment factor for consecutive shortages</t>
  </si>
  <si>
    <t>parameter #50</t>
  </si>
  <si>
    <t>Inverse power function exponent for loss value adjustment</t>
  </si>
  <si>
    <t>parameter #51</t>
  </si>
  <si>
    <t>Zero point for contingency reduction of interruptible deliveries (%)</t>
  </si>
  <si>
    <t>NA (not including interruptible program)</t>
  </si>
  <si>
    <t>At this point and above, interruptible deliveries are not made.</t>
  </si>
  <si>
    <t>parameter #52</t>
  </si>
  <si>
    <t>Shortage contingency water transfer threshold (%)</t>
  </si>
  <si>
    <t>Water Market Transfers</t>
  </si>
  <si>
    <t>Used if a regional shortage has to exceed a specified percentage before transfers from this source type are allowed.</t>
  </si>
  <si>
    <t>parameter #53</t>
  </si>
  <si>
    <t>Depleted carryover storage water transfer threshold (%)</t>
  </si>
  <si>
    <t>Depleted carryover storage water transfer threshold (AF)</t>
  </si>
  <si>
    <t>The ratio of supply in carryover storage to carryover storage take capacity at which transfers to replenish carryover storage are triggered.</t>
  </si>
  <si>
    <t>parameter #54</t>
  </si>
  <si>
    <t>Cost for rationing program (%/capita)</t>
  </si>
  <si>
    <t>parameter #55</t>
  </si>
  <si>
    <t>Rationing program threshold (%)</t>
  </si>
  <si>
    <t>parameter #56</t>
  </si>
  <si>
    <t>Regional urban population (thousands)</t>
  </si>
  <si>
    <t>Urban population (thousands)</t>
  </si>
  <si>
    <t>Used for conservation reduction</t>
  </si>
  <si>
    <t>parameter #57</t>
  </si>
  <si>
    <t>Price for CPED function ($)</t>
  </si>
  <si>
    <t>Rationing Programs and Economic Loss Cost Assumptions</t>
  </si>
  <si>
    <t>parameter #58</t>
  </si>
  <si>
    <t>Elasticity for CPED function</t>
  </si>
  <si>
    <t>Elasticity</t>
  </si>
  <si>
    <t>parameter #59</t>
  </si>
  <si>
    <t>Demand hardening adjustment factor (%)</t>
  </si>
  <si>
    <t>The factor by which use reductions through conservation options as a percentage of initial use are used to adjust shortage size (i.e., effective shortage).</t>
  </si>
  <si>
    <t>parameter #60</t>
  </si>
  <si>
    <t>Hedging point (%)</t>
  </si>
  <si>
    <t>Storage Hedging Strategy</t>
  </si>
  <si>
    <t>Parameters used for hedging logic: if storage is less than hedging point then percent of storage made available is 
1- (call/storage factor)*(call/storage ratio)*(storage/capacity ratio)^(- storage/capacity factor).</t>
  </si>
  <si>
    <t>parameter #61</t>
  </si>
  <si>
    <t>Hedging call/storage factor</t>
  </si>
  <si>
    <t>parameter #62</t>
  </si>
  <si>
    <t>Hedging capacity/storage factor</t>
  </si>
  <si>
    <t>parameter #63</t>
  </si>
  <si>
    <t>Reserve reservoir storage hedging: 0: None, 1: Hedged</t>
  </si>
  <si>
    <t>Storage Hedging Strategy Switch</t>
  </si>
  <si>
    <t>Storage categories included for hedging purposes (hedging is applied to the total storage amount).</t>
  </si>
  <si>
    <t>parameter #64</t>
  </si>
  <si>
    <t>Regional reservoir hedging 0: None, 1: Hedged</t>
  </si>
  <si>
    <t>parameter #65</t>
  </si>
  <si>
    <t>Regional GW hedging: 0: None, 1: Hedged</t>
  </si>
  <si>
    <t>parameter #66</t>
  </si>
  <si>
    <t>Regional GW bank hedging: 0: None, 1: Hedged</t>
  </si>
  <si>
    <t>parameter #67</t>
  </si>
  <si>
    <t>SWP aqueduct GW bank hedging: 0: None, 1: Hedged</t>
  </si>
  <si>
    <t>parameter #68</t>
  </si>
  <si>
    <t>Federal svc aqueduct GW bank hedging: 0: None, 1: Hedged</t>
  </si>
  <si>
    <t>parameter #69</t>
  </si>
  <si>
    <t>Reserve storage management: 0: None, 1: Managed</t>
  </si>
  <si>
    <t xml:space="preserve">When managed is selected, top priority is given to refill for this type of storage, triggering conservation if required. </t>
  </si>
  <si>
    <t>LCPSIM (v37) Time Series</t>
  </si>
  <si>
    <t>SWP Table A Delivery</t>
  </si>
  <si>
    <t>CALSIM SWP Table A contractor deliveries</t>
  </si>
  <si>
    <t>SWP and/or CVP Supplies</t>
  </si>
  <si>
    <t>SWP Article 21 Delivery</t>
  </si>
  <si>
    <t>CALSIM SWP Article 21 contractor deliveries</t>
  </si>
  <si>
    <t>Federal Contract Delivery</t>
  </si>
  <si>
    <t>Deliveries based on federal water service contracts (e.g., CALSIM CVP contractor deliveries)3</t>
  </si>
  <si>
    <t>Other Variable Supply</t>
  </si>
  <si>
    <t>Regional supply unaffected by study scenarios</t>
  </si>
  <si>
    <t>Regional supplies</t>
  </si>
  <si>
    <t>Ag Applied Use Factor</t>
  </si>
  <si>
    <t>Weighted variation in crop ETAW from average</t>
  </si>
  <si>
    <t>Only turfgrass ETAW factor per contractor</t>
  </si>
  <si>
    <t>time series</t>
  </si>
  <si>
    <t>SIMETAW</t>
  </si>
  <si>
    <t>External Urban Use Factor</t>
  </si>
  <si>
    <t>Weighted variation in turfgrass ETAW from average</t>
  </si>
  <si>
    <t>Contractor/time series</t>
  </si>
  <si>
    <t>SWP GW Augmentation</t>
  </si>
  <si>
    <t>CALSIM GW augmentation deliveries</t>
  </si>
  <si>
    <t>Total Transfer Limit</t>
  </si>
  <si>
    <t>CALSIM water market total transfer capacities (quantities at source)</t>
  </si>
  <si>
    <t>SAC Transfer Limit</t>
  </si>
  <si>
    <t>CALSIM Sacramento Valley water market transfer delivery capacities net of losses</t>
  </si>
  <si>
    <t>Contingent WMOs</t>
  </si>
  <si>
    <t>Agriculture to Urban Transfer Limit and Urban to Urban Transfer Limit</t>
  </si>
  <si>
    <t>SJV Transfer Limit</t>
  </si>
  <si>
    <t>CALSIM San Joaquin Valley water market transfer delivery capacities net of losses</t>
  </si>
  <si>
    <t>SAC Transfer Factor</t>
  </si>
  <si>
    <t>CALSIM Sacramento Valley water market transfer loss factors</t>
  </si>
  <si>
    <t>Water Market Transfer Loss Factor</t>
  </si>
  <si>
    <t>SJV Transfer Factor</t>
  </si>
  <si>
    <t>CALSIM San Joaquin Valley water market transfer loss factors</t>
  </si>
  <si>
    <t>Table A Percentage</t>
  </si>
  <si>
    <t>CALSIM SWP contractor deliveries as a percentage of Table A contract amounts</t>
  </si>
  <si>
    <t>SWP Carryover Storage</t>
  </si>
  <si>
    <t>Capacity for undelivered water to be stored by the SWP in San Luis Reservoir for delivery in the following year</t>
  </si>
  <si>
    <t>Table A Turnbacks</t>
  </si>
  <si>
    <t>SWP Table A deliveries assumed to be available due to inability to use them in another region</t>
  </si>
  <si>
    <t>Article 21 Turnbacks</t>
  </si>
  <si>
    <t>SWP Article 21 deliveries assumed to be available due to inability to use them in another region</t>
  </si>
  <si>
    <t>LCPSIM (v37) Water Management Options</t>
  </si>
  <si>
    <t>Water Management Options</t>
  </si>
  <si>
    <t>Indoor Conservation Levels 1-IV</t>
  </si>
  <si>
    <t>Dashboard Input (just one conservation input table)</t>
  </si>
  <si>
    <t>Additional Conservation Volume</t>
  </si>
  <si>
    <t>Water Recycling Levels I - III</t>
  </si>
  <si>
    <t>Ocean Water Desalting I-II</t>
  </si>
  <si>
    <t>Cost (Base) ($/AF) (for each WMO)</t>
  </si>
  <si>
    <t>Cost Functions by Supply Type</t>
  </si>
  <si>
    <t>Base Cost</t>
  </si>
  <si>
    <t>Contractor/Supply Type</t>
  </si>
  <si>
    <t>Cost (Incremental) ($/TAF)  (for each WMO)</t>
  </si>
  <si>
    <t>Incremental Cost</t>
  </si>
  <si>
    <t>Change in Net Use (% of Applied)</t>
  </si>
  <si>
    <t>Model Logic</t>
  </si>
  <si>
    <t xml:space="preserve">Ratio between the applied water conserved and reduction in required regional supply (i.e., net use). Conservation can reduce surface runoff and/or deep percolation, both of which can be sources of applied water within a region. For this reason, an acre-foot of applied water reduction by conservation can result in a reduction of less than of an acre-foot in the need for regional supplies. </t>
  </si>
  <si>
    <t>LCPSIM (v37) Polynomial Loss Function</t>
  </si>
  <si>
    <t>Polynomial Loss Function</t>
  </si>
  <si>
    <t>Coefficients 1-4</t>
  </si>
  <si>
    <t>LCPSIM (v37) Carryover Storage</t>
  </si>
  <si>
    <t>Operation #1</t>
  </si>
  <si>
    <t>Capacity (TAF)</t>
  </si>
  <si>
    <t>Carryover Storage and GW Banking Operations</t>
  </si>
  <si>
    <t>Maximum Storage Capacity</t>
  </si>
  <si>
    <t>Contractor/Planning Year/One for surface carryover and one for groundwater bank</t>
  </si>
  <si>
    <t>varies by facility</t>
  </si>
  <si>
    <t xml:space="preserve">Facilities include: Reserve Reservoir Operations, In-Region Reservoir Operations, IRP GW Program, Prop 13 &amp; Raymond Basin GW, North Los Posas Banking, San Bernardino Banking, Colorado River Aqueduct GW Banking Operations, Kern-Delta WD &amp; North Kern WSD, Semitropic WSD, Mojave WSD, Arvin-Edison WSD, SWP Carryover Storage </t>
  </si>
  <si>
    <t>Operation #2</t>
  </si>
  <si>
    <t>Initial Fill</t>
  </si>
  <si>
    <t>Initial Storage Volume</t>
  </si>
  <si>
    <t>Operation #3</t>
  </si>
  <si>
    <t>Recharge Effectiveness</t>
  </si>
  <si>
    <t>GW Banking Operations</t>
  </si>
  <si>
    <t>Recharge Effectiveness (%)</t>
  </si>
  <si>
    <t>Operation #4</t>
  </si>
  <si>
    <t>Put Limit (TAF)</t>
  </si>
  <si>
    <t>Maximum Put Capacity</t>
  </si>
  <si>
    <t>Operation #5</t>
  </si>
  <si>
    <t>Put Cost</t>
  </si>
  <si>
    <t>Cost</t>
  </si>
  <si>
    <t>Operation #6</t>
  </si>
  <si>
    <t>Put Priority</t>
  </si>
  <si>
    <t>Model should assume groundwater is filled first, then surface based on conversation with Brandon</t>
  </si>
  <si>
    <t>Operation #7</t>
  </si>
  <si>
    <t>Take Limit (TAF)</t>
  </si>
  <si>
    <t>Maximum Take Capacity</t>
  </si>
  <si>
    <t>Operation #8</t>
  </si>
  <si>
    <t>Take Cost</t>
  </si>
  <si>
    <t>Operation #9</t>
  </si>
  <si>
    <t>Take Priority</t>
  </si>
  <si>
    <t>Not including based on feedback from Met</t>
  </si>
  <si>
    <t>Operation #10</t>
  </si>
  <si>
    <t>Class</t>
  </si>
  <si>
    <t>Classes simplified to surface carryover and groundwater banking as CWEST had implemented</t>
  </si>
  <si>
    <t>Operation #11</t>
  </si>
  <si>
    <t>Type</t>
  </si>
  <si>
    <t>Type was used to link to conveyance and treatment costs, which will be accounted for in each contractor's put and take cost assumptions table</t>
  </si>
  <si>
    <t>Operation #12</t>
  </si>
  <si>
    <t>Opr. Rule</t>
  </si>
  <si>
    <t>Specific operating rules have their own switches (i.e. there's an input table called "Storage Hedging Strategy Switch"). Additional operational complexities and strategies can be taken into consideration in future model enhancements.</t>
  </si>
  <si>
    <t>LCPSIM (v37) Water Transfers Market</t>
  </si>
  <si>
    <t>Water Transfers Market</t>
  </si>
  <si>
    <t>Amount Available</t>
  </si>
  <si>
    <t>Cost (Base) ($/af)</t>
  </si>
  <si>
    <t>Cost (Incremental) ($/TAF)</t>
  </si>
  <si>
    <t>Conveyance (Type)</t>
  </si>
  <si>
    <t>Accounted for in transfer limits and cost inputs by contractor</t>
  </si>
  <si>
    <t>Max Interval (% of available)</t>
  </si>
  <si>
    <t>Max Sequential (% of avail)</t>
  </si>
  <si>
    <t>Deliv. Adj. (%)</t>
  </si>
  <si>
    <t>LCPSIM (v37) Water Transfers Market Year-Type Cost</t>
  </si>
  <si>
    <t>Water Market Year-Type Cost</t>
  </si>
  <si>
    <t>SV Base Cost ($/AF) (by year type)</t>
  </si>
  <si>
    <t>Contingent Water Management Option</t>
  </si>
  <si>
    <t>Water Market Transfer Cost</t>
  </si>
  <si>
    <t>SV Inc Cost ($/TAF) (by year type)</t>
  </si>
  <si>
    <t>Only including one cost input for water market transfers</t>
  </si>
  <si>
    <t>SJV Base Cost ($/AF) (by year type)</t>
  </si>
  <si>
    <t>SJV Inc Cost ($/TAF) (by year type)</t>
  </si>
  <si>
    <t>LCPSIM (v37) Hydrologic Reliability Criteria</t>
  </si>
  <si>
    <t>Hydrologic Reliability Criteria</t>
  </si>
  <si>
    <t>Criteria Step</t>
  </si>
  <si>
    <t>Freq of Exceedance</t>
  </si>
  <si>
    <t xml:space="preserve">LCPSIM (v37) Percent Delivery Constrained Take Rule </t>
  </si>
  <si>
    <t xml:space="preserve">Percent Delivery Constrained Take Rule </t>
  </si>
  <si>
    <t>Table A Allotment (TAF)</t>
  </si>
  <si>
    <t>Using CWEST approach and simplifying carryover storage and groundwater bank operations. Recommendation for future enhancement of the tool.</t>
  </si>
  <si>
    <t>Reserved Table A (TAF)</t>
  </si>
  <si>
    <t>Share of Bank (%)</t>
  </si>
  <si>
    <t>Base Take Available (TAF)</t>
  </si>
  <si>
    <t>LCPSIM (v37) Cons Take Constrained Take Rule</t>
  </si>
  <si>
    <t>Cons Take Constrained Take Rule</t>
  </si>
  <si>
    <t>Year Number</t>
  </si>
  <si>
    <t>Available (%)</t>
  </si>
  <si>
    <t>UWMP Reported Use Type</t>
  </si>
  <si>
    <t>CaUWMET Use Type</t>
  </si>
  <si>
    <t>Agricultural irrigation</t>
  </si>
  <si>
    <t>Agriculture</t>
  </si>
  <si>
    <t>Losses</t>
  </si>
  <si>
    <t>Other</t>
  </si>
  <si>
    <t>Sales to other agencies</t>
  </si>
  <si>
    <t>Retail demand for use by agencies that are primarily wholesalers with a small volume of retail sales</t>
  </si>
  <si>
    <t>Groundwater recharge</t>
  </si>
  <si>
    <t>Other Potable</t>
  </si>
  <si>
    <t>Other Non-Potable</t>
  </si>
  <si>
    <t>Exchanges to other agencies</t>
  </si>
  <si>
    <t>Wetlands or wildlife habitat</t>
  </si>
  <si>
    <t>Transfers to other agencies</t>
  </si>
  <si>
    <t>Single Family</t>
  </si>
  <si>
    <t>Single-Family Residential</t>
  </si>
  <si>
    <t>Multi-Family</t>
  </si>
  <si>
    <t>Multi-Family Residential</t>
  </si>
  <si>
    <t>Commercial</t>
  </si>
  <si>
    <t>Industrial</t>
  </si>
  <si>
    <t>Landscape</t>
  </si>
  <si>
    <t>Institutional/Governmental</t>
  </si>
  <si>
    <t>Commercial, Institutional, Governmental</t>
  </si>
  <si>
    <t>Sales/Transfers/Exchanges to other agencies</t>
  </si>
  <si>
    <t>Saline water intrusion barrier</t>
  </si>
  <si>
    <t>Excess Supply Switch Options</t>
  </si>
  <si>
    <t>Turn Back Pool</t>
  </si>
  <si>
    <t>Reduce Groundwater Pumping</t>
  </si>
  <si>
    <t>Groundwater Bank</t>
  </si>
  <si>
    <t>Carryover Storage</t>
  </si>
  <si>
    <t>Groundwater Bank and Carryover Storage</t>
  </si>
  <si>
    <t>Table Name</t>
  </si>
  <si>
    <t>Associated CaUWMET Input Data</t>
  </si>
  <si>
    <t>Table 2-3 Supplier Identification</t>
  </si>
  <si>
    <t>Table 2-4 Retail: Water Supplier Information Exchange</t>
  </si>
  <si>
    <t>Table 3-1 Current and Projected Population</t>
  </si>
  <si>
    <t>Table 4-1 Demands for Potable and Non-Potable Water</t>
  </si>
  <si>
    <t>Table 4-2 Use for Potable and Raw Water – Projected</t>
  </si>
  <si>
    <t>Table 4-3 Total Water Use (Potable and Non-Potable)</t>
  </si>
  <si>
    <t>Table 4-5 Inclusion in Water Use Projections</t>
  </si>
  <si>
    <t>Base Conservation</t>
  </si>
  <si>
    <t>Table 6-4 Recycled Water Direct Beneficial Uses within Service Area</t>
  </si>
  <si>
    <t>Table 6-6 Methods to Expand Future Recycled Water Use</t>
  </si>
  <si>
    <t>Table 6-7 Expected Future Water Supply Projects or Programs</t>
  </si>
  <si>
    <t>Table 6-8 2020 Water Supplies Actual</t>
  </si>
  <si>
    <t>Table 6-9 Water Supplies – Projected</t>
  </si>
  <si>
    <t>Local Fixed Yield Supplies (normal year only)</t>
  </si>
  <si>
    <t>Table 7-1 Basis of Water Year Data</t>
  </si>
  <si>
    <t>Table 7-2 Normal Year Supply and Demand Comparison</t>
  </si>
  <si>
    <t>Total Demand (Normal or Better)</t>
  </si>
  <si>
    <t>Table 7-3 Single Dry Year Supply and Demand Comparison</t>
  </si>
  <si>
    <t>Total Demand (Single Dry Year)</t>
  </si>
  <si>
    <t>Single Dry Year values are reported at the aggregated, total supply level. Will need to review UWMP PDFs to obtain information at the individual supply-type level.</t>
  </si>
  <si>
    <t>Table 7-4 Multiple Dry Year Supply and Demand Comparison</t>
  </si>
  <si>
    <t>Total Demand (Multi-Dry Year)</t>
  </si>
  <si>
    <t>Multi-Dry Year values are reported at the aggregated, total supply level. Will need to review UWMP PDFs to obtain information at the individual supply-type level.</t>
  </si>
  <si>
    <t>Table 7-5 Five-Year Drought Risk Assessment Tables to address Water Code Section 10635(b)</t>
  </si>
  <si>
    <t>Table 8-1 Water Shortage Contingency Plan Levels</t>
  </si>
  <si>
    <t>Table 8-2 Demand Reduction Actions</t>
  </si>
  <si>
    <t>Table 8-3 Supply Augmentation and Other Actions</t>
  </si>
  <si>
    <t>2020 Final or Draft UWMP Collected?</t>
  </si>
  <si>
    <t>Water Shortage Contingency Plan</t>
  </si>
  <si>
    <t>Included in Appendix 5D/CWEST</t>
  </si>
  <si>
    <t>UWMP reviewer</t>
  </si>
  <si>
    <t>Long-term WMO</t>
  </si>
  <si>
    <t>Butte County</t>
  </si>
  <si>
    <t>No UWMP</t>
  </si>
  <si>
    <t>Not included in CWEST, not discussed in Appendix 5D</t>
  </si>
  <si>
    <t>No/No</t>
  </si>
  <si>
    <t>City of Folsom</t>
  </si>
  <si>
    <t>Final</t>
  </si>
  <si>
    <t>Kensey - complete</t>
  </si>
  <si>
    <t>Recycled</t>
  </si>
  <si>
    <t>City of Redding</t>
  </si>
  <si>
    <t>Daya</t>
  </si>
  <si>
    <t>Conservation and/or groundwater</t>
  </si>
  <si>
    <t>City of Roseville</t>
  </si>
  <si>
    <t>https://www.roseville.ca.us/UserFiles/Servers/Server_7964838/File/Government/Departments/Environmental%20Utilities/Water/Draft%20Roseville%20Water%20Shortage%20Contingency%20Plan.pdf</t>
  </si>
  <si>
    <t>Groundwater or purchased water</t>
  </si>
  <si>
    <t>City of West Sacramento</t>
  </si>
  <si>
    <t>Purchase supplies from City of Sacramento</t>
  </si>
  <si>
    <t>Yuba City</t>
  </si>
  <si>
    <t>Groundwater</t>
  </si>
  <si>
    <t>El Dorado Irrigation District</t>
  </si>
  <si>
    <t>Need to review carryover storage in UWMP</t>
  </si>
  <si>
    <t>CVP transfer</t>
  </si>
  <si>
    <t>Napa County Flood Control &amp; Water Conservation District</t>
  </si>
  <si>
    <r>
      <t xml:space="preserve">Don't see any historical UWMPs for this agency, only City of Napa. Website says SWP deliveries accounted for in water budget in GSP (https://www.countyofnapa.org/Faq.aspx?QID=950). May need to use GSP instead: https://www.countyofnapa.org/3218/Draft-GSP-Sections-Surveys.
Municipal Service Review here notes City of Napa and American Canyon do UWMPs: https://www.napa.lafco.ca.gov/uploads/documents/CountywideWaterWastewaterMSR_ApprovedFinal_11-2-20.pdf
</t>
    </r>
    <r>
      <rPr>
        <b/>
        <sz val="11"/>
        <color theme="1"/>
        <rFont val="Calibri"/>
        <family val="2"/>
        <scheme val="minor"/>
      </rPr>
      <t>Ray's UWMP worksheet notes he collected data from communications with agency. 
Not included in LTO EIS Appendix 5D.</t>
    </r>
  </si>
  <si>
    <t>No/Yes</t>
  </si>
  <si>
    <t>Placer County Water Agency</t>
  </si>
  <si>
    <t>Sacramento County Water Agency</t>
  </si>
  <si>
    <t>Groundwater and surface water/WTP expansion. Liz to add cost of water treatment plant expansion</t>
  </si>
  <si>
    <t>San Juan Water District</t>
  </si>
  <si>
    <t>Shasta Contractors</t>
  </si>
  <si>
    <t>No UWMP except City of Shasta Lake</t>
  </si>
  <si>
    <r>
      <t xml:space="preserve">Includes Shasta Lake, City of, Shasta County Water Agency, Centerville Community Services District, Mountain Gate Community Services District, and Shasta Community Services District. Only City of Shasta Lake UWMP found.
</t>
    </r>
    <r>
      <rPr>
        <b/>
        <sz val="11"/>
        <color theme="1"/>
        <rFont val="Calibri"/>
        <family val="2"/>
        <scheme val="minor"/>
      </rPr>
      <t>Not sure how Ray developed assumptions for other contractors. Only Shasta Lake included in spreadsheet.</t>
    </r>
  </si>
  <si>
    <t>Yes, Shasta County not explicitly included but Bella Vista notes indicate Shasta County Water Agency CVP contract serves Bella Vista Water District</t>
  </si>
  <si>
    <t>Solano County Water Agency</t>
  </si>
  <si>
    <t>https://www.scwa2.com/about-us/reports-publications/
Had UWMPs in the past but reported to DWR they do not consider themselves an urban water supplier so discontinued UWMP efforts.</t>
  </si>
  <si>
    <t>City of Avenal</t>
  </si>
  <si>
    <t>USBR WMP: https://www.cityofavenal.com/DocumentCenter/View/1935/Adopted-USBR-Water-Management-Plan?bidId=</t>
  </si>
  <si>
    <t>City of Coalinga</t>
  </si>
  <si>
    <t>Transfers</t>
  </si>
  <si>
    <t>City of Fresno</t>
  </si>
  <si>
    <t>Expanded surface water treatment and groundwater. Liz to add cost of water treatment plant expansion.</t>
  </si>
  <si>
    <t>City of Huron</t>
  </si>
  <si>
    <t>City of Lindsay</t>
  </si>
  <si>
    <t>City of Orange Cove</t>
  </si>
  <si>
    <t>City of Tracy</t>
  </si>
  <si>
    <t>Need to find groundwater put/take capacities</t>
  </si>
  <si>
    <t>Recycled and Exchange</t>
  </si>
  <si>
    <t>Kern County Water Agency</t>
  </si>
  <si>
    <t>Final for KCWA ID-4 only</t>
  </si>
  <si>
    <t>Other Friant-Kern M&amp;I Contractors</t>
  </si>
  <si>
    <t>Includes Arvin-Edison Water Storage District, Delano-Earlimart Irrigation District, and Lindsay-Strathmore Irrigation District</t>
  </si>
  <si>
    <t>Stockton-East Water District</t>
  </si>
  <si>
    <t>Surface water, groundwater, and transfers</t>
  </si>
  <si>
    <t>Alameda County Flood Control and Water Conservation District, Zone 7</t>
  </si>
  <si>
    <t>Chain of Lakes long-term WMO - not clear what sources will fill these lakes and it might include SWP.</t>
  </si>
  <si>
    <t>Alameda County Water District</t>
  </si>
  <si>
    <t>Groundwater bank data in UWMP</t>
  </si>
  <si>
    <t>Potable reuse, recycled, conservation</t>
  </si>
  <si>
    <t>Contra Costa Water District</t>
  </si>
  <si>
    <t>Waiting until confirmed we are including contractor</t>
  </si>
  <si>
    <t>East Bay Municipal Utilities District</t>
  </si>
  <si>
    <t>Kensey</t>
  </si>
  <si>
    <t>San Benito County Water District, Zone 6</t>
  </si>
  <si>
    <t>Semitropic bank access mentioned in 2020 UWMP but no input data provided except that their current stored volume is zero. Not listed as a banking partner on Semitropic's website.</t>
  </si>
  <si>
    <t xml:space="preserve">Groundwater, and carryover storage listed as an option but not enough detail to populate input data tables. Pacheco Reservoir Expansion Project - CVP carryover storage project. </t>
  </si>
  <si>
    <t>Santa Clara Valley Water District</t>
  </si>
  <si>
    <t>Not clear how new projects are accounted for in reporting of existing supply projections.</t>
  </si>
  <si>
    <t>Surface water, potable reuse, transfers</t>
  </si>
  <si>
    <t>San Luis Obispo County Flood Control &amp; Water Conservation District</t>
  </si>
  <si>
    <t>Santa Barbara County Flood Control &amp; Water Conservation District</t>
  </si>
  <si>
    <t>Could only find UWMPs for its retailers (e.g. City of SB and Goleta)</t>
  </si>
  <si>
    <t>Antelope Valley-East Kern Water Agency</t>
  </si>
  <si>
    <t>Groundwater banking expansion discussed as future supply option. Up to 85,400 AF reported for 2 of 4 projects, could round up to 100,000 as an estimate for additional capacity available for 2 remaining banks.</t>
  </si>
  <si>
    <t>Santa Clarita Water Division</t>
  </si>
  <si>
    <t>Kensey to look at banking and Flexible Storage Accounts. See table #7-2, 7-3, 7-4 for example</t>
  </si>
  <si>
    <t>Coachella Valley Water District</t>
  </si>
  <si>
    <t>1) UWMP not clear how demands are broken down between Coachella and Desert WA. 2) Local supplies all reported as groundwater, no information on how much is from SWP vs. local. 3) Not clear how much of SWP deliveries go to Mission Creek recharge facility vs. other recharge facilities. Mission Creek is the only one for urban uses. 4) No data on groundwater bank capacities (Mission Creek)</t>
  </si>
  <si>
    <t>Crestline-Lake Arrowhead Water Agency</t>
  </si>
  <si>
    <t>Checked website - Only a 2010 UWMP posted, https://www.clawa.org/newsroom
Found 2020 UWMP for Crestline Village Water District (it's retailer)</t>
  </si>
  <si>
    <t>Desert Water Agency</t>
  </si>
  <si>
    <t>Combined UWMP with Coachella Valley. See questions above.</t>
  </si>
  <si>
    <t>Metropolitan Water District of Southern California</t>
  </si>
  <si>
    <t>IRP included up to 500 TAF of additional storage capacity to come online by 2035. IRP noted up to 650 TAF of core supplies are needed for worst case scenario. No details on what core supplies would be so made assumptions by supply type</t>
  </si>
  <si>
    <t>Mojave Water Agency</t>
  </si>
  <si>
    <t>Need max put and take capacities for groundwater banks (Mojave Basin, Ames-Reche, and Joshua Basin). Total storage for jan 2021 would also be helpful, their UWMP reports their banks are 100% full as of Sept 2020</t>
  </si>
  <si>
    <t>Kensey - complete pending missing items</t>
  </si>
  <si>
    <t>No discussion of potential future supplies. Retained Transfer/Exchange assumption from CWEST</t>
  </si>
  <si>
    <t>Palmdale Water District &amp; Littlerock Creek Irrigation District</t>
  </si>
  <si>
    <t>Final for Palmdale only</t>
  </si>
  <si>
    <t>Only found for Palmdale, not Littlerock. PWD's UWMP notes Littlerock's supplies/demands are not accounted for in their projections. They coordinate operations together and Littlerock can purchase from PWD. Littlerock does purchase water from SWP.</t>
  </si>
  <si>
    <t>San Bernardino Valley Municipal Water District</t>
  </si>
  <si>
    <t>San Gabriel Valley Municipal Water District</t>
  </si>
  <si>
    <t>Recommend removing this contractor. Technically they only supply water for groundwater replenishment. They report demands from member agencies that take from their groundwater account, but their reliability assessment shows they are expected to have some shortages and it is up to the member agencies to make up this supply/demand difference. Not all of their agencies have UWMPs, and SGVMWD does not report any contingency WMOs because they are not obligated to meet all these demands, only groundwater replenishment requirements.</t>
  </si>
  <si>
    <t>San Gorgonio Pass Water Agency</t>
  </si>
  <si>
    <t>Ventura County Watershed Protection District</t>
  </si>
  <si>
    <r>
      <t xml:space="preserve">Website says VCWPD is for flood, stormwater and watershed mgmt. Website includes 2020 UWMP draft for Venutra County Public Works: https://www.vcpublicworks.org/wp/
</t>
    </r>
    <r>
      <rPr>
        <b/>
        <sz val="11"/>
        <color theme="1"/>
        <rFont val="Calibri"/>
        <family val="2"/>
        <scheme val="minor"/>
      </rPr>
      <t>Ray's UWMP spreadsheet did not include this contractor.</t>
    </r>
    <r>
      <rPr>
        <sz val="11"/>
        <color theme="1"/>
        <rFont val="Calibri"/>
        <family val="2"/>
        <scheme val="minor"/>
      </rPr>
      <t xml:space="preserve">
CWEST did not include this (although there was a placeholder) since there were no discernible differences in deliveries to this contractor in Calsim II results.
CSII labels this contractor as Ventura County Flood Control District
Not included in Appendix 5D</t>
    </r>
  </si>
  <si>
    <t>*Bella Vista and Clear Creek CSD not included in CWEST either. M&amp;I demand very small compared to ag</t>
  </si>
  <si>
    <r>
      <t xml:space="preserve">Input Contractors </t>
    </r>
    <r>
      <rPr>
        <b/>
        <sz val="24"/>
        <color rgb="FFFF0000"/>
        <rFont val="Calibri"/>
        <family val="2"/>
        <scheme val="minor"/>
      </rPr>
      <t>DRAFT</t>
    </r>
  </si>
  <si>
    <t>This input page provides users the ability to define the contractors and regions to utilize. Here users can add/remove contractors, define regions and add key notes for each contractor.</t>
  </si>
  <si>
    <r>
      <rPr>
        <sz val="12"/>
        <color rgb="FFFF0000"/>
        <rFont val="Calibri"/>
        <family val="2"/>
        <scheme val="minor"/>
      </rPr>
      <t>Red text are questions/gaps to resolve</t>
    </r>
    <r>
      <rPr>
        <sz val="12"/>
        <color theme="1"/>
        <rFont val="Calibri"/>
        <family val="2"/>
        <scheme val="minor"/>
      </rPr>
      <t xml:space="preserve">, </t>
    </r>
    <r>
      <rPr>
        <sz val="12"/>
        <color theme="0" tint="-0.499984740745262"/>
        <rFont val="Calibri"/>
        <family val="2"/>
        <scheme val="minor"/>
      </rPr>
      <t>gray text are working notes to delete for final model.</t>
    </r>
  </si>
  <si>
    <t>*Column not included in dashboard, for formulas in this file only</t>
  </si>
  <si>
    <t>Study Region</t>
  </si>
  <si>
    <t>Contractor Type</t>
  </si>
  <si>
    <t>CVP or SWP Contractor</t>
  </si>
  <si>
    <t>Contractor Details</t>
  </si>
  <si>
    <t>Contractor Name in 2020 UWMP Data</t>
  </si>
  <si>
    <t>Calsim II Delivery Arc</t>
  </si>
  <si>
    <t>Calsim 3 Delivery Arc</t>
  </si>
  <si>
    <t>Include in model</t>
  </si>
  <si>
    <t>Central Valley - Sacramento Valley</t>
  </si>
  <si>
    <t>Retail and wholesale</t>
  </si>
  <si>
    <t>SWP</t>
  </si>
  <si>
    <t>D201_PMI</t>
  </si>
  <si>
    <t>All non-project in CS3</t>
  </si>
  <si>
    <t>Retail</t>
  </si>
  <si>
    <t>CVP</t>
  </si>
  <si>
    <t>Folsom  City Of</t>
  </si>
  <si>
    <t>D8B_PMI</t>
  </si>
  <si>
    <t>DG_26S_PU1 - 4/31*D_FOLSM_WTPFOL_WR</t>
  </si>
  <si>
    <t>Redding  City Of</t>
  </si>
  <si>
    <t>D104_PSC*0.13779 + D104_PMI*0.5</t>
  </si>
  <si>
    <t>DG_02_SU + DG_03_PU3 + DG_03_SU</t>
  </si>
  <si>
    <t>Roseville  City Of</t>
  </si>
  <si>
    <t>D8G_PMI</t>
  </si>
  <si>
    <t>DG_26N_PU1</t>
  </si>
  <si>
    <t>West Sacramento  City Of</t>
  </si>
  <si>
    <t>D165_PSC</t>
  </si>
  <si>
    <t>DG_21_PU</t>
  </si>
  <si>
    <t>D204_PMI</t>
  </si>
  <si>
    <t>DG_16_PU</t>
  </si>
  <si>
    <t>Water user does not have conveyance.</t>
  </si>
  <si>
    <t>D8F_PMI</t>
  </si>
  <si>
    <t>D_FOLSM_WTPEDH_CVP + D_FOLSM_EDCOCA_CVP</t>
  </si>
  <si>
    <t>Wholesale</t>
  </si>
  <si>
    <t>D403B_PMI + D403B_PCO + 
D403B_PIN</t>
  </si>
  <si>
    <t>D_BKR004_NBA009_NAPA</t>
  </si>
  <si>
    <t>D8H_PMI</t>
  </si>
  <si>
    <t>D_FOLSM_24_NU2_CVP</t>
  </si>
  <si>
    <t>D168C_FRWP_PMI+D167B_PMI</t>
  </si>
  <si>
    <t>DG_26S_PU6 + DG_26S_PU5 + DG_26S_PU4</t>
  </si>
  <si>
    <t>D8E_PMI</t>
  </si>
  <si>
    <t>DG_26N_PU2 + DG_26N_PU3</t>
  </si>
  <si>
    <r>
      <rPr>
        <sz val="14"/>
        <rFont val="Calibri"/>
        <family val="2"/>
        <scheme val="minor"/>
      </rPr>
      <t>Includes Shasta Lake, City of, Shasta County Water Agency, Centerville Community Services District, Mountain Gate Community Services District, and Shasta Community Services District.</t>
    </r>
    <r>
      <rPr>
        <sz val="14"/>
        <color rgb="FFFF0000"/>
        <rFont val="Calibri"/>
        <family val="2"/>
        <scheme val="minor"/>
      </rPr>
      <t xml:space="preserve"> Shasta County Water Agency location, not in shapefile.</t>
    </r>
  </si>
  <si>
    <t>Shasta Lake  City Of</t>
  </si>
  <si>
    <t>D104_PMI*0.5 + D104_PMI*0.35</t>
  </si>
  <si>
    <t>Not clear in CS3</t>
  </si>
  <si>
    <t>D403C_PMI + D403C_PCO</t>
  </si>
  <si>
    <t>D_BKR004_NBA009_SCWA</t>
  </si>
  <si>
    <t>Central Valley - San Joaquin Valley</t>
  </si>
  <si>
    <t>0.21 * DG_90_PU</t>
  </si>
  <si>
    <t>Coalinga  City Of</t>
  </si>
  <si>
    <t>D844_PMI*0.60</t>
  </si>
  <si>
    <t>0.61 * DG_90_PU</t>
  </si>
  <si>
    <t>Fresno  City Of</t>
  </si>
  <si>
    <t>D844_PMI*0.5</t>
  </si>
  <si>
    <t>D844_PMI*0.15</t>
  </si>
  <si>
    <t>0.18 * DG_90_PU</t>
  </si>
  <si>
    <t>2.5*(D910_C1/60)</t>
  </si>
  <si>
    <t>1.4*(D910_C1/60)</t>
  </si>
  <si>
    <t>Tracy  City Of</t>
  </si>
  <si>
    <t>0.33 * D700</t>
  </si>
  <si>
    <t>DG_50_PU</t>
  </si>
  <si>
    <t>Kern County Water Agency Improvement District No 4</t>
  </si>
  <si>
    <t>D851A_PMI</t>
  </si>
  <si>
    <t>D_CAA194_KERNA_PMI</t>
  </si>
  <si>
    <t>2.926*(D910_C1/60)</t>
  </si>
  <si>
    <t>Stockton East Water District</t>
  </si>
  <si>
    <t>D520_SEWD_PMI</t>
  </si>
  <si>
    <t>No - no project supplies modeled in Calsim 3</t>
  </si>
  <si>
    <t>San Francisco Bay Area</t>
  </si>
  <si>
    <t>Alameda County Flood Control District  Zone 7</t>
  </si>
  <si>
    <t>D810_PCO + D810_PMI + D813_PCO + 
D813_PMI + D810_PIN</t>
  </si>
  <si>
    <t>D_SBA009_ACFC_PMI + D_SBA009_ACFC_PCO + D_SBA009_ACFC_PIN + D_SBA020_ACFC_PMI + D_SBA020_ACFC_PCO</t>
  </si>
  <si>
    <t>D814_PCO + D814_PMI + D814_PIN</t>
  </si>
  <si>
    <t>D_SBA029_ACWD_PMI + D_SBA029_ACWD_PCO D_SBA029_ACWD_PIN</t>
  </si>
  <si>
    <t>Retail and Wholesale</t>
  </si>
  <si>
    <t>D420</t>
  </si>
  <si>
    <t>min(D_CCC019_CCWD (Mar-Feb annual),195 TAF*PERDV_CVPMI_SYS (End of May))</t>
  </si>
  <si>
    <t>East Bay Municipal Utility District</t>
  </si>
  <si>
    <t>D168B</t>
  </si>
  <si>
    <t>DG_EBMUD</t>
  </si>
  <si>
    <t>TBD - discrepancy between Calsim and UWMP</t>
  </si>
  <si>
    <t>San Benito County Water District</t>
  </si>
  <si>
    <t xml:space="preserve"> 0.065*D711_PMI+0.518*D710_PAG</t>
  </si>
  <si>
    <t>D_PCH000_SBCWD_PU</t>
  </si>
  <si>
    <t>SWP and CVP</t>
  </si>
  <si>
    <t>D710_PAG * 0.442 + D711_PMI * 0.935 
+ D815_PCO + D815_PMI +D815_PIN</t>
  </si>
  <si>
    <t>D_PCH000_SCVWD_PU + D_SBA036_SCVWD_PMI + D_SBA036_SCVWD_PCO + D_SBA036_SCVWD_PIN + D_SBA036_SCVWD_WTS</t>
  </si>
  <si>
    <t>Central Coast</t>
  </si>
  <si>
    <t>San Luis Obispo County Flood Control And Water Conservation</t>
  </si>
  <si>
    <t>[MIN(D869_PMI + D869_PCO,8.447)]</t>
  </si>
  <si>
    <t>D_CSB038_OBISPO_PMI + D_CSB038_OBISPO_PCO + D_CSB038_OBISPO_PIN</t>
  </si>
  <si>
    <t>[((D870_PMI + D870_PCO) + 
((D870_PMI + D870_PCO)—8.4)) * 
(0.852 if WY is W,AN,BN, 0.522 if WY is 
D,C)]</t>
  </si>
  <si>
    <t>D_CSB103_BRBRA_PMI + D_CSB103_BRBRA_PCO + D_CSB103_BRBRA_PIN</t>
  </si>
  <si>
    <t>Southern California</t>
  </si>
  <si>
    <t>Antelope Valley - East Kern Water Agency</t>
  </si>
  <si>
    <t xml:space="preserve"> D877_PMI + D877_PCO + D877_PIN</t>
  </si>
  <si>
    <t>D_ESB324_AVEK_PMI + D_ESB324_AVEK_PCO + D_ESB324_AVEK_PIN</t>
  </si>
  <si>
    <t>Santa Clarita Valley Water Agency</t>
  </si>
  <si>
    <t>Castaic Lake Water Agency in CWEST. Santa Clarita Valley Water Agency formed in 2017 (SCV Water was formed on January 1, 2018 and combines the former service areas of Castaic Lake Water Agency, Newhall County Water District, Santa Clarita Water Division and Valencia Water Company.)</t>
  </si>
  <si>
    <t>D896_PMI + D896_PCO</t>
  </si>
  <si>
    <t>D_WSB032_CLRTA_PMI + D_WSB032_CLRTA_PCO</t>
  </si>
  <si>
    <t>D883_PMI + D883_PCO + D883_PIN</t>
  </si>
  <si>
    <t>D_ESB407_CCHLA_PMI + D_ESB407_CCHLA_PCO + D_ESB407_CCHLA_PIN</t>
  </si>
  <si>
    <t>No - UWMP does not provide sufficient data for water balance analysis.</t>
  </si>
  <si>
    <t>D25_PMI + D25_PCO</t>
  </si>
  <si>
    <t>D_SVRWD_CSTLN_PMI + D_SVRWD_CSTLN_PCO</t>
  </si>
  <si>
    <t>D884_PMI + D884_PCO + D884_PIN</t>
  </si>
  <si>
    <t>D_ESB408_DESRT_PMI + D_ESB408_DESRT_PCO + D_ESB408_DESRT_PIN</t>
  </si>
  <si>
    <t>Metropolitan Water District Of Southern California</t>
  </si>
  <si>
    <t>D895_PMI + D895_PMI+ D895_PIN+ 
D899_PCO + D899_PCO + D899_PIN + 
D27_PMI +D27_PIN + D27_PCO 
+D885_PMI + D885_PCO + D885_PIN</t>
  </si>
  <si>
    <t>D_ESB413_MWDSC_PMI + D_ESB413_MWDSC_PCO + D_ESB413_MWDSC_PIN + D_ESB413_MWDSC_WTS + D_ESB433_MWDSC_PMI + D_ESB433_MWDSC_PCO + D_ESB433_MWDSC_PIN + D_PRRIS_MWDSC_PMI + D_PRRIS_MWDSC_PCO + D_PRRIS_MWDSC_PIN + D_WSB031_MWDSC_PMI + D_WSB031_MWDSC_PCO + D_WSB031_MWDSC_PIN + D_CAA194_KERNB_PMI</t>
  </si>
  <si>
    <t>D881_PMI + D881_PCO</t>
  </si>
  <si>
    <t>D_ESB403_MOJVE_PMI + D_ESB403_MOJVE_PCO</t>
  </si>
  <si>
    <t>Palmdale Water District</t>
  </si>
  <si>
    <t>D878_PMI + D878_PCO</t>
  </si>
  <si>
    <t>D_ESB347_PLMDL_PMI + D_ESB347_PLMDL_PCO + D_ESB347_PLMDL_PIN + D_ESB355_LROCK_PMI + D_ESB355_LROCK_PCO</t>
  </si>
  <si>
    <t>MCWEST excluded this agency</t>
  </si>
  <si>
    <t>D886_PMI + D886_PCO</t>
  </si>
  <si>
    <t>D_ESB414_BRDNO_PMI + D_ESB414_BRDNO_PCO + D_ESB414_BRDNO_PIN</t>
  </si>
  <si>
    <t>SWP water is solely for regional groundwater recharge.</t>
  </si>
  <si>
    <t>D887_PMI + D887_PCO</t>
  </si>
  <si>
    <t>D_ESB415_GABRL_PMI + D_ESB415_GABRL_PCO + D_ESB415_GABRL_PIN</t>
  </si>
  <si>
    <t>No. Project supply only for groundwater replenishment.</t>
  </si>
  <si>
    <t>D888_PMI + D888_PCO</t>
  </si>
  <si>
    <t>D_ESB420_GRGNO_PMI + D_ESB420_GRGNO_PCO + D_ESB420_GRGNO_PIN</t>
  </si>
  <si>
    <t>D28 + D29</t>
  </si>
  <si>
    <t>D_CSTIC_VNTRA_PMI + D_CSTIC_VNTRA_PCO + D_CSTIC_VNTRA_PIN</t>
  </si>
  <si>
    <t>Input Data Notes:</t>
  </si>
  <si>
    <t>Hydrologic Year Types</t>
  </si>
  <si>
    <t>Hydrologic year types were developed based on output data of DWR's Cal-SIMETAW model.</t>
  </si>
  <si>
    <t>Year</t>
  </si>
  <si>
    <t>BN</t>
  </si>
  <si>
    <t>AN</t>
  </si>
  <si>
    <t>D</t>
  </si>
  <si>
    <t>C</t>
  </si>
  <si>
    <t>W</t>
  </si>
  <si>
    <r>
      <t xml:space="preserve">Demand Assumptions Page </t>
    </r>
    <r>
      <rPr>
        <b/>
        <sz val="20"/>
        <color rgb="FFFF0000"/>
        <rFont val="Calibri"/>
        <family val="2"/>
        <scheme val="minor"/>
      </rPr>
      <t>DRAFT</t>
    </r>
  </si>
  <si>
    <t>Demand Assumptions Include:
1) Total Demands Scenarios for Normal or Better, Single-Dry, and Multiple Dry year types.
2) Total Water Use by Type for Single-Family and Multi-Family Residential, Industrial, Commercial and Governmental, Agricultural, Large Landscape and Other use type categories.
3) Interior and Exterior Use by Type for each category listed above, and
4) Planned Long-term Conservation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</si>
  <si>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Unit Conversions to AF</t>
  </si>
  <si>
    <t>CCF</t>
  </si>
  <si>
    <t>MG</t>
  </si>
  <si>
    <t>AF</t>
  </si>
  <si>
    <t>Total demands include all urban wholesale and retail, and all interior and exterior demands for all sectors including residential, industrial, commercial and governmental, agricultural and large landscape for each contractor, and each future planning year. These total demands exclude any conservation reduction assumptions. Conservation is incorporated in the model through the Planned Long-term Conservation table below.
Users can select to enter Total Demand data by hydrologic year type, or a time series of ETAW Adjusted Demands. This time series applies an ETAW adjustment factor (derived from CA DWR's CalSIMETAW) to estimated Normal Year Demands.</t>
  </si>
  <si>
    <t>System-wide Totals:</t>
  </si>
  <si>
    <t>Normal or Better Demands (AFY)</t>
  </si>
  <si>
    <t>x</t>
  </si>
  <si>
    <t>Single Dry-Year Demands (AFY)</t>
  </si>
  <si>
    <t>Multiple Dry-Year Demands (AFY)</t>
  </si>
  <si>
    <t>2020 UWMP Table 7-4 (City of Roseville, 2021)</t>
  </si>
  <si>
    <t>2020 UWMP Table 5-3 (Yuba City, 2021)</t>
  </si>
  <si>
    <t>2020 UWMP Table 5-1 (El Dorado Irrigation District, 2021)</t>
  </si>
  <si>
    <t>2020 UWMP Table 7-7 (Placer County Water Agency, 2021)</t>
  </si>
  <si>
    <t>2020 UWMP tables in Chapter 5 (Sacramento County Water Agency, 2021)</t>
  </si>
  <si>
    <t xml:space="preserve">2020 UWMP Table 5-4 (Stockton-East Water District, 2020) </t>
  </si>
  <si>
    <t>2020 UWMP Table 2-2 (Metropolitan Water District of Southern California, 2021)</t>
  </si>
  <si>
    <t>ETAW Adjusted Demands</t>
  </si>
  <si>
    <t>Demands reported here are by customer sector, including all interior and exterior consumption by sector. Demands are disaggregated by sector to account for demand management actions (i.e. conservation and rationing) that target specific sectors, and to account for economic loss assumptions for each sector.</t>
  </si>
  <si>
    <t>Single Family Residential Use (AFY)</t>
  </si>
  <si>
    <t>2020 UWMP Table 4-8 (City of Folsom, 2021)</t>
  </si>
  <si>
    <t>2020 UWMP Table 4-2 (City of Roseville, 2021)</t>
  </si>
  <si>
    <t>2020 UWMP Table 4-9 (Yuba City, 2021)</t>
  </si>
  <si>
    <t>2020 UWMP Table 4-11 (El Dorado Irrigation District, 2021)</t>
  </si>
  <si>
    <t>2020 UWMP Tables 4-6 and 4-8 (Placer County Water Agency, 2021)</t>
  </si>
  <si>
    <t>2020 UWMP Tables 4-10 (Sacramento County Water Agency, 2021)</t>
  </si>
  <si>
    <t>2020 UWMP Tables 4-11 and 4-12 (San Juan Water District, 2021)</t>
  </si>
  <si>
    <t>2020 UWMP Table 4-2 (Cal Water - Livermore District); 2020 UWMP Table 2-4 (City of Livermore); 2020 UWMP Table 4-3 (City of Pleasanton); 2020 UWMP Table 4-3 (Dublin San Ramon Services District)</t>
  </si>
  <si>
    <t>2020 UWMP Tables 4-2a, 4-2b, 4-2c. Includes retailer's demands beyond those supplied by San Benito County Water District, Zone 6</t>
  </si>
  <si>
    <t>Estimated from UWMPs available from retailers including City of Pismo Beach and City of Grover Beach (City of Pismo Beach, 2021 and City of Grover Beach, 2021)</t>
  </si>
  <si>
    <t>Assumed Los Angeles County Waterworks District (2020 UWMP Table 4-2, Los Angeles County Waterworks Districts - Antelope Valley, 2021) and Quartz Hill Water District (2020 UWMP Table 4-2, Quartz Hill Water District, 2021)  use type portions weighted by their portion of AVEK's total demand</t>
  </si>
  <si>
    <t>2020 UWMP Table A.1-8 (Metropolitan Water District of Southern California, 2021)</t>
  </si>
  <si>
    <t>Mojave Water Agency's UWMP and retailer's UWMPs including Liberty Utilities (Park Water) Corp, City of Adelanto Water District, San Bernardino County Service Area 64 Spring Valley Lake, San Bernardino County Service Area 70 J Oak Hills, Golden State Water Company Barstow System, Hesperia Water District, Hi-Desert Water District, Joshua Basin Water District, Phelan Pinon Hills CSD, Victorville Water District.</t>
  </si>
  <si>
    <t>San Gorgonio Pass Water Agency's UWMP and retailer's UWMPs including City of Banning, Beaumont Cherry Valley, Yucaipa Valley WD, and South Mesa WC</t>
  </si>
  <si>
    <t>2020 UWMP Table A.1-9 (Metropolitan Water District of Southern California, 2021)</t>
  </si>
  <si>
    <t>2020 UWMP Table 4-8 (City of Folsom, 2021). Industrial use combined with Commercial use.</t>
  </si>
  <si>
    <t>Assumed Los Angeles County Waterworks District (2020 UWMP Table 4-2, Los Angeles County Waterworks Districts - Antelope Valley, 2021) and Quartz Hill Water District (2020 UWMP Table 4-2, Quartz Hill Water District, 2021)  use type portions weighted by their portion of AVEK's total demand, plus Rio Tinto Minerals/US Borax demands</t>
  </si>
  <si>
    <t>2020 UWMP Table A.1-10 (Metropolitan Water District of Southern California, 2021) - split in half between Industrial and Commercial and Governmental use types</t>
  </si>
  <si>
    <t>Agricultural Use (AFY)</t>
  </si>
  <si>
    <t>2020 UWMP Table 2-3 (Metropolitan Water District of Southern California, 2021)</t>
  </si>
  <si>
    <t>2020 UWMP (Metropolitan Water District of Southern California, 2021). Landscape use not explicitly reported in UWMP.</t>
  </si>
  <si>
    <t>Other Use (AFY) (i.e. Losses, groundwater recharge, sales to other agencies etc.)</t>
  </si>
  <si>
    <t>2020 UWMP Tables 4-11, 4-12, and Table 4-13 (San Juan Water District, 2021)</t>
  </si>
  <si>
    <t>Assumed to be remaining water demand beyond use types listed above.</t>
  </si>
  <si>
    <t>2020 UWMP Table 2-3 (MWD SC, 2021) Seawater Barrier and Storage Replenishment and Table A.1-11 Unmetered Use in Metropolitan's Service Area. Minor adjustments so all use types plus conservation add up to Total Demands as reported in UWMP.</t>
  </si>
  <si>
    <t>Sales/Transfers/Exchanges to other agencies and groundwater recharge. 2020 UWMP Table 1-5 (SBVMWD, 2021)</t>
  </si>
  <si>
    <t xml:space="preserve">Long-term conservation is incorporated into the model as it is an important component of each contractor's long-term strategy to increase their water supply reliability. Additional conservation options beyond the existing planned conservation include both long-term and short-term, contingent conservation programs. Both of these demand management options are input on the Water Management Options pages.
Long-term demand management measures that are adopted by water users can have a demand hardening effect. A demand hardening factor is set on the Water Management Options pages. </t>
  </si>
  <si>
    <t>System-wide Total</t>
  </si>
  <si>
    <t>Planned Long-term Conservation (AFY)</t>
  </si>
  <si>
    <t>2020 UWMP Table 2-3</t>
  </si>
  <si>
    <t>System-wide Average</t>
  </si>
  <si>
    <t>2018 County Total Water Use Data (DWR Bulletin 160 Update Program, 2022)</t>
  </si>
  <si>
    <t>WaterSense Commercial End Use (WaterSense U.S. Environmental Protection Agency 2017)</t>
  </si>
  <si>
    <t>US EPA Lean &amp; Water Toolkit Water Use and Water Waste at Industrial Facilities (US EPA, 2011)</t>
  </si>
  <si>
    <t>Normal Year Demands from UWMP</t>
  </si>
  <si>
    <t>Assumed 5% of potable use</t>
  </si>
  <si>
    <t>2020 UWMP Table 4-3 (City of Roseville, 2021)</t>
  </si>
  <si>
    <t>Calculated as 25% of potable use per 2020 UWMP Section 4.2.7</t>
  </si>
  <si>
    <t>Calculated as 5% of potable use per 2020 UWMP Section 4.4.3. UWMP reports no conservation anticipated in 2025 so a 5% assumption was applied, as some conservation is required for the model analysis.</t>
  </si>
  <si>
    <t>2020 UWMP Table 4-9 (Yuba City, 2021); Data table were missing 2045, which are noted as "Build Out" in the PDFs</t>
  </si>
  <si>
    <t>2020 UWMP Table 4-10 (Placer County Water Agency, 2021)</t>
  </si>
  <si>
    <t>2020 UWMP Table 4-11 (Sacramento County Water Agency, 2021)</t>
  </si>
  <si>
    <t>2020 UWMP Tables 5-3 and 5-4 (San Juan Water District, 2021)</t>
  </si>
  <si>
    <t>UWMP data only available for City of Shasta Lake, need other contractors who don't have UWMPs</t>
  </si>
  <si>
    <t>Assumed 2040 reported value for 2045.</t>
  </si>
  <si>
    <t>2020 UWMP Table 5-3 (Stockton-East Water District, 2020) . Contracts for sales to agencies ends in 2035, hence, no demand is shown from 2035 to 2045</t>
  </si>
  <si>
    <t>2020 UWMP (Alameda County Flood Control and Water Conservation District, Zone 7)</t>
  </si>
  <si>
    <t>Table 1-5 (2020 UWMP)</t>
  </si>
  <si>
    <t>Table 4-2c (San Benito County Water District). Assumed 2040 reported value for 2045.</t>
  </si>
  <si>
    <t>2020 UWMP Appendix F (Santa Clara Valley Water District, 2021)</t>
  </si>
  <si>
    <t>Does not include retailer demands on SWP</t>
  </si>
  <si>
    <t>2020 UWMP Table 4-3 (Mojave Water Agency, 2021)</t>
  </si>
  <si>
    <t>Only includes Palmdale, need to add Littlerock</t>
  </si>
  <si>
    <t>Table 4-1 (2020 UWMP)</t>
  </si>
  <si>
    <t>Single-Dry Year Demands from UWMP</t>
  </si>
  <si>
    <t>2020 UWMP Table 7-5 (City of Folsom, 2021)</t>
  </si>
  <si>
    <t>2020 UWMP Table 7-3 (City of Roseville, 2021)</t>
  </si>
  <si>
    <t>2020 UWMP Table 5-2 (Yuba City, 2021)</t>
  </si>
  <si>
    <t>2020 UWMP Table 5-2 (El Dorado Irrigation District, 2021)</t>
  </si>
  <si>
    <t>2020 UWMP Table 7-6 (Placer County Water Agency, 2021)</t>
  </si>
  <si>
    <t>2020 UWMP Table 7-2 (KCWA ID4, 2021)</t>
  </si>
  <si>
    <t>2020 UWMP Table 5-4 (Stockton-East Water District, 2020) . Contracts for sales to agencies ends in 2035, hence, no demand is shown from 2035 to 2045</t>
  </si>
  <si>
    <t>Table 7-B (San Benito County Water District). Assumed 2040 reported value for 2045.</t>
  </si>
  <si>
    <t>2020 UWMP Table 2-1 (Metropolitan Water District of Southern California, 2021)</t>
  </si>
  <si>
    <t>2020 UWMP Table 5-2 (Mojave Water Agency, 2021)</t>
  </si>
  <si>
    <t>Table 5-6 (2020 UWMP)</t>
  </si>
  <si>
    <t>2020 UWMP Table 6-4 (SGVMWD, 2021)</t>
  </si>
  <si>
    <t>Multi-Dry Year Demands from UWMP</t>
  </si>
  <si>
    <t>2020 UWMP Table 7-6 (City of Folsom, 2021)</t>
  </si>
  <si>
    <t>2020 UWMP Table 5-5 and Table 5-6 (San Juan Water District, 2021)</t>
  </si>
  <si>
    <t>2020 UWMP Table 5-5 (Stockton-East Water District, 2020) . Contracts for sales to agencies ends in 2035, hence, no demand is shown from 2035 to 2045</t>
  </si>
  <si>
    <t>2020 UWMP Tables 7-4W and 7-4R</t>
  </si>
  <si>
    <t>2020 UWMP Table 5-3 (Mojave Water Agency, 2021)</t>
  </si>
  <si>
    <t>Table 5-7 (2020 UWMP)</t>
  </si>
  <si>
    <t>2020 UWMP Table 6-6 (SGVMWD, 2021)</t>
  </si>
  <si>
    <t>Agency</t>
  </si>
  <si>
    <t>Demand types</t>
  </si>
  <si>
    <t xml:space="preserve">City of Stockton </t>
  </si>
  <si>
    <t>Table 3-2 SEWD UWMP</t>
  </si>
  <si>
    <t>Cal Water - Stockton</t>
  </si>
  <si>
    <t>San Joaquin County</t>
  </si>
  <si>
    <t>Conveyance Recharge</t>
  </si>
  <si>
    <t>Surface Water-banked</t>
  </si>
  <si>
    <t>Agricultural</t>
  </si>
  <si>
    <t>Correction due to mismatches between all the various UWMPs</t>
  </si>
  <si>
    <t>Total</t>
  </si>
  <si>
    <t>Supply Capability and Projected Demands Tables</t>
  </si>
  <si>
    <t>Table 2-3 Metropolitan Regional Water Demands. Normal Water Year (AF)</t>
  </si>
  <si>
    <t>Table A.1-8 Single Family Retail Demand in Metropolitan’s Service Area. Average Year (Acre-feet)</t>
  </si>
  <si>
    <t>Table 2-4 Single Dry Year Supply Capability and Projected Demands. Repeat of 1977 Hydrology (Acre-feet per year)</t>
  </si>
  <si>
    <t>County</t>
  </si>
  <si>
    <t>Forecast Year</t>
  </si>
  <si>
    <t>A.</t>
  </si>
  <si>
    <t>Total Demands1</t>
  </si>
  <si>
    <t>Los Angeles County</t>
  </si>
  <si>
    <t>Current Programs</t>
  </si>
  <si>
    <t>Orange County</t>
  </si>
  <si>
    <t>In-Region Supplies and Programs</t>
  </si>
  <si>
    <t>Retail Agriculture</t>
  </si>
  <si>
    <t>Riverside County</t>
  </si>
  <si>
    <t>California Aqueduct2</t>
  </si>
  <si>
    <t>Seawater Barrier</t>
  </si>
  <si>
    <t>San Bernardino County</t>
  </si>
  <si>
    <t>Colorado River Aqueduct</t>
  </si>
  <si>
    <t>Storage Replenishment</t>
  </si>
  <si>
    <t>San Diego County</t>
  </si>
  <si>
    <t>Total Supply Available3</t>
  </si>
  <si>
    <t>Ventura County</t>
  </si>
  <si>
    <t>Aqueduct Capacity Limit4</t>
  </si>
  <si>
    <t>B.</t>
  </si>
  <si>
    <t>Total Conservation</t>
  </si>
  <si>
    <t>Metropolitan’s Service Area</t>
  </si>
  <si>
    <t>Colorado River Aqueduct Capability</t>
  </si>
  <si>
    <t>Existing Active (through 2020)</t>
  </si>
  <si>
    <t>Capability of Current Programs</t>
  </si>
  <si>
    <t>Code-based</t>
  </si>
  <si>
    <t>Table A.1-9 Multi-family Retail Demand in Metropolitan’s Service Area. Average Year (Acre-feet)</t>
  </si>
  <si>
    <t>Price-Effect3</t>
  </si>
  <si>
    <t>Total Demands on Metropolitan</t>
  </si>
  <si>
    <t>Pre-1990 Conservation</t>
  </si>
  <si>
    <t>Exchange with SDCWA</t>
  </si>
  <si>
    <t>Total Metropolitan Deliveries5</t>
  </si>
  <si>
    <t>C.</t>
  </si>
  <si>
    <t>Total Local and Other Imported Supplies</t>
  </si>
  <si>
    <t>Surplus</t>
  </si>
  <si>
    <t>Programs Under Development</t>
  </si>
  <si>
    <t>Surface Water</t>
  </si>
  <si>
    <t>Los Angeles Aqueduct4</t>
  </si>
  <si>
    <t>California Aqueduct</t>
  </si>
  <si>
    <t>Seawater Desalination</t>
  </si>
  <si>
    <t>Groundwater Recovery</t>
  </si>
  <si>
    <t>Recycling5</t>
  </si>
  <si>
    <t>Table A.1-10 Commercial, Industrial and Institutional Retail Demand. Average Year (Acre-feet)</t>
  </si>
  <si>
    <t>Other Imported Supplies</t>
  </si>
  <si>
    <t>Capability of Proposed Programs</t>
  </si>
  <si>
    <t>D.</t>
  </si>
  <si>
    <t>Total Metropolitan Demands</t>
  </si>
  <si>
    <t>Potential Surplus</t>
  </si>
  <si>
    <t>Consumptive Use</t>
  </si>
  <si>
    <t>Table 2-5 Drought Lasting Five Consecutive Years Supply Capability and Projected Demands. Repeat of 1977 Hydrology (Acre-feet per year)</t>
  </si>
  <si>
    <t>Replenishment</t>
  </si>
  <si>
    <t xml:space="preserve">All units are acre-feet unless specified, rounded to the nearest thousand. 
Totals may not sum due to rounding. 
1 Growth projections are based on SCAG 2020-2045 Regional Transportation Plan/Sustainable Communities Strategy 
and SANDAG San Diego Forward: The 2019 Federal Regional Transportation Plan. 
2 Does not include future active conservation savings. 1990 is base year. 
3 Includes un-metered water use savings. 
4 Los Angeles Aqueduct Projection uses 1922-2017 hydrology. 
5 Excludes Santa Ana River base flow, which is used for recharge of Orange County groundwater basin and reflected 
in the Groundwater production numbers. 
6 Exchange with SDCWA. </t>
  </si>
  <si>
    <t>Table A.1-11 Unmetered Use in Metropolitan’s Service Area . Average Year (Acre-feet)</t>
  </si>
  <si>
    <t>Table 2-1 Metropolitan Regional Water Demands. Single Dry Year (AF)</t>
  </si>
  <si>
    <t>Table A.1-12 Conservation Savings in Metropolitan’s Service Area – 1980 Base Year (Acre-feet)</t>
  </si>
  <si>
    <t>Active, Code, Price</t>
  </si>
  <si>
    <t>Table 2-6 Normal Water Year Supply Capability and Projected Demands. Repeat of 1977 Hydrology (Acre-feet per year)</t>
  </si>
  <si>
    <t>Table 2-2 Metropolitan Regional Water Demands. Drought Lasting Five Consecutive Water Years  (AF)</t>
  </si>
  <si>
    <t>Commercial and Industrial Interior Water Use Calculations</t>
  </si>
  <si>
    <t>Reference: https://19january2017snapshot.epa.gov/www3/watersense/commercial/types.html</t>
  </si>
  <si>
    <t>https://www.epa.gov/sustainability/lean-water-toolkit-chapter-2#industrial</t>
  </si>
  <si>
    <t>Commercial Data</t>
  </si>
  <si>
    <t>Industrial Data</t>
  </si>
  <si>
    <t>Type of Facility</t>
  </si>
  <si>
    <t>Use Type</t>
  </si>
  <si>
    <t>End Use %</t>
  </si>
  <si>
    <t>Interior/Exterior</t>
  </si>
  <si>
    <t>Total Commercial Use that is Interior</t>
  </si>
  <si>
    <t>Total Industrial Use that is Interior</t>
  </si>
  <si>
    <t>Office Buildings</t>
  </si>
  <si>
    <t>Kitchen</t>
  </si>
  <si>
    <t>Interior</t>
  </si>
  <si>
    <t>Computer and Electronics Manufacturers</t>
  </si>
  <si>
    <t>Rinsing</t>
  </si>
  <si>
    <t>Landscaping</t>
  </si>
  <si>
    <t>Exterior</t>
  </si>
  <si>
    <t>Cooling Systems</t>
  </si>
  <si>
    <t>Cooling and Heating</t>
  </si>
  <si>
    <t>Fume Scrubbers</t>
  </si>
  <si>
    <t>Domestic/Restroom</t>
  </si>
  <si>
    <t>Water Purification</t>
  </si>
  <si>
    <t>Hospitals</t>
  </si>
  <si>
    <t>Restrooms/Other</t>
  </si>
  <si>
    <t>Food Processors</t>
  </si>
  <si>
    <t>Washing and Sanitation</t>
  </si>
  <si>
    <t>Cooling and Heating Systems</t>
  </si>
  <si>
    <t>Medical Equipment</t>
  </si>
  <si>
    <t>One-Pass Cooling</t>
  </si>
  <si>
    <t>Laundry</t>
  </si>
  <si>
    <t>Process</t>
  </si>
  <si>
    <t>Domestic</t>
  </si>
  <si>
    <t>Hotels</t>
  </si>
  <si>
    <t>Other/Unaccounted</t>
  </si>
  <si>
    <t>Pools</t>
  </si>
  <si>
    <t>Restaurants</t>
  </si>
  <si>
    <t>Educational</t>
  </si>
  <si>
    <t>ORG_ID</t>
  </si>
  <si>
    <t>WATER_SUPPLIER_NAME</t>
  </si>
  <si>
    <t>WORKSHEET_NAME</t>
  </si>
  <si>
    <t>REVIEWED_BY_DWR</t>
  </si>
  <si>
    <t>REQUIREMENTS_ADDRESSED</t>
  </si>
  <si>
    <t>WP_WUEDATA_PLAN_ID</t>
  </si>
  <si>
    <t>USE_TYPE</t>
  </si>
  <si>
    <t>ADDITIONAL_DESCRIPTION</t>
  </si>
  <si>
    <t>LEVEL_OF_TREATMENT</t>
  </si>
  <si>
    <t>VOLUME_AF</t>
  </si>
  <si>
    <t>Adelanto  City Of</t>
  </si>
  <si>
    <t>Table 4-1 Retail: Demands for Potable and Non-Potable Water - Actual</t>
  </si>
  <si>
    <t>No</t>
  </si>
  <si>
    <t>N/A</t>
  </si>
  <si>
    <t>Drinking Water</t>
  </si>
  <si>
    <t>Agricultural and Non-Agricultural</t>
  </si>
  <si>
    <t>Other Distribution System Demands</t>
  </si>
  <si>
    <t>Gross Non-Revenue Water (difference between metered production and billed consumption)</t>
  </si>
  <si>
    <t>Private Groundwater Pumping</t>
  </si>
  <si>
    <t>Raw Water</t>
  </si>
  <si>
    <t>Aquifer Recovery Program (ARP) Pumping (not desalinated)</t>
  </si>
  <si>
    <t>Saline and Other Groundwater Outflows to SF Bay via the Newark Aquifer</t>
  </si>
  <si>
    <t>Alhambra  City Of</t>
  </si>
  <si>
    <t>Includes Institutional and Governmental</t>
  </si>
  <si>
    <t>Non-Potable Water and Fire</t>
  </si>
  <si>
    <t>Other Non-Potable Water</t>
  </si>
  <si>
    <t>Amador Water Agency</t>
  </si>
  <si>
    <t>Sales to wholesale customers</t>
  </si>
  <si>
    <t>Includes institutional uses</t>
  </si>
  <si>
    <t>Anaheim  City Of</t>
  </si>
  <si>
    <t>(CII) Comm/Institut, Indust (excluding recycled water)</t>
  </si>
  <si>
    <t>Golf Courses</t>
  </si>
  <si>
    <t>Fire/Temp</t>
  </si>
  <si>
    <t>Antioch  City Of</t>
  </si>
  <si>
    <t>Includes commercial, industrial, and institutional/governmental</t>
  </si>
  <si>
    <t>Includes commercial and City irrigation meters</t>
  </si>
  <si>
    <t>Non-revenue water</t>
  </si>
  <si>
    <t>Apple Valley Ranchos Water Company</t>
  </si>
  <si>
    <t>Fire Services and Temporary Meter Services</t>
  </si>
  <si>
    <t>Public Authority</t>
  </si>
  <si>
    <t>Arcadia  City Of</t>
  </si>
  <si>
    <t>Arcata  City Of</t>
  </si>
  <si>
    <t>real losses</t>
  </si>
  <si>
    <t>unbilled authorized consumption (estimated)</t>
  </si>
  <si>
    <t>Jacoby Creek Water District</t>
  </si>
  <si>
    <t>schools only</t>
  </si>
  <si>
    <t>Arvin Community Service District</t>
  </si>
  <si>
    <t>Atascadero Mutual Water Company</t>
  </si>
  <si>
    <t>Atwater  City Of</t>
  </si>
  <si>
    <t>Azusa Light and Water</t>
  </si>
  <si>
    <t>Including Multi-Family</t>
  </si>
  <si>
    <t>Bakersfield  City Of</t>
  </si>
  <si>
    <t>Construction Water</t>
  </si>
  <si>
    <t>see notes</t>
  </si>
  <si>
    <t>Public Facilities</t>
  </si>
  <si>
    <t>Bakman Water Company</t>
  </si>
  <si>
    <t>Accounts for real and apparent losses</t>
  </si>
  <si>
    <t>Includes commercial</t>
  </si>
  <si>
    <t>Includes residential landscaping</t>
  </si>
  <si>
    <t>Banning  City Of</t>
  </si>
  <si>
    <t>Beaumont - Cherry Valley Water District</t>
  </si>
  <si>
    <t>Metered construction, street sweeping, etc</t>
  </si>
  <si>
    <t>(2) Production on behalf of the City of Banning</t>
  </si>
  <si>
    <t>Estimated</t>
  </si>
  <si>
    <t>Potable Water Only</t>
  </si>
  <si>
    <t>Non-Potable Water Only</t>
  </si>
  <si>
    <t>Bella Vista Water District</t>
  </si>
  <si>
    <t>Bellflower - Somerset Mutual Water Company</t>
  </si>
  <si>
    <t>Sales to City of Bellflower and Bellflower Home Garden Water Company</t>
  </si>
  <si>
    <t>Construction</t>
  </si>
  <si>
    <t>Benicia  City Of</t>
  </si>
  <si>
    <t>Minor Uses</t>
  </si>
  <si>
    <t>Valero</t>
  </si>
  <si>
    <t>Commercial and Institutional</t>
  </si>
  <si>
    <t>Beverly Hills  City Of</t>
  </si>
  <si>
    <t>(CII) Commercial, Industrial, Institutional/Government</t>
  </si>
  <si>
    <t>Fire hydrant water</t>
  </si>
  <si>
    <t>Big Bear Community Services District</t>
  </si>
  <si>
    <t>Non-Revenue Water</t>
  </si>
  <si>
    <t>Big Bear Lake  City Of</t>
  </si>
  <si>
    <t>Blythe  City Of</t>
  </si>
  <si>
    <t>Includes Institutional</t>
  </si>
  <si>
    <t>Brawley  City Of</t>
  </si>
  <si>
    <t>Schools</t>
  </si>
  <si>
    <t>Irrigation</t>
  </si>
  <si>
    <t>Trailer Parks</t>
  </si>
  <si>
    <t>Churches</t>
  </si>
  <si>
    <t>Brea  City Of</t>
  </si>
  <si>
    <t>Includes fire meters, temp meters</t>
  </si>
  <si>
    <t>Includes city parks (cannot separate out no charge, since all city facilities are no charge)</t>
  </si>
  <si>
    <t>Groundwater pumped from La Habra Basin</t>
  </si>
  <si>
    <t>Represents large landscape (with irrigation meters) served by potable water and not recycled water</t>
  </si>
  <si>
    <t>Brentwood  City Of</t>
  </si>
  <si>
    <t>Potable and non-potable hydrant use</t>
  </si>
  <si>
    <t>From non-potable water supply</t>
  </si>
  <si>
    <t>Potable water</t>
  </si>
  <si>
    <t>Includes industrial and institutional/governmental use</t>
  </si>
  <si>
    <t>Buena Park  City Of</t>
  </si>
  <si>
    <t>Non revenue water</t>
  </si>
  <si>
    <t>Burbank  City Of</t>
  </si>
  <si>
    <t>Housing Element Goal</t>
  </si>
  <si>
    <t>City Departments</t>
  </si>
  <si>
    <t>Fire Protection</t>
  </si>
  <si>
    <t>Replenishment with imported water</t>
  </si>
  <si>
    <t>Burlingame  City Of</t>
  </si>
  <si>
    <t>Fire sprinkler services</t>
  </si>
  <si>
    <t>Calaveras County Water District</t>
  </si>
  <si>
    <t>Calexico  City Of</t>
  </si>
  <si>
    <t>California American Water Company - Los Angeles Division</t>
  </si>
  <si>
    <t>Other Public Authority</t>
  </si>
  <si>
    <t>Company Accounts</t>
  </si>
  <si>
    <t>Fire Service</t>
  </si>
  <si>
    <t>Miscellaneous</t>
  </si>
  <si>
    <t>Residential - Single-Family &amp; Multi-Family</t>
  </si>
  <si>
    <t>California American Water Company - Monterey District</t>
  </si>
  <si>
    <t>Single Family and Multifamily Residential</t>
  </si>
  <si>
    <t>Other Public Authority.  Includes government accounts and schools.</t>
  </si>
  <si>
    <t>California American Water Accounts</t>
  </si>
  <si>
    <t>Miscellaneous sales, construction meter usage.</t>
  </si>
  <si>
    <t>California American Water Company - Sacramento District</t>
  </si>
  <si>
    <t>Isleton</t>
  </si>
  <si>
    <t>Isleton, includes all residential customers</t>
  </si>
  <si>
    <t>Fruitridge</t>
  </si>
  <si>
    <t>Fruitridge, unmetered use, all customer types</t>
  </si>
  <si>
    <t>Fruitridge, includes all residential customers</t>
  </si>
  <si>
    <t>Dunnigan</t>
  </si>
  <si>
    <t>Dunnigan, includes all residential customers</t>
  </si>
  <si>
    <t>Arden</t>
  </si>
  <si>
    <t>Arden, company accounts, authorized non-revenue</t>
  </si>
  <si>
    <t>West Placer, includes all residential customers</t>
  </si>
  <si>
    <t>Walnut Grove</t>
  </si>
  <si>
    <t>Walnut Grove, includes all residential customers</t>
  </si>
  <si>
    <t>Suburban-Rosemont</t>
  </si>
  <si>
    <t>Suburban-Rosemont, company accounts, miscellaneous sales, authorized non-revenue</t>
  </si>
  <si>
    <t>Arden, includes all residential customers</t>
  </si>
  <si>
    <t>Antelope</t>
  </si>
  <si>
    <t>Antelope, company accounts , authorized non-revenue</t>
  </si>
  <si>
    <t>Antelope, includes all residential customers</t>
  </si>
  <si>
    <t>West Placer</t>
  </si>
  <si>
    <t>Suburban-Rosemont, includes all residential customers</t>
  </si>
  <si>
    <t>Security Park</t>
  </si>
  <si>
    <t>Security Park, authorized non-revenue</t>
  </si>
  <si>
    <t>Parkway</t>
  </si>
  <si>
    <t>Parkway, company accounts, miscellaneous sales, authorized non-revenue</t>
  </si>
  <si>
    <t>Parkway, includes all residential customers</t>
  </si>
  <si>
    <t>Lincoln Oaks</t>
  </si>
  <si>
    <t>Lincoln Oaks, company accounts, miscellaneous sales, authorized non-revenue</t>
  </si>
  <si>
    <t>Lincoln Oaks, includes all residential customers</t>
  </si>
  <si>
    <t>California American Water Company - San Diego District</t>
  </si>
  <si>
    <t>OPA, fire service, company accounts, authorized non-revenue, and misc. sales</t>
  </si>
  <si>
    <t>includes all residential customers</t>
  </si>
  <si>
    <t>California American Water Company - Ventura District</t>
  </si>
  <si>
    <t>California Water Service Company Antelope Valley</t>
  </si>
  <si>
    <t>(b)</t>
  </si>
  <si>
    <t>California Water Service Company Bakersfield</t>
  </si>
  <si>
    <t>(c)</t>
  </si>
  <si>
    <t>California Water Service Company Bear Gulch</t>
  </si>
  <si>
    <t>California Water Service Company Chico District</t>
  </si>
  <si>
    <t>California Water Service Company Dixon, City of</t>
  </si>
  <si>
    <t>California Water Service Company Dominguez</t>
  </si>
  <si>
    <t>California Water Service Company East Los Angeles</t>
  </si>
  <si>
    <t>(d)</t>
  </si>
  <si>
    <t>California Water Service Company Hermosa/Redondo</t>
  </si>
  <si>
    <t>California Water Service Company Kern River Valley</t>
  </si>
  <si>
    <t>California Water Service Company King City</t>
  </si>
  <si>
    <t>California Water Service Company Livermore</t>
  </si>
  <si>
    <t>California Water Service Company Los Altos/Suburban</t>
  </si>
  <si>
    <t>California Water Service Company Marysville</t>
  </si>
  <si>
    <t>California Water Service Company Mid Peninsula</t>
  </si>
  <si>
    <t>California Water Service Company Oroville</t>
  </si>
  <si>
    <t>California Water Service Company Palos Verdes</t>
  </si>
  <si>
    <t>California Water Service Company Redwood Valley</t>
  </si>
  <si>
    <t>California Water Service Company Salinas District</t>
  </si>
  <si>
    <t>California Water Service Company Selma</t>
  </si>
  <si>
    <t>California Water Service Company South San Francisco</t>
  </si>
  <si>
    <t>California Water Service Company Stockton</t>
  </si>
  <si>
    <t>California Water Service Company Visalia</t>
  </si>
  <si>
    <t>California Water Service Company Westlake</t>
  </si>
  <si>
    <t>California Water Service Company Willows</t>
  </si>
  <si>
    <t>Camarillo  City Of</t>
  </si>
  <si>
    <t>Cambria Community Service District</t>
  </si>
  <si>
    <t>Includes vacation rental water use</t>
  </si>
  <si>
    <t>Non-revenue Water</t>
  </si>
  <si>
    <t>Camrosa Water District</t>
  </si>
  <si>
    <t>Carlsbad Municipal Water District</t>
  </si>
  <si>
    <t>includes SF w/fire protection</t>
  </si>
  <si>
    <t>includes duplex</t>
  </si>
  <si>
    <t>includes agriculture w/house</t>
  </si>
  <si>
    <t>Carmichael Water District</t>
  </si>
  <si>
    <t>Total metered demand and distribution system losses</t>
  </si>
  <si>
    <t>Carpinteria Valley Water District</t>
  </si>
  <si>
    <t>Casitas Municipal Water District</t>
  </si>
  <si>
    <t>Ojai Retail Demands</t>
  </si>
  <si>
    <t>Other, Fire Service, Temporary</t>
  </si>
  <si>
    <t>Casitas Municipal Water District - Ojai</t>
  </si>
  <si>
    <t>ag + ag domestic</t>
  </si>
  <si>
    <t>Ceres  City Of</t>
  </si>
  <si>
    <t>Cerritos  City Of</t>
  </si>
  <si>
    <t>City of Norwalk and Golden State Water Company</t>
  </si>
  <si>
    <t>Chino  City Of</t>
  </si>
  <si>
    <t>Chino Hills  City Of</t>
  </si>
  <si>
    <t>AWWA Water Audit</t>
  </si>
  <si>
    <t>Residential</t>
  </si>
  <si>
    <t>CII (commercial, industrial &amp; industrial combined)</t>
  </si>
  <si>
    <t>Water use that does not fall into Residential or CII</t>
  </si>
  <si>
    <t>Chowchilla, City of Water Department</t>
  </si>
  <si>
    <t>Citrus Heights Water District</t>
  </si>
  <si>
    <t>Distribution system water loss</t>
  </si>
  <si>
    <t>Cloverdale  City of</t>
  </si>
  <si>
    <t>Fire Services and Hydrants</t>
  </si>
  <si>
    <t>Clovis  City Of</t>
  </si>
  <si>
    <t>Includes schools</t>
  </si>
  <si>
    <t>Coachella  City Of</t>
  </si>
  <si>
    <t>Commercial/Institutional</t>
  </si>
  <si>
    <t>Non-Revenue</t>
  </si>
  <si>
    <t>Coastside County Water District</t>
  </si>
  <si>
    <t>Recreation</t>
  </si>
  <si>
    <t>Parks/Beaches</t>
  </si>
  <si>
    <t>Marine</t>
  </si>
  <si>
    <t>Fire</t>
  </si>
  <si>
    <t>Portable</t>
  </si>
  <si>
    <t>Potable system losses</t>
  </si>
  <si>
    <t>Colton  City Of</t>
  </si>
  <si>
    <t>Municipal</t>
  </si>
  <si>
    <t>Water Losses</t>
  </si>
  <si>
    <t>Temporary Service</t>
  </si>
  <si>
    <t>CCWD and Local Supply (River Diversions)</t>
  </si>
  <si>
    <t>Raw Water Irrigation</t>
  </si>
  <si>
    <t>Estimated Groundwater</t>
  </si>
  <si>
    <t>Treated Water Losses</t>
  </si>
  <si>
    <t>Public Authorities and PA Irrigation</t>
  </si>
  <si>
    <t>Commercial and Commercial Irrigation</t>
  </si>
  <si>
    <t>Residential Multi-Family</t>
  </si>
  <si>
    <t>Residential Single-Family</t>
  </si>
  <si>
    <t>Corona  City Of</t>
  </si>
  <si>
    <t>Discharge to Inland Empire Brine Line</t>
  </si>
  <si>
    <t>Sales to Other Agencies</t>
  </si>
  <si>
    <t>Hydrants</t>
  </si>
  <si>
    <t>Landscape (Potable)</t>
  </si>
  <si>
    <t>Commercial/ Institutional</t>
  </si>
  <si>
    <t>Residential Multi Family</t>
  </si>
  <si>
    <t>Residential Single Family</t>
  </si>
  <si>
    <t>Real &amp; Apparent Losses</t>
  </si>
  <si>
    <t>Covina  City Of</t>
  </si>
  <si>
    <t>City</t>
  </si>
  <si>
    <t>Crescent City</t>
  </si>
  <si>
    <t>Crescenta Valley Community Water District</t>
  </si>
  <si>
    <t>w/ Institutional</t>
  </si>
  <si>
    <t>Crestline Village Water District</t>
  </si>
  <si>
    <t>Estimated as total production (Table 6-8) minus  consumption (290,960 CCF)</t>
  </si>
  <si>
    <t>Cucamonga Valley Water District</t>
  </si>
  <si>
    <t>Daly City</t>
  </si>
  <si>
    <t>Includes apartments, duplexes, and condominiums</t>
  </si>
  <si>
    <t>Commercial, Industrial, Institutional/Governmental</t>
  </si>
  <si>
    <t>Davis  City Of</t>
  </si>
  <si>
    <t>Non revenue water use from line flushing or hydrant use</t>
  </si>
  <si>
    <t>CII and Landscape</t>
  </si>
  <si>
    <t>Includes Willowbank CSA, El Macero CSA, and Davis Creek Mobile Home Park</t>
  </si>
  <si>
    <t>Del Oro Water Company</t>
  </si>
  <si>
    <t>Per AWWA Water Loss Audit</t>
  </si>
  <si>
    <t>Authorized Unbilled / Unmetered (firefighting, flushing, etc)</t>
  </si>
  <si>
    <t>To DOWC's Magalia District</t>
  </si>
  <si>
    <t>Delano  City Of</t>
  </si>
  <si>
    <t>Not all customers are metered</t>
  </si>
  <si>
    <t>Estimated Losses</t>
  </si>
  <si>
    <t>Whitewater River</t>
  </si>
  <si>
    <t>Commercial, Industrial, Institutional</t>
  </si>
  <si>
    <t>Diablo Water District</t>
  </si>
  <si>
    <t>less than 1 MG</t>
  </si>
  <si>
    <t>Dinuba  City Of</t>
  </si>
  <si>
    <t>Includes multi-family</t>
  </si>
  <si>
    <t>Includes Institutional/Governmental</t>
  </si>
  <si>
    <t>Discovery Bay Community Services District</t>
  </si>
  <si>
    <t>Dixon  City Of</t>
  </si>
  <si>
    <t>See Note (b)</t>
  </si>
  <si>
    <t>See Note (c)</t>
  </si>
  <si>
    <t>Dublin San Ramon Services District</t>
  </si>
  <si>
    <t>Ranch Owner</t>
  </si>
  <si>
    <t>Supplemental water for recycled water demand</t>
  </si>
  <si>
    <t>Fireline Meters</t>
  </si>
  <si>
    <t>Includes petroleum</t>
  </si>
  <si>
    <t>Hydrant permits/Fire Service</t>
  </si>
  <si>
    <t>These are approximate quantities for unbilled unmetered used for reservoir draining pipeline flushing, hydrant testing, firefighting and training.</t>
  </si>
  <si>
    <t>Potable supplement water delivered to Richmond Advance Recycled Expansion Water Project.</t>
  </si>
  <si>
    <t>East Niles Community Services District</t>
  </si>
  <si>
    <t>East Orange County Water District</t>
  </si>
  <si>
    <t>Commercial/Industrial/Institutional</t>
  </si>
  <si>
    <t>East Palo Alto  City Of</t>
  </si>
  <si>
    <t>East Valley Water District</t>
  </si>
  <si>
    <t>Irrigation Commercial</t>
  </si>
  <si>
    <t>Bulk Water</t>
  </si>
  <si>
    <t>Nonrevenue</t>
  </si>
  <si>
    <t>Eastern Municipal Water District</t>
  </si>
  <si>
    <t>System losses &amp; unbilled, authorized consumption</t>
  </si>
  <si>
    <t>El Centro  City Of</t>
  </si>
  <si>
    <t>Other authorized uses</t>
  </si>
  <si>
    <t>Total metered potable water deliveries</t>
  </si>
  <si>
    <t>El Segundo  City Of</t>
  </si>
  <si>
    <t>Firefighting</t>
  </si>
  <si>
    <t>Distribution System Losses (estimated using AWWA Water loss Audit Worksheet)</t>
  </si>
  <si>
    <t>El Toro Water District</t>
  </si>
  <si>
    <t>Flooding Meters and Private Fire Systems</t>
  </si>
  <si>
    <t>Elk Grove Water District</t>
  </si>
  <si>
    <t>Non-Residential</t>
  </si>
  <si>
    <t>Elsinore Valley Municipal Water District</t>
  </si>
  <si>
    <t>All Residential</t>
  </si>
  <si>
    <t>Sales/Transfers/Exchanges to Other Agencies</t>
  </si>
  <si>
    <t>FMWC</t>
  </si>
  <si>
    <t>Hydrant</t>
  </si>
  <si>
    <t>EVMWD Use</t>
  </si>
  <si>
    <t>Escondido  City Of</t>
  </si>
  <si>
    <t>See note (1)</t>
  </si>
  <si>
    <t>Sales to Rincon Customers</t>
  </si>
  <si>
    <t>See note (2)</t>
  </si>
  <si>
    <t>Estero Municipal Improvement District</t>
  </si>
  <si>
    <t>Includes Institutional/ Governmental</t>
  </si>
  <si>
    <t>Eureka  City Of</t>
  </si>
  <si>
    <t>Bulk Water Sales/ WWTP</t>
  </si>
  <si>
    <t>Residential outside of City Limits</t>
  </si>
  <si>
    <t>Fair Oaks Water District</t>
  </si>
  <si>
    <t>Unaccounted</t>
  </si>
  <si>
    <t>O&amp;M</t>
  </si>
  <si>
    <t>Fairfield  City Of</t>
  </si>
  <si>
    <t>Carried over from 2015</t>
  </si>
  <si>
    <t>Fire and Construction</t>
  </si>
  <si>
    <t>Fallbrook Public Utility District</t>
  </si>
  <si>
    <t>Aerojet</t>
  </si>
  <si>
    <t>Municipal/Parks</t>
  </si>
  <si>
    <t>Fortuna  City Of</t>
  </si>
  <si>
    <t>Misc. Res.</t>
  </si>
  <si>
    <t>single Family</t>
  </si>
  <si>
    <t>Res. Sales out side of city limits</t>
  </si>
  <si>
    <t>Fountain Valley  City Of</t>
  </si>
  <si>
    <t>Represents Fire Meter Agricultural and Non-Revenue Water</t>
  </si>
  <si>
    <t>See Note 1</t>
  </si>
  <si>
    <t>Groundwater Recharge</t>
  </si>
  <si>
    <t>Travel Meters</t>
  </si>
  <si>
    <t>Fullerton  City Of</t>
  </si>
  <si>
    <t>Galt  City Of</t>
  </si>
  <si>
    <t>City Consumption</t>
  </si>
  <si>
    <t>Garden Grove  City Of</t>
  </si>
  <si>
    <t>Church</t>
  </si>
  <si>
    <t>Duplex, Sewer/Septic, Single family home, Townhome</t>
  </si>
  <si>
    <t>Car wash, Commercial, Hotel/Motel, Laundromat</t>
  </si>
  <si>
    <t>Multi-unit</t>
  </si>
  <si>
    <t>Hospital, Private School, Public School, Public School Other</t>
  </si>
  <si>
    <t>Georgetown Divide Public Utility District</t>
  </si>
  <si>
    <t>Raw Water Conveyance System</t>
  </si>
  <si>
    <t>Treated Water Distribution System</t>
  </si>
  <si>
    <t>Gilroy  City Of</t>
  </si>
  <si>
    <t>Glendale  City Of</t>
  </si>
  <si>
    <t>Glendora  City Of</t>
  </si>
  <si>
    <t>Golden State Water Company - Artesia</t>
  </si>
  <si>
    <t>Golden State Water Company - Barstow</t>
  </si>
  <si>
    <t>Golden State Water Company - Bay Point</t>
  </si>
  <si>
    <t>Golden State Water Company - Bell-Bell Gardens</t>
  </si>
  <si>
    <t>Golden State Water Company - Claremont</t>
  </si>
  <si>
    <t>Golden State Water Company - Cordova</t>
  </si>
  <si>
    <t>Golden State Water Company - Culver City</t>
  </si>
  <si>
    <t>Golden State Water Company - Florence Graham</t>
  </si>
  <si>
    <t>Golden State Water Company - Norwalk</t>
  </si>
  <si>
    <t>Golden State Water Company - Orcutt</t>
  </si>
  <si>
    <t>Golden State Water Company - Placentia</t>
  </si>
  <si>
    <t>Golden State Water Company - San Dimas</t>
  </si>
  <si>
    <t>Golden State Water Company - Simi Valley</t>
  </si>
  <si>
    <t>Golden State Water Company - South Arcadia</t>
  </si>
  <si>
    <t>Golden State Water Company - South San Gabriel</t>
  </si>
  <si>
    <t>Golden State Water Company - Southwest</t>
  </si>
  <si>
    <t>Golden State Water Company - West Orange</t>
  </si>
  <si>
    <t>Goleta Water District</t>
  </si>
  <si>
    <t>Great Oaks Water Company Incorporated</t>
  </si>
  <si>
    <t>Includes Schools</t>
  </si>
  <si>
    <t>Business</t>
  </si>
  <si>
    <t>Greenfield County Water District</t>
  </si>
  <si>
    <t>and Industrial combined</t>
  </si>
  <si>
    <t>Groveland Community Services District</t>
  </si>
  <si>
    <t>98 Metered Connection</t>
  </si>
  <si>
    <t>3,158 Metered Connection</t>
  </si>
  <si>
    <t>Potable Water uses for flushing activities, tank cleaning, ect.</t>
  </si>
  <si>
    <t>Unaccounted Water</t>
  </si>
  <si>
    <t>Grover Beach  City Of</t>
  </si>
  <si>
    <t>Hanford  City Of</t>
  </si>
  <si>
    <t>Construction Billing</t>
  </si>
  <si>
    <t>Hawthorne  City Of</t>
  </si>
  <si>
    <t>Hayward  City Of</t>
  </si>
  <si>
    <t>Dedicated irrigation meters only</t>
  </si>
  <si>
    <t>Apparent and Real Losses</t>
  </si>
  <si>
    <t>1-4 dwelling units</t>
  </si>
  <si>
    <t>5+ dwelling units and mobile homes</t>
  </si>
  <si>
    <t>Hydrant Meter and Fireline</t>
  </si>
  <si>
    <t>Healdsburg  City Of</t>
  </si>
  <si>
    <t>Recycled water (deducted from Potable)</t>
  </si>
  <si>
    <t>raw water irrigation for parks</t>
  </si>
  <si>
    <t>churches, schools, municipal</t>
  </si>
  <si>
    <t>Winery</t>
  </si>
  <si>
    <t>Helix Water District</t>
  </si>
  <si>
    <t>Hemet  City Of</t>
  </si>
  <si>
    <t>Includes institutional</t>
  </si>
  <si>
    <t>Hesperia Water District</t>
  </si>
  <si>
    <t>Hi Desert Water District</t>
  </si>
  <si>
    <t>Total Use</t>
  </si>
  <si>
    <t>Hillsborough  Town Of</t>
  </si>
  <si>
    <t>Hollister  City Of</t>
  </si>
  <si>
    <t>based on 8.44% from 2019 Audit</t>
  </si>
  <si>
    <t>Humboldt Community Services District</t>
  </si>
  <si>
    <t>Huntington Beach  City Of</t>
  </si>
  <si>
    <t>Facilities only, parks/medians/etc. under landscape</t>
  </si>
  <si>
    <t>Huntington Park  City Of</t>
  </si>
  <si>
    <t>Imperial  City Of</t>
  </si>
  <si>
    <t>Indian Wells Valley Water District</t>
  </si>
  <si>
    <t>See Note below.</t>
  </si>
  <si>
    <t>Includes Indust./Inst./Gov.</t>
  </si>
  <si>
    <t>Indio  City Of</t>
  </si>
  <si>
    <t>Inglewood  City Of</t>
  </si>
  <si>
    <t>Total Residential</t>
  </si>
  <si>
    <t>Irvine Ranch Water District</t>
  </si>
  <si>
    <t>Supplement to RW system</t>
  </si>
  <si>
    <t>Distribution System Real Losses</t>
  </si>
  <si>
    <t>Jurupa Community Service District</t>
  </si>
  <si>
    <t>Non-Potable Losses</t>
  </si>
  <si>
    <t>Non-Potable Irrigation</t>
  </si>
  <si>
    <t>Potable Losses</t>
  </si>
  <si>
    <t>Transfer  and Sale to Santa Ana River Water Company</t>
  </si>
  <si>
    <t>Sold to City of Norco</t>
  </si>
  <si>
    <t>Includes "no sewer" acounts</t>
  </si>
  <si>
    <t>Includes hydrant meters</t>
  </si>
  <si>
    <t>Includes institutional and fire service meters</t>
  </si>
  <si>
    <t>Sold to Swan Lake</t>
  </si>
  <si>
    <t>La Habra  City Of</t>
  </si>
  <si>
    <t>La Palma  City Of</t>
  </si>
  <si>
    <t>Institutional, industrial</t>
  </si>
  <si>
    <t>Non Revenue Water</t>
  </si>
  <si>
    <t>La Verne  City Of</t>
  </si>
  <si>
    <t>Temporary Construction</t>
  </si>
  <si>
    <t>Laguna Beach County Water District</t>
  </si>
  <si>
    <t>Lake Arrowhead Community Services District</t>
  </si>
  <si>
    <t>Includes Multi-Family</t>
  </si>
  <si>
    <t>Unbilled</t>
  </si>
  <si>
    <t>Dedicated Irrigation Meters</t>
  </si>
  <si>
    <t>Transfer to Grass Valley Lake</t>
  </si>
  <si>
    <t>Lake Hemet Municipal Water District</t>
  </si>
  <si>
    <t>Lakeside Water District</t>
  </si>
  <si>
    <t>Lakewood  City Of</t>
  </si>
  <si>
    <t>Fire Meter</t>
  </si>
  <si>
    <t>Lamont Public Utility District</t>
  </si>
  <si>
    <t>Total Revenue Water</t>
  </si>
  <si>
    <t>Las Virgenes Municipal Water District</t>
  </si>
  <si>
    <t>Potable Supplement to Recycled Water systems</t>
  </si>
  <si>
    <t>Temporary Uses, such as fire protection and construction</t>
  </si>
  <si>
    <t>Lathrop  City Of</t>
  </si>
  <si>
    <t>Other/Construction</t>
  </si>
  <si>
    <t>Non-revenue Water  (a)(b)</t>
  </si>
  <si>
    <t>Liberty Utilities (Park Water) Corp</t>
  </si>
  <si>
    <t>Lincoln  City Of</t>
  </si>
  <si>
    <t>Hydrant Water</t>
  </si>
  <si>
    <t>Metered Use with Unknown Use Type</t>
  </si>
  <si>
    <t>Lincoln Avenue Water Company</t>
  </si>
  <si>
    <t>All Sectors (single family, multi-family, &amp; CII combined)</t>
  </si>
  <si>
    <t>To Pasadena</t>
  </si>
  <si>
    <t>Linda County Water District</t>
  </si>
  <si>
    <t>Livermore  City Of</t>
  </si>
  <si>
    <t>Unbilled unmetered consumption</t>
  </si>
  <si>
    <t>Livingston  City Of</t>
  </si>
  <si>
    <t>3,228 Metered Connection</t>
  </si>
  <si>
    <t>Manual Meter</t>
  </si>
  <si>
    <t>33 Metered Connection</t>
  </si>
  <si>
    <t>4 Metered Connection</t>
  </si>
  <si>
    <t>175 Metered Connection</t>
  </si>
  <si>
    <t>83 Metered Connection</t>
  </si>
  <si>
    <t>Lodi  City Of</t>
  </si>
  <si>
    <t>Loma Linda  City Of</t>
  </si>
  <si>
    <t>Single Family Residential</t>
  </si>
  <si>
    <t>Landscape Irrigation</t>
  </si>
  <si>
    <t>Lomita  City Of</t>
  </si>
  <si>
    <t>Lompoc  City Of</t>
  </si>
  <si>
    <t>Includes Institutional Use</t>
  </si>
  <si>
    <t>Long Beach  City Of</t>
  </si>
  <si>
    <t>Duplex</t>
  </si>
  <si>
    <t>Los Angeles City Department Of Water And Power</t>
  </si>
  <si>
    <t>Los Angeles County Waterworks District 29 - Malibu &amp; Marina Del Rey</t>
  </si>
  <si>
    <t>Includes large landscapes</t>
  </si>
  <si>
    <t>Includes firefighting, flushing of water mains, and fire flow tests</t>
  </si>
  <si>
    <t>Includes construction meters</t>
  </si>
  <si>
    <t>Los Angeles County Waterworks District 40 - Antelope Valley</t>
  </si>
  <si>
    <t>Includes other authorized consumption such as firefighting, flushing of water mains, and fire flow tests.</t>
  </si>
  <si>
    <t>Includes Large Landscapes</t>
  </si>
  <si>
    <t>Los Banos  City Of</t>
  </si>
  <si>
    <t>Lynwood  City Of</t>
  </si>
  <si>
    <t>Mammoth Community Water District</t>
  </si>
  <si>
    <t>Apt, Mobile Home, Condo, Condo with Irrigation</t>
  </si>
  <si>
    <t>Comm, Comm/Res, Motel</t>
  </si>
  <si>
    <t>Public, District</t>
  </si>
  <si>
    <t>Golf Course Irrigation, Raw</t>
  </si>
  <si>
    <t>Manhattan Beach  City Of</t>
  </si>
  <si>
    <t>Includes institutional use</t>
  </si>
  <si>
    <t>Marin Municipal Water District</t>
  </si>
  <si>
    <t>Environmental releases from Kent and Soulajule Lakes</t>
  </si>
  <si>
    <t>Potable water make-up to recycled water system (d)</t>
  </si>
  <si>
    <t>Other non-revenue water (c)</t>
  </si>
  <si>
    <t>Water sold to the Meadow Club</t>
  </si>
  <si>
    <t>Fireline/Hydrant</t>
  </si>
  <si>
    <t>Business/Industrial</t>
  </si>
  <si>
    <t>Marina Coast Water District</t>
  </si>
  <si>
    <t>Martinez  City Of</t>
  </si>
  <si>
    <t>McFarland  City of</t>
  </si>
  <si>
    <t>Commercial / Institutional</t>
  </si>
  <si>
    <t>McKinleyville Community Services District</t>
  </si>
  <si>
    <t>Bulk Water Sales</t>
  </si>
  <si>
    <t>Menlo Park  City Of</t>
  </si>
  <si>
    <t>Note (c)</t>
  </si>
  <si>
    <t>Note (a)</t>
  </si>
  <si>
    <t>Note (b)</t>
  </si>
  <si>
    <t>Merced  City Of</t>
  </si>
  <si>
    <t>Mesa Water District</t>
  </si>
  <si>
    <t>Private Fire lines (flushing), Hydrant Meter (Construction)</t>
  </si>
  <si>
    <t>Mid-Peninsula Water District</t>
  </si>
  <si>
    <t>Millbrae  City Of</t>
  </si>
  <si>
    <t>System losses from water audit</t>
  </si>
  <si>
    <t>Includes schools, churches, and the City</t>
  </si>
  <si>
    <t>Includes temporary metered uses and fire service</t>
  </si>
  <si>
    <t>Multifamily and duplex units</t>
  </si>
  <si>
    <t>Includes commercial, restaurants, and bars</t>
  </si>
  <si>
    <t>Milpitas  City Of</t>
  </si>
  <si>
    <t>Duplex, Townhouse, Condo, Mobile Homes</t>
  </si>
  <si>
    <t>Schools, Government or Church and City Domestic Accounts</t>
  </si>
  <si>
    <t>Mission Springs Water District</t>
  </si>
  <si>
    <t>Modesto  City Of</t>
  </si>
  <si>
    <t>Unmetered water uses</t>
  </si>
  <si>
    <t>Monrovia  City Of</t>
  </si>
  <si>
    <t>Monte Vista Water District</t>
  </si>
  <si>
    <t>Montebello Land And Water Company</t>
  </si>
  <si>
    <t>Montecito Water District</t>
  </si>
  <si>
    <t>Golf Course</t>
  </si>
  <si>
    <t>Monterey Park  City Of</t>
  </si>
  <si>
    <t>Morgan Hill  City Of</t>
  </si>
  <si>
    <t>Also includes Institutional use</t>
  </si>
  <si>
    <t>Morro Bay  City Of</t>
  </si>
  <si>
    <t>Moulton Niguel Water District</t>
  </si>
  <si>
    <t>Potable Hydrant</t>
  </si>
  <si>
    <t>Mountain House Community Services District</t>
  </si>
  <si>
    <t>Single family and apartment residential demands.</t>
  </si>
  <si>
    <t>Builder; Commercial; Utilities; Construction; Manufacturing; Mining</t>
  </si>
  <si>
    <t>Schools; MHCSD facilities</t>
  </si>
  <si>
    <t>MHCSD landscape irrigation</t>
  </si>
  <si>
    <t>Lakes</t>
  </si>
  <si>
    <t>Mountain View  City Of</t>
  </si>
  <si>
    <t>Myoma Dunes Mutual Water Company</t>
  </si>
  <si>
    <t>Hydrants, Non-Billed, Fire Protection</t>
  </si>
  <si>
    <t>Napa  City Of</t>
  </si>
  <si>
    <t>Hydrant flushing, firefighting (estimate)</t>
  </si>
  <si>
    <t>Real and Apparent Losses (estimate)</t>
  </si>
  <si>
    <t>City of St. Helena, Town of Yountville, California Veterans Home</t>
  </si>
  <si>
    <t>Interruptible-Surplus Agreements outside City limits</t>
  </si>
  <si>
    <t>Commercial businesses, industrial, schools, non-City institutional</t>
  </si>
  <si>
    <t>City of Napa municipal accounts</t>
  </si>
  <si>
    <t>Dedicated irrigation meters</t>
  </si>
  <si>
    <t>Nevada Irrigation District</t>
  </si>
  <si>
    <t>Unrecoverable Environmental Flow Requirement</t>
  </si>
  <si>
    <t>Raw Water Customer Duty</t>
  </si>
  <si>
    <t>Treated System</t>
  </si>
  <si>
    <t>Newman  City of</t>
  </si>
  <si>
    <t>3 Metered Connections &amp; 26 Unmetered Park Connections</t>
  </si>
  <si>
    <t>13 Metered Connection</t>
  </si>
  <si>
    <t>124 Metered Connection</t>
  </si>
  <si>
    <t>63 Metered Connection</t>
  </si>
  <si>
    <t>3,265 Metered Connection</t>
  </si>
  <si>
    <t>Newport Beach  City Of</t>
  </si>
  <si>
    <t>Nipomo Community Service District</t>
  </si>
  <si>
    <t>Norco  City Of</t>
  </si>
  <si>
    <t>North Coast County Water District</t>
  </si>
  <si>
    <t>Port Meter Use</t>
  </si>
  <si>
    <t>Fire Standby Use</t>
  </si>
  <si>
    <t>Sales to San Bruno</t>
  </si>
  <si>
    <t>North Marin Water District</t>
  </si>
  <si>
    <t>Apartments, condos, and mobile homes</t>
  </si>
  <si>
    <t>Potable water make-up to recycled water system</t>
  </si>
  <si>
    <t>Raw water</t>
  </si>
  <si>
    <t>Pools, fire services</t>
  </si>
  <si>
    <t>North Tahoe Public Utilities District</t>
  </si>
  <si>
    <t>Unaccounted water</t>
  </si>
  <si>
    <t>Norwalk  City Of</t>
  </si>
  <si>
    <t>Oakdale  City Of</t>
  </si>
  <si>
    <t>Oceanside  City Of</t>
  </si>
  <si>
    <t>Single family residential detached dwelling</t>
  </si>
  <si>
    <t>Irrigation of commercially grown crops or other dedicated agricultural connections</t>
  </si>
  <si>
    <t>Water only account</t>
  </si>
  <si>
    <t>Businesses whose discharge to the wastewater system have high concentrations of BOD, TSS, and/or ammonia.</t>
  </si>
  <si>
    <t>VID: Fall/Olive Exchange</t>
  </si>
  <si>
    <t>More than one residential dwelling unit serviced by the meter: Duplex, townhome, condominium, apartments, mobile homes.</t>
  </si>
  <si>
    <t>Non-residential domestic service</t>
  </si>
  <si>
    <t>Olivehurst Public Utilities District</t>
  </si>
  <si>
    <t>Includes Institutional demands.</t>
  </si>
  <si>
    <t>Unmetered Accounts (Olivehurst system)</t>
  </si>
  <si>
    <t>Unbilled Unmetered</t>
  </si>
  <si>
    <t>Olivenhain Municipal Water District</t>
  </si>
  <si>
    <t>Non-Revenue Water, including actual losses</t>
  </si>
  <si>
    <t>Ontario  City Of</t>
  </si>
  <si>
    <t>Orange  City Of</t>
  </si>
  <si>
    <t>Orangevale Water Company</t>
  </si>
  <si>
    <t>includes Institutional</t>
  </si>
  <si>
    <t>Orchard Dale Water District</t>
  </si>
  <si>
    <t>Otay Water District</t>
  </si>
  <si>
    <t>Commercial &amp; Industrial</t>
  </si>
  <si>
    <t>Oxnard  City Of</t>
  </si>
  <si>
    <t>Wheeled to PHWA</t>
  </si>
  <si>
    <t>Fire Hydrant</t>
  </si>
  <si>
    <t>Padre Dam Municipal Water District</t>
  </si>
  <si>
    <t>Municipal and Industrial</t>
  </si>
  <si>
    <t>Potable Supplement to Recycled Water System</t>
  </si>
  <si>
    <t>Palo Alto  City Of</t>
  </si>
  <si>
    <t>Paradise Irrigation District</t>
  </si>
  <si>
    <t>Service Connections No Longer under Water Quality Advisory</t>
  </si>
  <si>
    <t>Unauthorized Uses</t>
  </si>
  <si>
    <t>Service Connections Still Under Water Quality Advisory</t>
  </si>
  <si>
    <t>Paramount  City Of</t>
  </si>
  <si>
    <t>Pasadena  City Of</t>
  </si>
  <si>
    <t>This category includes authorized unbilled water use from water loss</t>
  </si>
  <si>
    <t>This category includes real and apparent water losses</t>
  </si>
  <si>
    <t>This category includes water use from City Accounts per PWP's customer billing system</t>
  </si>
  <si>
    <t>This category includes both commercial and industrial uses per PWP's billing system</t>
  </si>
  <si>
    <t>Paso Robles  City Of</t>
  </si>
  <si>
    <t>Patterson  City Of</t>
  </si>
  <si>
    <t>Local groundwater supplies</t>
  </si>
  <si>
    <t>Petaluma  City Of</t>
  </si>
  <si>
    <t>All dedicated irrigation accounts</t>
  </si>
  <si>
    <t>Phelan Pinon Hills Community Services District</t>
  </si>
  <si>
    <t>includes Construction Use and Institutional Use</t>
  </si>
  <si>
    <t>Pico Rivera  City Of</t>
  </si>
  <si>
    <t>PRWA combines service to commercial, industrial, and institutional/governmental</t>
  </si>
  <si>
    <t>Sale to Liberty Utilties</t>
  </si>
  <si>
    <t>PRWA combines service to residential (SF and MF)</t>
  </si>
  <si>
    <t>Pico Water District</t>
  </si>
  <si>
    <t>Pismo Beach  City Of</t>
  </si>
  <si>
    <t>Pittsburg  City Of</t>
  </si>
  <si>
    <t>See Note</t>
  </si>
  <si>
    <t>Hydrant meters</t>
  </si>
  <si>
    <t>See Note 2</t>
  </si>
  <si>
    <t>Pleasanton  City Of</t>
  </si>
  <si>
    <t>Pomona  City Of</t>
  </si>
  <si>
    <t>Port Hueneme  City Of</t>
  </si>
  <si>
    <t>Porterville  City Of</t>
  </si>
  <si>
    <t>Poway  City Of</t>
  </si>
  <si>
    <t>Sales to SDCWA (for Ramona MWD)</t>
  </si>
  <si>
    <t>Raw Water for Golf Course</t>
  </si>
  <si>
    <t>Quartz Hill Water District</t>
  </si>
  <si>
    <t>Rainbow Municipal Water District</t>
  </si>
  <si>
    <t>Non-Revenue Water, including apparent and real losses</t>
  </si>
  <si>
    <t>Ramona Municipal Water District</t>
  </si>
  <si>
    <t>Rancho California Water District</t>
  </si>
  <si>
    <t>Wheeled water</t>
  </si>
  <si>
    <t>fire flows, construction</t>
  </si>
  <si>
    <t>Santa Margarita Discharge</t>
  </si>
  <si>
    <t>Redlands  City Of</t>
  </si>
  <si>
    <t>Agricultural Irrigation</t>
  </si>
  <si>
    <t>Redwood City</t>
  </si>
  <si>
    <t>Fire Services</t>
  </si>
  <si>
    <t>See note (b)</t>
  </si>
  <si>
    <t>Reedley  City Of</t>
  </si>
  <si>
    <t>Rialto  City Of</t>
  </si>
  <si>
    <t>Government</t>
  </si>
  <si>
    <t>Rincon Del Diablo Municipal Water District</t>
  </si>
  <si>
    <t>Rio Vista  City Of</t>
  </si>
  <si>
    <t>Riverbank  City Of</t>
  </si>
  <si>
    <t>Riverside  City Of</t>
  </si>
  <si>
    <t>Fire, Temporary, Special Service</t>
  </si>
  <si>
    <t>GCC</t>
  </si>
  <si>
    <t>Overlying Uses</t>
  </si>
  <si>
    <t>WMWD</t>
  </si>
  <si>
    <t>Irrigation Losses</t>
  </si>
  <si>
    <t>Riverside Highland Water Company</t>
  </si>
  <si>
    <t>Commercial &amp; Institutional</t>
  </si>
  <si>
    <t>Rohnert Park  City Of</t>
  </si>
  <si>
    <t>Includes Industrial, Institutional</t>
  </si>
  <si>
    <t>Inculding non-metered</t>
  </si>
  <si>
    <t>Discharge to Linda Creek and water wheeled on behalf of SJWD</t>
  </si>
  <si>
    <t>Excludes groundwater pumped and supplied to distribution system.</t>
  </si>
  <si>
    <t>Rowland Water District</t>
  </si>
  <si>
    <t>Construction, Fire Service and Street Sweeping</t>
  </si>
  <si>
    <t>Rubidoux Community Service District</t>
  </si>
  <si>
    <t>Commercial, industrial, and institutional/governmental combined</t>
  </si>
  <si>
    <t>Hydrant Meters</t>
  </si>
  <si>
    <t>District facilities (unbilled)</t>
  </si>
  <si>
    <t>Potable</t>
  </si>
  <si>
    <t>Single-family and multi-family residential combined</t>
  </si>
  <si>
    <t>Non-Potable</t>
  </si>
  <si>
    <t>Non-potable irrigation</t>
  </si>
  <si>
    <t>Rubio Canyon Land And Water Association</t>
  </si>
  <si>
    <t>Running Springs Water District</t>
  </si>
  <si>
    <t>Sacramento  City Of</t>
  </si>
  <si>
    <t>To Wholesale Customers</t>
  </si>
  <si>
    <t>Includes Industrial Use Type</t>
  </si>
  <si>
    <t>Non-Zone 40</t>
  </si>
  <si>
    <t>Zone 40</t>
  </si>
  <si>
    <t>Retail Losses</t>
  </si>
  <si>
    <t>Sacramento Suburban Water District</t>
  </si>
  <si>
    <t>Non-Revenue Water (NRW) a</t>
  </si>
  <si>
    <t>City of Sacramento (groundwater substitution transfer water exchange)</t>
  </si>
  <si>
    <t>California American Water Company</t>
  </si>
  <si>
    <t>San Bernardino  City Of</t>
  </si>
  <si>
    <t>Residential-Single Family</t>
  </si>
  <si>
    <t>Commercial/Institutional+Municipal</t>
  </si>
  <si>
    <t>Residential-Multi-Family</t>
  </si>
  <si>
    <t>WRP Dewatering Wells</t>
  </si>
  <si>
    <t>San Bernardino County Service Area 64 Spring Valley Lake</t>
  </si>
  <si>
    <t>Water Only Use Category</t>
  </si>
  <si>
    <t>San Bernardino County Service Area 70 J Oak Hills</t>
  </si>
  <si>
    <t>San Bruno  City Of</t>
  </si>
  <si>
    <t>--</t>
  </si>
  <si>
    <t>Governmental</t>
  </si>
  <si>
    <t>San Buenaventura  City Of (Ventura)</t>
  </si>
  <si>
    <t>oil industry, temporary construction meters, fire training</t>
  </si>
  <si>
    <t>San Clemente  City Of</t>
  </si>
  <si>
    <t>Hydrant sales</t>
  </si>
  <si>
    <t>San Diego  City Of</t>
  </si>
  <si>
    <t>Indoor and Outdoor uses</t>
  </si>
  <si>
    <t>CII Indoor and and Outdoor uses</t>
  </si>
  <si>
    <t>San Dieguito Water District</t>
  </si>
  <si>
    <t>San Fernando  City Of</t>
  </si>
  <si>
    <t>San Francisco Public Utilities Commission</t>
  </si>
  <si>
    <t>Includes both apparent losses and real losses (See Appendix F for AWWA audit worksheet)</t>
  </si>
  <si>
    <t>Non-residential: commercial, industrial and institutional</t>
  </si>
  <si>
    <t>San Gabriel County Water District</t>
  </si>
  <si>
    <t>Commercial and Industrial</t>
  </si>
  <si>
    <t>San Gabriel Valley Water Company</t>
  </si>
  <si>
    <t>San Gabriel Valley Water Company   Fontana Division</t>
  </si>
  <si>
    <t>Company Service</t>
  </si>
  <si>
    <t>Multi-family residential, duplex individually metered, public authority multi-family</t>
  </si>
  <si>
    <t>Includes Public Authority Irrigation</t>
  </si>
  <si>
    <t>San Jacinto  City Of</t>
  </si>
  <si>
    <t>San Jose  City Of</t>
  </si>
  <si>
    <t>San Jose Water Company</t>
  </si>
  <si>
    <t>Unbilled unmetered use</t>
  </si>
  <si>
    <t>Portable meter</t>
  </si>
  <si>
    <t>Real and apparent losses</t>
  </si>
  <si>
    <t>Resale</t>
  </si>
  <si>
    <t>Total Retail Demands</t>
  </si>
  <si>
    <t>San Lorenzo Valley Water District</t>
  </si>
  <si>
    <t>Commercial, Industrial, and Institutional (CII)</t>
  </si>
  <si>
    <t>San Luis Obispo  City Of</t>
  </si>
  <si>
    <t>CII</t>
  </si>
  <si>
    <t>Sanger  City Of</t>
  </si>
  <si>
    <t>7 Service Connections</t>
  </si>
  <si>
    <t>6,498 Service Connections</t>
  </si>
  <si>
    <t>44 Service Connections</t>
  </si>
  <si>
    <t>424 Service Connections</t>
  </si>
  <si>
    <t>Santa Ana  City Of</t>
  </si>
  <si>
    <t>Water-only customer outside of City boundary</t>
  </si>
  <si>
    <t>Santa Barbara  City Of</t>
  </si>
  <si>
    <t>Included in Commercial</t>
  </si>
  <si>
    <t>Santa Clara  City Of</t>
  </si>
  <si>
    <t>Institutional</t>
  </si>
  <si>
    <t>Sales to LACWWD 26</t>
  </si>
  <si>
    <t>Miscellaneous water uses</t>
  </si>
  <si>
    <t>Santa Cruz  City Of</t>
  </si>
  <si>
    <t>Piloting Transfers t to Soquel Creek Water District</t>
  </si>
  <si>
    <t>Piloting Aquifer Storage and Recovery at Betlz Well 8</t>
  </si>
  <si>
    <t>Golf irrigation - potable water</t>
  </si>
  <si>
    <t>Dedicated irrigation accounts</t>
  </si>
  <si>
    <t>2 or more dwelling units</t>
  </si>
  <si>
    <t>University of California, Santa Cruz -Main Campus</t>
  </si>
  <si>
    <t>University of California, Santa Cruz - Coastal Campus</t>
  </si>
  <si>
    <t>Inidivdually metered dwellings</t>
  </si>
  <si>
    <t>Santa Fe Irrigation District</t>
  </si>
  <si>
    <t>Santa Fe Springs  City Of</t>
  </si>
  <si>
    <t>Santa Margarita Water District</t>
  </si>
  <si>
    <t>CII + Fire Services</t>
  </si>
  <si>
    <t>District Use, Construction, Lakefill</t>
  </si>
  <si>
    <t>TCWD</t>
  </si>
  <si>
    <t>Santa Maria  City Of</t>
  </si>
  <si>
    <t>Sale to Nipomo</t>
  </si>
  <si>
    <t>Includes hotel and motel</t>
  </si>
  <si>
    <t>Santa Monica  City Of</t>
  </si>
  <si>
    <t>Includes Industrial</t>
  </si>
  <si>
    <t>Santa Paula  City Of</t>
  </si>
  <si>
    <t>Middleroad Mutual</t>
  </si>
  <si>
    <t>Santa Rosa  City Of</t>
  </si>
  <si>
    <t>Other authorized uses (billed and unbilled)</t>
  </si>
  <si>
    <t>Real and apparent losses (estimated)</t>
  </si>
  <si>
    <t>Scotts Valley Water District</t>
  </si>
  <si>
    <t>Bulk/Temp</t>
  </si>
  <si>
    <t>Seal Beach  City Of</t>
  </si>
  <si>
    <t>See note below</t>
  </si>
  <si>
    <t>City Meters including Irrigation for City</t>
  </si>
  <si>
    <t>Industrial uses included with commercial</t>
  </si>
  <si>
    <t>Serrano Water District</t>
  </si>
  <si>
    <t>Shafter  City Of</t>
  </si>
  <si>
    <t>Unmetered, but Billed Water Sales</t>
  </si>
  <si>
    <t>USBR potable use</t>
  </si>
  <si>
    <t>Sierra Madre  City Of</t>
  </si>
  <si>
    <t>City Meters</t>
  </si>
  <si>
    <t>Signal Hill  City Of</t>
  </si>
  <si>
    <t>Temp Meter</t>
  </si>
  <si>
    <t>Soledad  City Of</t>
  </si>
  <si>
    <t>Authorized Unbilled</t>
  </si>
  <si>
    <t>Sonoma  City Of</t>
  </si>
  <si>
    <t>Unbilled Consumption (b)(c)</t>
  </si>
  <si>
    <t>Soquel Creek Water District</t>
  </si>
  <si>
    <t>Irrigation Accounts</t>
  </si>
  <si>
    <t>SqCWD</t>
  </si>
  <si>
    <t>South Coast Water District</t>
  </si>
  <si>
    <t>Represents Fire Services, Jumpers and Hydrant Meters</t>
  </si>
  <si>
    <t>Represents Commercial, Government and Institutional Accounts</t>
  </si>
  <si>
    <t>South Feather Water and Power</t>
  </si>
  <si>
    <t>South Gate  City Of</t>
  </si>
  <si>
    <t>South Mesa Water Company</t>
  </si>
  <si>
    <t>schools/parks</t>
  </si>
  <si>
    <t>South Pasadena  City Of</t>
  </si>
  <si>
    <t>South Tahoe Public Utility District</t>
  </si>
  <si>
    <t>Includes Institutional and Tourism</t>
  </si>
  <si>
    <t>Stockton  City Of</t>
  </si>
  <si>
    <t>Within water distribution system</t>
  </si>
  <si>
    <t>Hydrant Meters and Jumpers</t>
  </si>
  <si>
    <t>SEWD water delivered to two San Joaquin County water systems</t>
  </si>
  <si>
    <t>Walnut Plant Area</t>
  </si>
  <si>
    <t>Includes Institutional/Governmental Use Type</t>
  </si>
  <si>
    <t>Suburban Water Systems - San Jose Hills</t>
  </si>
  <si>
    <t>Street Sweeping &amp; Const. Water</t>
  </si>
  <si>
    <t>Suburban Water Systems - Whittier/La Mirada</t>
  </si>
  <si>
    <t>Sunny Slope Water Company</t>
  </si>
  <si>
    <t>Sunnyslope County Water District</t>
  </si>
  <si>
    <t>based on 3.7% loss reported on FY 19-20 audit</t>
  </si>
  <si>
    <t>Sunnyvale  City Of</t>
  </si>
  <si>
    <t>Commercial/Industrial (combined)</t>
  </si>
  <si>
    <t>Firelines</t>
  </si>
  <si>
    <t>Sweetwater Authority</t>
  </si>
  <si>
    <t>Sweetwater Springs Water District</t>
  </si>
  <si>
    <t>Fire Flows</t>
  </si>
  <si>
    <t>Tahoe City Public Utilities District</t>
  </si>
  <si>
    <t>Unclassified (see Note 2)</t>
  </si>
  <si>
    <t>NTPUD</t>
  </si>
  <si>
    <t>Temescal Valley Water District</t>
  </si>
  <si>
    <t>Recycled water demand met by raw, non-potable groundwater</t>
  </si>
  <si>
    <t>Test Agency 1</t>
  </si>
  <si>
    <t>test</t>
  </si>
  <si>
    <t>Test Agency 2</t>
  </si>
  <si>
    <t>Test Agency 3</t>
  </si>
  <si>
    <t>test 2</t>
  </si>
  <si>
    <t>Thousand Oaks  City Of</t>
  </si>
  <si>
    <t>Torrance  City Of</t>
  </si>
  <si>
    <t>Trabuco Canyon Water District</t>
  </si>
  <si>
    <t>Construction (a)</t>
  </si>
  <si>
    <t>(a)</t>
  </si>
  <si>
    <t>(a) (b)</t>
  </si>
  <si>
    <t>Other Authorized Consumption (d)</t>
  </si>
  <si>
    <t>Triunfo Sanitation District/Oak Park Water Service</t>
  </si>
  <si>
    <t>Purchases, less sales</t>
  </si>
  <si>
    <t>Pool &amp; Recreation</t>
  </si>
  <si>
    <t>Firefighting and/or Constrution</t>
  </si>
  <si>
    <t>Truckee - Donner Public Utilities District</t>
  </si>
  <si>
    <t>Non-Potable Construction Water</t>
  </si>
  <si>
    <t>Tulare  City Of</t>
  </si>
  <si>
    <t>Tuolumne Utilities District</t>
  </si>
  <si>
    <t>Turlock  City Of</t>
  </si>
  <si>
    <t>Park Wells</t>
  </si>
  <si>
    <t>Flushing and City of Modesto accounts</t>
  </si>
  <si>
    <t>Unmetered water</t>
  </si>
  <si>
    <t>Tustin  City Of</t>
  </si>
  <si>
    <t>Construction Meters and Fire Service Meters</t>
  </si>
  <si>
    <t>Twentynine Palms Water District</t>
  </si>
  <si>
    <t>Ukiah  City Of</t>
  </si>
  <si>
    <t>Upland  City Of</t>
  </si>
  <si>
    <t>Commercial and industrial</t>
  </si>
  <si>
    <t>Vacaville  City Of</t>
  </si>
  <si>
    <t>Vallecitos Water District</t>
  </si>
  <si>
    <t>Losses, Oper/Emerg Use</t>
  </si>
  <si>
    <t>Fire Lines</t>
  </si>
  <si>
    <t>Unmetered Unbilled</t>
  </si>
  <si>
    <t>Vallejo  City Of</t>
  </si>
  <si>
    <t>American Canyon</t>
  </si>
  <si>
    <t>Irrigation/Construction</t>
  </si>
  <si>
    <t>Travis AFB</t>
  </si>
  <si>
    <t>City of Benicia</t>
  </si>
  <si>
    <t>Valley Center Municipal Water District</t>
  </si>
  <si>
    <t>San Pascual</t>
  </si>
  <si>
    <t>No Service Meters</t>
  </si>
  <si>
    <t>Valley County Water District</t>
  </si>
  <si>
    <t>Valley Of The Moon Water District</t>
  </si>
  <si>
    <t>Landscape/Irrigation</t>
  </si>
  <si>
    <t>Unbilled consumption (a)</t>
  </si>
  <si>
    <t>(b) (c)</t>
  </si>
  <si>
    <t>Valley Water Company</t>
  </si>
  <si>
    <t>Vaughn Water Company</t>
  </si>
  <si>
    <t>Ventura County Waterworks District No 01 - Moorpark</t>
  </si>
  <si>
    <t>Construction/Fire Water</t>
  </si>
  <si>
    <t>Ventura County Waterworks District No 08 - Simi Valley</t>
  </si>
  <si>
    <t>Vernon  City Of</t>
  </si>
  <si>
    <t>Multi Family Residential</t>
  </si>
  <si>
    <t>Victorville Water District</t>
  </si>
  <si>
    <t>Vista Irrigation District</t>
  </si>
  <si>
    <t>Real and Apparent Losses</t>
  </si>
  <si>
    <t>Mobile Homes</t>
  </si>
  <si>
    <t>Unbilled Metered</t>
  </si>
  <si>
    <t>Billed Unmetered</t>
  </si>
  <si>
    <t>Walnut Valley Water District</t>
  </si>
  <si>
    <t>Watsonville  City Of</t>
  </si>
  <si>
    <t>West Kern Water District</t>
  </si>
  <si>
    <t>La Paloma deliveries</t>
  </si>
  <si>
    <t>Treated</t>
  </si>
  <si>
    <t>West Valley Water District</t>
  </si>
  <si>
    <t>Single-Family</t>
  </si>
  <si>
    <t>Westborough Water District</t>
  </si>
  <si>
    <t>Western Municipal Water District Of Riverside</t>
  </si>
  <si>
    <t>Military</t>
  </si>
  <si>
    <t>Temporary</t>
  </si>
  <si>
    <t>Fireline</t>
  </si>
  <si>
    <t>Westminster  City Of</t>
  </si>
  <si>
    <t>Includes LifeLine</t>
  </si>
  <si>
    <t>Whittier  City Of</t>
  </si>
  <si>
    <t>Windsor  Town Of</t>
  </si>
  <si>
    <t>Esposti Park</t>
  </si>
  <si>
    <t>Woodland  City Of</t>
  </si>
  <si>
    <t>Unauthorized and Unmetered Water Losses</t>
  </si>
  <si>
    <t>Yorba Linda Water District</t>
  </si>
  <si>
    <t>Irrigation by MWDOC untreated water</t>
  </si>
  <si>
    <t>Temporary construction meters</t>
  </si>
  <si>
    <t>Yreka  City Of</t>
  </si>
  <si>
    <t>Yucaipa Valley Water District</t>
  </si>
  <si>
    <t>All non-revenue water</t>
  </si>
  <si>
    <t>Western Heights</t>
  </si>
  <si>
    <t>Table 4-1 Wholesale: Demands for Potable and Non-Potable Water - Actual</t>
  </si>
  <si>
    <t>Retailer Demand</t>
  </si>
  <si>
    <t>Untreated Water Demand</t>
  </si>
  <si>
    <t>Direct Retail Demand</t>
  </si>
  <si>
    <t>Other M&amp;I Customers (19 Customers)</t>
  </si>
  <si>
    <t>Edwards Air Force Base</t>
  </si>
  <si>
    <t>Rio Tinto Minerals / US Borax</t>
  </si>
  <si>
    <t>Raw Water Deliveries (4 Customers)</t>
  </si>
  <si>
    <t>Los Angeles County Waterworks District</t>
  </si>
  <si>
    <t>Transfers to Other Agencies</t>
  </si>
  <si>
    <t>River and Carrier Canal Recharge</t>
  </si>
  <si>
    <t>Cal Water Northeast Treatment Plant</t>
  </si>
  <si>
    <t>Cal Water Northwest Treatment Plant</t>
  </si>
  <si>
    <t>KCWA ID4 Henry C. Garnett Water Purification Plant</t>
  </si>
  <si>
    <t>Calleguas Municipal Water District</t>
  </si>
  <si>
    <t>Potable water from Metropolitan</t>
  </si>
  <si>
    <t>Resale customers</t>
  </si>
  <si>
    <t>Central Basin Municipal Water District</t>
  </si>
  <si>
    <t>Retail Agencies</t>
  </si>
  <si>
    <t>Groundwater Production</t>
  </si>
  <si>
    <t>WRD</t>
  </si>
  <si>
    <t>Central Coast Water Authority</t>
  </si>
  <si>
    <t>CCWA is a pass through agency.  Water is treated and conveyed to member agencies.</t>
  </si>
  <si>
    <t>Chino Basin Desalter Authority</t>
  </si>
  <si>
    <t>Waste Process Water</t>
  </si>
  <si>
    <t>Municipal Treated Water</t>
  </si>
  <si>
    <t>Municipal Raw Water</t>
  </si>
  <si>
    <t>LV Evaporation</t>
  </si>
  <si>
    <t>Use met by Muni Local Supplies</t>
  </si>
  <si>
    <t>CCWD Retail</t>
  </si>
  <si>
    <t>Conveyance and Evaporation</t>
  </si>
  <si>
    <t>GSWC</t>
  </si>
  <si>
    <t>IRWD</t>
  </si>
  <si>
    <t>Orange</t>
  </si>
  <si>
    <t>Tustin</t>
  </si>
  <si>
    <t>EOCWD - RZ</t>
  </si>
  <si>
    <t>Western Municipal Water District Murrieta Division</t>
  </si>
  <si>
    <t>City of Perris Water System</t>
  </si>
  <si>
    <t>City of Hemet</t>
  </si>
  <si>
    <t>City of San Jacinto</t>
  </si>
  <si>
    <t>Imported water recharge to the Hemet/San Jacinto Basin</t>
  </si>
  <si>
    <t>Nuevo Water Company</t>
  </si>
  <si>
    <t>Foothill Municipal Water District</t>
  </si>
  <si>
    <t>Rubio CaÃ±on Land &amp; Water Association</t>
  </si>
  <si>
    <t>Liberty Utilities</t>
  </si>
  <si>
    <t>Crescenta Valley Water District</t>
  </si>
  <si>
    <t>Las Flores Water Company</t>
  </si>
  <si>
    <t>La CaÃ±ada Irrigation District</t>
  </si>
  <si>
    <t>Kinneloa Irrigation District</t>
  </si>
  <si>
    <t>CSA 41</t>
  </si>
  <si>
    <t>Humboldt Bay Municipal Water District</t>
  </si>
  <si>
    <t>Manila CSD</t>
  </si>
  <si>
    <t>City of Blue Lake</t>
  </si>
  <si>
    <t>McKinleyville CSD</t>
  </si>
  <si>
    <t>Humboldt CSD</t>
  </si>
  <si>
    <t>Fieldbrook Glendale CSD</t>
  </si>
  <si>
    <t>City of Eureka</t>
  </si>
  <si>
    <t>Water Loss Audit 2020</t>
  </si>
  <si>
    <t>City of Arcata</t>
  </si>
  <si>
    <t>Inland Empire Utilities Agency</t>
  </si>
  <si>
    <t>MWD Imported Water</t>
  </si>
  <si>
    <t>Out of District</t>
  </si>
  <si>
    <t>In-District Transportation</t>
  </si>
  <si>
    <t>Modesto Irrigation District</t>
  </si>
  <si>
    <t>City of Modesto</t>
  </si>
  <si>
    <t>Total Water Use in Service Area</t>
  </si>
  <si>
    <t>Municipal Water District Of Orange County (MWDOC)</t>
  </si>
  <si>
    <t>MWD Treated and Untreated Imported Water</t>
  </si>
  <si>
    <t>Untreated Import Water for Surface Storage</t>
  </si>
  <si>
    <t>Untreated Import Water for Groundwater Recharge + Sea Water Barrier</t>
  </si>
  <si>
    <t>Port Hueneme Water Agency</t>
  </si>
  <si>
    <t>Agencies that are primarily wholesalers with a small volume of retail sales</t>
  </si>
  <si>
    <t>City of Port Hueneme</t>
  </si>
  <si>
    <t>CIBCSD</t>
  </si>
  <si>
    <t>Brine</t>
  </si>
  <si>
    <t>NBVC</t>
  </si>
  <si>
    <t>Norco</t>
  </si>
  <si>
    <t>Cal Am Rosemont</t>
  </si>
  <si>
    <t>Cal Am Parkway</t>
  </si>
  <si>
    <t>Cal Am Fruitridge</t>
  </si>
  <si>
    <t>SCWA - Airport</t>
  </si>
  <si>
    <t>Cal Am Arden</t>
  </si>
  <si>
    <t>SSWD - Arden</t>
  </si>
  <si>
    <t>SCWA - Zone 50 Metro Air Park</t>
  </si>
  <si>
    <t>San Antonio Water Company</t>
  </si>
  <si>
    <t>City of Upland</t>
  </si>
  <si>
    <t>Single Family - SAWCo Domestic Customers</t>
  </si>
  <si>
    <t>Spreading Basins</t>
  </si>
  <si>
    <t>City of Ontario</t>
  </si>
  <si>
    <t>Minor Irrigators</t>
  </si>
  <si>
    <t>Sales/Transfers/Exchanges to Other Agencies (Direct Delivery)</t>
  </si>
  <si>
    <t>Supply into Local Storage</t>
  </si>
  <si>
    <t>SWP Carryover</t>
  </si>
  <si>
    <t>Meter Errors</t>
  </si>
  <si>
    <t>Raw and Drinking Water</t>
  </si>
  <si>
    <t>San Diego County Water Authority</t>
  </si>
  <si>
    <t>Municipal &amp; Industrial</t>
  </si>
  <si>
    <t>Water Authority program agriculture</t>
  </si>
  <si>
    <t>Total use</t>
  </si>
  <si>
    <t>Total Wholesale Demands</t>
  </si>
  <si>
    <t>Lopez Surplus Usage</t>
  </si>
  <si>
    <t>Lopez Downstream Releases</t>
  </si>
  <si>
    <t>Lopez Entitlement Usage</t>
  </si>
  <si>
    <t>Untreated Surface water</t>
  </si>
  <si>
    <t>Ground water production and Treated Water</t>
  </si>
  <si>
    <t>Independent GW Pumping</t>
  </si>
  <si>
    <t>SFPUC, San Jose Water right</t>
  </si>
  <si>
    <t>Sonoma County Water Agency</t>
  </si>
  <si>
    <t>Sales of untreated water diverted from the Russian River under Sonoma Water's water rights and not delivered via the transmission system</t>
  </si>
  <si>
    <t>Only includes Sonoma Water transmission system losses</t>
  </si>
  <si>
    <t>South San Joaquin Irrigation District</t>
  </si>
  <si>
    <t>City of Manteca</t>
  </si>
  <si>
    <t>City of Lathrop</t>
  </si>
  <si>
    <t>City of Escalon</t>
  </si>
  <si>
    <t>City of Stockton</t>
  </si>
  <si>
    <t>Drinking water</t>
  </si>
  <si>
    <t>Cal Water</t>
  </si>
  <si>
    <t>Surface water - banked</t>
  </si>
  <si>
    <t>Three Valleys Municipal Water District</t>
  </si>
  <si>
    <t>Local Projects</t>
  </si>
  <si>
    <t>United Water Conservation District</t>
  </si>
  <si>
    <t>See note 1 below</t>
  </si>
  <si>
    <t>City of Oxnard, Port Hueneme Water Agency (PHWA), Cypress Mutual, Dempsey Road MWC, Saviers Road MWC, Vineyard Estates</t>
  </si>
  <si>
    <t>Rio Real and Rio Del Valle School, E&amp;H Land Company</t>
  </si>
  <si>
    <t>Upper San Gabriel Valley Municipal Water</t>
  </si>
  <si>
    <t>USG-3, CenB-48, Canyon Basin</t>
  </si>
  <si>
    <t>USG-1, USG-2, USG-4, USG-5, USG-6, USG-7, USG-8, USG-9</t>
  </si>
  <si>
    <t>Water Facilities Authority</t>
  </si>
  <si>
    <t>Member Agencies</t>
  </si>
  <si>
    <t>Upland #3</t>
  </si>
  <si>
    <t>MVWD Aquifer Injection</t>
  </si>
  <si>
    <t>West Basin Municipal Water District</t>
  </si>
  <si>
    <t>Sales - Imported Water</t>
  </si>
  <si>
    <t>Sales - Brackish Groundwater</t>
  </si>
  <si>
    <t>Western Retail</t>
  </si>
  <si>
    <t>City of Corona</t>
  </si>
  <si>
    <t>Box Springs Mutual Water District</t>
  </si>
  <si>
    <t>Eagle Valley Mutual Water Company</t>
  </si>
  <si>
    <t>City of Norco</t>
  </si>
  <si>
    <t>Woodland-Davis Clean Water Agency</t>
  </si>
  <si>
    <t>PROJECTED_WATER_USE_2025</t>
  </si>
  <si>
    <t>PROJECTED_WATER_USE_2030</t>
  </si>
  <si>
    <t>PROJECTED_WATER_USE_2035</t>
  </si>
  <si>
    <t>PROJECTED_WATER_USE_2040</t>
  </si>
  <si>
    <t>PROJECTED_WATER_USE_2045</t>
  </si>
  <si>
    <t>UNITS_OF_MEASURE</t>
  </si>
  <si>
    <t>Table 4-2 Retail: Demands for Potable and Non-Potable Water - Projected</t>
  </si>
  <si>
    <t>Distribution System</t>
  </si>
  <si>
    <t>Groundwater System</t>
  </si>
  <si>
    <t>Drinking Water. Includes Institutional</t>
  </si>
  <si>
    <t>(CII) Comm/Institut/Indust, excluding recycled water</t>
  </si>
  <si>
    <t>Golf Courses (Raw Water)</t>
  </si>
  <si>
    <t>Overall Losses</t>
  </si>
  <si>
    <t>Potable water- includes commercial and City irrigation meters</t>
  </si>
  <si>
    <t>real loss</t>
  </si>
  <si>
    <t>Estimate</t>
  </si>
  <si>
    <t>Imported raw water banked for future extractions during dry periods. Does NOT include imported water to meeting Adjudication replacement obligations</t>
  </si>
  <si>
    <t>Raw water to supplement non-potable water system (used for irrigation)</t>
  </si>
  <si>
    <t>Metered construction and street sweeping water, etc.</t>
  </si>
  <si>
    <t>Potable Water</t>
  </si>
  <si>
    <t>Construction + Run-to-waste</t>
  </si>
  <si>
    <t>Potable Loss</t>
  </si>
  <si>
    <t>CII (Comm/Institut, Indust), and fire/temp</t>
  </si>
  <si>
    <t>Includes Passive Savings Deduction</t>
  </si>
  <si>
    <t>Fire hydrant use includes potable and non-potable</t>
  </si>
  <si>
    <t>Housing Element</t>
  </si>
  <si>
    <t>West Placer, includes all residential</t>
  </si>
  <si>
    <t>Antelope, includes company accounts and non-revenue</t>
  </si>
  <si>
    <t>Arden, includes all residential</t>
  </si>
  <si>
    <t>Arden, includes company accounts, fire service, institutional/government, and non-revenue</t>
  </si>
  <si>
    <t>Dunnigan, non-revenue</t>
  </si>
  <si>
    <t>Fruitridge, includes all residential</t>
  </si>
  <si>
    <t>West Placer, includes institutional/government, fire service, and non-revenue</t>
  </si>
  <si>
    <t>Antelope, includes all residential</t>
  </si>
  <si>
    <t>Walnut Grove, non-revenue</t>
  </si>
  <si>
    <t>Walnut Grove, includes all residential</t>
  </si>
  <si>
    <t>Suburban-Rosemont, includes company accounts, institutional/government, miscellaneous sales, and non-revenue</t>
  </si>
  <si>
    <t>Suburban-Rosemont, includes all residential</t>
  </si>
  <si>
    <t>Security Park, non-revenue</t>
  </si>
  <si>
    <t>Security Park, includes all residential</t>
  </si>
  <si>
    <t>Parkway, includes company accounts, institutional/government, and non-revenue</t>
  </si>
  <si>
    <t>Parkway, includes all residential</t>
  </si>
  <si>
    <t>Lincoln Oaks, includes institutional/government and non-revenue</t>
  </si>
  <si>
    <t>Lincoln Oaks, includes all residential</t>
  </si>
  <si>
    <t>Isleton, includes institutional/government and non-revenue</t>
  </si>
  <si>
    <t>Isleton, includes all residential</t>
  </si>
  <si>
    <t>Fruitridge, includes company accounts, institutional/government, resale, and non-revenue</t>
  </si>
  <si>
    <t>Includes all residential customers</t>
  </si>
  <si>
    <t>Includes OPA, fire service, company accounts, and non-revenue</t>
  </si>
  <si>
    <t>Schools and Institutions</t>
  </si>
  <si>
    <t>Includes vacation rental home water use</t>
  </si>
  <si>
    <t>Does NOT include vacation rental home water use</t>
  </si>
  <si>
    <t>Customer water use and distribution system losses</t>
  </si>
  <si>
    <t>ag + ag-domestic</t>
  </si>
  <si>
    <t>Other + fire service + temporary</t>
  </si>
  <si>
    <t>Ojai Retail demands</t>
  </si>
  <si>
    <t>Ag + ag domestic</t>
  </si>
  <si>
    <t>CII (Commercial, industrial and institutional combined)</t>
  </si>
  <si>
    <t>Water that does not fall into residential or CII</t>
  </si>
  <si>
    <t>Incl. res. landscaping</t>
  </si>
  <si>
    <t>Real &amp; apparent losses</t>
  </si>
  <si>
    <t>Hotel</t>
  </si>
  <si>
    <t>Treated Water</t>
  </si>
  <si>
    <t>Treated water retail distribution system</t>
  </si>
  <si>
    <t>Includes additional CSA</t>
  </si>
  <si>
    <t>Non revenue water use</t>
  </si>
  <si>
    <t>CII and Non-Residential Landscape</t>
  </si>
  <si>
    <t>Non-revenue</t>
  </si>
  <si>
    <t>'Includes Institutional/Governmental</t>
  </si>
  <si>
    <t>See Note (c) and (d)</t>
  </si>
  <si>
    <t>Fireline meters</t>
  </si>
  <si>
    <t>Ranch owner</t>
  </si>
  <si>
    <t>Unmetered sales (See Note 3)</t>
  </si>
  <si>
    <t>Supplemental water for recycled water demand (See Note 4)</t>
  </si>
  <si>
    <t>Potable System Water Losses (See Note 5)</t>
  </si>
  <si>
    <t>Planning Level of Demand (see notes section below)</t>
  </si>
  <si>
    <t>Total Potable Projected</t>
  </si>
  <si>
    <t>Distribution System Losses (estimated using AWWA Water Loss Audit Worksheet)</t>
  </si>
  <si>
    <t>Chevron water usage remained consistent wile general industry was estimated in accordance with population fluctuations</t>
  </si>
  <si>
    <t>Farm Mutual Water Company Sale (1)</t>
  </si>
  <si>
    <t>Sales to Rincon</t>
  </si>
  <si>
    <t>Served by dedicated irrigation meters</t>
  </si>
  <si>
    <t>R1</t>
  </si>
  <si>
    <t>C1-7</t>
  </si>
  <si>
    <t>AB, D1-3</t>
  </si>
  <si>
    <t>D4-8</t>
  </si>
  <si>
    <t>I2-4, VC</t>
  </si>
  <si>
    <t>R2,R3</t>
  </si>
  <si>
    <t>I1, K1-3</t>
  </si>
  <si>
    <t>Includes industrial</t>
  </si>
  <si>
    <t>and Industrial</t>
  </si>
  <si>
    <t>and Industrial Combined</t>
  </si>
  <si>
    <t>Government, Schools, Churches</t>
  </si>
  <si>
    <t>Incl Indust./Inst./Gov.</t>
  </si>
  <si>
    <t>See note below.</t>
  </si>
  <si>
    <t>Potable Real Losses</t>
  </si>
  <si>
    <t>Parks &amp; school yard irrigation with Riverside South Basin groundwater.</t>
  </si>
  <si>
    <t>Potable Losses (7.5%)</t>
  </si>
  <si>
    <t>Swan Lake Mobile Home Park</t>
  </si>
  <si>
    <t>Includes ROW irrigation</t>
  </si>
  <si>
    <t>Includes Institutional &amp; governmental</t>
  </si>
  <si>
    <t>Santa Ana River Water Company</t>
  </si>
  <si>
    <t>Non-revenue water assuming 0.5% annual growth in 2020 accounts for 2025-2040, held constant after.</t>
  </si>
  <si>
    <t>Dedicated Irrig Meters</t>
  </si>
  <si>
    <t>Temporary Uses, such as fire protection and construction (c)</t>
  </si>
  <si>
    <t>Potable Supplement to Recycled Water systems (b)</t>
  </si>
  <si>
    <t>See Note E</t>
  </si>
  <si>
    <t>See Note D</t>
  </si>
  <si>
    <t>See Note C</t>
  </si>
  <si>
    <t>See Note B</t>
  </si>
  <si>
    <t>See Note A</t>
  </si>
  <si>
    <t>All Sector</t>
  </si>
  <si>
    <t>Raw Water Allocation</t>
  </si>
  <si>
    <t>Unbilled Unmetered Usage</t>
  </si>
  <si>
    <t>Includes Governmental</t>
  </si>
  <si>
    <t>Raw</t>
  </si>
  <si>
    <t>Business/ Industrial</t>
  </si>
  <si>
    <t>Fireline/ Hydrant</t>
  </si>
  <si>
    <t>Raw Water sold to the Meadow Club</t>
  </si>
  <si>
    <t>DW</t>
  </si>
  <si>
    <t>Calculated as water purchases less metered usage</t>
  </si>
  <si>
    <t>Irrigation uses</t>
  </si>
  <si>
    <t>Includes meters designated as schools, City of Millbrae, and churches</t>
  </si>
  <si>
    <t>Includes meters designated commercial, restaurants, and bars</t>
  </si>
  <si>
    <t>Includes temporary metered usage and fire service</t>
  </si>
  <si>
    <t>Hydrant Uses</t>
  </si>
  <si>
    <t>Medium and Medium-High Density Residential</t>
  </si>
  <si>
    <t>Residential; Apartment demand is included under Single Family</t>
  </si>
  <si>
    <t>Large Landscape Potable</t>
  </si>
  <si>
    <t>Fire Standby and Port Meter Use</t>
  </si>
  <si>
    <t>Apartments, condos, mobile homes</t>
  </si>
  <si>
    <t>Raw Water (c)</t>
  </si>
  <si>
    <t>Single family residential detached dwelling; includes the Fall/Olive Exchange</t>
  </si>
  <si>
    <t>Included in commercial</t>
  </si>
  <si>
    <t>Construction Meters</t>
  </si>
  <si>
    <t>Annexations</t>
  </si>
  <si>
    <t>Also includes Industrial &amp; Institutional</t>
  </si>
  <si>
    <t>Outside of District</t>
  </si>
  <si>
    <t>Construction and Unmetered</t>
  </si>
  <si>
    <t>Commercial and Institutional/Governmental uses aggregated into this category</t>
  </si>
  <si>
    <t>Distribution System Losses (per AWWA Water Audit worksheets)</t>
  </si>
  <si>
    <t>Does not include use of recycled water</t>
  </si>
  <si>
    <t>See note a.</t>
  </si>
  <si>
    <t>Commercial and Institutional Irrigation</t>
  </si>
  <si>
    <t>Outside Sales</t>
  </si>
  <si>
    <t>PRWA combines service to</t>
  </si>
  <si>
    <t>Regional Buffer</t>
  </si>
  <si>
    <t>and Institutional</t>
  </si>
  <si>
    <t>Non-revenue water, including real losses</t>
  </si>
  <si>
    <t>Santa Margarita River Discharge</t>
  </si>
  <si>
    <t>Recycled Water Irrigation</t>
  </si>
  <si>
    <t>Wheeling</t>
  </si>
  <si>
    <t>annexations</t>
  </si>
  <si>
    <t>GCC (Upper and Lower)</t>
  </si>
  <si>
    <t>Dedicated Irrigation</t>
  </si>
  <si>
    <t>Estimated at 8.5%</t>
  </si>
  <si>
    <t>Raw Water, Discharge to Linda Creek and water wheeled on behalf of SJWD</t>
  </si>
  <si>
    <t>Potable water, including non-metered</t>
  </si>
  <si>
    <t>Sales to JCSD (potable)</t>
  </si>
  <si>
    <t>Potable Hydrant Meters</t>
  </si>
  <si>
    <t>Non-Potable Hydrant Meters</t>
  </si>
  <si>
    <t>Single Family Residential and Multi-Family Residential Combined</t>
  </si>
  <si>
    <t>Non-potable Irrigation</t>
  </si>
  <si>
    <t>Commercial, Industrial, and Institutional (Governmental) Combined</t>
  </si>
  <si>
    <t>NRW, assumed at 8% of total demand</t>
  </si>
  <si>
    <t>Cal Am take-or-pay agreement</t>
  </si>
  <si>
    <t>Water exchanges</t>
  </si>
  <si>
    <t>Water Use Only Category</t>
  </si>
  <si>
    <t>Temp construction meters, fire training</t>
  </si>
  <si>
    <t>Includes institutional and industrial water use</t>
  </si>
  <si>
    <t>Large Irrigation</t>
  </si>
  <si>
    <t>CII Uses</t>
  </si>
  <si>
    <t>All non-residential</t>
  </si>
  <si>
    <t>Includes public authority irrigation</t>
  </si>
  <si>
    <t>Resale (Raw)</t>
  </si>
  <si>
    <t>Portable Meter</t>
  </si>
  <si>
    <t>Unbilled Unmetered Use</t>
  </si>
  <si>
    <t>Total Projected Retail Demand</t>
  </si>
  <si>
    <t>Unbilled Authorized</t>
  </si>
  <si>
    <t>MWD Water Sales Agreement</t>
  </si>
  <si>
    <t>6.0% Losses (5-yr average)</t>
  </si>
  <si>
    <t>Recycled water demands anticipated to be met with potable supplies (makeup water)</t>
  </si>
  <si>
    <t>Includes Multiâ€Family</t>
  </si>
  <si>
    <t>CII + Lakefill + Construction + District + Fire Services</t>
  </si>
  <si>
    <t>Obligation to Golden State water Company in agreement</t>
  </si>
  <si>
    <t>Orcutt supplemental water</t>
  </si>
  <si>
    <t>Includes mobile home parks</t>
  </si>
  <si>
    <t>Bulk / Temporary</t>
  </si>
  <si>
    <t>Unclassified (See Note 1)</t>
  </si>
  <si>
    <t>Includes Intuitional</t>
  </si>
  <si>
    <t>Gold Course Irrigation-Non-Potable</t>
  </si>
  <si>
    <t>FIR/TEMP</t>
  </si>
  <si>
    <t>fsdfsdfsdfsdfsdfsdfsdf sdfsdfsdfsdf sdfs fsdf sdfsa fsdf sadf sdfsdf sdf sdf</t>
  </si>
  <si>
    <t>Firefighting and/or Construction</t>
  </si>
  <si>
    <t>Parks Non-Potable Wells</t>
  </si>
  <si>
    <t>Unmetered Water</t>
  </si>
  <si>
    <t>Construction Use</t>
  </si>
  <si>
    <t>Real Losses</t>
  </si>
  <si>
    <t>City Raw</t>
  </si>
  <si>
    <t>treated</t>
  </si>
  <si>
    <t>American Canyon/Mare Island/Middle Green Valley</t>
  </si>
  <si>
    <t>Benicia</t>
  </si>
  <si>
    <t>Non-revenue water (b)</t>
  </si>
  <si>
    <t>Esposti Park Irrigation (raw)</t>
  </si>
  <si>
    <t>PROJECTED_WATER_USE_2025_AF</t>
  </si>
  <si>
    <t>PROJECTED_WATER_USE_2030_AF</t>
  </si>
  <si>
    <t>PROJECTED_WATER_USE_2035_AF</t>
  </si>
  <si>
    <t>PROJECTED_WATER_USE_2040_AF</t>
  </si>
  <si>
    <t>PROJECTED_WATER_USE_2045_AF</t>
  </si>
  <si>
    <t>Table 4-2 Wholesale: Demands for Potable and Non-Potable Water - Projected</t>
  </si>
  <si>
    <t/>
  </si>
  <si>
    <t>Includes losses</t>
  </si>
  <si>
    <t>Potable water from Metropolitan (Replenishment Water)</t>
  </si>
  <si>
    <t>Potable water from Metropolitan (Consumptive Use)</t>
  </si>
  <si>
    <t>GW Production</t>
  </si>
  <si>
    <t>Retail Agencies/WRD</t>
  </si>
  <si>
    <t>GW Recovery/WQPP</t>
  </si>
  <si>
    <t>Retail (CCWD TWSA)</t>
  </si>
  <si>
    <t>Rancho California Water District (Potable)</t>
  </si>
  <si>
    <t>Rancho California Water District (Raw)</t>
  </si>
  <si>
    <t>HBMWD Retail Customers</t>
  </si>
  <si>
    <t>Arcata, City of</t>
  </si>
  <si>
    <t>Fieldbrook-Glendale CSD</t>
  </si>
  <si>
    <t>Eureka, City of</t>
  </si>
  <si>
    <t>Blue Lake, City of</t>
  </si>
  <si>
    <t>Nordic Aquafarms</t>
  </si>
  <si>
    <t>Imported Water from MWD provided to Retail Agencies</t>
  </si>
  <si>
    <t>Contracted Sales</t>
  </si>
  <si>
    <t>MWD (Retail M&amp;I)</t>
  </si>
  <si>
    <t>MWD Irvine Lake Fill (Non-M&amp;I)</t>
  </si>
  <si>
    <t>MWD GW Replenishment (Non-M&amp;I)</t>
  </si>
  <si>
    <t>Navy Base Ventura County</t>
  </si>
  <si>
    <t>WMWD Potable</t>
  </si>
  <si>
    <t>Natomas Unified School District</t>
  </si>
  <si>
    <t>SSWD - Northridge</t>
  </si>
  <si>
    <t>Golden State Water Company</t>
  </si>
  <si>
    <t>Del Paso Manor Water District</t>
  </si>
  <si>
    <t>SCWA - Arden Park</t>
  </si>
  <si>
    <t>SCWA - Zone 41 CSA Wholesale</t>
  </si>
  <si>
    <t>SCWA - Zone 41 NSA, CSA, and SSA</t>
  </si>
  <si>
    <t>Tokay Park</t>
  </si>
  <si>
    <t>Florin County Water District</t>
  </si>
  <si>
    <t>EGWD</t>
  </si>
  <si>
    <t>Red Hills HOA</t>
  </si>
  <si>
    <t>SAWCo Domestic Customers</t>
  </si>
  <si>
    <t>Holiday Rock Company</t>
  </si>
  <si>
    <t>Red Hills Golf Course</t>
  </si>
  <si>
    <t>(Direct Deliveries)</t>
  </si>
  <si>
    <t>(Groundwater Recharge)</t>
  </si>
  <si>
    <t>Raw and potable water delivered to Member Agencies</t>
  </si>
  <si>
    <t>Accelerated Forecasted Growth</t>
  </si>
  <si>
    <t>Near-Term Annexations</t>
  </si>
  <si>
    <t>Projected purchase requests</t>
  </si>
  <si>
    <t>Projected Supplemental Water Requirement</t>
  </si>
  <si>
    <t>Total Wholesale Demand</t>
  </si>
  <si>
    <t>Lopez Entitlement</t>
  </si>
  <si>
    <t>Groundwater pumping</t>
  </si>
  <si>
    <t>Non-Ag independent pumpers</t>
  </si>
  <si>
    <t>SFPUC</t>
  </si>
  <si>
    <t>San Jose Water Co, Stanford</t>
  </si>
  <si>
    <t>Groundwater and Treated Water</t>
  </si>
  <si>
    <t>Includes sales under water rights that are not delivered via transmission system</t>
  </si>
  <si>
    <t>Small non-surplus customers  include the County of Sonoma, the State of California, and Santa Rosa Junior College</t>
  </si>
  <si>
    <t>City of Ripon</t>
  </si>
  <si>
    <t>Box Springs Mutual Water Company</t>
  </si>
  <si>
    <t>City of Corona Potable</t>
  </si>
  <si>
    <t>Elsinore Valley Municipal Water District Potable</t>
  </si>
  <si>
    <t>Jurupa Community Services District</t>
  </si>
  <si>
    <t>Rancho California Water District Potable</t>
  </si>
  <si>
    <t>Riverside Public Utilities</t>
  </si>
  <si>
    <t>Rubidoux Community Services District</t>
  </si>
  <si>
    <t>Western Retail Potable</t>
  </si>
  <si>
    <t>City of Corona Non-Potable</t>
  </si>
  <si>
    <t>Elsinore Valley Municipal Water District Non-Potable</t>
  </si>
  <si>
    <t>Western Retail Non-Potable</t>
  </si>
  <si>
    <t>Rancho California Water District Non-Potable</t>
  </si>
  <si>
    <t>FUTURE_WATER_SAVINGS_INCLUDED</t>
  </si>
  <si>
    <t>CITATION_LOCATIONS_IN_UWMP</t>
  </si>
  <si>
    <t>LOWER_INCOME_RES_DEM_INCLUDED</t>
  </si>
  <si>
    <t>Table 4-5 Retail Only: Inclusion in Water Use Projections</t>
  </si>
  <si>
    <t>Y</t>
  </si>
  <si>
    <t>Section 4.8, Chapters 8 and 9, and Appendix D</t>
  </si>
  <si>
    <t>Section 2.4, pp. 2-4 to 2-5.</t>
  </si>
  <si>
    <t>Section 4.2.6 and Chapter 8</t>
  </si>
  <si>
    <t>See Appendix E</t>
  </si>
  <si>
    <t>Section 4.4</t>
  </si>
  <si>
    <t>Section 4.5 &amp; 4.6</t>
  </si>
  <si>
    <t>N</t>
  </si>
  <si>
    <t>SBX7-7; CWC 10608.24; Chap. 4, p.19, Table 4-2</t>
  </si>
  <si>
    <t>Section 4.2</t>
  </si>
  <si>
    <t>See below</t>
  </si>
  <si>
    <t>Chapter 9 2020 UWMP</t>
  </si>
  <si>
    <t>4.2.3</t>
  </si>
  <si>
    <t>Section 3.2.1.</t>
  </si>
  <si>
    <t>See Below</t>
  </si>
  <si>
    <t>Section 8 and 9</t>
  </si>
  <si>
    <t>Section 8.1: Burbankâ€™s Local Water Conservation Portfolio and Ordinances</t>
  </si>
  <si>
    <t>UWMP Section 4.2.4</t>
  </si>
  <si>
    <t>Section 4.2.3</t>
  </si>
  <si>
    <t>Section 4.2.4.1 on Page 4-5, references new State Water Use Objectives</t>
  </si>
  <si>
    <t>n/a</t>
  </si>
  <si>
    <t>section 4.2.3</t>
  </si>
  <si>
    <t>4.2.4</t>
  </si>
  <si>
    <t>Section 4.2.4</t>
  </si>
  <si>
    <t>Section 4.1.4</t>
  </si>
  <si>
    <t>Section 4.3 on starting on page 4-5 in the 2020 UWMP</t>
  </si>
  <si>
    <t>CWD Resolution 12-14</t>
  </si>
  <si>
    <t>Sections 4.1.5 and 5.2</t>
  </si>
  <si>
    <t>Section 4.4.3</t>
  </si>
  <si>
    <t>Location in UWMP: Section 3.3.7</t>
  </si>
  <si>
    <t>Stage 3 Shortage Response Actions per the WSCP</t>
  </si>
  <si>
    <t>Section 4.3</t>
  </si>
  <si>
    <t>Section 5.4.2</t>
  </si>
  <si>
    <t>California Building Code, Title 24, Chapter 4, Division 4.3 California Building Code, Title 24, Chapter 5, Division 5.3 California Water Code Â§10608.16-10608.44 CVWD Ordinance No. 1302.2 (November 24, 2015) CVWD Ordinance No. 1422.3 (May 24, 2016)</t>
  </si>
  <si>
    <t>Demand Reduction Actions - Chapter 8</t>
  </si>
  <si>
    <t>4.3.1</t>
  </si>
  <si>
    <t>Section 4.3.4</t>
  </si>
  <si>
    <t>Location in UWMP: Sections 4.1 and 4.3</t>
  </si>
  <si>
    <t>Section 4.6</t>
  </si>
  <si>
    <t>Section 6.4.2</t>
  </si>
  <si>
    <t>Chapter 4, Section 4.2</t>
  </si>
  <si>
    <t>Refer to UWMP Section 3.2.2; Table 3-1 and Table 3-2.</t>
  </si>
  <si>
    <t>Chapter 8 and 9</t>
  </si>
  <si>
    <t>Section 4.1.1</t>
  </si>
  <si>
    <t>Chapter 9, Section 9.1 of the 2020 UWMP</t>
  </si>
  <si>
    <t>Section 4.4.2</t>
  </si>
  <si>
    <t>Chapters 8 and 9</t>
  </si>
  <si>
    <t>Section 2.3.6</t>
  </si>
  <si>
    <t>See Section 4.2.2, page 28</t>
  </si>
  <si>
    <t>Section 4.2.4.2</t>
  </si>
  <si>
    <t>8.5</t>
  </si>
  <si>
    <t>Section 4.3 and 4.4</t>
  </si>
  <si>
    <t>Section 4-3 and 4.4</t>
  </si>
  <si>
    <t>Chapter 9 Demand Management Measures</t>
  </si>
  <si>
    <t>https://www.sanjoseca.gov/your-government/environment/climate-smart-san-jos</t>
  </si>
  <si>
    <t>4.3</t>
  </si>
  <si>
    <t>Appendix C, Table C-1</t>
  </si>
  <si>
    <t>4.2.6.3</t>
  </si>
  <si>
    <t>Town of Hillsborough Municipal Code 17.16.010.</t>
  </si>
  <si>
    <t>Section 7.4.2</t>
  </si>
  <si>
    <t>Chapter 9, 2020 UWMP</t>
  </si>
  <si>
    <t>Section 3.4</t>
  </si>
  <si>
    <t>Sections 4.2.6 and 4.4</t>
  </si>
  <si>
    <t>Chapter 9</t>
  </si>
  <si>
    <t>2.3.6.3</t>
  </si>
  <si>
    <t>4.1.4</t>
  </si>
  <si>
    <t>Chapter 4, Section 4.4</t>
  </si>
  <si>
    <t>Chapter 2, Section 2.3</t>
  </si>
  <si>
    <t>Section 9</t>
  </si>
  <si>
    <t>Section 8.3</t>
  </si>
  <si>
    <t>Refer to Section 4.4 and Table 4-6 of Appendix C.</t>
  </si>
  <si>
    <t>Section 4.4 2020 UWMP</t>
  </si>
  <si>
    <t>UWMP Section 4.2.2</t>
  </si>
  <si>
    <t>Stage 2 Shortage Response Actions per the WSCP and Water Conservation Ordinance</t>
  </si>
  <si>
    <t>Section 4.2.6, Projected Water Use. 4.2.6.1 20-yyear planning horizon, p.47. MPWDâ€™s 2020 DSS, BAWSCA 2020 Demand Study. See Appendix 14 for explanation about the DSS Model.</t>
  </si>
  <si>
    <t>Section 4.7</t>
  </si>
  <si>
    <t>Section 8.4.2</t>
  </si>
  <si>
    <t>4.4</t>
  </si>
  <si>
    <t>4.2.4.1, Water Demand Model</t>
  </si>
  <si>
    <t>Chapter 4.3.3 - Demand Model Scenarios and Results</t>
  </si>
  <si>
    <t>Section 9.4.2</t>
  </si>
  <si>
    <t>Seciton 8 and 9</t>
  </si>
  <si>
    <t>Refer to Section 4.4 and Table 4-6 of Appendix B.</t>
  </si>
  <si>
    <t>Location in UWMP: Section 4.2.4; Section 6.8.3</t>
  </si>
  <si>
    <t>Chapter 4</t>
  </si>
  <si>
    <t>Section 4.4 in OWD UWMP, Section 2.4.2 in SDCWA 2020 UWMP.</t>
  </si>
  <si>
    <t>Page 4-6</t>
  </si>
  <si>
    <t>Section 5</t>
  </si>
  <si>
    <t>Sections 4.1.2, 4.3, and 9.1</t>
  </si>
  <si>
    <t>Chapter 4 (Section 4.3)</t>
  </si>
  <si>
    <t>Section 4.1.3</t>
  </si>
  <si>
    <t>Location in UWMP: Section 4.3</t>
  </si>
  <si>
    <t>Sections 3.3 and 3.4</t>
  </si>
  <si>
    <t>4-2</t>
  </si>
  <si>
    <t>p.30</t>
  </si>
  <si>
    <t>4.2.7.1 4.2.7.2 4.2.7.3</t>
  </si>
  <si>
    <t>See section 4.3, last paragraph. Because the District used the 2016-2020 average GPCD to project future demands, it is assumed that this captures lower water use patterns during drought conditions that may be reflective of future water savings.</t>
  </si>
  <si>
    <t>California Code of Regulations, Title 23 Waters, Division 2 DWR, Chapter 2.7 Model Water Efficient Landscape Ordinance (MWELO), updated 2015. (a)</t>
  </si>
  <si>
    <t>Location in UWMP: Section 4.5</t>
  </si>
  <si>
    <t>Page 43-44</t>
  </si>
  <si>
    <t>Section 4.2 Water Uses by Sector</t>
  </si>
  <si>
    <t>Appendix G</t>
  </si>
  <si>
    <t>(see note)</t>
  </si>
  <si>
    <t>Section 5.2.3</t>
  </si>
  <si>
    <t>Section 4.1.2</t>
  </si>
  <si>
    <t>Section 2.7.1</t>
  </si>
  <si>
    <t>2020 Urban Water Management Plan Chapter 4, Section 4.4</t>
  </si>
  <si>
    <t>Chapter 3, Section 3.3.1 Demand Projection Methodology</t>
  </si>
  <si>
    <t>Chapter 8 WSC Plan (Section 4.2 of WSC Plan) and Chapter 9, Section 9.1.1</t>
  </si>
  <si>
    <t>Sections 4.2.2 and 9.3</t>
  </si>
  <si>
    <t>Section 8</t>
  </si>
  <si>
    <t>Section 4.5</t>
  </si>
  <si>
    <t>Section  4.8, Chapter 8 and Appendix D</t>
  </si>
  <si>
    <t>Section 4.2.4, Appendix B</t>
  </si>
  <si>
    <t>Section 4.1</t>
  </si>
  <si>
    <t>California Code of Regulations, Title 23 Waters, Division 2 DWR, Chapter 2.7 Model Water Efficient Landscape Ordinance (MWELO), updated 2015.(a)</t>
  </si>
  <si>
    <t>Page 35</t>
  </si>
  <si>
    <t>3.3.1.1</t>
  </si>
  <si>
    <t>PG 4-14</t>
  </si>
  <si>
    <t>4.2.5</t>
  </si>
  <si>
    <t>Section 4.2 text</t>
  </si>
  <si>
    <t>pg 4-5</t>
  </si>
  <si>
    <t>4.2.4.1</t>
  </si>
  <si>
    <t>Appendix B</t>
  </si>
  <si>
    <t>Section 4</t>
  </si>
  <si>
    <t>Appendix C</t>
  </si>
  <si>
    <t>Pages; 11-49, 11-53</t>
  </si>
  <si>
    <t>TOTAL_TYPE</t>
  </si>
  <si>
    <t>TOTAL_VOLUME_2025_AF</t>
  </si>
  <si>
    <t>TOTAL_VOLUME_2030_AF</t>
  </si>
  <si>
    <t>TOTAL_VOLUME_2035_AF</t>
  </si>
  <si>
    <t>TOTAL_VOLUME_2040_AF</t>
  </si>
  <si>
    <t>TOTAL_VOLUME_2045_AF</t>
  </si>
  <si>
    <t>Table 7-2 Retail: Normal Year Supply and Demand Comparison</t>
  </si>
  <si>
    <t>Supply totals</t>
  </si>
  <si>
    <t>Demand totals</t>
  </si>
  <si>
    <t>Table 7-2 Wholesale: Normal Year Supply and Demand Comparison</t>
  </si>
  <si>
    <t>Table 7-3 Retail: Single Dry Year Supply and Demand Comparison</t>
  </si>
  <si>
    <t>Table 7-3 Wholesale: Single Dry Year Supply and Demand Comparison</t>
  </si>
  <si>
    <t>YEAR_TYPE</t>
  </si>
  <si>
    <t>Table 7-4 Retail: Multiple Dry Years Supply and Demand Comparison</t>
  </si>
  <si>
    <t>Fifth year (optional)</t>
  </si>
  <si>
    <t>Sixth year (optional)</t>
  </si>
  <si>
    <t>Fourth year (optional)</t>
  </si>
  <si>
    <t>Third year</t>
  </si>
  <si>
    <t>Second year</t>
  </si>
  <si>
    <t>First year</t>
  </si>
  <si>
    <t>Table 7-4 Wholesale: Multiple Dry Years Supply and Demand Comparison</t>
  </si>
  <si>
    <r>
      <t xml:space="preserve">Supply Assumptions Page </t>
    </r>
    <r>
      <rPr>
        <b/>
        <sz val="20"/>
        <color rgb="FFFF0000"/>
        <rFont val="Calibri"/>
        <family val="2"/>
        <scheme val="minor"/>
      </rPr>
      <t>DRAFT</t>
    </r>
  </si>
  <si>
    <t>Recycled Water</t>
  </si>
  <si>
    <t>There are two categories of variables that need to be set on this page including:
1) Planned and verified local and regional supplies (exclusive of project supplies, and carryover supplies which are input on the System Operations page)
2) State Water Project and Central Valley Project supplies
Any local/regional supplies that are still conceptual should be input in the Water Management Options Assumptions page.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</si>
  <si>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Groundwater (not desalinated)</t>
  </si>
  <si>
    <t>Lookup Tables</t>
  </si>
  <si>
    <t>Purchased or Imported  Water</t>
  </si>
  <si>
    <t>-</t>
  </si>
  <si>
    <t>Supply from Storage</t>
  </si>
  <si>
    <t>Local and regional supplies are input for anticipated availability under a normal or better water year, single dry, and multiple dry year conditions. Users also have the option to input these supplies as a time series. 
Note, transfers here includes long-term permanent transfers. Short-term temporary transfers, or Water Market Transfers, are input on the Contingent Water Management Options page.</t>
  </si>
  <si>
    <t>Desalinated Water - Groundwater</t>
  </si>
  <si>
    <t>Desalination</t>
  </si>
  <si>
    <t>Desalinated Water - Surface Water</t>
  </si>
  <si>
    <t>Surface Supply (AFY)</t>
  </si>
  <si>
    <t>Surface water (not desalinated)</t>
  </si>
  <si>
    <t>Surface</t>
  </si>
  <si>
    <t>Totals:</t>
  </si>
  <si>
    <t>Surface for Normal or Better Years (acre-feet/year)</t>
  </si>
  <si>
    <t>Stormwater Use</t>
  </si>
  <si>
    <t>2020 UWMP Table 6-3 and 7-2 (City of Folsom, 2021)</t>
  </si>
  <si>
    <t>2020 UWMP Table 6-9 (City of Redding, 2021)</t>
  </si>
  <si>
    <t>Exchanges</t>
  </si>
  <si>
    <t>2020 UWMP Table 7-D (City of Roseville, 2021)</t>
  </si>
  <si>
    <t>2020 UWMP Table 3-3 (City of West Sacramento, 2021)</t>
  </si>
  <si>
    <t>2020 UWMP Tables 3-11 and 3-14  (Yuba City, 2021)</t>
  </si>
  <si>
    <t>2020 UWMP Table 3-2 (El Dorado Irrigation District, 2021)</t>
  </si>
  <si>
    <t>2020 UWMP Table 7-2 (Placer County Water Agency, 2021)</t>
  </si>
  <si>
    <t>2020 UWMP Table 3-3, Table 3-12, Table 3-13, Table 3-14 (Sacramento County Water Agency, 2021)</t>
  </si>
  <si>
    <t>2020 UWMP Tables 3-3, 3-6, and 3-12 (San Juan Water District, 2021)</t>
  </si>
  <si>
    <t>2020 UWMP (City of Coalinga, 2021)</t>
  </si>
  <si>
    <t>2020 UWMP Table 7-1 (City of Fresno, 2021)</t>
  </si>
  <si>
    <t>2020 UWMP Table 7-2 (City of Tracy, 2021)</t>
  </si>
  <si>
    <t xml:space="preserve">2020 UWMP Table 5-3 (Stockton East Water District, 2020) </t>
  </si>
  <si>
    <t>2020 UWMP Table 7-12; Arroyo Valle, Chain of Lakes (Alameda County Flood Control and Water Conservation District, Zone 7, 2021)</t>
  </si>
  <si>
    <t>2020 UWMP Table 9-2 (Alameda County Water District, 2021)</t>
  </si>
  <si>
    <t>2020 UWMP Table 6-9W and 6-9R (Contra Costa Water District, 2021)</t>
  </si>
  <si>
    <t>2020 UWMP Table 6-5 (Santa Clara Valley Water Disrict, 2020)</t>
  </si>
  <si>
    <t>2020 UWMP Figure 7-1 (AVEK, 2021)</t>
  </si>
  <si>
    <t>2020 UWMP (Mojave Water Agency, 2021)</t>
  </si>
  <si>
    <t>2020 UWMP Table 4-13 (Palmdale Water District, 2021)</t>
  </si>
  <si>
    <t>Table 5-5 2020 UWMP (SBVMWD, 2021)</t>
  </si>
  <si>
    <t>2020 UWMP (SGPWA, 2021)</t>
  </si>
  <si>
    <t>X</t>
  </si>
  <si>
    <t>Surface for Single Dry Years (acre-feet/year)</t>
  </si>
  <si>
    <t>2020 UWMP Tables 3-3 (City of West Sacramento, 2021)</t>
  </si>
  <si>
    <t>2020 UWMP Table 3-3 (El Dorado Irrigation District, 2021)</t>
  </si>
  <si>
    <t>2020 UWMP Table 7-3 (Placer County Water Agency, 2021)</t>
  </si>
  <si>
    <t>2020 UWMP Table 7-2 (City of Fresno, 2021)</t>
  </si>
  <si>
    <t>2020 UWMP Table 7-3 (City of Tracy, 2021)</t>
  </si>
  <si>
    <t>2020 UWMP Table 5-4 (Stockton-East Water District, 2020)</t>
  </si>
  <si>
    <t>2020 UWMP Table 7-13; Arroyo Valle, Chain of Lakes (Alameda County Flood Control and Water Conservation District, Zone 7, 2021)</t>
  </si>
  <si>
    <t>2020 UWMP Table 9-3 (Alameda County Water District, 2021)</t>
  </si>
  <si>
    <t>2020 UWMP Table 1-4 and calculated based on Tables 7-3W and 7-3R (Contra Costa Water District, 2021)</t>
  </si>
  <si>
    <t>Reduction assumptions from 2020 UWMP Table 7-1 (Santa Clara Valley Water District, 2021)</t>
  </si>
  <si>
    <t>2020 UWMP Figure 7-2 (AVEK, 2021)</t>
  </si>
  <si>
    <t>2020 UWMP Table 4-14 (Palmdale Water District, 2021)</t>
  </si>
  <si>
    <t>Table 5-6 2020 UWMP (SBVMWD, 2021)</t>
  </si>
  <si>
    <t>Surface for Multiple Dry Years (acre-feet/year)</t>
  </si>
  <si>
    <t>2020 UWMP Table 3-5 (El Dorado Irrigation District, 2021)</t>
  </si>
  <si>
    <t>2020 UWMP Table 7-4 (Placer County Water Agency, 2021)</t>
  </si>
  <si>
    <t>2020 UWMP Table 7-3 (City of Fresno, 2021)</t>
  </si>
  <si>
    <t>2020 UWMP Table 7-5 (City of Tracy, 2021)</t>
  </si>
  <si>
    <t>2020 UWMP Table 5-5 (Stockton-East Water District, 2020)</t>
  </si>
  <si>
    <t>2020 UWMP Table 7-14; Arroyo Valle, Chain of Lakes (Alameda County Flood Control and Water Conservation District, Zone 7, 2021)</t>
  </si>
  <si>
    <t>2020 UWMP Tables 9-4, 9-5, 9-6, 9-7, 9-8 (Alameda County Water District, 2021)</t>
  </si>
  <si>
    <t>2020 UWMP Table 1-4 and calculated based on Tables 7-4W and 7-4R (Contra Costa Water District, 2021)</t>
  </si>
  <si>
    <t>2020 UWMP Figure 7-3 (AVEK, 2021)</t>
  </si>
  <si>
    <t>2020 UWMP Table 4-15 (Palmdale Water District, 2021)</t>
  </si>
  <si>
    <t>Table 5-7 2020 UWMP (SBVMWD, 2021)</t>
  </si>
  <si>
    <t>Groundwater Supply (AFY)</t>
  </si>
  <si>
    <t>Groundwater for Normal or Better Years (acre-feet/year)</t>
  </si>
  <si>
    <t>2020 UWMP Table 3-10 (City of West Sacramento, 2021)</t>
  </si>
  <si>
    <t xml:space="preserve"> 2020 UWMP Table 3-20 (Yuba City, 2021)</t>
  </si>
  <si>
    <t>2020 UWMP Table 3-30, Table 3-34, Table 3-37, Table 3-40, and Table 3-43 (Sacramento County Water Agency, 2021)</t>
  </si>
  <si>
    <t>2020 UWMP Table 3-14 (San Juan Water District, 2021)</t>
  </si>
  <si>
    <t>2020 UWMP Table 5-3 (Stockton-East Water District, 2020)</t>
  </si>
  <si>
    <t>2020 UWMP Table 6-12; Main Basin (Alameda County Flood Control and Water Conservation District, Zone 7, 2021)</t>
  </si>
  <si>
    <t>2020 UWMP Table 7-B (Hollositer Urban Area, 2021); 2040 values applied for 2045</t>
  </si>
  <si>
    <t>2020 UWMP Table 7-2 (Santa Clarita Water Agency, 2021)</t>
  </si>
  <si>
    <t>2020 UWMP Table 2-3 (Metropolitan Water District of Southern California, 2021). Includes Groundwater Recovery.</t>
  </si>
  <si>
    <t>2020 UWMP Table 3-21 minus SWP supplies</t>
  </si>
  <si>
    <t>Groundwater supplies accounted for in groundwater bank assumptions</t>
  </si>
  <si>
    <t>Groundwater for Single Dry Years (acre-feet/year)</t>
  </si>
  <si>
    <t>2020 UWMP (City of Redding, 2021)</t>
  </si>
  <si>
    <t>2020 UWMP Table 7-13; Main Basin (Alameda County Flood Control and Water Conservation District, Zone 7, 2021)</t>
  </si>
  <si>
    <t>2020 UWMP Table 1-4 (Contra Costa Water District, 2021)</t>
  </si>
  <si>
    <t>2020 UWMP Table 7-3 (Santa Clarita Water Agency, 2021)</t>
  </si>
  <si>
    <t>2020 UWMP Table 2-1 (Metropolitan Water District of Southern California, 2021). Includes Groundwater Recovery.</t>
  </si>
  <si>
    <t>Groundwater for Multiple Dry Years (acre-feet/year)</t>
  </si>
  <si>
    <t>2020 UWMP Table 7-14 through 7-19; Main Basin (Alameda County Flood Control and Water Conservation District, Zone 7, 2021)</t>
  </si>
  <si>
    <t>2020 UWMP Table 2-2 (Metropolitan Water District of Southern California, 2021). Includes Groundwater Recovery.</t>
  </si>
  <si>
    <t>Desalination Supply (AFY)</t>
  </si>
  <si>
    <t>Desalination for Normal or Better Years (acre-feet/year)</t>
  </si>
  <si>
    <t>2020 UWMP  (Yuba City, 2021)</t>
  </si>
  <si>
    <t>2020 UWMP (San Juan Water District, 2021)</t>
  </si>
  <si>
    <t>2020 UWMP Table 6-12; BARDP entered into Long-term WMO Assumptions (Alameda County Flood Control and Water Conservation District, Zone 7, 2021)</t>
  </si>
  <si>
    <t>2020 UWMP Table 2-3 (Metropolitan Water District of Southern California, 2021).</t>
  </si>
  <si>
    <t>Desalination for Single Dry Years (acre-feet/year)</t>
  </si>
  <si>
    <t>2020 UWMP (Alameda County Flood Control and Water Conservation District, Zone 7, 2021)</t>
  </si>
  <si>
    <t>2020 UWMP Table 2-1 (Metropolitan Water District of Southern California, 2021).</t>
  </si>
  <si>
    <t>Desalination for Multiple Dry Years (acre-feet/year)</t>
  </si>
  <si>
    <t>2020 UWMP Table 2-2 (Metropolitan Water District of Southern California, 2021).</t>
  </si>
  <si>
    <t>Recycled Supply (AFY)</t>
  </si>
  <si>
    <t>Recycled for Normal or Better Years (acre-feet/year)</t>
  </si>
  <si>
    <t xml:space="preserve"> 2020 UWMP Table 3-24 (Yuba City, 2021)</t>
  </si>
  <si>
    <t>2020 UWMP Table 7-2 (Placer County Water Agency, 2021). Planned recycled supplies input in long-term WMO table.</t>
  </si>
  <si>
    <t>2020 UWMP Table 3-19 (Sacramento County Water Agency, 2021)</t>
  </si>
  <si>
    <t>2020 UWMP Table 6-12 (Alameda County Flood Control and Water Conservation District, Zone 7, 2021)</t>
  </si>
  <si>
    <t>2020 UWMP Table 6-5 (Santa Clara Valley Water District, 2021)</t>
  </si>
  <si>
    <t>Recycled for Single Dry Years (acre-feet/year)</t>
  </si>
  <si>
    <t>2020 UWMP Table 7-3 (Placer County Water Agency, 2021). Planned recycled supplies input in long-term WMO table.</t>
  </si>
  <si>
    <t>Recycled for Multiple Dry Years (acre-feet/year)</t>
  </si>
  <si>
    <t>2020 UWMP Table 6-9 (City of Roseville, 2021)</t>
  </si>
  <si>
    <t>2020 UWMP Table 7-4 (Placer County Water Agency, 2021). Planned recycled supplies input in long-term WMO table.</t>
  </si>
  <si>
    <t>2020 UWMP Table 7-4 (Santa Clarita Water Agency, 2021)</t>
  </si>
  <si>
    <t>Potable Reuse Supply (AFY)</t>
  </si>
  <si>
    <t>Potable Reuse for Normal or Better Years (acre-feet/year)</t>
  </si>
  <si>
    <t>2020 UWMP Table 6-12 - Potable Reuse entered into Long-term WMO Assumptions (Alameda County Flood Control and Water Conservation District, Zone 7, 2021)</t>
  </si>
  <si>
    <t>2020 UWMP Tables 9-2 (Alameda County Water District, 2021)</t>
  </si>
  <si>
    <t>Potable Reuse for Single Dry Years (acre-feet/year)</t>
  </si>
  <si>
    <t>2020 UWMP Tables 9-3 (Alameda County Water District, 2021)</t>
  </si>
  <si>
    <t>Potable Reuse for Multiple Dry Years (acre-feet/year)</t>
  </si>
  <si>
    <t>Long-term Contractual Transfers and Exchanges Supply (AFY)</t>
  </si>
  <si>
    <t>Long-term Contractual Transfers and Exchanges Supply for Normal or Better Years (acre-feet/year)</t>
  </si>
  <si>
    <t>2020 UWMP Table 3-17 (Yuba City, 2021)</t>
  </si>
  <si>
    <t>2020 UWMP Table 6-12; Transfers included in this table are input into Contingent WMO Transfers assumptions (Alameda County Flood Control and Water Conservation District, Zone 7, 2021)</t>
  </si>
  <si>
    <t>AVEK and UWCD exchange input on contingent WMOs page</t>
  </si>
  <si>
    <t xml:space="preserve"> 2020 UWMP Table 2-3 Exchange with SDCWA. (Metropolitan Water District of Sotuhern California, 2021)</t>
  </si>
  <si>
    <t>Transfer supplies accounted for in Water Market Transfer assumptions in Contingent Water Management Options page</t>
  </si>
  <si>
    <t>Long-term Contractual Transfers and Exchanges Supply for Single Dry Years (acre-feet/year)</t>
  </si>
  <si>
    <t>Transfers reported in 2020 UWMP Table 5-4 (Stockton-East Water District, 2020) input in Water Market Transfers table in Contingent Water Management Options Assumptions page</t>
  </si>
  <si>
    <t xml:space="preserve"> 2020 UWMP Table 2-1 Exchange with SDCWA. (Metropolitan Water District of Sotuhern California, 2021)</t>
  </si>
  <si>
    <t>Long-term Contractual Transfers and Exchanges Supply for Multi-Dry Years (acre-feet/year)</t>
  </si>
  <si>
    <t>Transfers reported in 2020 UWMP Table 5-5 (Stockton-East Water District, 2020) input in Water Market Transfers table in Contingent Water Management Options Assumptions page</t>
  </si>
  <si>
    <t xml:space="preserve"> 2020 UWMP Table 2-2 Exchange with SDCWA. (Metropolitan Water District of Sotuhern California, 2021)</t>
  </si>
  <si>
    <t>Other Supplies (AFY)</t>
  </si>
  <si>
    <t>Other Supply Types for Normal or Better Years (acre-feet/year)</t>
  </si>
  <si>
    <t>2020 UWMP Table 3-21, Table 3-23, and Table 3-26 (Sacramento County Water Agency, 2021)</t>
  </si>
  <si>
    <t>2020 UWMP Table 6-12; Sites Reservoir (Alameda County Flood Control and Water Conservation District, Zone 7, 2021)</t>
  </si>
  <si>
    <t xml:space="preserve"> 2020 UWMP Table 2-3 and 2-6 Los Angeles Aqueduct + Colorado River Aqueduct - Exchange with SDCWA. (Metropolitan Water District of Sotuhern California, 2021)</t>
  </si>
  <si>
    <t>2020 UWMP Tables 3-21 (Nickel Water), 3-22 (Sites Reservoir), and 3-23 (Retail agency supplies) (SGPWA, 2021)</t>
  </si>
  <si>
    <t>Other Supply Types for Single Dry Years (acre-feet/year)</t>
  </si>
  <si>
    <t>2020 UWMP Table 7-13; Sites Reservoir (Alameda County Flood Control and Water Conservation District, Zone 7, 2021)</t>
  </si>
  <si>
    <t xml:space="preserve"> 2020 UWMP Table 2-1 and 2-4 Los Angeles Aqueduct + Colorado River Aqueduct - Exchange with SDCWA. (Metropolitan Water District of Sotuhern California, 2021)</t>
  </si>
  <si>
    <t>SWP from Sites reservoir: Table 5-6 2020 UWMP (SBVMWD, 2021)</t>
  </si>
  <si>
    <t>Other Supply Types for Multiple Dry Years (acre-feet/year)</t>
  </si>
  <si>
    <t>2020 UWMP Table 7-11; Sites Reservoir (Alameda County Flood Control and Water Conservation District, Zone 7, 2021)</t>
  </si>
  <si>
    <t xml:space="preserve"> 2020 UWMP Table 2-2 and 2-5 Los Angeles Aqueduct + Colorado River Aqueduct - Exchange with SDCWA. (Metropolitan Water District of Sotuhern California, 2021)</t>
  </si>
  <si>
    <t>SWP from Sites reservoir: Table 5-7 2020 UWMP (SBVMWD, 2021)</t>
  </si>
  <si>
    <t>State Water Project and Central Valley Project Supplies</t>
  </si>
  <si>
    <t xml:space="preserve">SWP and CVP sourced supplies are input separately from the local supplies to account for variation that occurs from year to year as it is influenced by annual weather and hydrology, as well as demand by other users, operational and regulatory factors.  The SWP water input through this variable includes long-term water supply contracts including Table A amounts, transfer and exchange of Table A water, carryover water, Turn-Back Pools A and B water, Multiyar Water Pool Program water, and Article 21 water. Default data for these supplies were developed from CA DWR and U.S. Bureau of Reclamation's Calsim II and Calsim 3 water resources planning models. These models simulate operations of the SWP and CVP and much of the water resources infrastructure in the Central Valley of California and the Sacramento-San Joaquin Delta regions. The default Calsim II dataset was developed from the U.S. Bureau's 2020 Benchmark study which simulated delivery capabilities under 1922 - 2003 historic hydrologic conditions, and current operations and regulations. The default Calsim 3 dataset was developed from DWR's &lt;TBD&gt; study which simulated delivery capabilities under 1922 - 2015 historic hydrologic conditions. </t>
  </si>
  <si>
    <t>SWP and/or CVP Supplies (AFY)</t>
  </si>
  <si>
    <t>Normal or Better</t>
  </si>
  <si>
    <t>Single-Dry</t>
  </si>
  <si>
    <t>Multi-Dry</t>
  </si>
  <si>
    <t>2020 UWMP Table 7-2 (City of Folsom, 2021)</t>
  </si>
  <si>
    <t>CVP; 2020 UWMP Table 6-9 (City of Redding, 2021)</t>
  </si>
  <si>
    <t>CVP; 2020 UWMP Table 3-6 (City of West Sacramento, 2021)</t>
  </si>
  <si>
    <t>Table 3-5</t>
  </si>
  <si>
    <t>CVP; Table 3-5</t>
  </si>
  <si>
    <t>2020 UWMP Table 3-6, Table 3-9 (Sacramento County Water Agency, 2021)</t>
  </si>
  <si>
    <t>2020 UWMP Table 3-9 (San Juan Water District, 2021)</t>
  </si>
  <si>
    <t>CVP; 2020 UWMP Table 7-3 (City of Coalinga, 2021)</t>
  </si>
  <si>
    <t>CVP; 2020 UWMP Table 7-4 (City of Coalinga, 2022)</t>
  </si>
  <si>
    <t>CVP; 2020 UWMP Table 7-5 (City of Coalinga, 2022)</t>
  </si>
  <si>
    <t>2020 UWMP Table 6-9 (KCWA ID4)</t>
  </si>
  <si>
    <t>2020 UWMP Table 5-3</t>
  </si>
  <si>
    <t>2020 UWMP Table 7-13</t>
  </si>
  <si>
    <t>2020 UWMP Tables 7-14 through 7-18</t>
  </si>
  <si>
    <t>2020 UWMP Tables 9-4,9-5,9-6,9-7,9-8 (Alameda County Water District, 2021)</t>
  </si>
  <si>
    <t>CVP; 2020 UWMP Table 1-4 (Contra Costa Water District, 2021)</t>
  </si>
  <si>
    <t>CVP; 2020 UWMP Table 7-B (Hollister Urban Area, 2021); 2040 values applied for 2045</t>
  </si>
  <si>
    <t>2020 UWMP Table 7-1 (AVEK, 2021)</t>
  </si>
  <si>
    <t>Calculated from Figure 7-2 and Table 7-2</t>
  </si>
  <si>
    <t>Existing Supplies; 2020 UWMP Table 7-2 (Santa Clarita Water Agency, 2021)</t>
  </si>
  <si>
    <t>Existing Supplies; 2020 UWMP Table 7-3 (Santa Clarita Water Agency, 2021)</t>
  </si>
  <si>
    <t>Existing Supplies; 2020 UWMP Table 7-4 (Santa Clarita Water Agency, 2021)</t>
  </si>
  <si>
    <t>2020 UWMP Table 4-25 (Coachella Valley Water District, 2021)</t>
  </si>
  <si>
    <t>2020 UWMP Table 4-26 (Coachella Valley Water District, 2021)</t>
  </si>
  <si>
    <t>2020 UWMP Table 4-27 (Coachella Valley Water District, 2021)</t>
  </si>
  <si>
    <t>2020 UWMP Table 2-6 (MWD SC, 2021)</t>
  </si>
  <si>
    <t>2020 UWMP Table 2-4 (MWD SC, 2021)</t>
  </si>
  <si>
    <t>2020 UWMP Table 2-5 (MWD S, 2021)</t>
  </si>
  <si>
    <t>2020 UWMP Table 3-3 (Mojave Water Agency, 2021)</t>
  </si>
  <si>
    <t>2020 UWMP Table 3-4 (SBVMWD, 2021)</t>
  </si>
  <si>
    <t>2020 UWMP Table 3-5 (SBVMWD, 2021)</t>
  </si>
  <si>
    <t>2020 UWMP Table 6-1 (SGVMWD, 2021)</t>
  </si>
  <si>
    <t>2020 UWMP Table 3-4 (San Gorgonio Pass Water Agency, 2021)</t>
  </si>
  <si>
    <t>WATER_SUPPLY</t>
  </si>
  <si>
    <t>ADDITIONAL_WATER_SUPPLY_DETAIL</t>
  </si>
  <si>
    <t>REASONABLY_AVAIL_VOLUME_2025_AF</t>
  </si>
  <si>
    <t>TOTAL_RIGHT_OR_SAFE_YIELD_2025_AF</t>
  </si>
  <si>
    <t>REASONABLY_AVAIL_VOLUME_2030_AF</t>
  </si>
  <si>
    <t>TOTAL_RIGHT_OR_SAFE_YIELD_2030_AF</t>
  </si>
  <si>
    <t>REASONABLY_AVAIL_VOLUME_2035_AF</t>
  </si>
  <si>
    <t>TOTAL_RIGHT_OR_SAFE_YIELD_2035_AF</t>
  </si>
  <si>
    <t>REASONABLY_AVAIL_VOLUME_2040_AF</t>
  </si>
  <si>
    <t>TOTAL_RIGHT_OR_SAFE_YIELD_2040_AF</t>
  </si>
  <si>
    <t>REASONABLY_AVAIL_VOLUME_2045_AF</t>
  </si>
  <si>
    <t>TOTAL_RIGHT_OR_SAFE_YIELD_2045_AF</t>
  </si>
  <si>
    <t>Table 6-9 Retail: Water Supplies - Projected</t>
  </si>
  <si>
    <t>Adelanto Wastewater Treatment Facility</t>
  </si>
  <si>
    <t>Total right is set annually by the Watermaster</t>
  </si>
  <si>
    <t>2851</t>
  </si>
  <si>
    <t>Mojave Water Agency supplemental water</t>
  </si>
  <si>
    <t>64406</t>
  </si>
  <si>
    <t>Del Valle Reservoir local supply</t>
  </si>
  <si>
    <t>San Fancisco Public Utilities Commission Regional Water System supply</t>
  </si>
  <si>
    <t>State Water Project supplies (including previously banked SWP supplies from Semitropic) used at District facilities</t>
  </si>
  <si>
    <t>Newark Desalination Facility production</t>
  </si>
  <si>
    <t>Net Local Groundwater Recharge</t>
  </si>
  <si>
    <t>Main Basin</t>
  </si>
  <si>
    <t>MWD</t>
  </si>
  <si>
    <t>Mokelumne River Water</t>
  </si>
  <si>
    <t>Metropolitan</t>
  </si>
  <si>
    <t>OCWD and WRF</t>
  </si>
  <si>
    <t>Orange County Groundwater Basin</t>
  </si>
  <si>
    <t>CCWD</t>
  </si>
  <si>
    <t>Delta</t>
  </si>
  <si>
    <t>DD</t>
  </si>
  <si>
    <t>Mojave Basin Area (Agricultural)</t>
  </si>
  <si>
    <t>Mojave Basin Area (Potable)</t>
  </si>
  <si>
    <t>Raymond Basin</t>
  </si>
  <si>
    <t>3639.7009901</t>
  </si>
  <si>
    <t>561.60647655</t>
  </si>
  <si>
    <t>Salinas River Underflow</t>
  </si>
  <si>
    <t>Atascadero Basin</t>
  </si>
  <si>
    <t>San Joaquin River</t>
  </si>
  <si>
    <t>Main San Gabriel Basin</t>
  </si>
  <si>
    <t>24350</t>
  </si>
  <si>
    <t>San Gabriel River</t>
  </si>
  <si>
    <t>10100</t>
  </si>
  <si>
    <t>USGVMWD (As-Needed)</t>
  </si>
  <si>
    <t>4000</t>
  </si>
  <si>
    <t>City Wells</t>
  </si>
  <si>
    <t>WWTP 3 Tertiary</t>
  </si>
  <si>
    <t>Kings Subbasin 5-22.08</t>
  </si>
  <si>
    <t>Banning Water Canyon</t>
  </si>
  <si>
    <t>3730</t>
  </si>
  <si>
    <t>Mathematical Balancer (See DWR Standard Table 7-2). See also DWR Standard Table 6-9 and Table 7-2 of Appendix E</t>
  </si>
  <si>
    <t>West Banning</t>
  </si>
  <si>
    <t>1430</t>
  </si>
  <si>
    <t>SWP Water</t>
  </si>
  <si>
    <t>2739</t>
  </si>
  <si>
    <t>Banning Bench</t>
  </si>
  <si>
    <t>1330</t>
  </si>
  <si>
    <t>Beaumont Basin Storage Account</t>
  </si>
  <si>
    <t>47169</t>
  </si>
  <si>
    <t>43422</t>
  </si>
  <si>
    <t>35291</t>
  </si>
  <si>
    <t>24510</t>
  </si>
  <si>
    <t>12622</t>
  </si>
  <si>
    <t>2852</t>
  </si>
  <si>
    <t>3745</t>
  </si>
  <si>
    <t>4700</t>
  </si>
  <si>
    <t>5702</t>
  </si>
  <si>
    <t>6734</t>
  </si>
  <si>
    <t>Beaumont</t>
  </si>
  <si>
    <t>6700</t>
  </si>
  <si>
    <t>Cabazon</t>
  </si>
  <si>
    <t>Beaumont Basin total forbearance water</t>
  </si>
  <si>
    <t>Little San Gorgonio Canyon</t>
  </si>
  <si>
    <t>2200</t>
  </si>
  <si>
    <t>Return flows</t>
  </si>
  <si>
    <t>Beaumont Basin (Reallocated unused overlier rights)</t>
  </si>
  <si>
    <t>Beaumont MDP Line 16</t>
  </si>
  <si>
    <t>Misc. Stormwater</t>
  </si>
  <si>
    <t>From SGPWA for Replenishment of Beaumont Basin (Potable Water)</t>
  </si>
  <si>
    <t>From City of Beaumont for landscaping</t>
  </si>
  <si>
    <t>To supplement Non-Potable Water Supply (Purchased for Replenishment)</t>
  </si>
  <si>
    <t>Non-Potable groundwater at mouth of Edgar Canyon</t>
  </si>
  <si>
    <t>Non-Potable Groundwater along San Timoteo Creek</t>
  </si>
  <si>
    <t>From SGPWA for Banking</t>
  </si>
  <si>
    <t>Additional Imported Water Available from SGPWA</t>
  </si>
  <si>
    <t>CVP Water Service Contract supply pumped from the Sacramento River</t>
  </si>
  <si>
    <t>24578</t>
  </si>
  <si>
    <t>ACID Long-term transfer supply pumped from the Sacramento River</t>
  </si>
  <si>
    <t>1536</t>
  </si>
  <si>
    <t>Wells are located in the Enterprise Sub-basin of the Redding Groundwater Basis</t>
  </si>
  <si>
    <t>Coastal Plain of Los Angeles Basin - Central Subbasin (DWR4-11.04)</t>
  </si>
  <si>
    <t>4413</t>
  </si>
  <si>
    <t>CBMWD</t>
  </si>
  <si>
    <t>Treated Metropolitan</t>
  </si>
  <si>
    <t>Local Basins</t>
  </si>
  <si>
    <t>3100</t>
  </si>
  <si>
    <t>Palo Verde Groundwater Basin</t>
  </si>
  <si>
    <t>6900</t>
  </si>
  <si>
    <t>Volume still available. Based on 90% total production</t>
  </si>
  <si>
    <t>MWDOC</t>
  </si>
  <si>
    <t>CDWC</t>
  </si>
  <si>
    <t>La Habra Groundwater Basin</t>
  </si>
  <si>
    <t>ECC Subbasin 5-22.19</t>
  </si>
  <si>
    <t>5600.72032625</t>
  </si>
  <si>
    <t>COBWTP Potable Supply (ECCID)</t>
  </si>
  <si>
    <t>7030.82206435</t>
  </si>
  <si>
    <t>RBWTP Supply (ECCID)</t>
  </si>
  <si>
    <t>6720.8643915</t>
  </si>
  <si>
    <t>City WWTP Supply</t>
  </si>
  <si>
    <t>3584.4610088</t>
  </si>
  <si>
    <t>Non-Potable Supply (ECCID)</t>
  </si>
  <si>
    <t>1049.5596447</t>
  </si>
  <si>
    <t>Supplier Produced, Treated for blending with MWD treated potable</t>
  </si>
  <si>
    <t>MWD untreated for groundwater replenishment</t>
  </si>
  <si>
    <t>Supplier-produced for non-potable use</t>
  </si>
  <si>
    <t>MWD Treated Potable</t>
  </si>
  <si>
    <t>0</t>
  </si>
  <si>
    <t>Imperial Irr. Dist.</t>
  </si>
  <si>
    <t>Central Basin - Baldwin Hills</t>
  </si>
  <si>
    <t>2175</t>
  </si>
  <si>
    <t>MSGB - Replacement Water - San Marino</t>
  </si>
  <si>
    <t>WBMWD - Baldwin Hills</t>
  </si>
  <si>
    <t>MSGB Integrated Right</t>
  </si>
  <si>
    <t>1672</t>
  </si>
  <si>
    <t>MSGB - Duarte</t>
  </si>
  <si>
    <t>2770</t>
  </si>
  <si>
    <t>Raymond Basin - San Marino</t>
  </si>
  <si>
    <t>1609</t>
  </si>
  <si>
    <t>Upper District Replacement Water - Duarte</t>
  </si>
  <si>
    <t>MSGB - San Marino</t>
  </si>
  <si>
    <t>6048</t>
  </si>
  <si>
    <t>MWD - San Marino</t>
  </si>
  <si>
    <t>Sand City Desalination</t>
  </si>
  <si>
    <t>94</t>
  </si>
  <si>
    <t>Seaside Basin</t>
  </si>
  <si>
    <t>1474</t>
  </si>
  <si>
    <t>774</t>
  </si>
  <si>
    <t>Carmel River Aquifer</t>
  </si>
  <si>
    <t>3376</t>
  </si>
  <si>
    <t>Pure Water Monterey</t>
  </si>
  <si>
    <t>3500</t>
  </si>
  <si>
    <t>MPWSP Ocean Desalination Project</t>
  </si>
  <si>
    <t>6252</t>
  </si>
  <si>
    <t>Aquifer Storage and Recovery</t>
  </si>
  <si>
    <t>920</t>
  </si>
  <si>
    <t>PWM Expansion</t>
  </si>
  <si>
    <t>528</t>
  </si>
  <si>
    <t>2250</t>
  </si>
  <si>
    <t>Antelope, North American Subbasin</t>
  </si>
  <si>
    <t>18262.95159535</t>
  </si>
  <si>
    <t>Antelope, Sacramento Suburban Water District</t>
  </si>
  <si>
    <t>Arden, North American Subbasin</t>
  </si>
  <si>
    <t>2743.5857379</t>
  </si>
  <si>
    <t>Arden, City of Sacramento</t>
  </si>
  <si>
    <t>316.09544855</t>
  </si>
  <si>
    <t>181.06438315</t>
  </si>
  <si>
    <t>Dunnigan, Yolo Subbasin</t>
  </si>
  <si>
    <t>322.23322425</t>
  </si>
  <si>
    <t>Fruitridge, City of Sacramento</t>
  </si>
  <si>
    <t>3630.49432655</t>
  </si>
  <si>
    <t>Isleton, Solano Subbasin</t>
  </si>
  <si>
    <t>659.81088775</t>
  </si>
  <si>
    <t>Parkway, South American Subbasin</t>
  </si>
  <si>
    <t>21832.0681649</t>
  </si>
  <si>
    <t>Parkway, City of Sacramento</t>
  </si>
  <si>
    <t>2031.6037567</t>
  </si>
  <si>
    <t>1160.0396073</t>
  </si>
  <si>
    <t>Lincoln Oaks, North American Subbasin</t>
  </si>
  <si>
    <t>23209.99880955</t>
  </si>
  <si>
    <t>Lincoln Oaks, Sacramento Suburban Water District</t>
  </si>
  <si>
    <t>Security Park, South American Subbasin</t>
  </si>
  <si>
    <t>Security Park, Sacramento County Water Agency</t>
  </si>
  <si>
    <t>138.09995325</t>
  </si>
  <si>
    <t>622.98423355</t>
  </si>
  <si>
    <t>1565.1328035</t>
  </si>
  <si>
    <t>3130.265607</t>
  </si>
  <si>
    <t>Suburban-Rosemont, South American Subbasin</t>
  </si>
  <si>
    <t>27386.7551734</t>
  </si>
  <si>
    <t>Suburban-Rosemont, City of Sacramento</t>
  </si>
  <si>
    <t>1236.76180355</t>
  </si>
  <si>
    <t>Walnut Grove, Solano Subbasin</t>
  </si>
  <si>
    <t>460.3331775</t>
  </si>
  <si>
    <t>West Placer, Placer County Water Agency</t>
  </si>
  <si>
    <t>2261.77034545</t>
  </si>
  <si>
    <t>2356.9058688</t>
  </si>
  <si>
    <t>2912.37456965</t>
  </si>
  <si>
    <t>3360.43219575</t>
  </si>
  <si>
    <t>Fruitridge, South American Subbasin</t>
  </si>
  <si>
    <t>13322.04215685</t>
  </si>
  <si>
    <t>City of Coronado Recycled Water Treatment Plant</t>
  </si>
  <si>
    <t>Purchased from the City of San Diego</t>
  </si>
  <si>
    <t>Antelope Valley Basin, Acton Valley Basin, Fremont Valley Basin</t>
  </si>
  <si>
    <t>AVEK</t>
  </si>
  <si>
    <t>Surface water purchased from City of Bakersfield</t>
  </si>
  <si>
    <t>Surface water purchased from KCWA ID-4</t>
  </si>
  <si>
    <t>Kern County Subbasin</t>
  </si>
  <si>
    <t>Bear Gulch Creek (c)</t>
  </si>
  <si>
    <t>Corning Subbasin (Hamilton City PWS)</t>
  </si>
  <si>
    <t>Vina Subbasin (Chico PWS)</t>
  </si>
  <si>
    <t>Solano Subbasin</t>
  </si>
  <si>
    <t>WBMWD</t>
  </si>
  <si>
    <t>WBMWD/ City of Torrance</t>
  </si>
  <si>
    <t>C. Marvin Brewer Desalter</t>
  </si>
  <si>
    <t>West Coast Subbasin/ Central Subbasin</t>
  </si>
  <si>
    <t>Central Subbasin</t>
  </si>
  <si>
    <t>West Coast Subbasin</t>
  </si>
  <si>
    <t>Treated Surface Water</t>
  </si>
  <si>
    <t>Kern River Valley Basin</t>
  </si>
  <si>
    <t>Upper Valley Aquifer Subbasin</t>
  </si>
  <si>
    <t>Zone 7 Water Agency</t>
  </si>
  <si>
    <t>Livermore Valley Basin</t>
  </si>
  <si>
    <t>Santa Clara Subbasin</t>
  </si>
  <si>
    <t>Valley Water</t>
  </si>
  <si>
    <t>Sunnyvale WPCP</t>
  </si>
  <si>
    <t>North Yuba Subbasin</t>
  </si>
  <si>
    <t>2437</t>
  </si>
  <si>
    <t>Wyandotte Creek Subbasin (b)</t>
  </si>
  <si>
    <t>Pacific Gas and Electric Company and/or Butte County (c)</t>
  </si>
  <si>
    <t>Yolo County Flood Control and Water Conservation District</t>
  </si>
  <si>
    <t>Santa Rosa Plain Subbasin</t>
  </si>
  <si>
    <t>Sand Point Area Basin</t>
  </si>
  <si>
    <t>Lower Russian River Valley Basin</t>
  </si>
  <si>
    <t>Pajaro Valley Subbasin</t>
  </si>
  <si>
    <t>Monterey Subbasin</t>
  </si>
  <si>
    <t>180/400-Foot Aquifer Subbasin</t>
  </si>
  <si>
    <t>Eastside Aquifer Subbasin</t>
  </si>
  <si>
    <t>Langley Area Subbasin</t>
  </si>
  <si>
    <t>Kings Subbasin</t>
  </si>
  <si>
    <t>Westside Subbasin/ In-Lieu Surface Water</t>
  </si>
  <si>
    <t>Eastern San Joaquin Subbasin</t>
  </si>
  <si>
    <t>CMWD</t>
  </si>
  <si>
    <t>Colusa Subbasin</t>
  </si>
  <si>
    <t>206</t>
  </si>
  <si>
    <t>Pleasant Valley Basin</t>
  </si>
  <si>
    <t>3106</t>
  </si>
  <si>
    <t>2403</t>
  </si>
  <si>
    <t>1860</t>
  </si>
  <si>
    <t>1439</t>
  </si>
  <si>
    <t>5274</t>
  </si>
  <si>
    <t>3877</t>
  </si>
  <si>
    <t>San Simeon Creek Basin and Santa Rosa Creek Basin</t>
  </si>
  <si>
    <t>1017</t>
  </si>
  <si>
    <t>Water Reclamation Facility</t>
  </si>
  <si>
    <t>Landscape Irrigation (excludes golf courses)</t>
  </si>
  <si>
    <t>Santa Rosa, Pleasant Valley (Fox Canyon Aquifer), Tierra Rejada Basins</t>
  </si>
  <si>
    <t>SWP imported via Calleguas Municipal Water District</t>
  </si>
  <si>
    <t>CWRF + Conejo Creek</t>
  </si>
  <si>
    <t>RMWTP full capacity (1 MGD) (Shallow PV Basin outside FCGMA)</t>
  </si>
  <si>
    <t>Carlsbad WRF</t>
  </si>
  <si>
    <t>7839</t>
  </si>
  <si>
    <t>Meadowlark WRF</t>
  </si>
  <si>
    <t>2989</t>
  </si>
  <si>
    <t>Carlsbad Desal Plant (Purchased unders SDCWA)</t>
  </si>
  <si>
    <t>2500</t>
  </si>
  <si>
    <t>SDCWA</t>
  </si>
  <si>
    <t>13802</t>
  </si>
  <si>
    <t>14155</t>
  </si>
  <si>
    <t>14586</t>
  </si>
  <si>
    <t>15019</t>
  </si>
  <si>
    <t>15545</t>
  </si>
  <si>
    <t>Total Supply</t>
  </si>
  <si>
    <t>Cachuma Project</t>
  </si>
  <si>
    <t>State Water Project</t>
  </si>
  <si>
    <t>Ventura-Santa Barbara Counties Interconnection</t>
  </si>
  <si>
    <t>Mira Monte Well</t>
  </si>
  <si>
    <t>Lake Casitas</t>
  </si>
  <si>
    <t>Lake Casitas Supplement</t>
  </si>
  <si>
    <t>Ojai Wellfield</t>
  </si>
  <si>
    <t>Purchased from TID</t>
  </si>
  <si>
    <t>Los Angeles County Sanitation District</t>
  </si>
  <si>
    <t>Central Basin</t>
  </si>
  <si>
    <t>Chino Basin</t>
  </si>
  <si>
    <t>Chino Hills Wells</t>
  </si>
  <si>
    <t>7 wells</t>
  </si>
  <si>
    <t>10839.3118862</t>
  </si>
  <si>
    <t>Shallow wells on the Russian River</t>
  </si>
  <si>
    <t>Garfield WD</t>
  </si>
  <si>
    <t>Waldron &amp; Boswell Banking Facilities</t>
  </si>
  <si>
    <t>Kings River and CVP</t>
  </si>
  <si>
    <t>International WD</t>
  </si>
  <si>
    <t>Water Reuse Facility</t>
  </si>
  <si>
    <t>Indio Subbasin</t>
  </si>
  <si>
    <t>Indio and Mission Creek Subbasins</t>
  </si>
  <si>
    <t>Purchased from USBR</t>
  </si>
  <si>
    <t>Denniston Wells</t>
  </si>
  <si>
    <t>Denniston Creek</t>
  </si>
  <si>
    <t>Pilarcitos Creek</t>
  </si>
  <si>
    <t>Bunker Hill</t>
  </si>
  <si>
    <t>Riverside-Arlington (North)</t>
  </si>
  <si>
    <t>State Water Project - Rialto Colton Groundwater Supplemental Supply</t>
  </si>
  <si>
    <t>Rialto-Colton</t>
  </si>
  <si>
    <t>CCWD Wholesale Supply</t>
  </si>
  <si>
    <t>Industrial, irrigation, and commercial uses</t>
  </si>
  <si>
    <t>Bedford-Coldwater Basin</t>
  </si>
  <si>
    <t>Temescal Basin</t>
  </si>
  <si>
    <t>WMWD (all sources)</t>
  </si>
  <si>
    <t>Reclaimed Water</t>
  </si>
  <si>
    <t>Covina Irrigating Company and/or Three Valleys Municipal Water District</t>
  </si>
  <si>
    <t>Smith River Groundwater Basin</t>
  </si>
  <si>
    <t>Well #16 (GWP)</t>
  </si>
  <si>
    <t>FMWD</t>
  </si>
  <si>
    <t>CVWD Wells</t>
  </si>
  <si>
    <t>Imported water purchased from CLAWA</t>
  </si>
  <si>
    <t>District wells</t>
  </si>
  <si>
    <t>Inland Empire Utilities Agency (Groundwater Recharge)</t>
  </si>
  <si>
    <t>Inland Empire Utilities Agency (Direct Use)</t>
  </si>
  <si>
    <t>Deer Canyon</t>
  </si>
  <si>
    <t>Cucamonga Canyon Tunnel Water</t>
  </si>
  <si>
    <t>Cucamonga Basin</t>
  </si>
  <si>
    <t>Day/East Etiwanda Canyon Tunnel Water</t>
  </si>
  <si>
    <t>Deep aquifer well pumping capacity</t>
  </si>
  <si>
    <t>From the WDCWA</t>
  </si>
  <si>
    <t>DOWC Stirling Bluffs</t>
  </si>
  <si>
    <t>WELL 3 - W PARK</t>
  </si>
  <si>
    <t>WELL 2 - BRANDY</t>
  </si>
  <si>
    <t>WELL 4 - COMPTON</t>
  </si>
  <si>
    <t>WELL 6 - LAKERIDGE</t>
  </si>
  <si>
    <t>Delano WWTF</t>
  </si>
  <si>
    <t>Chino Creek, Snow Creek, Falls Creek, Whitewater River</t>
  </si>
  <si>
    <t>Recycled water</t>
  </si>
  <si>
    <t>4480.576261</t>
  </si>
  <si>
    <t>6162.3268028</t>
  </si>
  <si>
    <t>7841.00845675</t>
  </si>
  <si>
    <t>16805.2298666</t>
  </si>
  <si>
    <t>22402.881305</t>
  </si>
  <si>
    <t>Zone 7</t>
  </si>
  <si>
    <t>Recycled water from various sources</t>
  </si>
  <si>
    <t>Mokelumne &amp; East Bay Supply</t>
  </si>
  <si>
    <t>Gloria Way well</t>
  </si>
  <si>
    <t>San Bernardino Basin (Bunker Hill) - Recycled Water Recharge</t>
  </si>
  <si>
    <t>SWP - Direct Deliveries</t>
  </si>
  <si>
    <t>Santa Ana River (part of SBB)</t>
  </si>
  <si>
    <t>San Bernardino Basin (Bunker Hill)</t>
  </si>
  <si>
    <t>Desalinated water from the West San Jacinto Basin</t>
  </si>
  <si>
    <t>Excludes Storage Pond Incidental Recharge / Evaporation</t>
  </si>
  <si>
    <t>Purified Water Replenishment (IPR)</t>
  </si>
  <si>
    <t>Metropolitan Treated/ Untreated</t>
  </si>
  <si>
    <t>Pumped from the Hemet/San Jacinto Basin</t>
  </si>
  <si>
    <t>Pumped from the West San Jacinto Basin</t>
  </si>
  <si>
    <t>Imperial Irrigation District - Raw Colorado River Water</t>
  </si>
  <si>
    <t>from WWTPs</t>
  </si>
  <si>
    <t>Total Supplies</t>
  </si>
  <si>
    <t>potable water to supplement recycled system</t>
  </si>
  <si>
    <t>SOCWA</t>
  </si>
  <si>
    <t>MWDOC (Untreated)*</t>
  </si>
  <si>
    <t>MWDOC (Treated)</t>
  </si>
  <si>
    <t>EGWD wells</t>
  </si>
  <si>
    <t>SCWA Water</t>
  </si>
  <si>
    <t>Western/Metropolitan (1)</t>
  </si>
  <si>
    <t>Raw Imported Water Western/Metropolitan (1), (2)</t>
  </si>
  <si>
    <t>Elsinore Valley Subbasin (3)</t>
  </si>
  <si>
    <t>Coldwater Subbasin (3)</t>
  </si>
  <si>
    <t>Bedford Subbasin (3)</t>
  </si>
  <si>
    <t>Lee Lake Subbasin (3)</t>
  </si>
  <si>
    <t>Palomar Well Replacement (3)</t>
  </si>
  <si>
    <t>Temecula-Pauba GW (3)</t>
  </si>
  <si>
    <t>IPR at Regional WRF (5)</t>
  </si>
  <si>
    <t>Temescal Wash and Lake Elsinore Replenishment (5)</t>
  </si>
  <si>
    <t>8960</t>
  </si>
  <si>
    <t>Metered Customers (6)</t>
  </si>
  <si>
    <t>Canyon Lake and Summerly Golf Course (6)</t>
  </si>
  <si>
    <t>Canyon Lake/CLWTP (4)</t>
  </si>
  <si>
    <t>8000</t>
  </si>
  <si>
    <t>MFRO for agricultural users (4)</t>
  </si>
  <si>
    <t>Henshaw and Wohlford Reservoirs (3)</t>
  </si>
  <si>
    <t>SLRIWA (2)</t>
  </si>
  <si>
    <t>7900</t>
  </si>
  <si>
    <t>SDCWA (1)</t>
  </si>
  <si>
    <t>AWT (6)</t>
  </si>
  <si>
    <t>HARRF Recycled Water (5)</t>
  </si>
  <si>
    <t>Purchased from Humboldt Bay Municipal Water District</t>
  </si>
  <si>
    <t>SJWD Surface Water</t>
  </si>
  <si>
    <t>15000</t>
  </si>
  <si>
    <t>District Wells</t>
  </si>
  <si>
    <t>10968</t>
  </si>
  <si>
    <t>SCWA - USBR Solano Project</t>
  </si>
  <si>
    <t>27217.96634165</t>
  </si>
  <si>
    <t>SCWA - DWR State Water Project</t>
  </si>
  <si>
    <t>14678.49058655</t>
  </si>
  <si>
    <t>Settlement Water</t>
  </si>
  <si>
    <t>11799.87378325</t>
  </si>
  <si>
    <t>Lake Skinner Diversion</t>
  </si>
  <si>
    <t>Purchase from wholesale agency</t>
  </si>
  <si>
    <t>Santa Margarita Conjunctive Use Project</t>
  </si>
  <si>
    <t>Capra Well</t>
  </si>
  <si>
    <t>Pre-1914 Appropriative Right for 22,000 AFY</t>
  </si>
  <si>
    <t>Pre-1914 Appropriative Right for 5,000 AFY</t>
  </si>
  <si>
    <t>CVP Fazio Contract</t>
  </si>
  <si>
    <t>GET A and GET B Supply</t>
  </si>
  <si>
    <t>Ashland Area Contract</t>
  </si>
  <si>
    <t>OCWD</t>
  </si>
  <si>
    <t>NFWRF Tertiary Disinfected</t>
  </si>
  <si>
    <t>RWRF Tertiary Disinfected</t>
  </si>
  <si>
    <t>USBR CVP</t>
  </si>
  <si>
    <t>FID Contract</t>
  </si>
  <si>
    <t>MET</t>
  </si>
  <si>
    <t>Cosumnes Subbasin</t>
  </si>
  <si>
    <t>Stumpy Meadows Reservoir</t>
  </si>
  <si>
    <t>12200</t>
  </si>
  <si>
    <t>26000</t>
  </si>
  <si>
    <t>LAGWRP</t>
  </si>
  <si>
    <t>7492</t>
  </si>
  <si>
    <t>Verdugo Basin</t>
  </si>
  <si>
    <t>3856</t>
  </si>
  <si>
    <t>San Fernando Basin</t>
  </si>
  <si>
    <t>7660</t>
  </si>
  <si>
    <t>Covina Irrigating Company</t>
  </si>
  <si>
    <t>potable</t>
  </si>
  <si>
    <t>total potable</t>
  </si>
  <si>
    <t>Six Basins</t>
  </si>
  <si>
    <t>Groundwater Wells</t>
  </si>
  <si>
    <t>87.5% of well pump capacity (pumping 21 hours/day) of all groundwater wells</t>
  </si>
  <si>
    <t>Purchased Surface Water from SFPUC</t>
  </si>
  <si>
    <t>435.7820747</t>
  </si>
  <si>
    <t>448.0576261</t>
  </si>
  <si>
    <t>463.40206535</t>
  </si>
  <si>
    <t>487.95316815</t>
  </si>
  <si>
    <t>521.7109345</t>
  </si>
  <si>
    <t>Lopez Project</t>
  </si>
  <si>
    <t>Central Coast Blue Project</t>
  </si>
  <si>
    <t>Santa Maria Groundwater Basin</t>
  </si>
  <si>
    <t>Edward C. Little Water Recycling Facility</t>
  </si>
  <si>
    <t>From SFPUC</t>
  </si>
  <si>
    <t>Gauntlett Well Field</t>
  </si>
  <si>
    <t>2893.96124255</t>
  </si>
  <si>
    <t>Fitch Well field</t>
  </si>
  <si>
    <t>1273.58845775</t>
  </si>
  <si>
    <t>2172.7725978</t>
  </si>
  <si>
    <t>CSA</t>
  </si>
  <si>
    <t>589.2264672</t>
  </si>
  <si>
    <t>Sonoma County Purchased Water</t>
  </si>
  <si>
    <t>423.5065233</t>
  </si>
  <si>
    <t>ASR Well - Ground Water Basin 1-055.02</t>
  </si>
  <si>
    <t>724.2575326</t>
  </si>
  <si>
    <t>Dry Creek Well Field</t>
  </si>
  <si>
    <t>ECAWP</t>
  </si>
  <si>
    <t>Local runoff from Cuyamaca and El Capitan Watersheds</t>
  </si>
  <si>
    <t>Well 101</t>
  </si>
  <si>
    <t>San Jacinto Basin</t>
  </si>
  <si>
    <t>52</t>
  </si>
  <si>
    <t>1247</t>
  </si>
  <si>
    <t>Central Groundwater Basin</t>
  </si>
  <si>
    <t>3853</t>
  </si>
  <si>
    <t>Based on capacity of District facilities</t>
  </si>
  <si>
    <t>EVRA</t>
  </si>
  <si>
    <t>WCGB</t>
  </si>
  <si>
    <t>Future Potable Water</t>
  </si>
  <si>
    <t>BWTP Local Surface Water</t>
  </si>
  <si>
    <t>Untreated</t>
  </si>
  <si>
    <t>Non-Potable Irrigation Water from Riverside Basin (No. 8-02.03)</t>
  </si>
  <si>
    <t>JCSD Recycled Water  Project (CWSRF Project No. 8167-110)</t>
  </si>
  <si>
    <t>Transfer water to Santa Ana River Water Company (from CDA, Basin No. 8-02.01)</t>
  </si>
  <si>
    <t>DYY Program Agreement with City of Ontario (via CDA, Basin No. 8-02.01)</t>
  </si>
  <si>
    <t>Potable wells (Chino Basin No. 8-02.01)</t>
  </si>
  <si>
    <t>Western Municipal Water District</t>
  </si>
  <si>
    <t>Chino Desalter Authority (Chino Basin No. 8-02.01) desalinated groundwater</t>
  </si>
  <si>
    <t>Rubidoux Community Services District (Riverside South Basin No. 8-02.03)</t>
  </si>
  <si>
    <t>TVMWD Import</t>
  </si>
  <si>
    <t>Pomona Basin, Ganesha Basin, Live Oak Basin</t>
  </si>
  <si>
    <t>10 yr avg purchase</t>
  </si>
  <si>
    <t>From ETWD</t>
  </si>
  <si>
    <t>OC GW Basin</t>
  </si>
  <si>
    <t>Either of 2 projects</t>
  </si>
  <si>
    <t>CLAWA</t>
  </si>
  <si>
    <t>550</t>
  </si>
  <si>
    <t>Golf Course Irrigation</t>
  </si>
  <si>
    <t>1123</t>
  </si>
  <si>
    <t>Grass Valley Basin</t>
  </si>
  <si>
    <t>285</t>
  </si>
  <si>
    <t>315</t>
  </si>
  <si>
    <t>375</t>
  </si>
  <si>
    <t>405</t>
  </si>
  <si>
    <t>435</t>
  </si>
  <si>
    <t>Lake Arrowhead</t>
  </si>
  <si>
    <t>1566</t>
  </si>
  <si>
    <t>Lake/Stream Diversion</t>
  </si>
  <si>
    <t>Waster Master</t>
  </si>
  <si>
    <t>Raw - Ag Irrigation</t>
  </si>
  <si>
    <t>Ag Irrigation</t>
  </si>
  <si>
    <t>San Joaquin Valley Groundwater Basin</t>
  </si>
  <si>
    <t>Pure Water Project - Las Virgenes Reservoir</t>
  </si>
  <si>
    <t>SSJID SCWSP Phase II (a)</t>
  </si>
  <si>
    <t>SSJID SCWSP Phase I (a)</t>
  </si>
  <si>
    <t>Produced at City's WWTRF</t>
  </si>
  <si>
    <t>City-owned Wells</t>
  </si>
  <si>
    <t>NID</t>
  </si>
  <si>
    <t>PCWA</t>
  </si>
  <si>
    <t>Six Active Wells</t>
  </si>
  <si>
    <t>From City of Livermore WWTF</t>
  </si>
  <si>
    <t>Purchased from Zone 7 Water Agency</t>
  </si>
  <si>
    <t>WID from Mokelumne River</t>
  </si>
  <si>
    <t>6000</t>
  </si>
  <si>
    <t>From 28 municipal wells in the Eastern San Joaquin Subbasin</t>
  </si>
  <si>
    <t>West Coast Basin</t>
  </si>
  <si>
    <t>1352</t>
  </si>
  <si>
    <t>West Basin MWD</t>
  </si>
  <si>
    <t>2648</t>
  </si>
  <si>
    <t>Lompoc Valley Groundwater Basin</t>
  </si>
  <si>
    <t>37126</t>
  </si>
  <si>
    <t>41126</t>
  </si>
  <si>
    <t>3226</t>
  </si>
  <si>
    <t>LBWRP</t>
  </si>
  <si>
    <t>MWDSC</t>
  </si>
  <si>
    <t>Beneficial Wate Use</t>
  </si>
  <si>
    <t>Non-Potable Reuse</t>
  </si>
  <si>
    <t>Centralized Recharge will allow us to Pump Additional Groundwater</t>
  </si>
  <si>
    <t>Los Angeles Aqueduct</t>
  </si>
  <si>
    <t>From San Fernando Basin, Sylmar, and Central Basin</t>
  </si>
  <si>
    <t>LADWP Considers Conservation a Supply</t>
  </si>
  <si>
    <t>Includes recycled water use at Pepperdine University &amp; Civic Center Area</t>
  </si>
  <si>
    <t>West Basin</t>
  </si>
  <si>
    <t>New Supply, from AVEK</t>
  </si>
  <si>
    <t>San Joaquin Valley, Delta Mendota Subbasin</t>
  </si>
  <si>
    <t>Sonoma County Water Agency (b)</t>
  </si>
  <si>
    <t>SVGB-M, Ord Community</t>
  </si>
  <si>
    <t>6600</t>
  </si>
  <si>
    <t>Seawater-intruded groundwater</t>
  </si>
  <si>
    <t>1500</t>
  </si>
  <si>
    <t>SVGB-M, Central Marina</t>
  </si>
  <si>
    <t>3020</t>
  </si>
  <si>
    <t>SVGB-S Golf Course</t>
  </si>
  <si>
    <t>450</t>
  </si>
  <si>
    <t>SVGB-M, Armstrong Ranch</t>
  </si>
  <si>
    <t>SVGB-M, CEMEX</t>
  </si>
  <si>
    <t>500</t>
  </si>
  <si>
    <t>M1W - AWPF</t>
  </si>
  <si>
    <t>600</t>
  </si>
  <si>
    <t>1427</t>
  </si>
  <si>
    <t>Purchased raw treated at City WTP</t>
  </si>
  <si>
    <t>Sharon Heights Recycled Water Facility</t>
  </si>
  <si>
    <t>SFPUC RWS</t>
  </si>
  <si>
    <t>Bayfront Recycled Water Facility</t>
  </si>
  <si>
    <t>Merced Subbasin</t>
  </si>
  <si>
    <t>MID for SWTP</t>
  </si>
  <si>
    <t>MID for irrigation</t>
  </si>
  <si>
    <t>"RWS Supply Used by Wholesale Customers (MG) is equivalent to purchase request projections provided to SFPUC by BAWSCA on January 21, 2021." Source: SFPUC, March 30, 2021.</t>
  </si>
  <si>
    <t>4357.820747</t>
  </si>
  <si>
    <t>SFPUC Purchases</t>
  </si>
  <si>
    <t>Active Conservation</t>
  </si>
  <si>
    <t>South Bay Water Recycling</t>
  </si>
  <si>
    <t>All Subbasins</t>
  </si>
  <si>
    <t>51500</t>
  </si>
  <si>
    <t>Purchases from MID</t>
  </si>
  <si>
    <t>Water Facilities Authority (Non-Potable)</t>
  </si>
  <si>
    <t>Water Facilities Authority (Potable)</t>
  </si>
  <si>
    <t>1829</t>
  </si>
  <si>
    <t>State Water Project / CCWA</t>
  </si>
  <si>
    <t>Doulton Tunnel Infiltration</t>
  </si>
  <si>
    <t>Jameson Lake</t>
  </si>
  <si>
    <t>Fox and Alder Creek Diversion</t>
  </si>
  <si>
    <t>Lake Cachuma (Cachuma Project)</t>
  </si>
  <si>
    <t>Santa Barbara WSA</t>
  </si>
  <si>
    <t>Supply from Storage (Semitropic Bank)</t>
  </si>
  <si>
    <t>Recyceld Water</t>
  </si>
  <si>
    <t>Gilroy-Hollister Valley - Llagas Area</t>
  </si>
  <si>
    <t>Santa Clara Valley - Santa Clara - Coyote Valley</t>
  </si>
  <si>
    <t>Treated brackish groundwater at RO Plant</t>
  </si>
  <si>
    <t>State Water Project Water</t>
  </si>
  <si>
    <t>Palo Alto Regional Water Quality Control Plant</t>
  </si>
  <si>
    <t>Santa Clara Valley Basin</t>
  </si>
  <si>
    <t>Napa Sanitation District</t>
  </si>
  <si>
    <t>Milliken Reservoir</t>
  </si>
  <si>
    <t>Lake Hennessey</t>
  </si>
  <si>
    <t>PG&amp;E contract water</t>
  </si>
  <si>
    <t>Watershed Runoff</t>
  </si>
  <si>
    <t>Non-potable</t>
  </si>
  <si>
    <t>616.84645785</t>
  </si>
  <si>
    <t>10968.2051759</t>
  </si>
  <si>
    <t>CCWRP</t>
  </si>
  <si>
    <t>Stafford Lake (c)</t>
  </si>
  <si>
    <t>Park Well</t>
  </si>
  <si>
    <t>Dollar Cove</t>
  </si>
  <si>
    <t>National Avenue Water Treatment Plant</t>
  </si>
  <si>
    <t>Carnelian Well</t>
  </si>
  <si>
    <t>City of Santa Fe Springs</t>
  </si>
  <si>
    <t>City of Cerritos</t>
  </si>
  <si>
    <t>Indirect Potable Reuse Water</t>
  </si>
  <si>
    <t>Non-Potable from SLRWRF</t>
  </si>
  <si>
    <t>Mission Basin</t>
  </si>
  <si>
    <t>10000</t>
  </si>
  <si>
    <t>South Yuba Subbasin</t>
  </si>
  <si>
    <t>Table 6-4</t>
  </si>
  <si>
    <t>Serrano WD</t>
  </si>
  <si>
    <t>Surface water purchased from San Juan Water District</t>
  </si>
  <si>
    <t>Joint Facilities</t>
  </si>
  <si>
    <t>Otay Mesa Lot 7 GW Well (Conceptual)</t>
  </si>
  <si>
    <t>North District Recycled System (Conceptual)</t>
  </si>
  <si>
    <t>Rosarito Desalination Plant (Conceptual)</t>
  </si>
  <si>
    <t>Middle Sweetwater Basin GW Well (Conceptual)</t>
  </si>
  <si>
    <t>From City of San Diego Otay WTP (Back up supply)</t>
  </si>
  <si>
    <t>Rancho del Rey GW Well (Planned)</t>
  </si>
  <si>
    <t>From San Diego County Water Authority</t>
  </si>
  <si>
    <t>Calleguas - Wheeled to PHWA</t>
  </si>
  <si>
    <t>Calleguas</t>
  </si>
  <si>
    <t>United Groundwater</t>
  </si>
  <si>
    <t>City Groundwater</t>
  </si>
  <si>
    <t>Recycled Water from AWPF</t>
  </si>
  <si>
    <t>ASR Recovered</t>
  </si>
  <si>
    <t>Recycled Water Pumpback Allocation</t>
  </si>
  <si>
    <t>Groundwater Allocation Used</t>
  </si>
  <si>
    <t>In-District</t>
  </si>
  <si>
    <t>Potable Reuse - East County AWP</t>
  </si>
  <si>
    <t>Butte Transfer Agreement</t>
  </si>
  <si>
    <t>LACSD</t>
  </si>
  <si>
    <t>Groundwater or Surface Water Augmentation</t>
  </si>
  <si>
    <t>Return Flow Credit</t>
  </si>
  <si>
    <t>Antelope Valley Basin</t>
  </si>
  <si>
    <t>SWP table A</t>
  </si>
  <si>
    <t>Littlerock Reservoir</t>
  </si>
  <si>
    <t>SFPUC Regional Water System</t>
  </si>
  <si>
    <t>Recycled water from Regional Water Quality Control Plant</t>
  </si>
  <si>
    <t>Water Right Permit 160403</t>
  </si>
  <si>
    <t>8800</t>
  </si>
  <si>
    <t>Adjudicated Water Use No. 8459</t>
  </si>
  <si>
    <t>3330</t>
  </si>
  <si>
    <t>D Tank Well</t>
  </si>
  <si>
    <t>350</t>
  </si>
  <si>
    <t>Water Right Permit 2712</t>
  </si>
  <si>
    <t>9500</t>
  </si>
  <si>
    <t>CBMWD Century System</t>
  </si>
  <si>
    <t>Paso Robles Area Subbasin of the Salinas Valley Groundwater Basin (3-004.06)</t>
  </si>
  <si>
    <t>61100</t>
  </si>
  <si>
    <t>Salinas River water through river wells</t>
  </si>
  <si>
    <t>4600</t>
  </si>
  <si>
    <t>Nacimiento Water</t>
  </si>
  <si>
    <t>6488</t>
  </si>
  <si>
    <t>Potable Offset</t>
  </si>
  <si>
    <t>Wells and water storage facilities</t>
  </si>
  <si>
    <t>12000</t>
  </si>
  <si>
    <t>13400</t>
  </si>
  <si>
    <t>Antelope Valley Adjudication Area</t>
  </si>
  <si>
    <t>Mojave River Basin</t>
  </si>
  <si>
    <t>For Irrigation</t>
  </si>
  <si>
    <t>APA from CBMWD</t>
  </si>
  <si>
    <t>State Water</t>
  </si>
  <si>
    <t>1140</t>
  </si>
  <si>
    <t>700</t>
  </si>
  <si>
    <t>Lopez Lake</t>
  </si>
  <si>
    <t>892</t>
  </si>
  <si>
    <t>IPR via groundwater recharge</t>
  </si>
  <si>
    <t>From City of Lincoln/Roseville</t>
  </si>
  <si>
    <t>MFP</t>
  </si>
  <si>
    <t>PG&amp;E Agreement</t>
  </si>
  <si>
    <t>Pre 1914 Appropriations</t>
  </si>
  <si>
    <t>CVP Contract</t>
  </si>
  <si>
    <t>DSRSD RWTF and City of Livermore WRP</t>
  </si>
  <si>
    <t>Pomona Water Reclamation Plant</t>
  </si>
  <si>
    <t>Spadra Basin</t>
  </si>
  <si>
    <t>San Antonio Creek</t>
  </si>
  <si>
    <t>From CMWD</t>
  </si>
  <si>
    <t>Purchased Recycled Water from the City of San Diego</t>
  </si>
  <si>
    <t>Purchased raw water from SDCWA</t>
  </si>
  <si>
    <t>Antelope Valley Groundwater Basin</t>
  </si>
  <si>
    <t>CWA</t>
  </si>
  <si>
    <t>Poway</t>
  </si>
  <si>
    <t>IPR</t>
  </si>
  <si>
    <t>ACID</t>
  </si>
  <si>
    <t>USBR</t>
  </si>
  <si>
    <t>Yucaipa</t>
  </si>
  <si>
    <t>San Bernardino Basin (Bunker Hill) Recycled Water Recharge</t>
  </si>
  <si>
    <t>Santa Ana River (Part of San Bernardino Basin)</t>
  </si>
  <si>
    <t>Mill Creek (Part of San Bernardino Basin)</t>
  </si>
  <si>
    <t>Recycled Water - Direct</t>
  </si>
  <si>
    <t>SFPUC wholesale water</t>
  </si>
  <si>
    <t>12243</t>
  </si>
  <si>
    <t>3238</t>
  </si>
  <si>
    <t>Rialto WWTP</t>
  </si>
  <si>
    <t>Lytle Creek</t>
  </si>
  <si>
    <t>Riverside-Arlington</t>
  </si>
  <si>
    <t>San Bernardino Basin (Lytle)</t>
  </si>
  <si>
    <t>San Bernardino Basin (Bunker Hill - Baseline Feeder)</t>
  </si>
  <si>
    <t>City of Escondido - HARRF</t>
  </si>
  <si>
    <t>3180</t>
  </si>
  <si>
    <t>District - new development</t>
  </si>
  <si>
    <t>180</t>
  </si>
  <si>
    <t>District - Harmony Grove WRP</t>
  </si>
  <si>
    <t>220</t>
  </si>
  <si>
    <t>SDCWA Treated</t>
  </si>
  <si>
    <t>8276</t>
  </si>
  <si>
    <t>9535</t>
  </si>
  <si>
    <t>9805</t>
  </si>
  <si>
    <t>10174</t>
  </si>
  <si>
    <t>10651</t>
  </si>
  <si>
    <t>3052</t>
  </si>
  <si>
    <t>3358</t>
  </si>
  <si>
    <t>3694</t>
  </si>
  <si>
    <t>4064</t>
  </si>
  <si>
    <t>4120</t>
  </si>
  <si>
    <t>62</t>
  </si>
  <si>
    <t>142</t>
  </si>
  <si>
    <t>236</t>
  </si>
  <si>
    <t>330</t>
  </si>
  <si>
    <t>424</t>
  </si>
  <si>
    <t>from RWQCP</t>
  </si>
  <si>
    <t>from WMWD</t>
  </si>
  <si>
    <t>Columbia, Etc. Stormwater</t>
  </si>
  <si>
    <t>Box Springs</t>
  </si>
  <si>
    <t>Riverside South</t>
  </si>
  <si>
    <t>RNASR</t>
  </si>
  <si>
    <t>Riverside North</t>
  </si>
  <si>
    <t>BH Active Recharge 2025</t>
  </si>
  <si>
    <t>Seven Oaks Enhanced Phase II</t>
  </si>
  <si>
    <t>Riverside Arlington (North)</t>
  </si>
  <si>
    <t>Santa Rosa Plain Basin</t>
  </si>
  <si>
    <t>2577</t>
  </si>
  <si>
    <t>Santa Rosa Water</t>
  </si>
  <si>
    <t>1350</t>
  </si>
  <si>
    <t>Sonoma Water</t>
  </si>
  <si>
    <t>7500</t>
  </si>
  <si>
    <t>PCWA - Middle Fork Project Supply</t>
  </si>
  <si>
    <t>30000</t>
  </si>
  <si>
    <t>USBR - CVP Contract Supply</t>
  </si>
  <si>
    <t>32000</t>
  </si>
  <si>
    <t>SJWD</t>
  </si>
  <si>
    <t>PCWA - Potential Future Purchase (OPHIR WTP)</t>
  </si>
  <si>
    <t>3360</t>
  </si>
  <si>
    <t>7920</t>
  </si>
  <si>
    <t>12570</t>
  </si>
  <si>
    <t>14430</t>
  </si>
  <si>
    <t>South Placer Wastewater Authority</t>
  </si>
  <si>
    <t>4022</t>
  </si>
  <si>
    <t>4435</t>
  </si>
  <si>
    <t>4933</t>
  </si>
  <si>
    <t>Puente Basin</t>
  </si>
  <si>
    <t>San Jose Creek Water Reclamation Plant</t>
  </si>
  <si>
    <t>RPU Connection for potable use.</t>
  </si>
  <si>
    <t>Riverside South Basin (No. 8-02.03) New Well Field #3</t>
  </si>
  <si>
    <t>Riverside South Basin (No. 8-02.03) New Well Field #2</t>
  </si>
  <si>
    <t>Riverside South Basin (No. 8-02.03) New Well Field #1</t>
  </si>
  <si>
    <t>Riverside South Basin (No. 8-02.03) for potable use.</t>
  </si>
  <si>
    <t>Riverside South Basin (No. 8-02.03) for non-potable use.</t>
  </si>
  <si>
    <t>MWD via FMWD</t>
  </si>
  <si>
    <t>Rubio Canyon</t>
  </si>
  <si>
    <t>APCWD</t>
  </si>
  <si>
    <t>SRWWTP</t>
  </si>
  <si>
    <t>City-owned wells</t>
  </si>
  <si>
    <t>41400</t>
  </si>
  <si>
    <t>Sacramento River</t>
  </si>
  <si>
    <t>81800</t>
  </si>
  <si>
    <t>American River</t>
  </si>
  <si>
    <t>228000</t>
  </si>
  <si>
    <t>245000</t>
  </si>
  <si>
    <t>North American Basin</t>
  </si>
  <si>
    <t>Solano Basin</t>
  </si>
  <si>
    <t>South American Basin</t>
  </si>
  <si>
    <t>Combined Surafe Supplies</t>
  </si>
  <si>
    <t>3921</t>
  </si>
  <si>
    <t>29000</t>
  </si>
  <si>
    <t>City of Sacramento</t>
  </si>
  <si>
    <t>26064</t>
  </si>
  <si>
    <t>Sacramento Valley Groundwater Basin, North American Subbasin (5-21.64)</t>
  </si>
  <si>
    <t>35000</t>
  </si>
  <si>
    <t>City of Sacramento (groundwater substitution transfer)</t>
  </si>
  <si>
    <t>City owned and operated wells</t>
  </si>
  <si>
    <t>NCCWD</t>
  </si>
  <si>
    <t>Mound Basin</t>
  </si>
  <si>
    <t>Santa Paula Basin</t>
  </si>
  <si>
    <t>VenturaWaterPure</t>
  </si>
  <si>
    <t>Ventura River</t>
  </si>
  <si>
    <t>Oxnard Plain Basin</t>
  </si>
  <si>
    <t>City of San Clemente Wells from within Service Area</t>
  </si>
  <si>
    <t>TCWD / Baker WTP</t>
  </si>
  <si>
    <t>San Clemente WRP</t>
  </si>
  <si>
    <t>Includes both raw water and drinking water</t>
  </si>
  <si>
    <t>100</t>
  </si>
  <si>
    <t>22415</t>
  </si>
  <si>
    <t>13773</t>
  </si>
  <si>
    <t>Pure Water Phase 1</t>
  </si>
  <si>
    <t>16800</t>
  </si>
  <si>
    <t>33600</t>
  </si>
  <si>
    <t>Pure Water Phase 2</t>
  </si>
  <si>
    <t>59360</t>
  </si>
  <si>
    <t>From SDCWA (includes both raw water and drinking water)</t>
  </si>
  <si>
    <t>137069</t>
  </si>
  <si>
    <t>127902</t>
  </si>
  <si>
    <t>75108</t>
  </si>
  <si>
    <t>81510</t>
  </si>
  <si>
    <t>85948</t>
  </si>
  <si>
    <t>Purchased from SEJPA</t>
  </si>
  <si>
    <t>Lake Hodges</t>
  </si>
  <si>
    <t>Purchased from SDCWA</t>
  </si>
  <si>
    <t>Sylmar Basin</t>
  </si>
  <si>
    <t>See Table 6-4R for recycled water supplies</t>
  </si>
  <si>
    <t>IEUA</t>
  </si>
  <si>
    <t>Lytle Basin</t>
  </si>
  <si>
    <t>Rialto Basin (Including No Man's Land)</t>
  </si>
  <si>
    <t>SBVMWD</t>
  </si>
  <si>
    <t>Potable Water - Valley Water and SFPUC</t>
  </si>
  <si>
    <t>SBWR</t>
  </si>
  <si>
    <t>Total Retail Supply</t>
  </si>
  <si>
    <t>Nacimiento Reservoir</t>
  </si>
  <si>
    <t>Salinas Reservoir and Whale Rock Reservoir (Safe Annual Yield less 500 AF siltation)</t>
  </si>
  <si>
    <t>City of San Luis Obispo Water Resource Recovery Facility</t>
  </si>
  <si>
    <t>10980.4807273</t>
  </si>
  <si>
    <t>954.42412135</t>
  </si>
  <si>
    <t>Storage Unit #1 and Foothill Basin</t>
  </si>
  <si>
    <t>SWP Table A Allocation</t>
  </si>
  <si>
    <t>Mission Tunnel Infiltration</t>
  </si>
  <si>
    <t>Gibraltar Reservoir / Devil's Canyon</t>
  </si>
  <si>
    <t>Charles E. Meyer Ocean Desalination Facility</t>
  </si>
  <si>
    <t>Annual transfer from Montecito Water District per Juncal Agreement</t>
  </si>
  <si>
    <t>Storage Unit #3 (augment recycled water system)</t>
  </si>
  <si>
    <t>Wells</t>
  </si>
  <si>
    <t>Yuba Accord Water</t>
  </si>
  <si>
    <t>Alluvial Aquifer</t>
  </si>
  <si>
    <t>Saugus Formation</t>
  </si>
  <si>
    <t>Existing</t>
  </si>
  <si>
    <t>Buena Vista-Rosedale</t>
  </si>
  <si>
    <t>Nickel Water - Newhall Land</t>
  </si>
  <si>
    <t>Alluvial Aquifer - Planned</t>
  </si>
  <si>
    <t>Saugus Formation - Planned</t>
  </si>
  <si>
    <t>Planned recycled supplies</t>
  </si>
  <si>
    <t>North Coast</t>
  </si>
  <si>
    <t>Produced by City of Scotts Valley/ Pasatiempo Golf Course</t>
  </si>
  <si>
    <t>Beltz Well System</t>
  </si>
  <si>
    <t>San Lorenzo River</t>
  </si>
  <si>
    <t>Loch Lomond</t>
  </si>
  <si>
    <t>San Diego County Water Authority (Treated and Untreated)</t>
  </si>
  <si>
    <t>Recycled water from SEJPA and/or LWWD</t>
  </si>
  <si>
    <t>Lake Hodges treated at Badger Plant</t>
  </si>
  <si>
    <t>Water Quality Protection Plan</t>
  </si>
  <si>
    <t>MWD (DW)</t>
  </si>
  <si>
    <t>Baker WTP (DW)</t>
  </si>
  <si>
    <t>Ranch WFP (GW, DW)</t>
  </si>
  <si>
    <t>Ranch WFP (IPR, DW)</t>
  </si>
  <si>
    <t>Other (DW)</t>
  </si>
  <si>
    <t>Doheny Ocean Desal (DW)</t>
  </si>
  <si>
    <t>T22 Produced water for Direct Users less IPR (RW)</t>
  </si>
  <si>
    <t>Supplemental Non-Domestic Water (RW)</t>
  </si>
  <si>
    <t>Oceanus Ocean Desal (DW)</t>
  </si>
  <si>
    <t>Appropriative and prescriptive rights</t>
  </si>
  <si>
    <t>5100</t>
  </si>
  <si>
    <t>Twitchell yield</t>
  </si>
  <si>
    <t>14300</t>
  </si>
  <si>
    <t>Return flows from State water Project water</t>
  </si>
  <si>
    <t>6759</t>
  </si>
  <si>
    <t>6698</t>
  </si>
  <si>
    <t>6638</t>
  </si>
  <si>
    <t>6577</t>
  </si>
  <si>
    <t>6516</t>
  </si>
  <si>
    <t>16200</t>
  </si>
  <si>
    <t>SM-1</t>
  </si>
  <si>
    <t>SMURRF</t>
  </si>
  <si>
    <t>Arcadia, Charnock, Olympic</t>
  </si>
  <si>
    <t>Santa Paula Creek/Farmers Irrigation Company (Groundwater Pumping Credits)</t>
  </si>
  <si>
    <t>Groundwater Allocation Purchase</t>
  </si>
  <si>
    <t>Groundwater Allocation Transfer</t>
  </si>
  <si>
    <t>29100</t>
  </si>
  <si>
    <t>Santa Margarita Groundwater Basin</t>
  </si>
  <si>
    <t>Scotts Valley Water Reclamation Facility</t>
  </si>
  <si>
    <t>Santiago Reservoir</t>
  </si>
  <si>
    <t>OC Groundwater Basin</t>
  </si>
  <si>
    <t>MWDOC/MWD</t>
  </si>
  <si>
    <t>From Subbasin</t>
  </si>
  <si>
    <t>13871.373082</t>
  </si>
  <si>
    <t>CCSD</t>
  </si>
  <si>
    <t>4480</t>
  </si>
  <si>
    <t>2000</t>
  </si>
  <si>
    <t>McConnell Foundation</t>
  </si>
  <si>
    <t>West Tunnel</t>
  </si>
  <si>
    <t>Central Basin Municipal Water District CENB-19</t>
  </si>
  <si>
    <t>Long Beach Water Department (LBWD)</t>
  </si>
  <si>
    <t>Central Basin Aquifer</t>
  </si>
  <si>
    <t>2022</t>
  </si>
  <si>
    <t>SCWA Purchases</t>
  </si>
  <si>
    <t>Local Production</t>
  </si>
  <si>
    <t>Sonoma Valley County Sanitation District</t>
  </si>
  <si>
    <t>San Juan Basin Groundwater treated at GRF</t>
  </si>
  <si>
    <t>From CBMWD</t>
  </si>
  <si>
    <t>Yucaipa Sub-basin</t>
  </si>
  <si>
    <t>San Timoteo Sub-basin</t>
  </si>
  <si>
    <t>Metropolitan Water District</t>
  </si>
  <si>
    <t>City of Pasadena</t>
  </si>
  <si>
    <t>20169</t>
  </si>
  <si>
    <t>SEWD</t>
  </si>
  <si>
    <t>WID</t>
  </si>
  <si>
    <t>San Joaquin River Diversion</t>
  </si>
  <si>
    <t>San Jose Hills Region - Recycled Water</t>
  </si>
  <si>
    <t>San Jose Hills Region - All Imports</t>
  </si>
  <si>
    <t>San Jose Hills Region - Main San Gabriel Basin</t>
  </si>
  <si>
    <t>Whittier/La Mirada Region - Central Basin</t>
  </si>
  <si>
    <t>Whittier/La Mirada Region - Main San Gabriel Basin</t>
  </si>
  <si>
    <t>Whittier/La Mirada Region - All Imports</t>
  </si>
  <si>
    <t>Whittier/La MiradaÂ Service Area</t>
  </si>
  <si>
    <t>Reynolds Desalination Facility</t>
  </si>
  <si>
    <t>National City Wells (1)</t>
  </si>
  <si>
    <t>Sweetwater Reservoir (treated at Perdue Plant) (2)</t>
  </si>
  <si>
    <t>Water Right License</t>
  </si>
  <si>
    <t>1137</t>
  </si>
  <si>
    <t>Silver Street Well (Madden Creek)</t>
  </si>
  <si>
    <t>Rubicon Well #3 (Rubicon)</t>
  </si>
  <si>
    <t>Crystal Way Well (McKinney-Quail)</t>
  </si>
  <si>
    <t>Timberland Well (Timberland)</t>
  </si>
  <si>
    <t>Riley Springs (Alpine Peaks)</t>
  </si>
  <si>
    <t>Rubicon Well #2 (Rubicon)</t>
  </si>
  <si>
    <t>Rubicon Well #1 (Rubicon)</t>
  </si>
  <si>
    <t>Tahoe Tavern Well (Tahoe City)</t>
  </si>
  <si>
    <t>Tahoe City Well #4 (Tahoe City)</t>
  </si>
  <si>
    <t>Elm Steet Well (Tahoe Cedars)</t>
  </si>
  <si>
    <t>Olympic Valley Public Service District</t>
  </si>
  <si>
    <t>Highland Wells (Tahoe City)</t>
  </si>
  <si>
    <t>Tahoe City Well #2 (Tahoe City)</t>
  </si>
  <si>
    <t>Tahoe City Well #3 (Tahoe City)</t>
  </si>
  <si>
    <t>Chambers Landing Intake (McKinney-Quail)</t>
  </si>
  <si>
    <t>West Lake Tahoe Regional Water Treatment Plant (McKinney-Quail)</t>
  </si>
  <si>
    <t>Western</t>
  </si>
  <si>
    <t>0.00459136818098</t>
  </si>
  <si>
    <t>0.00918273636196</t>
  </si>
  <si>
    <t>0.01377410454294</t>
  </si>
  <si>
    <t>0.01836547272392</t>
  </si>
  <si>
    <t>0.37878787493085</t>
  </si>
  <si>
    <t>Potential supply from Los Robles Desalter</t>
  </si>
  <si>
    <t>MWDOC (Treated)*</t>
  </si>
  <si>
    <t>MWDOC (Untreated) conveyed through SAC line**</t>
  </si>
  <si>
    <t>BBID Pre-1914 (to meet Tracy Hills demand)</t>
  </si>
  <si>
    <t>CVP Surface Water (BCID and WSID USBR Assignments)</t>
  </si>
  <si>
    <t>SCWSP (SSJID)</t>
  </si>
  <si>
    <t>Recycled Water Distribution Network and Exchange (b)</t>
  </si>
  <si>
    <t>CVP Surface Water (Tracy USBR Contract)</t>
  </si>
  <si>
    <t>Tracy Subbasin of the San Joaquin Valley Groundwater Basin (DWR 5-022.15)</t>
  </si>
  <si>
    <t>Martis Valley Groundwater Basin</t>
  </si>
  <si>
    <t>21997.7881088</t>
  </si>
  <si>
    <t>Domestic and Industrial WWTP</t>
  </si>
  <si>
    <t>Kaweah Subbasin</t>
  </si>
  <si>
    <t>PG&amp;E Contract, Drinking Water</t>
  </si>
  <si>
    <t>20100</t>
  </si>
  <si>
    <t>1465</t>
  </si>
  <si>
    <t>MWDOC / EOCWD</t>
  </si>
  <si>
    <t>Mesquite Lake and Joshua Tree Basins</t>
  </si>
  <si>
    <t>Ukiah Valley Groundwater Basin</t>
  </si>
  <si>
    <t>4677</t>
  </si>
  <si>
    <t>1400</t>
  </si>
  <si>
    <t>Russian River (Pre-1914 Right)</t>
  </si>
  <si>
    <t>2027</t>
  </si>
  <si>
    <t>Russian River (Permit 12952)</t>
  </si>
  <si>
    <t>14480</t>
  </si>
  <si>
    <t>SAWCo</t>
  </si>
  <si>
    <t>Water Facility Authority</t>
  </si>
  <si>
    <t>Landscape irrigation</t>
  </si>
  <si>
    <t>SAWCo groundwater</t>
  </si>
  <si>
    <t>7300</t>
  </si>
  <si>
    <t>7700</t>
  </si>
  <si>
    <t>8100</t>
  </si>
  <si>
    <t>Solano Project</t>
  </si>
  <si>
    <t>11375</t>
  </si>
  <si>
    <t>12875</t>
  </si>
  <si>
    <t>14375</t>
  </si>
  <si>
    <t>15800</t>
  </si>
  <si>
    <t>8978</t>
  </si>
  <si>
    <t>9320</t>
  </si>
  <si>
    <t>City EWWTP</t>
  </si>
  <si>
    <t>2830</t>
  </si>
  <si>
    <t>As a local water supply owned by VWD through a Water Purchase Agreement with SDCWA</t>
  </si>
  <si>
    <t>From the Meadowlark Water Recycling Facility and/or City of Escondido</t>
  </si>
  <si>
    <t>Solano Storage</t>
  </si>
  <si>
    <t>Tolinas</t>
  </si>
  <si>
    <t>Table A carryover</t>
  </si>
  <si>
    <t>License 7848</t>
  </si>
  <si>
    <t>License 5728</t>
  </si>
  <si>
    <t>Water Authority</t>
  </si>
  <si>
    <t>Woods Valley Ranch WRF</t>
  </si>
  <si>
    <t>CIC</t>
  </si>
  <si>
    <t>Moorpark Desalter Project</t>
  </si>
  <si>
    <t>Purchased from CMWD</t>
  </si>
  <si>
    <t>East Las Posas Basin</t>
  </si>
  <si>
    <t>MWRF</t>
  </si>
  <si>
    <t>Mojave Basin</t>
  </si>
  <si>
    <t>Reclamation</t>
  </si>
  <si>
    <t>TVMWD/MWD</t>
  </si>
  <si>
    <t>Permit 18150</t>
  </si>
  <si>
    <t>NDWA</t>
  </si>
  <si>
    <t>San Bernardino Basin (Bunker Hill) (via Baseline Feeder)</t>
  </si>
  <si>
    <t>Chino</t>
  </si>
  <si>
    <t>State Water Project - Direct Delivery</t>
  </si>
  <si>
    <t>WRCWRA</t>
  </si>
  <si>
    <t>Riverside-Arlington Basin Groundwater</t>
  </si>
  <si>
    <t>Metropolitan - Non-Potable</t>
  </si>
  <si>
    <t>WWRF</t>
  </si>
  <si>
    <t>Temecula Valley</t>
  </si>
  <si>
    <t>Leased Meeks and Daley</t>
  </si>
  <si>
    <t>Western Owned Meeks and Daley</t>
  </si>
  <si>
    <t>RPU Surplus</t>
  </si>
  <si>
    <t>Eastern North Perris Agreement</t>
  </si>
  <si>
    <t>Chino Desalter</t>
  </si>
  <si>
    <t>Surface water purchased from Water Agency (a)(c)</t>
  </si>
  <si>
    <t>900</t>
  </si>
  <si>
    <t>Russian River Well Field (a) (b)</t>
  </si>
  <si>
    <t>4725</t>
  </si>
  <si>
    <t>1594</t>
  </si>
  <si>
    <t>1612</t>
  </si>
  <si>
    <t>1811</t>
  </si>
  <si>
    <t>2370</t>
  </si>
  <si>
    <t>Off-river wells: Esposti Irrigation (Raw), Esposti Potable, North Windsor 3 offriver wells (d)</t>
  </si>
  <si>
    <t>1700</t>
  </si>
  <si>
    <t>ASR Well Water</t>
  </si>
  <si>
    <t>City's share of RWTF capacity</t>
  </si>
  <si>
    <t>Greenhorn Creek</t>
  </si>
  <si>
    <t>Fall Creek</t>
  </si>
  <si>
    <t>6300</t>
  </si>
  <si>
    <t>Yreka Creek Underflow</t>
  </si>
  <si>
    <t>1214</t>
  </si>
  <si>
    <t>Yucaipa Basin; 8-002.07</t>
  </si>
  <si>
    <t>Upper Santa Ana Valley; 8-002.06; Bunker Hill, San Bernardino Basin</t>
  </si>
  <si>
    <t>San Timoteo Basin; 8-002.08</t>
  </si>
  <si>
    <t>Beaumont Adjudicated Basin</t>
  </si>
  <si>
    <t>Oak Creek/Birch Creek/Well 25 (Groundwater under the influence of surface water)</t>
  </si>
  <si>
    <t>SBVMWD to Yucaipa Basin groundwater recharge</t>
  </si>
  <si>
    <t>SBVMWD to YVRWFF</t>
  </si>
  <si>
    <t>SGPWA</t>
  </si>
  <si>
    <t>WRWRF</t>
  </si>
  <si>
    <t>Table 6-9 Wholesale: Water Supplies - Projected</t>
  </si>
  <si>
    <t>Sites Reservoir (See Note F)</t>
  </si>
  <si>
    <t>BARDP or Potable Reuse (See Note E)</t>
  </si>
  <si>
    <t>SWP/Other Transfer (See Note D)</t>
  </si>
  <si>
    <t>Cawelo (used mainly in dry years)</t>
  </si>
  <si>
    <t>Semitropic (used mainly in dry years)</t>
  </si>
  <si>
    <t>Arroyo Valle (See Note C)</t>
  </si>
  <si>
    <t>SWP Table A (See Note A)</t>
  </si>
  <si>
    <t>Yuba Accord (available mainly in dry years)</t>
  </si>
  <si>
    <t>SWP Carryover (See Note B)</t>
  </si>
  <si>
    <t>Production Rights</t>
  </si>
  <si>
    <t>Imported Water Return Flows</t>
  </si>
  <si>
    <t>Non-SWP Water</t>
  </si>
  <si>
    <t>SWP Table A</t>
  </si>
  <si>
    <t>Kern River Supply</t>
  </si>
  <si>
    <t>Calleguas Storage (Outage Supplies) â€¡</t>
  </si>
  <si>
    <t>Imported from Metropolitan*</t>
  </si>
  <si>
    <t>Projected purchases by VCWWD No. 8â€ </t>
  </si>
  <si>
    <t>GW Recharge /Montebello Forebay</t>
  </si>
  <si>
    <t>Municipal, Industrial, and Agricultural Use</t>
  </si>
  <si>
    <t>Los Vaqueros Reservoir</t>
  </si>
  <si>
    <t>Industrial River Diversions</t>
  </si>
  <si>
    <t>Antioch River Diversions</t>
  </si>
  <si>
    <t>Mallard Slough</t>
  </si>
  <si>
    <t>ECCID Supply</t>
  </si>
  <si>
    <t>Metropolitan Treated / Untreated</t>
  </si>
  <si>
    <t>Soboba Settlement Water</t>
  </si>
  <si>
    <t>from MWD</t>
  </si>
  <si>
    <t>retail source</t>
  </si>
  <si>
    <t>64.44664485</t>
  </si>
  <si>
    <t>Mad River Storage and Diversion</t>
  </si>
  <si>
    <t>84000</t>
  </si>
  <si>
    <t>From MWD</t>
  </si>
  <si>
    <t>Wastewater Plant Flows</t>
  </si>
  <si>
    <t>SWP Supply</t>
  </si>
  <si>
    <t>Banked Water Recovery</t>
  </si>
  <si>
    <t>Tuolumne River</t>
  </si>
  <si>
    <t>Managed Basin Supplies</t>
  </si>
  <si>
    <t>From MET for Groundwater Recharge</t>
  </si>
  <si>
    <t>From MET for Surface Storage</t>
  </si>
  <si>
    <t>From MET for Municipal &amp; Industrial</t>
  </si>
  <si>
    <t>Groundwater From UWCD</t>
  </si>
  <si>
    <t>Oxnard and Pleasant Valley Basins</t>
  </si>
  <si>
    <t>San Antonio Tunnel</t>
  </si>
  <si>
    <t>CVP - Other District M&amp;I Users</t>
  </si>
  <si>
    <t>CVP - System Losses</t>
  </si>
  <si>
    <t>CVP - HUA agencies</t>
  </si>
  <si>
    <t>Sites Reservoir</t>
  </si>
  <si>
    <t>12100</t>
  </si>
  <si>
    <t>State Water Project Table A</t>
  </si>
  <si>
    <t>102600</t>
  </si>
  <si>
    <t>Potable and raw water sales to other agencies</t>
  </si>
  <si>
    <t>12709</t>
  </si>
  <si>
    <t>12758</t>
  </si>
  <si>
    <t>12799</t>
  </si>
  <si>
    <t>12840</t>
  </si>
  <si>
    <t>12868</t>
  </si>
  <si>
    <t>28800</t>
  </si>
  <si>
    <t>Total Water Supplies</t>
  </si>
  <si>
    <t>Total Wholesale Supply</t>
  </si>
  <si>
    <t>Arroyo Grande Creek and Misc. Watersheds/Lopez Reservoir</t>
  </si>
  <si>
    <t>8730</t>
  </si>
  <si>
    <t>SFPUC Supply, Treated water supply</t>
  </si>
  <si>
    <t>Includes supplies in surface storage</t>
  </si>
  <si>
    <t>Local groundwater storage (includes recharged local surface, advanced purified, and imported water supplies)</t>
  </si>
  <si>
    <t>non-potable</t>
  </si>
  <si>
    <t>Imported supplies in San Luis Reservoir and Semitropic Bank</t>
  </si>
  <si>
    <t>75000</t>
  </si>
  <si>
    <t>Pre-1914 water rights</t>
  </si>
  <si>
    <t>300000</t>
  </si>
  <si>
    <t>New Hogan</t>
  </si>
  <si>
    <t>80000</t>
  </si>
  <si>
    <t>Eastern San Joaquin subbasin 5-22.01</t>
  </si>
  <si>
    <t>16130</t>
  </si>
  <si>
    <t>18550</t>
  </si>
  <si>
    <t>20969</t>
  </si>
  <si>
    <t>23389</t>
  </si>
  <si>
    <t>25808</t>
  </si>
  <si>
    <t>USBR-New Melones (a)</t>
  </si>
  <si>
    <t>90000</t>
  </si>
  <si>
    <t>hlh</t>
  </si>
  <si>
    <t>Untreated Imported Water (Raw Water) from Metropolitan for Groundwater Replenishment</t>
  </si>
  <si>
    <t>Treated Imported Water from Metropolitan</t>
  </si>
  <si>
    <t>For Saltwater Barrier Replenishment</t>
  </si>
  <si>
    <t>For Delivery in the West Basin Service Area only</t>
  </si>
  <si>
    <t>From Metropolitan Water District</t>
  </si>
  <si>
    <t>Arlington Desalter</t>
  </si>
  <si>
    <t>Diversion from Sacramento River</t>
  </si>
  <si>
    <r>
      <t xml:space="preserve">System Operations Assumptions Page </t>
    </r>
    <r>
      <rPr>
        <b/>
        <sz val="20"/>
        <color rgb="FFFF0000"/>
        <rFont val="Calibri"/>
        <family val="2"/>
        <scheme val="minor"/>
      </rPr>
      <t>DRAFT</t>
    </r>
  </si>
  <si>
    <t>There are six categories of variables that need to be set on this page including:
1) Excess Project Supply Management
2) Surface Carryover Storage Operations
3) Groundwater Banking Operations
4) Storage Hedging Strategy
5) Storage Operations Costs
6) Supply Delivery Costs
Operational assumptions associated with Contingent Water Management Options (e.g. maximum transfer limits) are input on the Contingent Water Management Options page.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</si>
  <si>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This input data informs the model on where to put excess SWP and/or CVP water when there is more supply than needed to meet demands. There are three options for how contractors can manage excess SWP: 1) put into a carryover reservoir system, 2) put into a groundwater bank,  3) take the excess SWP and reduce local groundwater pumping, or 4) send the excess SWP supply to the Turn Back Pool. If a contractor has both surface carryover and groundwater banking systems, both can be utilized and the model assumes the groundwater banking system is filled first until full, then the surface carryover system is filled. If both storage systems are full, water is sent to the Turn back Pool.</t>
  </si>
  <si>
    <t>Switch for where to put excess water</t>
  </si>
  <si>
    <t>Value</t>
  </si>
  <si>
    <t>As implemented in MCWEST</t>
  </si>
  <si>
    <t>(TODD Groundwater, 2019)</t>
  </si>
  <si>
    <t>Communications with MWD SC (2022)</t>
  </si>
  <si>
    <t>Surface carryover storage operations can involve storage capacities within the region or external to the region. Information entered here include aggregated surface carryover storage operations for each contractor. These include the capacity which can be operated, the initial fill, the annual put capacity, the annual take capacity, and any losses associated with storage operations.</t>
  </si>
  <si>
    <t>System-wide Total:</t>
  </si>
  <si>
    <t>Surface max storage capacity (acre-feet)</t>
  </si>
  <si>
    <t xml:space="preserve">IRP Update 2015 Appendix 4. Includes Lake Mathews (179,000 af), Lake Skinner (44,000), and Diamond Valley (810,000 af) </t>
  </si>
  <si>
    <t>Surface initial storage (acre-feet)</t>
  </si>
  <si>
    <t>WSDM Board Report (June 2021) and communications with MWD SC (2022). Does not include emergency storage in Lake Mathews and Skinner.</t>
  </si>
  <si>
    <t>Surface max put capacity (AFY)</t>
  </si>
  <si>
    <t>Communications with Met (2022). Includes Lake Mathews, Lake Skinner, and Diamond Valley.</t>
  </si>
  <si>
    <t>Surface max take capacity (AFY)</t>
  </si>
  <si>
    <t>Communications with Met (2022).</t>
  </si>
  <si>
    <t>Surface loss (AFY)</t>
  </si>
  <si>
    <t>Communications with Met (2022)</t>
  </si>
  <si>
    <t>Banked groundwater storage operations can involve storage capacities within the region or external to the region. Information entered here include aggregated groundwater bank storage operations for each contractor. These include the capacity which can be operated, the initial fill, the annual put capacity, the annual take capacity, recharge effectiveness, and any losses associated with storage operations. Default initial storage data was collected for dates as close to January 2021 as possible.</t>
  </si>
  <si>
    <t>Groundwater Max Storage Capacity (acre-feet)</t>
  </si>
  <si>
    <t>Semitropic + ASR well</t>
  </si>
  <si>
    <t>Maximum volume reported in Table 4 Water Conditions Report Appendix(KCWA ID4, 2021b)</t>
  </si>
  <si>
    <t>Groundwater banks not simulated dynamically due to lack of information available. Yield from groundwater banks incorporated into base supply assumptions.</t>
  </si>
  <si>
    <t>Semitropic Water Bank Capacity (150 TAF) from http://www.semitropic.com/BankingPartners.htm</t>
  </si>
  <si>
    <t>Semitropic Water Bank Capacity (350 TAF) from http://www.semitropic.com/BankingPartners.htm</t>
  </si>
  <si>
    <t>2020 UWMP Section 6.1.2. Includes Westside and Eastside Water Banks, Upper Amargosa Creek Recharge Project, and High Desert Water Bank</t>
  </si>
  <si>
    <t>Rosedale Rio-Bravo and Semitropic</t>
  </si>
  <si>
    <t>IRP 2015 Update Appendix 3 and communications with Met (2022). Includes Central Valley Storage Programs: Semitropic , Arvin-Edison, Kern Delta Water District, Mojave, Antelope Valley-East Kern Water Agency Exchange and Storage program, and High Desert. Also includes In Region storage Conjunctive Use programs.</t>
  </si>
  <si>
    <t>2020 UWMP Table 3-10. Assumed only Mojave Basin per communications with Mojave Water District (March 23, 2023)</t>
  </si>
  <si>
    <t>2020 UWMP notes recharge basin capacity is not a limiting factor but does not provide actual capacity so assumed a large value that will not constrain puts.</t>
  </si>
  <si>
    <t>2020 UWMP Cyclic Storage account in Main Basin</t>
  </si>
  <si>
    <t>2020 UWMP Section 3.3.12 (SGPWA, 2021)</t>
  </si>
  <si>
    <t>Groundwater Initial Storage Volume (acre-feet)</t>
  </si>
  <si>
    <t>2020 UWMP Section 7.1.2.3</t>
  </si>
  <si>
    <t>2020 UWMP (KCWA ID4, 2021). Data not provided for ID4/Rosedale Joint Use Recovery Project as it was not provided in 2020 UWMP.</t>
  </si>
  <si>
    <t>2020 UWMP  (page 9-6)</t>
  </si>
  <si>
    <t>2020 UWMP Section 6.7.1</t>
  </si>
  <si>
    <t>2020 UWMP Section 6.1.2</t>
  </si>
  <si>
    <t>2020 UWMP Table 3-9. Storage as of September 2020</t>
  </si>
  <si>
    <t>Data not provided in UWMP, assumed 2025 value in Table 5-7</t>
  </si>
  <si>
    <t>2020 UWMP, as of Feb 2016 (SGVMWD, 2021)</t>
  </si>
  <si>
    <t>GSP Annual Report Section 3.5.1</t>
  </si>
  <si>
    <t>Groundwater Max Put Capacity (AFY)</t>
  </si>
  <si>
    <t>Semitropic</t>
  </si>
  <si>
    <t>2020 UWMP (KCWA ID-4 , 2021)</t>
  </si>
  <si>
    <t>CWEST</t>
  </si>
  <si>
    <t>Assumed full capacity amount (semitropic)</t>
  </si>
  <si>
    <t>2020 UWMP Section 6.1.2 (AVEK, 2021)</t>
  </si>
  <si>
    <t>IRP Update 2015, Appendix 3 and communications with Met (2022)</t>
  </si>
  <si>
    <t>Data not obtained, assumed half of capacity</t>
  </si>
  <si>
    <t>Assumed max value presented in Table 5-5 (2020 UWMP)</t>
  </si>
  <si>
    <t>2020 UWMP (San Gorgonio Pass Water Agency, 2021)</t>
  </si>
  <si>
    <t>Groundwater Max Take Capacity (AFY)</t>
  </si>
  <si>
    <t>Semitropic dry year supply projections from Table 7-5 in 2020 UWMP</t>
  </si>
  <si>
    <t>UWMP Table 6-8 (Kern County Water Agency ID4, 2021)</t>
  </si>
  <si>
    <t>2020 UWMP (max shown in supply/demand comparison tables in chapter 9)</t>
  </si>
  <si>
    <t>2020 UWMP Table 8-1 (Santa Clara Valley Water District, 2021) notes annual take limits are based on SWP allocations</t>
  </si>
  <si>
    <t>AVEK Annual Water Resources Report 2017, (AVEK 2017). Assumed same as put capacity for Upper Amargosa.</t>
  </si>
  <si>
    <t>IRP 2015 Table A.3-1 and communications with Met (2022)</t>
  </si>
  <si>
    <t>Assumed values presented in Table 5-7 (2020 UWMP)</t>
  </si>
  <si>
    <t>2020 UWMP Table 3-15 (San Gorgonio Pass Water Agency, 2021)</t>
  </si>
  <si>
    <t>Assumption from CWEST</t>
  </si>
  <si>
    <t xml:space="preserve">Takes from carryover can also be constrained by a hedging function within the model.  This hedging function can be assigned to any or all carryover operations but only on a total capacity basis.
Note for the Storage Hedging Strategy Switch: 
Enter 0 for no hedging stragey on neither surface carryover nor banked groundwater; 1 for hedging only on surface carryover storage; 2 for hedging only on banked groundwater; 3 for hedging on both surface carryover and banked groundwater.
</t>
  </si>
  <si>
    <t>Switch</t>
  </si>
  <si>
    <t>Off</t>
  </si>
  <si>
    <t>Communications with MWD SC (Jan 2022)</t>
  </si>
  <si>
    <t>System-wide Average:</t>
  </si>
  <si>
    <t>Hedging Point (%)</t>
  </si>
  <si>
    <t>Hedge Call/Storage Factor</t>
  </si>
  <si>
    <t>Hedging Storage/Capacity Factor</t>
  </si>
  <si>
    <t>Storage Operations Costs</t>
  </si>
  <si>
    <t>Cost of puts includes the operational costs to place the excess water into storage. Cost of takes includes any operational costs required to pull water from storage, e.g. groundwater pumping. Costs for groundwater banking may vary from base groundwater supply if they are exchanged, or depths to groundwater are different between banking and base supply sources.</t>
  </si>
  <si>
    <t>Groundwater bank put cost ($/acre-feet)</t>
  </si>
  <si>
    <t>Groundwater bank take cost ($/acre-feet)</t>
  </si>
  <si>
    <t>Delivery Costs</t>
  </si>
  <si>
    <t>Variable supply costs accounted for in the model include groundwater supply (for existing groundwater sources, new groundwater supplies related to water management options are detailed on the Long-Term Water Management Options page), SWP and/or CVP delivery costs, treatment, and distribution cost assumptions. 
Groundwater supply costs are input by hydrologic year type, and include a Base Cost assumption, as well as an Incremental Cost assumption, so that the total cost (y) is calculated as: y = mx+b where b = Base Cost and m = Incremental Cost.
The delivery cost for SWP M&amp;I deliveries include the variable OMP&amp;R component plus the Off-Aqueduct charge. The delivery cost of CVP water is the O&amp;M rate.
Water treatment costs are based on the O&amp;M portion of Metropolitan's 2021 Treatment Surcharge, in 2020 dollars. The surcharge is escalated according to average projected increase from 2021 to 2026 in Met's 2021 10-year financial forecast.
Distribution costs are based on the fixed commodity portion (associated with meeting average demands as opposed to peak demand or emergency demand) of the System Access Rate. The cost is escalated to averaged projected increase in the SAR from 2021 to 2030 in Met's 2021 10-year financial forecast.</t>
  </si>
  <si>
    <t>Groundwater Pumping (Single Dry or Better Year Types)</t>
  </si>
  <si>
    <t>Groundwater Pumping (Multi-Dry Year Types)</t>
  </si>
  <si>
    <t>SWP or CVP Delivery Costs ($/acre-foot)</t>
  </si>
  <si>
    <t>California Department of Water Resources (CA DWR). 2019. Management of the California State Water Project Bulletin 132-18. Table B-24.</t>
  </si>
  <si>
    <t>Reclamation (Bureau of Reclamation). 2021. Schedule of M&amp;I Cost of Service Water Rates Per Acre-Foot by Contractor 2022 M&amp;I Water Rates</t>
  </si>
  <si>
    <t>Reclamation (Bureau of Reclamation). 2021. Schedule of M&amp;I Cost of Service Water Rates Per Acre-Foot by Contractor 2022 M&amp;I Water Rates. Sacramento River Facility.</t>
  </si>
  <si>
    <t>Reclamation (Bureau of Reclamation). 2021. Schedule of M&amp;I Cost of Service Water Rates Per Acre-Foot by Contractor 2022 M&amp;I Water Rates. Weighted average of all contractors.</t>
  </si>
  <si>
    <t>California Department of Water Resources (CA DWR). 2019. Management of the California State Water Project Bulletin 132-18. Table B-24. Reclamation (Bureau of Reclamation). 2021. Schedule of M&amp;I Cost of Service Water Rates Per Acre-Foot by Contractor 2022 M&amp;I Water Rates. Weighted average of SWP and CVP costs.</t>
  </si>
  <si>
    <t xml:space="preserve">California Department of Water Resources (CA DWR). 2019. Management of the California State Water Project Bulletin 132-18. Table B-24. Weighted average of Palmdale and Littlerock </t>
  </si>
  <si>
    <t>Cost of M&amp;I potable water treatment ($/acre-foot)</t>
  </si>
  <si>
    <t>Cost of M&amp;I Distribution ($/acre-foot)</t>
  </si>
  <si>
    <t>Wastewater Treatment Cost ($/acre-foot)</t>
  </si>
  <si>
    <t>Fraction of wastewater treated (%)</t>
  </si>
  <si>
    <t>escalated prices ($2022 dollars)</t>
  </si>
  <si>
    <t>(real, $2022)</t>
  </si>
  <si>
    <t>(nominal)</t>
  </si>
  <si>
    <t>nominal year energy price</t>
  </si>
  <si>
    <t>2025 year energy price</t>
  </si>
  <si>
    <t>$/acre-foot</t>
  </si>
  <si>
    <t>Year of Price</t>
  </si>
  <si>
    <t>PGE</t>
  </si>
  <si>
    <t>SCE</t>
  </si>
  <si>
    <t>California Energy Commission. California Energy Demand 2020-2030</t>
  </si>
  <si>
    <t>Average Price increase</t>
  </si>
  <si>
    <t>State average</t>
  </si>
  <si>
    <t>Projected</t>
  </si>
  <si>
    <t>(2022 cents/kWh)</t>
  </si>
  <si>
    <t>2021 IEPR Workshops, Notices and Documents (ca.gov)</t>
  </si>
  <si>
    <t>2021-2030</t>
  </si>
  <si>
    <t>Form 2.3</t>
  </si>
  <si>
    <t>2031-2040</t>
  </si>
  <si>
    <t>Mid-Demand Case</t>
  </si>
  <si>
    <t>2041-2050</t>
  </si>
  <si>
    <t>total</t>
  </si>
  <si>
    <t>(original)</t>
  </si>
  <si>
    <t>(escalated 2022)</t>
  </si>
  <si>
    <t>Industrial  Electricity Prices (2020 cents/kWh)</t>
  </si>
  <si>
    <t>Industrial  Electricity Prices (2022 cents/kWh)</t>
  </si>
  <si>
    <t>(annual rate of increase)</t>
  </si>
  <si>
    <t>SDGE</t>
  </si>
  <si>
    <t>LADWP</t>
  </si>
  <si>
    <t>SMUD</t>
  </si>
  <si>
    <t>average annual (2021-2030)</t>
  </si>
  <si>
    <t>Original Dollars</t>
  </si>
  <si>
    <t>Original Dollar Basis</t>
  </si>
  <si>
    <t>2022 Dollars</t>
  </si>
  <si>
    <t>Put (recharge cost)</t>
  </si>
  <si>
    <t>Take (Extraction cost)</t>
  </si>
  <si>
    <t>Source</t>
  </si>
  <si>
    <t>CH2M. 2017.  Santa Ana River Conservation Conjunctive Use Program (SARCCUP) Decision-Support Model. PA-23 Committee Briefing, January 26, 2017. Accessed 12/5/2022</t>
  </si>
  <si>
    <t>PowerPoint Presentation (sawpa.org)</t>
  </si>
  <si>
    <t>Irvine Ranch Water District. Kellie Welch, Water Resources Manager, personal communication (email) 11/2/2022</t>
  </si>
  <si>
    <t>Maven's Notebook. Metropolitan's Groundwater Banking Programs. Accessed 12/5/2022</t>
  </si>
  <si>
    <t>Metropolitan’s Groundwater Banking Programs – MAVEN'S NOTEBOOK | Water news (mavensnotebook.com)</t>
  </si>
  <si>
    <t>AVERAGE</t>
  </si>
  <si>
    <t>WASTEWATER_TREATMENT_PLANT</t>
  </si>
  <si>
    <t>DISCHARGE_LOCATION_NAME_OR_ID</t>
  </si>
  <si>
    <t>DISCHARGE_LOCATION_DESCRIPTION</t>
  </si>
  <si>
    <t>WASTEWATER_DISCHARGE_ID_NUMBER</t>
  </si>
  <si>
    <t>METHOD_OF_DISPOSAL</t>
  </si>
  <si>
    <t>TREATS_WW_GENERATED_OUT_AREA</t>
  </si>
  <si>
    <t>TREATMENT_LEVEL</t>
  </si>
  <si>
    <t>WASTEWATER_TREATED_VOLUME_AF</t>
  </si>
  <si>
    <t>DISCHARGE_TREATED_WW_VOLUME_AF</t>
  </si>
  <si>
    <t>RECYCLED_WITHIN_AREA_VOLUME_AF</t>
  </si>
  <si>
    <t>RECYCLED_OUTSIDE_AREA_VOLUME_AF</t>
  </si>
  <si>
    <t>INSTREAM_FLOW_PERMIT_REQ</t>
  </si>
  <si>
    <t>Table 6-3 Retail: Wastewater Treatment and Discharge Within Service Area in 2020</t>
  </si>
  <si>
    <t>North end of City, cross streets Jonathan and Auburn</t>
  </si>
  <si>
    <t>6B369805001</t>
  </si>
  <si>
    <t>Percolation ponds</t>
  </si>
  <si>
    <t>Secondary, Undisinfected</t>
  </si>
  <si>
    <t>Alvarado Wastewater Treatment Plant</t>
  </si>
  <si>
    <t>East Bay Dischargers Authority</t>
  </si>
  <si>
    <t>San Francisco Bay</t>
  </si>
  <si>
    <t>Bay or estuary outfall</t>
  </si>
  <si>
    <t>Secondary, Disinfected - 23</t>
  </si>
  <si>
    <t>Surrey Junction</t>
  </si>
  <si>
    <t>Community Leachfield</t>
  </si>
  <si>
    <t>Subsurface infiltration gallery</t>
  </si>
  <si>
    <t>City of Sutter Creek WWTP</t>
  </si>
  <si>
    <t>ARSA System</t>
  </si>
  <si>
    <t>Land Disposal</t>
  </si>
  <si>
    <t>5B030104001</t>
  </si>
  <si>
    <t>Land disposal</t>
  </si>
  <si>
    <t>City of Ione WWTP</t>
  </si>
  <si>
    <t>Percoloation Ponds</t>
  </si>
  <si>
    <t>5SSO10894</t>
  </si>
  <si>
    <t>Tertiary</t>
  </si>
  <si>
    <t>City of Jackson WWTP</t>
  </si>
  <si>
    <t>Jackson Creek</t>
  </si>
  <si>
    <t>Creek</t>
  </si>
  <si>
    <t>5B030103001</t>
  </si>
  <si>
    <t>River or creek outfall</t>
  </si>
  <si>
    <t>Castle Oaks Water Reclamation Facility</t>
  </si>
  <si>
    <t>Castle Oaks Golf Course</t>
  </si>
  <si>
    <t>5B030109001</t>
  </si>
  <si>
    <t>Tanner WTP</t>
  </si>
  <si>
    <t>Ione Canal</t>
  </si>
  <si>
    <t>Raw water canal</t>
  </si>
  <si>
    <t>Ione WTP</t>
  </si>
  <si>
    <t>WWTP</t>
  </si>
  <si>
    <t>Buckhorn WTP</t>
  </si>
  <si>
    <t>Mace Meadows</t>
  </si>
  <si>
    <t>5B03NC00019</t>
  </si>
  <si>
    <t>Wildwood Estates</t>
  </si>
  <si>
    <t>5B03NC0004</t>
  </si>
  <si>
    <t>Viewpoint</t>
  </si>
  <si>
    <t>Tiger Creek Estates</t>
  </si>
  <si>
    <t>Pine Grove</t>
  </si>
  <si>
    <t>5B05NP00005</t>
  </si>
  <si>
    <t>Lake Camanche WWTP</t>
  </si>
  <si>
    <t>Lake Camanche</t>
  </si>
  <si>
    <t>5B031010001</t>
  </si>
  <si>
    <t>Jackson Pines</t>
  </si>
  <si>
    <t>Gayla Manor WWTP</t>
  </si>
  <si>
    <t>Gayla Manor</t>
  </si>
  <si>
    <t>5B031025001</t>
  </si>
  <si>
    <t>5B031026001</t>
  </si>
  <si>
    <t>Fairway Pines</t>
  </si>
  <si>
    <t>Eagles Nest</t>
  </si>
  <si>
    <t>5B030120003</t>
  </si>
  <si>
    <t>City of Plymouth WWTP</t>
  </si>
  <si>
    <t>5-01-095</t>
  </si>
  <si>
    <t>Demonstration Facility</t>
  </si>
  <si>
    <t>OCSD</t>
  </si>
  <si>
    <t>Ocean outfall</t>
  </si>
  <si>
    <t>Delta Diablo</t>
  </si>
  <si>
    <t>New York Slough</t>
  </si>
  <si>
    <t>Sacramento-San Joaquin Rivers Delta</t>
  </si>
  <si>
    <t>Arcata Wastewater Treatment Plant</t>
  </si>
  <si>
    <t>Outfall-002</t>
  </si>
  <si>
    <t>Arcata Marsh and Wildlife Sanctuary</t>
  </si>
  <si>
    <t>NPDES No. CA0022713 Order No. R1- 2019-0</t>
  </si>
  <si>
    <t>Wetlands</t>
  </si>
  <si>
    <t>Outfall-001</t>
  </si>
  <si>
    <t>Humboldt Bay</t>
  </si>
  <si>
    <t>City of Atascadero Water Reclamation Facility</t>
  </si>
  <si>
    <t>Percolation ponds east of the Salinas River</t>
  </si>
  <si>
    <t>WWTP No. 3</t>
  </si>
  <si>
    <t>BVV7-2A</t>
  </si>
  <si>
    <t>WWTP 3 Ponds</t>
  </si>
  <si>
    <t>LA Farms</t>
  </si>
  <si>
    <t>Sports Village</t>
  </si>
  <si>
    <t>Banning WWTP</t>
  </si>
  <si>
    <t>Cabazon Groundwater Basin Percolation Ponds</t>
  </si>
  <si>
    <t>Percolation ponds adjacent to the WWTP</t>
  </si>
  <si>
    <t>City of Beaumont</t>
  </si>
  <si>
    <t>R-002</t>
  </si>
  <si>
    <t>Oak Valley GC</t>
  </si>
  <si>
    <t>DP-007</t>
  </si>
  <si>
    <t>Trib of Marshal Creek</t>
  </si>
  <si>
    <t>R-001</t>
  </si>
  <si>
    <t>Tukwet GC</t>
  </si>
  <si>
    <t>R-003</t>
  </si>
  <si>
    <t>BCVWD RW</t>
  </si>
  <si>
    <t>DP-001</t>
  </si>
  <si>
    <t>Cooper's Creek</t>
  </si>
  <si>
    <t>Shasta College Wastewater Treatment Facility</t>
  </si>
  <si>
    <t>Shasta College</t>
  </si>
  <si>
    <t>Section 15, T32N, R4W, MDB&amp;M</t>
  </si>
  <si>
    <t>Benicia Wastewater Treatment Plant</t>
  </si>
  <si>
    <t>City of Benicia Discharge Location</t>
  </si>
  <si>
    <t>See WWR</t>
  </si>
  <si>
    <t>Blythe WWTP</t>
  </si>
  <si>
    <t>Percolation Ponds at the City WWTP</t>
  </si>
  <si>
    <t>Ponds off Broadway. South of the Int. 10 Fwy.</t>
  </si>
  <si>
    <t>Brawley WWTP</t>
  </si>
  <si>
    <t>OUTFALL</t>
  </si>
  <si>
    <t>7A13 0100 011</t>
  </si>
  <si>
    <t>Secondary, Disinfected - 2.2</t>
  </si>
  <si>
    <t>City of Brentwood Wastewater Treatment Plant</t>
  </si>
  <si>
    <t>Marsh Creek</t>
  </si>
  <si>
    <t>Creek within the San Joaquin Delta</t>
  </si>
  <si>
    <t>Order R5-2019-0029</t>
  </si>
  <si>
    <t>Burbank Water Reclamation Plant</t>
  </si>
  <si>
    <t>Burbank Western Channel</t>
  </si>
  <si>
    <t>Discharge adjacent to Burbank WRP</t>
  </si>
  <si>
    <t>NPDES No. CA0055531</t>
  </si>
  <si>
    <t>City of Burlingame Wastewater Treatment Facility</t>
  </si>
  <si>
    <t>Lower San Francisco Bay Marine Outfall</t>
  </si>
  <si>
    <t>Copper Cove Wastewater Treatment and Reclamation Plant</t>
  </si>
  <si>
    <t>The Golf Club at Copper Valley</t>
  </si>
  <si>
    <t>The Golf Club at Copper Valley and adjacent water features</t>
  </si>
  <si>
    <t>5B05NP00001</t>
  </si>
  <si>
    <t>Wallace Wastewater Treatment Plant</t>
  </si>
  <si>
    <t>Storage Ponds and Sprayfields</t>
  </si>
  <si>
    <t>Storage ponds and adjacent sprayfields</t>
  </si>
  <si>
    <t>5B050107007</t>
  </si>
  <si>
    <t>Southworth Wastewater Treatment Plant</t>
  </si>
  <si>
    <t>5B051003004</t>
  </si>
  <si>
    <t>West Point Wastewater Treatment Plant</t>
  </si>
  <si>
    <t>Storage Pond and Sprayfields</t>
  </si>
  <si>
    <t>The discharge is to a recirculating gravel bed filter with storage ponds and sprayfields adjacent to the WWTP</t>
  </si>
  <si>
    <t>5B052009002</t>
  </si>
  <si>
    <t>Arnold Wastewater Treatment Plant</t>
  </si>
  <si>
    <t>Percolation Beds and Sprayfields</t>
  </si>
  <si>
    <t>11 percolation beds (3.3 acres) and 22 acres of sprayfields adjacent to the facility</t>
  </si>
  <si>
    <t>5B051003001</t>
  </si>
  <si>
    <t>Douglas Flat/ Vallecito Wastewater Treatment Facility</t>
  </si>
  <si>
    <t>Sprayfields</t>
  </si>
  <si>
    <t>Holding ponds and sprayfields adjacent to the WWTP.</t>
  </si>
  <si>
    <t>5B050107005</t>
  </si>
  <si>
    <t>Forest Meadows Wastewater Treatment Plant</t>
  </si>
  <si>
    <t>Forest Meadows Golf Course, and Leach Fields</t>
  </si>
  <si>
    <t>Privately owned large holding pond and water feature, where it is stored and applied to the Forest Meadows Golf Course and leach fields. Additionally, permitted for seasonal surface water discharge to the North Fork Hydroelectric Project Collierville Powerhouse Tunnel Surge Shaft.</t>
  </si>
  <si>
    <t>5B05NP00014</t>
  </si>
  <si>
    <t>Copper Cove Wastewater Treatment Plant</t>
  </si>
  <si>
    <t>Several Holding Ponds and sprayfields located adjacent to the WWTP.</t>
  </si>
  <si>
    <t>La Contenta Wastewater Treatment Plant</t>
  </si>
  <si>
    <t>Storage Pond</t>
  </si>
  <si>
    <t>Discharged to a dual storage pond system where is can be utilized for application to the La Contenta Golf Course in Valley Springs.</t>
  </si>
  <si>
    <t>5B05NC00021</t>
  </si>
  <si>
    <t>Wilseyville Camp Wastewater Treatment Plant</t>
  </si>
  <si>
    <t>Pond</t>
  </si>
  <si>
    <t>Discharge is to a singular pond with an aerator (percolation).</t>
  </si>
  <si>
    <t>5B052000001</t>
  </si>
  <si>
    <t>City Wastewater Treatment Plant</t>
  </si>
  <si>
    <t>City of Calexico</t>
  </si>
  <si>
    <t>New River</t>
  </si>
  <si>
    <t>LCWRP; SJCWRP; WNWRP; JWPCP</t>
  </si>
  <si>
    <t>Ocean Outfall</t>
  </si>
  <si>
    <t>Pacific Grove Satellite Recycled Water Treatment Plant</t>
  </si>
  <si>
    <t>M1W Collection System</t>
  </si>
  <si>
    <t>Collection System conveyed to the M1W Regional Treatment Plant</t>
  </si>
  <si>
    <t>WRR No. R3-2016-0044</t>
  </si>
  <si>
    <t>Pasadera / Laguna Seca Ranch Wastewater Treatment Plant</t>
  </si>
  <si>
    <t>Laguna Seca Golf Course</t>
  </si>
  <si>
    <t>Storage Pond for Recycled Water Use</t>
  </si>
  <si>
    <t>WDR No. 98-58</t>
  </si>
  <si>
    <t>Carmel Valley Ranch Wastewater Treatment Plant</t>
  </si>
  <si>
    <t>Carmel Valley Golf Course and Golf Course Lakes</t>
  </si>
  <si>
    <t>WRR No. 01-083</t>
  </si>
  <si>
    <t>Carmel Area Wastewater District Wastewater Treatment Plant</t>
  </si>
  <si>
    <t>Pacific Ocean</t>
  </si>
  <si>
    <t>Carmel Bay Ocean Outfall</t>
  </si>
  <si>
    <t>NPDES No. CA0047996</t>
  </si>
  <si>
    <t>Monterey One Water Regional Treatment Plant</t>
  </si>
  <si>
    <t>Monterey Bay Ocean Outfall</t>
  </si>
  <si>
    <t>NPDES No. CA0048551</t>
  </si>
  <si>
    <t>Advanced</t>
  </si>
  <si>
    <t>Isleton Wastewater Facility</t>
  </si>
  <si>
    <t>Ponds</t>
  </si>
  <si>
    <t>Percolation Ponds</t>
  </si>
  <si>
    <t>Sacramento Regional Wastewater Treatment Plant</t>
  </si>
  <si>
    <t>Dry Creek Wastewater Treatment Plant</t>
  </si>
  <si>
    <t>Dry Creek</t>
  </si>
  <si>
    <t>Dunnigan Wastewater Treatment Plant</t>
  </si>
  <si>
    <t>Hill Canyon Wastewater Treatment Plant</t>
  </si>
  <si>
    <t>Arroyo Conejo Creek</t>
  </si>
  <si>
    <t>CA0056294</t>
  </si>
  <si>
    <t>Lake Hughes Community Wastewater Facility</t>
  </si>
  <si>
    <t>On-site land disposal</t>
  </si>
  <si>
    <t>Spray irrigation</t>
  </si>
  <si>
    <t>San Mateo Wastewater Treatment Plant</t>
  </si>
  <si>
    <t>SC-OR Regional Wastewater Treatment Plant</t>
  </si>
  <si>
    <t>Feather River</t>
  </si>
  <si>
    <t>South San Francisco and San Bruno Water Quality Control Plant</t>
  </si>
  <si>
    <t>Regional Wastewater Control Facility</t>
  </si>
  <si>
    <t>Water Reclamation Plan</t>
  </si>
  <si>
    <t>Conejo Creek</t>
  </si>
  <si>
    <t>4A560100001</t>
  </si>
  <si>
    <t>Cambria Community Services District Wastewater Treatment Plant</t>
  </si>
  <si>
    <t>CCSD Property south of San Simeon Creek Rd.</t>
  </si>
  <si>
    <t>3 400 102001</t>
  </si>
  <si>
    <t>CamSam</t>
  </si>
  <si>
    <t>PVCWD</t>
  </si>
  <si>
    <t>PVCWD service area</t>
  </si>
  <si>
    <t>CWRF</t>
  </si>
  <si>
    <t>CWD, PVCWD</t>
  </si>
  <si>
    <t>CSUCI, four ag parcels; PVCWD ag</t>
  </si>
  <si>
    <t>HCTP</t>
  </si>
  <si>
    <t>CWD ag/M&amp;I; PVCWD ag</t>
  </si>
  <si>
    <t>Encina Water Pollution Control Facility</t>
  </si>
  <si>
    <t>Encina Ocean Outfall</t>
  </si>
  <si>
    <t>CMWD Customers</t>
  </si>
  <si>
    <t>Gafner WWTP</t>
  </si>
  <si>
    <t>Carlsbad Water Recycling Facility</t>
  </si>
  <si>
    <t>Carpinteria Sanitary District Wastewater Treatment Facility</t>
  </si>
  <si>
    <t>City of Ventura</t>
  </si>
  <si>
    <t>Santa Clara River</t>
  </si>
  <si>
    <t>mouth of Santa Clara River</t>
  </si>
  <si>
    <t>CA0053651</t>
  </si>
  <si>
    <t>Ojai Valley Sanitary District</t>
  </si>
  <si>
    <t>12-inch pipe</t>
  </si>
  <si>
    <t>CA0053961</t>
  </si>
  <si>
    <t>Ceres Wastewater Treatment Plant (WWTP)</t>
  </si>
  <si>
    <t>On Site</t>
  </si>
  <si>
    <t>RP-2</t>
  </si>
  <si>
    <t>Santa Ana River</t>
  </si>
  <si>
    <t>CCWRF</t>
  </si>
  <si>
    <t>RP-5</t>
  </si>
  <si>
    <t>City of Chowchilla</t>
  </si>
  <si>
    <t>Wastewater Treatment Facility</t>
  </si>
  <si>
    <t>Seven percolation ponds</t>
  </si>
  <si>
    <t>WDID-5SSO111280</t>
  </si>
  <si>
    <t>Cloverdale Waste Water Treatment Facility</t>
  </si>
  <si>
    <t>Evaporation/percolation ponds at WWTF</t>
  </si>
  <si>
    <t>Centrally located within the service area</t>
  </si>
  <si>
    <t>1B84032OSON</t>
  </si>
  <si>
    <t>Clovis Water Reuse Facility</t>
  </si>
  <si>
    <t>Fancher Creek</t>
  </si>
  <si>
    <t>Creek and Recycled Water Use Area</t>
  </si>
  <si>
    <t>Avenue 54 Wastewater Treatment Plant</t>
  </si>
  <si>
    <t>Coachella Valley Stormwater Channel</t>
  </si>
  <si>
    <t>Stormwater channel</t>
  </si>
  <si>
    <t>CA0104493 â€“ 001 7A330104012</t>
  </si>
  <si>
    <t>WRP-10</t>
  </si>
  <si>
    <t>Palm Desert</t>
  </si>
  <si>
    <t>Non-potable customers and percolation ponds</t>
  </si>
  <si>
    <t>7A330105012</t>
  </si>
  <si>
    <t>WRP-7</t>
  </si>
  <si>
    <t>North Indio</t>
  </si>
  <si>
    <t>7A330105071</t>
  </si>
  <si>
    <t>WRP-4</t>
  </si>
  <si>
    <t>Thermal</t>
  </si>
  <si>
    <t>CVSC</t>
  </si>
  <si>
    <t>7A330105091</t>
  </si>
  <si>
    <t>Secondary, disinfected - 23</t>
  </si>
  <si>
    <t>WRP-2</t>
  </si>
  <si>
    <t>North Shore</t>
  </si>
  <si>
    <t>7A330105032</t>
  </si>
  <si>
    <t>Secondary, undisinfected</t>
  </si>
  <si>
    <t>WRP-1</t>
  </si>
  <si>
    <t>Bombay Beach</t>
  </si>
  <si>
    <t>7A330105021</t>
  </si>
  <si>
    <t>Domestic WWTP</t>
  </si>
  <si>
    <t>WDR100029906</t>
  </si>
  <si>
    <t>Sewer Authority Mid-Coastside</t>
  </si>
  <si>
    <t>2,100 foot ocean outfall, Pacific Ocean at a depth of 45 feet</t>
  </si>
  <si>
    <t>Colton Water Reclamation Facility</t>
  </si>
  <si>
    <t>Rapid Infiltration/Extraction (RIX) Plant</t>
  </si>
  <si>
    <t>to RIX for additional treatment</t>
  </si>
  <si>
    <t>ISD Wastewater Treatment Plant</t>
  </si>
  <si>
    <t>Delta Diablo Wastewater Treatment Plant</t>
  </si>
  <si>
    <t>New York Slough which is part of the San Joaquin River</t>
  </si>
  <si>
    <t>MVSD Wastewater Treatment Plant</t>
  </si>
  <si>
    <t>Peyton Slough Marsh Complex</t>
  </si>
  <si>
    <t>Effluent flows through several marshes to Peyton Slough and ultimately the Carquinez Straight</t>
  </si>
  <si>
    <t>CCCSD Wastewater Treatment Plant</t>
  </si>
  <si>
    <t>Suisun Bay</t>
  </si>
  <si>
    <t>Submerged outfall in Suisun Bay</t>
  </si>
  <si>
    <t>Corcoran  City Of</t>
  </si>
  <si>
    <t>City of Corcoran Wastewater Treatment Plant</t>
  </si>
  <si>
    <t>City of Corcoran</t>
  </si>
  <si>
    <t>Disposal ponds</t>
  </si>
  <si>
    <t>WRF-2</t>
  </si>
  <si>
    <t>WRF-1</t>
  </si>
  <si>
    <t>Temescal Creek</t>
  </si>
  <si>
    <t>Reclaim Flow</t>
  </si>
  <si>
    <t>Reclaimed Water System</t>
  </si>
  <si>
    <t>WRF-3</t>
  </si>
  <si>
    <t>1A84006ODN</t>
  </si>
  <si>
    <t>Huston Creek</t>
  </si>
  <si>
    <t>Las Flores Ranch</t>
  </si>
  <si>
    <t>Discharge for Irrigation</t>
  </si>
  <si>
    <t>RP-4</t>
  </si>
  <si>
    <t>North San Mateo County Sanitation District Treatment Plant</t>
  </si>
  <si>
    <t>EOO1</t>
  </si>
  <si>
    <t>CAOO37737</t>
  </si>
  <si>
    <t>City of Davis WWTP</t>
  </si>
  <si>
    <t>Conaway Toe Drain</t>
  </si>
  <si>
    <t>Agricultural and stormwater drainage channel on the west side of the Yolo Bypass</t>
  </si>
  <si>
    <t>Willow Slough Bypass</t>
  </si>
  <si>
    <t>Agricultural and stormwater drainage canal immediately south of the wastewater treatment plant</t>
  </si>
  <si>
    <t>Delano 1 &amp; Delano 2</t>
  </si>
  <si>
    <t>Alfalfa and Almond Farms</t>
  </si>
  <si>
    <t>Palm Springs WWTP</t>
  </si>
  <si>
    <t>7A330114012</t>
  </si>
  <si>
    <t>Ironhouse Sanitary District Water Recycling Facility</t>
  </si>
  <si>
    <t>Outfall pipe</t>
  </si>
  <si>
    <t>City of Dinuba WWRF</t>
  </si>
  <si>
    <t>Ponds 1-12</t>
  </si>
  <si>
    <t>WWTP No. 1 and 2</t>
  </si>
  <si>
    <t>Old River</t>
  </si>
  <si>
    <t>Old River South of Highway 4 Bridge</t>
  </si>
  <si>
    <t>River or Creek Outfall</t>
  </si>
  <si>
    <t>Dixon WWTF</t>
  </si>
  <si>
    <t>Land Percolation and Evaporation</t>
  </si>
  <si>
    <t>R5-2014-0098</t>
  </si>
  <si>
    <t>East Bay Municipal Utility District SD-1</t>
  </si>
  <si>
    <t>San Francisco Bay Central Basin</t>
  </si>
  <si>
    <t>City of San Leandro Water Pollution Control Plant</t>
  </si>
  <si>
    <t>Lower San Francisco Bay</t>
  </si>
  <si>
    <t>Joint Use  Philip F. Meads Water Treatment Plant</t>
  </si>
  <si>
    <t>Crockett</t>
  </si>
  <si>
    <t>Carquinez Strait</t>
  </si>
  <si>
    <t>Oro Loma and Castro Valley Sanitary Districts Water Pollution Control Plant</t>
  </si>
  <si>
    <t>Dublin San Ramon Services District Wastewater Treatment Plant</t>
  </si>
  <si>
    <t>West County Wastewater Treatment Plant</t>
  </si>
  <si>
    <t>Central San Francisco Bay</t>
  </si>
  <si>
    <t>Richmond Municipal Sewer District Water Pollution Control Plant</t>
  </si>
  <si>
    <t>Pinole - Hercules Water Pollution Control Plant</t>
  </si>
  <si>
    <t>San Pablo Bay</t>
  </si>
  <si>
    <t>Central Contra Costa Sanitary District Wastewater Treatment Plant</t>
  </si>
  <si>
    <t>Rodeo Sanitary District</t>
  </si>
  <si>
    <t>Temecula Valley RWRF</t>
  </si>
  <si>
    <t>Reach 4 Dissipater</t>
  </si>
  <si>
    <t>8 332783001</t>
  </si>
  <si>
    <t>Moreno Valley RWRF</t>
  </si>
  <si>
    <t>San Jacinto Valley RWRF</t>
  </si>
  <si>
    <t>Perris Valley RWRF</t>
  </si>
  <si>
    <t>El Centro</t>
  </si>
  <si>
    <t>Central Main Drain</t>
  </si>
  <si>
    <t>Drain Flows 8 Miles to Alamo River and then 39 Miles to Salton Sea</t>
  </si>
  <si>
    <t>Deer Creek</t>
  </si>
  <si>
    <t>El Dorado Hills</t>
  </si>
  <si>
    <t>Carson Creek</t>
  </si>
  <si>
    <t>Creel</t>
  </si>
  <si>
    <t>ETWD</t>
  </si>
  <si>
    <t>Aliso Creek Ocean Outfall</t>
  </si>
  <si>
    <t>Laguna Beach</t>
  </si>
  <si>
    <t>Railroad Canyon WRF (2), (3)</t>
  </si>
  <si>
    <t>Lined Pond and/or pumped to recycled water customers</t>
  </si>
  <si>
    <t>Lined Pond next to facility or delivered to recycled water customers</t>
  </si>
  <si>
    <t>WDR 96-34</t>
  </si>
  <si>
    <t>Santa Rosa WRF (4)</t>
  </si>
  <si>
    <t>Part of southern raw wastewater is sent to this plant for treatment</t>
  </si>
  <si>
    <t>Via a 3-party agreement (RCWD, EMWD and EVMWD), treated recycle water by RCWD is returned thru EMWD recycled water line for EVMWD customers in Wildomar area.</t>
  </si>
  <si>
    <t>WDR 94-92</t>
  </si>
  <si>
    <t>Horsethief WRF</t>
  </si>
  <si>
    <t>Recycled water users and/or Percolation Ponds</t>
  </si>
  <si>
    <t>Two percolation ponds next to facility or delivered to recycled water customers</t>
  </si>
  <si>
    <t>WDR 96-63</t>
  </si>
  <si>
    <t>Regional WRF (1)</t>
  </si>
  <si>
    <t>Lake Elsinore or Temescal Wash</t>
  </si>
  <si>
    <t>NPDES No. CA8000027</t>
  </si>
  <si>
    <t>Lake outfall</t>
  </si>
  <si>
    <t>Hale Avenue Resource Recovery Facility</t>
  </si>
  <si>
    <t>Escondido Land Outfall (1)</t>
  </si>
  <si>
    <t>The land outfall connects to the San Elijo Ocean Outfall</t>
  </si>
  <si>
    <t>NPDES Permit R9-2018-0002, CA0107981</t>
  </si>
  <si>
    <t>Recycled Water Customers (2)</t>
  </si>
  <si>
    <t>Recycled Water Customers</t>
  </si>
  <si>
    <t>R9-2010-0032</t>
  </si>
  <si>
    <t>Escondido Creek (3)</t>
  </si>
  <si>
    <t>Escondido Creek</t>
  </si>
  <si>
    <t>R9-2015-0026, CA0108944</t>
  </si>
  <si>
    <t>Elk River WWTP</t>
  </si>
  <si>
    <t>1B82151OHUM</t>
  </si>
  <si>
    <t>Fallbrook Public Utility District Treatment Plant No. 1</t>
  </si>
  <si>
    <t>Oceanside</t>
  </si>
  <si>
    <t>Ocean</t>
  </si>
  <si>
    <t>Municipal Wastewater Treatment Plant</t>
  </si>
  <si>
    <t>001 and 003</t>
  </si>
  <si>
    <t>Strongs Creek/Eel River and Percolation Ponds/ Groundwater</t>
  </si>
  <si>
    <t>1B83135OHUM</t>
  </si>
  <si>
    <t>OCWD (GAP)</t>
  </si>
  <si>
    <t>OC San Treatment Plant 1</t>
  </si>
  <si>
    <t>OCWD Ground Water Replenishment System (GWRS)</t>
  </si>
  <si>
    <t>NFWRF</t>
  </si>
  <si>
    <t>Treatment Site</t>
  </si>
  <si>
    <t>Onsite Pond</t>
  </si>
  <si>
    <t>WDR Order R5-2014-0162</t>
  </si>
  <si>
    <t>RWRF</t>
  </si>
  <si>
    <t>Onsite Percolation Ponds</t>
  </si>
  <si>
    <t>WDR Order R5-2018-0080</t>
  </si>
  <si>
    <t>Wastewater Treatment Plant and Reclamation Facility</t>
  </si>
  <si>
    <t>Eff-001</t>
  </si>
  <si>
    <t>Laguna Creek</t>
  </si>
  <si>
    <t>SCRWA WWTP</t>
  </si>
  <si>
    <t>On-Site Percolation Ponds</t>
  </si>
  <si>
    <t>Recycled water distribtuion system for agricultural and landscape irrigation</t>
  </si>
  <si>
    <t>NPDES No. CA0053953</t>
  </si>
  <si>
    <t>LA River Latitude: 34'08'25N Longitude: 118'17'24W</t>
  </si>
  <si>
    <t>Barstow Regional WWTP</t>
  </si>
  <si>
    <t>GSD WWTP</t>
  </si>
  <si>
    <t>5,800 feet offshore and 92 feet below Mean Lower Low Water level</t>
  </si>
  <si>
    <t>City of Bakersfield WWTP No. 3</t>
  </si>
  <si>
    <t>Storage ponds and I-5 Reclamation Site</t>
  </si>
  <si>
    <t>Onsite ponds and offsite reclamation site</t>
  </si>
  <si>
    <t>R5-2009-0122</t>
  </si>
  <si>
    <t>PMLA Golf Course &amp; District Spray Fields</t>
  </si>
  <si>
    <t>5C55100001</t>
  </si>
  <si>
    <t>City of Hanford WWTF</t>
  </si>
  <si>
    <t>Equalization basin storage of treated effluent</t>
  </si>
  <si>
    <t>Hayward Water Pollution Control Facility</t>
  </si>
  <si>
    <t>City of Healdsburg Watewater Treatment,Recycling and Disposal Facility</t>
  </si>
  <si>
    <t>Basalt Pond</t>
  </si>
  <si>
    <t>Part of the Russian River</t>
  </si>
  <si>
    <t>1B82046OSON</t>
  </si>
  <si>
    <t>Wastewater Reclamation Facility</t>
  </si>
  <si>
    <t>DWWTP/WRF</t>
  </si>
  <si>
    <t>Ponds near Hwy 156</t>
  </si>
  <si>
    <t>OC San Plant 2</t>
  </si>
  <si>
    <t>City of Imperial</t>
  </si>
  <si>
    <t>Regional WWTF</t>
  </si>
  <si>
    <t>Valley SD WWTP</t>
  </si>
  <si>
    <t>CA0104477-001 7A333069001</t>
  </si>
  <si>
    <t>MWRP</t>
  </si>
  <si>
    <t>LAWRP</t>
  </si>
  <si>
    <t>Los Alisos</t>
  </si>
  <si>
    <t>SOCWA Outfall &amp; RW Distribution</t>
  </si>
  <si>
    <t>Regional Water Quality Control Plant</t>
  </si>
  <si>
    <t>Western Riverside County Regional Wastewater Authority Treatment Plant</t>
  </si>
  <si>
    <t>Kerman  City Of</t>
  </si>
  <si>
    <t>City of Kerman</t>
  </si>
  <si>
    <t>City of Kerman WWTP</t>
  </si>
  <si>
    <t>Grass Valley Wastewater Treatment Plant</t>
  </si>
  <si>
    <t>Hesperia Effluent Management Site</t>
  </si>
  <si>
    <t>Hesperia</t>
  </si>
  <si>
    <t>6B360107001</t>
  </si>
  <si>
    <t>Long Beach</t>
  </si>
  <si>
    <t>Los Coyotes</t>
  </si>
  <si>
    <t>Coyote creek</t>
  </si>
  <si>
    <t>NPDES No. 001</t>
  </si>
  <si>
    <t>LPUD WWTP</t>
  </si>
  <si>
    <t>Recology Blossom Valley Organics - South</t>
  </si>
  <si>
    <t>Green Waste Composting facility, and farmland</t>
  </si>
  <si>
    <t>Tapia Water Reclamation Facility</t>
  </si>
  <si>
    <t>Malibu Creek (001)</t>
  </si>
  <si>
    <t>Monte Nido Area</t>
  </si>
  <si>
    <t>Arroyo Calabasas Creek (005)</t>
  </si>
  <si>
    <t>Los Angeles River</t>
  </si>
  <si>
    <t>Lathrop Consolidated Treatment Facility (a)</t>
  </si>
  <si>
    <t>A01 - A38 (b)</t>
  </si>
  <si>
    <t>City Agricultural Irrigation Use Areas</t>
  </si>
  <si>
    <t>RWQCB No. R5-2016-0028</t>
  </si>
  <si>
    <t>WWTRF</t>
  </si>
  <si>
    <t>Auburn Ravine Creek</t>
  </si>
  <si>
    <t>Linda Wastewater Treatment Plan</t>
  </si>
  <si>
    <t>NPDES No. CA 0079651</t>
  </si>
  <si>
    <t>Feather River Percolation Ponds</t>
  </si>
  <si>
    <t>Livermore Water reclamation Plant</t>
  </si>
  <si>
    <t>East Bay Discharge Authority</t>
  </si>
  <si>
    <t>Bay outfall outside San Leandro</t>
  </si>
  <si>
    <t>City of Livingston</t>
  </si>
  <si>
    <t>White Slough Water Treatment Pollution Control Facility</t>
  </si>
  <si>
    <t>Dredger Cut</t>
  </si>
  <si>
    <t>Sacramento-San Joaquin Delta</t>
  </si>
  <si>
    <t>5B39NP00073</t>
  </si>
  <si>
    <t>City of Lompoc Regional Wastewater Reclamation Plant</t>
  </si>
  <si>
    <t>San Miguelito Creek</t>
  </si>
  <si>
    <t>San Miguelito Creek and recycled water users</t>
  </si>
  <si>
    <t>NPDES NO. CA0048127</t>
  </si>
  <si>
    <t>Long Beach Water Reclamation Plant</t>
  </si>
  <si>
    <t>Discharge 001 Coyote Creek</t>
  </si>
  <si>
    <t>Longitude: 118.08778Âº West Latitude: 33.79861Âº North</t>
  </si>
  <si>
    <t>NPDES No. CA0054119</t>
  </si>
  <si>
    <t>Hyperion Water Reclamation Plant</t>
  </si>
  <si>
    <t>5-mile outfall</t>
  </si>
  <si>
    <t>4 19I005011</t>
  </si>
  <si>
    <t>Donald C. Tillman Water Reclamation Plant</t>
  </si>
  <si>
    <t>Outfall to LA River</t>
  </si>
  <si>
    <t>4 19I005179</t>
  </si>
  <si>
    <t>Los Angeles- Glendale Water Reclamation Plant</t>
  </si>
  <si>
    <t>4 19I005012</t>
  </si>
  <si>
    <t>Terminal Island Water Reclamation Plant</t>
  </si>
  <si>
    <t>Outfall to LA Harbor</t>
  </si>
  <si>
    <t>Los Angeles Harbor</t>
  </si>
  <si>
    <t>4 19I005178</t>
  </si>
  <si>
    <t>Malibu Mesa Water Reclamation Plant</t>
  </si>
  <si>
    <t>Pepperdine University</t>
  </si>
  <si>
    <t>Pepperdine University grounds</t>
  </si>
  <si>
    <t>Civic Center Water Treatment Facility</t>
  </si>
  <si>
    <t>Civic Center  Water Treatment Facility</t>
  </si>
  <si>
    <t>City Park and injection wells</t>
  </si>
  <si>
    <t>Trancas Water Pollution Control Plant</t>
  </si>
  <si>
    <t>Leach fields</t>
  </si>
  <si>
    <t>Malibu Water Pollution Control Plant</t>
  </si>
  <si>
    <t>Seepage pits</t>
  </si>
  <si>
    <t>Lancaster WRP</t>
  </si>
  <si>
    <t>Palmdale WRP</t>
  </si>
  <si>
    <t>Mammoth Community Water District WWTP</t>
  </si>
  <si>
    <t>Laurel Pond</t>
  </si>
  <si>
    <t>The Effluent Disposal Site is located approximately 3.8 miles southeast of the plant at Laurel Pond</t>
  </si>
  <si>
    <t>6B260103001</t>
  </si>
  <si>
    <t>Trucked recycled water program</t>
  </si>
  <si>
    <t>The locations of these discharges is managed through a trucked recycled water program</t>
  </si>
  <si>
    <t>6B260903003</t>
  </si>
  <si>
    <t>Sausalito Marin City Sanitary District Plant</t>
  </si>
  <si>
    <t>Shallow estuary draining roughly 40% of Californiaâ€™s water</t>
  </si>
  <si>
    <t>2 215023001</t>
  </si>
  <si>
    <t>Sewerage Agency of Southern Marin Plant</t>
  </si>
  <si>
    <t>Raccoon Straits</t>
  </si>
  <si>
    <t>A part of the San Francisco Bay located between Angel Island and Tiburon Peninsula</t>
  </si>
  <si>
    <t>2 215015001</t>
  </si>
  <si>
    <t>Central Marin Sanitation Agency Plant</t>
  </si>
  <si>
    <t>2 215116001</t>
  </si>
  <si>
    <t>Las Gallinas Valley Sanitary Agency Plant</t>
  </si>
  <si>
    <t>Miller Creek</t>
  </si>
  <si>
    <t>7.6 mile long stream draining into San Pablo Bay east of Marinwood (a)</t>
  </si>
  <si>
    <t>2 215012001</t>
  </si>
  <si>
    <t>7.6 mile long stream draining into San Pablo Bay east of Marinwood (b)</t>
  </si>
  <si>
    <t>Main Plant Sanitary District #5 (Tiburon)</t>
  </si>
  <si>
    <t>2 215021001</t>
  </si>
  <si>
    <t>Paradise Cove Facility Sanitary District #5 (Tiburon)</t>
  </si>
  <si>
    <t>2 215021002</t>
  </si>
  <si>
    <t>A part of the San Francisco Bay located between Angela Island and Tiburon Peninsula  (b)</t>
  </si>
  <si>
    <t>MCSD Wastewater Treatment Facility</t>
  </si>
  <si>
    <t>Fischer Lower</t>
  </si>
  <si>
    <t>1B820840HUM</t>
  </si>
  <si>
    <t>Pialorsi</t>
  </si>
  <si>
    <t>Pilaorsi</t>
  </si>
  <si>
    <t>Hiller</t>
  </si>
  <si>
    <t>Mad River</t>
  </si>
  <si>
    <t>Fischer Upper</t>
  </si>
  <si>
    <t>Recycled Water Facility - Sharon Heights</t>
  </si>
  <si>
    <t>WBSD wastewater collection system</t>
  </si>
  <si>
    <t>City of Millbrae</t>
  </si>
  <si>
    <t>Alan L. Horton</t>
  </si>
  <si>
    <t>7A330109012</t>
  </si>
  <si>
    <t>Desert Crest</t>
  </si>
  <si>
    <t>7A330109021</t>
  </si>
  <si>
    <t>Del Rio septic systems and packaged plants</t>
  </si>
  <si>
    <t>City of Modesto Sutter Avenue Primary Treatment Plant</t>
  </si>
  <si>
    <t>El Estero WWTP</t>
  </si>
  <si>
    <t>Pacific Ocean, Santa Barbara Channel</t>
  </si>
  <si>
    <t>NPDES NO. CA0048143</t>
  </si>
  <si>
    <t>Summerland WWTP</t>
  </si>
  <si>
    <t>NPDES NO. CA0048054</t>
  </si>
  <si>
    <t>Montecito WWTP</t>
  </si>
  <si>
    <t>NPDES NO. CA0047899</t>
  </si>
  <si>
    <t>Morro Bay / Cayucos WWTP</t>
  </si>
  <si>
    <t>Lat 35, 23',11" N; Long 120, 52', 29" W</t>
  </si>
  <si>
    <t>NPDES No. CA0047881</t>
  </si>
  <si>
    <t>3A Treatment Plant</t>
  </si>
  <si>
    <t>San Juan Creek Ocean Outfall</t>
  </si>
  <si>
    <t>Coastal Treatment Plant</t>
  </si>
  <si>
    <t>Regional Treatment Plant</t>
  </si>
  <si>
    <t>JB Latham Treatment Plant</t>
  </si>
  <si>
    <t>Mountain House WWTP</t>
  </si>
  <si>
    <t>CA0084271</t>
  </si>
  <si>
    <t>Soscol Water Recycling Facility</t>
  </si>
  <si>
    <t>Napa River</t>
  </si>
  <si>
    <t>38Â° 14'09" N 122Â° 17'10" W</t>
  </si>
  <si>
    <t>Nevada City Wastewater Treatment Facility</t>
  </si>
  <si>
    <t>Auburn Wastewater Treatment Plant</t>
  </si>
  <si>
    <t>Auburn Ravine</t>
  </si>
  <si>
    <t>Grass Valley Wastewater Plant</t>
  </si>
  <si>
    <t>Wolf Creek</t>
  </si>
  <si>
    <t>City of Newman</t>
  </si>
  <si>
    <t>Storage Reservoirs and 60 Acres of Terraces</t>
  </si>
  <si>
    <t>239 Acres of City Owned Land</t>
  </si>
  <si>
    <t>Southland WWTF</t>
  </si>
  <si>
    <t>Infiltration Ponds Onsite</t>
  </si>
  <si>
    <t>Southland WWTF #R3-2012-0003</t>
  </si>
  <si>
    <t>Blacklake WRF</t>
  </si>
  <si>
    <t>Treated effluent storage ponds onsite</t>
  </si>
  <si>
    <t>Calera Creek Water Recycling Plant</t>
  </si>
  <si>
    <t>Calera Creek Discharge Point 001</t>
  </si>
  <si>
    <t>Calera Creek</t>
  </si>
  <si>
    <t>2 417022002</t>
  </si>
  <si>
    <t>NSD</t>
  </si>
  <si>
    <t>Reclamation Storage Ponds</t>
  </si>
  <si>
    <t>Pasture irrigation</t>
  </si>
  <si>
    <t>NSD, Davidson St</t>
  </si>
  <si>
    <t>NSD, Deer Island Recycled Water Plant</t>
  </si>
  <si>
    <t>Stone Tree Golf Course</t>
  </si>
  <si>
    <t>Golf course irrigation</t>
  </si>
  <si>
    <t>Bel Marin Keys Unit V Phase 1 Wetlands Project</t>
  </si>
  <si>
    <t>LGVSD</t>
  </si>
  <si>
    <t>Property Fenceline</t>
  </si>
  <si>
    <t>Recycled water flow to NMWD (a)</t>
  </si>
  <si>
    <t>Recycled water flow to NMWD</t>
  </si>
  <si>
    <t>La Salina</t>
  </si>
  <si>
    <t>Oceanside Ocean Outfall</t>
  </si>
  <si>
    <t>SLRWRF</t>
  </si>
  <si>
    <t>City of Oceanside</t>
  </si>
  <si>
    <t>Recycled water users</t>
  </si>
  <si>
    <t>Camp Pendleton SRTTP</t>
  </si>
  <si>
    <t>Olivehurst Public Utility District Wastewater Treatment Plant</t>
  </si>
  <si>
    <t>Western Interceptor Drainage Canal</t>
  </si>
  <si>
    <t>Bear River</t>
  </si>
  <si>
    <t>Santa Fe Valley WRF</t>
  </si>
  <si>
    <t>Recycled Water System</t>
  </si>
  <si>
    <t>OMWD Southeast Quadrant</t>
  </si>
  <si>
    <t>Rancho Santa Fe WRF</t>
  </si>
  <si>
    <t>Percolat-ion Pond</t>
  </si>
  <si>
    <t>County of SD, Via de Santa Fe at Calzada del Bosque</t>
  </si>
  <si>
    <t>Whispering Palms WRF</t>
  </si>
  <si>
    <t>County of SD, Via de Santa Fe south of El Apajo</t>
  </si>
  <si>
    <t>4S Ranch WRF</t>
  </si>
  <si>
    <t>RP-1</t>
  </si>
  <si>
    <t>San Ana River</t>
  </si>
  <si>
    <t>RWCWRF</t>
  </si>
  <si>
    <t>Otay Water District Recycled Water Distribution System</t>
  </si>
  <si>
    <t>Recycled Water Reservoirs located in the City of Chula Vista</t>
  </si>
  <si>
    <t>Oxnard Wastewater Treatment Plant</t>
  </si>
  <si>
    <t>Oxnard WWTP</t>
  </si>
  <si>
    <t>CA0054097</t>
  </si>
  <si>
    <t>Oxnard Advanced Water Purification Facility</t>
  </si>
  <si>
    <t>Oxnard AWPF</t>
  </si>
  <si>
    <t>Ray Stoyer WRF</t>
  </si>
  <si>
    <t>To Non-Potable Distribution System</t>
  </si>
  <si>
    <t>Wastewater Treated</t>
  </si>
  <si>
    <t>9 000000542</t>
  </si>
  <si>
    <t>To Santee Lakes</t>
  </si>
  <si>
    <t>Palmdale Water Reclamation Plant (WRP)</t>
  </si>
  <si>
    <t>Agricultural irrigation of fodder cops on land leased by LACSD from the City of LA World Airports</t>
  </si>
  <si>
    <t>Bay via Emily Renzel Marsh</t>
  </si>
  <si>
    <t>City of Paso Robles Wastewater Treatment Plant</t>
  </si>
  <si>
    <t>Discharge Point 001C</t>
  </si>
  <si>
    <t>Outfall into Salinas River</t>
  </si>
  <si>
    <t>3 400105001</t>
  </si>
  <si>
    <t>Patterson Water Quality Control Facility</t>
  </si>
  <si>
    <t>San Joaquin River near Patterson</t>
  </si>
  <si>
    <t>Discharge to the River</t>
  </si>
  <si>
    <t>RWQCB WDR Order No. R5-2018-0070</t>
  </si>
  <si>
    <t>ECWRF</t>
  </si>
  <si>
    <t>E-001S</t>
  </si>
  <si>
    <t>Petaluma River</t>
  </si>
  <si>
    <t>Pismo Beach Wastewater Treatment Plant</t>
  </si>
  <si>
    <t>DSRSD RWTF</t>
  </si>
  <si>
    <t>LAVWMA and EBDA</t>
  </si>
  <si>
    <t>Deepwater outfall to San Francisco Bay</t>
  </si>
  <si>
    <t>NPDES Permit: Discharge Point #001</t>
  </si>
  <si>
    <t>South fork of San Jose Creek</t>
  </si>
  <si>
    <t>4B190107019</t>
  </si>
  <si>
    <t>City of Porterville Wastewater Treatment Facility</t>
  </si>
  <si>
    <t>Adjacent to and southwest of Porterville Airport</t>
  </si>
  <si>
    <t>5D540107001</t>
  </si>
  <si>
    <t>Santa Maria</t>
  </si>
  <si>
    <t>Spray fields</t>
  </si>
  <si>
    <t>Rangeland road spray fields</t>
  </si>
  <si>
    <t>Mt. Woodson Golf Course</t>
  </si>
  <si>
    <t>16422 N. Woodson Dr.</t>
  </si>
  <si>
    <t>San Vicente</t>
  </si>
  <si>
    <t>Spray Field</t>
  </si>
  <si>
    <t>San Diego Country Estates Golf Course</t>
  </si>
  <si>
    <t>Spangler Peak Ranch</t>
  </si>
  <si>
    <t>Temecula Valley Regional Water Reclamation Facility</t>
  </si>
  <si>
    <t>Santa Rosa Water Reclamation Facility</t>
  </si>
  <si>
    <t>Red Bluff  City Of</t>
  </si>
  <si>
    <t>City of Red Bluff Wastewater Reclamation Plant</t>
  </si>
  <si>
    <t>EFF-001</t>
  </si>
  <si>
    <t>CA0078891</t>
  </si>
  <si>
    <t>Stillwater</t>
  </si>
  <si>
    <t>Stillwater WWTP Discharge</t>
  </si>
  <si>
    <t>Clear Creek</t>
  </si>
  <si>
    <t>Clear Creek WWTP Discharge</t>
  </si>
  <si>
    <t>Redlands Wastewater Treatment Facility</t>
  </si>
  <si>
    <t>8 basins located 1,100 ft east of WWTP</t>
  </si>
  <si>
    <t>Silicon Valley Clean Water Wastewater Treatment Plant</t>
  </si>
  <si>
    <t>Deep Channel</t>
  </si>
  <si>
    <t>CA0038369</t>
  </si>
  <si>
    <t>City of Reedley</t>
  </si>
  <si>
    <t>Percolation</t>
  </si>
  <si>
    <t>Rialto Drain</t>
  </si>
  <si>
    <t>93-70</t>
  </si>
  <si>
    <t>Escondido</t>
  </si>
  <si>
    <t>Harmony Grove Water Reclamation Facility</t>
  </si>
  <si>
    <t>R9-2012-0055</t>
  </si>
  <si>
    <t>Rincon</t>
  </si>
  <si>
    <t>Northwest Facility</t>
  </si>
  <si>
    <t>200 feet offshore</t>
  </si>
  <si>
    <t>Discharge Point No. 002</t>
  </si>
  <si>
    <t>Beach Facility</t>
  </si>
  <si>
    <t>77 feet offshore</t>
  </si>
  <si>
    <t>Discharge Point No. 001</t>
  </si>
  <si>
    <t>Riverbank Wastewater Treatment Plant</t>
  </si>
  <si>
    <t>Riverbank Ponds</t>
  </si>
  <si>
    <t>5C500106002</t>
  </si>
  <si>
    <t>Riverside Water Quality Control Plant</t>
  </si>
  <si>
    <t>8 330117003</t>
  </si>
  <si>
    <t>Laguna</t>
  </si>
  <si>
    <t>Laguna De Santa Rosa</t>
  </si>
  <si>
    <t>Flows to Russian River</t>
  </si>
  <si>
    <t>1B830990SON</t>
  </si>
  <si>
    <t>Dry Creek WWTP</t>
  </si>
  <si>
    <t>Pleasant Grove WWTP</t>
  </si>
  <si>
    <t>Pleasant Grove Creek</t>
  </si>
  <si>
    <t>Water Reclamation Plant</t>
  </si>
  <si>
    <t>San Bernardino National Forest</t>
  </si>
  <si>
    <t>8SSO10597</t>
  </si>
  <si>
    <t>Pioneer</t>
  </si>
  <si>
    <t>Pioneer (EFF-006)</t>
  </si>
  <si>
    <t>Combined Wastewater Treatment Plant</t>
  </si>
  <si>
    <t>CWTP</t>
  </si>
  <si>
    <t>Regional San</t>
  </si>
  <si>
    <t>San Bernardino Water Reclamation Plant</t>
  </si>
  <si>
    <t>Flow to RIX</t>
  </si>
  <si>
    <t>Ventura Water Reclamation Facility</t>
  </si>
  <si>
    <t>Santa Clara River Estuary (SCRE)</t>
  </si>
  <si>
    <t>Mouth of the Santa Clara River</t>
  </si>
  <si>
    <t>NPDES NO. CA0053651/ Order R4-2020-0024</t>
  </si>
  <si>
    <t>WRP</t>
  </si>
  <si>
    <t>Dana Point</t>
  </si>
  <si>
    <t>South Bay Water Reclamation Plant</t>
  </si>
  <si>
    <t>North City Water Reclamation Plant</t>
  </si>
  <si>
    <t>Sewer</t>
  </si>
  <si>
    <t>Point Loma Wastewater Treatment Plant</t>
  </si>
  <si>
    <t>San Elijo</t>
  </si>
  <si>
    <t>Cardiff By the Sea</t>
  </si>
  <si>
    <t>Within the District's service area, a beach community located in the City of Encinitas</t>
  </si>
  <si>
    <t>Encina Water Pollution Control Facility (EWPCF)</t>
  </si>
  <si>
    <t>City of Carlsbad</t>
  </si>
  <si>
    <t>North adjacent to the City of Encinitas</t>
  </si>
  <si>
    <t>Southeast Water Pollution Control Plant and North Point Wet Weather Facility 1,2, 4</t>
  </si>
  <si>
    <t>Discharge Point No. 001; Discharge Point No. 002; Discharge Point Nos. 003-006</t>
  </si>
  <si>
    <t>Lower San Francisco Bay; Islais Creek; Central San Francisco Bay</t>
  </si>
  <si>
    <t>2 386010001</t>
  </si>
  <si>
    <t>Oceanside Water Pollution Control Plant 1, 5</t>
  </si>
  <si>
    <t>Pacific Ocean, Offshore</t>
  </si>
  <si>
    <t>2 386009001</t>
  </si>
  <si>
    <t>Treasure Island Wastewater Treatment Plant 2</t>
  </si>
  <si>
    <t>2 386013001</t>
  </si>
  <si>
    <t>Mel Leong Treatment Plant  2,3</t>
  </si>
  <si>
    <t>North Bayside System Unit</t>
  </si>
  <si>
    <t>2 417033001</t>
  </si>
  <si>
    <t>WNWRP</t>
  </si>
  <si>
    <t>SJCWRP</t>
  </si>
  <si>
    <t>San JosÃ©/Santa Clara Regional Wastewater Facility</t>
  </si>
  <si>
    <t>Artesion Slough</t>
  </si>
  <si>
    <t>Tributary to South San Francisco Bay via Coyote Creek</t>
  </si>
  <si>
    <t>Spring Lakes Mobile Home Park</t>
  </si>
  <si>
    <t>SLVWD Service Area</t>
  </si>
  <si>
    <t>Pacific Ocean in Joint Outfall with City of Santa Cruz</t>
  </si>
  <si>
    <t>36Â° 56â€™ 08â€ N; 122Âº 04â€™ 08â€ W</t>
  </si>
  <si>
    <t>City of San Luis Obispo</t>
  </si>
  <si>
    <t>San Luis Obispo Creek</t>
  </si>
  <si>
    <t>San Luis Obispo Creek Outfall</t>
  </si>
  <si>
    <t>R3-2014-0033</t>
  </si>
  <si>
    <t>City of Sanger</t>
  </si>
  <si>
    <t>Industrial WWTP</t>
  </si>
  <si>
    <t>El Estero</t>
  </si>
  <si>
    <t>El Estero Outfall</t>
  </si>
  <si>
    <t>San Jose-Santa Clara Regional Wastewater Facility</t>
  </si>
  <si>
    <t>Artesian Slough</t>
  </si>
  <si>
    <t>Saugus WRP</t>
  </si>
  <si>
    <t>Bouquet Canyon and Soledad Canyon Roads</t>
  </si>
  <si>
    <t>4A190107021</t>
  </si>
  <si>
    <t>Valencia WRP</t>
  </si>
  <si>
    <t>Santa Clara River at Old Road</t>
  </si>
  <si>
    <t>4A190107023</t>
  </si>
  <si>
    <t>Monterey Bay/Pacific Ocean Bay Outfall</t>
  </si>
  <si>
    <t>Deep water outfall</t>
  </si>
  <si>
    <t>3-440102001</t>
  </si>
  <si>
    <t>Percolation Pond</t>
  </si>
  <si>
    <t>Onsite</t>
  </si>
  <si>
    <t>No. 92-04</t>
  </si>
  <si>
    <t>San Elijo WRF</t>
  </si>
  <si>
    <t>Various</t>
  </si>
  <si>
    <t>No. 2000-10</t>
  </si>
  <si>
    <t>Fairbanks Ranch WTP</t>
  </si>
  <si>
    <t>Lot Adjacent to San Dieguito River</t>
  </si>
  <si>
    <t>No. 93-05</t>
  </si>
  <si>
    <t>CA0107999</t>
  </si>
  <si>
    <t>Oso Creek Wastewater Reclamation Plant</t>
  </si>
  <si>
    <t>Dana Point / Laguna Beach</t>
  </si>
  <si>
    <t>Chiquita Wastewater Reclamation Plant</t>
  </si>
  <si>
    <t>Wastewater Treatment Plant</t>
  </si>
  <si>
    <t>601 South Black Rd., Santa Maria</t>
  </si>
  <si>
    <t>On-site</t>
  </si>
  <si>
    <t>3 420109001</t>
  </si>
  <si>
    <t>Santa Paula Water Recycling Facility</t>
  </si>
  <si>
    <t>WRF Effluent Ponds</t>
  </si>
  <si>
    <t>Land Discharge</t>
  </si>
  <si>
    <t>Laguna de Santa Rosa</t>
  </si>
  <si>
    <t>1B83099OSON</t>
  </si>
  <si>
    <t>SVWD Service Area</t>
  </si>
  <si>
    <t>Pasatiempo Golf Course Tertiary Plant</t>
  </si>
  <si>
    <t>20 Clubhouse Rd, Santa Cruz, CA 95060</t>
  </si>
  <si>
    <t>City/NORSD WWTP</t>
  </si>
  <si>
    <t>7th Standard Road &amp; Palm Ave.</t>
  </si>
  <si>
    <t>Percolation Ponds Adjacent to WWTP</t>
  </si>
  <si>
    <t>---</t>
  </si>
  <si>
    <t>City of Shasta Lake Wastewater Treatment Facility</t>
  </si>
  <si>
    <t>EFF-001, EFF-002</t>
  </si>
  <si>
    <t>Churn Creek</t>
  </si>
  <si>
    <t>City Water Reclamation Facility</t>
  </si>
  <si>
    <t>Onsite Rapid Infiltration Basins</t>
  </si>
  <si>
    <t>Infiltration Basins</t>
  </si>
  <si>
    <t>County of Santa Cruz</t>
  </si>
  <si>
    <t>Leach Fields</t>
  </si>
  <si>
    <t>JB Lantham and CTP</t>
  </si>
  <si>
    <t>San Juan Creek Ocean Outfall for JB Lantham and Aliso Creek Ocean Outfall for CTP</t>
  </si>
  <si>
    <t>Dana Point for JB Lantham and Laguna Beach for CTP</t>
  </si>
  <si>
    <t>SC-OR</t>
  </si>
  <si>
    <t>5A040106001</t>
  </si>
  <si>
    <t>South Tahoe PUD</t>
  </si>
  <si>
    <t>Harvey Place Resevoir</t>
  </si>
  <si>
    <t>3800 ac-ft resevoir in Alpine County</t>
  </si>
  <si>
    <t>Diamond Valley Ranch</t>
  </si>
  <si>
    <t>70- Acre field in Alpine County</t>
  </si>
  <si>
    <t>Stockton Regional Wastewater Control Facility</t>
  </si>
  <si>
    <t>Ridgemark</t>
  </si>
  <si>
    <t>south of Ridgemark Plant</t>
  </si>
  <si>
    <t>Sunnyvale Water Pollution Control Plant</t>
  </si>
  <si>
    <t>Lower South Bay of San Francisco Bay</t>
  </si>
  <si>
    <t>Discharged via the Moffett Channel and Guadalupe Slough</t>
  </si>
  <si>
    <t>Outfall near Treatment Plant at Russian River</t>
  </si>
  <si>
    <t>Russian River</t>
  </si>
  <si>
    <t>Temescal Valley Water Reclamation Facility</t>
  </si>
  <si>
    <t>Recycled water customers and Bedford GMZ</t>
  </si>
  <si>
    <t>Landscape or groundwater disposal</t>
  </si>
  <si>
    <t>Treatment Plant</t>
  </si>
  <si>
    <t>Discharge Site 1</t>
  </si>
  <si>
    <t>Canal</t>
  </si>
  <si>
    <t>Hill Canyon Treatment Plant</t>
  </si>
  <si>
    <t>Santa Rosa Road/Hill Canyon Road, Camarillo</t>
  </si>
  <si>
    <t>North Fork Arroyo Conejo Creek</t>
  </si>
  <si>
    <t>Chiquita Water Treatment Plant</t>
  </si>
  <si>
    <t>Dana Point/ Laguna Beach</t>
  </si>
  <si>
    <t>Robinson Ranch Wastewater Treatment Plant</t>
  </si>
  <si>
    <t>No discharge</t>
  </si>
  <si>
    <t>City of Tracy Wastewater Treatment Plant</t>
  </si>
  <si>
    <t>Existing outfall</t>
  </si>
  <si>
    <t>TTSA Regional WRF</t>
  </si>
  <si>
    <t>Martis Valley</t>
  </si>
  <si>
    <t>Subsurface Percolation Galleries</t>
  </si>
  <si>
    <t>South of WWTP</t>
  </si>
  <si>
    <t>Agricultural lands near WWTP</t>
  </si>
  <si>
    <t>Jamestown Sanitary District Wastewater Treatment Plant</t>
  </si>
  <si>
    <t>Quartz Reservoir</t>
  </si>
  <si>
    <t>Pasture Lands</t>
  </si>
  <si>
    <t>5C550101001</t>
  </si>
  <si>
    <t>Regional Wastewater Treatment Plant</t>
  </si>
  <si>
    <t>Land Application Area</t>
  </si>
  <si>
    <t>5C550106003</t>
  </si>
  <si>
    <t>Turlock Regional Water Quality Control Facility</t>
  </si>
  <si>
    <t>Harding Drain Bypass Pipeline</t>
  </si>
  <si>
    <t>Ukiah Wastewater Treatment Plant</t>
  </si>
  <si>
    <t>Within the WWTP</t>
  </si>
  <si>
    <t>Easterly Wastewater Treatment Plant</t>
  </si>
  <si>
    <t>Old Alamo Creek</t>
  </si>
  <si>
    <t>38Â°20'48"N, 121Â°54'06"W</t>
  </si>
  <si>
    <t>S841061</t>
  </si>
  <si>
    <t>Meadowlark Water Recycling Facility</t>
  </si>
  <si>
    <t>Encina Wastewater Authority</t>
  </si>
  <si>
    <t>Ocean outfall of the Encina Water Pollution Control Facility</t>
  </si>
  <si>
    <t>9 000000030</t>
  </si>
  <si>
    <t>Vallejo WWTP</t>
  </si>
  <si>
    <t>Lower Moosa Canyon Water Reclamation Facility</t>
  </si>
  <si>
    <t>Lower Moosa Creek Perc Ponds</t>
  </si>
  <si>
    <t>60 AF Percolation Ponds on adjacent to Lower Moosa Creek</t>
  </si>
  <si>
    <t>WDR No. 95-32 WDID: 9 000000236</t>
  </si>
  <si>
    <t>Woods Valley Ranch Water Reclamation Facility</t>
  </si>
  <si>
    <t>Woods Valley Ranch Golf Course</t>
  </si>
  <si>
    <t>WDR No. 98-09 WDID: 9 000000830</t>
  </si>
  <si>
    <t>Moorpark Wastewater Reclamation Facility (MWTF)</t>
  </si>
  <si>
    <t>Simi Valley Water Quality Control Plant</t>
  </si>
  <si>
    <t>River Outfall to Arroyo Simi</t>
  </si>
  <si>
    <t>River Outfall</t>
  </si>
  <si>
    <t>Victorville Valley Wastewater Reclamation Authority WWTP</t>
  </si>
  <si>
    <t>VVWRA</t>
  </si>
  <si>
    <t>Mojave River and Percolation Ponds</t>
  </si>
  <si>
    <t>Industrial Wastewater Treatment Plant</t>
  </si>
  <si>
    <t>Wasco  City Of</t>
  </si>
  <si>
    <t>City of Wasco Wastewater Treatment Plant</t>
  </si>
  <si>
    <t>Effluent Storage Ponds and Agricultural Fields</t>
  </si>
  <si>
    <t>Effluent Storage Ponds are located at the Wastewater Treatment Facility and Agricultural Fields are adjoining.</t>
  </si>
  <si>
    <t>Farmland</t>
  </si>
  <si>
    <t>1.5 miles</t>
  </si>
  <si>
    <t>Taft WWTF</t>
  </si>
  <si>
    <t>Agricualtural Fields</t>
  </si>
  <si>
    <t>Adjacent Agricualtural lands</t>
  </si>
  <si>
    <t>Western Water Recycling Facility</t>
  </si>
  <si>
    <t>Riverside National Cemetary, General Old Golf Course, various agricultural and landscape customers</t>
  </si>
  <si>
    <t>re-use: landscaping, agriculture, parks, schools, nurseries</t>
  </si>
  <si>
    <t>Town of Windsor Wastewater Treatment, Reclamation, and Disposal Facility</t>
  </si>
  <si>
    <t>Mark West Creek</t>
  </si>
  <si>
    <t>Outfall</t>
  </si>
  <si>
    <t>Water Pollution Control Facility</t>
  </si>
  <si>
    <t>Tule Canal</t>
  </si>
  <si>
    <t>Large, unimproved channel</t>
  </si>
  <si>
    <t>City of Yreka Wastewater Treatment Plant</t>
  </si>
  <si>
    <t>31-acre subsurface disposal field located 800 feet north of the WWTP</t>
  </si>
  <si>
    <t>Yuba City WWTF</t>
  </si>
  <si>
    <t>Discharge to Ponds</t>
  </si>
  <si>
    <t>Near Feather River</t>
  </si>
  <si>
    <t>San Timoteo</t>
  </si>
  <si>
    <t>CA 0105619</t>
  </si>
  <si>
    <t>KCWA. Improvement District No. 4: Report on Water Conditions 2021. Feb 1, 2022.</t>
  </si>
  <si>
    <t>ROWC2021_FINAL.pdf (kcwa.com)</t>
  </si>
  <si>
    <t>Henry C. Garnett Water Purification Plant Operations Costs 2021 (current $)</t>
  </si>
  <si>
    <t>Purchased chemicals</t>
  </si>
  <si>
    <t>Labor</t>
  </si>
  <si>
    <t>Energy</t>
  </si>
  <si>
    <t>Misc</t>
  </si>
  <si>
    <t>Capital Outlays</t>
  </si>
  <si>
    <t>Total ($)</t>
  </si>
  <si>
    <t>Deliveries (af)</t>
  </si>
  <si>
    <t>Unit rate</t>
  </si>
  <si>
    <t>Estimated Energy Cost Offset</t>
  </si>
  <si>
    <t>Total unit variable costs (current dollars)</t>
  </si>
  <si>
    <t>Total unit variable costs (2022 dollars)</t>
  </si>
  <si>
    <t>Average</t>
  </si>
  <si>
    <t>Met Treatment Costs</t>
  </si>
  <si>
    <t>MWD | Budget &amp; Finance (mwdh2o.com)</t>
  </si>
  <si>
    <t>CY rates, effected Jan 1</t>
  </si>
  <si>
    <t>(2022 dollars)</t>
  </si>
  <si>
    <t>MWDSC: Fiscal year 22-23 and 23-24 Cost of Service Report for Proposed Water Rates and Charges</t>
  </si>
  <si>
    <t> </t>
  </si>
  <si>
    <t>Full Service Untreated Volumetric Cost ($/AF)</t>
  </si>
  <si>
    <t>Tier 1</t>
  </si>
  <si>
    <t>Total treatment revenue requirement</t>
  </si>
  <si>
    <t>Tier 2</t>
  </si>
  <si>
    <t>Treatment O&amp;M</t>
  </si>
  <si>
    <t>Treatment Surcharge ($/AF)</t>
  </si>
  <si>
    <t>General District O&amp;M</t>
  </si>
  <si>
    <t>Treatment Surcharge (capital component)</t>
  </si>
  <si>
    <t>Treatment Capital financing</t>
  </si>
  <si>
    <t>Treatment Surcharge (O&amp;M component)</t>
  </si>
  <si>
    <t>revenue offsets</t>
  </si>
  <si>
    <t>Average projected increase 2021-2026</t>
  </si>
  <si>
    <t>Projected Rates (2022$)</t>
  </si>
  <si>
    <t>MWD--Treatment Surcharge ($/AF)--real</t>
  </si>
  <si>
    <t>rate of increase</t>
  </si>
  <si>
    <t>MWD--Treatment Surcharge (O&amp;M component)</t>
  </si>
  <si>
    <t>KCWA--Treatment Costs</t>
  </si>
  <si>
    <t>San Marcos Wastewater Treatment Plant</t>
  </si>
  <si>
    <t>Data provided by EJ Hindy and Andreana Salas (Jacobs) 11/2/22</t>
  </si>
  <si>
    <t>FY 2021 (considered 2020 dollars)</t>
  </si>
  <si>
    <t>gallons</t>
  </si>
  <si>
    <t>af</t>
  </si>
  <si>
    <t>State Electricity Profiles - Energy Information Administration (eia.gov)</t>
  </si>
  <si>
    <t>Treated volume:</t>
  </si>
  <si>
    <t>Electrical Cost adjusted to California energy prices (data for 2020)</t>
  </si>
  <si>
    <t xml:space="preserve"> CA Avg retail price (cents/kWh)</t>
  </si>
  <si>
    <t>TX Avg retail price (cents/kWh)</t>
  </si>
  <si>
    <t>Variable costs</t>
  </si>
  <si>
    <t>Total Cost</t>
  </si>
  <si>
    <t>kWh</t>
  </si>
  <si>
    <t>Total Cost (adjusted to CA energy prices)</t>
  </si>
  <si>
    <t>Chemical</t>
  </si>
  <si>
    <t>Electrical</t>
  </si>
  <si>
    <t>Total variable cost</t>
  </si>
  <si>
    <t>Total variable cost per af</t>
  </si>
  <si>
    <t>Electrical charges</t>
  </si>
  <si>
    <t>month</t>
  </si>
  <si>
    <t>Total electical charge</t>
  </si>
  <si>
    <t>Total rate</t>
  </si>
  <si>
    <t>Projected Costs</t>
  </si>
  <si>
    <t xml:space="preserve">Electrical </t>
  </si>
  <si>
    <t>Total Cost (2020 dollars)</t>
  </si>
  <si>
    <t>Total Cost (2022 dollars)</t>
  </si>
  <si>
    <t>Wastewater Treated Per Day</t>
  </si>
  <si>
    <t>Wastewater Treated Per year</t>
  </si>
  <si>
    <t>Wastewater management</t>
  </si>
  <si>
    <t>San Jose-Santa Clara Treatment Plan O&amp;M</t>
  </si>
  <si>
    <t>Mid-Kaweah GSP Project</t>
  </si>
  <si>
    <t>Table 7-1 Capital Cost (Millions)</t>
  </si>
  <si>
    <t>Table 7-1 O&amp;M Cost ($/year)</t>
  </si>
  <si>
    <t>Average Annual Yield (af/year)</t>
  </si>
  <si>
    <t>Depth (feet)</t>
  </si>
  <si>
    <t>Description</t>
  </si>
  <si>
    <t>Cordeniz Recharge Basin</t>
  </si>
  <si>
    <t>60-acre recharge facility fed by Kaweah River and CVP supplies via a ditch</t>
  </si>
  <si>
    <t>Okieville Recharge Basin</t>
  </si>
  <si>
    <t>20-acre recharge facility fed by Sierra watershed surface supplies via an irrigation canal/Packwood Creek</t>
  </si>
  <si>
    <t>Tulare ID/GSA Recharge Basin</t>
  </si>
  <si>
    <t>160-acre recharge facility fed by Kaweah River and CVP supplies</t>
  </si>
  <si>
    <t>Kaweah Subbasin Recharge Project</t>
  </si>
  <si>
    <t>Tulare/Tulare ID Catron Basin</t>
  </si>
  <si>
    <t>100-acre recharge facility fed by storm water</t>
  </si>
  <si>
    <t xml:space="preserve">McKay Point Reservoir </t>
  </si>
  <si>
    <t>4,000 acre-foot off-stream storage reservoir</t>
  </si>
  <si>
    <t>2021 Total Production</t>
  </si>
  <si>
    <t>2021 Charges Collected</t>
  </si>
  <si>
    <t>$/AF</t>
  </si>
  <si>
    <t>KCWA ID-4</t>
  </si>
  <si>
    <t>Appendix Table 6: https://www.kcwa.com/wp-content/uploads/2022/02/ROWC2021_FINAL.pdf</t>
  </si>
  <si>
    <t>Metropolitan FY 2022/23 and 2023/24 Cost of Service Report</t>
  </si>
  <si>
    <t>final-for-bdms-cos-fy2022-23-and-fy2023-24-option-4_5.pdf</t>
  </si>
  <si>
    <t>Metropolitan’s volumetric rates recover operating costs as well as the portion of the conveyance and distribution system capital costs that are associated with meeting average water demands using system-wide rates that are the same for all customers</t>
  </si>
  <si>
    <t>The Readiness-to-Serve (RTS) Charge recovers system capital costs for emergency storage capacity and ensures there is adequate capacity in the conveyance and distribution systems to reliably deliver supplies during emergencies, major facility outages, hydrologic variability, and variances in local resources</t>
  </si>
  <si>
    <t>Capacity Charge recovers distribution system capital costs necessary to meet peak member agency needs on 
Metropolitan’s distribution system during the summer</t>
  </si>
  <si>
    <t>System Access Rate recovers, among other costs, the capital, operating, maintenance, and overhead costs associated with the interconnected regional delivery network necessary to deliver water to meet member agencies’ average annual demands, which include the costs of conveyance facilities (facilities outside of Metropolitan’s service area) and distribution facilities (facilities within Metropolitan’s Distribution System), and portions of Regulatory/Emergency Storage facilities.</t>
  </si>
  <si>
    <t>Distribution--no variable commodity costs (costs that vary with the amount of water delivered)</t>
  </si>
  <si>
    <t>Fixed Commodity percentage includes fixed O&amp;M and capital financing costs associated with meeting average demands</t>
  </si>
  <si>
    <t>Schedule 16: Allocated Operational function Revenue Requirements (Distributed to rate design element): FY2022:23</t>
  </si>
  <si>
    <t>System Access Rate</t>
  </si>
  <si>
    <t>Distribution--Fixed Commodity</t>
  </si>
  <si>
    <t>Total Revenue Requirement</t>
  </si>
  <si>
    <t>2022 Rate</t>
  </si>
  <si>
    <t>Unit Rate ($/AF</t>
  </si>
  <si>
    <t>Share of unit rate attributable to Distribution fixed commodity</t>
  </si>
  <si>
    <t>Average Projected increase (2021-2030)</t>
  </si>
  <si>
    <t>Projected Rates</t>
  </si>
  <si>
    <t>System Access Rate Forecast</t>
  </si>
  <si>
    <t>Distribution portion of System Access Rate Forecast</t>
  </si>
  <si>
    <t>Rates and Charges Effective January 1st</t>
  </si>
  <si>
    <t>Tier 1 Supply Rate ($/AF)</t>
  </si>
  <si>
    <t>Tier 2 Supply Rate ($/AF)</t>
  </si>
  <si>
    <t>System Access Rate ($/AF)</t>
  </si>
  <si>
    <t>Water Stewardship Rate ($/AF)</t>
  </si>
  <si>
    <t>$—</t>
  </si>
  <si>
    <t>System Power Rate ($/AF)</t>
  </si>
  <si>
    <t xml:space="preserve">Tier 2 </t>
  </si>
  <si>
    <t xml:space="preserve">Full Service Treated Volumetric Cost ($/AF) </t>
  </si>
  <si>
    <t>Readiness-to-Serve Charge ($M)</t>
  </si>
  <si>
    <t>Capacity Charge $/cfs)</t>
  </si>
  <si>
    <t>Annual Tier 1 rate increase</t>
  </si>
  <si>
    <t>Average rate increase</t>
  </si>
  <si>
    <t>2020-2025</t>
  </si>
  <si>
    <t>2025-2030</t>
  </si>
  <si>
    <t>10-year average</t>
  </si>
  <si>
    <t>Reviewed and provided by Jenny McCarthy from Met (Sept, 2022)</t>
  </si>
  <si>
    <t>Met's Surface Carryover Storage Systems</t>
  </si>
  <si>
    <t>Lake Mathews</t>
  </si>
  <si>
    <t>Lake Skinner</t>
  </si>
  <si>
    <t>Diamond Valley</t>
  </si>
  <si>
    <t>Surface carryover max storage capacity (acre-feet)</t>
  </si>
  <si>
    <t>IRP Update 2015 Appendix 4</t>
  </si>
  <si>
    <t>Surface carryover initial storage (January 2021, acre-feet)</t>
  </si>
  <si>
    <t>WSDM Board Report (June 2021)</t>
  </si>
  <si>
    <t>Surface carryover max put capacity (AFY)</t>
  </si>
  <si>
    <t>MCWEST</t>
  </si>
  <si>
    <t>Surface carryover max take capacity (AFY)</t>
  </si>
  <si>
    <t>Surface carryover loss (AFY)</t>
  </si>
  <si>
    <t>MCWEST and 2020 UWMP</t>
  </si>
  <si>
    <t>Surface put cost ($/AF)</t>
  </si>
  <si>
    <t>Costs are already incorporated into SWP delivery cost</t>
  </si>
  <si>
    <t>Met's Groundwater Banking Systems</t>
  </si>
  <si>
    <t>Central Valley Systems</t>
  </si>
  <si>
    <t>In Region Systems</t>
  </si>
  <si>
    <t xml:space="preserve"> Semitropic</t>
  </si>
  <si>
    <t>Arvin-Edison</t>
  </si>
  <si>
    <t>San Bernardino Valley MWD</t>
  </si>
  <si>
    <t>Kern Delta Water District</t>
  </si>
  <si>
    <t>Mojave</t>
  </si>
  <si>
    <t>Antelope Valley-East Kern Water Agency Exchange and Storage Program</t>
  </si>
  <si>
    <t>High Desert</t>
  </si>
  <si>
    <t>Upper San Gabriel WD</t>
  </si>
  <si>
    <t>Three Valleys MWD</t>
  </si>
  <si>
    <t>Conjunctive Use Programs</t>
  </si>
  <si>
    <t>Cooperative Storage Programs</t>
  </si>
  <si>
    <t>Sources</t>
  </si>
  <si>
    <t>Conjunctive Use: 2020 UWMP, others: IRP 2015 Update Appendix 3</t>
  </si>
  <si>
    <t>Groundwater Initial Storage Volume (January 2021, acre-feet)</t>
  </si>
  <si>
    <t>Semitropic: 2020 UWMP, Conjunctive Use: WSDM Board Report (June 2021)</t>
  </si>
  <si>
    <t>San Gabriel: 2020 UWMP, The rest are from: IRP 2015 Table A.3-1 and Table A.4-1</t>
  </si>
  <si>
    <t>Groundwater put cost ($/AF)</t>
  </si>
  <si>
    <t>Groundwater take cost ($/AF)</t>
  </si>
  <si>
    <t>If groundwater take cost not available, depth to groundwater (normal water year conditions)</t>
  </si>
  <si>
    <t>If groundwater take cost not available, depth to groundwater (single-dry year conditions)</t>
  </si>
  <si>
    <t>If groundwater take cost not available, depth to groundwater (multi-dry year conditions)</t>
  </si>
  <si>
    <t>Notes:</t>
  </si>
  <si>
    <t>Facility in UWMP (page3-33, or 168) and not IRP</t>
  </si>
  <si>
    <t>Facility in UWMP (page3-34, or 169) and not IRP</t>
  </si>
  <si>
    <t>Not discussed in UWMP</t>
  </si>
  <si>
    <t>Sources:</t>
  </si>
  <si>
    <t>IRP Update 2015</t>
  </si>
  <si>
    <t>2020 UWMP</t>
  </si>
  <si>
    <t>Board Report: Water Surplus and Drought Management Update (June 2021)</t>
  </si>
  <si>
    <t>MCWEST citation: WSDM Plan Storage Projects and Semitropic Features Included in SoCalWem</t>
  </si>
  <si>
    <t>AVEK's Groundwater Banks (2021 UWMP and 2017 Annual Report)</t>
  </si>
  <si>
    <t>Max Capacity</t>
  </si>
  <si>
    <t>Put Capacity</t>
  </si>
  <si>
    <t>Take Capacity</t>
  </si>
  <si>
    <t>Initial Storage</t>
  </si>
  <si>
    <t>Loss</t>
  </si>
  <si>
    <t>Westside</t>
  </si>
  <si>
    <t>Eastside</t>
  </si>
  <si>
    <t>Upper Amargosa</t>
  </si>
  <si>
    <t>KCWA ID4's Groundwater Banks (2021 UWMP)</t>
  </si>
  <si>
    <t>City of Bakersfield 2800 Acre Recharge Facility</t>
  </si>
  <si>
    <t>12000 (looks like project total's recovery capacity and not just ID4's portion)</t>
  </si>
  <si>
    <t>Kern Water Bank</t>
  </si>
  <si>
    <t>Pioneer Project</t>
  </si>
  <si>
    <t>Allen Road Complex Well Field</t>
  </si>
  <si>
    <t>ID4/Rosedale Joint Use Recovery Project</t>
  </si>
  <si>
    <t>Data from 2020 UWMP</t>
  </si>
  <si>
    <t>Cawelo</t>
  </si>
  <si>
    <t>Santa Clarita WA</t>
  </si>
  <si>
    <t>Rosedale Rio-Bravo Bank (existing)</t>
  </si>
  <si>
    <t>Semitropic Bank</t>
  </si>
  <si>
    <t>Semitropic - Newhall Land Bank</t>
  </si>
  <si>
    <t>Rosedale Rio-Bravo Bank (planned)</t>
  </si>
  <si>
    <t>(same as above)</t>
  </si>
  <si>
    <t>Reference: Table 7-4 (2020 UWMP)</t>
  </si>
  <si>
    <t>CVP Demand (from Calsim demand data)</t>
  </si>
  <si>
    <t>CVP Cost</t>
  </si>
  <si>
    <t>SWP Demand (from Calsim demand data)</t>
  </si>
  <si>
    <t>SWP Cost</t>
  </si>
  <si>
    <t>Shasta Lake, City of</t>
  </si>
  <si>
    <t>Santa Clara Valley Water District CVP Demand/Cost</t>
  </si>
  <si>
    <t>Shasta County Water Agency</t>
  </si>
  <si>
    <t>Santa Clara Valley Water District SWP Demand/Cost</t>
  </si>
  <si>
    <t>Centerville Community Services District</t>
  </si>
  <si>
    <t>Palmdale</t>
  </si>
  <si>
    <t>Mountain Gate Community Services District</t>
  </si>
  <si>
    <t>Littlerock</t>
  </si>
  <si>
    <t>Shasta Community Services District</t>
  </si>
  <si>
    <t>Arvin-Edison Water Storage District</t>
  </si>
  <si>
    <t>Delano-Earlimart Irrigation District</t>
  </si>
  <si>
    <t>Lindsay-Strathmore Irrigation District</t>
  </si>
  <si>
    <t>SWP/CVP Cost Assumption</t>
  </si>
  <si>
    <t>Other Friant-Kern Contractors</t>
  </si>
  <si>
    <t>Depths below are approximated based on overlaying the depth contours with each contractor's service area boundary, or if contours were not available from the SGMA data viewer, average of CASGEM well data across the service area.</t>
  </si>
  <si>
    <t>gallons per af</t>
  </si>
  <si>
    <t>weight per gallon</t>
  </si>
  <si>
    <t>pounds</t>
  </si>
  <si>
    <t>weight of 1 af</t>
  </si>
  <si>
    <t>lift of one foot</t>
  </si>
  <si>
    <t>foot-pound</t>
  </si>
  <si>
    <t>foot-pounds per kWh</t>
  </si>
  <si>
    <t>foot-pound/kWh</t>
  </si>
  <si>
    <t>Depth to Groundwater (feet)</t>
  </si>
  <si>
    <t>Energy need per AF--Normal or Better (kWh)</t>
  </si>
  <si>
    <t>Energy need per AF--Single and Multi-dry (kWh)</t>
  </si>
  <si>
    <t>Alternative GW cost estimate (2020$)</t>
  </si>
  <si>
    <t>Alternative cost source</t>
  </si>
  <si>
    <t>energy to lift 1 af 1 ft</t>
  </si>
  <si>
    <t>Normal or Better Level (Spring 2019 Contour)</t>
  </si>
  <si>
    <t>Single and Multi-Dry-year Level (Fall 2015 Contour)</t>
  </si>
  <si>
    <t>energ to lift 1 af 1 ft @70% pump efficiency</t>
  </si>
  <si>
    <t>Not in model</t>
  </si>
  <si>
    <t>Excess SWP/CVP supply reduces groundwater</t>
  </si>
  <si>
    <t>Table 6: Groundwater production. KCWA. Improvement District No. 4 Report on Water Conditions 2021.</t>
  </si>
  <si>
    <t>Well depth data available in UWMP Appendix E and online here: https://gis.valleywater.org/GroundwaterElevations/map.php. Applied data from Well ID: 07S01E19B002 as it had temporally sufficient data and is approximately in the middle of the service area, and approximately in the middle of the depth to groundwater range for the service area.</t>
  </si>
  <si>
    <t>352532N1206878W001 SLV-09 (only public supply well in SLO)</t>
  </si>
  <si>
    <t>Excess SWP/CVP supply reduces groundwater. Average of CASGEM Wells #347828N1183968W001, 347642N1179262W001</t>
  </si>
  <si>
    <t>Excess SWP/CVP supply reduces groundwater. Average of CASGEM Wells #344190N1185250W001, 343990N1185392W001, and 344266N1185589W001</t>
  </si>
  <si>
    <t>Groundwater elevations in GSP &amp; Annual Reports</t>
  </si>
  <si>
    <t>Not included in model</t>
  </si>
  <si>
    <t>Data shown here is used as these agencies reduce groundwater pumping if there is excess project supply</t>
  </si>
  <si>
    <t>No color indicates data will not be used as these agencies have different operation assumptions of there is excess groundwater supply</t>
  </si>
  <si>
    <t>Data sources</t>
  </si>
  <si>
    <t>Depth to Groundwater Contour Shapefile "i08 GroundwaterDepthSeasonal Contours" downloaded from: https://data.cnra.ca.gov/dataset/i08-groundwaterdepthseasonal-contours1</t>
  </si>
  <si>
    <t>Data description: This service depicts contours of estimated groundwater piezometric surfaces in the unconfined or uppermost semi-confined aquifers. Contours represent depth below ground surface (feet), and elevation above mean sea level (in feet), by year and season (fall or spring). The contour interval is 10 ft.
For 'Depth' type contours, contours represent lines of equal depth to groundwater level surface from the ground surface. Depth information is represented in feet below the ground surface. Higher contour values indicate increasing depth to groundwater (deeper/lower groundwater elevations). Negative values indicate that the groundwater level is above ground surface.</t>
  </si>
  <si>
    <t>https://sgma.water.ca.gov/webgis/?appid=SGMADataViewer#gwlevels</t>
  </si>
  <si>
    <t>WASTEWATER_COLLECTION_AGENCY</t>
  </si>
  <si>
    <t>VOLUME_METERED_OR_ESTIMATED</t>
  </si>
  <si>
    <t>VOLUME_COLLECTED_2015_AF</t>
  </si>
  <si>
    <t>WASTEWATER_TREATMENT_AGENCY</t>
  </si>
  <si>
    <t>TREATMENT_PLANT_NAME</t>
  </si>
  <si>
    <t>WWTP_LOCATED_WITHIN_UWMP_AREA</t>
  </si>
  <si>
    <t>WWTP_CONTRACTED_TO_3RD_PARTY</t>
  </si>
  <si>
    <t>Table 6-2 Retail: Wastewater Collected Within Service Area in 2020</t>
  </si>
  <si>
    <t>Adelanto Public Utility Authority</t>
  </si>
  <si>
    <t>Metered</t>
  </si>
  <si>
    <t>City of Adelanto</t>
  </si>
  <si>
    <t>Union Sanitary District</t>
  </si>
  <si>
    <t>City of Alhambra</t>
  </si>
  <si>
    <t>Los Angeles  County Sanitation Districts</t>
  </si>
  <si>
    <t>Joint Water Pollution Control Plant</t>
  </si>
  <si>
    <t>Whittier Narrows Water Treatment Plant</t>
  </si>
  <si>
    <t>Amador Regional Sanitation Authority</t>
  </si>
  <si>
    <t>City of Ione</t>
  </si>
  <si>
    <t>City of Plymouth</t>
  </si>
  <si>
    <t>Amador City, City of Sutter Creek, Martell</t>
  </si>
  <si>
    <t>City of Sutter Creek</t>
  </si>
  <si>
    <t>City of Jackson</t>
  </si>
  <si>
    <t>AWA, Wildwood Estates</t>
  </si>
  <si>
    <t>AWA, Viewpoint</t>
  </si>
  <si>
    <t>AWA, Tiger Creek Estates</t>
  </si>
  <si>
    <t>AWA, Surrey Junction</t>
  </si>
  <si>
    <t>AWA, Pine Grove</t>
  </si>
  <si>
    <t>AWA, Lake Camanche</t>
  </si>
  <si>
    <t>AWA, Jackson Pines</t>
  </si>
  <si>
    <t>AWA, Gayla Manor</t>
  </si>
  <si>
    <t>AWA, Fairway Pines &amp; Mace Meadow</t>
  </si>
  <si>
    <t>AWA, Fairway Pines &amp; AWA, Mace Meadow</t>
  </si>
  <si>
    <t>Fairway Pines &amp; Mace Meadow</t>
  </si>
  <si>
    <t>AWA, Eagles Nest</t>
  </si>
  <si>
    <t>City of Anaheim</t>
  </si>
  <si>
    <t>Plant No. 1 / Plant No. 2</t>
  </si>
  <si>
    <t>City of Antioch</t>
  </si>
  <si>
    <t>DD WWTP</t>
  </si>
  <si>
    <t>Town of Apple Valley</t>
  </si>
  <si>
    <t>Victor Valley Wastewater Reclamation Authority</t>
  </si>
  <si>
    <t>Westside Regional Water Reclamation Plant</t>
  </si>
  <si>
    <t>City of Arcadia</t>
  </si>
  <si>
    <t>LA County Sanitation Districts</t>
  </si>
  <si>
    <t>WNWRP, SJCWRP, and JWPCP</t>
  </si>
  <si>
    <t>Arcata Wastewater Treatment Facility</t>
  </si>
  <si>
    <t>City of Arvin</t>
  </si>
  <si>
    <t>City of Atascadero</t>
  </si>
  <si>
    <t>City of Atwater</t>
  </si>
  <si>
    <t>Atwater Regional Wastewater Treatment Facility</t>
  </si>
  <si>
    <t>City of Azusa</t>
  </si>
  <si>
    <t>LA County Sanitation District</t>
  </si>
  <si>
    <t>City of Bakersfield</t>
  </si>
  <si>
    <t>Regional Water Reclamation Facility</t>
  </si>
  <si>
    <t>City of Banning</t>
  </si>
  <si>
    <t>Plant No. 1</t>
  </si>
  <si>
    <t>Stillwater Wastewater Treatment Plant</t>
  </si>
  <si>
    <t>Shasta County CSA#8</t>
  </si>
  <si>
    <t>Palo Cedro Sewage Disposal System</t>
  </si>
  <si>
    <t>County of Los Angeles Department of Public Works</t>
  </si>
  <si>
    <t>Sanitation Districts of Los Angeles County</t>
  </si>
  <si>
    <t>Los Coyotes Water Reclamation Plant</t>
  </si>
  <si>
    <t>L.A. Bureau of Sanitation</t>
  </si>
  <si>
    <t>BBCCSD</t>
  </si>
  <si>
    <t>BBARWA</t>
  </si>
  <si>
    <t>Big Bear Area Regional Wastewater Agency (BBARWA)</t>
  </si>
  <si>
    <t>BBARWA WWTP</t>
  </si>
  <si>
    <t>City of Blythe</t>
  </si>
  <si>
    <t>Blythe Wastewater Treatment Plant</t>
  </si>
  <si>
    <t>City of Brawley</t>
  </si>
  <si>
    <t>City of Brawley WWTP</t>
  </si>
  <si>
    <t>City of Brea</t>
  </si>
  <si>
    <t>OC San</t>
  </si>
  <si>
    <t>City of Brentwood</t>
  </si>
  <si>
    <t>City of Brentwood Wastewater Treatment Plan</t>
  </si>
  <si>
    <t>City of Buena Park</t>
  </si>
  <si>
    <t>OCS San</t>
  </si>
  <si>
    <t>City of Burbank</t>
  </si>
  <si>
    <t>City of Burbank Department of Public Works</t>
  </si>
  <si>
    <t>City of Burlingame</t>
  </si>
  <si>
    <t>Burlingame Wastewater Treatment Plant</t>
  </si>
  <si>
    <t>West Point Wastewater Treatment Plant, Wilseyville Camp Wastewater Treatment Plant</t>
  </si>
  <si>
    <t>Douglas Flat/Vallecito Wastewater Treatment Plants</t>
  </si>
  <si>
    <t>City of Angels Camp</t>
  </si>
  <si>
    <t>City of Angels Wastewater Treatment Plant</t>
  </si>
  <si>
    <t>California American Water</t>
  </si>
  <si>
    <t>White Oaks Septic System</t>
  </si>
  <si>
    <t>Village Green Septic System</t>
  </si>
  <si>
    <t>City of Pacific Grove</t>
  </si>
  <si>
    <t>Montery One Water</t>
  </si>
  <si>
    <t>Pasadera/ Laguna Seca Ranch</t>
  </si>
  <si>
    <t>Carmel Valley Ranch WWTP</t>
  </si>
  <si>
    <t>Pacific Beach Community Services District</t>
  </si>
  <si>
    <t>Carmel Area Wastewater District</t>
  </si>
  <si>
    <t>City of Seaside, City of Sand City, City of Del Rey Oaks</t>
  </si>
  <si>
    <t>City of Monterey</t>
  </si>
  <si>
    <t>City of Isleton</t>
  </si>
  <si>
    <t>Sacramento Regional County Sanitation District</t>
  </si>
  <si>
    <t>City of San Diego</t>
  </si>
  <si>
    <t>City of San Diego Metropolitan Wastewater Department</t>
  </si>
  <si>
    <t>Point Loma Wastewater Treatment Plant &amp; South Bay Water Reclamation Plant</t>
  </si>
  <si>
    <t>City of Thousand Oaks</t>
  </si>
  <si>
    <t>City of Oxnard</t>
  </si>
  <si>
    <t>Los Angeles County Sanitation Districts</t>
  </si>
  <si>
    <t>Lancaster Water Reclamation Plant</t>
  </si>
  <si>
    <t>Los Angeles County Dept of Public Works</t>
  </si>
  <si>
    <t>Lake Hughes Community Wastewater Treatment Facility</t>
  </si>
  <si>
    <t>North of River Sanitation District</t>
  </si>
  <si>
    <t>North of River Sanitation District Wastewater Treatment Plant</t>
  </si>
  <si>
    <t>Wastewater Treatment Plant No.3</t>
  </si>
  <si>
    <t>Wastewater Treatment Plant No.2</t>
  </si>
  <si>
    <t>Kern Sanitation Authority</t>
  </si>
  <si>
    <t>Kern Sanitation Authority Wastewater Treatment Plant</t>
  </si>
  <si>
    <t>Silicon Valley Clean Water</t>
  </si>
  <si>
    <t>Woodside</t>
  </si>
  <si>
    <t>Portola Valley</t>
  </si>
  <si>
    <t>Menlo Park</t>
  </si>
  <si>
    <t>Atherton</t>
  </si>
  <si>
    <t>Hamilton City Community Services District</t>
  </si>
  <si>
    <t>Hamilton City CSD Water Treatment Facility</t>
  </si>
  <si>
    <t>City of Chico</t>
  </si>
  <si>
    <t>Chico-Hamilton Water Pollution Control Plant</t>
  </si>
  <si>
    <t>City of Dixon</t>
  </si>
  <si>
    <t>Dixon Wastewater Treatment Plant</t>
  </si>
  <si>
    <t>Central Basin Municipal Utility District</t>
  </si>
  <si>
    <t>King City</t>
  </si>
  <si>
    <t>King City Wastewater Treatment Plant</t>
  </si>
  <si>
    <t>City of Livermore</t>
  </si>
  <si>
    <t>Livermore Water Reclamation Plant</t>
  </si>
  <si>
    <t>City of Sunnyvale</t>
  </si>
  <si>
    <t>Cupertino Sanitary District</t>
  </si>
  <si>
    <t>City of San Jose, City of Santa Clara</t>
  </si>
  <si>
    <t>City of Los Altos, City of Mountain View, Town of Los Altos Hills</t>
  </si>
  <si>
    <t>City of Palo Alto</t>
  </si>
  <si>
    <t>Linda County Water District Wastewater Treatment Plant</t>
  </si>
  <si>
    <t>City of San Mateo</t>
  </si>
  <si>
    <t>San Mateo</t>
  </si>
  <si>
    <t>City of San Carlos</t>
  </si>
  <si>
    <t>City of Oroville</t>
  </si>
  <si>
    <t>Sewerage Commission Oroville Region</t>
  </si>
  <si>
    <t>Oceana Marin Treatment Station</t>
  </si>
  <si>
    <t>City of Santa Rosa</t>
  </si>
  <si>
    <t>Laguna Wastewater Treatment Plant</t>
  </si>
  <si>
    <t>Lake County Sanitation District</t>
  </si>
  <si>
    <t>Northwest Regional Wastewater Collection and Treatment System</t>
  </si>
  <si>
    <t>Russian River County Sanitation District</t>
  </si>
  <si>
    <t>Guerneville Treatment Plant</t>
  </si>
  <si>
    <t>Various Community Wastewater Treatment Facilities</t>
  </si>
  <si>
    <t>City of Salinas</t>
  </si>
  <si>
    <t>Monterey One</t>
  </si>
  <si>
    <t>City of Watsonville</t>
  </si>
  <si>
    <t>Watsonville Wastewater Treatment Facility</t>
  </si>
  <si>
    <t>Alco Water</t>
  </si>
  <si>
    <t>Toro Park Wastewater Treatment Facility</t>
  </si>
  <si>
    <t>Selma-Kingsbury-Fowler County Sanitation District</t>
  </si>
  <si>
    <t>Selma-Kingsbury-Fowler County Wastewater Treatment Plant</t>
  </si>
  <si>
    <t>City of South San Francisco and City of Colma</t>
  </si>
  <si>
    <t>City of South San Francisco and City of San Bruno</t>
  </si>
  <si>
    <t>City of Visalia</t>
  </si>
  <si>
    <t>Visalia Water Conservation Plant</t>
  </si>
  <si>
    <t>Triunfo Sanitation District</t>
  </si>
  <si>
    <t>Las Virgenes Municipal Water District and Triunfo Sanitation District</t>
  </si>
  <si>
    <t>City of Willows</t>
  </si>
  <si>
    <t>Willows Wastewater Treatment Plant</t>
  </si>
  <si>
    <t>Camarillo Sanitary District</t>
  </si>
  <si>
    <t>Cambria Community Services District</t>
  </si>
  <si>
    <t>Camrosa Water Reclamation Facility</t>
  </si>
  <si>
    <t>Encina Pollution Control Facility</t>
  </si>
  <si>
    <t>Leucadia Wastewater District</t>
  </si>
  <si>
    <t>Sac Regional</t>
  </si>
  <si>
    <t>Carpinteria Sanitary District</t>
  </si>
  <si>
    <t>CSD Wastewater Treatment Facility</t>
  </si>
  <si>
    <t>City of Ceres</t>
  </si>
  <si>
    <t>Water Quality Control Facility</t>
  </si>
  <si>
    <t>City of Turlock</t>
  </si>
  <si>
    <t>Long Beach WRP and Joint Water Pollution Control Plant</t>
  </si>
  <si>
    <t>City of Chino</t>
  </si>
  <si>
    <t>City of Chino Hills</t>
  </si>
  <si>
    <t>Carbon Canyon Recycling</t>
  </si>
  <si>
    <t>Sacramento Area Sewer District</t>
  </si>
  <si>
    <t>City of Cloverdale</t>
  </si>
  <si>
    <t>City of Clovis</t>
  </si>
  <si>
    <t>Coachella Sanitary District</t>
  </si>
  <si>
    <t>CVWD</t>
  </si>
  <si>
    <t>Granada Community Services District</t>
  </si>
  <si>
    <t>City of Half Moon Bay</t>
  </si>
  <si>
    <t>City of Colton</t>
  </si>
  <si>
    <t>CCCSD</t>
  </si>
  <si>
    <t>CCCSD WWTP</t>
  </si>
  <si>
    <t>ISD</t>
  </si>
  <si>
    <t>ISD WWTP</t>
  </si>
  <si>
    <t>MVSD</t>
  </si>
  <si>
    <t>MVSD WWTP</t>
  </si>
  <si>
    <t>City of Corcoran WWTP</t>
  </si>
  <si>
    <t>SJCWRP and JWPCP</t>
  </si>
  <si>
    <t>City of Crescent City</t>
  </si>
  <si>
    <t>Los Angeles-Glendale Water Reclamation Plant</t>
  </si>
  <si>
    <t>Crestline Sanitation District</t>
  </si>
  <si>
    <t>Seeley Creek</t>
  </si>
  <si>
    <t>North San Mateo County Sanitation District</t>
  </si>
  <si>
    <t>City of Davis</t>
  </si>
  <si>
    <t>WTP</t>
  </si>
  <si>
    <t>City of Palm Springs</t>
  </si>
  <si>
    <t>Ironhouse Sanitary District</t>
  </si>
  <si>
    <t>Ironhouse Sanitary District Wastewater Treatment Plant</t>
  </si>
  <si>
    <t>City of Dinuba</t>
  </si>
  <si>
    <t>Town of Discovery Bay Community Services District</t>
  </si>
  <si>
    <t>WWTP No. 1 and No. 2</t>
  </si>
  <si>
    <t>DSRSD (City of Dublin) (See Note 2)</t>
  </si>
  <si>
    <t>DSRSD</t>
  </si>
  <si>
    <t>DSRSD WWTP</t>
  </si>
  <si>
    <t>DSRSD (Dougherty Valley) (See Note 3)</t>
  </si>
  <si>
    <t>Crockett Sanitary Department</t>
  </si>
  <si>
    <t>Crockett Sanitary District</t>
  </si>
  <si>
    <t>Joint Use Philip F. Meads Water Treatment Plant</t>
  </si>
  <si>
    <t>Oro Loma Sanitary District</t>
  </si>
  <si>
    <t>Oro Loma Sanitary District/Castro Valley Sanitary District Water Pollution Control Plant</t>
  </si>
  <si>
    <t>EBMUD Special District No.1</t>
  </si>
  <si>
    <t>Main Wastewater Treament Plant</t>
  </si>
  <si>
    <t>City of San Leandro</t>
  </si>
  <si>
    <t>San Leandro Water Pollution Control Plant</t>
  </si>
  <si>
    <t>Dublin San Ramon Service District</t>
  </si>
  <si>
    <t>Regional Wastewater Treatment Facility</t>
  </si>
  <si>
    <t>Central Contra Costa Sanitary District</t>
  </si>
  <si>
    <t>City of Pinole/Hercules</t>
  </si>
  <si>
    <t>Pinole</t>
  </si>
  <si>
    <t>Pinole-Hercules Water Pollution Control Plant</t>
  </si>
  <si>
    <t>City of Richmond</t>
  </si>
  <si>
    <t>Richmond Water Pollution Control Plant</t>
  </si>
  <si>
    <t>West County Wastewater</t>
  </si>
  <si>
    <t>Water Pollution Control Plant</t>
  </si>
  <si>
    <t>Rodeo Sanitary District Water Pollution Control Facility</t>
  </si>
  <si>
    <t>ENCSD</t>
  </si>
  <si>
    <t>Wastewater Treatment Plant No. 2</t>
  </si>
  <si>
    <t>EOCWD</t>
  </si>
  <si>
    <t>Plant 1 and/or 2</t>
  </si>
  <si>
    <t>East Palo Alto Sanitary District</t>
  </si>
  <si>
    <t>West Bay Sanitary District</t>
  </si>
  <si>
    <t>City of San Bernardino</t>
  </si>
  <si>
    <t>San Bernardino Water Reclamation Plant (WRP)</t>
  </si>
  <si>
    <t>City of El Centro</t>
  </si>
  <si>
    <t>City of El Segundo</t>
  </si>
  <si>
    <t>City of Los Angeles</t>
  </si>
  <si>
    <t>Hyperion Treatment Plant</t>
  </si>
  <si>
    <t>JWPCP</t>
  </si>
  <si>
    <t>Sacramento Regional</t>
  </si>
  <si>
    <t>EVMWD</t>
  </si>
  <si>
    <t>SRRRA (1)</t>
  </si>
  <si>
    <t>Santa Rosa WRF</t>
  </si>
  <si>
    <t>Railroad Canyon WRF</t>
  </si>
  <si>
    <t>Regional WRF</t>
  </si>
  <si>
    <t>City of Escondido</t>
  </si>
  <si>
    <t>EMID/City of Foster City Public Works Department</t>
  </si>
  <si>
    <t>City or Eureka</t>
  </si>
  <si>
    <t>Elk River Wastewate Treatment Plant</t>
  </si>
  <si>
    <t>Sacramento Regional WWTP</t>
  </si>
  <si>
    <t>Fairfiels-Suisun Sewer District (FSSD)</t>
  </si>
  <si>
    <t>FSSD Wastewater Treatment Plant</t>
  </si>
  <si>
    <t>Sacramento Regional County Sanitation District (SRCSD)</t>
  </si>
  <si>
    <t>SRCSD WWTP</t>
  </si>
  <si>
    <t>City of Fortuna</t>
  </si>
  <si>
    <t>City of Fountain Valley</t>
  </si>
  <si>
    <t>City of Fullerton</t>
  </si>
  <si>
    <t>City of Galt</t>
  </si>
  <si>
    <t>City of Garden Grove</t>
  </si>
  <si>
    <t>City of Gilroy</t>
  </si>
  <si>
    <t>South County Regional Wastewater Authority (SCRWA)</t>
  </si>
  <si>
    <t>SCRWA Wastewater Treatment Plant (SCRWA WWTP)</t>
  </si>
  <si>
    <t>Glendale Dept of Public Works</t>
  </si>
  <si>
    <t>LA Sanitation</t>
  </si>
  <si>
    <t>SJCWRP, JWPCP</t>
  </si>
  <si>
    <t>Long Beach Water Reclimation Plant</t>
  </si>
  <si>
    <t>City of Barstow</t>
  </si>
  <si>
    <t>Delta Diablo Sanitation District</t>
  </si>
  <si>
    <t>Delta Diablo WWTP</t>
  </si>
  <si>
    <t>Los Coyotes WRP</t>
  </si>
  <si>
    <t>PWRP and JWPCP</t>
  </si>
  <si>
    <t>Sacramento Regional Sanitation District</t>
  </si>
  <si>
    <t>City of Culver City</t>
  </si>
  <si>
    <t>Hyperion WWTP</t>
  </si>
  <si>
    <t>Laguna County CSD</t>
  </si>
  <si>
    <t>OCCSD</t>
  </si>
  <si>
    <t>Plant 1 and 2</t>
  </si>
  <si>
    <t>City of Simi Valley</t>
  </si>
  <si>
    <t>San Jose Creek WRP and Wittier Narrows WRP</t>
  </si>
  <si>
    <t>Whittier Narrows WRP</t>
  </si>
  <si>
    <t>Goleta Sanitary District</t>
  </si>
  <si>
    <t>Goleta Sanitary District Wastewater Treatment Plant</t>
  </si>
  <si>
    <t>Goleta West Sanitary District</t>
  </si>
  <si>
    <t>City of Bakersfield Public Works</t>
  </si>
  <si>
    <t>City of Grover Beach</t>
  </si>
  <si>
    <t>San Luis Obispo County Sanitation District</t>
  </si>
  <si>
    <t>SSLOCSD WWTP</t>
  </si>
  <si>
    <t>City of Hanford</t>
  </si>
  <si>
    <t>City of Hayward</t>
  </si>
  <si>
    <t>City of Healdsburg</t>
  </si>
  <si>
    <t>City of El Cajon</t>
  </si>
  <si>
    <t>City of La Mesa</t>
  </si>
  <si>
    <t>County of San Diego</t>
  </si>
  <si>
    <t>Lemon Grove Sanitation District</t>
  </si>
  <si>
    <t>San Jacinto Valley Regional Water Reclamation Facility</t>
  </si>
  <si>
    <t>City of Hesperia</t>
  </si>
  <si>
    <t>Regional WWTP</t>
  </si>
  <si>
    <t>Hi-Desert Water District</t>
  </si>
  <si>
    <t>Town of Hillsborough</t>
  </si>
  <si>
    <t>City of San Mateo Wastewater Treatment Plant</t>
  </si>
  <si>
    <t>City of Hollister</t>
  </si>
  <si>
    <t>Humboldt Community Services Deistrict</t>
  </si>
  <si>
    <t>ELK RIVER WASTEWATER TREATMENT PLANT</t>
  </si>
  <si>
    <t>City of Huntington Beach</t>
  </si>
  <si>
    <t>City of Huntington Park</t>
  </si>
  <si>
    <t>City of Ridgecrest</t>
  </si>
  <si>
    <t>Valley Sanitary District</t>
  </si>
  <si>
    <t>SMWD</t>
  </si>
  <si>
    <t>Chiquita Water Reclamation Plant</t>
  </si>
  <si>
    <t>IRWD1</t>
  </si>
  <si>
    <t>LAWRP2</t>
  </si>
  <si>
    <t>JCSD</t>
  </si>
  <si>
    <t>Santa Ana Watershed Project Authority</t>
  </si>
  <si>
    <t>Orange County Sanitation District</t>
  </si>
  <si>
    <t>Western Riverside County Regional Wastewater Authority (WRCRWA)</t>
  </si>
  <si>
    <t>City of Riverside</t>
  </si>
  <si>
    <t>City of La Habra</t>
  </si>
  <si>
    <t>City of La Palma</t>
  </si>
  <si>
    <t>Pomona WRP, San Jose Creek WRP, Joint Water Pollution Control Plant</t>
  </si>
  <si>
    <t>City of Laguna Beach</t>
  </si>
  <si>
    <t>South Orange County Wastewater Authority</t>
  </si>
  <si>
    <t>EWMD</t>
  </si>
  <si>
    <t>EMWD</t>
  </si>
  <si>
    <t>Long Beach Water Reclamation Plant (LBWRP)</t>
  </si>
  <si>
    <t>JPA (LVMWD, TWSD)</t>
  </si>
  <si>
    <t>Lathrop Consolidated Treatment Facility</t>
  </si>
  <si>
    <t>Manteca Wastewater Quality Control Facility</t>
  </si>
  <si>
    <t>Los Coyotes Water Reclamation Plant and Joint Water Pollution Control Plant</t>
  </si>
  <si>
    <t>City of Lincoln</t>
  </si>
  <si>
    <t>Wastewater Treatment and Reclamation Facility</t>
  </si>
  <si>
    <t>La Canada Wastewater Treatment Plant</t>
  </si>
  <si>
    <t>Linda County Water District WWTP</t>
  </si>
  <si>
    <t>City of Livingston Domestic WWTP</t>
  </si>
  <si>
    <t>City of Lodi</t>
  </si>
  <si>
    <t>White Slough Water Pollution Control Facility</t>
  </si>
  <si>
    <t>City of Loma Linda</t>
  </si>
  <si>
    <t>LA County Consolidated Sewer Maintenance District (CSMD)</t>
  </si>
  <si>
    <t>City of Lompoc</t>
  </si>
  <si>
    <t>Regional Wastewater Reclamation Plant</t>
  </si>
  <si>
    <t>LASAN</t>
  </si>
  <si>
    <t>Los Angeles County Department of Public Works</t>
  </si>
  <si>
    <t>City of Malibu</t>
  </si>
  <si>
    <t>City of Lancaster, City of Palmdale, Los Angeles County Department Public Works</t>
  </si>
  <si>
    <t>Los Angeles County Sanitation District 14</t>
  </si>
  <si>
    <t>City of Palmdale, Los Angeles County Department Public Works</t>
  </si>
  <si>
    <t>Los Angeles County Sanitation District 20</t>
  </si>
  <si>
    <t>Palmdate WRP</t>
  </si>
  <si>
    <t>City of Los Banos</t>
  </si>
  <si>
    <t>City of Los Banos WWTP</t>
  </si>
  <si>
    <t>City of Lynwood</t>
  </si>
  <si>
    <t>City of Manhattan Beach</t>
  </si>
  <si>
    <t>Alto Sanitary District</t>
  </si>
  <si>
    <t>SASM</t>
  </si>
  <si>
    <t>SASM Plant</t>
  </si>
  <si>
    <t>San Quentin State Prison</t>
  </si>
  <si>
    <t>Central Marin Sanitation Agency (CMSA)</t>
  </si>
  <si>
    <t>CMSA Plant</t>
  </si>
  <si>
    <t>Richardson Bay Sanitary District</t>
  </si>
  <si>
    <t>San Rafael Sanitation District</t>
  </si>
  <si>
    <t>CMSA</t>
  </si>
  <si>
    <t>Sanitary District No. 1 (Ross Valley)</t>
  </si>
  <si>
    <t>Sanitary District No. 2 (Corte Madera)</t>
  </si>
  <si>
    <t>City of Sausalito</t>
  </si>
  <si>
    <t>SMCSD</t>
  </si>
  <si>
    <t>SMCSD Plant</t>
  </si>
  <si>
    <t>Almonte Sanitary District</t>
  </si>
  <si>
    <t>Sewerage Agency of Southern Marin (SASM)</t>
  </si>
  <si>
    <t>Homestead Valley Sanitary District</t>
  </si>
  <si>
    <t>City of Mill Valley</t>
  </si>
  <si>
    <t>Tamalpais Community Services District</t>
  </si>
  <si>
    <t>SASM; Sausalito-Marin City Sanitary District (SMCSD)</t>
  </si>
  <si>
    <t>SASM Plant; SMCSD Plant</t>
  </si>
  <si>
    <t>Las Gallinas Valley Sanitary District (LGVSD)</t>
  </si>
  <si>
    <t>LGVSD Plant</t>
  </si>
  <si>
    <t>Sanitary District No. 5 (Paradise Cove)</t>
  </si>
  <si>
    <t>Sanitary District No. 5</t>
  </si>
  <si>
    <t>Paradise Cove Treatment Plant</t>
  </si>
  <si>
    <t>Sanitary District No. 5 (Tiburon)</t>
  </si>
  <si>
    <t>Tiburon Main Treatment Plant</t>
  </si>
  <si>
    <t>National Park Service (Fort Baker)</t>
  </si>
  <si>
    <t>MCWD-Marina</t>
  </si>
  <si>
    <t>Monterey One Water</t>
  </si>
  <si>
    <t>M1W Regional Treatment Plant</t>
  </si>
  <si>
    <t>MCWD-Airport</t>
  </si>
  <si>
    <t>MCWD-Ord</t>
  </si>
  <si>
    <t>City of McFarland</t>
  </si>
  <si>
    <t>City of McFarland WWTP</t>
  </si>
  <si>
    <t>Wastewater Management Faciltiy</t>
  </si>
  <si>
    <t>City of Merced</t>
  </si>
  <si>
    <t>Merced Wastewater Treatment Facility</t>
  </si>
  <si>
    <t>Costa Mesa Sanitary District (CMSD)</t>
  </si>
  <si>
    <t>Belmont</t>
  </si>
  <si>
    <t>Silicon Valley Clean water (SVCW)</t>
  </si>
  <si>
    <t>San Carlos</t>
  </si>
  <si>
    <t>City of Millbrae WPCP</t>
  </si>
  <si>
    <t>City of Milpitas</t>
  </si>
  <si>
    <t>City of San Jose</t>
  </si>
  <si>
    <t>San Jose/Santa Clara Water Pollution Control Plant</t>
  </si>
  <si>
    <t>MSWD</t>
  </si>
  <si>
    <t>Jennings Road Treatment Plant</t>
  </si>
  <si>
    <t>Salida Sanitary Sewer District</t>
  </si>
  <si>
    <t>Salida Sanitary Treatment Plant</t>
  </si>
  <si>
    <t>Sutter Avenue Primary Treatment Plant</t>
  </si>
  <si>
    <t>Grayson Community Services District</t>
  </si>
  <si>
    <t>Grayson WWTP</t>
  </si>
  <si>
    <t>Del Rio</t>
  </si>
  <si>
    <t>Del Rio Community Services Corporation</t>
  </si>
  <si>
    <t>N/A - septic systems and packaged plants</t>
  </si>
  <si>
    <t>WNWRP, SJCWRP, JWPCP</t>
  </si>
  <si>
    <t>City of Montclair</t>
  </si>
  <si>
    <t>RP-1 &amp; RP-4</t>
  </si>
  <si>
    <t>Sanitation District of Los Angeles County</t>
  </si>
  <si>
    <t>Summerland Sanitary District</t>
  </si>
  <si>
    <t>Montecito Sanitary District</t>
  </si>
  <si>
    <t>Montecito Santiary District</t>
  </si>
  <si>
    <t>City of Santa Barbara</t>
  </si>
  <si>
    <t>WNWRP and JWPCP</t>
  </si>
  <si>
    <t>City of Morgan Hill</t>
  </si>
  <si>
    <t>City of Morro Bay / Cayucos</t>
  </si>
  <si>
    <t>City of Morro Bay and Cayucos Sanitary District</t>
  </si>
  <si>
    <t>South Orange County Wastewater Agency</t>
  </si>
  <si>
    <t>MHCSD</t>
  </si>
  <si>
    <t>City of Mountain View</t>
  </si>
  <si>
    <t>Palo Alto Regional Water Control Plant</t>
  </si>
  <si>
    <t>Nevada City</t>
  </si>
  <si>
    <t>City of Grass Valley</t>
  </si>
  <si>
    <t>City of Auburn</t>
  </si>
  <si>
    <t>Newport Beach</t>
  </si>
  <si>
    <t>Nipomo CSD</t>
  </si>
  <si>
    <t>Western Riverside County Regional Wastewater Authority</t>
  </si>
  <si>
    <t>City of Pacifica</t>
  </si>
  <si>
    <t>Novato Sanitary District</t>
  </si>
  <si>
    <t>Deer Island Water Recycling Plant</t>
  </si>
  <si>
    <t>Davidson St.</t>
  </si>
  <si>
    <t>Tahoe-Truckee Sanitation Agency</t>
  </si>
  <si>
    <t>TTSA Water Reclamation Plant</t>
  </si>
  <si>
    <t>Norwalk</t>
  </si>
  <si>
    <t>Los Coyotes WRP/ JWPCP</t>
  </si>
  <si>
    <t>City of Oakdale</t>
  </si>
  <si>
    <t>Oakdale</t>
  </si>
  <si>
    <t>USMC Camp Pendleton</t>
  </si>
  <si>
    <t>SRTTP</t>
  </si>
  <si>
    <t>La Salina WWTP</t>
  </si>
  <si>
    <t>Oildale Mutual Water Company</t>
  </si>
  <si>
    <t>NORSD</t>
  </si>
  <si>
    <t>Olivehurst Public Utility District</t>
  </si>
  <si>
    <t>OPUD Wastewater Treatment Plant</t>
  </si>
  <si>
    <t>Encina WA</t>
  </si>
  <si>
    <t>Encina WPCF</t>
  </si>
  <si>
    <t>Fairbanks Ranch CSD</t>
  </si>
  <si>
    <t>Fairbanks Ranch WPCF</t>
  </si>
  <si>
    <t>Encinitas â€“ Cardiff</t>
  </si>
  <si>
    <t>San Elijo JPA</t>
  </si>
  <si>
    <t>OMWD</t>
  </si>
  <si>
    <t>Olivenhain MWD</t>
  </si>
  <si>
    <t>Rancho Santa Fe CSD</t>
  </si>
  <si>
    <t>RSF WRF</t>
  </si>
  <si>
    <t>Point Loma WWTP</t>
  </si>
  <si>
    <t>City of Solana Beach</t>
  </si>
  <si>
    <t>Whispering Palms CSD</t>
  </si>
  <si>
    <t>Encinitas â€“ Encinitas</t>
  </si>
  <si>
    <t>RP-1 and RP-5</t>
  </si>
  <si>
    <t>City of Orange</t>
  </si>
  <si>
    <t>Sacramento Area Service District</t>
  </si>
  <si>
    <t>La Canada WRP, Joint Water Pollution Control Plan</t>
  </si>
  <si>
    <t>San Diego County Spring Valley Sanitation District</t>
  </si>
  <si>
    <t>City of Chula Vista</t>
  </si>
  <si>
    <t>District</t>
  </si>
  <si>
    <t>Metro</t>
  </si>
  <si>
    <t>Los Angeles County Sanitation Districts (LACSD)</t>
  </si>
  <si>
    <t>LACSD District No. 20</t>
  </si>
  <si>
    <t>LACSD - JOS</t>
  </si>
  <si>
    <t>San Jose Creek WRP</t>
  </si>
  <si>
    <t>Pomona WRP</t>
  </si>
  <si>
    <t>La Canada WRP</t>
  </si>
  <si>
    <t>Long Beach WRP</t>
  </si>
  <si>
    <t>City of Paso Robles</t>
  </si>
  <si>
    <t>City of Patterson</t>
  </si>
  <si>
    <t>City of Petaluma</t>
  </si>
  <si>
    <t>City of Pico Rivera</t>
  </si>
  <si>
    <t>City of Pismo Beach</t>
  </si>
  <si>
    <t>Delta Diablo (Sanitation District)</t>
  </si>
  <si>
    <t>Delta Diablo Wastewater Treatment Plan</t>
  </si>
  <si>
    <t>Placer County</t>
  </si>
  <si>
    <t>City of Lincoln and City of Roseville</t>
  </si>
  <si>
    <t>Lincoln WWTP, Dry Creek WWTP &amp; Pleasant Grove WWTP</t>
  </si>
  <si>
    <t>South Placer Municipal Utility District</t>
  </si>
  <si>
    <t>Dry Creek Wastewater Treatment Plant (WWTP) &amp; Pleasant Grove WWTP</t>
  </si>
  <si>
    <t>City of Pleasanton (Ruby Hills Development)</t>
  </si>
  <si>
    <t>LWRP</t>
  </si>
  <si>
    <t>City of Pleasanton</t>
  </si>
  <si>
    <t>OWTP</t>
  </si>
  <si>
    <t>City of Porterville</t>
  </si>
  <si>
    <t>City of Poway</t>
  </si>
  <si>
    <t>Hale Avenue Resource Recovery Facilities (HARRF)</t>
  </si>
  <si>
    <t>San Diego Metropolitan Wastewater Department</t>
  </si>
  <si>
    <t>North City Water Reclamation Plant (NCWRP)</t>
  </si>
  <si>
    <t>San Luis Rey WWTP</t>
  </si>
  <si>
    <t>San Vicente Water Reclamantion Plant</t>
  </si>
  <si>
    <t>Santa Maria Water Reclamation Plant</t>
  </si>
  <si>
    <t>Santa Rosa Regional Resources Agency</t>
  </si>
  <si>
    <t>City of Red Bluff</t>
  </si>
  <si>
    <t>Wastewater Reclamation Plant</t>
  </si>
  <si>
    <t>Stillwater and Clear Creek</t>
  </si>
  <si>
    <t>City of Redlands</t>
  </si>
  <si>
    <t>Redlands WWTP</t>
  </si>
  <si>
    <t>City of Redwood City</t>
  </si>
  <si>
    <t>City of Rialto</t>
  </si>
  <si>
    <t>Rincon del Diablo MWD</t>
  </si>
  <si>
    <t>Harmony Grove Water Reclamation Plant</t>
  </si>
  <si>
    <t>Rio Linda - Elverta Community Water District</t>
  </si>
  <si>
    <t>Sacramento County Regional Sanitation District</t>
  </si>
  <si>
    <t>City of Rio Vista</t>
  </si>
  <si>
    <t>Riverbank CS</t>
  </si>
  <si>
    <t>City of Riverbank</t>
  </si>
  <si>
    <t>Riverbank WWTP</t>
  </si>
  <si>
    <t>City of Rohnert Park</t>
  </si>
  <si>
    <t>Laguna Water Reclamation Plant</t>
  </si>
  <si>
    <t>Dry Creek WTP</t>
  </si>
  <si>
    <t>Regional County Sanitation District</t>
  </si>
  <si>
    <t>CSA 64</t>
  </si>
  <si>
    <t>CSA 70J</t>
  </si>
  <si>
    <t>City of San Bruno</t>
  </si>
  <si>
    <t>City of South San Francisco</t>
  </si>
  <si>
    <t>South San Francisco-San Bruno Water Quality Control Plant</t>
  </si>
  <si>
    <t>San Clemente</t>
  </si>
  <si>
    <t>San Clemente/SOCWA</t>
  </si>
  <si>
    <t>San Diego Public Utilities Department</t>
  </si>
  <si>
    <t>North City Reclamation Plant</t>
  </si>
  <si>
    <t>Cardiff Sanitary Division (CSD)</t>
  </si>
  <si>
    <t>San Elijo Joint Powers Authority (SEJPA)</t>
  </si>
  <si>
    <t>San Elijo Water Reclamation Facility (SEWRF)</t>
  </si>
  <si>
    <t>Leucadia Wastewater District (LWWD)</t>
  </si>
  <si>
    <t>Encina Wastewater Authority (EWA)</t>
  </si>
  <si>
    <t>Encinitas Sanitary Division (ESD)</t>
  </si>
  <si>
    <t>City and County of San Francisco 2</t>
  </si>
  <si>
    <t>City and County of San Francisco</t>
  </si>
  <si>
    <t>Mel Leong Treatment Plant</t>
  </si>
  <si>
    <t>US Navy</t>
  </si>
  <si>
    <t>US Navy and Treasure Island Development Authority</t>
  </si>
  <si>
    <t>Treasure Island Wastewater Treatment Plant</t>
  </si>
  <si>
    <t>SFPUC 1</t>
  </si>
  <si>
    <t>Southeast Water Pollution Control Plant</t>
  </si>
  <si>
    <t>Oceanside Water Pollution Control Plant</t>
  </si>
  <si>
    <t>Whittier Narrows WRP and Joint Water Pollution Control Plant</t>
  </si>
  <si>
    <t>City of Fontana</t>
  </si>
  <si>
    <t>IEUA RP-4</t>
  </si>
  <si>
    <t>City of Rialto WWTP</t>
  </si>
  <si>
    <t>San Jacinto Valley Regional Water Reclamation Plant</t>
  </si>
  <si>
    <t>City of San JosÃ©</t>
  </si>
  <si>
    <t>City of San JosÃ©/Santa Clara</t>
  </si>
  <si>
    <t>Burbank Sanitary District (SD), City of San Jose, Cupertino SD, County SD 2-3, West Valley SD</t>
  </si>
  <si>
    <t>City of Scotts Valley</t>
  </si>
  <si>
    <t>City of Santa Ana</t>
  </si>
  <si>
    <t>County Service Area</t>
  </si>
  <si>
    <t>Goleta WWTP</t>
  </si>
  <si>
    <t>Santa Clarita Valley Sanitation District</t>
  </si>
  <si>
    <t>Santa Cruz County Sanitation District</t>
  </si>
  <si>
    <t>City of Santa Cruz</t>
  </si>
  <si>
    <t>FRWTP</t>
  </si>
  <si>
    <t>RSFWRF</t>
  </si>
  <si>
    <t>SEWRF</t>
  </si>
  <si>
    <t>Los Coyotes Water Reclamation and Long Beach Water Reclamation Plant</t>
  </si>
  <si>
    <t>City of San Clemente</t>
  </si>
  <si>
    <t>City of San Clemente Water Reclamation Plant</t>
  </si>
  <si>
    <t>Los Alisos Water Recycling Plant</t>
  </si>
  <si>
    <t>Oso Creek Water Reclamation Plant</t>
  </si>
  <si>
    <t>City of Santa Maria</t>
  </si>
  <si>
    <t>City of Santa Monica</t>
  </si>
  <si>
    <t>City of Santa Paula</t>
  </si>
  <si>
    <t>Santa Paula</t>
  </si>
  <si>
    <t>Santa Rosa Regional System</t>
  </si>
  <si>
    <t>Laguna WWTP</t>
  </si>
  <si>
    <t>The City of Seal Beach</t>
  </si>
  <si>
    <t>City of Villa Park</t>
  </si>
  <si>
    <t>Reclamation Plant No 1 or Treatment Plant No. 2</t>
  </si>
  <si>
    <t>NORSD/City of Shafter</t>
  </si>
  <si>
    <t>Wastewater Treatment Plant (WWTP)</t>
  </si>
  <si>
    <t>City of Shasta Lake</t>
  </si>
  <si>
    <t>City of Sierra Madre</t>
  </si>
  <si>
    <t>SJCWRP and WNWRP</t>
  </si>
  <si>
    <t>Long Beach Water Reclamation Plant / Joint Water Pollution Control Plant</t>
  </si>
  <si>
    <t>City of Soledad</t>
  </si>
  <si>
    <t>Sonoma Valley Wastewater Treatment Plant</t>
  </si>
  <si>
    <t>Santa Cruz Wastewater Treatment Facility</t>
  </si>
  <si>
    <t>SCWD</t>
  </si>
  <si>
    <t>JB Latham Plant/CTP</t>
  </si>
  <si>
    <t>Sewerage Commission-Oroville Region (SC-OR)</t>
  </si>
  <si>
    <t>Lake Oroville Area Public Utility District (LOAPUD)</t>
  </si>
  <si>
    <t>City of South Gate</t>
  </si>
  <si>
    <t>Henry N. Wochholz WWTP</t>
  </si>
  <si>
    <t>COSMUD</t>
  </si>
  <si>
    <t>Whittier Narrow</t>
  </si>
  <si>
    <t>San Jose</t>
  </si>
  <si>
    <t>Sunnyslope</t>
  </si>
  <si>
    <t>metered</t>
  </si>
  <si>
    <t>SSCWD</t>
  </si>
  <si>
    <t>Ridgemark WWTP</t>
  </si>
  <si>
    <t>Metro Wastewater Joint Powers Authority</t>
  </si>
  <si>
    <t>City of San Diego Public Utilities Department</t>
  </si>
  <si>
    <t>Russian River County Sanitation District Treatment Plant</t>
  </si>
  <si>
    <t>TCPUD</t>
  </si>
  <si>
    <t>gfdhsh</t>
  </si>
  <si>
    <t>sfdgf</t>
  </si>
  <si>
    <t>sdfgf</t>
  </si>
  <si>
    <t>City of Torrance</t>
  </si>
  <si>
    <t>Tapia W.R.F.</t>
  </si>
  <si>
    <t>Truckee Sanitary District</t>
  </si>
  <si>
    <t>Tahoe Truckee Sanitation Agency</t>
  </si>
  <si>
    <t>City of Tulare</t>
  </si>
  <si>
    <t>Jamestown Sanitary District</t>
  </si>
  <si>
    <t>JSD Wastewater Treatment Plant</t>
  </si>
  <si>
    <t>Twain Harte Community Services District</t>
  </si>
  <si>
    <t>Plant No. 1 and No. 2</t>
  </si>
  <si>
    <t>City of Ukiah</t>
  </si>
  <si>
    <t>RP-1 and CCWRF</t>
  </si>
  <si>
    <t>City of Vacaville</t>
  </si>
  <si>
    <t>Encina Water Pollution Control Agency</t>
  </si>
  <si>
    <t>Meadowlark Water Reclamation Facility</t>
  </si>
  <si>
    <t>Vallejo Flood and Wastewater District</t>
  </si>
  <si>
    <t>VCMWD</t>
  </si>
  <si>
    <t>City of Escondido (2)</t>
  </si>
  <si>
    <t>Hale Avenue Resource Recovery Facility (HARRF)</t>
  </si>
  <si>
    <t>WNWRP and SJCWRP</t>
  </si>
  <si>
    <t>City of Bakersfield Waste Water Treatment Plant #3</t>
  </si>
  <si>
    <t>Plant #3</t>
  </si>
  <si>
    <t>Ventura County Waterworks District No. 1 (VCWWD No. 1)</t>
  </si>
  <si>
    <t>VCWWD No. 1</t>
  </si>
  <si>
    <t>Moorpark Wastewater Reclamation Facility  (MWRF)</t>
  </si>
  <si>
    <t>City of Simi Valley Sanitation Department</t>
  </si>
  <si>
    <t>City of Simi Valley Water Quality Control Plant</t>
  </si>
  <si>
    <t>City of Vernon</t>
  </si>
  <si>
    <t>The City of Victorville</t>
  </si>
  <si>
    <t>Victor Valley Wastewater Reclamation Authority WWTP</t>
  </si>
  <si>
    <t>Buena Sanitation District</t>
  </si>
  <si>
    <t>Encina Water Polluction Control Facility</t>
  </si>
  <si>
    <t>City of Vista</t>
  </si>
  <si>
    <t>City of Wasco</t>
  </si>
  <si>
    <t>City of Taft and Ford City /Taft Heights Sanitation District</t>
  </si>
  <si>
    <t>Taft Wastewater Treatment Facility</t>
  </si>
  <si>
    <t>Rialto Wastewater Treatment Plant</t>
  </si>
  <si>
    <t>Colton WWTP</t>
  </si>
  <si>
    <t>Recycled Plant No. 4</t>
  </si>
  <si>
    <t>Lytle Creek North Water Reclamation Plant</t>
  </si>
  <si>
    <t>Daly City Wastewater Treatment Plant</t>
  </si>
  <si>
    <t>Western Riverside County Regional Wastewater Treatment Plant</t>
  </si>
  <si>
    <t>Midway City Sanitation District (MCSD)</t>
  </si>
  <si>
    <t>Los Coyotes Water Reclamation Plant and Long Beach Water Reclamation Plant</t>
  </si>
  <si>
    <t>Windsor Water District</t>
  </si>
  <si>
    <t>City of Woodland</t>
  </si>
  <si>
    <t>City of Yreka</t>
  </si>
  <si>
    <t>City of Yuba City</t>
  </si>
  <si>
    <t>HWRWRF</t>
  </si>
  <si>
    <r>
      <t xml:space="preserve">Contingent Water Management Options Assumptions Page </t>
    </r>
    <r>
      <rPr>
        <b/>
        <sz val="20"/>
        <color rgb="FFFF0000"/>
        <rFont val="Calibri"/>
        <family val="2"/>
        <scheme val="minor"/>
      </rPr>
      <t>DRAFT</t>
    </r>
  </si>
  <si>
    <t>There are three categories of variables that need to be set on this page including:
1) Contingency Conservation Campaigns
2) Water Market Transfers
3) Rationing Programs and Economic Loss Function Assumptions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</si>
  <si>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The model assumes contingency conservation campaigns are initiated whenever there is a shortage in available water supplies compared to current quantity demanded or in response to low carryover storage availability. Here users define the sse reduction with contingency conservation campaign,  the ratio of that reduction that is cut from interior use, the cost for contingency conservation campaigns, the demand hardening adjustment factor, population, and storage volume threshold to trigger contingency conservation management options.</t>
  </si>
  <si>
    <t>Contingency Conservation Publicity Campaign Cost ($/capita)</t>
  </si>
  <si>
    <t>If supplies are less than demand in the dry or critical year type, and the marginal water supply for the provider is a water transfer, then end-use shortages up to a percentage are applied first. Then, providers can acquire transfer supplies to eliminate shortfalls up to the maximum transfer limit indicated on the System Operations Assumptions page. These supplies have unit costs specific to the dry and critical condition. Thereafter it is assumed that end-users must take additional shortage.
Water Transfer costs represent the cost each water district faces in acquiring water through a market transfer in a given water year. Costs are based on the unit values developed for the Water Storage Investment Program's technical guidance, which modelled values by region (Sacramento Valley, Delta Export, Friant Service Area, and Eastside San Joaquin), water year type (wet, above normal, below normal, dry, and critical), and future condition (2030, and 2045 after full SGMA implementation). In the model, years 2035 and 2040 are interpolated values between the 2030 and 2045 future conditions. 2025 unit values are set at 2030 values to avoid extrapolation. Single dry year or wetter transfer costs are set at the dry year unit value, and multi-dry year transfer costs are set at the critical year unit value.</t>
  </si>
  <si>
    <t>Sacramento Valley transfer (CWEST)</t>
  </si>
  <si>
    <t>Cross-delta conveyance loss (CWEST)</t>
  </si>
  <si>
    <t>San Joaquin Valley region transfer (CWEST)</t>
  </si>
  <si>
    <t>Retained from CWEST</t>
  </si>
  <si>
    <t>2020 UWMP notes transfers are an option but does not provide volume (San Juan Water District, 2021)</t>
  </si>
  <si>
    <t>Max SWP exchange reported in 2010 (KCWA ID4, 2021b)</t>
  </si>
  <si>
    <t>https://zone7water.report/2022/water-reliability</t>
  </si>
  <si>
    <t>2020 UWMP (page 9-6)</t>
  </si>
  <si>
    <t>2020 UWMP (page 6-19)</t>
  </si>
  <si>
    <t>2020 UWMP Section 7.3.2 (Santa Clara Valley Water District, 2021)</t>
  </si>
  <si>
    <t>Table 7-4 (2020 UWMP)</t>
  </si>
  <si>
    <t>2020 IRP Regional Needs Assessment (Metropolitan Water District of Southern California, 2022). Flexible supply.</t>
  </si>
  <si>
    <t>2020 UWMP Table 3-20 (SGPWA, 2021)</t>
  </si>
  <si>
    <t>2020 IRP: https://www.mwdh2o.com/media/12089/irp-board-letter-march-2022.pdf</t>
  </si>
  <si>
    <t>Transfer Limit for 2 or More Consecutive Years (% of Dry-Year limit defined above)</t>
  </si>
  <si>
    <t>Column reference</t>
  </si>
  <si>
    <t>Sacramento Valley</t>
  </si>
  <si>
    <t>Delta Export</t>
  </si>
  <si>
    <t>Friant Service Area</t>
  </si>
  <si>
    <t>Rationing Programs and Economic Loss Assumptions</t>
  </si>
  <si>
    <t>“Rationing” is shorthand for a water allocation method designed to minimize the overall economic costs of a shortage by “balancing” the costs of forgone use among customer classes. The allocation method in LCPSIM is intended to mimic water agencies by maintaining provisions for exemptions due to serious adverse economic impacts, especially for businesses. 
Here the user can enter the cost of a rationing program, the storage volume threshold to trigger rationing program, Cut Ratios by Use Type, Elasticity Variables and Upper and Lower Loss Boundaries, and Retail Prices. 
Retail prices are from the American Water Works Association 2020 California Water Survey, where available. Those agencies not covered in the survey were collected from rate information published on agency websites. All costs are in 2020 dollars, and presented as cost per acre-foot.</t>
  </si>
  <si>
    <t>Cost for Rationing Program ($/capita)</t>
  </si>
  <si>
    <t>Cut Ratios</t>
  </si>
  <si>
    <t xml:space="preserve">Commercial </t>
  </si>
  <si>
    <t>Demand Hardening Adjustment Factor (%)</t>
  </si>
  <si>
    <t>Elasticity of Demand</t>
  </si>
  <si>
    <t>Lower Loss Boundary</t>
  </si>
  <si>
    <r>
      <t xml:space="preserve">Long-term Water Management Options Assumptions Page </t>
    </r>
    <r>
      <rPr>
        <b/>
        <sz val="20"/>
        <color rgb="FFFF0000"/>
        <rFont val="Calibri"/>
        <family val="2"/>
        <scheme val="minor"/>
      </rPr>
      <t>DRAFT</t>
    </r>
  </si>
  <si>
    <t>There are two categories of variables that need to be set on this page including:
1) Long-term Water Management Option Annual Volumes
2) Costs Water Management Option Type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</si>
  <si>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Long-term Water Management Option Annual Volumes</t>
  </si>
  <si>
    <t>Here the user can enter information for potential cost-effective long-term conservation or local supply augmentation. These options are assumed to provide a fixed level of supply enhancement or demand reduction, or combination of both each year. The model iterates through WMO volumes incrementally, up to the allowable volume input here.</t>
  </si>
  <si>
    <t>2020 UWMP Section 3.6 discusses potential 50 MGD water treatment plant expansion. Timing estimated and not provided in UWMP. (Sacramento County Water Agency, 2021)</t>
  </si>
  <si>
    <t>2020 UWMP expanded water treatment facility capacity (City of Fresno, 2021): 62.700 AFY starting in 2030</t>
  </si>
  <si>
    <t>2020 UWMP Table 4-4 (Stockton-East Water District, 2021) indicates 3100 + 19000 AFY starting in 2030.</t>
  </si>
  <si>
    <t>2020 UWMP Table 6-4 (Santa Clara Valley Water District, 2021). 17,440 AFY starting in 2035.</t>
  </si>
  <si>
    <t>2020 UWMP Table 6-7 (City of Redding, 2021)</t>
  </si>
  <si>
    <t>2020 UWMP Table 6-7</t>
  </si>
  <si>
    <t>Section 3.5 of 2020 UWMP notes plans for an Aquifer Storage and Recovery program which would consist of one to two municipal wells that would be recharged with an injection well with surface water during wet periods, sourced from treated surface water from the WTP. No volume reported in UWMP. Volume estimated.</t>
  </si>
  <si>
    <t>2020 UWMP Section 3.6 discusses potential to invest in well program. Volume estimated and not provided in UWMP. (Sacramento County Water Agency, 2021)</t>
  </si>
  <si>
    <t>2020 UWMP notes groundwater opportunities but does not provide volume. Volume estimated. (San Juan Water District, 2021)</t>
  </si>
  <si>
    <t>2020 UWMP (City of Fresno, 2021)</t>
  </si>
  <si>
    <t>2020 UWMP Table 6-7 (Kern County Water Agency ID4, 2021)</t>
  </si>
  <si>
    <t>2020 UWMP Table 4-4 (Stockton-East Water District, 2021)</t>
  </si>
  <si>
    <t>2020 UWMP Table 6-7c</t>
  </si>
  <si>
    <t>Table 7-3 (2020 UWMP)</t>
  </si>
  <si>
    <t>2020 UWMP Table 3-14 groundwater recharge projects listed as in the "planning" phase</t>
  </si>
  <si>
    <t>2020 UWMP Section 2.5.2 discusses groundwater but does not provide specific volume estimates</t>
  </si>
  <si>
    <t>2020 UWMP Section 6.1.6 (City of Folsom, 2021)</t>
  </si>
  <si>
    <t>2020 UWMP (Kern County Water Agency ID4, 2021)</t>
  </si>
  <si>
    <t>2020 UWMP Table 6-9 (Alameda County Flood Control and Water Conservation District, Zone 7, 2021)</t>
  </si>
  <si>
    <t>Deslination noted in 2020 UWMP as a potential new supply but volume not provided</t>
  </si>
  <si>
    <t>2020 UWMP Section 2.5.3 (SGVMWD, 2021)</t>
  </si>
  <si>
    <t>2020 UWMP Section 6.1.5.2 (City of Folsom, 2021)</t>
  </si>
  <si>
    <t>2020 UWMP Table 6-4 (Placer County Water Agency, 2021)</t>
  </si>
  <si>
    <t>2020 UWMP Chapter 9 (Alameda County Water District, 2021)</t>
  </si>
  <si>
    <t>Industrial Recycled Water Project  (2020 UWMP, Table 6-7W)</t>
  </si>
  <si>
    <t>2020 UWMP Section 9 Groundwater Replenishment Potential with recycled water</t>
  </si>
  <si>
    <t>2020 UWMP Chapter 9 (Alameda County Water District, 2021). No volume estimate provided, assumed same amount available as recycled.</t>
  </si>
  <si>
    <t>2020 UWMP Table 6-4 (Santa Clara Valley Water District, 2021)</t>
  </si>
  <si>
    <t>Pure Water Southern California</t>
  </si>
  <si>
    <t>2020 UWMP Section 6.12.1: Transfer with Sacramento Municipal Utilities District</t>
  </si>
  <si>
    <t>UWMP notes in Section 3.6 that it is in discussion with City of Sacramento to purchase Sacramento River water. Estimated volume.</t>
  </si>
  <si>
    <t>CVP Fazio Water entitlement (Table 3-5, 2020 UWMP) (El Dorado Irrigation District, 2021)</t>
  </si>
  <si>
    <t>2020 UWMP notes transfer could be an option.</t>
  </si>
  <si>
    <t>2020 UWMP Table 4-4 (Stockton-East Water District, 2021). Timing estimated.</t>
  </si>
  <si>
    <t>Long-term water transfer (2020 UWMP, Table 6-7W)</t>
  </si>
  <si>
    <t>Ongoing investments in active conservation programs (2020 UWMP, Table 6-7W)</t>
  </si>
  <si>
    <t>See 'Alternative supply cost estimate_11162021' spreadsheet for details on cost function development</t>
  </si>
  <si>
    <t>Long-term Water Management Options Costs by Type</t>
  </si>
  <si>
    <t>The model evaluates the cost of reliability enhancement contribution of additional regional long-term water management measures. The unit cost of any option can be specified as coefficients of a linear function (y=mx+b) where b is the Base Cost and M is the Incremental Cost, representing a unit price that increases linearly as the amount used is increased.</t>
  </si>
  <si>
    <t>Assuming average statewide depth to groundwater of 120 feet</t>
  </si>
  <si>
    <t>https://www.acwd.org/waterefficiencymasterplan, page 60</t>
  </si>
  <si>
    <t>UWMP notes 10% of demands is assumed (Section 5.3.4)</t>
  </si>
  <si>
    <t>(including capital costs)</t>
  </si>
  <si>
    <t>2020 UWMP reports 23,220 AF replenished in 2019 (highest amount between 2015-2020). Assumed half storage capacity</t>
  </si>
  <si>
    <t>Not collected as agency won't be modeled</t>
  </si>
  <si>
    <t>Annual Averages (acre-feet per year):</t>
  </si>
  <si>
    <t>Excess Project Supply Management Strategy</t>
  </si>
  <si>
    <t>Groundwater Banking Storage Operations</t>
  </si>
  <si>
    <t>UWMP notes it has transferred for last several years.</t>
  </si>
  <si>
    <t>2020 UWMP Section 6.12.1 notes potential purchase from PCWA but not included here as no cost data was obtained for this option.</t>
  </si>
  <si>
    <t>Surface Supply Incremental Cost ($/acre-foot)</t>
  </si>
  <si>
    <t>Groundwater Supply Incremental Cost ($/acre-foot)</t>
  </si>
  <si>
    <t>Desalination Supply Incremental Cost ($/acre-foot)</t>
  </si>
  <si>
    <t>Recycled Supply Incremental Cost ($/acre-foot)</t>
  </si>
  <si>
    <t>Potable Reuse Supply Incremental Cost ($/acre-foot)</t>
  </si>
  <si>
    <t>Long-term Contracts for Transfers and Exchanges Supply Incremental Cost ($/acre-foot)</t>
  </si>
  <si>
    <t>Other Supply Type Incremental Cost ($/acre-foot)</t>
  </si>
  <si>
    <t>Additional Conservation Incremental Cost ($/acre-foot)</t>
  </si>
  <si>
    <t>Transfer Limit for Normal or Better Years (acre-feet/year)</t>
  </si>
  <si>
    <t>Transfer Limit for Dry Years (acre-feet/year)</t>
  </si>
  <si>
    <t>Wet Year Water Market Transfers and Exchanges Supply Unit Cost ($/acre-feet)</t>
  </si>
  <si>
    <t>Above Normal Year Water Market Transfers and Exchanges Supply Unit Cost ($/acre-feet)</t>
  </si>
  <si>
    <t>Below Normal Year Water Market Transfers and Exchanges Supply Unit Cost ($/acre-feet)</t>
  </si>
  <si>
    <t>Dry Year Water Market Transfers and Exchanges Supply Unit Cost ($/acre-feet)</t>
  </si>
  <si>
    <t>Critically Dry Year Water Market Transfers and Exchanges Supply Unit Cost ($/acre-feet)</t>
  </si>
  <si>
    <t>Storage Volume Trigger for Rationing Programs (acre-feet)</t>
  </si>
  <si>
    <t>Surface Water Supply Volume (acre-feet/year)</t>
  </si>
  <si>
    <t>Groundwater Supply Volume (acre-feet/year)</t>
  </si>
  <si>
    <t>Desalination Supply Volume (acre-feet/year)</t>
  </si>
  <si>
    <t>Recycled Supply Volume (acre-feet/year)</t>
  </si>
  <si>
    <t>Potable Reuse Supply Volume (acre-feet/year)</t>
  </si>
  <si>
    <t>Transfers and Exchanges Supply Volume (acre-feet/year)</t>
  </si>
  <si>
    <t>Other Supply Volume (acre-feet/year)</t>
  </si>
  <si>
    <t>Additional Conservation Volume (acre-feet/year)</t>
  </si>
  <si>
    <t>Surface Supply Base Cost ($/acre-foot)</t>
  </si>
  <si>
    <t>Groundwater Supply Base Cost ($/acre-foot)</t>
  </si>
  <si>
    <t>Desalination Supply Base Cost ($/acre-foot)</t>
  </si>
  <si>
    <t>Recycled Supply Base Cost ($/acre-foot)</t>
  </si>
  <si>
    <t>Potable Reuse Supply Base Cost ($/acre-foot)</t>
  </si>
  <si>
    <t>Long-term Contracts for Transfers and Exchanges Supply Base Cost ($/acre-foot)</t>
  </si>
  <si>
    <t>Other Supply Type Base Cost ($/acre-foot)</t>
  </si>
  <si>
    <t>Additional Conservation Base Cost ($/acre-foot)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</si>
</sst>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0.0%"/>
    <numFmt numFmtId="166" formatCode="0.000"/>
    <numFmt numFmtId="167" formatCode="_(&quot;$&quot;* #,##0_);_(&quot;$&quot;* \(#,##0\);_(&quot;$&quot;* &quot;-&quot;??_);_(@_)"/>
    <numFmt numFmtId="168" formatCode="_(* #,##0_);_(* \(#,##0\);_(* &quot;-&quot;??_);_(@_)"/>
    <numFmt numFmtId="169" formatCode="_(* #,##0.0000_);_(* \(#,##0.0000\);_(* &quot;-&quot;??_);_(@_)"/>
    <numFmt numFmtId="170" formatCode="_(* #,##0.000_);_(* \(#,##0.000\);_(* &quot;-&quot;???_);_(@_)"/>
    <numFmt numFmtId="171" formatCode="_(* #,##0.00000_);_(* \(#,##0.00000\);_(* &quot;-&quot;??_);_(@_)"/>
  </numFmts>
  <fonts count="57"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b/>
      <sz val="11"/>
      <color rgb="FF000000"/>
      <name val="Calibri"/>
      <family val="2"/>
      <scheme val="minor"/>
    </font>
    <font>
      <sz val="11"/>
      <color rgb="FF000000"/>
      <name val="Calibri"/>
      <family val="2"/>
      <scheme val="minor"/>
    </font>
    <font>
      <sz val="11"/>
      <name val="Calibri"/>
      <family val="2"/>
      <scheme val="minor"/>
    </font>
    <font>
      <b/>
      <sz val="14"/>
      <color theme="1"/>
      <name val="Calibri"/>
      <family val="2"/>
      <scheme val="minor"/>
    </font>
    <font>
      <sz val="14"/>
      <color theme="1"/>
      <name val="Calibri"/>
      <family val="2"/>
      <scheme val="minor"/>
    </font>
    <font>
      <sz val="10"/>
      <name val="Arial"/>
      <family val="2"/>
    </font>
    <font>
      <sz val="8"/>
      <name val="Calibri"/>
      <family val="2"/>
      <scheme val="minor"/>
    </font>
    <font>
      <b/>
      <sz val="11"/>
      <color theme="0"/>
      <name val="Calibri"/>
      <family val="2"/>
      <scheme val="minor"/>
    </font>
    <font>
      <sz val="12"/>
      <color theme="1"/>
      <name val="Calibri"/>
      <family val="2"/>
      <scheme val="minor"/>
    </font>
    <font>
      <sz val="14"/>
      <color rgb="FFFF0000"/>
      <name val="Calibri"/>
      <family val="2"/>
      <scheme val="minor"/>
    </font>
    <font>
      <sz val="14"/>
      <name val="Calibri"/>
      <family val="2"/>
      <scheme val="minor"/>
    </font>
    <font>
      <sz val="18"/>
      <color rgb="FFFF0000"/>
      <name val="Calibri"/>
      <family val="2"/>
      <scheme val="minor"/>
    </font>
    <font>
      <b/>
      <sz val="20"/>
      <color rgb="FFFF0000"/>
      <name val="Calibri"/>
      <family val="2"/>
      <scheme val="minor"/>
    </font>
    <font>
      <b/>
      <sz val="20"/>
      <color theme="1"/>
      <name val="Calibri"/>
      <family val="2"/>
      <scheme val="minor"/>
    </font>
    <font>
      <b/>
      <sz val="20"/>
      <color theme="0"/>
      <name val="Calibri"/>
      <family val="2"/>
      <scheme val="minor"/>
    </font>
    <font>
      <sz val="14"/>
      <color theme="0" tint="-0.499984740745262"/>
      <name val="Calibri"/>
      <family val="2"/>
      <scheme val="minor"/>
    </font>
    <font>
      <b/>
      <sz val="24"/>
      <color theme="1"/>
      <name val="Calibri"/>
      <family val="2"/>
      <scheme val="minor"/>
    </font>
    <font>
      <b/>
      <sz val="24"/>
      <color rgb="FFFF0000"/>
      <name val="Calibri"/>
      <family val="2"/>
      <scheme val="minor"/>
    </font>
    <font>
      <sz val="18"/>
      <color theme="0"/>
      <name val="Calibri"/>
      <family val="2"/>
      <scheme val="minor"/>
    </font>
    <font>
      <b/>
      <sz val="18"/>
      <color theme="0"/>
      <name val="Calibri"/>
      <family val="2"/>
      <scheme val="minor"/>
    </font>
    <font>
      <sz val="12"/>
      <color rgb="FFFF0000"/>
      <name val="Calibri"/>
      <family val="2"/>
      <scheme val="minor"/>
    </font>
    <font>
      <i/>
      <sz val="11"/>
      <name val="Calibri"/>
      <family val="2"/>
      <scheme val="minor"/>
    </font>
    <font>
      <sz val="11"/>
      <color theme="0"/>
      <name val="Calibri"/>
      <family val="2"/>
      <scheme val="minor"/>
    </font>
    <font>
      <sz val="12"/>
      <color theme="0" tint="-0.499984740745262"/>
      <name val="Calibri"/>
      <family val="2"/>
      <scheme val="minor"/>
    </font>
    <font>
      <sz val="12"/>
      <name val="Calibri"/>
      <family val="2"/>
      <scheme val="minor"/>
    </font>
    <font>
      <b/>
      <sz val="11"/>
      <name val="Calibri"/>
      <family val="2"/>
      <scheme val="minor"/>
    </font>
    <font>
      <u/>
      <sz val="11"/>
      <color theme="10"/>
      <name val="Calibri"/>
      <family val="2"/>
      <scheme val="minor"/>
    </font>
    <font>
      <sz val="11"/>
      <color theme="6"/>
      <name val="Calibri"/>
      <family val="2"/>
      <scheme val="minor"/>
    </font>
    <font>
      <b/>
      <sz val="14"/>
      <color theme="6"/>
      <name val="Calibri"/>
      <family val="2"/>
      <scheme val="minor"/>
    </font>
    <font>
      <sz val="20"/>
      <color theme="0"/>
      <name val="Calibri"/>
      <family val="2"/>
      <scheme val="minor"/>
    </font>
    <font>
      <b/>
      <sz val="14"/>
      <name val="Calibri"/>
      <family val="2"/>
      <scheme val="minor"/>
    </font>
    <font>
      <b/>
      <sz val="20"/>
      <name val="Calibri"/>
      <family val="2"/>
      <scheme val="minor"/>
    </font>
    <font>
      <sz val="11"/>
      <color indexed="8"/>
      <name val="Calibri"/>
      <family val="2"/>
      <scheme val="minor"/>
    </font>
    <font>
      <sz val="11"/>
      <name val="Calibri"/>
      <family val="2"/>
    </font>
    <font>
      <sz val="16"/>
      <color theme="1"/>
      <name val="Calibri"/>
      <family val="2"/>
      <scheme val="minor"/>
    </font>
    <font>
      <b/>
      <sz val="16"/>
      <color theme="1"/>
      <name val="Calibri"/>
      <family val="2"/>
      <scheme val="minor"/>
    </font>
    <font>
      <sz val="11"/>
      <color rgb="FF000000"/>
      <name val="Calibri"/>
      <family val="2"/>
    </font>
    <font>
      <sz val="11"/>
      <color theme="1"/>
      <name val="Calibri"/>
      <family val="2"/>
    </font>
    <font>
      <u/>
      <sz val="11"/>
      <color rgb="FF0563C1"/>
      <name val="Calibri"/>
      <family val="2"/>
    </font>
    <font>
      <u/>
      <sz val="11"/>
      <color rgb="FF000000"/>
      <name val="Calibri"/>
      <family val="2"/>
      <scheme val="minor"/>
    </font>
    <font>
      <sz val="11"/>
      <color theme="6" tint="0.79998168889431442"/>
      <name val="Calibri"/>
      <family val="2"/>
      <scheme val="minor"/>
    </font>
    <font>
      <b/>
      <sz val="11"/>
      <color theme="6" tint="0.79998168889431442"/>
      <name val="Calibri"/>
      <family val="2"/>
      <scheme val="minor"/>
    </font>
    <font>
      <b/>
      <sz val="11"/>
      <color theme="7" tint="0.79998168889431442"/>
      <name val="Calibri"/>
      <family val="2"/>
      <scheme val="minor"/>
    </font>
    <font>
      <sz val="11"/>
      <color theme="2"/>
      <name val="Calibri"/>
      <family val="2"/>
      <scheme val="minor"/>
    </font>
    <font>
      <sz val="20"/>
      <name val="Calibri"/>
      <family val="2"/>
      <scheme val="minor"/>
    </font>
    <font>
      <sz val="11"/>
      <color rgb="FFEECDFD"/>
      <name val="Calibri"/>
      <family val="2"/>
      <scheme val="minor"/>
    </font>
    <font>
      <b/>
      <sz val="11"/>
      <color theme="4" tint="0.79998168889431442"/>
      <name val="Calibri"/>
      <family val="2"/>
      <scheme val="minor"/>
    </font>
    <font>
      <sz val="11"/>
      <color theme="6" tint="0.39997558519241921"/>
      <name val="Calibri"/>
      <family val="2"/>
      <scheme val="minor"/>
    </font>
    <font>
      <sz val="11"/>
      <color theme="8" tint="0.79998168889431442"/>
      <name val="Calibri"/>
      <family val="2"/>
      <scheme val="minor"/>
    </font>
    <font>
      <sz val="11"/>
      <color theme="5" tint="0.79998168889431442"/>
      <name val="Calibri"/>
      <family val="2"/>
      <scheme val="minor"/>
    </font>
    <font>
      <b/>
      <sz val="11"/>
      <color theme="5" tint="0.79998168889431442"/>
      <name val="Calibri"/>
      <family val="2"/>
      <scheme val="minor"/>
    </font>
    <font>
      <sz val="11"/>
      <color theme="9" tint="0.79998168889431442"/>
      <name val="Calibri"/>
      <family val="2"/>
      <scheme val="minor"/>
    </font>
    <font>
      <sz val="9"/>
      <color indexed="81"/>
      <name val="Tahoma"/>
      <charset val="1"/>
    </font>
  </fonts>
  <fills count="30">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rgb="FFEECDFD"/>
        <bgColor indexed="64"/>
      </patternFill>
    </fill>
    <fill>
      <patternFill patternType="solid">
        <fgColor rgb="FF7030A0"/>
        <bgColor indexed="64"/>
      </patternFill>
    </fill>
    <fill>
      <patternFill patternType="solid">
        <fgColor theme="2"/>
        <bgColor indexed="64"/>
      </patternFill>
    </fill>
    <fill>
      <patternFill patternType="solid">
        <fgColor rgb="FF00B0F0"/>
        <bgColor indexed="64"/>
      </patternFill>
    </fill>
    <fill>
      <patternFill patternType="solid">
        <fgColor theme="6" tint="0.39997558519241921"/>
        <bgColor indexed="64"/>
      </patternFill>
    </fill>
    <fill>
      <patternFill patternType="solid">
        <fgColor rgb="FFEDEDED"/>
        <bgColor rgb="FF000000"/>
      </patternFill>
    </fill>
    <fill>
      <patternFill patternType="solid">
        <fgColor rgb="FFFFC000"/>
        <bgColor rgb="FF000000"/>
      </patternFill>
    </fill>
    <fill>
      <patternFill patternType="solid">
        <fgColor theme="0" tint="-0.14999847407452621"/>
        <bgColor indexed="64"/>
      </patternFill>
    </fill>
    <fill>
      <patternFill patternType="solid">
        <fgColor theme="7"/>
        <bgColor indexed="64"/>
      </patternFill>
    </fill>
    <fill>
      <patternFill patternType="solid">
        <fgColor rgb="FFFFF2CC"/>
        <bgColor indexed="64"/>
      </patternFill>
    </fill>
    <fill>
      <patternFill patternType="solid">
        <fgColor rgb="FFDDEBF7"/>
        <bgColor indexed="64"/>
      </patternFill>
    </fill>
    <fill>
      <patternFill patternType="solid">
        <fgColor rgb="FFE7E6E6"/>
        <bgColor indexed="64"/>
      </patternFill>
    </fill>
    <fill>
      <patternFill patternType="solid">
        <fgColor rgb="FFE2EFDA"/>
        <bgColor indexed="64"/>
      </patternFill>
    </fill>
    <fill>
      <patternFill patternType="solid">
        <fgColor theme="7" tint="0.59999389629810485"/>
        <bgColor indexed="64"/>
      </patternFill>
    </fill>
    <fill>
      <patternFill patternType="solid">
        <fgColor theme="8"/>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rgb="FF000000"/>
      </left>
      <right style="medium">
        <color rgb="FF000000"/>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0">
    <xf numFmtId="0" fontId="0" fillId="0" borderId="0"/>
    <xf numFmtId="44" fontId="2" fillId="0" borderId="0" applyFont="0" applyFill="0" applyBorder="0" applyAlignment="0" applyProtection="0"/>
    <xf numFmtId="9" fontId="2" fillId="0" borderId="0" applyFont="0" applyFill="0" applyBorder="0" applyAlignment="0" applyProtection="0"/>
    <xf numFmtId="0" fontId="9" fillId="0" borderId="0"/>
    <xf numFmtId="43" fontId="2" fillId="0" borderId="0" applyFont="0" applyFill="0" applyBorder="0" applyAlignment="0" applyProtection="0"/>
    <xf numFmtId="0" fontId="9" fillId="0" borderId="0"/>
    <xf numFmtId="9" fontId="9" fillId="0" borderId="0" applyFont="0" applyFill="0" applyBorder="0" applyAlignment="0" applyProtection="0"/>
    <xf numFmtId="0" fontId="30" fillId="0" borderId="0" applyNumberFormat="0" applyFill="0" applyBorder="0" applyAlignment="0" applyProtection="0"/>
    <xf numFmtId="0" fontId="5" fillId="0" borderId="0"/>
    <xf numFmtId="0" fontId="36" fillId="0" borderId="0"/>
  </cellStyleXfs>
  <cellXfs count="588">
    <xf numFmtId="0" fontId="0" fillId="0" borderId="0" xfId="0"/>
    <xf numFmtId="0" fontId="1" fillId="0" borderId="0" xfId="0" applyFont="1"/>
    <xf numFmtId="0" fontId="0" fillId="0" borderId="1" xfId="0" applyBorder="1"/>
    <xf numFmtId="0" fontId="1" fillId="0" borderId="1" xfId="0" applyFont="1" applyBorder="1"/>
    <xf numFmtId="0" fontId="0" fillId="0" borderId="1" xfId="0" applyBorder="1" applyAlignment="1">
      <alignment horizontal="center"/>
    </xf>
    <xf numFmtId="0" fontId="0" fillId="0" borderId="1" xfId="0" applyBorder="1" applyAlignment="1">
      <alignment wrapText="1"/>
    </xf>
    <xf numFmtId="164" fontId="0" fillId="0" borderId="1" xfId="0" applyNumberFormat="1" applyBorder="1"/>
    <xf numFmtId="165" fontId="0" fillId="0" borderId="1" xfId="2" applyNumberFormat="1" applyFont="1" applyBorder="1"/>
    <xf numFmtId="44" fontId="0" fillId="0" borderId="1" xfId="1" applyFont="1" applyBorder="1" applyAlignment="1">
      <alignment horizontal="right"/>
    </xf>
    <xf numFmtId="166" fontId="0" fillId="0" borderId="1" xfId="0" applyNumberFormat="1" applyBorder="1"/>
    <xf numFmtId="2" fontId="0" fillId="0" borderId="1" xfId="0" applyNumberFormat="1" applyBorder="1"/>
    <xf numFmtId="44" fontId="0" fillId="0" borderId="1" xfId="1" applyFont="1" applyBorder="1"/>
    <xf numFmtId="1" fontId="0" fillId="0" borderId="1" xfId="0" applyNumberFormat="1" applyBorder="1"/>
    <xf numFmtId="0" fontId="0" fillId="0" borderId="1" xfId="0" applyBorder="1" applyAlignment="1">
      <alignment horizontal="left"/>
    </xf>
    <xf numFmtId="0" fontId="0" fillId="0" borderId="0" xfId="0" applyAlignment="1">
      <alignment horizontal="center"/>
    </xf>
    <xf numFmtId="0" fontId="0" fillId="0" borderId="0" xfId="0" applyAlignment="1">
      <alignment wrapText="1"/>
    </xf>
    <xf numFmtId="0" fontId="0" fillId="0" borderId="4" xfId="0" applyBorder="1"/>
    <xf numFmtId="164" fontId="0" fillId="0" borderId="1" xfId="0" applyNumberFormat="1" applyBorder="1" applyAlignment="1">
      <alignment horizontal="center" wrapText="1"/>
    </xf>
    <xf numFmtId="0" fontId="0" fillId="0" borderId="2" xfId="0" applyBorder="1" applyAlignment="1">
      <alignment vertical="center" wrapText="1"/>
    </xf>
    <xf numFmtId="0" fontId="0" fillId="0" borderId="2" xfId="0" applyBorder="1" applyAlignment="1">
      <alignment wrapText="1"/>
    </xf>
    <xf numFmtId="0" fontId="0" fillId="0" borderId="1" xfId="0" applyBorder="1" applyAlignment="1">
      <alignment vertical="center" wrapText="1"/>
    </xf>
    <xf numFmtId="0" fontId="8" fillId="0" borderId="0" xfId="0" applyFont="1"/>
    <xf numFmtId="0" fontId="0" fillId="0" borderId="1" xfId="0" applyBorder="1" applyAlignment="1">
      <alignment horizontal="center" wrapText="1"/>
    </xf>
    <xf numFmtId="0" fontId="0" fillId="0" borderId="3" xfId="0" applyBorder="1" applyAlignment="1">
      <alignment horizontal="center" wrapText="1"/>
    </xf>
    <xf numFmtId="0" fontId="0" fillId="0" borderId="3" xfId="0" applyBorder="1"/>
    <xf numFmtId="0" fontId="0" fillId="0" borderId="0" xfId="0" applyAlignment="1">
      <alignment horizontal="center" wrapText="1"/>
    </xf>
    <xf numFmtId="167" fontId="0" fillId="0" borderId="1" xfId="1" applyNumberFormat="1" applyFont="1" applyBorder="1" applyAlignment="1">
      <alignment horizontal="right"/>
    </xf>
    <xf numFmtId="0" fontId="3" fillId="0" borderId="1" xfId="0" applyFont="1" applyBorder="1" applyAlignment="1">
      <alignment horizontal="center" wrapText="1"/>
    </xf>
    <xf numFmtId="44" fontId="0" fillId="0" borderId="1" xfId="1" applyFont="1" applyBorder="1" applyAlignment="1">
      <alignment horizontal="center" wrapText="1"/>
    </xf>
    <xf numFmtId="44" fontId="3" fillId="0" borderId="1" xfId="1" applyFont="1" applyBorder="1" applyAlignment="1">
      <alignment horizontal="center" wrapText="1"/>
    </xf>
    <xf numFmtId="165" fontId="0" fillId="0" borderId="1" xfId="2" applyNumberFormat="1" applyFont="1" applyBorder="1" applyAlignment="1">
      <alignment horizontal="center" wrapText="1"/>
    </xf>
    <xf numFmtId="164" fontId="3" fillId="0" borderId="1" xfId="0" applyNumberFormat="1" applyFont="1" applyBorder="1" applyAlignment="1">
      <alignment horizontal="center" wrapText="1"/>
    </xf>
    <xf numFmtId="0" fontId="0" fillId="0" borderId="0" xfId="0" applyAlignment="1">
      <alignment horizontal="left" wrapText="1"/>
    </xf>
    <xf numFmtId="0" fontId="0" fillId="0" borderId="1" xfId="0" applyBorder="1" applyAlignment="1">
      <alignment horizontal="left" wrapText="1"/>
    </xf>
    <xf numFmtId="0" fontId="0" fillId="2" borderId="1" xfId="0" applyFill="1" applyBorder="1" applyAlignment="1">
      <alignment horizontal="left" wrapText="1"/>
    </xf>
    <xf numFmtId="0" fontId="6" fillId="0" borderId="3" xfId="0" applyFont="1" applyBorder="1" applyAlignment="1">
      <alignment horizontal="center" wrapText="1"/>
    </xf>
    <xf numFmtId="9" fontId="0" fillId="0" borderId="0" xfId="6" applyFont="1"/>
    <xf numFmtId="1" fontId="0" fillId="0" borderId="0" xfId="0" applyNumberFormat="1"/>
    <xf numFmtId="0" fontId="0" fillId="7" borderId="0" xfId="0" applyFill="1"/>
    <xf numFmtId="0" fontId="1" fillId="7" borderId="0" xfId="0" applyFont="1" applyFill="1"/>
    <xf numFmtId="1" fontId="0" fillId="7" borderId="0" xfId="0" applyNumberFormat="1" applyFill="1"/>
    <xf numFmtId="9" fontId="0" fillId="0" borderId="0" xfId="2" applyFont="1"/>
    <xf numFmtId="165" fontId="0" fillId="0" borderId="0" xfId="2" applyNumberFormat="1" applyFont="1"/>
    <xf numFmtId="165" fontId="0" fillId="0" borderId="0" xfId="0" applyNumberFormat="1"/>
    <xf numFmtId="1" fontId="0" fillId="0" borderId="0" xfId="2" applyNumberFormat="1" applyFont="1"/>
    <xf numFmtId="0" fontId="0" fillId="8" borderId="0" xfId="0" applyFill="1"/>
    <xf numFmtId="0" fontId="0" fillId="8" borderId="0" xfId="0" applyFill="1" applyAlignment="1">
      <alignment horizontal="right"/>
    </xf>
    <xf numFmtId="1" fontId="0" fillId="8" borderId="4" xfId="0" applyNumberFormat="1" applyFill="1" applyBorder="1"/>
    <xf numFmtId="0" fontId="1" fillId="8" borderId="0" xfId="0" applyFont="1" applyFill="1"/>
    <xf numFmtId="1" fontId="1" fillId="8" borderId="0" xfId="0" applyNumberFormat="1" applyFont="1" applyFill="1"/>
    <xf numFmtId="1" fontId="0" fillId="8" borderId="0" xfId="0" applyNumberFormat="1" applyFill="1"/>
    <xf numFmtId="0" fontId="0" fillId="4" borderId="0" xfId="0" applyFill="1"/>
    <xf numFmtId="0" fontId="0" fillId="4" borderId="0" xfId="0" applyFill="1" applyAlignment="1">
      <alignment horizontal="right"/>
    </xf>
    <xf numFmtId="0" fontId="1" fillId="4" borderId="0" xfId="0" applyFont="1" applyFill="1"/>
    <xf numFmtId="1" fontId="1" fillId="4" borderId="0" xfId="0" applyNumberFormat="1" applyFont="1" applyFill="1"/>
    <xf numFmtId="1" fontId="0" fillId="4" borderId="0" xfId="0" applyNumberFormat="1" applyFill="1"/>
    <xf numFmtId="0" fontId="0" fillId="5" borderId="0" xfId="0" applyFill="1"/>
    <xf numFmtId="1" fontId="0" fillId="5" borderId="0" xfId="0" applyNumberFormat="1" applyFill="1"/>
    <xf numFmtId="0" fontId="0" fillId="9" borderId="0" xfId="0" applyFill="1"/>
    <xf numFmtId="0" fontId="0" fillId="9" borderId="0" xfId="0" applyFill="1" applyAlignment="1">
      <alignment horizontal="right"/>
    </xf>
    <xf numFmtId="0" fontId="1" fillId="9" borderId="0" xfId="0" applyFont="1" applyFill="1"/>
    <xf numFmtId="1" fontId="1" fillId="9" borderId="0" xfId="0" applyNumberFormat="1" applyFont="1" applyFill="1"/>
    <xf numFmtId="1" fontId="0" fillId="9" borderId="0" xfId="0" applyNumberFormat="1" applyFill="1"/>
    <xf numFmtId="0" fontId="0" fillId="10" borderId="0" xfId="0" applyFill="1"/>
    <xf numFmtId="0" fontId="0" fillId="10" borderId="0" xfId="0" applyFill="1" applyAlignment="1">
      <alignment horizontal="right"/>
    </xf>
    <xf numFmtId="0" fontId="1" fillId="10" borderId="0" xfId="0" applyFont="1" applyFill="1"/>
    <xf numFmtId="1" fontId="0" fillId="10" borderId="0" xfId="0" applyNumberFormat="1" applyFill="1"/>
    <xf numFmtId="0" fontId="15" fillId="0" borderId="0" xfId="0" applyFont="1"/>
    <xf numFmtId="0" fontId="18" fillId="6" borderId="0" xfId="0" applyFont="1" applyFill="1" applyAlignment="1">
      <alignment horizontal="center" vertical="center"/>
    </xf>
    <xf numFmtId="0" fontId="1" fillId="8" borderId="0" xfId="0" applyFont="1" applyFill="1" applyAlignment="1">
      <alignment horizontal="left" wrapText="1"/>
    </xf>
    <xf numFmtId="0" fontId="0" fillId="11" borderId="0" xfId="0" applyFill="1"/>
    <xf numFmtId="1" fontId="0" fillId="11" borderId="0" xfId="0" applyNumberFormat="1" applyFill="1"/>
    <xf numFmtId="0" fontId="9" fillId="11" borderId="0" xfId="5" applyFill="1"/>
    <xf numFmtId="168" fontId="0" fillId="11" borderId="0" xfId="4" applyNumberFormat="1" applyFont="1" applyFill="1"/>
    <xf numFmtId="0" fontId="17" fillId="11" borderId="0" xfId="0" applyFont="1" applyFill="1"/>
    <xf numFmtId="165" fontId="0" fillId="0" borderId="1" xfId="2" applyNumberFormat="1" applyFont="1" applyFill="1" applyBorder="1"/>
    <xf numFmtId="0" fontId="20" fillId="11" borderId="0" xfId="0" applyFont="1" applyFill="1"/>
    <xf numFmtId="0" fontId="8" fillId="11" borderId="0" xfId="0" applyFont="1" applyFill="1"/>
    <xf numFmtId="0" fontId="3" fillId="11" borderId="0" xfId="0" applyFont="1" applyFill="1"/>
    <xf numFmtId="0" fontId="24" fillId="11" borderId="0" xfId="0" applyFont="1" applyFill="1"/>
    <xf numFmtId="0" fontId="1" fillId="11" borderId="0" xfId="0" applyFont="1" applyFill="1"/>
    <xf numFmtId="165" fontId="0" fillId="0" borderId="2" xfId="2" applyNumberFormat="1" applyFont="1" applyBorder="1"/>
    <xf numFmtId="164" fontId="0" fillId="0" borderId="2" xfId="0" applyNumberFormat="1" applyBorder="1"/>
    <xf numFmtId="2" fontId="0" fillId="0" borderId="2" xfId="0" applyNumberFormat="1" applyBorder="1"/>
    <xf numFmtId="1" fontId="0" fillId="0" borderId="2" xfId="0" applyNumberFormat="1" applyBorder="1"/>
    <xf numFmtId="0" fontId="0" fillId="2" borderId="0" xfId="0" applyFill="1"/>
    <xf numFmtId="0" fontId="0" fillId="0" borderId="2" xfId="0" applyBorder="1" applyAlignment="1">
      <alignment horizontal="center" wrapText="1"/>
    </xf>
    <xf numFmtId="0" fontId="0" fillId="0" borderId="2" xfId="0" applyBorder="1"/>
    <xf numFmtId="0" fontId="7" fillId="0" borderId="1" xfId="0" applyFont="1" applyBorder="1" applyAlignment="1">
      <alignment vertical="center"/>
    </xf>
    <xf numFmtId="0" fontId="7" fillId="0" borderId="1" xfId="0" applyFont="1" applyBorder="1" applyAlignment="1">
      <alignment horizontal="left" vertical="center" wrapText="1"/>
    </xf>
    <xf numFmtId="0" fontId="7" fillId="0" borderId="1" xfId="0" applyFont="1" applyBorder="1" applyAlignment="1">
      <alignment horizontal="center" vertical="center" wrapText="1"/>
    </xf>
    <xf numFmtId="0" fontId="8" fillId="0" borderId="0" xfId="0" applyFont="1" applyAlignment="1">
      <alignment vertical="center" wrapText="1"/>
    </xf>
    <xf numFmtId="0" fontId="8" fillId="0" borderId="0" xfId="0" applyFont="1" applyAlignment="1">
      <alignment vertical="center"/>
    </xf>
    <xf numFmtId="0" fontId="6" fillId="0" borderId="1" xfId="0" applyFont="1" applyBorder="1" applyAlignment="1">
      <alignment vertical="center" wrapText="1"/>
    </xf>
    <xf numFmtId="165" fontId="6" fillId="0" borderId="1" xfId="2" applyNumberFormat="1" applyFont="1" applyFill="1" applyBorder="1" applyAlignment="1">
      <alignment horizontal="center" wrapText="1"/>
    </xf>
    <xf numFmtId="165" fontId="6" fillId="0" borderId="1" xfId="2" applyNumberFormat="1" applyFont="1" applyBorder="1" applyAlignment="1">
      <alignment horizontal="center" wrapText="1"/>
    </xf>
    <xf numFmtId="0" fontId="6" fillId="0" borderId="1" xfId="0" applyFont="1" applyBorder="1" applyAlignment="1">
      <alignment horizontal="center" wrapText="1"/>
    </xf>
    <xf numFmtId="0" fontId="13" fillId="11" borderId="0" xfId="0" applyFont="1" applyFill="1"/>
    <xf numFmtId="0" fontId="12" fillId="11" borderId="0" xfId="0" applyFont="1" applyFill="1"/>
    <xf numFmtId="0" fontId="18" fillId="6" borderId="0" xfId="0" applyFont="1" applyFill="1" applyAlignment="1">
      <alignment horizontal="center" vertical="center" wrapText="1"/>
    </xf>
    <xf numFmtId="0" fontId="8" fillId="12" borderId="1" xfId="0" applyFont="1" applyFill="1" applyBorder="1"/>
    <xf numFmtId="0" fontId="8" fillId="12" borderId="1" xfId="0" applyFont="1" applyFill="1" applyBorder="1" applyAlignment="1">
      <alignment wrapText="1"/>
    </xf>
    <xf numFmtId="0" fontId="14" fillId="12" borderId="1" xfId="0" applyFont="1" applyFill="1" applyBorder="1" applyAlignment="1">
      <alignment wrapText="1"/>
    </xf>
    <xf numFmtId="0" fontId="13" fillId="12" borderId="1" xfId="0" applyFont="1" applyFill="1" applyBorder="1" applyAlignment="1">
      <alignment wrapText="1"/>
    </xf>
    <xf numFmtId="0" fontId="8" fillId="8" borderId="1" xfId="0" applyFont="1" applyFill="1" applyBorder="1"/>
    <xf numFmtId="0" fontId="8" fillId="8" borderId="1" xfId="0" applyFont="1" applyFill="1" applyBorder="1" applyAlignment="1">
      <alignment wrapText="1"/>
    </xf>
    <xf numFmtId="0" fontId="8" fillId="9" borderId="1" xfId="0" applyFont="1" applyFill="1" applyBorder="1"/>
    <xf numFmtId="0" fontId="8" fillId="9" borderId="1" xfId="0" applyFont="1" applyFill="1" applyBorder="1" applyAlignment="1">
      <alignment wrapText="1"/>
    </xf>
    <xf numFmtId="0" fontId="14" fillId="9" borderId="1" xfId="0" applyFont="1" applyFill="1" applyBorder="1" applyAlignment="1">
      <alignment wrapText="1"/>
    </xf>
    <xf numFmtId="0" fontId="8" fillId="4" borderId="1" xfId="0" applyFont="1" applyFill="1" applyBorder="1"/>
    <xf numFmtId="0" fontId="8" fillId="4" borderId="1" xfId="0" applyFont="1" applyFill="1" applyBorder="1" applyAlignment="1">
      <alignment wrapText="1"/>
    </xf>
    <xf numFmtId="0" fontId="8" fillId="10" borderId="1" xfId="0" applyFont="1" applyFill="1" applyBorder="1"/>
    <xf numFmtId="0" fontId="8" fillId="10" borderId="1" xfId="0" applyFont="1" applyFill="1" applyBorder="1" applyAlignment="1">
      <alignment wrapText="1"/>
    </xf>
    <xf numFmtId="0" fontId="19" fillId="10" borderId="1" xfId="0" applyFont="1" applyFill="1" applyBorder="1"/>
    <xf numFmtId="0" fontId="14" fillId="10" borderId="1" xfId="0" applyFont="1" applyFill="1" applyBorder="1" applyAlignment="1">
      <alignment wrapText="1"/>
    </xf>
    <xf numFmtId="165" fontId="3" fillId="0" borderId="1" xfId="2" applyNumberFormat="1" applyFont="1" applyFill="1" applyBorder="1" applyAlignment="1">
      <alignment horizontal="center" wrapText="1"/>
    </xf>
    <xf numFmtId="164" fontId="3" fillId="0" borderId="2" xfId="0" applyNumberFormat="1" applyFont="1" applyBorder="1" applyAlignment="1">
      <alignment horizontal="center" wrapText="1"/>
    </xf>
    <xf numFmtId="164" fontId="0" fillId="0" borderId="2" xfId="0" applyNumberFormat="1" applyBorder="1" applyAlignment="1">
      <alignment horizontal="center" wrapText="1"/>
    </xf>
    <xf numFmtId="44" fontId="0" fillId="0" borderId="2" xfId="1" applyFont="1" applyBorder="1" applyAlignment="1">
      <alignment horizontal="center" wrapText="1"/>
    </xf>
    <xf numFmtId="44" fontId="3" fillId="0" borderId="2" xfId="1" applyFont="1" applyBorder="1" applyAlignment="1">
      <alignment horizontal="center" wrapText="1"/>
    </xf>
    <xf numFmtId="0" fontId="11" fillId="10" borderId="0" xfId="0" applyFont="1" applyFill="1"/>
    <xf numFmtId="1" fontId="11" fillId="10" borderId="0" xfId="0" applyNumberFormat="1" applyFont="1" applyFill="1"/>
    <xf numFmtId="0" fontId="1" fillId="10" borderId="4" xfId="0" applyFont="1" applyFill="1" applyBorder="1"/>
    <xf numFmtId="1" fontId="1" fillId="10" borderId="4" xfId="0" applyNumberFormat="1" applyFont="1" applyFill="1" applyBorder="1"/>
    <xf numFmtId="168" fontId="0" fillId="7" borderId="0" xfId="4" applyNumberFormat="1" applyFont="1" applyFill="1" applyBorder="1"/>
    <xf numFmtId="0" fontId="1" fillId="7" borderId="4" xfId="0" applyFont="1" applyFill="1" applyBorder="1"/>
    <xf numFmtId="1" fontId="1" fillId="7" borderId="4" xfId="0" applyNumberFormat="1" applyFont="1" applyFill="1" applyBorder="1"/>
    <xf numFmtId="0" fontId="1" fillId="4" borderId="4" xfId="0" applyFont="1" applyFill="1" applyBorder="1"/>
    <xf numFmtId="1" fontId="1" fillId="4" borderId="4" xfId="0" applyNumberFormat="1" applyFont="1" applyFill="1" applyBorder="1"/>
    <xf numFmtId="0" fontId="1" fillId="10" borderId="0" xfId="0" applyFont="1" applyFill="1" applyAlignment="1">
      <alignment horizontal="right" wrapText="1"/>
    </xf>
    <xf numFmtId="0" fontId="1" fillId="7" borderId="0" xfId="0" applyFont="1" applyFill="1" applyAlignment="1">
      <alignment horizontal="right"/>
    </xf>
    <xf numFmtId="0" fontId="1" fillId="5" borderId="4" xfId="0" applyFont="1" applyFill="1" applyBorder="1"/>
    <xf numFmtId="1" fontId="1" fillId="5" borderId="4" xfId="0" applyNumberFormat="1" applyFont="1" applyFill="1" applyBorder="1"/>
    <xf numFmtId="0" fontId="1" fillId="5" borderId="0" xfId="0" applyFont="1" applyFill="1" applyAlignment="1">
      <alignment horizontal="right" wrapText="1"/>
    </xf>
    <xf numFmtId="2" fontId="0" fillId="10" borderId="0" xfId="0" applyNumberFormat="1" applyFill="1"/>
    <xf numFmtId="0" fontId="11" fillId="6" borderId="0" xfId="0" applyFont="1" applyFill="1"/>
    <xf numFmtId="0" fontId="1" fillId="3" borderId="0" xfId="0" applyFont="1" applyFill="1"/>
    <xf numFmtId="0" fontId="0" fillId="3" borderId="0" xfId="0" applyFill="1" applyAlignment="1">
      <alignment horizontal="right"/>
    </xf>
    <xf numFmtId="1" fontId="1" fillId="3" borderId="0" xfId="0" applyNumberFormat="1" applyFont="1" applyFill="1"/>
    <xf numFmtId="0" fontId="0" fillId="3" borderId="0" xfId="0" applyFill="1"/>
    <xf numFmtId="1" fontId="0" fillId="3" borderId="0" xfId="0" applyNumberFormat="1" applyFill="1"/>
    <xf numFmtId="0" fontId="6" fillId="11" borderId="0" xfId="0" applyFont="1" applyFill="1"/>
    <xf numFmtId="0" fontId="30" fillId="0" borderId="0" xfId="7"/>
    <xf numFmtId="0" fontId="1" fillId="5" borderId="0" xfId="0" applyFont="1" applyFill="1"/>
    <xf numFmtId="0" fontId="0" fillId="5" borderId="0" xfId="0" applyFill="1" applyAlignment="1">
      <alignment horizontal="right"/>
    </xf>
    <xf numFmtId="1" fontId="1" fillId="5" borderId="0" xfId="0" applyNumberFormat="1" applyFont="1" applyFill="1"/>
    <xf numFmtId="168" fontId="0" fillId="7" borderId="0" xfId="4" applyNumberFormat="1" applyFont="1" applyFill="1"/>
    <xf numFmtId="168" fontId="0" fillId="10" borderId="0" xfId="4" applyNumberFormat="1" applyFont="1" applyFill="1"/>
    <xf numFmtId="168" fontId="0" fillId="10" borderId="0" xfId="4" applyNumberFormat="1" applyFont="1" applyFill="1" applyBorder="1"/>
    <xf numFmtId="0" fontId="1" fillId="12" borderId="0" xfId="0" applyFont="1" applyFill="1"/>
    <xf numFmtId="0" fontId="0" fillId="12" borderId="0" xfId="0" applyFill="1" applyAlignment="1">
      <alignment horizontal="right"/>
    </xf>
    <xf numFmtId="1" fontId="0" fillId="12" borderId="4" xfId="0" applyNumberFormat="1" applyFill="1" applyBorder="1"/>
    <xf numFmtId="1" fontId="0" fillId="12" borderId="0" xfId="0" applyNumberFormat="1" applyFill="1"/>
    <xf numFmtId="1" fontId="1" fillId="12" borderId="0" xfId="0" applyNumberFormat="1" applyFont="1" applyFill="1"/>
    <xf numFmtId="0" fontId="0" fillId="12" borderId="0" xfId="0" applyFill="1"/>
    <xf numFmtId="168" fontId="0" fillId="8" borderId="0" xfId="4" applyNumberFormat="1" applyFont="1" applyFill="1"/>
    <xf numFmtId="168" fontId="0" fillId="8" borderId="4" xfId="4" applyNumberFormat="1" applyFont="1" applyFill="1" applyBorder="1"/>
    <xf numFmtId="168" fontId="0" fillId="4" borderId="0" xfId="4" applyNumberFormat="1" applyFont="1" applyFill="1"/>
    <xf numFmtId="168" fontId="0" fillId="4" borderId="4" xfId="4" applyNumberFormat="1" applyFont="1" applyFill="1" applyBorder="1"/>
    <xf numFmtId="168" fontId="0" fillId="9" borderId="4" xfId="4" applyNumberFormat="1" applyFont="1" applyFill="1" applyBorder="1"/>
    <xf numFmtId="168" fontId="0" fillId="3" borderId="4" xfId="4" applyNumberFormat="1" applyFont="1" applyFill="1" applyBorder="1"/>
    <xf numFmtId="168" fontId="0" fillId="5" borderId="4" xfId="4" applyNumberFormat="1" applyFont="1" applyFill="1" applyBorder="1"/>
    <xf numFmtId="168" fontId="0" fillId="9" borderId="0" xfId="4" applyNumberFormat="1" applyFont="1" applyFill="1"/>
    <xf numFmtId="168" fontId="0" fillId="5" borderId="0" xfId="4" applyNumberFormat="1" applyFont="1" applyFill="1"/>
    <xf numFmtId="168" fontId="0" fillId="12" borderId="0" xfId="4" applyNumberFormat="1" applyFont="1" applyFill="1"/>
    <xf numFmtId="0" fontId="28" fillId="11" borderId="0" xfId="0" applyFont="1" applyFill="1" applyAlignment="1">
      <alignment horizontal="left" vertical="center"/>
    </xf>
    <xf numFmtId="0" fontId="22" fillId="6" borderId="0" xfId="0" applyFont="1" applyFill="1" applyAlignment="1">
      <alignment horizontal="center"/>
    </xf>
    <xf numFmtId="0" fontId="26" fillId="6" borderId="0" xfId="0" applyFont="1" applyFill="1" applyAlignment="1">
      <alignment horizontal="center" vertical="center" wrapText="1"/>
    </xf>
    <xf numFmtId="0" fontId="11" fillId="6" borderId="0" xfId="0" applyFont="1" applyFill="1" applyAlignment="1">
      <alignment horizontal="center" vertical="center" wrapText="1"/>
    </xf>
    <xf numFmtId="0" fontId="0" fillId="0" borderId="2" xfId="0" applyBorder="1" applyAlignment="1">
      <alignment horizontal="left" wrapText="1"/>
    </xf>
    <xf numFmtId="0" fontId="0" fillId="0" borderId="0" xfId="0" applyAlignment="1">
      <alignment horizontal="left"/>
    </xf>
    <xf numFmtId="0" fontId="6" fillId="0" borderId="0" xfId="0" applyFont="1" applyAlignment="1">
      <alignment horizontal="center" wrapText="1"/>
    </xf>
    <xf numFmtId="164" fontId="6" fillId="0" borderId="1" xfId="0" applyNumberFormat="1" applyFont="1" applyBorder="1" applyAlignment="1">
      <alignment horizontal="center" wrapText="1"/>
    </xf>
    <xf numFmtId="165" fontId="6" fillId="0" borderId="3" xfId="2" applyNumberFormat="1" applyFont="1" applyFill="1" applyBorder="1" applyAlignment="1">
      <alignment horizontal="center" wrapText="1"/>
    </xf>
    <xf numFmtId="2" fontId="6" fillId="0" borderId="1" xfId="0" applyNumberFormat="1" applyFont="1" applyBorder="1" applyAlignment="1">
      <alignment horizontal="center" wrapText="1"/>
    </xf>
    <xf numFmtId="1" fontId="6" fillId="0" borderId="1" xfId="0" applyNumberFormat="1" applyFont="1" applyBorder="1" applyAlignment="1">
      <alignment horizontal="center" wrapText="1"/>
    </xf>
    <xf numFmtId="0" fontId="6" fillId="0" borderId="2" xfId="0" applyFont="1" applyBorder="1" applyAlignment="1">
      <alignment horizontal="center" wrapText="1"/>
    </xf>
    <xf numFmtId="0" fontId="31" fillId="0" borderId="0" xfId="0" applyFont="1" applyAlignment="1">
      <alignment horizontal="center" wrapText="1"/>
    </xf>
    <xf numFmtId="0" fontId="32" fillId="0" borderId="1" xfId="0" applyFont="1" applyBorder="1" applyAlignment="1">
      <alignment horizontal="center" vertical="center" wrapText="1"/>
    </xf>
    <xf numFmtId="44" fontId="31" fillId="0" borderId="1" xfId="1" applyFont="1" applyBorder="1" applyAlignment="1">
      <alignment horizontal="center" wrapText="1"/>
    </xf>
    <xf numFmtId="9" fontId="0" fillId="11" borderId="0" xfId="6" applyFont="1" applyFill="1"/>
    <xf numFmtId="9" fontId="0" fillId="11" borderId="0" xfId="2" applyFont="1" applyFill="1"/>
    <xf numFmtId="165" fontId="0" fillId="11" borderId="0" xfId="2" applyNumberFormat="1" applyFont="1" applyFill="1"/>
    <xf numFmtId="165" fontId="0" fillId="11" borderId="0" xfId="0" applyNumberFormat="1" applyFill="1"/>
    <xf numFmtId="1" fontId="0" fillId="11" borderId="0" xfId="2" applyNumberFormat="1" applyFont="1" applyFill="1"/>
    <xf numFmtId="0" fontId="0" fillId="10" borderId="0" xfId="0" applyFill="1" applyAlignment="1">
      <alignment horizontal="center" vertical="center"/>
    </xf>
    <xf numFmtId="1" fontId="0" fillId="2" borderId="0" xfId="0" applyNumberFormat="1" applyFill="1"/>
    <xf numFmtId="168" fontId="29" fillId="10" borderId="0" xfId="4" applyNumberFormat="1" applyFont="1" applyFill="1" applyAlignment="1">
      <alignment horizontal="center"/>
    </xf>
    <xf numFmtId="0" fontId="1" fillId="10" borderId="0" xfId="0" applyFont="1" applyFill="1" applyAlignment="1">
      <alignment horizontal="center"/>
    </xf>
    <xf numFmtId="0" fontId="0" fillId="10" borderId="0" xfId="0" applyFill="1" applyAlignment="1">
      <alignment horizontal="center"/>
    </xf>
    <xf numFmtId="1" fontId="0" fillId="10" borderId="0" xfId="0" applyNumberFormat="1" applyFill="1" applyAlignment="1">
      <alignment horizontal="center"/>
    </xf>
    <xf numFmtId="11" fontId="0" fillId="11" borderId="0" xfId="0" applyNumberFormat="1" applyFill="1"/>
    <xf numFmtId="168" fontId="0" fillId="2" borderId="0" xfId="4" applyNumberFormat="1" applyFont="1" applyFill="1"/>
    <xf numFmtId="0" fontId="8" fillId="13" borderId="1" xfId="0" applyFont="1" applyFill="1" applyBorder="1"/>
    <xf numFmtId="0" fontId="8" fillId="2" borderId="1" xfId="0" applyFont="1" applyFill="1" applyBorder="1"/>
    <xf numFmtId="0" fontId="14" fillId="10" borderId="1" xfId="0" applyFont="1" applyFill="1" applyBorder="1"/>
    <xf numFmtId="0" fontId="0" fillId="0" borderId="0" xfId="0" applyAlignment="1">
      <alignment horizontal="left" vertical="center"/>
    </xf>
    <xf numFmtId="0" fontId="0" fillId="0" borderId="0" xfId="0" applyAlignment="1">
      <alignment vertical="top" wrapText="1"/>
    </xf>
    <xf numFmtId="0" fontId="1" fillId="0" borderId="0" xfId="0" applyFont="1" applyAlignment="1">
      <alignment vertical="top" wrapText="1"/>
    </xf>
    <xf numFmtId="0" fontId="1" fillId="0" borderId="0" xfId="0" applyFont="1" applyAlignment="1">
      <alignment vertical="top"/>
    </xf>
    <xf numFmtId="0" fontId="0" fillId="0" borderId="0" xfId="0" applyAlignment="1">
      <alignment vertical="top"/>
    </xf>
    <xf numFmtId="0" fontId="30" fillId="0" borderId="0" xfId="7" applyAlignment="1">
      <alignment vertical="top"/>
    </xf>
    <xf numFmtId="0" fontId="1" fillId="9" borderId="0" xfId="0" applyFont="1" applyFill="1" applyAlignment="1">
      <alignment horizontal="left" wrapText="1"/>
    </xf>
    <xf numFmtId="0" fontId="1" fillId="4" borderId="0" xfId="0" applyFont="1" applyFill="1" applyAlignment="1">
      <alignment horizontal="left" wrapText="1"/>
    </xf>
    <xf numFmtId="0" fontId="1" fillId="0" borderId="0" xfId="0" applyFont="1" applyAlignment="1">
      <alignment horizontal="center"/>
    </xf>
    <xf numFmtId="0" fontId="29" fillId="10" borderId="0" xfId="0" applyFont="1" applyFill="1" applyAlignment="1">
      <alignment horizontal="center"/>
    </xf>
    <xf numFmtId="0" fontId="0" fillId="11" borderId="0" xfId="0" applyFill="1" applyAlignment="1">
      <alignment horizontal="center"/>
    </xf>
    <xf numFmtId="0" fontId="18" fillId="6" borderId="0" xfId="0" applyFont="1" applyFill="1"/>
    <xf numFmtId="0" fontId="26" fillId="6" borderId="0" xfId="0" applyFont="1" applyFill="1" applyAlignment="1">
      <alignment wrapText="1"/>
    </xf>
    <xf numFmtId="0" fontId="1" fillId="11" borderId="5" xfId="0" applyFont="1" applyFill="1" applyBorder="1"/>
    <xf numFmtId="0" fontId="0" fillId="11" borderId="6" xfId="0" applyFill="1" applyBorder="1"/>
    <xf numFmtId="0" fontId="0" fillId="11" borderId="7" xfId="0" applyFill="1" applyBorder="1"/>
    <xf numFmtId="11" fontId="0" fillId="11" borderId="8" xfId="0" applyNumberFormat="1" applyFill="1" applyBorder="1"/>
    <xf numFmtId="2" fontId="0" fillId="11" borderId="8" xfId="0" applyNumberFormat="1" applyFill="1" applyBorder="1"/>
    <xf numFmtId="0" fontId="0" fillId="11" borderId="9" xfId="0" applyFill="1" applyBorder="1"/>
    <xf numFmtId="0" fontId="0" fillId="11" borderId="10" xfId="0" applyFill="1" applyBorder="1"/>
    <xf numFmtId="16" fontId="0" fillId="0" borderId="0" xfId="0" applyNumberFormat="1"/>
    <xf numFmtId="0" fontId="30" fillId="0" borderId="0" xfId="7" applyAlignment="1">
      <alignment vertical="top" wrapText="1"/>
    </xf>
    <xf numFmtId="0" fontId="0" fillId="2" borderId="0" xfId="0" applyFill="1" applyAlignment="1">
      <alignment wrapText="1"/>
    </xf>
    <xf numFmtId="1" fontId="1" fillId="8" borderId="0" xfId="0" applyNumberFormat="1" applyFont="1" applyFill="1" applyAlignment="1">
      <alignment horizontal="center"/>
    </xf>
    <xf numFmtId="1" fontId="0" fillId="4" borderId="0" xfId="0" applyNumberFormat="1" applyFill="1" applyAlignment="1">
      <alignment horizontal="center"/>
    </xf>
    <xf numFmtId="168" fontId="0" fillId="4" borderId="0" xfId="4" applyNumberFormat="1" applyFont="1" applyFill="1" applyAlignment="1">
      <alignment horizontal="center"/>
    </xf>
    <xf numFmtId="1" fontId="0" fillId="8" borderId="0" xfId="0" applyNumberFormat="1" applyFill="1" applyAlignment="1">
      <alignment horizontal="left"/>
    </xf>
    <xf numFmtId="0" fontId="0" fillId="11" borderId="0" xfId="0" applyFill="1" applyAlignment="1">
      <alignment horizontal="left"/>
    </xf>
    <xf numFmtId="1" fontId="0" fillId="10" borderId="0" xfId="0" applyNumberFormat="1" applyFill="1" applyAlignment="1">
      <alignment horizontal="left"/>
    </xf>
    <xf numFmtId="1" fontId="0" fillId="8" borderId="4" xfId="0" applyNumberFormat="1" applyFill="1" applyBorder="1" applyAlignment="1">
      <alignment horizontal="left"/>
    </xf>
    <xf numFmtId="1" fontId="1" fillId="8" borderId="0" xfId="0" applyNumberFormat="1" applyFont="1" applyFill="1" applyAlignment="1">
      <alignment horizontal="left"/>
    </xf>
    <xf numFmtId="1" fontId="0" fillId="11" borderId="0" xfId="0" applyNumberFormat="1" applyFill="1" applyAlignment="1">
      <alignment horizontal="left"/>
    </xf>
    <xf numFmtId="1" fontId="0" fillId="4" borderId="0" xfId="0" applyNumberFormat="1" applyFill="1" applyAlignment="1">
      <alignment horizontal="left"/>
    </xf>
    <xf numFmtId="2" fontId="0" fillId="0" borderId="0" xfId="0" applyNumberFormat="1"/>
    <xf numFmtId="0" fontId="1" fillId="15" borderId="0" xfId="0" applyFont="1" applyFill="1"/>
    <xf numFmtId="0" fontId="0" fillId="15" borderId="0" xfId="0" applyFill="1" applyAlignment="1">
      <alignment horizontal="right"/>
    </xf>
    <xf numFmtId="168" fontId="0" fillId="15" borderId="4" xfId="4" applyNumberFormat="1" applyFont="1" applyFill="1" applyBorder="1"/>
    <xf numFmtId="1" fontId="0" fillId="15" borderId="0" xfId="0" applyNumberFormat="1" applyFill="1"/>
    <xf numFmtId="1" fontId="1" fillId="15" borderId="0" xfId="0" applyNumberFormat="1" applyFont="1" applyFill="1"/>
    <xf numFmtId="0" fontId="0" fillId="15" borderId="0" xfId="0" applyFill="1"/>
    <xf numFmtId="168" fontId="0" fillId="15" borderId="0" xfId="4" applyNumberFormat="1" applyFont="1" applyFill="1"/>
    <xf numFmtId="0" fontId="0" fillId="14" borderId="0" xfId="0" applyFill="1"/>
    <xf numFmtId="0" fontId="26" fillId="16" borderId="0" xfId="0" applyFont="1" applyFill="1"/>
    <xf numFmtId="0" fontId="26" fillId="6" borderId="0" xfId="0" applyFont="1" applyFill="1"/>
    <xf numFmtId="168" fontId="0" fillId="0" borderId="0" xfId="0" applyNumberFormat="1"/>
    <xf numFmtId="0" fontId="0" fillId="9" borderId="0" xfId="0" applyFill="1" applyAlignment="1">
      <alignment vertical="top" wrapText="1"/>
    </xf>
    <xf numFmtId="0" fontId="0" fillId="17" borderId="0" xfId="0" applyFill="1"/>
    <xf numFmtId="11" fontId="0" fillId="17" borderId="0" xfId="0" applyNumberFormat="1" applyFill="1"/>
    <xf numFmtId="2" fontId="0" fillId="17" borderId="0" xfId="0" applyNumberFormat="1" applyFill="1"/>
    <xf numFmtId="1" fontId="0" fillId="17" borderId="0" xfId="0" applyNumberFormat="1" applyFill="1"/>
    <xf numFmtId="0" fontId="1" fillId="17" borderId="0" xfId="0" applyFont="1" applyFill="1"/>
    <xf numFmtId="0" fontId="26" fillId="6" borderId="0" xfId="0" applyFont="1" applyFill="1" applyAlignment="1">
      <alignment horizontal="center" vertical="center"/>
    </xf>
    <xf numFmtId="0" fontId="34" fillId="0" borderId="1" xfId="0" applyFont="1" applyBorder="1" applyAlignment="1">
      <alignment horizontal="center" vertical="center" wrapText="1"/>
    </xf>
    <xf numFmtId="44" fontId="6" fillId="0" borderId="1" xfId="1" applyFont="1" applyBorder="1" applyAlignment="1">
      <alignment horizontal="center" wrapText="1"/>
    </xf>
    <xf numFmtId="166" fontId="6" fillId="0" borderId="1" xfId="0" applyNumberFormat="1" applyFont="1" applyBorder="1" applyAlignment="1">
      <alignment horizontal="center" wrapText="1"/>
    </xf>
    <xf numFmtId="9" fontId="0" fillId="0" borderId="0" xfId="2" applyFont="1" applyFill="1"/>
    <xf numFmtId="43" fontId="0" fillId="5" borderId="0" xfId="0" applyNumberFormat="1" applyFill="1"/>
    <xf numFmtId="1" fontId="1" fillId="4" borderId="4" xfId="0" applyNumberFormat="1" applyFont="1" applyFill="1" applyBorder="1" applyAlignment="1">
      <alignment horizontal="center"/>
    </xf>
    <xf numFmtId="0" fontId="1" fillId="10" borderId="0" xfId="0" applyFont="1" applyFill="1" applyAlignment="1">
      <alignment horizontal="left" wrapText="1"/>
    </xf>
    <xf numFmtId="0" fontId="0" fillId="0" borderId="2" xfId="0" applyBorder="1" applyAlignment="1">
      <alignment horizontal="left"/>
    </xf>
    <xf numFmtId="0" fontId="6" fillId="0" borderId="1" xfId="0" applyFont="1" applyBorder="1" applyAlignment="1">
      <alignment horizontal="left" wrapText="1"/>
    </xf>
    <xf numFmtId="0" fontId="6" fillId="0" borderId="1" xfId="0" applyFont="1" applyBorder="1" applyAlignment="1">
      <alignment horizontal="left"/>
    </xf>
    <xf numFmtId="0" fontId="0" fillId="0" borderId="3" xfId="0" applyBorder="1" applyAlignment="1">
      <alignment horizontal="left"/>
    </xf>
    <xf numFmtId="164" fontId="0" fillId="0" borderId="1" xfId="0" applyNumberFormat="1" applyBorder="1" applyAlignment="1">
      <alignment horizontal="left"/>
    </xf>
    <xf numFmtId="164" fontId="6" fillId="0" borderId="1" xfId="0" applyNumberFormat="1" applyFont="1" applyBorder="1" applyAlignment="1">
      <alignment horizontal="left" wrapText="1"/>
    </xf>
    <xf numFmtId="164" fontId="0" fillId="0" borderId="1" xfId="0" applyNumberFormat="1" applyBorder="1" applyAlignment="1">
      <alignment horizontal="left" wrapText="1"/>
    </xf>
    <xf numFmtId="44" fontId="0" fillId="0" borderId="1" xfId="1" applyFont="1" applyBorder="1" applyAlignment="1">
      <alignment horizontal="left"/>
    </xf>
    <xf numFmtId="165" fontId="0" fillId="0" borderId="1" xfId="2" applyNumberFormat="1" applyFont="1" applyBorder="1" applyAlignment="1">
      <alignment horizontal="left" wrapText="1"/>
    </xf>
    <xf numFmtId="165" fontId="0" fillId="0" borderId="1" xfId="2" applyNumberFormat="1" applyFont="1" applyFill="1" applyBorder="1" applyAlignment="1">
      <alignment horizontal="left"/>
    </xf>
    <xf numFmtId="165" fontId="6" fillId="0" borderId="1" xfId="2" applyNumberFormat="1" applyFont="1" applyBorder="1" applyAlignment="1">
      <alignment horizontal="left"/>
    </xf>
    <xf numFmtId="165" fontId="0" fillId="0" borderId="1" xfId="2" applyNumberFormat="1" applyFont="1" applyBorder="1" applyAlignment="1">
      <alignment horizontal="left"/>
    </xf>
    <xf numFmtId="0" fontId="3" fillId="0" borderId="1" xfId="0" applyFont="1" applyBorder="1" applyAlignment="1">
      <alignment horizontal="left"/>
    </xf>
    <xf numFmtId="0" fontId="0" fillId="0" borderId="3" xfId="0" applyBorder="1" applyAlignment="1">
      <alignment horizontal="left" wrapText="1"/>
    </xf>
    <xf numFmtId="165" fontId="6" fillId="0" borderId="1" xfId="2" applyNumberFormat="1" applyFont="1" applyFill="1" applyBorder="1" applyAlignment="1">
      <alignment horizontal="left"/>
    </xf>
    <xf numFmtId="165" fontId="6" fillId="0" borderId="1" xfId="2" applyNumberFormat="1" applyFont="1" applyBorder="1" applyAlignment="1">
      <alignment horizontal="left" wrapText="1"/>
    </xf>
    <xf numFmtId="166" fontId="0" fillId="0" borderId="1" xfId="0" applyNumberFormat="1" applyBorder="1" applyAlignment="1">
      <alignment horizontal="left"/>
    </xf>
    <xf numFmtId="44" fontId="0" fillId="0" borderId="3" xfId="1" applyFont="1" applyBorder="1" applyAlignment="1">
      <alignment horizontal="left"/>
    </xf>
    <xf numFmtId="164" fontId="0" fillId="0" borderId="3" xfId="0" applyNumberFormat="1" applyBorder="1" applyAlignment="1">
      <alignment horizontal="left"/>
    </xf>
    <xf numFmtId="0" fontId="29" fillId="8" borderId="0" xfId="0" applyFont="1" applyFill="1"/>
    <xf numFmtId="1" fontId="6" fillId="8" borderId="0" xfId="0" applyNumberFormat="1" applyFont="1" applyFill="1"/>
    <xf numFmtId="0" fontId="6" fillId="8" borderId="0" xfId="0" applyFont="1" applyFill="1"/>
    <xf numFmtId="168" fontId="6" fillId="8" borderId="0" xfId="4" applyNumberFormat="1" applyFont="1" applyFill="1"/>
    <xf numFmtId="0" fontId="0" fillId="4" borderId="0" xfId="0" applyFill="1" applyAlignment="1">
      <alignment vertical="top" wrapText="1"/>
    </xf>
    <xf numFmtId="0" fontId="1" fillId="4" borderId="0" xfId="0" applyFont="1" applyFill="1" applyAlignment="1">
      <alignment vertical="top" wrapText="1"/>
    </xf>
    <xf numFmtId="0" fontId="1" fillId="4" borderId="4" xfId="0" applyFont="1" applyFill="1" applyBorder="1" applyAlignment="1">
      <alignment vertical="top" wrapText="1"/>
    </xf>
    <xf numFmtId="166" fontId="0" fillId="4" borderId="0" xfId="0" applyNumberFormat="1" applyFill="1" applyAlignment="1">
      <alignment vertical="top" wrapText="1"/>
    </xf>
    <xf numFmtId="166" fontId="1" fillId="4" borderId="4" xfId="0" applyNumberFormat="1" applyFont="1" applyFill="1" applyBorder="1"/>
    <xf numFmtId="0" fontId="0" fillId="4" borderId="4" xfId="0" applyFill="1" applyBorder="1"/>
    <xf numFmtId="166" fontId="0" fillId="4" borderId="0" xfId="0" applyNumberFormat="1" applyFill="1"/>
    <xf numFmtId="0" fontId="6" fillId="0" borderId="1" xfId="0" applyFont="1" applyBorder="1" applyAlignment="1">
      <alignment wrapText="1"/>
    </xf>
    <xf numFmtId="0" fontId="6" fillId="0" borderId="2" xfId="0" applyFont="1" applyBorder="1" applyAlignment="1">
      <alignment wrapText="1"/>
    </xf>
    <xf numFmtId="44" fontId="0" fillId="0" borderId="1" xfId="1" applyFont="1" applyBorder="1" applyAlignment="1">
      <alignment horizontal="left" wrapText="1"/>
    </xf>
    <xf numFmtId="0" fontId="22" fillId="6" borderId="0" xfId="0" applyFont="1" applyFill="1"/>
    <xf numFmtId="0" fontId="7" fillId="0" borderId="1" xfId="0" applyFont="1" applyBorder="1" applyAlignment="1">
      <alignment vertical="center" wrapText="1"/>
    </xf>
    <xf numFmtId="44" fontId="0" fillId="0" borderId="1" xfId="1" applyFont="1" applyBorder="1" applyAlignment="1"/>
    <xf numFmtId="165" fontId="0" fillId="0" borderId="1" xfId="2" applyNumberFormat="1" applyFont="1" applyBorder="1" applyAlignment="1"/>
    <xf numFmtId="165" fontId="0" fillId="0" borderId="1" xfId="2" applyNumberFormat="1" applyFont="1" applyBorder="1" applyAlignment="1">
      <alignment wrapText="1"/>
    </xf>
    <xf numFmtId="0" fontId="29" fillId="9" borderId="0" xfId="0" applyFont="1" applyFill="1"/>
    <xf numFmtId="0" fontId="6" fillId="9" borderId="0" xfId="0" applyFont="1" applyFill="1"/>
    <xf numFmtId="168" fontId="6" fillId="9" borderId="0" xfId="4" applyNumberFormat="1" applyFont="1" applyFill="1"/>
    <xf numFmtId="169" fontId="6" fillId="9" borderId="0" xfId="4" applyNumberFormat="1" applyFont="1" applyFill="1"/>
    <xf numFmtId="0" fontId="29" fillId="9" borderId="4" xfId="0" applyFont="1" applyFill="1" applyBorder="1"/>
    <xf numFmtId="0" fontId="6" fillId="9" borderId="0" xfId="0" applyFont="1" applyFill="1" applyAlignment="1">
      <alignment horizontal="right"/>
    </xf>
    <xf numFmtId="0" fontId="6" fillId="8" borderId="0" xfId="0" applyFont="1" applyFill="1" applyAlignment="1">
      <alignment horizontal="right"/>
    </xf>
    <xf numFmtId="44" fontId="6" fillId="0" borderId="1" xfId="1" applyFont="1" applyBorder="1" applyAlignment="1">
      <alignment horizontal="left" wrapText="1"/>
    </xf>
    <xf numFmtId="0" fontId="0" fillId="2" borderId="1" xfId="0" applyFill="1" applyBorder="1" applyAlignment="1">
      <alignment wrapText="1"/>
    </xf>
    <xf numFmtId="165" fontId="0" fillId="0" borderId="3" xfId="2" applyNumberFormat="1" applyFont="1" applyBorder="1" applyAlignment="1">
      <alignment horizontal="left" wrapText="1"/>
    </xf>
    <xf numFmtId="165" fontId="0" fillId="0" borderId="1" xfId="2" applyNumberFormat="1" applyFont="1" applyFill="1" applyBorder="1" applyAlignment="1">
      <alignment wrapText="1"/>
    </xf>
    <xf numFmtId="165" fontId="0" fillId="0" borderId="1" xfId="2" applyNumberFormat="1" applyFont="1" applyFill="1" applyBorder="1" applyAlignment="1">
      <alignment horizontal="left" wrapText="1"/>
    </xf>
    <xf numFmtId="0" fontId="29" fillId="5" borderId="0" xfId="0" applyFont="1" applyFill="1"/>
    <xf numFmtId="0" fontId="6" fillId="5" borderId="0" xfId="0" applyFont="1" applyFill="1"/>
    <xf numFmtId="2" fontId="6" fillId="5" borderId="0" xfId="0" applyNumberFormat="1" applyFont="1" applyFill="1"/>
    <xf numFmtId="0" fontId="6" fillId="0" borderId="0" xfId="0" applyFont="1"/>
    <xf numFmtId="0" fontId="0" fillId="6" borderId="0" xfId="0" applyFill="1"/>
    <xf numFmtId="0" fontId="26" fillId="6" borderId="0" xfId="0" applyFont="1" applyFill="1" applyAlignment="1">
      <alignment vertical="center" wrapText="1"/>
    </xf>
    <xf numFmtId="0" fontId="11" fillId="6" borderId="0" xfId="0" applyFont="1" applyFill="1" applyAlignment="1">
      <alignment vertical="center" wrapText="1"/>
    </xf>
    <xf numFmtId="168" fontId="0" fillId="10" borderId="0" xfId="4" applyNumberFormat="1" applyFont="1" applyFill="1" applyAlignment="1">
      <alignment horizontal="center"/>
    </xf>
    <xf numFmtId="0" fontId="0" fillId="10" borderId="0" xfId="0" applyFill="1" applyAlignment="1">
      <alignment horizontal="right" wrapText="1"/>
    </xf>
    <xf numFmtId="1" fontId="1" fillId="10" borderId="4" xfId="0" applyNumberFormat="1" applyFont="1" applyFill="1" applyBorder="1" applyAlignment="1">
      <alignment horizontal="center"/>
    </xf>
    <xf numFmtId="1" fontId="1" fillId="10" borderId="4" xfId="0" applyNumberFormat="1" applyFont="1" applyFill="1" applyBorder="1" applyAlignment="1">
      <alignment horizontal="left"/>
    </xf>
    <xf numFmtId="44" fontId="0" fillId="10" borderId="0" xfId="1" applyFont="1" applyFill="1"/>
    <xf numFmtId="44" fontId="0" fillId="10" borderId="0" xfId="4" applyNumberFormat="1" applyFont="1" applyFill="1"/>
    <xf numFmtId="0" fontId="29" fillId="10" borderId="0" xfId="0" applyFont="1" applyFill="1"/>
    <xf numFmtId="0" fontId="0" fillId="2" borderId="0" xfId="0" applyFill="1" applyAlignment="1">
      <alignment horizontal="left" wrapText="1"/>
    </xf>
    <xf numFmtId="0" fontId="9" fillId="0" borderId="0" xfId="5"/>
    <xf numFmtId="0" fontId="3" fillId="0" borderId="0" xfId="0" applyFont="1"/>
    <xf numFmtId="1" fontId="1" fillId="4" borderId="4" xfId="0" applyNumberFormat="1" applyFont="1" applyFill="1" applyBorder="1" applyAlignment="1">
      <alignment horizontal="left"/>
    </xf>
    <xf numFmtId="44" fontId="6" fillId="0" borderId="1" xfId="1" applyFont="1" applyFill="1" applyBorder="1" applyAlignment="1">
      <alignment horizontal="left" wrapText="1"/>
    </xf>
    <xf numFmtId="0" fontId="0" fillId="18" borderId="1" xfId="0" applyFill="1" applyBorder="1" applyAlignment="1">
      <alignment wrapText="1"/>
    </xf>
    <xf numFmtId="0" fontId="0" fillId="4" borderId="0" xfId="0" applyFill="1" applyAlignment="1">
      <alignment horizontal="right" wrapText="1"/>
    </xf>
    <xf numFmtId="2" fontId="0" fillId="4" borderId="0" xfId="0" applyNumberFormat="1" applyFill="1"/>
    <xf numFmtId="0" fontId="35" fillId="19" borderId="0" xfId="0" applyFont="1" applyFill="1" applyAlignment="1">
      <alignment horizontal="center" vertical="center"/>
    </xf>
    <xf numFmtId="0" fontId="0" fillId="2" borderId="0" xfId="0" applyFill="1" applyAlignment="1">
      <alignment vertical="top" wrapText="1"/>
    </xf>
    <xf numFmtId="168" fontId="0" fillId="5" borderId="0" xfId="0" applyNumberFormat="1" applyFill="1"/>
    <xf numFmtId="2" fontId="0" fillId="14" borderId="0" xfId="0" applyNumberFormat="1" applyFill="1"/>
    <xf numFmtId="0" fontId="0" fillId="0" borderId="0" xfId="0" quotePrefix="1" applyAlignment="1">
      <alignment vertical="top" wrapText="1"/>
    </xf>
    <xf numFmtId="164" fontId="0" fillId="0" borderId="0" xfId="0" applyNumberFormat="1"/>
    <xf numFmtId="4" fontId="0" fillId="0" borderId="0" xfId="0" applyNumberFormat="1"/>
    <xf numFmtId="165" fontId="0" fillId="0" borderId="11" xfId="2" applyNumberFormat="1" applyFont="1" applyBorder="1"/>
    <xf numFmtId="10" fontId="0" fillId="0" borderId="0" xfId="0" applyNumberFormat="1"/>
    <xf numFmtId="0" fontId="38" fillId="0" borderId="0" xfId="0" applyFont="1"/>
    <xf numFmtId="168" fontId="0" fillId="0" borderId="0" xfId="4" applyNumberFormat="1" applyFont="1"/>
    <xf numFmtId="3" fontId="0" fillId="0" borderId="0" xfId="0" applyNumberFormat="1"/>
    <xf numFmtId="4" fontId="37" fillId="0" borderId="12" xfId="9" applyNumberFormat="1" applyFont="1" applyBorder="1"/>
    <xf numFmtId="4" fontId="37" fillId="0" borderId="12" xfId="0" applyNumberFormat="1" applyFont="1" applyBorder="1"/>
    <xf numFmtId="4" fontId="37" fillId="0" borderId="0" xfId="9" applyNumberFormat="1" applyFont="1"/>
    <xf numFmtId="0" fontId="0" fillId="0" borderId="12" xfId="0" applyBorder="1"/>
    <xf numFmtId="165" fontId="0" fillId="0" borderId="12" xfId="2" applyNumberFormat="1" applyFont="1" applyBorder="1"/>
    <xf numFmtId="0" fontId="39" fillId="9" borderId="0" xfId="0" applyFont="1" applyFill="1"/>
    <xf numFmtId="0" fontId="38" fillId="9" borderId="0" xfId="0" applyFont="1" applyFill="1"/>
    <xf numFmtId="0" fontId="39" fillId="10" borderId="0" xfId="0" applyFont="1" applyFill="1"/>
    <xf numFmtId="0" fontId="38" fillId="10" borderId="0" xfId="0" applyFont="1" applyFill="1"/>
    <xf numFmtId="0" fontId="39" fillId="4" borderId="0" xfId="0" applyFont="1" applyFill="1"/>
    <xf numFmtId="0" fontId="38" fillId="4" borderId="0" xfId="0" applyFont="1" applyFill="1"/>
    <xf numFmtId="168" fontId="0" fillId="9" borderId="0" xfId="4" quotePrefix="1" applyNumberFormat="1" applyFont="1" applyFill="1" applyAlignment="1">
      <alignment horizontal="right"/>
    </xf>
    <xf numFmtId="168" fontId="0" fillId="12" borderId="0" xfId="4" quotePrefix="1" applyNumberFormat="1" applyFont="1" applyFill="1" applyAlignment="1">
      <alignment horizontal="right"/>
    </xf>
    <xf numFmtId="1" fontId="0" fillId="3" borderId="0" xfId="0" quotePrefix="1" applyNumberFormat="1" applyFill="1" applyAlignment="1">
      <alignment horizontal="right"/>
    </xf>
    <xf numFmtId="168" fontId="0" fillId="8" borderId="0" xfId="4" quotePrefix="1" applyNumberFormat="1" applyFont="1" applyFill="1" applyAlignment="1">
      <alignment horizontal="right"/>
    </xf>
    <xf numFmtId="168" fontId="0" fillId="15" borderId="0" xfId="4" quotePrefix="1" applyNumberFormat="1" applyFont="1" applyFill="1" applyAlignment="1">
      <alignment horizontal="right"/>
    </xf>
    <xf numFmtId="0" fontId="0" fillId="0" borderId="0" xfId="0" quotePrefix="1" applyAlignment="1">
      <alignment horizontal="right"/>
    </xf>
    <xf numFmtId="168" fontId="0" fillId="15" borderId="0" xfId="4" quotePrefix="1" applyNumberFormat="1" applyFont="1" applyFill="1"/>
    <xf numFmtId="0" fontId="38" fillId="9" borderId="0" xfId="0" applyFont="1" applyFill="1" applyAlignment="1">
      <alignment horizontal="left"/>
    </xf>
    <xf numFmtId="0" fontId="1" fillId="0" borderId="0" xfId="0" applyFont="1" applyAlignment="1">
      <alignment horizontal="left"/>
    </xf>
    <xf numFmtId="0" fontId="38" fillId="10" borderId="0" xfId="0" applyFont="1" applyFill="1" applyAlignment="1">
      <alignment horizontal="left"/>
    </xf>
    <xf numFmtId="0" fontId="38" fillId="4" borderId="0" xfId="0" applyFont="1" applyFill="1" applyAlignment="1">
      <alignment horizontal="left"/>
    </xf>
    <xf numFmtId="0" fontId="1" fillId="2" borderId="0" xfId="0" applyFont="1" applyFill="1"/>
    <xf numFmtId="0" fontId="17" fillId="0" borderId="0" xfId="0" applyFont="1"/>
    <xf numFmtId="3" fontId="0" fillId="14" borderId="0" xfId="0" applyNumberFormat="1" applyFill="1"/>
    <xf numFmtId="3" fontId="1" fillId="0" borderId="0" xfId="0" applyNumberFormat="1" applyFont="1"/>
    <xf numFmtId="3" fontId="0" fillId="2" borderId="0" xfId="0" applyNumberFormat="1" applyFill="1"/>
    <xf numFmtId="43" fontId="0" fillId="8" borderId="0" xfId="4" quotePrefix="1" applyFont="1" applyFill="1" applyAlignment="1">
      <alignment horizontal="right"/>
    </xf>
    <xf numFmtId="168" fontId="0" fillId="0" borderId="0" xfId="4" applyNumberFormat="1" applyFont="1" applyFill="1"/>
    <xf numFmtId="0" fontId="1" fillId="0" borderId="0" xfId="0" applyFont="1" applyAlignment="1">
      <alignment wrapText="1"/>
    </xf>
    <xf numFmtId="0" fontId="0" fillId="0" borderId="0" xfId="0" applyAlignment="1">
      <alignment horizontal="right"/>
    </xf>
    <xf numFmtId="0" fontId="0" fillId="0" borderId="0" xfId="0" applyAlignment="1">
      <alignment horizontal="right" wrapText="1"/>
    </xf>
    <xf numFmtId="167" fontId="0" fillId="2" borderId="0" xfId="1" applyNumberFormat="1" applyFont="1" applyFill="1"/>
    <xf numFmtId="167" fontId="0" fillId="5" borderId="0" xfId="1" applyNumberFormat="1" applyFont="1" applyFill="1"/>
    <xf numFmtId="0" fontId="1" fillId="5" borderId="0" xfId="0" applyFont="1" applyFill="1" applyAlignment="1">
      <alignment wrapText="1"/>
    </xf>
    <xf numFmtId="0" fontId="1" fillId="0" borderId="0" xfId="0" applyFont="1" applyAlignment="1">
      <alignment horizontal="center" wrapText="1"/>
    </xf>
    <xf numFmtId="0" fontId="1" fillId="5" borderId="0" xfId="0" applyFont="1" applyFill="1" applyAlignment="1">
      <alignment horizontal="left"/>
    </xf>
    <xf numFmtId="1" fontId="1" fillId="7" borderId="0" xfId="0" applyNumberFormat="1" applyFont="1" applyFill="1"/>
    <xf numFmtId="0" fontId="41" fillId="0" borderId="0" xfId="0" applyFont="1" applyAlignment="1">
      <alignment vertical="top" wrapText="1"/>
    </xf>
    <xf numFmtId="0" fontId="30" fillId="20" borderId="0" xfId="7" applyFill="1" applyBorder="1" applyAlignment="1"/>
    <xf numFmtId="0" fontId="42" fillId="20" borderId="0" xfId="0" applyFont="1" applyFill="1"/>
    <xf numFmtId="0" fontId="0" fillId="22" borderId="0" xfId="0" applyFill="1"/>
    <xf numFmtId="164" fontId="0" fillId="23" borderId="11" xfId="0" applyNumberFormat="1" applyFill="1" applyBorder="1"/>
    <xf numFmtId="0" fontId="43" fillId="0" borderId="0" xfId="7" applyFont="1"/>
    <xf numFmtId="0" fontId="0" fillId="24" borderId="0" xfId="0" applyFill="1"/>
    <xf numFmtId="168" fontId="0" fillId="4" borderId="0" xfId="4" applyNumberFormat="1" applyFont="1" applyFill="1" applyAlignment="1">
      <alignment horizontal="right"/>
    </xf>
    <xf numFmtId="1" fontId="0" fillId="4" borderId="0" xfId="0" applyNumberFormat="1" applyFill="1" applyAlignment="1">
      <alignment horizontal="right"/>
    </xf>
    <xf numFmtId="168" fontId="0" fillId="8" borderId="4" xfId="4" applyNumberFormat="1" applyFont="1" applyFill="1" applyBorder="1" applyAlignment="1">
      <alignment horizontal="right"/>
    </xf>
    <xf numFmtId="1" fontId="1" fillId="8" borderId="0" xfId="0" applyNumberFormat="1" applyFont="1" applyFill="1" applyAlignment="1">
      <alignment horizontal="right"/>
    </xf>
    <xf numFmtId="1" fontId="0" fillId="8" borderId="0" xfId="0" applyNumberFormat="1" applyFill="1" applyAlignment="1">
      <alignment horizontal="right"/>
    </xf>
    <xf numFmtId="168" fontId="0" fillId="8" borderId="0" xfId="4" applyNumberFormat="1" applyFont="1" applyFill="1" applyAlignment="1">
      <alignment horizontal="right"/>
    </xf>
    <xf numFmtId="0" fontId="40" fillId="20" borderId="0" xfId="0" applyFont="1" applyFill="1"/>
    <xf numFmtId="6" fontId="40" fillId="20" borderId="0" xfId="0" applyNumberFormat="1" applyFont="1" applyFill="1"/>
    <xf numFmtId="9" fontId="40" fillId="20" borderId="0" xfId="0" applyNumberFormat="1" applyFont="1" applyFill="1"/>
    <xf numFmtId="9" fontId="40" fillId="21" borderId="0" xfId="0" applyNumberFormat="1" applyFont="1" applyFill="1"/>
    <xf numFmtId="168" fontId="0" fillId="8" borderId="0" xfId="4" applyNumberFormat="1" applyFont="1" applyFill="1" applyAlignment="1">
      <alignment horizontal="left"/>
    </xf>
    <xf numFmtId="9" fontId="0" fillId="4" borderId="0" xfId="2" applyFont="1" applyFill="1"/>
    <xf numFmtId="0" fontId="7" fillId="0" borderId="0" xfId="0" applyFont="1"/>
    <xf numFmtId="9" fontId="0" fillId="14" borderId="0" xfId="2" applyFont="1" applyFill="1"/>
    <xf numFmtId="4" fontId="37" fillId="0" borderId="0" xfId="0" applyNumberFormat="1" applyFont="1"/>
    <xf numFmtId="6" fontId="0" fillId="0" borderId="0" xfId="0" applyNumberFormat="1"/>
    <xf numFmtId="0" fontId="1" fillId="0" borderId="4" xfId="0" applyFont="1" applyBorder="1"/>
    <xf numFmtId="0" fontId="40" fillId="0" borderId="0" xfId="0" applyFont="1" applyAlignment="1">
      <alignment wrapText="1"/>
    </xf>
    <xf numFmtId="168" fontId="0" fillId="5" borderId="0" xfId="4" quotePrefix="1" applyNumberFormat="1" applyFont="1" applyFill="1" applyAlignment="1">
      <alignment horizontal="right"/>
    </xf>
    <xf numFmtId="168" fontId="0" fillId="12" borderId="4" xfId="4" applyNumberFormat="1" applyFont="1" applyFill="1" applyBorder="1"/>
    <xf numFmtId="0" fontId="26" fillId="11" borderId="0" xfId="0" applyFont="1" applyFill="1"/>
    <xf numFmtId="0" fontId="44" fillId="7" borderId="0" xfId="0" applyFont="1" applyFill="1"/>
    <xf numFmtId="0" fontId="45" fillId="7" borderId="0" xfId="0" applyFont="1" applyFill="1"/>
    <xf numFmtId="0" fontId="46" fillId="10" borderId="0" xfId="0" applyFont="1" applyFill="1"/>
    <xf numFmtId="0" fontId="47" fillId="5" borderId="0" xfId="0" applyFont="1" applyFill="1"/>
    <xf numFmtId="0" fontId="29" fillId="6" borderId="0" xfId="0" applyFont="1" applyFill="1" applyAlignment="1">
      <alignment vertical="center" wrapText="1"/>
    </xf>
    <xf numFmtId="0" fontId="33" fillId="6" borderId="0" xfId="0" applyFont="1" applyFill="1"/>
    <xf numFmtId="0" fontId="48" fillId="6" borderId="0" xfId="0" applyFont="1" applyFill="1"/>
    <xf numFmtId="0" fontId="35" fillId="6" borderId="0" xfId="0" applyFont="1" applyFill="1"/>
    <xf numFmtId="43" fontId="0" fillId="0" borderId="0" xfId="0" applyNumberFormat="1"/>
    <xf numFmtId="170" fontId="0" fillId="0" borderId="0" xfId="0" applyNumberFormat="1"/>
    <xf numFmtId="168" fontId="0" fillId="25" borderId="0" xfId="4" applyNumberFormat="1" applyFont="1" applyFill="1"/>
    <xf numFmtId="1" fontId="0" fillId="25" borderId="0" xfId="0" applyNumberFormat="1" applyFill="1"/>
    <xf numFmtId="17" fontId="0" fillId="0" borderId="0" xfId="0" applyNumberFormat="1"/>
    <xf numFmtId="167" fontId="0" fillId="0" borderId="0" xfId="0" applyNumberFormat="1"/>
    <xf numFmtId="0" fontId="30" fillId="26" borderId="0" xfId="7" applyFill="1"/>
    <xf numFmtId="0" fontId="0" fillId="26" borderId="0" xfId="0" applyFill="1"/>
    <xf numFmtId="0" fontId="40" fillId="0" borderId="0" xfId="0" applyFont="1"/>
    <xf numFmtId="1" fontId="0" fillId="2" borderId="0" xfId="0" applyNumberFormat="1" applyFill="1" applyAlignment="1">
      <alignment horizontal="right"/>
    </xf>
    <xf numFmtId="168" fontId="0" fillId="3" borderId="0" xfId="4" applyNumberFormat="1" applyFont="1" applyFill="1"/>
    <xf numFmtId="168" fontId="0" fillId="11" borderId="0" xfId="0" applyNumberFormat="1" applyFill="1"/>
    <xf numFmtId="9" fontId="0" fillId="0" borderId="0" xfId="0" applyNumberFormat="1"/>
    <xf numFmtId="0" fontId="0" fillId="27" borderId="0" xfId="0" applyFill="1" applyAlignment="1">
      <alignment horizontal="right"/>
    </xf>
    <xf numFmtId="1" fontId="0" fillId="27" borderId="0" xfId="0" applyNumberFormat="1" applyFill="1" applyAlignment="1">
      <alignment horizontal="center"/>
    </xf>
    <xf numFmtId="1" fontId="0" fillId="27" borderId="0" xfId="0" applyNumberFormat="1" applyFill="1" applyAlignment="1">
      <alignment horizontal="left"/>
    </xf>
    <xf numFmtId="0" fontId="1" fillId="27" borderId="4" xfId="0" applyFont="1" applyFill="1" applyBorder="1"/>
    <xf numFmtId="1" fontId="1" fillId="27" borderId="4" xfId="0" applyNumberFormat="1" applyFont="1" applyFill="1" applyBorder="1" applyAlignment="1">
      <alignment horizontal="left"/>
    </xf>
    <xf numFmtId="0" fontId="0" fillId="27" borderId="0" xfId="0" applyFill="1" applyAlignment="1">
      <alignment horizontal="left"/>
    </xf>
    <xf numFmtId="0" fontId="30" fillId="0" borderId="0" xfId="7" applyAlignment="1">
      <alignment wrapText="1"/>
    </xf>
    <xf numFmtId="168" fontId="0" fillId="12" borderId="0" xfId="4" applyNumberFormat="1" applyFont="1" applyFill="1" applyAlignment="1">
      <alignment horizontal="right"/>
    </xf>
    <xf numFmtId="166" fontId="0" fillId="0" borderId="0" xfId="0" applyNumberFormat="1"/>
    <xf numFmtId="44" fontId="1" fillId="10" borderId="0" xfId="0" applyNumberFormat="1" applyFont="1" applyFill="1"/>
    <xf numFmtId="0" fontId="1" fillId="10" borderId="4" xfId="0" applyFont="1" applyFill="1" applyBorder="1" applyAlignment="1">
      <alignment wrapText="1"/>
    </xf>
    <xf numFmtId="0" fontId="1" fillId="11" borderId="0" xfId="0" applyFont="1" applyFill="1" applyAlignment="1">
      <alignment horizontal="center"/>
    </xf>
    <xf numFmtId="0" fontId="0" fillId="9" borderId="0" xfId="0" applyFill="1" applyAlignment="1">
      <alignment horizontal="center"/>
    </xf>
    <xf numFmtId="0" fontId="29" fillId="9" borderId="0" xfId="0" applyFont="1" applyFill="1" applyAlignment="1">
      <alignment horizontal="center"/>
    </xf>
    <xf numFmtId="43" fontId="6" fillId="9" borderId="0" xfId="0" applyNumberFormat="1" applyFont="1" applyFill="1"/>
    <xf numFmtId="169" fontId="6" fillId="9" borderId="0" xfId="0" applyNumberFormat="1" applyFont="1" applyFill="1"/>
    <xf numFmtId="168" fontId="6" fillId="9" borderId="0" xfId="0" applyNumberFormat="1" applyFont="1" applyFill="1"/>
    <xf numFmtId="171" fontId="6" fillId="9" borderId="0" xfId="4" applyNumberFormat="1" applyFont="1" applyFill="1"/>
    <xf numFmtId="1" fontId="6" fillId="9" borderId="0" xfId="0" applyNumberFormat="1" applyFont="1" applyFill="1"/>
    <xf numFmtId="0" fontId="1" fillId="9" borderId="4" xfId="0" applyFont="1" applyFill="1" applyBorder="1"/>
    <xf numFmtId="0" fontId="0" fillId="9" borderId="4" xfId="0" applyFill="1" applyBorder="1"/>
    <xf numFmtId="0" fontId="30" fillId="9" borderId="0" xfId="7" applyFill="1"/>
    <xf numFmtId="0" fontId="0" fillId="0" borderId="11" xfId="0" applyBorder="1"/>
    <xf numFmtId="8" fontId="0" fillId="0" borderId="11" xfId="0" applyNumberFormat="1" applyBorder="1"/>
    <xf numFmtId="8" fontId="0" fillId="0" borderId="0" xfId="0" applyNumberFormat="1"/>
    <xf numFmtId="0" fontId="5" fillId="0" borderId="0" xfId="0" applyFont="1"/>
    <xf numFmtId="167" fontId="0" fillId="9" borderId="11" xfId="0" applyNumberFormat="1" applyFill="1" applyBorder="1"/>
    <xf numFmtId="167" fontId="0" fillId="4" borderId="11" xfId="0" applyNumberFormat="1" applyFill="1" applyBorder="1"/>
    <xf numFmtId="4" fontId="0" fillId="9" borderId="18" xfId="0" applyNumberFormat="1" applyFill="1" applyBorder="1"/>
    <xf numFmtId="164" fontId="0" fillId="9" borderId="19" xfId="0" applyNumberFormat="1" applyFill="1" applyBorder="1"/>
    <xf numFmtId="164" fontId="0" fillId="9" borderId="20" xfId="0" applyNumberFormat="1" applyFill="1" applyBorder="1"/>
    <xf numFmtId="4" fontId="0" fillId="4" borderId="18" xfId="0" applyNumberFormat="1" applyFill="1" applyBorder="1"/>
    <xf numFmtId="164" fontId="0" fillId="4" borderId="19" xfId="0" applyNumberFormat="1" applyFill="1" applyBorder="1"/>
    <xf numFmtId="164" fontId="0" fillId="4" borderId="20" xfId="0" applyNumberFormat="1" applyFill="1" applyBorder="1"/>
    <xf numFmtId="2" fontId="1" fillId="10" borderId="0" xfId="0" applyNumberFormat="1" applyFont="1" applyFill="1"/>
    <xf numFmtId="0" fontId="0" fillId="5" borderId="0" xfId="0" applyFill="1" applyAlignment="1">
      <alignment horizontal="left"/>
    </xf>
    <xf numFmtId="0" fontId="0" fillId="3" borderId="0" xfId="0" applyFill="1" applyAlignment="1">
      <alignment vertical="top" wrapText="1"/>
    </xf>
    <xf numFmtId="1" fontId="40" fillId="0" borderId="0" xfId="0" applyNumberFormat="1" applyFont="1"/>
    <xf numFmtId="1" fontId="1" fillId="10" borderId="4" xfId="0" applyNumberFormat="1" applyFont="1" applyFill="1" applyBorder="1" applyAlignment="1">
      <alignment horizontal="center" vertical="center"/>
    </xf>
    <xf numFmtId="0" fontId="4" fillId="0" borderId="0" xfId="0" applyFont="1"/>
    <xf numFmtId="3" fontId="5" fillId="0" borderId="0" xfId="0" applyNumberFormat="1" applyFont="1"/>
    <xf numFmtId="1" fontId="0" fillId="5" borderId="0" xfId="0" applyNumberFormat="1" applyFill="1" applyAlignment="1">
      <alignment horizontal="right" vertical="center"/>
    </xf>
    <xf numFmtId="9" fontId="0" fillId="4" borderId="0" xfId="2" applyFont="1" applyFill="1" applyAlignment="1">
      <alignment horizontal="right"/>
    </xf>
    <xf numFmtId="9" fontId="0" fillId="2" borderId="0" xfId="2" applyFont="1" applyFill="1"/>
    <xf numFmtId="168" fontId="0" fillId="7" borderId="0" xfId="4" applyNumberFormat="1" applyFont="1" applyFill="1" applyAlignment="1">
      <alignment horizontal="right"/>
    </xf>
    <xf numFmtId="168" fontId="0" fillId="10" borderId="0" xfId="4" quotePrefix="1" applyNumberFormat="1" applyFont="1" applyFill="1" applyAlignment="1">
      <alignment horizontal="right"/>
    </xf>
    <xf numFmtId="168" fontId="0" fillId="10" borderId="0" xfId="4" applyNumberFormat="1" applyFont="1" applyFill="1" applyAlignment="1">
      <alignment horizontal="right"/>
    </xf>
    <xf numFmtId="1" fontId="0" fillId="10" borderId="0" xfId="0" applyNumberFormat="1" applyFill="1" applyAlignment="1">
      <alignment horizontal="right"/>
    </xf>
    <xf numFmtId="168" fontId="30" fillId="5" borderId="0" xfId="7" applyNumberFormat="1" applyFill="1"/>
    <xf numFmtId="0" fontId="6" fillId="12" borderId="0" xfId="0" applyFont="1" applyFill="1"/>
    <xf numFmtId="164" fontId="40" fillId="9" borderId="0" xfId="0" applyNumberFormat="1" applyFont="1" applyFill="1"/>
    <xf numFmtId="0" fontId="40" fillId="9" borderId="0" xfId="0" applyFont="1" applyFill="1"/>
    <xf numFmtId="0" fontId="0" fillId="9" borderId="0" xfId="0" applyFill="1" applyAlignment="1">
      <alignment wrapText="1"/>
    </xf>
    <xf numFmtId="168" fontId="0" fillId="9" borderId="0" xfId="4" applyNumberFormat="1" applyFont="1" applyFill="1" applyAlignment="1">
      <alignment horizontal="right"/>
    </xf>
    <xf numFmtId="168" fontId="0" fillId="15" borderId="0" xfId="4" applyNumberFormat="1" applyFont="1" applyFill="1" applyAlignment="1">
      <alignment horizontal="right"/>
    </xf>
    <xf numFmtId="1" fontId="0" fillId="3" borderId="0" xfId="0" applyNumberFormat="1" applyFill="1" applyAlignment="1">
      <alignment horizontal="right"/>
    </xf>
    <xf numFmtId="168" fontId="0" fillId="5" borderId="0" xfId="4" applyNumberFormat="1" applyFont="1" applyFill="1" applyAlignment="1">
      <alignment horizontal="right"/>
    </xf>
    <xf numFmtId="0" fontId="29" fillId="6" borderId="0" xfId="0" applyFont="1" applyFill="1"/>
    <xf numFmtId="0" fontId="49" fillId="15" borderId="0" xfId="0" applyFont="1" applyFill="1"/>
    <xf numFmtId="0" fontId="50" fillId="3" borderId="0" xfId="0" applyFont="1" applyFill="1"/>
    <xf numFmtId="0" fontId="44" fillId="5" borderId="0" xfId="0" applyFont="1" applyFill="1"/>
    <xf numFmtId="0" fontId="51" fillId="12" borderId="0" xfId="0" applyFont="1" applyFill="1"/>
    <xf numFmtId="0" fontId="0" fillId="11" borderId="0" xfId="0" applyFill="1" applyAlignment="1">
      <alignment horizontal="right"/>
    </xf>
    <xf numFmtId="1" fontId="1" fillId="10" borderId="0" xfId="0" applyNumberFormat="1" applyFont="1" applyFill="1" applyAlignment="1">
      <alignment horizontal="right"/>
    </xf>
    <xf numFmtId="1" fontId="0" fillId="11" borderId="0" xfId="0" applyNumberFormat="1" applyFill="1" applyAlignment="1">
      <alignment horizontal="right"/>
    </xf>
    <xf numFmtId="2" fontId="0" fillId="8" borderId="0" xfId="0" applyNumberFormat="1" applyFill="1" applyAlignment="1">
      <alignment horizontal="right"/>
    </xf>
    <xf numFmtId="1" fontId="0" fillId="27" borderId="0" xfId="0" applyNumberFormat="1" applyFill="1" applyAlignment="1">
      <alignment horizontal="right"/>
    </xf>
    <xf numFmtId="1" fontId="1" fillId="27" borderId="4" xfId="0" applyNumberFormat="1" applyFont="1" applyFill="1" applyBorder="1" applyAlignment="1">
      <alignment horizontal="right"/>
    </xf>
    <xf numFmtId="1" fontId="0" fillId="9" borderId="0" xfId="0" applyNumberFormat="1" applyFill="1" applyAlignment="1">
      <alignment horizontal="right"/>
    </xf>
    <xf numFmtId="1" fontId="1" fillId="10" borderId="4" xfId="0" applyNumberFormat="1" applyFont="1" applyFill="1" applyBorder="1" applyAlignment="1">
      <alignment horizontal="right"/>
    </xf>
    <xf numFmtId="44" fontId="0" fillId="10" borderId="0" xfId="1" applyFont="1" applyFill="1" applyAlignment="1">
      <alignment horizontal="right"/>
    </xf>
    <xf numFmtId="0" fontId="1" fillId="10" borderId="0" xfId="0" applyFont="1" applyFill="1" applyAlignment="1">
      <alignment horizontal="right"/>
    </xf>
    <xf numFmtId="0" fontId="11" fillId="10" borderId="0" xfId="0" applyFont="1" applyFill="1" applyAlignment="1">
      <alignment horizontal="right"/>
    </xf>
    <xf numFmtId="44" fontId="0" fillId="10" borderId="0" xfId="0" applyNumberFormat="1" applyFill="1" applyAlignment="1">
      <alignment horizontal="right"/>
    </xf>
    <xf numFmtId="9" fontId="0" fillId="10" borderId="0" xfId="2" applyFont="1" applyFill="1" applyAlignment="1">
      <alignment horizontal="right"/>
    </xf>
    <xf numFmtId="168" fontId="0" fillId="0" borderId="0" xfId="4" quotePrefix="1" applyNumberFormat="1" applyFont="1" applyAlignment="1">
      <alignment horizontal="right"/>
    </xf>
    <xf numFmtId="1" fontId="0" fillId="28" borderId="0" xfId="0" applyNumberFormat="1" applyFill="1"/>
    <xf numFmtId="8" fontId="0" fillId="29" borderId="11" xfId="0" applyNumberFormat="1" applyFill="1" applyBorder="1"/>
    <xf numFmtId="1" fontId="0" fillId="29" borderId="17" xfId="0" applyNumberFormat="1" applyFill="1" applyBorder="1"/>
    <xf numFmtId="49" fontId="1" fillId="10" borderId="4" xfId="0" applyNumberFormat="1" applyFont="1" applyFill="1" applyBorder="1"/>
    <xf numFmtId="49" fontId="0" fillId="7" borderId="0" xfId="4" applyNumberFormat="1" applyFont="1" applyFill="1" applyAlignment="1">
      <alignment horizontal="right"/>
    </xf>
    <xf numFmtId="49" fontId="0" fillId="11" borderId="0" xfId="0" applyNumberFormat="1" applyFill="1"/>
    <xf numFmtId="49" fontId="28" fillId="11" borderId="0" xfId="0" applyNumberFormat="1" applyFont="1" applyFill="1" applyAlignment="1">
      <alignment horizontal="left" vertical="center"/>
    </xf>
    <xf numFmtId="49" fontId="0" fillId="7" borderId="0" xfId="4" applyNumberFormat="1" applyFont="1" applyFill="1" applyBorder="1"/>
    <xf numFmtId="49" fontId="1" fillId="7" borderId="4" xfId="0" applyNumberFormat="1" applyFont="1" applyFill="1" applyBorder="1"/>
    <xf numFmtId="49" fontId="0" fillId="7" borderId="0" xfId="0" applyNumberFormat="1" applyFill="1"/>
    <xf numFmtId="49" fontId="0" fillId="7" borderId="0" xfId="4" applyNumberFormat="1" applyFont="1" applyFill="1"/>
    <xf numFmtId="49" fontId="11" fillId="6" borderId="0" xfId="0" applyNumberFormat="1" applyFont="1" applyFill="1" applyAlignment="1">
      <alignment vertical="center" wrapText="1"/>
    </xf>
    <xf numFmtId="49" fontId="29" fillId="5" borderId="0" xfId="0" applyNumberFormat="1" applyFont="1" applyFill="1"/>
    <xf numFmtId="49" fontId="33" fillId="6" borderId="0" xfId="0" applyNumberFormat="1" applyFont="1" applyFill="1"/>
    <xf numFmtId="49" fontId="0" fillId="10" borderId="0" xfId="4" applyNumberFormat="1" applyFont="1" applyFill="1"/>
    <xf numFmtId="49" fontId="1" fillId="10" borderId="4" xfId="0" applyNumberFormat="1" applyFont="1" applyFill="1" applyBorder="1" applyAlignment="1">
      <alignment horizontal="center" vertical="center"/>
    </xf>
    <xf numFmtId="49" fontId="0" fillId="10" borderId="0" xfId="4" quotePrefix="1" applyNumberFormat="1" applyFont="1" applyFill="1" applyAlignment="1">
      <alignment horizontal="right"/>
    </xf>
    <xf numFmtId="49" fontId="11" fillId="10" borderId="0" xfId="0" applyNumberFormat="1" applyFont="1" applyFill="1"/>
    <xf numFmtId="49" fontId="0" fillId="10" borderId="0" xfId="4" applyNumberFormat="1" applyFont="1" applyFill="1" applyAlignment="1">
      <alignment horizontal="right"/>
    </xf>
    <xf numFmtId="49" fontId="0" fillId="10" borderId="0" xfId="0" applyNumberFormat="1" applyFill="1"/>
    <xf numFmtId="49" fontId="0" fillId="10" borderId="0" xfId="4" applyNumberFormat="1" applyFont="1" applyFill="1" applyBorder="1"/>
    <xf numFmtId="49" fontId="0" fillId="10" borderId="0" xfId="0" applyNumberFormat="1" applyFill="1" applyAlignment="1">
      <alignment horizontal="right"/>
    </xf>
    <xf numFmtId="49" fontId="18" fillId="6" borderId="0" xfId="0" applyNumberFormat="1" applyFont="1" applyFill="1"/>
    <xf numFmtId="49" fontId="0" fillId="5" borderId="0" xfId="0" applyNumberFormat="1" applyFill="1"/>
    <xf numFmtId="49" fontId="1" fillId="5" borderId="4" xfId="0" applyNumberFormat="1" applyFont="1" applyFill="1" applyBorder="1"/>
    <xf numFmtId="49" fontId="0" fillId="5" borderId="0" xfId="0" applyNumberFormat="1" applyFill="1" applyAlignment="1">
      <alignment horizontal="right" vertical="center"/>
    </xf>
    <xf numFmtId="49" fontId="0" fillId="5" borderId="0" xfId="4" applyNumberFormat="1" applyFont="1" applyFill="1"/>
    <xf numFmtId="49" fontId="0" fillId="0" borderId="0" xfId="0" applyNumberFormat="1"/>
    <xf numFmtId="0" fontId="52" fillId="8" borderId="0" xfId="0" applyFont="1" applyFill="1"/>
    <xf numFmtId="0" fontId="53" fillId="4" borderId="0" xfId="0" applyFont="1" applyFill="1"/>
    <xf numFmtId="0" fontId="54" fillId="4" borderId="0" xfId="0" applyFont="1" applyFill="1"/>
    <xf numFmtId="0" fontId="55" fillId="9" borderId="0" xfId="0" applyFont="1" applyFill="1"/>
    <xf numFmtId="168" fontId="0" fillId="3" borderId="0" xfId="4" quotePrefix="1" applyNumberFormat="1" applyFont="1" applyFill="1" applyAlignment="1">
      <alignment horizontal="right"/>
    </xf>
    <xf numFmtId="0" fontId="18" fillId="0" borderId="0" xfId="0" applyFont="1"/>
    <xf numFmtId="0" fontId="26" fillId="0" borderId="0" xfId="0" applyFont="1" applyAlignment="1">
      <alignment wrapText="1"/>
    </xf>
    <xf numFmtId="165" fontId="0" fillId="0" borderId="0" xfId="2" applyNumberFormat="1" applyFont="1" applyFill="1"/>
    <xf numFmtId="0" fontId="0" fillId="0" borderId="0" xfId="0" applyAlignment="1">
      <alignment horizontal="left"/>
    </xf>
    <xf numFmtId="0" fontId="6" fillId="0" borderId="0" xfId="0" applyFont="1" applyAlignment="1">
      <alignment wrapText="1"/>
    </xf>
    <xf numFmtId="168" fontId="0" fillId="4" borderId="0" xfId="4" applyNumberFormat="1" applyFont="1" applyFill="1" applyBorder="1" applyAlignment="1">
      <alignment horizontal="right"/>
    </xf>
    <xf numFmtId="1" fontId="1" fillId="4" borderId="4" xfId="0" applyNumberFormat="1" applyFont="1" applyFill="1" applyBorder="1" applyAlignment="1">
      <alignment horizontal="right"/>
    </xf>
    <xf numFmtId="0" fontId="1" fillId="8" borderId="4" xfId="0" applyFont="1" applyFill="1" applyBorder="1"/>
    <xf numFmtId="1" fontId="1" fillId="8" borderId="4" xfId="0" applyNumberFormat="1" applyFont="1" applyFill="1" applyBorder="1" applyAlignment="1">
      <alignment horizontal="right"/>
    </xf>
    <xf numFmtId="1" fontId="1" fillId="4" borderId="0" xfId="0" applyNumberFormat="1" applyFont="1" applyFill="1" applyAlignment="1">
      <alignment horizontal="center"/>
    </xf>
    <xf numFmtId="1" fontId="1" fillId="4" borderId="0" xfId="0" applyNumberFormat="1" applyFont="1" applyFill="1" applyAlignment="1">
      <alignment horizontal="left"/>
    </xf>
    <xf numFmtId="9" fontId="0" fillId="0" borderId="0" xfId="6" applyFont="1" applyFill="1"/>
    <xf numFmtId="168" fontId="6" fillId="8" borderId="0" xfId="4" applyNumberFormat="1" applyFont="1" applyFill="1" applyAlignment="1"/>
    <xf numFmtId="0" fontId="29" fillId="8" borderId="4" xfId="0" applyFont="1" applyFill="1" applyBorder="1"/>
    <xf numFmtId="1" fontId="29" fillId="8" borderId="4" xfId="4" applyNumberFormat="1" applyFont="1" applyFill="1" applyBorder="1" applyAlignment="1"/>
    <xf numFmtId="1" fontId="29" fillId="8" borderId="4" xfId="0" applyNumberFormat="1" applyFont="1" applyFill="1" applyBorder="1"/>
    <xf numFmtId="0" fontId="29" fillId="0" borderId="0" xfId="0" applyFont="1" applyAlignment="1">
      <alignment horizontal="center"/>
    </xf>
    <xf numFmtId="0" fontId="29" fillId="0" borderId="0" xfId="0" applyFont="1"/>
    <xf numFmtId="168" fontId="6" fillId="0" borderId="0" xfId="4" applyNumberFormat="1" applyFont="1" applyFill="1" applyBorder="1"/>
    <xf numFmtId="2" fontId="6" fillId="9" borderId="0" xfId="0" applyNumberFormat="1" applyFont="1" applyFill="1"/>
    <xf numFmtId="0" fontId="26" fillId="6" borderId="0" xfId="0" applyFont="1" applyFill="1" applyAlignment="1">
      <alignment horizontal="center" vertical="center" wrapText="1"/>
    </xf>
    <xf numFmtId="0" fontId="0" fillId="7" borderId="0" xfId="0" applyFill="1" applyAlignment="1">
      <alignment horizontal="left" vertical="top" wrapText="1"/>
    </xf>
    <xf numFmtId="0" fontId="26" fillId="6" borderId="0" xfId="0" applyFont="1" applyFill="1" applyAlignment="1">
      <alignment horizontal="left" vertical="center" wrapText="1"/>
    </xf>
    <xf numFmtId="49" fontId="26" fillId="6" borderId="0" xfId="0" applyNumberFormat="1" applyFont="1" applyFill="1" applyAlignment="1">
      <alignment horizontal="left" vertical="center" wrapText="1"/>
    </xf>
    <xf numFmtId="0" fontId="0" fillId="11" borderId="0" xfId="0" applyFill="1" applyAlignment="1">
      <alignment horizontal="left" vertical="center" wrapText="1"/>
    </xf>
    <xf numFmtId="0" fontId="0" fillId="11" borderId="0" xfId="0" applyFill="1" applyAlignment="1">
      <alignment horizontal="left" vertical="center"/>
    </xf>
    <xf numFmtId="49" fontId="0" fillId="11" borderId="0" xfId="0" applyNumberFormat="1" applyFill="1" applyAlignment="1">
      <alignment horizontal="left" vertical="center"/>
    </xf>
    <xf numFmtId="0" fontId="18" fillId="6" borderId="0" xfId="0" applyFont="1" applyFill="1" applyAlignment="1">
      <alignment horizontal="left"/>
    </xf>
    <xf numFmtId="0" fontId="33" fillId="6" borderId="0" xfId="0" applyFont="1" applyFill="1" applyAlignment="1">
      <alignment horizontal="left"/>
    </xf>
    <xf numFmtId="49" fontId="33" fillId="6" borderId="0" xfId="0" applyNumberFormat="1" applyFont="1" applyFill="1" applyAlignment="1">
      <alignment horizontal="left"/>
    </xf>
    <xf numFmtId="0" fontId="0" fillId="0" borderId="1" xfId="0" applyBorder="1" applyAlignment="1">
      <alignment horizontal="center" vertical="center"/>
    </xf>
    <xf numFmtId="0" fontId="0" fillId="0" borderId="0" xfId="0" applyAlignment="1">
      <alignment horizontal="left" vertical="center" wrapText="1"/>
    </xf>
    <xf numFmtId="0" fontId="17" fillId="6" borderId="0" xfId="0" applyFont="1" applyFill="1" applyAlignment="1">
      <alignment horizontal="left"/>
    </xf>
    <xf numFmtId="0" fontId="26" fillId="6" borderId="0" xfId="0" applyFont="1" applyFill="1" applyAlignment="1">
      <alignment horizontal="left" vertical="center"/>
    </xf>
    <xf numFmtId="0" fontId="26" fillId="6" borderId="0" xfId="0" applyFont="1" applyFill="1" applyAlignment="1">
      <alignment horizontal="left" wrapText="1"/>
    </xf>
    <xf numFmtId="0" fontId="18" fillId="6" borderId="0" xfId="0" applyFont="1" applyFill="1" applyAlignment="1">
      <alignment horizontal="center"/>
    </xf>
    <xf numFmtId="0" fontId="26" fillId="6" borderId="0" xfId="0" applyFont="1" applyFill="1" applyAlignment="1">
      <alignment horizontal="center" wrapText="1"/>
    </xf>
    <xf numFmtId="0" fontId="26" fillId="6" borderId="0" xfId="0" applyFont="1" applyFill="1" applyAlignment="1">
      <alignment horizontal="center" vertical="center" wrapText="1"/>
    </xf>
    <xf numFmtId="0" fontId="39" fillId="4" borderId="13" xfId="0" applyFont="1" applyFill="1" applyBorder="1" applyAlignment="1">
      <alignment horizontal="left"/>
    </xf>
    <xf numFmtId="0" fontId="39" fillId="4" borderId="14" xfId="0" applyFont="1" applyFill="1" applyBorder="1" applyAlignment="1">
      <alignment horizontal="left"/>
    </xf>
    <xf numFmtId="0" fontId="39" fillId="4" borderId="15" xfId="0" applyFont="1" applyFill="1" applyBorder="1" applyAlignment="1">
      <alignment horizontal="left"/>
    </xf>
    <xf numFmtId="0" fontId="39" fillId="8" borderId="13" xfId="0" applyFont="1" applyFill="1" applyBorder="1" applyAlignment="1">
      <alignment horizontal="left"/>
    </xf>
    <xf numFmtId="0" fontId="39" fillId="8" borderId="14" xfId="0" applyFont="1" applyFill="1" applyBorder="1" applyAlignment="1">
      <alignment horizontal="left"/>
    </xf>
    <xf numFmtId="0" fontId="39" fillId="8" borderId="15" xfId="0" applyFont="1" applyFill="1" applyBorder="1" applyAlignment="1">
      <alignment horizontal="left"/>
    </xf>
    <xf numFmtId="0" fontId="39" fillId="4" borderId="9" xfId="0" applyFont="1" applyFill="1" applyBorder="1" applyAlignment="1">
      <alignment horizontal="center"/>
    </xf>
    <xf numFmtId="0" fontId="39" fillId="4" borderId="16" xfId="0" applyFont="1" applyFill="1" applyBorder="1" applyAlignment="1">
      <alignment horizontal="center"/>
    </xf>
    <xf numFmtId="0" fontId="39" fillId="4" borderId="10" xfId="0" applyFont="1" applyFill="1" applyBorder="1" applyAlignment="1">
      <alignment horizontal="center"/>
    </xf>
    <xf numFmtId="3" fontId="39" fillId="4" borderId="9" xfId="0" applyNumberFormat="1" applyFont="1" applyFill="1" applyBorder="1" applyAlignment="1">
      <alignment horizontal="center"/>
    </xf>
    <xf numFmtId="3" fontId="39" fillId="4" borderId="16" xfId="0" applyNumberFormat="1" applyFont="1" applyFill="1" applyBorder="1" applyAlignment="1">
      <alignment horizontal="center"/>
    </xf>
    <xf numFmtId="3" fontId="39" fillId="4" borderId="10" xfId="0" applyNumberFormat="1" applyFont="1" applyFill="1" applyBorder="1" applyAlignment="1">
      <alignment horizontal="center"/>
    </xf>
    <xf numFmtId="0" fontId="23" fillId="6" borderId="0" xfId="0" applyFont="1" applyFill="1" applyAlignment="1">
      <alignment horizontal="left"/>
    </xf>
    <xf numFmtId="0" fontId="22" fillId="6" borderId="0" xfId="0" applyFont="1" applyFill="1" applyAlignment="1">
      <alignment horizontal="left"/>
    </xf>
    <xf numFmtId="0" fontId="17" fillId="11" borderId="0" xfId="0" applyFont="1" applyFill="1" applyAlignment="1">
      <alignment horizontal="left" vertical="center"/>
    </xf>
  </cellXfs>
  <cellStyles count="10">
    <cellStyle name="Comma" xfId="4" builtinId="3"/>
    <cellStyle name="Currency" xfId="1" builtinId="4"/>
    <cellStyle name="Hyperlink" xfId="7" builtinId="8"/>
    <cellStyle name="Normal" xfId="0" builtinId="0"/>
    <cellStyle name="Normal 10 3 2" xfId="3" xr:uid="{C87C20AD-36EA-45F0-ACDE-960BD3BEE25F}"/>
    <cellStyle name="Normal 2" xfId="8" xr:uid="{CEECFA46-272D-4F63-99B6-432EF7543E98}"/>
    <cellStyle name="Normal 3" xfId="5" xr:uid="{3F027443-599A-4C9D-ADBD-02CC3B2474B4}"/>
    <cellStyle name="Normal 4" xfId="9" xr:uid="{0FA2314D-6F11-4279-B151-C9EAF5A96811}"/>
    <cellStyle name="Percent" xfId="2" builtinId="5"/>
    <cellStyle name="Percent 2" xfId="6" xr:uid="{6BB23A5D-03C8-4BB7-9A5A-9D77AB316089}"/>
  </cellStyles>
  <dxfs count="0"/>
  <tableStyles count="0" defaultTableStyle="TableStyleMedium2" defaultPivotStyle="PivotStyleLight16"/>
  <colors>
    <mruColors>
      <color rgb="FFEECDFD"/>
      <color rgb="FFECD19C"/>
      <color rgb="FFDDAC4B"/>
      <color rgb="FFFCCEF9"/>
      <color rgb="FFCEFEDE"/>
      <color rgb="FFFEECCC"/>
      <color rgb="FFCCF6FE"/>
      <color rgb="FFFED4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3.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2.xml"/><Relationship Id="rId58"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61"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'Treatment Costs'!$A$36</c:f>
              <c:strCache>
                <c:ptCount val="1"/>
                <c:pt idx="0">
                  <c:v>MWD--Treatment Surcharge ($/AF)--real</c:v>
                </c:pt>
              </c:strCache>
            </c:strRef>
          </c:tx>
          <c:spPr>
            <a:ln w="28575" cap="rnd">
              <a:solidFill>
                <a:schemeClr val="accent1"/>
              </a:solidFill>
              <a:round/>
            </a:ln>
            <a:effectLst/>
          </c:spPr>
          <c:marker>
            <c:symbol val="none"/>
          </c:marker>
          <c:val>
            <c:numRef>
              <c:f>'Treatment Costs'!$B$36:$H$36</c:f>
              <c:numCache>
                <c:formatCode>"$"#,##0_);[Red]\("$"#,##0\)</c:formatCode>
                <c:ptCount val="7"/>
                <c:pt idx="0">
                  <c:v>323</c:v>
                </c:pt>
                <c:pt idx="1">
                  <c:v>327</c:v>
                </c:pt>
                <c:pt idx="2">
                  <c:v>344</c:v>
                </c:pt>
                <c:pt idx="3">
                  <c:v>344</c:v>
                </c:pt>
                <c:pt idx="4">
                  <c:v>361</c:v>
                </c:pt>
                <c:pt idx="5">
                  <c:v>373</c:v>
                </c:pt>
                <c:pt idx="6">
                  <c:v>390</c:v>
                </c:pt>
              </c:numCache>
            </c:numRef>
          </c:val>
          <c:smooth val="0"/>
          <c:extLst>
            <c:ext xmlns:c16="http://schemas.microsoft.com/office/drawing/2014/chart" uri="{C3380CC4-5D6E-409C-BE32-E72D297353CC}">
              <c16:uniqueId val="{00000001-6A1E-445C-8C33-D9FADE01527D}"/>
            </c:ext>
          </c:extLst>
        </c:ser>
        <c:dLbls>
          <c:showLegendKey val="0"/>
          <c:showVal val="0"/>
          <c:showCatName val="0"/>
          <c:showSerName val="0"/>
          <c:showPercent val="0"/>
          <c:showBubbleSize val="0"/>
        </c:dLbls>
        <c:smooth val="0"/>
        <c:axId val="1232368424"/>
        <c:axId val="1608299207"/>
      </c:lineChart>
      <c:catAx>
        <c:axId val="12323684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299207"/>
        <c:crosses val="autoZero"/>
        <c:auto val="1"/>
        <c:lblAlgn val="ctr"/>
        <c:lblOffset val="100"/>
        <c:noMultiLvlLbl val="0"/>
      </c:catAx>
      <c:valAx>
        <c:axId val="16082992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368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xdr:col>
      <xdr:colOff>428625</xdr:colOff>
      <xdr:row>91</xdr:row>
      <xdr:rowOff>9525</xdr:rowOff>
    </xdr:from>
    <xdr:to>
      <xdr:col>6</xdr:col>
      <xdr:colOff>437289</xdr:colOff>
      <xdr:row>106</xdr:row>
      <xdr:rowOff>104406</xdr:rowOff>
    </xdr:to>
    <xdr:pic>
      <xdr:nvPicPr>
        <xdr:cNvPr id="2" name="Picture 1">
          <a:extLst>
            <a:ext uri="{FF2B5EF4-FFF2-40B4-BE49-F238E27FC236}">
              <a16:creationId xmlns:a16="http://schemas.microsoft.com/office/drawing/2014/main" id="{E7DBDDC5-7634-4C36-8A65-12119B18F7D4}"/>
            </a:ext>
          </a:extLst>
        </xdr:cNvPr>
        <xdr:cNvPicPr>
          <a:picLocks noChangeAspect="1"/>
        </xdr:cNvPicPr>
      </xdr:nvPicPr>
      <xdr:blipFill>
        <a:blip xmlns:r="http://schemas.openxmlformats.org/officeDocument/2006/relationships" r:embed="rId1"/>
        <a:stretch>
          <a:fillRect/>
        </a:stretch>
      </xdr:blipFill>
      <xdr:spPr>
        <a:xfrm>
          <a:off x="1647825" y="20154900"/>
          <a:ext cx="6885714" cy="29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590097</xdr:colOff>
      <xdr:row>47</xdr:row>
      <xdr:rowOff>38101</xdr:rowOff>
    </xdr:from>
    <xdr:to>
      <xdr:col>8</xdr:col>
      <xdr:colOff>472622</xdr:colOff>
      <xdr:row>60</xdr:row>
      <xdr:rowOff>171451</xdr:rowOff>
    </xdr:to>
    <xdr:graphicFrame macro="">
      <xdr:nvGraphicFramePr>
        <xdr:cNvPr id="6" name="Chart 5">
          <a:extLst>
            <a:ext uri="{FF2B5EF4-FFF2-40B4-BE49-F238E27FC236}">
              <a16:creationId xmlns:a16="http://schemas.microsoft.com/office/drawing/2014/main" id="{CC03839C-F967-5201-752A-D0EC0DBEE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151274</xdr:colOff>
      <xdr:row>7</xdr:row>
      <xdr:rowOff>152401</xdr:rowOff>
    </xdr:from>
    <xdr:to>
      <xdr:col>17</xdr:col>
      <xdr:colOff>425026</xdr:colOff>
      <xdr:row>25</xdr:row>
      <xdr:rowOff>146050</xdr:rowOff>
    </xdr:to>
    <xdr:pic>
      <xdr:nvPicPr>
        <xdr:cNvPr id="2" name="Picture 1">
          <a:extLst>
            <a:ext uri="{FF2B5EF4-FFF2-40B4-BE49-F238E27FC236}">
              <a16:creationId xmlns:a16="http://schemas.microsoft.com/office/drawing/2014/main" id="{614B29D2-B998-4382-8305-0E7F120B822E}"/>
            </a:ext>
          </a:extLst>
        </xdr:cNvPr>
        <xdr:cNvPicPr>
          <a:picLocks noChangeAspect="1"/>
        </xdr:cNvPicPr>
      </xdr:nvPicPr>
      <xdr:blipFill>
        <a:blip xmlns:r="http://schemas.openxmlformats.org/officeDocument/2006/relationships" r:embed="rId1"/>
        <a:stretch>
          <a:fillRect/>
        </a:stretch>
      </xdr:blipFill>
      <xdr:spPr>
        <a:xfrm>
          <a:off x="6901324" y="1441451"/>
          <a:ext cx="4845752" cy="3873499"/>
        </a:xfrm>
        <a:prstGeom prst="rect">
          <a:avLst/>
        </a:prstGeom>
      </xdr:spPr>
    </xdr:pic>
    <xdr:clientData/>
  </xdr:twoCellAnchor>
  <xdr:twoCellAnchor editAs="oneCell">
    <xdr:from>
      <xdr:col>5</xdr:col>
      <xdr:colOff>561975</xdr:colOff>
      <xdr:row>56</xdr:row>
      <xdr:rowOff>9525</xdr:rowOff>
    </xdr:from>
    <xdr:to>
      <xdr:col>20</xdr:col>
      <xdr:colOff>84825</xdr:colOff>
      <xdr:row>70</xdr:row>
      <xdr:rowOff>31425</xdr:rowOff>
    </xdr:to>
    <xdr:pic>
      <xdr:nvPicPr>
        <xdr:cNvPr id="3" name="Picture 2">
          <a:extLst>
            <a:ext uri="{FF2B5EF4-FFF2-40B4-BE49-F238E27FC236}">
              <a16:creationId xmlns:a16="http://schemas.microsoft.com/office/drawing/2014/main" id="{F7B17CC5-5A79-454F-AA35-4BC0E6DF46ED}"/>
            </a:ext>
            <a:ext uri="{147F2762-F138-4A5C-976F-8EAC2B608ADB}">
              <a16:predDERef xmlns:a16="http://schemas.microsoft.com/office/drawing/2014/main" pred="{614B29D2-B998-4382-8305-0E7F120B822E}"/>
            </a:ext>
          </a:extLst>
        </xdr:cNvPr>
        <xdr:cNvPicPr>
          <a:picLocks noChangeAspect="1"/>
        </xdr:cNvPicPr>
      </xdr:nvPicPr>
      <xdr:blipFill>
        <a:blip xmlns:r="http://schemas.openxmlformats.org/officeDocument/2006/relationships" r:embed="rId2"/>
        <a:stretch>
          <a:fillRect/>
        </a:stretch>
      </xdr:blipFill>
      <xdr:spPr>
        <a:xfrm>
          <a:off x="4638675" y="9439275"/>
          <a:ext cx="7200000" cy="25555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jacobsengineering-my.sharepoint.com/personal/kensey_daly_jacobs_com/Documents/Projects/CA_DWR/Water%20Supply%20Economic%20Model/Urban%20Economic%20Modeling/MCWEST/MCWEST%20v7%20203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odin\Proj\MercedCountyOf\W8Y00700BlkRsclCrFlood\900_Working_Documents\911_H&amp;H_Modeling\subtask_5_3\hec-fda\October%202021%20Update\BRC_HECFDA_Results_100620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jacobsengineering-my.sharepoint.com/Projects/SDCWA/SalesForecast/GSModel/SDCWA_WRM_v6.73_DET_GS11/2010%20UWMP%20Forecast%20Dataset_jp11261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al Summaries (Working)"/>
      <sheetName val="Report"/>
      <sheetName val="Regional Summaries (Control)"/>
      <sheetName val="South Coast HR Analysis"/>
      <sheetName val="South Bay Area HR Analysis"/>
      <sheetName val="All Other Contractors"/>
      <sheetName val="Storage Operations"/>
      <sheetName val="UWMP"/>
      <sheetName val="Demands"/>
      <sheetName val="Cost Assumptions"/>
      <sheetName val="Projects"/>
      <sheetName val="Calsim"/>
      <sheetName val="B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Ratio-Orig v1.4.2"/>
      <sheetName val="BCRatio-v1.4.2 City Only"/>
      <sheetName val="StructureInventory - County"/>
      <sheetName val="StructureInventory - City"/>
      <sheetName val="Database"/>
      <sheetName val="levee"/>
      <sheetName val="QH"/>
      <sheetName val="QFreq"/>
      <sheetName val="BCRatio-v1.4.3 run"/>
      <sheetName val="BCRatio-v1.4.3 run City Only"/>
      <sheetName val="Structures in City from GIS"/>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Assumptions"/>
      <sheetName val="Summary"/>
      <sheetName val="A1"/>
      <sheetName val="A2"/>
      <sheetName val="B1"/>
      <sheetName val="B2"/>
      <sheetName val="C"/>
      <sheetName val="D"/>
      <sheetName val="D5PCTReduction"/>
      <sheetName val="A1-IPR"/>
      <sheetName val="B1-IPR"/>
      <sheetName val="D-IPR"/>
      <sheetName val="IPR_Adj"/>
      <sheetName val="M&amp;I"/>
      <sheetName val="Ag"/>
      <sheetName val="UWMP Demand Tables"/>
      <sheetName val="M&amp;I_AGCalcs"/>
      <sheetName val="Conservation"/>
      <sheetName val="Local Verifiable Supplies"/>
      <sheetName val="Additional Planned"/>
      <sheetName val="Project Concepts"/>
      <sheetName val="UWMP Supply Tables"/>
      <sheetName val="Total Member Agency"/>
      <sheetName val="SDPattern"/>
      <sheetName val="Sheet3"/>
      <sheetName val="ModelDemands"/>
      <sheetName val="Conservation2"/>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persons/person.xml><?xml version="1.0" encoding="utf-8"?>
<personList xmlns="http://schemas.microsoft.com/office/spreadsheetml/2018/threadedcomments" xmlns:x="http://schemas.openxmlformats.org/spreadsheetml/2006/main">
  <person displayName="Stryjewski, Liz" id="{BFD69123-9465-42DE-A873-2FB7C7A9D4D0}" userId="Liz.Stryjewski@jacobs.com" providerId="PeoplePicker"/>
  <person displayName="McCarthy,Jennifer R" id="{3F649F5F-2093-4667-BA8B-9B033F300ABC}" userId="S::JMcCarthy@mwdh2o.com::c3a8d4f1-dffa-4ca9-84f6-f395c37ee714" providerId="AD"/>
  <person displayName="Daly, Kensey" id="{F0FE9416-7B82-4849-A564-51814EA5635A}" userId="S::Kensey.Daly@jacobs.com::2c05a9c7-ae45-4b4b-8861-dac25a878de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8" dT="2022-05-18T16:34:31.43" personId="{F0FE9416-7B82-4849-A564-51814EA5635A}" id="{AC1A36C2-0D5D-4655-A7E3-A3F5D71397E9}">
    <text>@Stryjewski, Liz can you add list of references here?</text>
    <mentions>
      <mention mentionpersonId="{BFD69123-9465-42DE-A873-2FB7C7A9D4D0}" mentionId="{3A8ACE25-4F23-4010-A8C6-F2506BA28125}" startIndex="0" length="16"/>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2-04-01T21:09:50.02" personId="{F0FE9416-7B82-4849-A564-51814EA5635A}" id="{96F52E75-BA48-4934-BDA0-A953125B6A65}">
    <text>o	Some of the values of the table headers in column H may not match exactly what I ended up using in the actual page, I made some edits after filling this table out and still need to go back and update this column.</text>
  </threadedComment>
  <threadedComment ref="K2" dT="2022-04-01T19:31:07.32" personId="{F0FE9416-7B82-4849-A564-51814EA5635A}" id="{54849799-2DA1-4501-8F14-89CE70B190D2}">
    <text>Please note - This column is not complete yet.</text>
  </threadedComment>
  <threadedComment ref="M2" dT="2022-04-01T19:31:32.46" personId="{F0FE9416-7B82-4849-A564-51814EA5635A}" id="{BC29C660-A602-448A-9738-BBA20508FE32}">
    <text>Please note, this column is not complete yet.</text>
  </threadedComment>
  <threadedComment ref="C8" dT="2022-03-30T22:18:44.82" personId="{F0FE9416-7B82-4849-A564-51814EA5635A}" id="{A1D7ACE4-F3BA-4A16-ADD9-3A91007463B1}">
    <text>Ray suggested user will input escalation factor</text>
  </threadedComment>
  <threadedComment ref="G36" dT="2022-03-23T23:21:23.75" personId="{F0FE9416-7B82-4849-A564-51814EA5635A}" id="{E7681738-9751-4BE2-A11A-DAC54EFD792D}">
    <text>Same question as SWP/CVP costs, should we put this on system operations page since its more of an operational cost than the supply unit cost?</text>
  </threadedComment>
  <threadedComment ref="C81" dT="2022-03-31T22:41:56.17" personId="{F0FE9416-7B82-4849-A564-51814EA5635A}" id="{B4C4BD9B-A6FA-4B94-942E-FB0B6963EF06}">
    <text>Need to identify references to use for this</text>
  </threadedComment>
  <threadedComment ref="C108" dT="2022-03-30T16:37:04.58" personId="{F0FE9416-7B82-4849-A564-51814EA5635A}" id="{980236DE-48DC-46C3-B276-1CADEB842F1D}">
    <text>How is this different than parameter #52? Is this the carryover storage volume threshold?</text>
  </threadedComment>
  <threadedComment ref="C109" dT="2022-04-01T19:25:05.26" personId="{F0FE9416-7B82-4849-A564-51814EA5635A}" id="{46DD73B2-D76A-4BBA-BBC6-A2558B980B73}">
    <text>I think we understand what this parameter is, but we haven't discussed if it should be included in this first iteration of the model yet.</text>
  </threadedComment>
  <threadedComment ref="C110" dT="2022-04-01T18:14:12.45" personId="{F0FE9416-7B82-4849-A564-51814EA5635A}" id="{87832C19-6593-467A-9603-1B9C22378E00}">
    <text>Same comment as above.</text>
  </threadedComment>
  <threadedComment ref="C111" dT="2022-04-01T19:24:46.82" personId="{F0FE9416-7B82-4849-A564-51814EA5635A}" id="{7B6B9BD0-436E-4EA2-8543-ABDC60328F3B}">
    <text>Same comment as above.</text>
  </threadedComment>
  <threadedComment ref="C116" dT="2022-03-30T16:43:41.66" personId="{F0FE9416-7B82-4849-A564-51814EA5635A}" id="{0E1E4F80-B6C8-4ED1-8E25-840AB494F7E7}">
    <text>Is this the total shortage threshold required before the rationing program costs kick in?</text>
  </threadedComment>
  <threadedComment ref="C143" dT="2022-04-01T19:25:29.12" personId="{F0FE9416-7B82-4849-A564-51814EA5635A}" id="{58F25C7F-4F5D-46F1-9618-0DAA7489601D}">
    <text>What is this used for? Do we need?</text>
  </threadedComment>
  <threadedComment ref="D147" dT="2022-04-01T18:39:57.76" personId="{F0FE9416-7B82-4849-A564-51814EA5635A}" id="{DFC29B92-1379-4A67-8603-43A5325CB14C}">
    <text>As I noted in my email, I've just put one table in here for now as CWEST had it, but based on the data we collect I think the format of this could be subject to change.</text>
  </threadedComment>
  <threadedComment ref="C154" dT="2022-04-01T18:40:56.88" personId="{F0FE9416-7B82-4849-A564-51814EA5635A}" id="{1950EBC8-71EB-4FFF-894D-9EABA709F068}">
    <text>I think I understand what this is, I'm still thinking through how we want to approach this in the python code.</text>
  </threadedComment>
  <threadedComment ref="I167" dT="2022-04-01T18:44:18.79" personId="{F0FE9416-7B82-4849-A564-51814EA5635A}" id="{9754BDBF-29AC-4D5E-921C-91B7959082CD}">
    <text>This was CWEST's approach.</text>
  </threadedComment>
  <threadedComment ref="C168" dT="2022-03-31T23:49:38.88" personId="{F0FE9416-7B82-4849-A564-51814EA5635A}" id="{83C47920-FC64-484E-85F4-8BEE04666DAC}">
    <text>How is this different than the cost inputs on the Water Market Year-Type Cost inputs in highlighted rows below?</text>
  </threadedComment>
  <threadedComment ref="C169" dT="2022-04-01T18:45:05.34" personId="{F0FE9416-7B82-4849-A564-51814EA5635A}" id="{54B70DC6-A587-4C51-841A-069C0BAA7B29}">
    <text>Same question as above.</text>
  </threadedComment>
  <threadedComment ref="C174" dT="2022-03-30T21:20:35.78" personId="{F0FE9416-7B82-4849-A564-51814EA5635A}" id="{99645CC2-AFCF-4BF2-8480-740532AE0522}">
    <text>How are these costs different than "Cost (Base)" a few rows above?</text>
  </threadedComment>
  <threadedComment ref="C175" dT="2022-03-31T23:54:16.22" personId="{F0FE9416-7B82-4849-A564-51814EA5635A}" id="{7E1759CC-9877-4876-A423-9EACABE096A8}">
    <text>Same question as row 177</text>
  </threadedComment>
  <threadedComment ref="C176" dT="2022-03-31T23:54:20.95" personId="{F0FE9416-7B82-4849-A564-51814EA5635A}" id="{EF4EB848-B1FC-47A5-967B-C6F4F8F9D85A}">
    <text>Same question as row 177</text>
  </threadedComment>
  <threadedComment ref="C177" dT="2022-03-31T23:54:25.03" personId="{F0FE9416-7B82-4849-A564-51814EA5635A}" id="{97E17596-60F8-4F11-B955-238E0A08D2F9}">
    <text>Same question as row 177</text>
  </threadedComment>
</ThreadedComments>
</file>

<file path=xl/threadedComments/threadedComment3.xml><?xml version="1.0" encoding="utf-8"?>
<ThreadedComments xmlns="http://schemas.microsoft.com/office/spreadsheetml/2018/threadedcomments" xmlns:x="http://schemas.openxmlformats.org/spreadsheetml/2006/main">
  <threadedComment ref="B1" dT="2021-11-29T20:05:27.50" personId="{F0FE9416-7B82-4849-A564-51814EA5635A}" id="{32B31D99-BB3D-4016-A719-EE2603AD15B5}">
    <text>Yellow highlights mean they should have UWMP but can't find it.</text>
  </threadedComment>
</ThreadedComments>
</file>

<file path=xl/threadedComments/threadedComment4.xml><?xml version="1.0" encoding="utf-8"?>
<ThreadedComments xmlns="http://schemas.microsoft.com/office/spreadsheetml/2018/threadedcomments" xmlns:x="http://schemas.openxmlformats.org/spreadsheetml/2006/main">
  <threadedComment ref="A7" dT="2022-03-30T22:53:49.41" personId="{F0FE9416-7B82-4849-A564-51814EA5635A}" id="{7BE57317-2ABF-4BD2-8A42-2140C7A537F9}">
    <text>Users will also have the option to input this data as a time series.</text>
  </threadedComment>
  <threadedComment ref="A840" dT="2021-11-08T21:37:36.50" personId="{F0FE9416-7B82-4849-A564-51814EA5635A}" id="{306D41EB-AF28-4E05-AD27-E4AECEE5448C}">
    <text>Other imported water besides CVP &amp; SWP, etc.</text>
  </threadedComment>
</ThreadedComments>
</file>

<file path=xl/threadedComments/threadedComment5.xml><?xml version="1.0" encoding="utf-8"?>
<ThreadedComments xmlns="http://schemas.microsoft.com/office/spreadsheetml/2018/threadedcomments" xmlns:x="http://schemas.openxmlformats.org/spreadsheetml/2006/main">
  <threadedComment ref="D909" dT="2022-05-18T18:21:50.45" personId="{F0FE9416-7B82-4849-A564-51814EA5635A}" id="{680ACC7E-1C07-4281-885A-B68BBFD011E0}">
    <text>Missing Centerville Community Services District</text>
  </threadedComment>
</ThreadedComments>
</file>

<file path=xl/threadedComments/threadedComment6.xml><?xml version="1.0" encoding="utf-8"?>
<ThreadedComments xmlns="http://schemas.microsoft.com/office/spreadsheetml/2018/threadedcomments" xmlns:x="http://schemas.openxmlformats.org/spreadsheetml/2006/main">
  <threadedComment ref="L14" dT="2022-05-18T18:21:50.45" personId="{F0FE9416-7B82-4849-A564-51814EA5635A}" id="{90946744-116F-434F-B0DF-7FC8A3D8453C}">
    <text>Missing Centerville Community Services District</text>
  </threadedComment>
</ThreadedComments>
</file>

<file path=xl/threadedComments/threadedComment7.xml><?xml version="1.0" encoding="utf-8"?>
<ThreadedComments xmlns="http://schemas.microsoft.com/office/spreadsheetml/2018/threadedcomments" xmlns:x="http://schemas.openxmlformats.org/spreadsheetml/2006/main">
  <threadedComment ref="A9" dT="2022-11-18T19:08:15.33" personId="{F0FE9416-7B82-4849-A564-51814EA5635A}" id="{AD0549F1-A2A2-4ED5-B595-AF46484C154C}">
    <text>Surface reservoir</text>
  </threadedComment>
  <threadedComment ref="D9" dT="2022-11-18T19:23:34.23" personId="{F0FE9416-7B82-4849-A564-51814EA5635A}" id="{A96E024A-9D29-4841-BDE9-FBE6C462C3A4}">
    <text>Average annual yield wasn't provided. Put reservoir capacity here.</text>
  </threadedComment>
</ThreadedComments>
</file>

<file path=xl/threadedComments/threadedComment8.xml><?xml version="1.0" encoding="utf-8"?>
<ThreadedComments xmlns="http://schemas.microsoft.com/office/spreadsheetml/2018/threadedcomments" xmlns:x="http://schemas.openxmlformats.org/spreadsheetml/2006/main">
  <threadedComment ref="B5" dT="2022-08-30T17:50:20.97" personId="{3F649F5F-2093-4667-BA8B-9B033F300ABC}" id="{80E988A1-44FA-4054-977D-D96182575775}">
    <text>excludes 78000 of emergency storage</text>
  </threadedComment>
  <threadedComment ref="C5" dT="2022-08-30T17:50:44.16" personId="{3F649F5F-2093-4667-BA8B-9B033F300ABC}" id="{4F01ADD2-9374-4E3D-950F-8EB663577029}">
    <text>excludes 33000 of emergency storage</text>
  </threadedComment>
  <threadedComment ref="C7" dT="2022-08-25T18:39:55.17" personId="{F0FE9416-7B82-4849-A564-51814EA5635A}" id="{78B45A77-815A-4319-A3CB-C0004FFC8CFF}">
    <text>MCWEST citation: WSDM Plan Storage Projects and Semitropic Features Included in SoCalWem</text>
  </threadedComment>
  <threadedComment ref="C15" dT="2022-08-25T18:47:55.14" personId="{F0FE9416-7B82-4849-A564-51814EA5635A}" id="{194A55AC-020C-4EF0-8025-3922286E1751}">
    <text>Offline</text>
  </threadedComment>
  <threadedComment ref="D15" dT="2022-08-25T18:14:49.26" personId="{F0FE9416-7B82-4849-A564-51814EA5635A}" id="{BB1ABF21-0668-4831-82CA-97F04686A4DC}">
    <text>More of a transfer program of surplus SWP</text>
  </threadedComment>
  <threadedComment ref="F15" dT="2022-08-25T18:47:59.09" personId="{F0FE9416-7B82-4849-A564-51814EA5635A}" id="{7804BAB7-0E8C-4557-9D71-64B2D97CD7E7}">
    <text>Offline</text>
  </threadedComment>
  <threadedComment ref="I15" dT="2022-09-06T18:02:16.49" personId="{3F649F5F-2093-4667-BA8B-9B033F300ABC}" id="{0113D5D7-FAB5-4C4E-9370-8980388B69D3}">
    <text>no longer modeled as storage programs</text>
  </threadedComment>
  <threadedComment ref="L15" dT="2022-09-06T18:12:54.17" personId="{3F649F5F-2093-4667-BA8B-9B033F300ABC}" id="{94208A49-8E6C-4880-B097-770C7779371B}">
    <text>Not sure what this is I don't believe this is modeled unless there is another name</text>
  </threadedComment>
  <threadedComment ref="C16" dT="2022-08-30T17:52:58.48" personId="{3F649F5F-2093-4667-BA8B-9B033F300ABC}" id="{37FEED62-ACA8-4796-AF68-3FFBD36AE9E3}">
    <text>offline until 2025</text>
  </threadedComment>
  <threadedComment ref="B19" dT="2022-08-25T16:00:29.35" personId="{F0FE9416-7B82-4849-A564-51814EA5635A}" id="{CCB174DF-E5DC-4608-830C-74CEEE3B27AC}">
    <text>UWMP notes the maximum annual yield is 229.77 TAF</text>
  </threadedComment>
  <threadedComment ref="K19" dT="2022-08-25T02:51:01.34" personId="{F0FE9416-7B82-4849-A564-51814EA5635A}" id="{F6219583-4829-4C73-8815-66ABCEC62C39}">
    <text>Board report notes this is 38,000</text>
  </threadedComment>
  <threadedComment ref="B52" dT="2023-01-26T21:25:56.80" personId="{F0FE9416-7B82-4849-A564-51814EA5635A}" id="{5C4D6267-2073-44F5-B033-05CFB233D1A6}">
    <text>Max reported in Table 4 in appendix: https://www.kcwa.com/wp-content/uploads/2022/02/ROWC2021_FINAL.pdf</text>
  </threadedComment>
  <threadedComment ref="C52" dT="2023-01-26T20:25:33.38" personId="{F0FE9416-7B82-4849-A564-51814EA5635A}" id="{EA1EF70F-92A6-42AD-BA9F-76B2FB45755F}">
    <text>page 35 of UWMP</text>
  </threadedComment>
  <threadedComment ref="D52" dT="2023-01-26T20:27:29.14" personId="{F0FE9416-7B82-4849-A564-51814EA5635A}" id="{80BF62FF-A247-42F4-9107-F27124B05B1F}">
    <text>UWMP Table 6-8</text>
  </threadedComment>
  <threadedComment ref="C56" dT="2023-01-26T23:16:45.05" personId="{F0FE9416-7B82-4849-A564-51814EA5635A}" id="{D3A17E4D-0D84-4F2B-A349-5BB7C45C4EC2}">
    <text>MCWEST</text>
  </threadedComment>
  <threadedComment ref="C57" dT="2023-01-26T23:15:32.79" personId="{F0FE9416-7B82-4849-A564-51814EA5635A}" id="{FC03CD5F-442D-41D4-BF55-0472A2580D66}">
    <text>MCWEST</text>
  </threadedComment>
  <threadedComment ref="C62" dT="2023-08-08T19:20:35.47" personId="{F0FE9416-7B82-4849-A564-51814EA5635A}" id="{2E57AF14-70F2-4B0D-8921-CF078984D3A7}">
    <text>Not specified, assumed put capacity</text>
  </threadedComment>
  <threadedComment ref="C63" dT="2023-08-08T19:20:43.18" personId="{F0FE9416-7B82-4849-A564-51814EA5635A}" id="{B9F4077D-2B8C-48D9-908C-41E2CDB0FF21}">
    <text>Not specified, assumed put capacity</text>
  </threadedComment>
  <threadedComment ref="E63" dT="2023-08-08T19:18:31.82" personId="{F0FE9416-7B82-4849-A564-51814EA5635A}" id="{47358DAE-F3A8-472B-AA5B-C59C0C8FE239}">
    <text>Recoverable supplies that can be withdrawn from this bank (Table 7-3 footnote)</text>
  </threadedComment>
  <threadedComment ref="B64" dT="2023-08-08T19:20:18.28" personId="{F0FE9416-7B82-4849-A564-51814EA5635A}" id="{9C385EB1-EF53-43D4-B95F-2E9689417D94}">
    <text>Not specified - assumed take capacity</text>
  </threadedComment>
  <threadedComment ref="C64" dT="2023-08-08T19:20:18.28" personId="{F0FE9416-7B82-4849-A564-51814EA5635A}" id="{2B5D8184-0919-47F3-8348-E94A0368101F}">
    <text>Not specified - assumed take capacity</text>
  </threadedComment>
  <threadedComment ref="D64" dT="2023-08-08T19:14:26.60" personId="{F0FE9416-7B82-4849-A564-51814EA5635A}" id="{344A9D76-DD8C-4D47-86D5-7A0E8A55AE00}">
    <text>Starting in 2035</text>
  </threadedComment>
</ThreadedComments>
</file>

<file path=xl/threadedComments/threadedComment9.xml><?xml version="1.0" encoding="utf-8"?>
<ThreadedComments xmlns="http://schemas.microsoft.com/office/spreadsheetml/2018/threadedcomments" xmlns:x="http://schemas.openxmlformats.org/spreadsheetml/2006/main">
  <threadedComment ref="C3" dT="2022-03-10T20:39:07.85" personId="{F0FE9416-7B82-4849-A564-51814EA5635A}" id="{8EB2D070-35B5-4BA2-AAD0-589EA7F7844B}">
    <text>There's 2 costs in table for "Shasta D&amp;R and Spring Creek Conduit" which is 29.76</text>
  </threadedComment>
</ThreadedComments>
</file>

<file path=xl/threadedComments/threadedComment10.xml><?xml version="1.0" encoding="utf-8"?>
<ThreadedComments xmlns="http://schemas.microsoft.com/office/spreadsheetml/2018/threadedcomments" xmlns:x="http://schemas.openxmlformats.org/spreadsheetml/2006/main">
  <threadedComment ref="A4" dT="2022-04-01T22:09:54.33" personId="{F0FE9416-7B82-4849-A564-51814EA5635A}" id="{C8FBF2C7-C28B-4671-A622-F1016B01181F}">
    <text>During times of drought, contractors may take further actions to manage shortages to minimize impacts to their region's economy and quality of life. This may include actions such as extraordinary restrictions for specific consumer uses, such as alternate day water regulations, water waster patrols, emergency water pricing programs, and intensive public education campaigns.</text>
  </threadedComment>
  <threadedComment ref="I306" dT="2023-01-26T21:23:54.71" personId="{F0FE9416-7B82-4849-A564-51814EA5635A}" id="{ED796E6F-CF38-47F9-AACA-B3EEE116FF3B}">
    <text>https://www.kcwa.com/wp-content/uploads/2022/02/ROWC2021_FINAL.pdf</text>
  </threadedComment>
  <threadedComment ref="I352" dT="2023-01-26T21:23:54.71" personId="{F0FE9416-7B82-4849-A564-51814EA5635A}" id="{52F5E038-3DF4-4076-A8EC-3412EB9105D6}">
    <text>https://www.kcwa.com/wp-content/uploads/2022/02/ROWC2021_FINAL.pdf</text>
  </threadedComment>
  <threadedComment ref="A654" dT="2022-04-01T22:22:07.28" personId="{F0FE9416-7B82-4849-A564-51814EA5635A}" id="{169ACAE2-CC53-47DE-94DE-B2611771603C}">
    <text>Cut ratios charactarize how a shortage is distributed among user types. Each cut ratio is a ratio of the shortage distributed to that user type, relative to the shortage distributed to the single family user type, in percentage terms. For example, if the single family user type has a shortage of 10% and the multi-family user type has a shortage of 5%, the cut ratio for multi-family homes is 0.5. 
Price elasticity of demand, or simply elasticity, is a measure of how sensitive demand is to a change in price. The elasticity variable estimates the percentage change in the demand for water, given a 1% increase in the price of water. For example, an elasticity of -0.2 means that a 1% in the price of water leads to a -.2% decrease in the demand for water. Conversely, elasticity assumptions allow an estimate of customer willingness to pay to avoid shortage conditions. Default elasticity values are based on a 2012 Study by Sunding and Auffhammer, that uses a 1996-2011 dataset of single family residential demand across 120 California water retailers to estimate demand elasticity, controlling for temperature, precipitation, and income. Contractors for which elasticity was not estimated in Sunding and Auffhammer, 2012, have a default elasticity that is the statewide average of the elasticities for all 120 retailers in the study.
Upper and Lower boundaries allow the user to set a floor and ceiling on the model calculations of willingness to pay. The lower boundary sets a percentage shortage below which willingness to pay will be set at that shortage's value. The upper boundary sets a percentage shortage above which willingness to pay will be set at that shortage's value.
Retail price is the volumetric price of water faced by retail water users in each contractor's service area. Where volumetric block pricing or tiered pricing is used in a contractor service area, the retail prices is set at the middle tier or average of the two middle tiers.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waterboards.ca.gov/waterrights/water_issues/programs/water_transfer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7.bin"/><Relationship Id="rId1" Type="http://schemas.openxmlformats.org/officeDocument/2006/relationships/hyperlink" Target="https://www.roseville.ca.us/UserFiles/Servers/Server_7964838/File/Government/Departments/Environmental%20Utilities/Water/Draft%20Roseville%20Water%20Shortage%20Contingency%20Plan.pdf" TargetMode="Externa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externalLinkPath" Target="file:///\\cheron\projects\Projects\SDCWA\SalesForecast\GSModel\SDCWA_WRM_v6.34_DET_GS11\Input_Demands.xlsx"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hyperlink" Target="https://www.epa.gov/sustainability/lean-water-toolkit-chapter-2" TargetMode="Externa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4.bin"/><Relationship Id="rId1" Type="http://schemas.openxmlformats.org/officeDocument/2006/relationships/externalLinkPath" Target="file:///\\cheron\projects\Projects\SDCWA\SalesForecast\GSModel\SDCWA_WRM_v6.34_DET_GS11\Input_Demands.xlsx" TargetMode="Externa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6.bin"/><Relationship Id="rId4" Type="http://schemas.microsoft.com/office/2017/10/relationships/threadedComment" Target="../threadedComments/threadedComment5.xml"/></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energy.ca.gov/data-reports/reports/integrated-energy-policy-report/2021-integrated-energy-policy-report/2021-1" TargetMode="External"/></Relationships>
</file>

<file path=xl/worksheets/_rels/sheet37.xml.rels><?xml version="1.0" encoding="UTF-8" standalone="yes"?>
<Relationships xmlns="http://schemas.openxmlformats.org/package/2006/relationships"><Relationship Id="rId2" Type="http://schemas.openxmlformats.org/officeDocument/2006/relationships/hyperlink" Target="https://mavensnotebook.com/2018/09/05/metropolitans-groundwater-banking-programs/" TargetMode="External"/><Relationship Id="rId1" Type="http://schemas.openxmlformats.org/officeDocument/2006/relationships/hyperlink" Target="https://www.sawpa.org/wp-content/uploads/2017/11/PA23Presentations012617.pdf"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s://www.kcwa.com/wp-content/uploads/2022/02/ROWC2021_FINAL.pdf" TargetMode="External"/><Relationship Id="rId2" Type="http://schemas.openxmlformats.org/officeDocument/2006/relationships/hyperlink" Target="https://www.mwdh2o.com/budget-finance/" TargetMode="External"/><Relationship Id="rId1" Type="http://schemas.openxmlformats.org/officeDocument/2006/relationships/hyperlink" Target="https://www.mwdh2o.com/budget-finance/" TargetMode="External"/><Relationship Id="rId4" Type="http://schemas.openxmlformats.org/officeDocument/2006/relationships/drawing" Target="../drawings/drawing2.xml"/></Relationships>
</file>

<file path=xl/worksheets/_rels/sheet40.xml.rels><?xml version="1.0" encoding="UTF-8" standalone="yes"?>
<Relationships xmlns="http://schemas.openxmlformats.org/package/2006/relationships"><Relationship Id="rId1" Type="http://schemas.openxmlformats.org/officeDocument/2006/relationships/hyperlink" Target="https://www.eia.gov/electricity/state/" TargetMode="External"/></Relationships>
</file>

<file path=xl/worksheets/_rels/sheet4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 Id="rId4" Type="http://schemas.microsoft.com/office/2017/10/relationships/threadedComment" Target="../threadedComments/threadedComment7.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stryjel/AppData/Local/Temp/MicrosoftEdgeDownloads/b293241a-4253-4c26-96ee-6867d067b985/final-for-bdms-cos-fy2022-23-and-fy2023-24-option-4_5.pdf" TargetMode="Externa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8.bin"/><Relationship Id="rId1" Type="http://schemas.openxmlformats.org/officeDocument/2006/relationships/hyperlink" Target="https://bda.mwdh2o.com/Board%20Archives/2021/06-June/Reports/06072021%20WPS%206a%20Report.pdf" TargetMode="External"/><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4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 Id="rId4" Type="http://schemas.microsoft.com/office/2017/10/relationships/threadedComment" Target="../threadedComments/threadedComment9.xm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sgma.water.ca.gov/webgis/?appid=SGMADataViewer" TargetMode="Externa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21.bin"/><Relationship Id="rId1" Type="http://schemas.openxmlformats.org/officeDocument/2006/relationships/hyperlink" Target="https://zone7water.report/2022/water-reliability" TargetMode="Externa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gcc02.safelinks.protection.outlook.com/?url=https%3A%2F%2Flink.edgepilot.com%2Fs%2Fd451bba3%2F7IdLZMqXt0Wp90ZaebLaUA%3Fu%3Dhttps%3A%2F%2Fwww.acwd.org%2Fwaterefficiencymasterplan&amp;data=05%7C01%7C%7C9d81b4ce58a4424fc7d908db98fbb74e%7Cb71d56524b834257afcd7fd177884564%7C0%7C0%7C638271979126253365%7CUnknown%7CTWFpbGZsb3d8eyJWIjoiMC4wLjAwMDAiLCJQIjoiV2luMzIiLCJBTiI6Ik1haWwiLCJXVCI6Mn0%3D%7C3000%7C%7C%7C&amp;sdata=Yi3kT38TgdsLHAsWKxmBMJS5FCw8SL7ZMCrGdSZyh%2Bo%3D&amp;reserved=0" TargetMode="External"/><Relationship Id="rId1" Type="http://schemas.openxmlformats.org/officeDocument/2006/relationships/externalLinkPath" Target="file:///\\cheron\projects\Projects\SDCWA\SalesForecast\GSModel\SDCWA_WRM_v6.34_DET_GS11\Input_Demand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9E0A1-F07D-4024-8633-5050788D44E6}">
  <sheetPr codeName="Sheet6"/>
  <dimension ref="A4:A7"/>
  <sheetViews>
    <sheetView workbookViewId="0"/>
  </sheetViews>
  <sheetFormatPr defaultRowHeight="14.4" x14ac:dyDescent="0.3"/>
  <cols>
    <col min="1" max="1" width="27" bestFit="1" customWidth="1"/>
  </cols>
  <sheetData>
    <row r="4" spans="1:1" x14ac:dyDescent="0.3">
      <c r="A4" s="1" t="s">
        <v>0</v>
      </c>
    </row>
    <row r="5" spans="1:1" x14ac:dyDescent="0.3">
      <c r="A5" s="237" t="s">
        <v>1</v>
      </c>
    </row>
    <row r="6" spans="1:1" x14ac:dyDescent="0.3">
      <c r="A6" s="238" t="s">
        <v>2</v>
      </c>
    </row>
    <row r="7" spans="1:1" x14ac:dyDescent="0.3">
      <c r="A7" s="239" t="s">
        <v>3</v>
      </c>
    </row>
  </sheetData>
  <pageMargins left="0.7" right="0.7" top="0.75" bottom="0.75" header="0.3" footer="0.3"/>
  <pageSetup orientation="portrait" horizontalDpi="300"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0D4DF-40B6-4F93-B4E5-0172A7DF0555}">
  <sheetPr codeName="Sheet14"/>
  <dimension ref="A1:G68"/>
  <sheetViews>
    <sheetView workbookViewId="0"/>
  </sheetViews>
  <sheetFormatPr defaultColWidth="9.109375" defaultRowHeight="14.4" x14ac:dyDescent="0.3"/>
  <cols>
    <col min="1" max="1" width="37.109375" style="200" bestFit="1" customWidth="1"/>
    <col min="2" max="2" width="59.6640625" style="197" customWidth="1"/>
    <col min="3" max="3" width="60.88671875" style="197" bestFit="1" customWidth="1"/>
    <col min="4" max="4" width="41" style="200" customWidth="1"/>
    <col min="5" max="5" width="32.88671875" style="197" customWidth="1"/>
    <col min="6" max="6" width="32.6640625" style="200" bestFit="1" customWidth="1"/>
    <col min="7" max="7" width="171.88671875" style="200" bestFit="1" customWidth="1"/>
    <col min="8" max="16384" width="9.109375" style="200"/>
  </cols>
  <sheetData>
    <row r="1" spans="1:7" ht="28.8" x14ac:dyDescent="0.3">
      <c r="A1" s="199" t="s">
        <v>4</v>
      </c>
      <c r="B1" s="198" t="s">
        <v>5</v>
      </c>
      <c r="C1" s="198" t="s">
        <v>6</v>
      </c>
      <c r="D1" s="199" t="s">
        <v>7</v>
      </c>
      <c r="E1" s="198" t="s">
        <v>8</v>
      </c>
      <c r="F1" s="198" t="s">
        <v>9</v>
      </c>
      <c r="G1" s="199" t="s">
        <v>10</v>
      </c>
    </row>
    <row r="2" spans="1:7" x14ac:dyDescent="0.3">
      <c r="A2" s="200" t="s">
        <v>11</v>
      </c>
      <c r="B2" s="197" t="s">
        <v>12</v>
      </c>
      <c r="C2" s="200" t="s">
        <v>13</v>
      </c>
      <c r="D2" s="199"/>
      <c r="E2" s="198"/>
      <c r="F2" s="198"/>
      <c r="G2" s="199"/>
    </row>
    <row r="3" spans="1:7" ht="43.2" x14ac:dyDescent="0.3">
      <c r="A3" s="200" t="s">
        <v>11</v>
      </c>
      <c r="B3" s="197" t="s">
        <v>14</v>
      </c>
      <c r="C3" s="331" t="s">
        <v>15</v>
      </c>
      <c r="D3" s="200" t="s">
        <v>16</v>
      </c>
      <c r="E3" s="197" t="s">
        <v>17</v>
      </c>
      <c r="F3" s="200" t="s">
        <v>18</v>
      </c>
      <c r="G3" s="201"/>
    </row>
    <row r="4" spans="1:7" x14ac:dyDescent="0.3">
      <c r="A4" s="200" t="s">
        <v>11</v>
      </c>
      <c r="B4" s="197" t="s">
        <v>19</v>
      </c>
      <c r="C4" s="200" t="s">
        <v>20</v>
      </c>
      <c r="F4" s="200" t="s">
        <v>21</v>
      </c>
    </row>
    <row r="5" spans="1:7" x14ac:dyDescent="0.3">
      <c r="A5" s="200" t="s">
        <v>11</v>
      </c>
      <c r="B5" s="197" t="s">
        <v>22</v>
      </c>
      <c r="C5" s="197" t="s">
        <v>23</v>
      </c>
      <c r="D5" s="200" t="s">
        <v>24</v>
      </c>
      <c r="F5" s="200" t="s">
        <v>22</v>
      </c>
    </row>
    <row r="6" spans="1:7" x14ac:dyDescent="0.3">
      <c r="A6" s="200" t="s">
        <v>25</v>
      </c>
      <c r="B6" s="197" t="s">
        <v>26</v>
      </c>
      <c r="C6" s="197" t="s">
        <v>23</v>
      </c>
      <c r="D6" s="200" t="s">
        <v>27</v>
      </c>
      <c r="F6" s="200" t="s">
        <v>28</v>
      </c>
    </row>
    <row r="7" spans="1:7" x14ac:dyDescent="0.3">
      <c r="A7" s="200" t="s">
        <v>25</v>
      </c>
      <c r="B7" s="197" t="s">
        <v>29</v>
      </c>
      <c r="C7" s="197" t="s">
        <v>23</v>
      </c>
      <c r="D7" s="200" t="s">
        <v>27</v>
      </c>
    </row>
    <row r="8" spans="1:7" x14ac:dyDescent="0.3">
      <c r="A8" s="200" t="s">
        <v>25</v>
      </c>
      <c r="B8" s="197" t="s">
        <v>30</v>
      </c>
      <c r="C8" s="197" t="s">
        <v>23</v>
      </c>
      <c r="D8" s="197" t="s">
        <v>31</v>
      </c>
    </row>
    <row r="9" spans="1:7" x14ac:dyDescent="0.3">
      <c r="A9" s="200" t="s">
        <v>25</v>
      </c>
      <c r="B9" s="197" t="s">
        <v>32</v>
      </c>
      <c r="C9" s="197" t="s">
        <v>23</v>
      </c>
      <c r="D9" s="200" t="s">
        <v>27</v>
      </c>
    </row>
    <row r="10" spans="1:7" x14ac:dyDescent="0.3">
      <c r="A10" s="200" t="s">
        <v>25</v>
      </c>
      <c r="B10" s="197" t="s">
        <v>33</v>
      </c>
      <c r="C10" s="197" t="s">
        <v>23</v>
      </c>
      <c r="D10" s="200" t="s">
        <v>24</v>
      </c>
    </row>
    <row r="11" spans="1:7" x14ac:dyDescent="0.3">
      <c r="A11" s="200" t="s">
        <v>34</v>
      </c>
      <c r="B11" s="197" t="s">
        <v>35</v>
      </c>
      <c r="C11" s="197" t="s">
        <v>23</v>
      </c>
      <c r="D11" s="200" t="s">
        <v>36</v>
      </c>
    </row>
    <row r="12" spans="1:7" x14ac:dyDescent="0.3">
      <c r="A12" s="200" t="s">
        <v>34</v>
      </c>
      <c r="B12" s="197" t="s">
        <v>37</v>
      </c>
      <c r="C12" s="197" t="s">
        <v>23</v>
      </c>
      <c r="D12" s="200" t="s">
        <v>36</v>
      </c>
    </row>
    <row r="13" spans="1:7" x14ac:dyDescent="0.3">
      <c r="A13" s="200" t="s">
        <v>34</v>
      </c>
      <c r="B13" s="197" t="s">
        <v>38</v>
      </c>
      <c r="C13" s="197" t="s">
        <v>23</v>
      </c>
      <c r="D13" s="200" t="s">
        <v>36</v>
      </c>
    </row>
    <row r="14" spans="1:7" x14ac:dyDescent="0.3">
      <c r="A14" s="200" t="s">
        <v>34</v>
      </c>
      <c r="B14" s="197" t="s">
        <v>39</v>
      </c>
      <c r="C14" s="197" t="s">
        <v>23</v>
      </c>
      <c r="D14" s="200" t="s">
        <v>36</v>
      </c>
    </row>
    <row r="15" spans="1:7" x14ac:dyDescent="0.3">
      <c r="A15" s="200" t="s">
        <v>34</v>
      </c>
      <c r="B15" s="197" t="s">
        <v>40</v>
      </c>
      <c r="C15" s="197" t="s">
        <v>23</v>
      </c>
      <c r="D15" s="200" t="s">
        <v>36</v>
      </c>
    </row>
    <row r="16" spans="1:7" x14ac:dyDescent="0.3">
      <c r="A16" s="200" t="s">
        <v>34</v>
      </c>
      <c r="B16" s="197" t="s">
        <v>41</v>
      </c>
      <c r="C16" s="197" t="s">
        <v>23</v>
      </c>
      <c r="D16" s="200" t="s">
        <v>36</v>
      </c>
    </row>
    <row r="17" spans="1:5" x14ac:dyDescent="0.3">
      <c r="A17" s="200" t="s">
        <v>34</v>
      </c>
      <c r="B17" s="197" t="s">
        <v>42</v>
      </c>
      <c r="C17" s="331" t="s">
        <v>15</v>
      </c>
      <c r="D17" s="200" t="s">
        <v>16</v>
      </c>
    </row>
    <row r="18" spans="1:5" x14ac:dyDescent="0.3">
      <c r="A18" s="200" t="s">
        <v>34</v>
      </c>
      <c r="B18" s="197" t="s">
        <v>43</v>
      </c>
      <c r="C18" s="331" t="s">
        <v>15</v>
      </c>
      <c r="D18" s="200" t="s">
        <v>44</v>
      </c>
    </row>
    <row r="19" spans="1:5" x14ac:dyDescent="0.3">
      <c r="A19" s="200" t="s">
        <v>45</v>
      </c>
      <c r="B19" s="197" t="s">
        <v>46</v>
      </c>
      <c r="C19" s="197" t="s">
        <v>23</v>
      </c>
      <c r="D19" s="200" t="s">
        <v>47</v>
      </c>
    </row>
    <row r="20" spans="1:5" x14ac:dyDescent="0.3">
      <c r="A20" s="200" t="s">
        <v>45</v>
      </c>
      <c r="B20" s="197" t="s">
        <v>48</v>
      </c>
      <c r="C20" s="197" t="s">
        <v>23</v>
      </c>
      <c r="D20" s="200" t="s">
        <v>49</v>
      </c>
    </row>
    <row r="21" spans="1:5" ht="43.2" x14ac:dyDescent="0.3">
      <c r="A21" s="200" t="s">
        <v>45</v>
      </c>
      <c r="B21" s="197" t="s">
        <v>50</v>
      </c>
      <c r="C21" s="197" t="s">
        <v>23</v>
      </c>
      <c r="D21" s="200" t="s">
        <v>51</v>
      </c>
      <c r="E21" s="197" t="s">
        <v>52</v>
      </c>
    </row>
    <row r="22" spans="1:5" x14ac:dyDescent="0.3">
      <c r="A22" s="200" t="s">
        <v>45</v>
      </c>
      <c r="B22" s="197" t="s">
        <v>53</v>
      </c>
      <c r="C22" s="197" t="s">
        <v>23</v>
      </c>
      <c r="D22" s="197"/>
    </row>
    <row r="23" spans="1:5" x14ac:dyDescent="0.3">
      <c r="A23" s="200" t="s">
        <v>45</v>
      </c>
      <c r="B23" s="197" t="s">
        <v>54</v>
      </c>
      <c r="C23" s="197" t="s">
        <v>23</v>
      </c>
      <c r="D23" s="200" t="s">
        <v>51</v>
      </c>
    </row>
    <row r="24" spans="1:5" x14ac:dyDescent="0.3">
      <c r="A24" s="200" t="s">
        <v>45</v>
      </c>
      <c r="B24" s="197" t="s">
        <v>55</v>
      </c>
      <c r="C24" s="197" t="s">
        <v>23</v>
      </c>
    </row>
    <row r="25" spans="1:5" x14ac:dyDescent="0.3">
      <c r="A25" s="200" t="s">
        <v>45</v>
      </c>
      <c r="B25" s="197" t="s">
        <v>56</v>
      </c>
      <c r="C25" s="197" t="s">
        <v>23</v>
      </c>
    </row>
    <row r="26" spans="1:5" x14ac:dyDescent="0.3">
      <c r="A26" s="200" t="s">
        <v>45</v>
      </c>
      <c r="B26" s="197" t="s">
        <v>57</v>
      </c>
      <c r="C26" s="197" t="s">
        <v>23</v>
      </c>
    </row>
    <row r="27" spans="1:5" x14ac:dyDescent="0.3">
      <c r="A27" s="200" t="s">
        <v>45</v>
      </c>
      <c r="B27" s="197" t="s">
        <v>58</v>
      </c>
      <c r="C27" s="197" t="s">
        <v>59</v>
      </c>
    </row>
    <row r="28" spans="1:5" x14ac:dyDescent="0.3">
      <c r="A28" s="200" t="s">
        <v>45</v>
      </c>
      <c r="B28" s="197" t="s">
        <v>60</v>
      </c>
      <c r="C28" s="197" t="s">
        <v>59</v>
      </c>
    </row>
    <row r="29" spans="1:5" x14ac:dyDescent="0.3">
      <c r="A29" s="200" t="s">
        <v>45</v>
      </c>
      <c r="B29" s="197" t="s">
        <v>61</v>
      </c>
      <c r="C29" s="197" t="s">
        <v>23</v>
      </c>
    </row>
    <row r="30" spans="1:5" ht="57.6" x14ac:dyDescent="0.3">
      <c r="A30" s="200" t="s">
        <v>62</v>
      </c>
      <c r="B30" s="197" t="s">
        <v>63</v>
      </c>
      <c r="C30" s="197" t="s">
        <v>64</v>
      </c>
    </row>
    <row r="31" spans="1:5" ht="57.6" x14ac:dyDescent="0.3">
      <c r="A31" s="200" t="s">
        <v>62</v>
      </c>
      <c r="B31" s="197" t="s">
        <v>65</v>
      </c>
      <c r="C31" s="197" t="s">
        <v>64</v>
      </c>
    </row>
    <row r="32" spans="1:5" x14ac:dyDescent="0.3">
      <c r="A32" s="200" t="s">
        <v>66</v>
      </c>
      <c r="B32" s="197" t="s">
        <v>67</v>
      </c>
      <c r="C32" s="197" t="s">
        <v>68</v>
      </c>
    </row>
    <row r="33" spans="1:7" x14ac:dyDescent="0.3">
      <c r="A33" s="200" t="s">
        <v>66</v>
      </c>
      <c r="B33" s="197" t="s">
        <v>69</v>
      </c>
      <c r="C33" s="197" t="s">
        <v>68</v>
      </c>
    </row>
    <row r="34" spans="1:7" x14ac:dyDescent="0.3">
      <c r="A34" s="200" t="s">
        <v>62</v>
      </c>
      <c r="B34" s="197" t="s">
        <v>70</v>
      </c>
      <c r="C34" s="197" t="s">
        <v>23</v>
      </c>
      <c r="D34" s="200" t="s">
        <v>71</v>
      </c>
    </row>
    <row r="35" spans="1:7" ht="129.6" x14ac:dyDescent="0.3">
      <c r="A35" s="200" t="s">
        <v>62</v>
      </c>
      <c r="B35" s="197" t="s">
        <v>72</v>
      </c>
      <c r="C35" s="197" t="s">
        <v>23</v>
      </c>
      <c r="D35" s="197" t="s">
        <v>73</v>
      </c>
      <c r="E35" s="197" t="s">
        <v>74</v>
      </c>
      <c r="F35" s="200" t="s">
        <v>66</v>
      </c>
      <c r="G35" s="200" t="s">
        <v>75</v>
      </c>
    </row>
    <row r="36" spans="1:7" x14ac:dyDescent="0.3">
      <c r="A36" s="200" t="s">
        <v>62</v>
      </c>
      <c r="B36" s="197" t="s">
        <v>76</v>
      </c>
      <c r="C36" s="197" t="s">
        <v>77</v>
      </c>
    </row>
    <row r="37" spans="1:7" ht="28.8" x14ac:dyDescent="0.3">
      <c r="A37" s="200" t="s">
        <v>62</v>
      </c>
      <c r="B37" s="197" t="s">
        <v>78</v>
      </c>
      <c r="C37" s="462" t="s">
        <v>79</v>
      </c>
    </row>
    <row r="38" spans="1:7" x14ac:dyDescent="0.3">
      <c r="A38" s="200" t="s">
        <v>62</v>
      </c>
      <c r="B38" s="197" t="s">
        <v>80</v>
      </c>
      <c r="C38" s="197" t="s">
        <v>23</v>
      </c>
      <c r="D38" s="200" t="s">
        <v>81</v>
      </c>
    </row>
    <row r="39" spans="1:7" ht="100.8" x14ac:dyDescent="0.3">
      <c r="A39" s="200" t="s">
        <v>62</v>
      </c>
      <c r="B39" s="197" t="s">
        <v>82</v>
      </c>
      <c r="C39" s="197" t="s">
        <v>23</v>
      </c>
      <c r="D39" s="401" t="s">
        <v>83</v>
      </c>
      <c r="E39" s="197" t="s">
        <v>84</v>
      </c>
      <c r="F39" s="200" t="s">
        <v>66</v>
      </c>
    </row>
    <row r="40" spans="1:7" ht="43.2" x14ac:dyDescent="0.3">
      <c r="A40" s="200" t="s">
        <v>85</v>
      </c>
      <c r="B40" s="197" t="s">
        <v>86</v>
      </c>
      <c r="C40" s="328" t="s">
        <v>87</v>
      </c>
    </row>
    <row r="41" spans="1:7" x14ac:dyDescent="0.3">
      <c r="A41" s="200" t="s">
        <v>85</v>
      </c>
      <c r="B41" s="197" t="s">
        <v>88</v>
      </c>
      <c r="C41" s="331" t="s">
        <v>15</v>
      </c>
    </row>
    <row r="42" spans="1:7" x14ac:dyDescent="0.3">
      <c r="A42" s="200" t="s">
        <v>85</v>
      </c>
      <c r="B42" s="197" t="s">
        <v>89</v>
      </c>
      <c r="C42" s="331" t="s">
        <v>15</v>
      </c>
    </row>
    <row r="43" spans="1:7" x14ac:dyDescent="0.3">
      <c r="A43" s="200" t="s">
        <v>85</v>
      </c>
      <c r="B43" s="197" t="s">
        <v>90</v>
      </c>
      <c r="C43" s="331" t="s">
        <v>15</v>
      </c>
    </row>
    <row r="44" spans="1:7" x14ac:dyDescent="0.3">
      <c r="A44" s="200" t="s">
        <v>85</v>
      </c>
      <c r="B44" s="197" t="s">
        <v>91</v>
      </c>
      <c r="C44" s="331" t="s">
        <v>15</v>
      </c>
    </row>
    <row r="45" spans="1:7" x14ac:dyDescent="0.3">
      <c r="A45" s="200" t="s">
        <v>85</v>
      </c>
      <c r="B45" s="197" t="s">
        <v>92</v>
      </c>
      <c r="C45" s="331" t="s">
        <v>15</v>
      </c>
    </row>
    <row r="46" spans="1:7" ht="72" x14ac:dyDescent="0.3">
      <c r="A46" s="200" t="s">
        <v>85</v>
      </c>
      <c r="B46" s="377" t="s">
        <v>93</v>
      </c>
      <c r="C46" s="197" t="s">
        <v>23</v>
      </c>
      <c r="D46" s="197" t="s">
        <v>94</v>
      </c>
      <c r="E46" s="197" t="s">
        <v>95</v>
      </c>
    </row>
    <row r="47" spans="1:7" ht="187.2" x14ac:dyDescent="0.3">
      <c r="A47" s="200" t="s">
        <v>85</v>
      </c>
      <c r="B47" s="377" t="s">
        <v>96</v>
      </c>
      <c r="C47" s="197" t="s">
        <v>23</v>
      </c>
      <c r="D47" s="197" t="s">
        <v>97</v>
      </c>
      <c r="E47" s="197" t="s">
        <v>95</v>
      </c>
    </row>
    <row r="48" spans="1:7" ht="100.8" x14ac:dyDescent="0.3">
      <c r="A48" s="200" t="s">
        <v>85</v>
      </c>
      <c r="B48" s="377" t="s">
        <v>98</v>
      </c>
      <c r="C48" s="197" t="s">
        <v>23</v>
      </c>
      <c r="D48" s="197" t="s">
        <v>99</v>
      </c>
    </row>
    <row r="49" spans="1:6" ht="28.8" x14ac:dyDescent="0.3">
      <c r="A49" s="200" t="s">
        <v>85</v>
      </c>
      <c r="B49" s="200" t="s">
        <v>100</v>
      </c>
      <c r="C49" s="462" t="s">
        <v>101</v>
      </c>
    </row>
    <row r="50" spans="1:6" x14ac:dyDescent="0.3">
      <c r="A50" s="200" t="s">
        <v>85</v>
      </c>
      <c r="B50" s="200" t="s">
        <v>102</v>
      </c>
      <c r="C50" s="197" t="s">
        <v>23</v>
      </c>
    </row>
    <row r="51" spans="1:6" ht="28.8" x14ac:dyDescent="0.3">
      <c r="A51" s="200" t="s">
        <v>103</v>
      </c>
      <c r="B51" s="197" t="s">
        <v>104</v>
      </c>
      <c r="C51" s="197" t="s">
        <v>23</v>
      </c>
      <c r="D51" s="200" t="s">
        <v>105</v>
      </c>
    </row>
    <row r="52" spans="1:6" x14ac:dyDescent="0.3">
      <c r="A52" s="200" t="s">
        <v>103</v>
      </c>
      <c r="B52" s="197" t="s">
        <v>106</v>
      </c>
      <c r="C52" s="197" t="s">
        <v>23</v>
      </c>
      <c r="D52" s="200" t="s">
        <v>107</v>
      </c>
    </row>
    <row r="53" spans="1:6" ht="86.4" x14ac:dyDescent="0.3">
      <c r="A53" s="200" t="s">
        <v>103</v>
      </c>
      <c r="B53" s="197" t="s">
        <v>108</v>
      </c>
      <c r="C53" s="462" t="s">
        <v>109</v>
      </c>
      <c r="E53" s="15" t="s">
        <v>110</v>
      </c>
    </row>
    <row r="54" spans="1:6" x14ac:dyDescent="0.3">
      <c r="A54" s="200" t="s">
        <v>103</v>
      </c>
      <c r="B54" s="197" t="s">
        <v>111</v>
      </c>
      <c r="C54" s="197" t="s">
        <v>23</v>
      </c>
      <c r="D54" s="200" t="s">
        <v>36</v>
      </c>
    </row>
    <row r="55" spans="1:6" ht="43.2" x14ac:dyDescent="0.3">
      <c r="A55" s="200" t="s">
        <v>103</v>
      </c>
      <c r="B55" s="197" t="s">
        <v>112</v>
      </c>
      <c r="C55" s="197" t="s">
        <v>113</v>
      </c>
      <c r="D55" s="197" t="s">
        <v>114</v>
      </c>
      <c r="E55" s="217" t="s">
        <v>115</v>
      </c>
    </row>
    <row r="56" spans="1:6" ht="28.8" x14ac:dyDescent="0.3">
      <c r="A56" s="200" t="s">
        <v>103</v>
      </c>
      <c r="B56" s="197" t="s">
        <v>116</v>
      </c>
      <c r="C56" s="197" t="s">
        <v>113</v>
      </c>
      <c r="D56" s="197" t="s">
        <v>117</v>
      </c>
    </row>
    <row r="57" spans="1:6" ht="28.8" x14ac:dyDescent="0.3">
      <c r="A57" s="200" t="s">
        <v>103</v>
      </c>
      <c r="B57" s="197" t="s">
        <v>118</v>
      </c>
      <c r="C57" s="197" t="s">
        <v>23</v>
      </c>
      <c r="D57" s="197" t="s">
        <v>119</v>
      </c>
    </row>
    <row r="58" spans="1:6" ht="28.8" x14ac:dyDescent="0.3">
      <c r="A58" s="200" t="s">
        <v>103</v>
      </c>
      <c r="B58" s="197" t="s">
        <v>120</v>
      </c>
      <c r="C58" s="197" t="s">
        <v>23</v>
      </c>
      <c r="D58" s="200" t="s">
        <v>121</v>
      </c>
    </row>
    <row r="59" spans="1:6" x14ac:dyDescent="0.3">
      <c r="A59" s="200" t="s">
        <v>103</v>
      </c>
      <c r="B59" s="197" t="s">
        <v>122</v>
      </c>
      <c r="C59" s="197" t="s">
        <v>23</v>
      </c>
      <c r="D59" s="200" t="s">
        <v>123</v>
      </c>
    </row>
    <row r="60" spans="1:6" ht="43.2" x14ac:dyDescent="0.3">
      <c r="A60" s="200" t="s">
        <v>103</v>
      </c>
      <c r="B60" s="241" t="s">
        <v>124</v>
      </c>
      <c r="C60" s="197" t="s">
        <v>23</v>
      </c>
      <c r="D60" s="197" t="s">
        <v>125</v>
      </c>
    </row>
    <row r="61" spans="1:6" x14ac:dyDescent="0.3">
      <c r="A61" s="200" t="s">
        <v>103</v>
      </c>
      <c r="B61" s="197" t="s">
        <v>126</v>
      </c>
      <c r="C61" s="197" t="s">
        <v>23</v>
      </c>
    </row>
    <row r="62" spans="1:6" ht="126.75" customHeight="1" x14ac:dyDescent="0.3">
      <c r="A62" s="200" t="s">
        <v>103</v>
      </c>
      <c r="B62" s="200" t="s">
        <v>127</v>
      </c>
      <c r="C62" s="462" t="s">
        <v>128</v>
      </c>
    </row>
    <row r="63" spans="1:6" x14ac:dyDescent="0.3">
      <c r="A63" s="200" t="s">
        <v>103</v>
      </c>
      <c r="B63" s="197" t="s">
        <v>129</v>
      </c>
      <c r="C63" s="197" t="s">
        <v>23</v>
      </c>
      <c r="D63" s="200" t="s">
        <v>130</v>
      </c>
      <c r="F63" s="200" t="s">
        <v>131</v>
      </c>
    </row>
    <row r="64" spans="1:6" x14ac:dyDescent="0.3">
      <c r="A64" s="200" t="s">
        <v>103</v>
      </c>
      <c r="B64" s="197" t="s">
        <v>132</v>
      </c>
      <c r="C64" s="197" t="s">
        <v>23</v>
      </c>
      <c r="D64" s="200" t="s">
        <v>130</v>
      </c>
    </row>
    <row r="65" spans="1:4" x14ac:dyDescent="0.3">
      <c r="A65" s="200" t="s">
        <v>103</v>
      </c>
      <c r="B65" s="197" t="s">
        <v>133</v>
      </c>
      <c r="C65" s="197" t="s">
        <v>23</v>
      </c>
      <c r="D65" s="200" t="s">
        <v>134</v>
      </c>
    </row>
    <row r="66" spans="1:4" x14ac:dyDescent="0.3">
      <c r="A66" s="200" t="s">
        <v>103</v>
      </c>
      <c r="B66" s="197" t="s">
        <v>135</v>
      </c>
      <c r="C66" s="197" t="s">
        <v>23</v>
      </c>
      <c r="D66" s="200" t="s">
        <v>136</v>
      </c>
    </row>
    <row r="67" spans="1:4" x14ac:dyDescent="0.3">
      <c r="A67" s="200" t="s">
        <v>103</v>
      </c>
      <c r="B67" s="197" t="s">
        <v>137</v>
      </c>
      <c r="C67" s="197" t="s">
        <v>23</v>
      </c>
    </row>
    <row r="68" spans="1:4" ht="28.8" x14ac:dyDescent="0.3">
      <c r="A68" s="200" t="s">
        <v>103</v>
      </c>
      <c r="B68" s="197" t="s">
        <v>138</v>
      </c>
      <c r="C68" s="462" t="s">
        <v>139</v>
      </c>
      <c r="D68" s="200" t="s">
        <v>140</v>
      </c>
    </row>
  </sheetData>
  <autoFilter ref="A1:G68" xr:uid="{C0B0D4DF-40B6-4F93-B4E5-0172A7DF0555}"/>
  <phoneticPr fontId="10" type="noConversion"/>
  <hyperlinks>
    <hyperlink ref="E55" r:id="rId1" xr:uid="{46B0E1AB-2232-4BC7-8358-994FE256B53D}"/>
  </hyperlinks>
  <pageMargins left="0.7" right="0.7" top="0.75" bottom="0.75" header="0.3" footer="0.3"/>
  <pageSetup orientation="portrait" horizontalDpi="300"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0AC3C-B133-4DB3-8911-751757E8F45F}">
  <sheetPr codeName="Sheet1" filterMode="1"/>
  <dimension ref="A1:N186"/>
  <sheetViews>
    <sheetView workbookViewId="0"/>
  </sheetViews>
  <sheetFormatPr defaultRowHeight="14.4" x14ac:dyDescent="0.3"/>
  <cols>
    <col min="1" max="1" width="48.6640625" customWidth="1"/>
    <col min="2" max="2" width="21.44140625" style="32" customWidth="1"/>
    <col min="3" max="3" width="44.33203125" style="15" customWidth="1"/>
    <col min="4" max="4" width="30.109375" style="32" customWidth="1"/>
    <col min="5" max="5" width="19" style="171" customWidth="1"/>
    <col min="6" max="6" width="19" style="177" hidden="1" customWidth="1"/>
    <col min="7" max="7" width="43.44140625" style="170" customWidth="1"/>
    <col min="8" max="8" width="19" customWidth="1"/>
    <col min="9" max="9" width="19" style="170" customWidth="1"/>
    <col min="10" max="10" width="25.33203125" style="170" customWidth="1"/>
    <col min="11" max="11" width="15.5546875" customWidth="1"/>
    <col min="12" max="12" width="71.88671875" style="25" bestFit="1" customWidth="1"/>
    <col min="13" max="13" width="34.33203125" customWidth="1"/>
    <col min="14" max="14" width="8.33203125" style="15" customWidth="1"/>
  </cols>
  <sheetData>
    <row r="1" spans="1:14" ht="28.8" x14ac:dyDescent="0.3">
      <c r="A1" s="319" t="s">
        <v>141</v>
      </c>
      <c r="C1"/>
    </row>
    <row r="2" spans="1:14" s="92" customFormat="1" ht="86.25" customHeight="1" x14ac:dyDescent="0.3">
      <c r="A2" s="88" t="s">
        <v>142</v>
      </c>
      <c r="B2" s="89" t="s">
        <v>143</v>
      </c>
      <c r="C2" s="88" t="s">
        <v>144</v>
      </c>
      <c r="D2" s="89" t="s">
        <v>145</v>
      </c>
      <c r="E2" s="248" t="s">
        <v>146</v>
      </c>
      <c r="F2" s="178" t="s">
        <v>147</v>
      </c>
      <c r="G2" s="89" t="s">
        <v>148</v>
      </c>
      <c r="H2" s="289" t="s">
        <v>149</v>
      </c>
      <c r="I2" s="89" t="s">
        <v>150</v>
      </c>
      <c r="J2" s="89" t="s">
        <v>151</v>
      </c>
      <c r="K2" s="88" t="s">
        <v>152</v>
      </c>
      <c r="L2" s="90" t="s">
        <v>153</v>
      </c>
      <c r="M2" s="88" t="s">
        <v>154</v>
      </c>
      <c r="N2" s="91"/>
    </row>
    <row r="3" spans="1:14" hidden="1" x14ac:dyDescent="0.3">
      <c r="A3" t="s">
        <v>155</v>
      </c>
      <c r="B3" s="33" t="s">
        <v>156</v>
      </c>
      <c r="C3" s="5" t="s">
        <v>157</v>
      </c>
      <c r="D3" s="33" t="s">
        <v>158</v>
      </c>
      <c r="E3" s="96" t="s">
        <v>159</v>
      </c>
      <c r="F3" s="96"/>
      <c r="G3" s="13" t="s">
        <v>85</v>
      </c>
      <c r="H3" s="13" t="s">
        <v>160</v>
      </c>
      <c r="I3" s="13" t="s">
        <v>161</v>
      </c>
      <c r="J3" s="13" t="s">
        <v>162</v>
      </c>
      <c r="K3" s="2" t="s">
        <v>163</v>
      </c>
      <c r="L3" s="27"/>
      <c r="M3" s="2"/>
    </row>
    <row r="4" spans="1:14" hidden="1" x14ac:dyDescent="0.3">
      <c r="A4" t="s">
        <v>155</v>
      </c>
      <c r="B4" s="33" t="s">
        <v>164</v>
      </c>
      <c r="C4" s="5" t="s">
        <v>165</v>
      </c>
      <c r="D4" s="33" t="s">
        <v>158</v>
      </c>
      <c r="E4" s="96" t="s">
        <v>159</v>
      </c>
      <c r="F4" s="179" t="s">
        <v>166</v>
      </c>
      <c r="G4" s="13" t="s">
        <v>167</v>
      </c>
      <c r="H4" s="13" t="s">
        <v>160</v>
      </c>
      <c r="I4" s="13" t="s">
        <v>168</v>
      </c>
      <c r="J4" s="13" t="s">
        <v>162</v>
      </c>
      <c r="K4" s="2" t="s">
        <v>163</v>
      </c>
      <c r="L4" s="22" t="s">
        <v>169</v>
      </c>
      <c r="M4" s="2"/>
    </row>
    <row r="5" spans="1:14" hidden="1" x14ac:dyDescent="0.3">
      <c r="A5" t="s">
        <v>155</v>
      </c>
      <c r="B5" s="33" t="s">
        <v>170</v>
      </c>
      <c r="C5" s="5" t="s">
        <v>171</v>
      </c>
      <c r="D5" s="33" t="s">
        <v>158</v>
      </c>
      <c r="E5" s="96" t="s">
        <v>159</v>
      </c>
      <c r="F5" s="179" t="s">
        <v>166</v>
      </c>
      <c r="G5" s="13" t="s">
        <v>167</v>
      </c>
      <c r="H5" s="13" t="s">
        <v>160</v>
      </c>
      <c r="I5" s="13" t="s">
        <v>168</v>
      </c>
      <c r="J5" s="259" t="s">
        <v>172</v>
      </c>
      <c r="K5" s="2" t="s">
        <v>163</v>
      </c>
      <c r="L5" s="22" t="s">
        <v>169</v>
      </c>
      <c r="M5" s="2"/>
    </row>
    <row r="6" spans="1:14" hidden="1" x14ac:dyDescent="0.3">
      <c r="A6" t="s">
        <v>155</v>
      </c>
      <c r="B6" s="33" t="s">
        <v>173</v>
      </c>
      <c r="C6" s="5" t="s">
        <v>174</v>
      </c>
      <c r="D6" s="33" t="s">
        <v>158</v>
      </c>
      <c r="E6" s="96" t="s">
        <v>159</v>
      </c>
      <c r="F6" s="96"/>
      <c r="G6" s="13" t="s">
        <v>45</v>
      </c>
      <c r="H6" s="13" t="s">
        <v>175</v>
      </c>
      <c r="I6" s="13"/>
      <c r="J6" s="259" t="s">
        <v>172</v>
      </c>
      <c r="K6" s="2" t="s">
        <v>163</v>
      </c>
      <c r="L6" s="22"/>
      <c r="M6" s="2"/>
    </row>
    <row r="7" spans="1:14" ht="28.8" hidden="1" x14ac:dyDescent="0.3">
      <c r="A7" t="s">
        <v>155</v>
      </c>
      <c r="B7" s="33" t="s">
        <v>176</v>
      </c>
      <c r="C7" s="5" t="s">
        <v>177</v>
      </c>
      <c r="D7" s="33" t="s">
        <v>158</v>
      </c>
      <c r="E7" s="96" t="s">
        <v>159</v>
      </c>
      <c r="F7" s="179" t="s">
        <v>166</v>
      </c>
      <c r="G7" s="13" t="s">
        <v>45</v>
      </c>
      <c r="H7" s="13" t="s">
        <v>178</v>
      </c>
      <c r="I7" s="13" t="s">
        <v>179</v>
      </c>
      <c r="J7" s="259" t="s">
        <v>180</v>
      </c>
      <c r="K7" s="2" t="s">
        <v>163</v>
      </c>
      <c r="L7" s="22"/>
      <c r="M7" s="2"/>
    </row>
    <row r="8" spans="1:14" hidden="1" x14ac:dyDescent="0.3">
      <c r="A8" t="s">
        <v>155</v>
      </c>
      <c r="B8" s="33" t="s">
        <v>181</v>
      </c>
      <c r="C8" s="5" t="s">
        <v>182</v>
      </c>
      <c r="D8" s="33" t="s">
        <v>158</v>
      </c>
      <c r="E8" s="96" t="s">
        <v>183</v>
      </c>
      <c r="F8" s="179" t="s">
        <v>166</v>
      </c>
      <c r="G8" s="256"/>
      <c r="H8" s="285"/>
      <c r="I8" s="256"/>
      <c r="J8" s="256"/>
      <c r="K8" s="2" t="s">
        <v>163</v>
      </c>
      <c r="L8" s="22"/>
      <c r="M8" s="2"/>
    </row>
    <row r="9" spans="1:14" hidden="1" x14ac:dyDescent="0.3">
      <c r="A9" t="s">
        <v>155</v>
      </c>
      <c r="B9" s="33" t="s">
        <v>184</v>
      </c>
      <c r="C9" s="5" t="s">
        <v>185</v>
      </c>
      <c r="D9" s="33" t="s">
        <v>158</v>
      </c>
      <c r="E9" s="96" t="s">
        <v>159</v>
      </c>
      <c r="F9" s="179" t="s">
        <v>166</v>
      </c>
      <c r="G9" s="13" t="s">
        <v>167</v>
      </c>
      <c r="H9" s="13" t="s">
        <v>160</v>
      </c>
      <c r="I9" s="13" t="s">
        <v>168</v>
      </c>
      <c r="J9" s="259" t="s">
        <v>172</v>
      </c>
      <c r="K9" s="2" t="s">
        <v>163</v>
      </c>
      <c r="L9" s="22"/>
      <c r="M9" s="2"/>
    </row>
    <row r="10" spans="1:14" hidden="1" x14ac:dyDescent="0.3">
      <c r="A10" t="s">
        <v>155</v>
      </c>
      <c r="B10" s="33" t="s">
        <v>186</v>
      </c>
      <c r="C10" s="5" t="s">
        <v>187</v>
      </c>
      <c r="D10" s="33" t="s">
        <v>158</v>
      </c>
      <c r="E10" s="96" t="s">
        <v>159</v>
      </c>
      <c r="F10" s="179" t="s">
        <v>166</v>
      </c>
      <c r="G10" s="13" t="s">
        <v>167</v>
      </c>
      <c r="H10" s="13" t="s">
        <v>160</v>
      </c>
      <c r="I10" s="13" t="s">
        <v>168</v>
      </c>
      <c r="J10" s="259" t="s">
        <v>172</v>
      </c>
      <c r="K10" s="2" t="s">
        <v>163</v>
      </c>
      <c r="L10" s="22"/>
      <c r="M10" s="2"/>
    </row>
    <row r="11" spans="1:14" hidden="1" x14ac:dyDescent="0.3">
      <c r="A11" t="s">
        <v>155</v>
      </c>
      <c r="B11" s="33" t="s">
        <v>188</v>
      </c>
      <c r="C11" s="5" t="s">
        <v>189</v>
      </c>
      <c r="D11" s="33" t="s">
        <v>158</v>
      </c>
      <c r="E11" s="96" t="s">
        <v>159</v>
      </c>
      <c r="F11" s="96"/>
      <c r="G11" s="13" t="s">
        <v>190</v>
      </c>
      <c r="H11" s="257" t="s">
        <v>191</v>
      </c>
      <c r="I11" s="13" t="s">
        <v>192</v>
      </c>
      <c r="J11" s="13" t="s">
        <v>193</v>
      </c>
      <c r="K11" s="2" t="s">
        <v>163</v>
      </c>
      <c r="L11" s="22" t="s">
        <v>194</v>
      </c>
      <c r="M11" s="2"/>
    </row>
    <row r="12" spans="1:14" hidden="1" x14ac:dyDescent="0.3">
      <c r="A12" t="s">
        <v>155</v>
      </c>
      <c r="B12" s="33" t="s">
        <v>195</v>
      </c>
      <c r="C12" s="5" t="s">
        <v>196</v>
      </c>
      <c r="D12" s="33" t="s">
        <v>158</v>
      </c>
      <c r="E12" s="96" t="s">
        <v>159</v>
      </c>
      <c r="F12" s="179" t="s">
        <v>166</v>
      </c>
      <c r="G12" s="13" t="s">
        <v>103</v>
      </c>
      <c r="H12" s="13" t="s">
        <v>197</v>
      </c>
      <c r="I12" s="13"/>
      <c r="J12" s="259" t="s">
        <v>180</v>
      </c>
      <c r="K12" s="2" t="s">
        <v>163</v>
      </c>
      <c r="L12" s="22"/>
      <c r="M12" s="2"/>
    </row>
    <row r="13" spans="1:14" ht="144" hidden="1" x14ac:dyDescent="0.3">
      <c r="A13" t="s">
        <v>155</v>
      </c>
      <c r="B13" s="33" t="s">
        <v>198</v>
      </c>
      <c r="C13" s="5" t="s">
        <v>199</v>
      </c>
      <c r="D13" s="33" t="s">
        <v>200</v>
      </c>
      <c r="E13" s="96" t="s">
        <v>183</v>
      </c>
      <c r="F13" s="179" t="s">
        <v>166</v>
      </c>
      <c r="G13" s="13"/>
      <c r="H13" s="2"/>
      <c r="I13" s="13"/>
      <c r="J13" s="13"/>
      <c r="K13" s="2" t="s">
        <v>163</v>
      </c>
      <c r="L13" s="22"/>
      <c r="M13" s="2"/>
    </row>
    <row r="14" spans="1:14" ht="104.25" hidden="1" customHeight="1" x14ac:dyDescent="0.3">
      <c r="A14" t="s">
        <v>155</v>
      </c>
      <c r="B14" s="33" t="s">
        <v>201</v>
      </c>
      <c r="C14" s="5" t="s">
        <v>202</v>
      </c>
      <c r="D14" s="33" t="s">
        <v>203</v>
      </c>
      <c r="E14" s="96" t="s">
        <v>204</v>
      </c>
      <c r="F14" s="96"/>
      <c r="G14" s="13" t="s">
        <v>204</v>
      </c>
      <c r="H14" s="2" t="s">
        <v>204</v>
      </c>
      <c r="I14" s="13" t="s">
        <v>204</v>
      </c>
      <c r="J14" s="258" t="s">
        <v>204</v>
      </c>
      <c r="K14" s="2">
        <v>-0.1</v>
      </c>
      <c r="L14" s="96" t="s">
        <v>205</v>
      </c>
      <c r="M14" s="2"/>
    </row>
    <row r="15" spans="1:14" ht="43.2" hidden="1" x14ac:dyDescent="0.3">
      <c r="A15" t="s">
        <v>155</v>
      </c>
      <c r="B15" s="33" t="s">
        <v>206</v>
      </c>
      <c r="C15" s="5" t="s">
        <v>207</v>
      </c>
      <c r="D15" s="33" t="s">
        <v>208</v>
      </c>
      <c r="E15" s="96" t="s">
        <v>159</v>
      </c>
      <c r="F15" s="179" t="s">
        <v>166</v>
      </c>
      <c r="G15" s="13" t="s">
        <v>103</v>
      </c>
      <c r="H15" s="2" t="s">
        <v>209</v>
      </c>
      <c r="I15" s="13" t="s">
        <v>210</v>
      </c>
      <c r="J15" s="259" t="s">
        <v>172</v>
      </c>
      <c r="K15" s="2"/>
      <c r="L15" s="22" t="s">
        <v>211</v>
      </c>
      <c r="M15" s="2"/>
    </row>
    <row r="16" spans="1:14" hidden="1" x14ac:dyDescent="0.3">
      <c r="A16" t="s">
        <v>155</v>
      </c>
      <c r="B16" s="33" t="s">
        <v>212</v>
      </c>
      <c r="C16" s="5" t="s">
        <v>213</v>
      </c>
      <c r="D16" s="33" t="s">
        <v>158</v>
      </c>
      <c r="E16" s="96" t="s">
        <v>159</v>
      </c>
      <c r="F16" s="96"/>
      <c r="G16" s="13" t="s">
        <v>45</v>
      </c>
      <c r="H16" s="258" t="s">
        <v>214</v>
      </c>
      <c r="I16" s="13"/>
      <c r="J16" s="259" t="s">
        <v>172</v>
      </c>
      <c r="K16" s="2" t="s">
        <v>215</v>
      </c>
      <c r="L16" s="22" t="s">
        <v>216</v>
      </c>
      <c r="M16" s="2"/>
    </row>
    <row r="17" spans="1:13" hidden="1" x14ac:dyDescent="0.3">
      <c r="A17" t="s">
        <v>155</v>
      </c>
      <c r="B17" s="33" t="s">
        <v>217</v>
      </c>
      <c r="C17" s="5" t="s">
        <v>218</v>
      </c>
      <c r="D17" s="33" t="s">
        <v>158</v>
      </c>
      <c r="E17" s="96" t="s">
        <v>159</v>
      </c>
      <c r="F17" s="96"/>
      <c r="G17" s="13" t="s">
        <v>45</v>
      </c>
      <c r="H17" s="258" t="s">
        <v>214</v>
      </c>
      <c r="I17" s="13"/>
      <c r="J17" s="259" t="s">
        <v>172</v>
      </c>
      <c r="K17" s="2" t="s">
        <v>215</v>
      </c>
      <c r="L17" s="22" t="s">
        <v>216</v>
      </c>
      <c r="M17" s="2"/>
    </row>
    <row r="18" spans="1:13" hidden="1" x14ac:dyDescent="0.3">
      <c r="A18" t="s">
        <v>155</v>
      </c>
      <c r="B18" s="33" t="s">
        <v>219</v>
      </c>
      <c r="C18" s="5" t="s">
        <v>220</v>
      </c>
      <c r="D18" s="33" t="s">
        <v>158</v>
      </c>
      <c r="E18" s="96" t="s">
        <v>159</v>
      </c>
      <c r="F18" s="96"/>
      <c r="G18" s="13" t="s">
        <v>45</v>
      </c>
      <c r="H18" s="258" t="s">
        <v>214</v>
      </c>
      <c r="I18" s="13"/>
      <c r="J18" s="13" t="s">
        <v>162</v>
      </c>
      <c r="K18" s="2"/>
      <c r="L18" s="22" t="s">
        <v>216</v>
      </c>
      <c r="M18" s="2"/>
    </row>
    <row r="19" spans="1:13" ht="28.8" hidden="1" x14ac:dyDescent="0.3">
      <c r="A19" t="s">
        <v>155</v>
      </c>
      <c r="B19" s="33" t="s">
        <v>221</v>
      </c>
      <c r="C19" s="5" t="s">
        <v>222</v>
      </c>
      <c r="D19" s="33" t="s">
        <v>223</v>
      </c>
      <c r="E19" s="96" t="s">
        <v>204</v>
      </c>
      <c r="F19" s="179"/>
      <c r="G19" s="257" t="s">
        <v>204</v>
      </c>
      <c r="H19" s="257" t="s">
        <v>204</v>
      </c>
      <c r="I19" s="257" t="s">
        <v>204</v>
      </c>
      <c r="J19" s="257" t="s">
        <v>204</v>
      </c>
      <c r="K19" s="2"/>
      <c r="L19" s="4" t="s">
        <v>224</v>
      </c>
      <c r="M19" s="2"/>
    </row>
    <row r="20" spans="1:13" ht="43.2" hidden="1" x14ac:dyDescent="0.3">
      <c r="A20" t="s">
        <v>155</v>
      </c>
      <c r="B20" s="33" t="s">
        <v>225</v>
      </c>
      <c r="C20" s="5" t="s">
        <v>226</v>
      </c>
      <c r="D20" s="33" t="s">
        <v>158</v>
      </c>
      <c r="E20" s="96" t="s">
        <v>159</v>
      </c>
      <c r="F20" s="96"/>
      <c r="G20" s="13" t="s">
        <v>45</v>
      </c>
      <c r="H20" s="258" t="s">
        <v>227</v>
      </c>
      <c r="I20" s="258"/>
      <c r="J20" s="259" t="s">
        <v>172</v>
      </c>
      <c r="K20" s="2"/>
      <c r="L20" s="23" t="s">
        <v>228</v>
      </c>
      <c r="M20" s="2"/>
    </row>
    <row r="21" spans="1:13" ht="43.2" hidden="1" x14ac:dyDescent="0.3">
      <c r="A21" t="s">
        <v>155</v>
      </c>
      <c r="B21" s="33" t="s">
        <v>229</v>
      </c>
      <c r="C21" s="5" t="s">
        <v>230</v>
      </c>
      <c r="D21" s="33" t="s">
        <v>158</v>
      </c>
      <c r="E21" s="96" t="s">
        <v>159</v>
      </c>
      <c r="F21" s="96"/>
      <c r="G21" s="13" t="s">
        <v>45</v>
      </c>
      <c r="H21" s="258" t="s">
        <v>227</v>
      </c>
      <c r="I21" s="258"/>
      <c r="J21" s="259" t="s">
        <v>172</v>
      </c>
      <c r="K21" s="2"/>
      <c r="L21" s="23" t="s">
        <v>228</v>
      </c>
      <c r="M21" s="2"/>
    </row>
    <row r="22" spans="1:13" ht="43.2" hidden="1" x14ac:dyDescent="0.3">
      <c r="A22" t="s">
        <v>155</v>
      </c>
      <c r="B22" s="33" t="s">
        <v>231</v>
      </c>
      <c r="C22" s="5" t="s">
        <v>232</v>
      </c>
      <c r="D22" s="33" t="s">
        <v>158</v>
      </c>
      <c r="E22" s="96" t="s">
        <v>159</v>
      </c>
      <c r="F22" s="96"/>
      <c r="G22" s="13" t="s">
        <v>45</v>
      </c>
      <c r="H22" s="258" t="s">
        <v>227</v>
      </c>
      <c r="I22" s="258"/>
      <c r="J22" s="259" t="s">
        <v>172</v>
      </c>
      <c r="K22" s="2"/>
      <c r="L22" s="23" t="s">
        <v>228</v>
      </c>
      <c r="M22" s="2"/>
    </row>
    <row r="23" spans="1:13" ht="43.2" hidden="1" x14ac:dyDescent="0.3">
      <c r="A23" t="s">
        <v>155</v>
      </c>
      <c r="B23" s="33" t="s">
        <v>233</v>
      </c>
      <c r="C23" s="5" t="s">
        <v>234</v>
      </c>
      <c r="D23" s="33" t="s">
        <v>158</v>
      </c>
      <c r="E23" s="96" t="s">
        <v>159</v>
      </c>
      <c r="F23" s="179" t="s">
        <v>166</v>
      </c>
      <c r="G23" s="13" t="s">
        <v>45</v>
      </c>
      <c r="H23" s="258" t="s">
        <v>214</v>
      </c>
      <c r="I23" s="258"/>
      <c r="J23" s="13" t="s">
        <v>162</v>
      </c>
      <c r="K23" s="2"/>
      <c r="L23" s="23" t="s">
        <v>228</v>
      </c>
      <c r="M23" s="2"/>
    </row>
    <row r="24" spans="1:13" ht="43.2" hidden="1" x14ac:dyDescent="0.3">
      <c r="A24" t="s">
        <v>155</v>
      </c>
      <c r="B24" s="33" t="s">
        <v>235</v>
      </c>
      <c r="C24" s="5" t="s">
        <v>236</v>
      </c>
      <c r="D24" s="33" t="s">
        <v>158</v>
      </c>
      <c r="E24" s="96" t="s">
        <v>159</v>
      </c>
      <c r="F24" s="179" t="s">
        <v>166</v>
      </c>
      <c r="G24" s="13" t="s">
        <v>45</v>
      </c>
      <c r="H24" s="258" t="s">
        <v>214</v>
      </c>
      <c r="I24" s="258"/>
      <c r="J24" s="13" t="s">
        <v>162</v>
      </c>
      <c r="K24" s="2"/>
      <c r="L24" s="23" t="s">
        <v>228</v>
      </c>
      <c r="M24" s="2"/>
    </row>
    <row r="25" spans="1:13" ht="43.2" hidden="1" x14ac:dyDescent="0.3">
      <c r="A25" t="s">
        <v>155</v>
      </c>
      <c r="B25" s="33" t="s">
        <v>237</v>
      </c>
      <c r="C25" s="5" t="s">
        <v>238</v>
      </c>
      <c r="D25" s="33" t="s">
        <v>158</v>
      </c>
      <c r="E25" s="96" t="s">
        <v>159</v>
      </c>
      <c r="F25" s="96"/>
      <c r="G25" s="13" t="s">
        <v>45</v>
      </c>
      <c r="H25" s="258" t="s">
        <v>239</v>
      </c>
      <c r="I25" s="258"/>
      <c r="J25" s="259" t="s">
        <v>172</v>
      </c>
      <c r="K25" s="2"/>
      <c r="L25" s="23"/>
      <c r="M25" s="2"/>
    </row>
    <row r="26" spans="1:13" ht="43.2" hidden="1" x14ac:dyDescent="0.3">
      <c r="A26" t="s">
        <v>155</v>
      </c>
      <c r="B26" s="33" t="s">
        <v>240</v>
      </c>
      <c r="C26" s="5" t="s">
        <v>241</v>
      </c>
      <c r="D26" s="33" t="s">
        <v>158</v>
      </c>
      <c r="E26" s="96" t="s">
        <v>159</v>
      </c>
      <c r="F26" s="96"/>
      <c r="G26" s="13" t="s">
        <v>45</v>
      </c>
      <c r="H26" s="258" t="s">
        <v>239</v>
      </c>
      <c r="I26" s="258"/>
      <c r="J26" s="259" t="s">
        <v>172</v>
      </c>
      <c r="K26" s="2"/>
      <c r="L26" s="23"/>
      <c r="M26" s="2"/>
    </row>
    <row r="27" spans="1:13" ht="43.2" hidden="1" x14ac:dyDescent="0.3">
      <c r="A27" t="s">
        <v>155</v>
      </c>
      <c r="B27" s="33" t="s">
        <v>242</v>
      </c>
      <c r="C27" s="5" t="s">
        <v>243</v>
      </c>
      <c r="D27" s="33" t="s">
        <v>158</v>
      </c>
      <c r="E27" s="96" t="s">
        <v>159</v>
      </c>
      <c r="F27" s="96"/>
      <c r="G27" s="13" t="s">
        <v>45</v>
      </c>
      <c r="H27" s="258" t="s">
        <v>239</v>
      </c>
      <c r="I27" s="258"/>
      <c r="J27" s="259" t="s">
        <v>172</v>
      </c>
      <c r="K27" s="2"/>
      <c r="L27" s="23"/>
      <c r="M27" s="2"/>
    </row>
    <row r="28" spans="1:13" ht="28.8" hidden="1" x14ac:dyDescent="0.3">
      <c r="A28" t="s">
        <v>155</v>
      </c>
      <c r="B28" s="33" t="s">
        <v>244</v>
      </c>
      <c r="C28" s="5" t="s">
        <v>245</v>
      </c>
      <c r="D28" s="33" t="s">
        <v>158</v>
      </c>
      <c r="E28" s="96" t="s">
        <v>159</v>
      </c>
      <c r="F28" s="179" t="s">
        <v>166</v>
      </c>
      <c r="G28" s="13" t="s">
        <v>45</v>
      </c>
      <c r="H28" s="258" t="s">
        <v>214</v>
      </c>
      <c r="I28" s="258"/>
      <c r="J28" s="13" t="s">
        <v>162</v>
      </c>
      <c r="K28" s="2"/>
      <c r="L28" s="23"/>
      <c r="M28" s="2"/>
    </row>
    <row r="29" spans="1:13" ht="43.2" hidden="1" x14ac:dyDescent="0.3">
      <c r="A29" t="s">
        <v>155</v>
      </c>
      <c r="B29" s="33" t="s">
        <v>246</v>
      </c>
      <c r="C29" s="5" t="s">
        <v>247</v>
      </c>
      <c r="D29" s="33" t="s">
        <v>158</v>
      </c>
      <c r="E29" s="96" t="s">
        <v>159</v>
      </c>
      <c r="F29" s="179" t="s">
        <v>166</v>
      </c>
      <c r="G29" s="13" t="s">
        <v>45</v>
      </c>
      <c r="H29" s="258" t="s">
        <v>214</v>
      </c>
      <c r="I29" s="258"/>
      <c r="J29" s="13" t="s">
        <v>162</v>
      </c>
      <c r="K29" s="2"/>
      <c r="L29" s="23"/>
      <c r="M29" s="2"/>
    </row>
    <row r="30" spans="1:13" ht="43.2" hidden="1" x14ac:dyDescent="0.3">
      <c r="A30" t="s">
        <v>155</v>
      </c>
      <c r="B30" s="33" t="s">
        <v>248</v>
      </c>
      <c r="C30" s="5" t="s">
        <v>249</v>
      </c>
      <c r="D30" s="33" t="s">
        <v>158</v>
      </c>
      <c r="E30" s="96" t="s">
        <v>159</v>
      </c>
      <c r="F30" s="35"/>
      <c r="G30" s="258" t="s">
        <v>85</v>
      </c>
      <c r="H30" s="258" t="s">
        <v>250</v>
      </c>
      <c r="I30" s="258"/>
      <c r="J30" s="259" t="s">
        <v>172</v>
      </c>
      <c r="K30" s="2"/>
      <c r="L30" s="23"/>
      <c r="M30" s="2"/>
    </row>
    <row r="31" spans="1:13" ht="57.6" hidden="1" x14ac:dyDescent="0.3">
      <c r="A31" t="s">
        <v>155</v>
      </c>
      <c r="B31" s="33" t="s">
        <v>251</v>
      </c>
      <c r="C31" s="5" t="s">
        <v>252</v>
      </c>
      <c r="D31" s="33" t="s">
        <v>158</v>
      </c>
      <c r="E31" s="96" t="s">
        <v>159</v>
      </c>
      <c r="F31" s="179" t="s">
        <v>166</v>
      </c>
      <c r="G31" s="258" t="s">
        <v>85</v>
      </c>
      <c r="H31" s="258" t="s">
        <v>253</v>
      </c>
      <c r="I31" s="258"/>
      <c r="J31" s="259" t="s">
        <v>172</v>
      </c>
      <c r="K31" s="2"/>
      <c r="L31" s="23"/>
      <c r="M31" s="2"/>
    </row>
    <row r="32" spans="1:13" ht="57.6" hidden="1" x14ac:dyDescent="0.3">
      <c r="A32" t="s">
        <v>155</v>
      </c>
      <c r="B32" s="33" t="s">
        <v>254</v>
      </c>
      <c r="C32" s="5" t="s">
        <v>255</v>
      </c>
      <c r="D32" s="33" t="s">
        <v>158</v>
      </c>
      <c r="E32" s="96" t="s">
        <v>159</v>
      </c>
      <c r="F32" s="179" t="s">
        <v>166</v>
      </c>
      <c r="G32" s="258" t="s">
        <v>85</v>
      </c>
      <c r="H32" s="258" t="s">
        <v>253</v>
      </c>
      <c r="I32" s="258"/>
      <c r="J32" s="259" t="s">
        <v>172</v>
      </c>
      <c r="K32" s="2"/>
      <c r="L32" s="23"/>
      <c r="M32" s="2"/>
    </row>
    <row r="33" spans="1:13" ht="43.2" hidden="1" x14ac:dyDescent="0.3">
      <c r="A33" t="s">
        <v>155</v>
      </c>
      <c r="B33" s="33" t="s">
        <v>256</v>
      </c>
      <c r="C33" s="5" t="s">
        <v>257</v>
      </c>
      <c r="D33" s="33" t="s">
        <v>258</v>
      </c>
      <c r="E33" s="35" t="s">
        <v>159</v>
      </c>
      <c r="F33" s="35"/>
      <c r="G33" s="258" t="s">
        <v>85</v>
      </c>
      <c r="H33" s="258" t="s">
        <v>85</v>
      </c>
      <c r="I33" s="258" t="s">
        <v>259</v>
      </c>
      <c r="J33" s="259" t="s">
        <v>172</v>
      </c>
      <c r="K33" s="2"/>
      <c r="L33" s="23"/>
      <c r="M33" s="2"/>
    </row>
    <row r="34" spans="1:13" hidden="1" x14ac:dyDescent="0.3">
      <c r="A34" t="s">
        <v>155</v>
      </c>
      <c r="B34" s="33" t="s">
        <v>260</v>
      </c>
      <c r="C34" s="5" t="s">
        <v>261</v>
      </c>
      <c r="D34" s="33" t="s">
        <v>158</v>
      </c>
      <c r="E34" s="96" t="s">
        <v>159</v>
      </c>
      <c r="F34" s="179" t="s">
        <v>166</v>
      </c>
      <c r="G34" s="13" t="s">
        <v>45</v>
      </c>
      <c r="H34" s="258" t="s">
        <v>214</v>
      </c>
      <c r="I34" s="258"/>
      <c r="J34" s="259" t="s">
        <v>172</v>
      </c>
      <c r="K34" s="2"/>
      <c r="L34" s="23"/>
      <c r="M34" s="2"/>
    </row>
    <row r="35" spans="1:13" hidden="1" x14ac:dyDescent="0.3">
      <c r="A35" t="s">
        <v>155</v>
      </c>
      <c r="B35" s="33" t="s">
        <v>262</v>
      </c>
      <c r="C35" s="5" t="s">
        <v>263</v>
      </c>
      <c r="D35" s="33" t="s">
        <v>158</v>
      </c>
      <c r="E35" s="96" t="s">
        <v>159</v>
      </c>
      <c r="F35" s="179" t="s">
        <v>166</v>
      </c>
      <c r="G35" s="13" t="s">
        <v>45</v>
      </c>
      <c r="H35" s="258" t="s">
        <v>214</v>
      </c>
      <c r="I35" s="258"/>
      <c r="J35" s="259" t="s">
        <v>172</v>
      </c>
      <c r="K35" s="2"/>
      <c r="L35" s="23"/>
      <c r="M35" s="2"/>
    </row>
    <row r="36" spans="1:13" hidden="1" x14ac:dyDescent="0.3">
      <c r="A36" t="s">
        <v>155</v>
      </c>
      <c r="B36" s="33" t="s">
        <v>264</v>
      </c>
      <c r="C36" s="5" t="s">
        <v>265</v>
      </c>
      <c r="D36" s="33" t="s">
        <v>158</v>
      </c>
      <c r="E36" s="96" t="s">
        <v>159</v>
      </c>
      <c r="F36" s="179" t="s">
        <v>166</v>
      </c>
      <c r="G36" s="258" t="s">
        <v>266</v>
      </c>
      <c r="H36" s="258" t="s">
        <v>267</v>
      </c>
      <c r="I36" s="258"/>
      <c r="J36" s="259" t="s">
        <v>172</v>
      </c>
      <c r="K36" s="2"/>
      <c r="L36" s="23"/>
      <c r="M36" s="2"/>
    </row>
    <row r="37" spans="1:13" hidden="1" x14ac:dyDescent="0.3">
      <c r="A37" t="s">
        <v>155</v>
      </c>
      <c r="B37" s="33" t="s">
        <v>268</v>
      </c>
      <c r="C37" s="5" t="s">
        <v>269</v>
      </c>
      <c r="D37" s="33" t="s">
        <v>158</v>
      </c>
      <c r="E37" s="96" t="s">
        <v>159</v>
      </c>
      <c r="F37" s="179" t="s">
        <v>166</v>
      </c>
      <c r="G37" s="258" t="s">
        <v>266</v>
      </c>
      <c r="H37" s="258" t="s">
        <v>267</v>
      </c>
      <c r="I37" s="258"/>
      <c r="J37" s="259" t="s">
        <v>172</v>
      </c>
      <c r="K37" s="2"/>
      <c r="L37" s="23"/>
      <c r="M37" s="2"/>
    </row>
    <row r="38" spans="1:13" hidden="1" x14ac:dyDescent="0.3">
      <c r="A38" t="s">
        <v>155</v>
      </c>
      <c r="B38" s="33" t="s">
        <v>270</v>
      </c>
      <c r="C38" s="5" t="s">
        <v>271</v>
      </c>
      <c r="D38" s="33" t="s">
        <v>158</v>
      </c>
      <c r="E38" s="96" t="s">
        <v>159</v>
      </c>
      <c r="F38" s="179" t="s">
        <v>166</v>
      </c>
      <c r="G38" s="13" t="s">
        <v>45</v>
      </c>
      <c r="H38" s="258" t="s">
        <v>214</v>
      </c>
      <c r="I38" s="258"/>
      <c r="J38" s="259" t="s">
        <v>172</v>
      </c>
      <c r="K38" s="2"/>
      <c r="L38" s="23"/>
      <c r="M38" s="2"/>
    </row>
    <row r="39" spans="1:13" hidden="1" x14ac:dyDescent="0.3">
      <c r="A39" t="s">
        <v>155</v>
      </c>
      <c r="B39" s="33" t="s">
        <v>272</v>
      </c>
      <c r="C39" s="5" t="s">
        <v>273</v>
      </c>
      <c r="D39" s="33" t="s">
        <v>158</v>
      </c>
      <c r="E39" s="96" t="s">
        <v>159</v>
      </c>
      <c r="F39" s="179" t="s">
        <v>166</v>
      </c>
      <c r="G39" s="13" t="s">
        <v>45</v>
      </c>
      <c r="H39" s="258" t="s">
        <v>214</v>
      </c>
      <c r="I39" s="258"/>
      <c r="J39" s="259" t="s">
        <v>172</v>
      </c>
      <c r="K39" s="2"/>
      <c r="L39" s="23"/>
      <c r="M39" s="2"/>
    </row>
    <row r="40" spans="1:13" ht="28.8" hidden="1" x14ac:dyDescent="0.3">
      <c r="A40" t="s">
        <v>155</v>
      </c>
      <c r="B40" s="33" t="s">
        <v>274</v>
      </c>
      <c r="C40" s="5" t="s">
        <v>275</v>
      </c>
      <c r="D40" s="33" t="s">
        <v>158</v>
      </c>
      <c r="E40" s="96" t="s">
        <v>159</v>
      </c>
      <c r="F40" s="179" t="s">
        <v>166</v>
      </c>
      <c r="G40" s="258" t="s">
        <v>85</v>
      </c>
      <c r="H40" s="258" t="s">
        <v>276</v>
      </c>
      <c r="I40" s="258"/>
      <c r="J40" s="259" t="s">
        <v>172</v>
      </c>
      <c r="K40" s="2"/>
      <c r="L40" s="23" t="s">
        <v>277</v>
      </c>
      <c r="M40" s="2"/>
    </row>
    <row r="41" spans="1:13" hidden="1" x14ac:dyDescent="0.3">
      <c r="A41" t="s">
        <v>155</v>
      </c>
      <c r="B41" s="33" t="s">
        <v>278</v>
      </c>
      <c r="C41" s="5" t="s">
        <v>279</v>
      </c>
      <c r="D41" s="33" t="s">
        <v>280</v>
      </c>
      <c r="E41" s="35" t="s">
        <v>204</v>
      </c>
      <c r="F41" s="35"/>
      <c r="G41" s="35" t="s">
        <v>204</v>
      </c>
      <c r="H41" s="35" t="s">
        <v>204</v>
      </c>
      <c r="I41" s="35" t="s">
        <v>204</v>
      </c>
      <c r="J41" s="35" t="s">
        <v>204</v>
      </c>
      <c r="K41" s="35" t="s">
        <v>204</v>
      </c>
      <c r="L41" s="35" t="s">
        <v>204</v>
      </c>
      <c r="M41" s="35" t="s">
        <v>204</v>
      </c>
    </row>
    <row r="42" spans="1:13" ht="57.6" hidden="1" x14ac:dyDescent="0.3">
      <c r="A42" t="s">
        <v>155</v>
      </c>
      <c r="B42" s="33" t="s">
        <v>281</v>
      </c>
      <c r="C42" s="5" t="s">
        <v>282</v>
      </c>
      <c r="D42" s="33" t="s">
        <v>283</v>
      </c>
      <c r="E42" s="35" t="s">
        <v>183</v>
      </c>
      <c r="F42" s="35"/>
      <c r="G42" s="258"/>
      <c r="H42" s="24"/>
      <c r="I42" s="258"/>
      <c r="J42" s="258"/>
      <c r="K42" s="2"/>
      <c r="L42" s="23"/>
      <c r="M42" s="2"/>
    </row>
    <row r="43" spans="1:13" ht="43.2" hidden="1" x14ac:dyDescent="0.3">
      <c r="A43" t="s">
        <v>155</v>
      </c>
      <c r="B43" s="33" t="s">
        <v>284</v>
      </c>
      <c r="C43" s="5" t="s">
        <v>285</v>
      </c>
      <c r="D43" s="33" t="s">
        <v>286</v>
      </c>
      <c r="E43" s="35" t="s">
        <v>183</v>
      </c>
      <c r="F43" s="96"/>
      <c r="G43" s="267"/>
      <c r="H43" s="24"/>
      <c r="I43" s="258"/>
      <c r="J43" s="258"/>
      <c r="K43" s="2"/>
      <c r="L43" s="23" t="s">
        <v>287</v>
      </c>
      <c r="M43" s="2"/>
    </row>
    <row r="44" spans="1:13" hidden="1" x14ac:dyDescent="0.3">
      <c r="A44" t="s">
        <v>155</v>
      </c>
      <c r="B44" s="33" t="s">
        <v>288</v>
      </c>
      <c r="C44" s="5" t="s">
        <v>289</v>
      </c>
      <c r="D44" s="33" t="s">
        <v>158</v>
      </c>
      <c r="E44" s="35" t="s">
        <v>183</v>
      </c>
      <c r="F44" s="96"/>
      <c r="G44" s="267"/>
      <c r="H44" s="24"/>
      <c r="I44" s="258"/>
      <c r="J44" s="258"/>
      <c r="K44" s="2"/>
      <c r="L44" s="23" t="s">
        <v>287</v>
      </c>
      <c r="M44" s="2"/>
    </row>
    <row r="45" spans="1:13" hidden="1" x14ac:dyDescent="0.3">
      <c r="A45" t="s">
        <v>155</v>
      </c>
      <c r="B45" s="33" t="s">
        <v>290</v>
      </c>
      <c r="C45" s="5" t="s">
        <v>291</v>
      </c>
      <c r="D45" s="33" t="s">
        <v>292</v>
      </c>
      <c r="E45" s="96" t="s">
        <v>204</v>
      </c>
      <c r="F45" s="179" t="s">
        <v>166</v>
      </c>
      <c r="G45" s="256" t="s">
        <v>204</v>
      </c>
      <c r="H45" s="256" t="s">
        <v>204</v>
      </c>
      <c r="I45" s="258"/>
      <c r="J45" s="258"/>
      <c r="K45" s="2"/>
      <c r="L45" s="23"/>
      <c r="M45" s="2"/>
    </row>
    <row r="46" spans="1:13" ht="28.8" hidden="1" x14ac:dyDescent="0.3">
      <c r="A46" t="s">
        <v>155</v>
      </c>
      <c r="B46" s="33" t="s">
        <v>293</v>
      </c>
      <c r="C46" s="5" t="s">
        <v>294</v>
      </c>
      <c r="D46" s="33" t="s">
        <v>158</v>
      </c>
      <c r="E46" s="35" t="s">
        <v>159</v>
      </c>
      <c r="F46" s="35"/>
      <c r="G46" s="258" t="s">
        <v>295</v>
      </c>
      <c r="H46" s="258" t="s">
        <v>253</v>
      </c>
      <c r="I46" s="258"/>
      <c r="J46" s="259" t="s">
        <v>172</v>
      </c>
      <c r="K46" s="2"/>
      <c r="L46" s="23"/>
      <c r="M46" s="2"/>
    </row>
    <row r="47" spans="1:13" ht="57.6" hidden="1" x14ac:dyDescent="0.3">
      <c r="A47" t="s">
        <v>296</v>
      </c>
      <c r="B47" s="33" t="s">
        <v>297</v>
      </c>
      <c r="C47" s="5" t="s">
        <v>298</v>
      </c>
      <c r="D47" s="33" t="s">
        <v>158</v>
      </c>
      <c r="E47" s="96" t="s">
        <v>159</v>
      </c>
      <c r="F47" s="96"/>
      <c r="G47" s="13" t="s">
        <v>103</v>
      </c>
      <c r="H47" s="268" t="s">
        <v>299</v>
      </c>
      <c r="I47" s="258" t="s">
        <v>300</v>
      </c>
      <c r="J47" s="259" t="s">
        <v>172</v>
      </c>
      <c r="K47" s="2"/>
      <c r="L47" s="23" t="s">
        <v>301</v>
      </c>
      <c r="M47" s="2"/>
    </row>
    <row r="48" spans="1:13" hidden="1" x14ac:dyDescent="0.3">
      <c r="A48" t="s">
        <v>296</v>
      </c>
      <c r="B48" s="33" t="s">
        <v>164</v>
      </c>
      <c r="C48" s="5" t="s">
        <v>302</v>
      </c>
      <c r="D48" s="33" t="s">
        <v>158</v>
      </c>
      <c r="E48" s="96" t="s">
        <v>159</v>
      </c>
      <c r="F48" s="35"/>
      <c r="G48" s="13" t="s">
        <v>190</v>
      </c>
      <c r="H48" s="258" t="s">
        <v>191</v>
      </c>
      <c r="I48" s="258"/>
      <c r="J48" s="259" t="s">
        <v>172</v>
      </c>
      <c r="K48" s="2"/>
      <c r="L48" s="23"/>
      <c r="M48" s="2"/>
    </row>
    <row r="49" spans="1:13" hidden="1" x14ac:dyDescent="0.3">
      <c r="A49" t="s">
        <v>296</v>
      </c>
      <c r="B49" s="33" t="s">
        <v>206</v>
      </c>
      <c r="C49" s="5" t="s">
        <v>303</v>
      </c>
      <c r="D49" s="33" t="s">
        <v>158</v>
      </c>
      <c r="E49" s="96" t="s">
        <v>159</v>
      </c>
      <c r="F49" s="35"/>
      <c r="G49" s="13" t="s">
        <v>190</v>
      </c>
      <c r="H49" s="258" t="s">
        <v>191</v>
      </c>
      <c r="I49" s="258"/>
      <c r="J49" s="259" t="s">
        <v>172</v>
      </c>
      <c r="K49" s="2"/>
      <c r="L49" s="23"/>
      <c r="M49" s="2" t="s">
        <v>304</v>
      </c>
    </row>
    <row r="50" spans="1:13" hidden="1" x14ac:dyDescent="0.3">
      <c r="A50" t="s">
        <v>296</v>
      </c>
      <c r="B50" s="33" t="s">
        <v>170</v>
      </c>
      <c r="C50" s="5" t="s">
        <v>305</v>
      </c>
      <c r="D50" s="33" t="s">
        <v>158</v>
      </c>
      <c r="E50" s="96" t="s">
        <v>159</v>
      </c>
      <c r="F50" s="35"/>
      <c r="G50" s="258" t="s">
        <v>266</v>
      </c>
      <c r="H50" s="258" t="s">
        <v>306</v>
      </c>
      <c r="I50" s="258" t="s">
        <v>307</v>
      </c>
      <c r="J50" s="13" t="s">
        <v>308</v>
      </c>
      <c r="K50" s="2"/>
      <c r="L50" s="23"/>
      <c r="M50" s="2"/>
    </row>
    <row r="51" spans="1:13" hidden="1" x14ac:dyDescent="0.3">
      <c r="A51" t="s">
        <v>296</v>
      </c>
      <c r="B51" s="33" t="s">
        <v>217</v>
      </c>
      <c r="C51" s="5" t="s">
        <v>309</v>
      </c>
      <c r="D51" s="33" t="s">
        <v>158</v>
      </c>
      <c r="E51" s="96" t="s">
        <v>159</v>
      </c>
      <c r="F51" s="35"/>
      <c r="G51" s="258" t="s">
        <v>266</v>
      </c>
      <c r="H51" s="258" t="s">
        <v>306</v>
      </c>
      <c r="I51" s="258" t="s">
        <v>307</v>
      </c>
      <c r="J51" s="13" t="s">
        <v>308</v>
      </c>
      <c r="K51" s="2"/>
      <c r="L51" s="23"/>
      <c r="M51" s="2"/>
    </row>
    <row r="52" spans="1:13" hidden="1" x14ac:dyDescent="0.3">
      <c r="A52" t="s">
        <v>296</v>
      </c>
      <c r="B52" s="33" t="s">
        <v>310</v>
      </c>
      <c r="C52" s="5" t="s">
        <v>311</v>
      </c>
      <c r="D52" s="33" t="s">
        <v>158</v>
      </c>
      <c r="E52" s="96" t="s">
        <v>159</v>
      </c>
      <c r="F52" s="35"/>
      <c r="G52" s="258" t="s">
        <v>266</v>
      </c>
      <c r="H52" s="258" t="s">
        <v>306</v>
      </c>
      <c r="I52" s="258" t="s">
        <v>312</v>
      </c>
      <c r="J52" s="13" t="s">
        <v>308</v>
      </c>
      <c r="K52" s="2"/>
      <c r="L52" s="23"/>
      <c r="M52" s="2"/>
    </row>
    <row r="53" spans="1:13" hidden="1" x14ac:dyDescent="0.3">
      <c r="A53" t="s">
        <v>296</v>
      </c>
      <c r="B53" s="33" t="s">
        <v>313</v>
      </c>
      <c r="C53" s="5" t="s">
        <v>314</v>
      </c>
      <c r="D53" s="33" t="s">
        <v>158</v>
      </c>
      <c r="E53" s="96" t="s">
        <v>159</v>
      </c>
      <c r="F53" s="35"/>
      <c r="G53" s="258" t="s">
        <v>266</v>
      </c>
      <c r="H53" s="258" t="s">
        <v>306</v>
      </c>
      <c r="I53" s="258" t="s">
        <v>312</v>
      </c>
      <c r="J53" s="13" t="s">
        <v>308</v>
      </c>
      <c r="K53" s="2"/>
      <c r="L53" s="23"/>
      <c r="M53" s="2"/>
    </row>
    <row r="54" spans="1:13" hidden="1" x14ac:dyDescent="0.3">
      <c r="A54" t="s">
        <v>296</v>
      </c>
      <c r="B54" s="33" t="s">
        <v>173</v>
      </c>
      <c r="C54" s="5" t="s">
        <v>315</v>
      </c>
      <c r="D54" s="33" t="s">
        <v>158</v>
      </c>
      <c r="E54" s="96" t="s">
        <v>159</v>
      </c>
      <c r="F54" s="35"/>
      <c r="G54" s="258" t="s">
        <v>266</v>
      </c>
      <c r="H54" s="258" t="s">
        <v>306</v>
      </c>
      <c r="I54" s="258" t="s">
        <v>316</v>
      </c>
      <c r="J54" s="13" t="s">
        <v>308</v>
      </c>
      <c r="K54" s="2"/>
      <c r="L54" s="23"/>
      <c r="M54" s="2"/>
    </row>
    <row r="55" spans="1:13" hidden="1" x14ac:dyDescent="0.3">
      <c r="A55" t="s">
        <v>296</v>
      </c>
      <c r="B55" s="33" t="s">
        <v>317</v>
      </c>
      <c r="C55" s="5" t="s">
        <v>318</v>
      </c>
      <c r="D55" s="33" t="s">
        <v>158</v>
      </c>
      <c r="E55" s="96" t="s">
        <v>159</v>
      </c>
      <c r="F55" s="35"/>
      <c r="G55" s="258" t="s">
        <v>266</v>
      </c>
      <c r="H55" s="258" t="s">
        <v>306</v>
      </c>
      <c r="I55" s="258" t="s">
        <v>316</v>
      </c>
      <c r="J55" s="13" t="s">
        <v>308</v>
      </c>
      <c r="K55" s="2"/>
      <c r="L55" s="23"/>
      <c r="M55" s="2"/>
    </row>
    <row r="56" spans="1:13" hidden="1" x14ac:dyDescent="0.3">
      <c r="A56" t="s">
        <v>296</v>
      </c>
      <c r="B56" s="33" t="s">
        <v>176</v>
      </c>
      <c r="C56" s="5" t="s">
        <v>319</v>
      </c>
      <c r="D56" s="33" t="s">
        <v>158</v>
      </c>
      <c r="E56" s="96" t="s">
        <v>159</v>
      </c>
      <c r="F56" s="35"/>
      <c r="G56" s="258" t="s">
        <v>266</v>
      </c>
      <c r="H56" s="258" t="s">
        <v>306</v>
      </c>
      <c r="I56" s="258" t="s">
        <v>320</v>
      </c>
      <c r="J56" s="13" t="s">
        <v>308</v>
      </c>
      <c r="K56" s="2"/>
      <c r="L56" s="23"/>
      <c r="M56" s="2"/>
    </row>
    <row r="57" spans="1:13" hidden="1" x14ac:dyDescent="0.3">
      <c r="A57" t="s">
        <v>296</v>
      </c>
      <c r="B57" s="33" t="s">
        <v>321</v>
      </c>
      <c r="C57" s="5" t="s">
        <v>322</v>
      </c>
      <c r="D57" s="33" t="s">
        <v>158</v>
      </c>
      <c r="E57" s="96" t="s">
        <v>159</v>
      </c>
      <c r="F57" s="35"/>
      <c r="G57" s="258" t="s">
        <v>266</v>
      </c>
      <c r="H57" s="258" t="s">
        <v>306</v>
      </c>
      <c r="I57" s="258" t="s">
        <v>320</v>
      </c>
      <c r="J57" s="13" t="s">
        <v>308</v>
      </c>
      <c r="K57" s="2"/>
      <c r="L57" s="23"/>
      <c r="M57" s="2"/>
    </row>
    <row r="58" spans="1:13" hidden="1" x14ac:dyDescent="0.3">
      <c r="A58" t="s">
        <v>296</v>
      </c>
      <c r="B58" s="33" t="s">
        <v>181</v>
      </c>
      <c r="C58" s="5" t="s">
        <v>323</v>
      </c>
      <c r="D58" s="33" t="s">
        <v>158</v>
      </c>
      <c r="E58" s="96" t="s">
        <v>159</v>
      </c>
      <c r="F58" s="35"/>
      <c r="G58" s="258" t="s">
        <v>266</v>
      </c>
      <c r="H58" s="258" t="s">
        <v>306</v>
      </c>
      <c r="I58" s="258" t="s">
        <v>324</v>
      </c>
      <c r="J58" s="13" t="s">
        <v>308</v>
      </c>
      <c r="K58" s="2"/>
      <c r="L58" s="23"/>
      <c r="M58" s="2"/>
    </row>
    <row r="59" spans="1:13" hidden="1" x14ac:dyDescent="0.3">
      <c r="A59" t="s">
        <v>296</v>
      </c>
      <c r="B59" s="33" t="s">
        <v>325</v>
      </c>
      <c r="C59" s="5" t="s">
        <v>326</v>
      </c>
      <c r="D59" s="33" t="s">
        <v>158</v>
      </c>
      <c r="E59" s="96" t="s">
        <v>159</v>
      </c>
      <c r="F59" s="35"/>
      <c r="G59" s="258" t="s">
        <v>266</v>
      </c>
      <c r="H59" s="258" t="s">
        <v>306</v>
      </c>
      <c r="I59" s="258" t="s">
        <v>324</v>
      </c>
      <c r="J59" s="13" t="s">
        <v>308</v>
      </c>
      <c r="K59" s="2"/>
      <c r="L59" s="23"/>
      <c r="M59" s="2"/>
    </row>
    <row r="60" spans="1:13" hidden="1" x14ac:dyDescent="0.3">
      <c r="A60" t="s">
        <v>296</v>
      </c>
      <c r="B60" s="33" t="s">
        <v>184</v>
      </c>
      <c r="C60" s="5" t="s">
        <v>327</v>
      </c>
      <c r="D60" s="33" t="s">
        <v>158</v>
      </c>
      <c r="E60" s="96" t="s">
        <v>159</v>
      </c>
      <c r="F60" s="35"/>
      <c r="G60" s="258" t="s">
        <v>266</v>
      </c>
      <c r="H60" s="258" t="s">
        <v>250</v>
      </c>
      <c r="I60" s="258" t="s">
        <v>328</v>
      </c>
      <c r="J60" s="13" t="s">
        <v>308</v>
      </c>
      <c r="K60" s="2"/>
      <c r="L60" s="23"/>
      <c r="M60" s="2"/>
    </row>
    <row r="61" spans="1:13" hidden="1" x14ac:dyDescent="0.3">
      <c r="A61" t="s">
        <v>296</v>
      </c>
      <c r="B61" s="33" t="s">
        <v>329</v>
      </c>
      <c r="C61" s="5" t="s">
        <v>330</v>
      </c>
      <c r="D61" s="268" t="s">
        <v>258</v>
      </c>
      <c r="E61" s="96" t="s">
        <v>159</v>
      </c>
      <c r="F61" s="35"/>
      <c r="G61" s="13" t="s">
        <v>331</v>
      </c>
      <c r="H61" s="258" t="s">
        <v>332</v>
      </c>
      <c r="I61" s="258" t="s">
        <v>332</v>
      </c>
      <c r="J61" s="13" t="s">
        <v>308</v>
      </c>
      <c r="K61" s="2"/>
      <c r="L61" s="23"/>
      <c r="M61" s="2" t="s">
        <v>304</v>
      </c>
    </row>
    <row r="62" spans="1:13" ht="115.2" x14ac:dyDescent="0.3">
      <c r="A62" t="s">
        <v>333</v>
      </c>
      <c r="B62" s="33" t="s">
        <v>334</v>
      </c>
      <c r="C62" s="5" t="s">
        <v>335</v>
      </c>
      <c r="D62" s="261" t="s">
        <v>336</v>
      </c>
      <c r="E62" s="172" t="s">
        <v>159</v>
      </c>
      <c r="F62" s="172"/>
      <c r="G62" s="259" t="s">
        <v>45</v>
      </c>
      <c r="H62" s="259" t="s">
        <v>337</v>
      </c>
      <c r="I62" s="259" t="s">
        <v>337</v>
      </c>
      <c r="J62" s="259" t="s">
        <v>172</v>
      </c>
      <c r="K62" s="6">
        <v>3000</v>
      </c>
      <c r="L62" s="17" t="s">
        <v>338</v>
      </c>
      <c r="M62" s="8"/>
    </row>
    <row r="63" spans="1:13" ht="28.8" x14ac:dyDescent="0.3">
      <c r="A63" t="s">
        <v>333</v>
      </c>
      <c r="B63" s="33" t="s">
        <v>339</v>
      </c>
      <c r="C63" s="5" t="s">
        <v>340</v>
      </c>
      <c r="D63" s="261" t="s">
        <v>258</v>
      </c>
      <c r="E63" s="172" t="s">
        <v>159</v>
      </c>
      <c r="F63" s="172"/>
      <c r="G63" s="259" t="s">
        <v>266</v>
      </c>
      <c r="H63" s="259" t="s">
        <v>306</v>
      </c>
      <c r="I63" s="258" t="s">
        <v>341</v>
      </c>
      <c r="J63" s="13" t="s">
        <v>308</v>
      </c>
      <c r="K63" s="6">
        <v>1497.1</v>
      </c>
      <c r="L63" s="117" t="s">
        <v>342</v>
      </c>
      <c r="M63" s="7"/>
    </row>
    <row r="64" spans="1:13" x14ac:dyDescent="0.3">
      <c r="A64" t="s">
        <v>333</v>
      </c>
      <c r="B64" s="33" t="s">
        <v>343</v>
      </c>
      <c r="C64" s="5" t="s">
        <v>344</v>
      </c>
      <c r="D64" s="261" t="s">
        <v>258</v>
      </c>
      <c r="E64" s="172" t="s">
        <v>159</v>
      </c>
      <c r="F64" s="172"/>
      <c r="G64" s="13" t="s">
        <v>190</v>
      </c>
      <c r="H64" s="259" t="s">
        <v>345</v>
      </c>
      <c r="I64" s="259"/>
      <c r="J64" s="259" t="s">
        <v>172</v>
      </c>
      <c r="K64" s="6">
        <v>629</v>
      </c>
      <c r="L64" s="17"/>
      <c r="M64" s="115" t="s">
        <v>346</v>
      </c>
    </row>
    <row r="65" spans="1:13" ht="28.8" x14ac:dyDescent="0.3">
      <c r="A65" t="s">
        <v>333</v>
      </c>
      <c r="B65" s="33" t="s">
        <v>347</v>
      </c>
      <c r="C65" s="5" t="s">
        <v>348</v>
      </c>
      <c r="D65" s="261" t="s">
        <v>349</v>
      </c>
      <c r="E65" s="172" t="s">
        <v>204</v>
      </c>
      <c r="F65" s="172"/>
      <c r="G65" s="259" t="s">
        <v>204</v>
      </c>
      <c r="H65" s="259" t="s">
        <v>204</v>
      </c>
      <c r="I65" s="259" t="s">
        <v>204</v>
      </c>
      <c r="J65" s="259" t="s">
        <v>204</v>
      </c>
      <c r="K65" s="6">
        <v>62.9</v>
      </c>
      <c r="L65" s="117" t="s">
        <v>350</v>
      </c>
      <c r="M65" s="81"/>
    </row>
    <row r="66" spans="1:13" ht="28.8" x14ac:dyDescent="0.3">
      <c r="A66" t="s">
        <v>333</v>
      </c>
      <c r="B66" s="33" t="s">
        <v>351</v>
      </c>
      <c r="C66" s="5" t="s">
        <v>352</v>
      </c>
      <c r="D66" s="261" t="s">
        <v>258</v>
      </c>
      <c r="E66" s="172" t="s">
        <v>159</v>
      </c>
      <c r="F66" s="172"/>
      <c r="G66" s="13" t="s">
        <v>190</v>
      </c>
      <c r="H66" s="259" t="s">
        <v>191</v>
      </c>
      <c r="I66" s="259" t="s">
        <v>192</v>
      </c>
      <c r="J66" s="259" t="s">
        <v>172</v>
      </c>
      <c r="K66" s="6">
        <v>53</v>
      </c>
      <c r="L66" s="31"/>
      <c r="M66" s="82"/>
    </row>
    <row r="67" spans="1:13" ht="28.8" x14ac:dyDescent="0.3">
      <c r="A67" t="s">
        <v>333</v>
      </c>
      <c r="B67" s="33" t="s">
        <v>353</v>
      </c>
      <c r="C67" s="5" t="s">
        <v>354</v>
      </c>
      <c r="D67" s="261" t="s">
        <v>349</v>
      </c>
      <c r="E67" s="172" t="s">
        <v>204</v>
      </c>
      <c r="F67" s="172"/>
      <c r="G67" s="260" t="s">
        <v>204</v>
      </c>
      <c r="H67" s="260" t="s">
        <v>204</v>
      </c>
      <c r="I67" s="260" t="s">
        <v>204</v>
      </c>
      <c r="J67" s="260" t="s">
        <v>204</v>
      </c>
      <c r="K67" s="6">
        <v>0</v>
      </c>
      <c r="L67" s="17"/>
      <c r="M67" s="6"/>
    </row>
    <row r="68" spans="1:13" ht="28.8" x14ac:dyDescent="0.3">
      <c r="A68" t="s">
        <v>333</v>
      </c>
      <c r="B68" s="33" t="s">
        <v>355</v>
      </c>
      <c r="C68" s="5" t="s">
        <v>356</v>
      </c>
      <c r="D68" s="261" t="s">
        <v>357</v>
      </c>
      <c r="E68" s="172" t="s">
        <v>204</v>
      </c>
      <c r="F68" s="172"/>
      <c r="G68" s="260" t="s">
        <v>204</v>
      </c>
      <c r="H68" s="172" t="s">
        <v>204</v>
      </c>
      <c r="I68" s="172" t="s">
        <v>204</v>
      </c>
      <c r="J68" s="172" t="s">
        <v>204</v>
      </c>
      <c r="K68" s="6">
        <v>4886</v>
      </c>
      <c r="L68" s="116"/>
      <c r="M68" s="84"/>
    </row>
    <row r="69" spans="1:13" ht="28.8" x14ac:dyDescent="0.3">
      <c r="A69" t="s">
        <v>333</v>
      </c>
      <c r="B69" s="33" t="s">
        <v>358</v>
      </c>
      <c r="C69" s="5" t="s">
        <v>359</v>
      </c>
      <c r="D69" s="33" t="s">
        <v>158</v>
      </c>
      <c r="E69" s="96" t="s">
        <v>159</v>
      </c>
      <c r="F69" s="96"/>
      <c r="G69" s="13" t="s">
        <v>190</v>
      </c>
      <c r="H69" s="258" t="s">
        <v>360</v>
      </c>
      <c r="I69" s="259" t="s">
        <v>332</v>
      </c>
      <c r="J69" s="259" t="s">
        <v>172</v>
      </c>
      <c r="K69" s="6">
        <v>510</v>
      </c>
      <c r="L69" s="116"/>
      <c r="M69" s="84"/>
    </row>
    <row r="70" spans="1:13" ht="28.8" x14ac:dyDescent="0.3">
      <c r="A70" t="s">
        <v>333</v>
      </c>
      <c r="B70" s="33" t="s">
        <v>361</v>
      </c>
      <c r="C70" s="5" t="s">
        <v>362</v>
      </c>
      <c r="D70" s="261" t="s">
        <v>363</v>
      </c>
      <c r="E70" s="172" t="s">
        <v>204</v>
      </c>
      <c r="F70" s="172"/>
      <c r="G70" s="261" t="s">
        <v>204</v>
      </c>
      <c r="H70" s="261" t="s">
        <v>204</v>
      </c>
      <c r="I70" s="261" t="s">
        <v>204</v>
      </c>
      <c r="J70" s="261" t="s">
        <v>204</v>
      </c>
      <c r="K70" s="6">
        <v>16.2</v>
      </c>
      <c r="L70" s="17" t="s">
        <v>204</v>
      </c>
      <c r="M70" s="12"/>
    </row>
    <row r="71" spans="1:13" ht="28.8" x14ac:dyDescent="0.3">
      <c r="A71" t="s">
        <v>333</v>
      </c>
      <c r="B71" s="33" t="s">
        <v>364</v>
      </c>
      <c r="C71" s="5" t="s">
        <v>365</v>
      </c>
      <c r="D71" s="261" t="s">
        <v>349</v>
      </c>
      <c r="E71" s="172" t="s">
        <v>204</v>
      </c>
      <c r="F71" s="172"/>
      <c r="G71" s="260" t="s">
        <v>204</v>
      </c>
      <c r="H71" s="260" t="s">
        <v>204</v>
      </c>
      <c r="I71" s="260" t="s">
        <v>204</v>
      </c>
      <c r="J71" s="260" t="s">
        <v>204</v>
      </c>
      <c r="K71" s="6">
        <v>721</v>
      </c>
      <c r="L71" s="17"/>
      <c r="M71" s="8"/>
    </row>
    <row r="72" spans="1:13" ht="28.8" x14ac:dyDescent="0.3">
      <c r="A72" t="s">
        <v>333</v>
      </c>
      <c r="B72" s="33" t="s">
        <v>366</v>
      </c>
      <c r="C72" s="5" t="s">
        <v>367</v>
      </c>
      <c r="D72" s="261" t="s">
        <v>349</v>
      </c>
      <c r="E72" s="172" t="s">
        <v>204</v>
      </c>
      <c r="F72" s="172"/>
      <c r="G72" s="260" t="s">
        <v>204</v>
      </c>
      <c r="H72" s="260" t="s">
        <v>204</v>
      </c>
      <c r="I72" s="260" t="s">
        <v>204</v>
      </c>
      <c r="J72" s="260" t="s">
        <v>204</v>
      </c>
      <c r="K72" s="6">
        <v>91.4</v>
      </c>
      <c r="L72" s="31" t="s">
        <v>368</v>
      </c>
      <c r="M72" s="8"/>
    </row>
    <row r="73" spans="1:13" ht="28.8" x14ac:dyDescent="0.3">
      <c r="A73" t="s">
        <v>333</v>
      </c>
      <c r="B73" s="33" t="s">
        <v>369</v>
      </c>
      <c r="C73" s="5" t="s">
        <v>370</v>
      </c>
      <c r="D73" s="261" t="s">
        <v>349</v>
      </c>
      <c r="E73" s="172" t="s">
        <v>204</v>
      </c>
      <c r="F73" s="172"/>
      <c r="G73" s="260" t="s">
        <v>204</v>
      </c>
      <c r="H73" s="260" t="s">
        <v>204</v>
      </c>
      <c r="I73" s="260" t="s">
        <v>204</v>
      </c>
      <c r="J73" s="260" t="s">
        <v>204</v>
      </c>
      <c r="K73" s="6">
        <v>121.4</v>
      </c>
      <c r="L73" s="172" t="s">
        <v>371</v>
      </c>
      <c r="M73" s="8"/>
    </row>
    <row r="74" spans="1:13" ht="57.6" x14ac:dyDescent="0.3">
      <c r="A74" t="s">
        <v>333</v>
      </c>
      <c r="B74" s="33" t="s">
        <v>372</v>
      </c>
      <c r="C74" s="5" t="s">
        <v>373</v>
      </c>
      <c r="D74" s="263" t="s">
        <v>374</v>
      </c>
      <c r="E74" s="172" t="s">
        <v>204</v>
      </c>
      <c r="F74" s="94"/>
      <c r="G74" s="260" t="s">
        <v>204</v>
      </c>
      <c r="H74" s="260" t="s">
        <v>204</v>
      </c>
      <c r="I74" s="260" t="s">
        <v>204</v>
      </c>
      <c r="J74" s="260" t="s">
        <v>204</v>
      </c>
      <c r="K74" s="75">
        <v>0.97099999999999997</v>
      </c>
      <c r="L74" s="93" t="s">
        <v>375</v>
      </c>
      <c r="M74" s="8"/>
    </row>
    <row r="75" spans="1:13" ht="57.6" x14ac:dyDescent="0.3">
      <c r="A75" t="s">
        <v>333</v>
      </c>
      <c r="B75" s="33" t="s">
        <v>376</v>
      </c>
      <c r="C75" s="5" t="s">
        <v>377</v>
      </c>
      <c r="D75" s="263" t="s">
        <v>374</v>
      </c>
      <c r="E75" s="172" t="s">
        <v>204</v>
      </c>
      <c r="F75" s="94"/>
      <c r="G75" s="260" t="s">
        <v>204</v>
      </c>
      <c r="H75" s="260" t="s">
        <v>204</v>
      </c>
      <c r="I75" s="260" t="s">
        <v>204</v>
      </c>
      <c r="J75" s="260" t="s">
        <v>204</v>
      </c>
      <c r="K75" s="75">
        <v>0.65700000000000003</v>
      </c>
      <c r="L75" s="20" t="s">
        <v>375</v>
      </c>
      <c r="M75" s="8"/>
    </row>
    <row r="76" spans="1:13" ht="28.8" x14ac:dyDescent="0.3">
      <c r="A76" t="s">
        <v>333</v>
      </c>
      <c r="B76" s="33" t="s">
        <v>378</v>
      </c>
      <c r="C76" s="5" t="s">
        <v>379</v>
      </c>
      <c r="D76" s="261" t="s">
        <v>349</v>
      </c>
      <c r="E76" s="172" t="s">
        <v>204</v>
      </c>
      <c r="F76" s="179" t="s">
        <v>166</v>
      </c>
      <c r="G76" s="260" t="s">
        <v>204</v>
      </c>
      <c r="H76" s="260" t="s">
        <v>204</v>
      </c>
      <c r="I76" s="260" t="s">
        <v>204</v>
      </c>
      <c r="J76" s="260" t="s">
        <v>204</v>
      </c>
      <c r="K76" s="8">
        <v>38.1</v>
      </c>
      <c r="L76" s="5" t="s">
        <v>380</v>
      </c>
      <c r="M76" s="8"/>
    </row>
    <row r="77" spans="1:13" ht="28.8" x14ac:dyDescent="0.3">
      <c r="A77" t="s">
        <v>333</v>
      </c>
      <c r="B77" s="33" t="s">
        <v>381</v>
      </c>
      <c r="C77" s="5" t="s">
        <v>382</v>
      </c>
      <c r="D77" s="261" t="s">
        <v>349</v>
      </c>
      <c r="E77" s="172" t="s">
        <v>204</v>
      </c>
      <c r="F77" s="94"/>
      <c r="G77" s="260" t="s">
        <v>204</v>
      </c>
      <c r="H77" s="260" t="s">
        <v>204</v>
      </c>
      <c r="I77" s="260" t="s">
        <v>204</v>
      </c>
      <c r="J77" s="260" t="s">
        <v>204</v>
      </c>
      <c r="K77" s="75">
        <v>0.35</v>
      </c>
      <c r="L77" s="5" t="s">
        <v>383</v>
      </c>
      <c r="M77" s="8"/>
    </row>
    <row r="78" spans="1:13" ht="86.4" x14ac:dyDescent="0.3">
      <c r="A78" t="s">
        <v>333</v>
      </c>
      <c r="B78" s="33" t="s">
        <v>384</v>
      </c>
      <c r="C78" s="5" t="s">
        <v>385</v>
      </c>
      <c r="D78" s="261" t="s">
        <v>386</v>
      </c>
      <c r="E78" s="172" t="s">
        <v>159</v>
      </c>
      <c r="F78" s="172"/>
      <c r="G78" s="259" t="s">
        <v>45</v>
      </c>
      <c r="H78" s="6" t="s">
        <v>175</v>
      </c>
      <c r="I78" s="258" t="s">
        <v>387</v>
      </c>
      <c r="J78" s="259" t="s">
        <v>193</v>
      </c>
      <c r="K78" s="6">
        <v>1200</v>
      </c>
      <c r="L78" s="17"/>
      <c r="M78" s="8"/>
    </row>
    <row r="79" spans="1:13" ht="86.4" x14ac:dyDescent="0.3">
      <c r="A79" t="s">
        <v>333</v>
      </c>
      <c r="B79" s="33" t="s">
        <v>388</v>
      </c>
      <c r="C79" s="5" t="s">
        <v>389</v>
      </c>
      <c r="D79" s="261" t="s">
        <v>386</v>
      </c>
      <c r="E79" s="172" t="s">
        <v>159</v>
      </c>
      <c r="F79" s="172"/>
      <c r="G79" s="259" t="s">
        <v>45</v>
      </c>
      <c r="H79" s="6" t="s">
        <v>175</v>
      </c>
      <c r="I79" s="258" t="s">
        <v>387</v>
      </c>
      <c r="J79" s="259" t="s">
        <v>193</v>
      </c>
      <c r="K79" s="6">
        <v>187.1</v>
      </c>
      <c r="L79" s="5" t="s">
        <v>390</v>
      </c>
      <c r="M79" s="11"/>
    </row>
    <row r="80" spans="1:13" x14ac:dyDescent="0.3">
      <c r="A80" t="s">
        <v>333</v>
      </c>
      <c r="B80" s="33" t="s">
        <v>391</v>
      </c>
      <c r="C80" s="5" t="s">
        <v>392</v>
      </c>
      <c r="D80" s="33" t="s">
        <v>258</v>
      </c>
      <c r="E80" s="249" t="s">
        <v>159</v>
      </c>
      <c r="F80" s="179" t="s">
        <v>166</v>
      </c>
      <c r="G80" s="259" t="s">
        <v>45</v>
      </c>
      <c r="H80" s="6" t="s">
        <v>178</v>
      </c>
      <c r="I80" s="258" t="s">
        <v>179</v>
      </c>
      <c r="J80" s="259" t="s">
        <v>193</v>
      </c>
      <c r="K80" s="8">
        <v>70</v>
      </c>
      <c r="L80" s="118" t="s">
        <v>393</v>
      </c>
      <c r="M80" s="7"/>
    </row>
    <row r="81" spans="1:13" ht="57.6" x14ac:dyDescent="0.3">
      <c r="A81" t="s">
        <v>333</v>
      </c>
      <c r="B81" s="33" t="s">
        <v>394</v>
      </c>
      <c r="C81" s="5" t="s">
        <v>395</v>
      </c>
      <c r="D81" s="323" t="s">
        <v>396</v>
      </c>
      <c r="E81" s="249" t="s">
        <v>159</v>
      </c>
      <c r="F81" s="179" t="s">
        <v>166</v>
      </c>
      <c r="G81" s="259" t="s">
        <v>45</v>
      </c>
      <c r="H81" s="290" t="s">
        <v>267</v>
      </c>
      <c r="I81" s="258" t="s">
        <v>397</v>
      </c>
      <c r="J81" s="262" t="s">
        <v>398</v>
      </c>
      <c r="K81" s="8">
        <v>48</v>
      </c>
      <c r="L81" s="119"/>
      <c r="M81" s="6"/>
    </row>
    <row r="82" spans="1:13" ht="57.6" x14ac:dyDescent="0.3">
      <c r="A82" t="s">
        <v>333</v>
      </c>
      <c r="B82" s="33" t="s">
        <v>399</v>
      </c>
      <c r="C82" s="5" t="s">
        <v>400</v>
      </c>
      <c r="D82" s="300" t="s">
        <v>401</v>
      </c>
      <c r="E82" s="249" t="s">
        <v>159</v>
      </c>
      <c r="F82" s="179" t="s">
        <v>166</v>
      </c>
      <c r="G82" s="262" t="s">
        <v>45</v>
      </c>
      <c r="H82" s="290" t="s">
        <v>402</v>
      </c>
      <c r="I82" s="258" t="s">
        <v>204</v>
      </c>
      <c r="J82" s="272" t="s">
        <v>403</v>
      </c>
      <c r="K82" s="8">
        <v>150</v>
      </c>
      <c r="L82" s="118" t="s">
        <v>404</v>
      </c>
      <c r="M82" s="8"/>
    </row>
    <row r="83" spans="1:13" ht="57.6" x14ac:dyDescent="0.3">
      <c r="A83" t="s">
        <v>333</v>
      </c>
      <c r="B83" s="33" t="s">
        <v>405</v>
      </c>
      <c r="C83" s="5" t="s">
        <v>406</v>
      </c>
      <c r="D83" s="300" t="s">
        <v>401</v>
      </c>
      <c r="E83" s="249" t="s">
        <v>159</v>
      </c>
      <c r="F83" s="179" t="s">
        <v>166</v>
      </c>
      <c r="G83" s="262" t="s">
        <v>45</v>
      </c>
      <c r="H83" s="290" t="s">
        <v>402</v>
      </c>
      <c r="I83" s="258" t="s">
        <v>204</v>
      </c>
      <c r="J83" s="272" t="s">
        <v>403</v>
      </c>
      <c r="K83" s="8">
        <v>22</v>
      </c>
      <c r="L83" s="29"/>
      <c r="M83" s="26"/>
    </row>
    <row r="84" spans="1:13" ht="28.8" x14ac:dyDescent="0.3">
      <c r="A84" t="s">
        <v>333</v>
      </c>
      <c r="B84" s="33" t="s">
        <v>407</v>
      </c>
      <c r="C84" s="5" t="s">
        <v>408</v>
      </c>
      <c r="D84" s="287" t="s">
        <v>363</v>
      </c>
      <c r="E84" s="249" t="str">
        <f>$H$84</f>
        <v>NA</v>
      </c>
      <c r="F84" s="179" t="s">
        <v>166</v>
      </c>
      <c r="G84" s="262" t="s">
        <v>204</v>
      </c>
      <c r="H84" s="262" t="s">
        <v>204</v>
      </c>
      <c r="I84" s="262" t="s">
        <v>204</v>
      </c>
      <c r="J84" s="262" t="s">
        <v>204</v>
      </c>
      <c r="K84" s="8">
        <v>241</v>
      </c>
      <c r="L84" s="5" t="s">
        <v>409</v>
      </c>
      <c r="M84" s="9"/>
    </row>
    <row r="85" spans="1:13" x14ac:dyDescent="0.3">
      <c r="A85" t="s">
        <v>333</v>
      </c>
      <c r="B85" s="33" t="s">
        <v>410</v>
      </c>
      <c r="C85" s="5" t="s">
        <v>411</v>
      </c>
      <c r="D85" s="263" t="s">
        <v>204</v>
      </c>
      <c r="E85" s="95" t="s">
        <v>204</v>
      </c>
      <c r="F85" s="95"/>
      <c r="G85" s="263" t="s">
        <v>204</v>
      </c>
      <c r="H85" s="263" t="s">
        <v>204</v>
      </c>
      <c r="I85" s="262" t="s">
        <v>204</v>
      </c>
      <c r="J85" s="263" t="s">
        <v>204</v>
      </c>
      <c r="K85" s="7">
        <v>0.46</v>
      </c>
      <c r="L85" s="5" t="s">
        <v>412</v>
      </c>
      <c r="M85" s="75"/>
    </row>
    <row r="86" spans="1:13" ht="43.2" x14ac:dyDescent="0.3">
      <c r="A86" t="s">
        <v>333</v>
      </c>
      <c r="B86" s="33" t="s">
        <v>413</v>
      </c>
      <c r="C86" s="5" t="s">
        <v>414</v>
      </c>
      <c r="D86" s="263" t="s">
        <v>258</v>
      </c>
      <c r="E86" s="94" t="s">
        <v>159</v>
      </c>
      <c r="F86" s="94"/>
      <c r="G86" s="264" t="s">
        <v>190</v>
      </c>
      <c r="H86" s="269" t="s">
        <v>415</v>
      </c>
      <c r="I86" s="33" t="s">
        <v>414</v>
      </c>
      <c r="J86" s="273" t="s">
        <v>193</v>
      </c>
      <c r="K86" s="75">
        <v>0.67100000000000004</v>
      </c>
      <c r="L86" s="30"/>
      <c r="M86" s="6" t="s">
        <v>304</v>
      </c>
    </row>
    <row r="87" spans="1:13" ht="43.2" x14ac:dyDescent="0.3">
      <c r="A87" t="s">
        <v>333</v>
      </c>
      <c r="B87" s="33" t="s">
        <v>416</v>
      </c>
      <c r="C87" s="5" t="s">
        <v>417</v>
      </c>
      <c r="D87" s="263" t="s">
        <v>258</v>
      </c>
      <c r="E87" s="94" t="s">
        <v>159</v>
      </c>
      <c r="F87" s="94"/>
      <c r="G87" s="264" t="s">
        <v>190</v>
      </c>
      <c r="H87" s="269" t="s">
        <v>415</v>
      </c>
      <c r="I87" s="33" t="s">
        <v>417</v>
      </c>
      <c r="J87" s="273" t="s">
        <v>193</v>
      </c>
      <c r="K87" s="75">
        <v>0.81599999999999995</v>
      </c>
      <c r="L87" s="30"/>
      <c r="M87" s="6"/>
    </row>
    <row r="88" spans="1:13" ht="43.2" x14ac:dyDescent="0.3">
      <c r="A88" t="s">
        <v>333</v>
      </c>
      <c r="B88" s="33" t="s">
        <v>418</v>
      </c>
      <c r="C88" s="5" t="s">
        <v>419</v>
      </c>
      <c r="D88" s="263" t="s">
        <v>258</v>
      </c>
      <c r="E88" s="94" t="s">
        <v>159</v>
      </c>
      <c r="F88" s="94"/>
      <c r="G88" s="264" t="s">
        <v>190</v>
      </c>
      <c r="H88" s="269" t="s">
        <v>415</v>
      </c>
      <c r="I88" s="33" t="s">
        <v>419</v>
      </c>
      <c r="J88" s="273" t="s">
        <v>193</v>
      </c>
      <c r="K88" s="75">
        <v>0.76500000000000001</v>
      </c>
      <c r="L88" s="30"/>
      <c r="M88" s="6"/>
    </row>
    <row r="89" spans="1:13" ht="28.8" x14ac:dyDescent="0.3">
      <c r="A89" t="s">
        <v>333</v>
      </c>
      <c r="B89" s="33" t="s">
        <v>420</v>
      </c>
      <c r="C89" s="5" t="s">
        <v>421</v>
      </c>
      <c r="D89" s="302" t="s">
        <v>258</v>
      </c>
      <c r="E89" s="94" t="s">
        <v>159</v>
      </c>
      <c r="F89" s="173"/>
      <c r="G89" s="264" t="s">
        <v>190</v>
      </c>
      <c r="H89" s="269" t="s">
        <v>415</v>
      </c>
      <c r="I89" s="33" t="s">
        <v>421</v>
      </c>
      <c r="J89" s="259" t="s">
        <v>193</v>
      </c>
      <c r="K89" s="75">
        <v>0.82499999999999996</v>
      </c>
      <c r="L89" s="30"/>
      <c r="M89" s="6" t="s">
        <v>304</v>
      </c>
    </row>
    <row r="90" spans="1:13" ht="43.2" x14ac:dyDescent="0.3">
      <c r="A90" t="s">
        <v>333</v>
      </c>
      <c r="B90" s="33" t="s">
        <v>422</v>
      </c>
      <c r="C90" s="5" t="s">
        <v>423</v>
      </c>
      <c r="D90" s="302" t="s">
        <v>258</v>
      </c>
      <c r="E90" s="94" t="s">
        <v>159</v>
      </c>
      <c r="F90" s="95"/>
      <c r="G90" s="259" t="s">
        <v>45</v>
      </c>
      <c r="H90" s="270" t="s">
        <v>424</v>
      </c>
      <c r="I90" s="33" t="s">
        <v>423</v>
      </c>
      <c r="J90" s="259" t="s">
        <v>193</v>
      </c>
      <c r="K90" s="7">
        <v>0.97</v>
      </c>
      <c r="L90" s="5" t="s">
        <v>425</v>
      </c>
      <c r="M90" s="6" t="s">
        <v>304</v>
      </c>
    </row>
    <row r="91" spans="1:13" ht="86.4" x14ac:dyDescent="0.3">
      <c r="A91" t="s">
        <v>333</v>
      </c>
      <c r="B91" s="33" t="s">
        <v>426</v>
      </c>
      <c r="C91" s="5" t="s">
        <v>427</v>
      </c>
      <c r="D91" s="302" t="s">
        <v>428</v>
      </c>
      <c r="E91" s="94" t="s">
        <v>159</v>
      </c>
      <c r="F91" s="179" t="s">
        <v>166</v>
      </c>
      <c r="G91" s="259" t="s">
        <v>45</v>
      </c>
      <c r="H91" s="262" t="s">
        <v>429</v>
      </c>
      <c r="I91" s="259" t="s">
        <v>430</v>
      </c>
      <c r="J91" s="259" t="s">
        <v>193</v>
      </c>
      <c r="K91" s="8">
        <v>114</v>
      </c>
      <c r="L91" s="29"/>
      <c r="M91" s="115"/>
    </row>
    <row r="92" spans="1:13" x14ac:dyDescent="0.3">
      <c r="A92" t="s">
        <v>333</v>
      </c>
      <c r="B92" s="33" t="s">
        <v>431</v>
      </c>
      <c r="C92" s="5" t="s">
        <v>432</v>
      </c>
      <c r="D92" s="302" t="s">
        <v>258</v>
      </c>
      <c r="E92" s="94" t="s">
        <v>159</v>
      </c>
      <c r="F92" s="179" t="s">
        <v>166</v>
      </c>
      <c r="G92" s="259" t="s">
        <v>45</v>
      </c>
      <c r="H92" s="262" t="s">
        <v>429</v>
      </c>
      <c r="I92" s="259" t="s">
        <v>432</v>
      </c>
      <c r="J92" s="259" t="s">
        <v>193</v>
      </c>
      <c r="K92" s="8">
        <v>47</v>
      </c>
      <c r="L92" s="28"/>
      <c r="M92" s="115"/>
    </row>
    <row r="93" spans="1:13" x14ac:dyDescent="0.3">
      <c r="A93" t="s">
        <v>333</v>
      </c>
      <c r="B93" s="33" t="s">
        <v>433</v>
      </c>
      <c r="C93" s="5" t="s">
        <v>434</v>
      </c>
      <c r="D93" s="302" t="s">
        <v>258</v>
      </c>
      <c r="E93" s="94" t="s">
        <v>159</v>
      </c>
      <c r="F93" s="179" t="s">
        <v>166</v>
      </c>
      <c r="G93" s="259" t="s">
        <v>45</v>
      </c>
      <c r="H93" s="262" t="s">
        <v>429</v>
      </c>
      <c r="I93" s="259" t="s">
        <v>435</v>
      </c>
      <c r="J93" s="259" t="s">
        <v>193</v>
      </c>
      <c r="K93" s="8">
        <v>23</v>
      </c>
      <c r="L93" s="28"/>
      <c r="M93" s="115"/>
    </row>
    <row r="94" spans="1:13" ht="43.2" x14ac:dyDescent="0.3">
      <c r="A94" t="s">
        <v>333</v>
      </c>
      <c r="B94" s="33" t="s">
        <v>436</v>
      </c>
      <c r="C94" s="5" t="s">
        <v>437</v>
      </c>
      <c r="D94" s="263" t="s">
        <v>258</v>
      </c>
      <c r="E94" s="94" t="s">
        <v>159</v>
      </c>
      <c r="F94" s="94"/>
      <c r="G94" s="264" t="s">
        <v>190</v>
      </c>
      <c r="H94" s="259" t="s">
        <v>438</v>
      </c>
      <c r="I94" s="259" t="s">
        <v>439</v>
      </c>
      <c r="J94" s="259" t="s">
        <v>193</v>
      </c>
      <c r="K94" s="75">
        <v>0.16300000000000001</v>
      </c>
      <c r="L94" s="20" t="s">
        <v>440</v>
      </c>
      <c r="M94" s="115" t="s">
        <v>346</v>
      </c>
    </row>
    <row r="95" spans="1:13" ht="28.8" x14ac:dyDescent="0.3">
      <c r="A95" t="s">
        <v>333</v>
      </c>
      <c r="B95" s="33" t="s">
        <v>441</v>
      </c>
      <c r="C95" s="5" t="s">
        <v>442</v>
      </c>
      <c r="D95" s="263" t="s">
        <v>258</v>
      </c>
      <c r="E95" s="94" t="s">
        <v>159</v>
      </c>
      <c r="F95" s="94"/>
      <c r="G95" s="264" t="s">
        <v>190</v>
      </c>
      <c r="H95" s="259" t="s">
        <v>438</v>
      </c>
      <c r="I95" s="259" t="s">
        <v>443</v>
      </c>
      <c r="J95" s="259" t="s">
        <v>193</v>
      </c>
      <c r="K95" s="75">
        <v>3.7999999999999999E-2</v>
      </c>
      <c r="L95" s="20" t="s">
        <v>444</v>
      </c>
      <c r="M95" s="115" t="s">
        <v>346</v>
      </c>
    </row>
    <row r="96" spans="1:13" ht="28.8" x14ac:dyDescent="0.3">
      <c r="A96" t="s">
        <v>333</v>
      </c>
      <c r="B96" s="33" t="s">
        <v>445</v>
      </c>
      <c r="C96" s="5" t="s">
        <v>446</v>
      </c>
      <c r="D96" s="263" t="s">
        <v>258</v>
      </c>
      <c r="E96" s="94" t="s">
        <v>159</v>
      </c>
      <c r="F96" s="94"/>
      <c r="G96" s="264" t="s">
        <v>190</v>
      </c>
      <c r="H96" s="259" t="s">
        <v>438</v>
      </c>
      <c r="I96" s="259" t="s">
        <v>447</v>
      </c>
      <c r="J96" s="259" t="s">
        <v>193</v>
      </c>
      <c r="K96" s="75">
        <v>0.31</v>
      </c>
      <c r="L96" s="20" t="s">
        <v>444</v>
      </c>
      <c r="M96" s="115" t="s">
        <v>346</v>
      </c>
    </row>
    <row r="97" spans="1:13" ht="28.8" x14ac:dyDescent="0.3">
      <c r="A97" t="s">
        <v>333</v>
      </c>
      <c r="B97" s="33" t="s">
        <v>448</v>
      </c>
      <c r="C97" s="5" t="s">
        <v>449</v>
      </c>
      <c r="D97" s="263" t="s">
        <v>258</v>
      </c>
      <c r="E97" s="94" t="s">
        <v>159</v>
      </c>
      <c r="F97" s="94"/>
      <c r="G97" s="264" t="s">
        <v>190</v>
      </c>
      <c r="H97" s="259" t="s">
        <v>438</v>
      </c>
      <c r="I97" s="259" t="s">
        <v>450</v>
      </c>
      <c r="J97" s="259" t="s">
        <v>193</v>
      </c>
      <c r="K97" s="75">
        <v>4.1000000000000002E-2</v>
      </c>
      <c r="L97" s="20" t="s">
        <v>444</v>
      </c>
      <c r="M97" s="94" t="s">
        <v>451</v>
      </c>
    </row>
    <row r="98" spans="1:13" ht="28.8" x14ac:dyDescent="0.3">
      <c r="A98" t="s">
        <v>333</v>
      </c>
      <c r="B98" s="33" t="s">
        <v>452</v>
      </c>
      <c r="C98" s="5" t="s">
        <v>453</v>
      </c>
      <c r="D98" s="263" t="s">
        <v>258</v>
      </c>
      <c r="E98" s="94" t="s">
        <v>159</v>
      </c>
      <c r="F98" s="179" t="s">
        <v>166</v>
      </c>
      <c r="G98" s="262" t="s">
        <v>103</v>
      </c>
      <c r="H98" s="271" t="s">
        <v>454</v>
      </c>
      <c r="I98" s="33" t="s">
        <v>453</v>
      </c>
      <c r="J98" s="13" t="s">
        <v>193</v>
      </c>
      <c r="K98" s="11">
        <v>0.25</v>
      </c>
      <c r="L98" s="5"/>
      <c r="M98" s="94" t="s">
        <v>451</v>
      </c>
    </row>
    <row r="99" spans="1:13" ht="57.6" x14ac:dyDescent="0.3">
      <c r="A99" t="s">
        <v>333</v>
      </c>
      <c r="B99" s="33" t="s">
        <v>455</v>
      </c>
      <c r="C99" s="5" t="s">
        <v>456</v>
      </c>
      <c r="D99" s="263" t="s">
        <v>258</v>
      </c>
      <c r="E99" s="94" t="s">
        <v>159</v>
      </c>
      <c r="F99" s="94"/>
      <c r="G99" s="262" t="s">
        <v>103</v>
      </c>
      <c r="H99" s="271" t="s">
        <v>454</v>
      </c>
      <c r="I99" s="33" t="s">
        <v>456</v>
      </c>
      <c r="J99" s="259" t="s">
        <v>193</v>
      </c>
      <c r="K99" s="7">
        <v>0.05</v>
      </c>
      <c r="L99" s="5"/>
      <c r="M99" s="94" t="s">
        <v>451</v>
      </c>
    </row>
    <row r="100" spans="1:13" ht="28.8" x14ac:dyDescent="0.3">
      <c r="A100" t="s">
        <v>333</v>
      </c>
      <c r="B100" s="33" t="s">
        <v>457</v>
      </c>
      <c r="C100" s="5" t="s">
        <v>456</v>
      </c>
      <c r="D100" s="263" t="s">
        <v>458</v>
      </c>
      <c r="E100" s="95" t="s">
        <v>204</v>
      </c>
      <c r="F100" s="94"/>
      <c r="G100" s="263" t="s">
        <v>204</v>
      </c>
      <c r="H100" s="263" t="s">
        <v>204</v>
      </c>
      <c r="I100" s="259"/>
      <c r="J100" s="263" t="s">
        <v>204</v>
      </c>
      <c r="K100" s="7">
        <v>0.05</v>
      </c>
      <c r="L100" s="19"/>
      <c r="M100" s="94" t="s">
        <v>451</v>
      </c>
    </row>
    <row r="101" spans="1:13" ht="57.6" x14ac:dyDescent="0.3">
      <c r="A101" t="s">
        <v>333</v>
      </c>
      <c r="B101" s="33" t="s">
        <v>459</v>
      </c>
      <c r="C101" s="285" t="s">
        <v>460</v>
      </c>
      <c r="D101" s="304" t="s">
        <v>461</v>
      </c>
      <c r="E101" s="94" t="s">
        <v>183</v>
      </c>
      <c r="F101" s="94"/>
      <c r="G101" s="265"/>
      <c r="H101" s="291"/>
      <c r="I101" s="266"/>
      <c r="J101" s="266"/>
      <c r="K101" s="7">
        <v>1</v>
      </c>
      <c r="L101" s="285" t="s">
        <v>462</v>
      </c>
      <c r="M101" s="7"/>
    </row>
    <row r="102" spans="1:13" ht="57.6" x14ac:dyDescent="0.3">
      <c r="A102" t="s">
        <v>333</v>
      </c>
      <c r="B102" s="33" t="s">
        <v>463</v>
      </c>
      <c r="C102" s="285" t="s">
        <v>464</v>
      </c>
      <c r="D102" s="304" t="s">
        <v>461</v>
      </c>
      <c r="E102" s="94" t="s">
        <v>183</v>
      </c>
      <c r="F102" s="94"/>
      <c r="G102" s="265"/>
      <c r="H102" s="291"/>
      <c r="I102" s="266"/>
      <c r="J102" s="266"/>
      <c r="K102" s="7">
        <v>0.2</v>
      </c>
      <c r="L102" s="286" t="s">
        <v>462</v>
      </c>
      <c r="M102" s="81"/>
    </row>
    <row r="103" spans="1:13" ht="28.8" x14ac:dyDescent="0.3">
      <c r="A103" t="s">
        <v>333</v>
      </c>
      <c r="B103" s="33" t="s">
        <v>465</v>
      </c>
      <c r="C103" s="5" t="s">
        <v>466</v>
      </c>
      <c r="D103" s="263" t="s">
        <v>258</v>
      </c>
      <c r="E103" s="94" t="s">
        <v>159</v>
      </c>
      <c r="F103" s="94"/>
      <c r="G103" s="266" t="s">
        <v>103</v>
      </c>
      <c r="H103" s="266" t="s">
        <v>454</v>
      </c>
      <c r="I103" s="266" t="s">
        <v>467</v>
      </c>
      <c r="J103" s="259" t="s">
        <v>193</v>
      </c>
      <c r="K103" s="7">
        <v>0.64</v>
      </c>
      <c r="L103" s="95" t="s">
        <v>468</v>
      </c>
      <c r="M103" s="7"/>
    </row>
    <row r="104" spans="1:13" ht="43.2" x14ac:dyDescent="0.3">
      <c r="A104" t="s">
        <v>333</v>
      </c>
      <c r="B104" s="33" t="s">
        <v>469</v>
      </c>
      <c r="C104" s="5" t="s">
        <v>470</v>
      </c>
      <c r="D104" s="263" t="s">
        <v>258</v>
      </c>
      <c r="E104" s="94" t="s">
        <v>159</v>
      </c>
      <c r="F104" s="94"/>
      <c r="G104" s="266" t="s">
        <v>103</v>
      </c>
      <c r="H104" s="266" t="s">
        <v>471</v>
      </c>
      <c r="I104" s="33" t="s">
        <v>470</v>
      </c>
      <c r="J104" s="259" t="s">
        <v>193</v>
      </c>
      <c r="K104" s="7">
        <v>0.6</v>
      </c>
      <c r="L104" s="20" t="s">
        <v>472</v>
      </c>
      <c r="M104" s="94" t="s">
        <v>451</v>
      </c>
    </row>
    <row r="105" spans="1:13" ht="28.8" x14ac:dyDescent="0.3">
      <c r="A105" t="s">
        <v>333</v>
      </c>
      <c r="B105" s="33" t="s">
        <v>473</v>
      </c>
      <c r="C105" s="5" t="s">
        <v>474</v>
      </c>
      <c r="D105" s="263" t="s">
        <v>258</v>
      </c>
      <c r="E105" s="94" t="s">
        <v>159</v>
      </c>
      <c r="F105" s="94"/>
      <c r="G105" s="266" t="s">
        <v>103</v>
      </c>
      <c r="H105" s="266" t="s">
        <v>471</v>
      </c>
      <c r="I105" s="33" t="s">
        <v>474</v>
      </c>
      <c r="J105" s="259" t="s">
        <v>193</v>
      </c>
      <c r="K105" s="7">
        <v>0.25</v>
      </c>
      <c r="L105" s="20" t="s">
        <v>475</v>
      </c>
      <c r="M105" s="94" t="s">
        <v>451</v>
      </c>
    </row>
    <row r="106" spans="1:13" ht="15" customHeight="1" x14ac:dyDescent="0.3">
      <c r="A106" t="s">
        <v>333</v>
      </c>
      <c r="B106" s="33" t="s">
        <v>476</v>
      </c>
      <c r="C106" s="5" t="s">
        <v>477</v>
      </c>
      <c r="D106" s="263" t="s">
        <v>258</v>
      </c>
      <c r="E106" s="94" t="s">
        <v>159</v>
      </c>
      <c r="F106" s="94"/>
      <c r="G106" s="266" t="s">
        <v>103</v>
      </c>
      <c r="H106" s="266" t="s">
        <v>471</v>
      </c>
      <c r="I106" s="33" t="s">
        <v>477</v>
      </c>
      <c r="J106" s="259" t="s">
        <v>193</v>
      </c>
      <c r="K106" s="7">
        <v>0.55000000000000004</v>
      </c>
      <c r="L106" s="18" t="s">
        <v>475</v>
      </c>
      <c r="M106" s="94" t="s">
        <v>451</v>
      </c>
    </row>
    <row r="107" spans="1:13" ht="28.8" x14ac:dyDescent="0.3">
      <c r="A107" t="s">
        <v>333</v>
      </c>
      <c r="B107" s="33" t="s">
        <v>478</v>
      </c>
      <c r="C107" s="5" t="s">
        <v>479</v>
      </c>
      <c r="D107" s="263" t="s">
        <v>258</v>
      </c>
      <c r="E107" s="94" t="s">
        <v>159</v>
      </c>
      <c r="F107" s="94"/>
      <c r="G107" s="266" t="s">
        <v>103</v>
      </c>
      <c r="H107" s="266" t="s">
        <v>471</v>
      </c>
      <c r="I107" s="33" t="s">
        <v>479</v>
      </c>
      <c r="J107" s="259" t="s">
        <v>193</v>
      </c>
      <c r="K107" s="7">
        <v>1.6</v>
      </c>
      <c r="L107" s="18" t="s">
        <v>475</v>
      </c>
      <c r="M107" s="94" t="s">
        <v>451</v>
      </c>
    </row>
    <row r="108" spans="1:13" ht="28.8" x14ac:dyDescent="0.3">
      <c r="A108" t="s">
        <v>333</v>
      </c>
      <c r="B108" s="33" t="s">
        <v>480</v>
      </c>
      <c r="C108" s="301" t="s">
        <v>481</v>
      </c>
      <c r="D108" s="263"/>
      <c r="E108" s="95"/>
      <c r="F108" s="179" t="s">
        <v>482</v>
      </c>
      <c r="G108" s="266"/>
      <c r="H108" s="291"/>
      <c r="I108" s="266"/>
      <c r="J108" s="266"/>
      <c r="K108" s="7">
        <v>0.95</v>
      </c>
      <c r="L108" s="5" t="s">
        <v>483</v>
      </c>
      <c r="M108" s="94" t="s">
        <v>451</v>
      </c>
    </row>
    <row r="109" spans="1:13" ht="72" x14ac:dyDescent="0.3">
      <c r="A109" t="s">
        <v>333</v>
      </c>
      <c r="B109" s="33" t="s">
        <v>484</v>
      </c>
      <c r="C109" s="301" t="s">
        <v>485</v>
      </c>
      <c r="D109" s="33"/>
      <c r="E109" s="95"/>
      <c r="F109" s="179" t="s">
        <v>482</v>
      </c>
      <c r="G109" s="266"/>
      <c r="H109" s="291"/>
      <c r="I109" s="266"/>
      <c r="J109" s="266"/>
      <c r="K109" s="7">
        <v>0</v>
      </c>
      <c r="L109" s="20" t="s">
        <v>486</v>
      </c>
      <c r="M109" s="94" t="s">
        <v>487</v>
      </c>
    </row>
    <row r="110" spans="1:13" ht="72" x14ac:dyDescent="0.3">
      <c r="A110" t="s">
        <v>333</v>
      </c>
      <c r="B110" s="33" t="s">
        <v>488</v>
      </c>
      <c r="C110" s="301" t="s">
        <v>489</v>
      </c>
      <c r="D110" s="33"/>
      <c r="E110" s="95"/>
      <c r="F110" s="179" t="s">
        <v>482</v>
      </c>
      <c r="G110" s="266"/>
      <c r="H110" s="291"/>
      <c r="I110" s="259"/>
      <c r="J110" s="266"/>
      <c r="K110" s="7">
        <v>0</v>
      </c>
      <c r="L110" s="20" t="s">
        <v>486</v>
      </c>
      <c r="M110" s="82"/>
    </row>
    <row r="111" spans="1:13" ht="72" x14ac:dyDescent="0.3">
      <c r="A111" t="s">
        <v>333</v>
      </c>
      <c r="B111" s="33" t="s">
        <v>490</v>
      </c>
      <c r="C111" s="301" t="s">
        <v>491</v>
      </c>
      <c r="D111" s="33"/>
      <c r="E111" s="172"/>
      <c r="F111" s="179" t="s">
        <v>482</v>
      </c>
      <c r="G111" s="266"/>
      <c r="H111" s="291"/>
      <c r="I111" s="259"/>
      <c r="J111" s="266"/>
      <c r="K111" s="6">
        <v>1</v>
      </c>
      <c r="L111" s="20" t="s">
        <v>486</v>
      </c>
      <c r="M111" s="82"/>
    </row>
    <row r="112" spans="1:13" ht="28.8" x14ac:dyDescent="0.3">
      <c r="A112" t="s">
        <v>333</v>
      </c>
      <c r="B112" s="33" t="s">
        <v>492</v>
      </c>
      <c r="C112" s="5" t="s">
        <v>493</v>
      </c>
      <c r="D112" s="263" t="s">
        <v>494</v>
      </c>
      <c r="E112" s="95" t="s">
        <v>204</v>
      </c>
      <c r="F112" s="95"/>
      <c r="G112" s="266" t="s">
        <v>204</v>
      </c>
      <c r="H112" s="266" t="s">
        <v>204</v>
      </c>
      <c r="I112" s="259"/>
      <c r="J112" s="266"/>
      <c r="K112" s="7">
        <v>0.35</v>
      </c>
      <c r="L112" s="5" t="s">
        <v>495</v>
      </c>
      <c r="M112" s="6"/>
    </row>
    <row r="113" spans="1:13" ht="15" customHeight="1" x14ac:dyDescent="0.3">
      <c r="A113" t="s">
        <v>333</v>
      </c>
      <c r="B113" s="33" t="s">
        <v>496</v>
      </c>
      <c r="C113" s="5" t="s">
        <v>497</v>
      </c>
      <c r="D113" s="33" t="s">
        <v>258</v>
      </c>
      <c r="E113" s="95" t="s">
        <v>159</v>
      </c>
      <c r="F113" s="95"/>
      <c r="G113" s="266" t="s">
        <v>103</v>
      </c>
      <c r="H113" s="266" t="s">
        <v>498</v>
      </c>
      <c r="I113" s="259" t="s">
        <v>120</v>
      </c>
      <c r="J113" s="266"/>
      <c r="K113" s="7">
        <v>1</v>
      </c>
      <c r="L113" s="5" t="s">
        <v>499</v>
      </c>
      <c r="M113" s="82"/>
    </row>
    <row r="114" spans="1:13" ht="57.6" x14ac:dyDescent="0.3">
      <c r="A114" t="s">
        <v>333</v>
      </c>
      <c r="B114" s="33" t="s">
        <v>500</v>
      </c>
      <c r="C114" s="5" t="s">
        <v>501</v>
      </c>
      <c r="D114" s="33" t="s">
        <v>258</v>
      </c>
      <c r="E114" s="95" t="s">
        <v>159</v>
      </c>
      <c r="F114" s="95"/>
      <c r="G114" s="259" t="s">
        <v>103</v>
      </c>
      <c r="H114" s="266" t="s">
        <v>498</v>
      </c>
      <c r="I114" s="33" t="s">
        <v>502</v>
      </c>
      <c r="J114" s="266" t="s">
        <v>193</v>
      </c>
      <c r="K114" s="7">
        <v>0.8</v>
      </c>
      <c r="L114" s="5" t="s">
        <v>503</v>
      </c>
      <c r="M114" s="82"/>
    </row>
    <row r="115" spans="1:13" x14ac:dyDescent="0.3">
      <c r="A115" t="s">
        <v>333</v>
      </c>
      <c r="B115" s="33" t="s">
        <v>504</v>
      </c>
      <c r="C115" s="5" t="s">
        <v>505</v>
      </c>
      <c r="D115" s="263" t="s">
        <v>258</v>
      </c>
      <c r="E115" s="95" t="s">
        <v>159</v>
      </c>
      <c r="F115" s="179" t="s">
        <v>166</v>
      </c>
      <c r="G115" s="259" t="s">
        <v>103</v>
      </c>
      <c r="H115" s="271"/>
      <c r="I115" s="259"/>
      <c r="J115" s="13" t="s">
        <v>193</v>
      </c>
      <c r="K115" s="8">
        <v>0.5</v>
      </c>
      <c r="L115" s="5"/>
      <c r="M115" s="82"/>
    </row>
    <row r="116" spans="1:13" x14ac:dyDescent="0.3">
      <c r="A116" t="s">
        <v>333</v>
      </c>
      <c r="B116" s="33" t="s">
        <v>506</v>
      </c>
      <c r="C116" s="301" t="s">
        <v>507</v>
      </c>
      <c r="D116" s="263"/>
      <c r="E116" s="94"/>
      <c r="F116" s="94"/>
      <c r="G116" s="266"/>
      <c r="H116" s="9"/>
      <c r="I116" s="259"/>
      <c r="J116" s="259"/>
      <c r="K116" s="7">
        <v>0.8</v>
      </c>
      <c r="L116" s="30"/>
      <c r="M116" s="7"/>
    </row>
    <row r="117" spans="1:13" ht="28.8" x14ac:dyDescent="0.3">
      <c r="A117" t="s">
        <v>333</v>
      </c>
      <c r="B117" s="33" t="s">
        <v>508</v>
      </c>
      <c r="C117" s="5" t="s">
        <v>509</v>
      </c>
      <c r="D117" s="263" t="s">
        <v>258</v>
      </c>
      <c r="E117" s="95" t="s">
        <v>159</v>
      </c>
      <c r="F117" s="94"/>
      <c r="G117" s="259" t="s">
        <v>103</v>
      </c>
      <c r="H117" s="271" t="s">
        <v>454</v>
      </c>
      <c r="I117" s="33" t="s">
        <v>510</v>
      </c>
      <c r="J117" s="266" t="s">
        <v>193</v>
      </c>
      <c r="K117" s="6">
        <v>23827</v>
      </c>
      <c r="L117" s="17" t="s">
        <v>511</v>
      </c>
      <c r="M117" s="7"/>
    </row>
    <row r="118" spans="1:13" ht="43.2" x14ac:dyDescent="0.3">
      <c r="A118" t="s">
        <v>333</v>
      </c>
      <c r="B118" s="33" t="s">
        <v>512</v>
      </c>
      <c r="C118" s="303" t="s">
        <v>513</v>
      </c>
      <c r="D118" s="263" t="s">
        <v>258</v>
      </c>
      <c r="E118" s="249" t="s">
        <v>159</v>
      </c>
      <c r="F118" s="179" t="s">
        <v>482</v>
      </c>
      <c r="G118" s="259" t="s">
        <v>103</v>
      </c>
      <c r="H118" s="292" t="s">
        <v>514</v>
      </c>
      <c r="I118" s="259" t="s">
        <v>138</v>
      </c>
      <c r="J118" s="266" t="s">
        <v>193</v>
      </c>
      <c r="K118" s="26">
        <v>1074</v>
      </c>
      <c r="L118" s="5"/>
      <c r="M118" s="7"/>
    </row>
    <row r="119" spans="1:13" ht="43.2" x14ac:dyDescent="0.3">
      <c r="A119" t="s">
        <v>333</v>
      </c>
      <c r="B119" s="33" t="s">
        <v>515</v>
      </c>
      <c r="C119" s="292" t="s">
        <v>516</v>
      </c>
      <c r="D119" s="263" t="s">
        <v>258</v>
      </c>
      <c r="E119" s="250" t="s">
        <v>159</v>
      </c>
      <c r="F119" s="179" t="s">
        <v>482</v>
      </c>
      <c r="G119" s="259" t="s">
        <v>103</v>
      </c>
      <c r="H119" s="292" t="s">
        <v>514</v>
      </c>
      <c r="I119" s="259" t="s">
        <v>517</v>
      </c>
      <c r="J119" s="266" t="s">
        <v>193</v>
      </c>
      <c r="K119" s="9">
        <v>-6.4000000000000001E-2</v>
      </c>
      <c r="L119" s="5"/>
      <c r="M119" s="6"/>
    </row>
    <row r="120" spans="1:13" ht="28.8" x14ac:dyDescent="0.3">
      <c r="A120" t="s">
        <v>333</v>
      </c>
      <c r="B120" s="33" t="s">
        <v>518</v>
      </c>
      <c r="C120" s="5" t="s">
        <v>519</v>
      </c>
      <c r="D120" s="263" t="s">
        <v>258</v>
      </c>
      <c r="E120" s="95" t="s">
        <v>159</v>
      </c>
      <c r="F120" s="179" t="s">
        <v>482</v>
      </c>
      <c r="G120" s="13" t="s">
        <v>103</v>
      </c>
      <c r="H120" s="258" t="s">
        <v>454</v>
      </c>
      <c r="I120" s="259" t="s">
        <v>519</v>
      </c>
      <c r="J120" s="13" t="s">
        <v>172</v>
      </c>
      <c r="K120" s="7">
        <v>0.5</v>
      </c>
      <c r="L120" s="5" t="s">
        <v>520</v>
      </c>
      <c r="M120" s="6"/>
    </row>
    <row r="121" spans="1:13" ht="57.6" x14ac:dyDescent="0.3">
      <c r="A121" t="s">
        <v>333</v>
      </c>
      <c r="B121" s="33" t="s">
        <v>521</v>
      </c>
      <c r="C121" s="5" t="s">
        <v>522</v>
      </c>
      <c r="D121" s="263" t="s">
        <v>258</v>
      </c>
      <c r="E121" s="95" t="s">
        <v>159</v>
      </c>
      <c r="F121" s="95"/>
      <c r="G121" s="259" t="s">
        <v>45</v>
      </c>
      <c r="H121" s="266" t="s">
        <v>523</v>
      </c>
      <c r="I121" s="33" t="s">
        <v>522</v>
      </c>
      <c r="J121" s="266" t="s">
        <v>193</v>
      </c>
      <c r="K121" s="7">
        <v>0.6</v>
      </c>
      <c r="L121" s="20" t="s">
        <v>524</v>
      </c>
      <c r="M121" s="7"/>
    </row>
    <row r="122" spans="1:13" ht="57.6" x14ac:dyDescent="0.3">
      <c r="A122" t="s">
        <v>333</v>
      </c>
      <c r="B122" s="33" t="s">
        <v>525</v>
      </c>
      <c r="C122" s="5" t="s">
        <v>526</v>
      </c>
      <c r="D122" s="263" t="s">
        <v>258</v>
      </c>
      <c r="E122" s="95" t="s">
        <v>159</v>
      </c>
      <c r="F122" s="174"/>
      <c r="G122" s="259" t="s">
        <v>45</v>
      </c>
      <c r="H122" s="266" t="s">
        <v>523</v>
      </c>
      <c r="I122" s="33" t="s">
        <v>526</v>
      </c>
      <c r="J122" s="266" t="s">
        <v>193</v>
      </c>
      <c r="K122" s="10">
        <v>0.25</v>
      </c>
      <c r="L122" s="20" t="s">
        <v>524</v>
      </c>
      <c r="M122" s="7"/>
    </row>
    <row r="123" spans="1:13" ht="57.6" x14ac:dyDescent="0.3">
      <c r="A123" t="s">
        <v>333</v>
      </c>
      <c r="B123" s="33" t="s">
        <v>527</v>
      </c>
      <c r="C123" s="5" t="s">
        <v>528</v>
      </c>
      <c r="D123" s="263" t="s">
        <v>258</v>
      </c>
      <c r="E123" s="95" t="s">
        <v>159</v>
      </c>
      <c r="F123" s="174"/>
      <c r="G123" s="259" t="s">
        <v>45</v>
      </c>
      <c r="H123" s="266" t="s">
        <v>523</v>
      </c>
      <c r="I123" s="33" t="s">
        <v>528</v>
      </c>
      <c r="J123" s="266" t="s">
        <v>193</v>
      </c>
      <c r="K123" s="10">
        <v>0.25</v>
      </c>
      <c r="L123" s="20" t="s">
        <v>524</v>
      </c>
      <c r="M123" s="7"/>
    </row>
    <row r="124" spans="1:13" ht="15" customHeight="1" x14ac:dyDescent="0.3">
      <c r="A124" t="s">
        <v>333</v>
      </c>
      <c r="B124" s="33" t="s">
        <v>529</v>
      </c>
      <c r="C124" s="5" t="s">
        <v>530</v>
      </c>
      <c r="D124" s="263" t="s">
        <v>258</v>
      </c>
      <c r="E124" s="95" t="s">
        <v>159</v>
      </c>
      <c r="F124" s="175"/>
      <c r="G124" s="259" t="s">
        <v>45</v>
      </c>
      <c r="H124" s="266" t="s">
        <v>523</v>
      </c>
      <c r="I124" s="259" t="s">
        <v>531</v>
      </c>
      <c r="J124" s="266" t="s">
        <v>193</v>
      </c>
      <c r="K124" s="12">
        <v>0</v>
      </c>
      <c r="L124" s="18" t="s">
        <v>532</v>
      </c>
      <c r="M124" s="81"/>
    </row>
    <row r="125" spans="1:13" ht="28.8" x14ac:dyDescent="0.3">
      <c r="A125" t="s">
        <v>333</v>
      </c>
      <c r="B125" s="33" t="s">
        <v>533</v>
      </c>
      <c r="C125" s="5" t="s">
        <v>534</v>
      </c>
      <c r="D125" s="263" t="s">
        <v>258</v>
      </c>
      <c r="E125" s="95" t="s">
        <v>159</v>
      </c>
      <c r="F125" s="175"/>
      <c r="G125" s="259" t="s">
        <v>45</v>
      </c>
      <c r="H125" s="266" t="s">
        <v>523</v>
      </c>
      <c r="I125" s="259" t="s">
        <v>531</v>
      </c>
      <c r="J125" s="266" t="s">
        <v>193</v>
      </c>
      <c r="K125" s="12">
        <v>0</v>
      </c>
      <c r="L125" s="18" t="s">
        <v>532</v>
      </c>
      <c r="M125" s="83"/>
    </row>
    <row r="126" spans="1:13" ht="28.8" x14ac:dyDescent="0.3">
      <c r="A126" t="s">
        <v>333</v>
      </c>
      <c r="B126" s="33" t="s">
        <v>535</v>
      </c>
      <c r="C126" s="5" t="s">
        <v>536</v>
      </c>
      <c r="D126" s="263" t="s">
        <v>258</v>
      </c>
      <c r="E126" s="95" t="s">
        <v>159</v>
      </c>
      <c r="F126" s="175"/>
      <c r="G126" s="259" t="s">
        <v>45</v>
      </c>
      <c r="H126" s="266" t="s">
        <v>523</v>
      </c>
      <c r="I126" s="259" t="s">
        <v>531</v>
      </c>
      <c r="J126" s="266" t="s">
        <v>193</v>
      </c>
      <c r="K126" s="12">
        <v>0</v>
      </c>
      <c r="L126" s="18" t="s">
        <v>532</v>
      </c>
      <c r="M126" s="83"/>
    </row>
    <row r="127" spans="1:13" ht="28.8" x14ac:dyDescent="0.3">
      <c r="A127" t="s">
        <v>333</v>
      </c>
      <c r="B127" s="33" t="s">
        <v>537</v>
      </c>
      <c r="C127" s="5" t="s">
        <v>538</v>
      </c>
      <c r="D127" s="263" t="s">
        <v>258</v>
      </c>
      <c r="E127" s="95" t="s">
        <v>159</v>
      </c>
      <c r="F127" s="175"/>
      <c r="G127" s="259" t="s">
        <v>45</v>
      </c>
      <c r="H127" s="266" t="s">
        <v>523</v>
      </c>
      <c r="I127" s="259" t="s">
        <v>531</v>
      </c>
      <c r="J127" s="266" t="s">
        <v>193</v>
      </c>
      <c r="K127" s="12">
        <v>0</v>
      </c>
      <c r="L127" s="18" t="s">
        <v>532</v>
      </c>
      <c r="M127" s="84"/>
    </row>
    <row r="128" spans="1:13" ht="28.8" x14ac:dyDescent="0.3">
      <c r="A128" t="s">
        <v>333</v>
      </c>
      <c r="B128" s="33" t="s">
        <v>539</v>
      </c>
      <c r="C128" s="5" t="s">
        <v>540</v>
      </c>
      <c r="D128" s="263" t="s">
        <v>258</v>
      </c>
      <c r="E128" s="95" t="s">
        <v>159</v>
      </c>
      <c r="F128" s="175"/>
      <c r="G128" s="259" t="s">
        <v>45</v>
      </c>
      <c r="H128" s="266" t="s">
        <v>523</v>
      </c>
      <c r="I128" s="259" t="s">
        <v>531</v>
      </c>
      <c r="J128" s="266" t="s">
        <v>193</v>
      </c>
      <c r="K128" s="12">
        <v>0</v>
      </c>
      <c r="L128" s="18" t="s">
        <v>532</v>
      </c>
      <c r="M128" s="84"/>
    </row>
    <row r="129" spans="1:13" ht="28.8" x14ac:dyDescent="0.3">
      <c r="A129" t="s">
        <v>333</v>
      </c>
      <c r="B129" s="33" t="s">
        <v>541</v>
      </c>
      <c r="C129" s="5" t="s">
        <v>542</v>
      </c>
      <c r="D129" s="263" t="s">
        <v>258</v>
      </c>
      <c r="E129" s="95" t="s">
        <v>159</v>
      </c>
      <c r="F129" s="175"/>
      <c r="G129" s="259" t="s">
        <v>45</v>
      </c>
      <c r="H129" s="266" t="s">
        <v>523</v>
      </c>
      <c r="I129" s="259" t="s">
        <v>531</v>
      </c>
      <c r="J129" s="266" t="s">
        <v>193</v>
      </c>
      <c r="K129" s="12">
        <v>0</v>
      </c>
      <c r="L129" s="18" t="s">
        <v>532</v>
      </c>
      <c r="M129" s="84"/>
    </row>
    <row r="130" spans="1:13" ht="28.8" x14ac:dyDescent="0.3">
      <c r="A130" t="s">
        <v>333</v>
      </c>
      <c r="B130" s="33" t="s">
        <v>543</v>
      </c>
      <c r="C130" s="5" t="s">
        <v>544</v>
      </c>
      <c r="D130" s="263" t="s">
        <v>258</v>
      </c>
      <c r="E130" s="95" t="s">
        <v>159</v>
      </c>
      <c r="F130" s="175"/>
      <c r="G130" s="259" t="s">
        <v>45</v>
      </c>
      <c r="H130" s="266" t="s">
        <v>523</v>
      </c>
      <c r="I130" s="259" t="s">
        <v>531</v>
      </c>
      <c r="J130" s="266" t="s">
        <v>193</v>
      </c>
      <c r="K130" s="12">
        <v>0</v>
      </c>
      <c r="L130" s="19" t="s">
        <v>545</v>
      </c>
      <c r="M130" s="84"/>
    </row>
    <row r="131" spans="1:13" hidden="1" x14ac:dyDescent="0.3">
      <c r="A131" t="s">
        <v>546</v>
      </c>
      <c r="B131" s="33" t="s">
        <v>547</v>
      </c>
      <c r="C131" s="5" t="s">
        <v>548</v>
      </c>
      <c r="D131" s="33" t="s">
        <v>158</v>
      </c>
      <c r="E131" s="96" t="s">
        <v>159</v>
      </c>
      <c r="F131" s="96"/>
      <c r="G131" s="13" t="s">
        <v>266</v>
      </c>
      <c r="H131" s="13" t="s">
        <v>549</v>
      </c>
      <c r="I131" s="13"/>
      <c r="J131" s="13"/>
      <c r="K131" s="2"/>
      <c r="L131" s="22"/>
      <c r="M131" s="2"/>
    </row>
    <row r="132" spans="1:13" hidden="1" x14ac:dyDescent="0.3">
      <c r="A132" t="s">
        <v>546</v>
      </c>
      <c r="B132" s="33" t="s">
        <v>550</v>
      </c>
      <c r="C132" s="5" t="s">
        <v>551</v>
      </c>
      <c r="D132" s="33" t="s">
        <v>158</v>
      </c>
      <c r="E132" s="96" t="s">
        <v>159</v>
      </c>
      <c r="F132" s="96"/>
      <c r="G132" s="13" t="s">
        <v>266</v>
      </c>
      <c r="H132" s="13" t="s">
        <v>549</v>
      </c>
      <c r="I132" s="13"/>
      <c r="J132" s="13"/>
      <c r="K132" s="2"/>
      <c r="L132" s="22"/>
      <c r="M132" s="2"/>
    </row>
    <row r="133" spans="1:13" ht="28.8" hidden="1" x14ac:dyDescent="0.3">
      <c r="A133" t="s">
        <v>546</v>
      </c>
      <c r="B133" s="33" t="s">
        <v>552</v>
      </c>
      <c r="C133" s="5" t="s">
        <v>553</v>
      </c>
      <c r="D133" s="33" t="s">
        <v>158</v>
      </c>
      <c r="E133" s="96" t="s">
        <v>159</v>
      </c>
      <c r="F133" s="96"/>
      <c r="G133" s="13" t="s">
        <v>266</v>
      </c>
      <c r="H133" s="13" t="s">
        <v>549</v>
      </c>
      <c r="I133" s="13"/>
      <c r="J133" s="13"/>
      <c r="K133" s="2"/>
      <c r="L133" s="22"/>
      <c r="M133" s="2"/>
    </row>
    <row r="134" spans="1:13" hidden="1" x14ac:dyDescent="0.3">
      <c r="A134" t="s">
        <v>546</v>
      </c>
      <c r="B134" s="33" t="s">
        <v>554</v>
      </c>
      <c r="C134" s="5" t="s">
        <v>555</v>
      </c>
      <c r="D134" s="33" t="s">
        <v>158</v>
      </c>
      <c r="E134" s="96" t="s">
        <v>159</v>
      </c>
      <c r="F134" s="96"/>
      <c r="G134" s="13" t="s">
        <v>266</v>
      </c>
      <c r="H134" s="13" t="s">
        <v>556</v>
      </c>
      <c r="I134" s="13"/>
      <c r="J134" s="13"/>
      <c r="K134" s="2"/>
      <c r="L134" s="22"/>
      <c r="M134" s="2"/>
    </row>
    <row r="135" spans="1:13" ht="28.8" hidden="1" x14ac:dyDescent="0.3">
      <c r="A135" t="s">
        <v>546</v>
      </c>
      <c r="B135" s="33" t="s">
        <v>557</v>
      </c>
      <c r="C135" s="5" t="s">
        <v>558</v>
      </c>
      <c r="D135" s="263" t="s">
        <v>559</v>
      </c>
      <c r="E135" s="96" t="s">
        <v>159</v>
      </c>
      <c r="F135" s="94"/>
      <c r="G135" s="13" t="s">
        <v>204</v>
      </c>
      <c r="H135" s="13" t="s">
        <v>204</v>
      </c>
      <c r="I135" s="13" t="s">
        <v>204</v>
      </c>
      <c r="J135" s="13" t="s">
        <v>204</v>
      </c>
      <c r="K135" s="2" t="s">
        <v>560</v>
      </c>
      <c r="L135" s="22"/>
      <c r="M135" s="2" t="s">
        <v>561</v>
      </c>
    </row>
    <row r="136" spans="1:13" ht="43.2" hidden="1" x14ac:dyDescent="0.3">
      <c r="A136" t="s">
        <v>546</v>
      </c>
      <c r="B136" s="33" t="s">
        <v>562</v>
      </c>
      <c r="C136" s="5" t="s">
        <v>563</v>
      </c>
      <c r="D136" s="263" t="s">
        <v>258</v>
      </c>
      <c r="E136" s="96" t="s">
        <v>159</v>
      </c>
      <c r="F136" s="94"/>
      <c r="G136" s="13" t="s">
        <v>190</v>
      </c>
      <c r="H136" s="33" t="s">
        <v>563</v>
      </c>
      <c r="I136" s="33" t="s">
        <v>563</v>
      </c>
      <c r="J136" s="13" t="s">
        <v>564</v>
      </c>
      <c r="K136" s="2" t="s">
        <v>560</v>
      </c>
      <c r="L136" s="22"/>
      <c r="M136" s="2" t="s">
        <v>561</v>
      </c>
    </row>
    <row r="137" spans="1:13" ht="29.25" hidden="1" customHeight="1" x14ac:dyDescent="0.3">
      <c r="A137" t="s">
        <v>546</v>
      </c>
      <c r="B137" s="33" t="s">
        <v>565</v>
      </c>
      <c r="C137" s="301" t="s">
        <v>566</v>
      </c>
      <c r="D137" s="34"/>
      <c r="E137" s="96"/>
      <c r="F137" s="96"/>
      <c r="G137" s="13"/>
      <c r="H137" s="2"/>
      <c r="I137" s="13"/>
      <c r="J137" s="13"/>
      <c r="K137" s="2" t="s">
        <v>560</v>
      </c>
      <c r="L137" s="22"/>
      <c r="M137" s="2"/>
    </row>
    <row r="138" spans="1:13" ht="30" hidden="1" customHeight="1" x14ac:dyDescent="0.3">
      <c r="A138" t="s">
        <v>546</v>
      </c>
      <c r="B138" s="33" t="s">
        <v>567</v>
      </c>
      <c r="C138" s="5" t="s">
        <v>568</v>
      </c>
      <c r="D138" s="263" t="s">
        <v>258</v>
      </c>
      <c r="E138" s="96" t="s">
        <v>159</v>
      </c>
      <c r="F138" s="96"/>
      <c r="G138" s="13" t="s">
        <v>45</v>
      </c>
      <c r="H138" s="13" t="s">
        <v>387</v>
      </c>
      <c r="I138" s="13" t="s">
        <v>387</v>
      </c>
      <c r="J138" s="13" t="s">
        <v>172</v>
      </c>
      <c r="K138" s="2" t="s">
        <v>560</v>
      </c>
      <c r="L138" s="22"/>
      <c r="M138" s="2"/>
    </row>
    <row r="139" spans="1:13" ht="30" hidden="1" customHeight="1" x14ac:dyDescent="0.3">
      <c r="A139" t="s">
        <v>546</v>
      </c>
      <c r="B139" s="33" t="s">
        <v>569</v>
      </c>
      <c r="C139" s="5" t="s">
        <v>570</v>
      </c>
      <c r="D139" s="263" t="s">
        <v>258</v>
      </c>
      <c r="E139" s="96" t="s">
        <v>159</v>
      </c>
      <c r="F139" s="96"/>
      <c r="G139" s="13" t="s">
        <v>571</v>
      </c>
      <c r="H139" s="13" t="s">
        <v>498</v>
      </c>
      <c r="I139" s="13" t="s">
        <v>572</v>
      </c>
      <c r="J139" s="13" t="s">
        <v>172</v>
      </c>
      <c r="K139" s="2" t="s">
        <v>560</v>
      </c>
      <c r="L139" s="22"/>
      <c r="M139" s="2"/>
    </row>
    <row r="140" spans="1:13" ht="30" hidden="1" customHeight="1" x14ac:dyDescent="0.3">
      <c r="A140" t="s">
        <v>546</v>
      </c>
      <c r="B140" s="33" t="s">
        <v>573</v>
      </c>
      <c r="C140" s="5" t="s">
        <v>574</v>
      </c>
      <c r="D140" s="263" t="s">
        <v>258</v>
      </c>
      <c r="E140" s="96" t="s">
        <v>159</v>
      </c>
      <c r="F140" s="96"/>
      <c r="G140" s="13" t="s">
        <v>571</v>
      </c>
      <c r="H140" s="13" t="s">
        <v>498</v>
      </c>
      <c r="I140" s="13" t="s">
        <v>572</v>
      </c>
      <c r="J140" s="13" t="s">
        <v>172</v>
      </c>
      <c r="K140" s="2" t="s">
        <v>560</v>
      </c>
      <c r="L140" s="22"/>
      <c r="M140" s="2"/>
    </row>
    <row r="141" spans="1:13" ht="30" hidden="1" customHeight="1" x14ac:dyDescent="0.3">
      <c r="A141" t="s">
        <v>546</v>
      </c>
      <c r="B141" s="33" t="s">
        <v>575</v>
      </c>
      <c r="C141" s="5" t="s">
        <v>576</v>
      </c>
      <c r="D141" s="263" t="s">
        <v>258</v>
      </c>
      <c r="E141" s="96" t="s">
        <v>159</v>
      </c>
      <c r="F141" s="96"/>
      <c r="G141" s="13" t="s">
        <v>571</v>
      </c>
      <c r="H141" s="13" t="s">
        <v>498</v>
      </c>
      <c r="I141" s="13" t="s">
        <v>577</v>
      </c>
      <c r="J141" s="13" t="s">
        <v>172</v>
      </c>
      <c r="K141" s="2" t="s">
        <v>560</v>
      </c>
      <c r="L141" s="22"/>
      <c r="M141" s="2"/>
    </row>
    <row r="142" spans="1:13" ht="30" hidden="1" customHeight="1" x14ac:dyDescent="0.3">
      <c r="A142" t="s">
        <v>546</v>
      </c>
      <c r="B142" s="33" t="s">
        <v>578</v>
      </c>
      <c r="C142" s="5" t="s">
        <v>579</v>
      </c>
      <c r="D142" s="263" t="s">
        <v>258</v>
      </c>
      <c r="E142" s="96" t="s">
        <v>159</v>
      </c>
      <c r="F142" s="96"/>
      <c r="G142" s="13" t="s">
        <v>571</v>
      </c>
      <c r="H142" s="13" t="s">
        <v>498</v>
      </c>
      <c r="I142" s="13" t="s">
        <v>577</v>
      </c>
      <c r="J142" s="13" t="s">
        <v>172</v>
      </c>
      <c r="K142" s="2" t="s">
        <v>560</v>
      </c>
      <c r="L142" s="22"/>
      <c r="M142" s="2"/>
    </row>
    <row r="143" spans="1:13" ht="30" hidden="1" customHeight="1" x14ac:dyDescent="0.3">
      <c r="A143" t="s">
        <v>546</v>
      </c>
      <c r="B143" s="33" t="s">
        <v>580</v>
      </c>
      <c r="C143" s="301" t="s">
        <v>581</v>
      </c>
      <c r="D143" s="33"/>
      <c r="E143" s="96"/>
      <c r="F143" s="96"/>
      <c r="G143" s="256"/>
      <c r="H143" s="285"/>
      <c r="I143" s="256"/>
      <c r="J143" s="256"/>
      <c r="K143" s="2" t="s">
        <v>560</v>
      </c>
      <c r="L143" s="22"/>
      <c r="M143" s="2"/>
    </row>
    <row r="144" spans="1:13" ht="45" hidden="1" customHeight="1" x14ac:dyDescent="0.3">
      <c r="A144" t="s">
        <v>546</v>
      </c>
      <c r="B144" s="33" t="s">
        <v>582</v>
      </c>
      <c r="C144" s="5" t="s">
        <v>583</v>
      </c>
      <c r="D144" s="33" t="s">
        <v>349</v>
      </c>
      <c r="E144" s="96" t="s">
        <v>204</v>
      </c>
      <c r="F144" s="96"/>
      <c r="G144" s="256" t="s">
        <v>204</v>
      </c>
      <c r="H144" s="256" t="s">
        <v>204</v>
      </c>
      <c r="I144" s="256" t="s">
        <v>204</v>
      </c>
      <c r="J144" s="256" t="s">
        <v>204</v>
      </c>
      <c r="K144" s="2" t="s">
        <v>560</v>
      </c>
      <c r="L144" s="22"/>
      <c r="M144" s="2"/>
    </row>
    <row r="145" spans="1:13" ht="30" hidden="1" customHeight="1" x14ac:dyDescent="0.3">
      <c r="A145" t="s">
        <v>546</v>
      </c>
      <c r="B145" s="33" t="s">
        <v>584</v>
      </c>
      <c r="C145" s="5" t="s">
        <v>585</v>
      </c>
      <c r="D145" s="33" t="s">
        <v>349</v>
      </c>
      <c r="E145" s="96"/>
      <c r="F145" s="176"/>
      <c r="G145" s="255"/>
      <c r="H145" s="2"/>
      <c r="I145" s="13"/>
      <c r="J145" s="13"/>
      <c r="K145" s="2" t="s">
        <v>560</v>
      </c>
      <c r="L145" s="22"/>
      <c r="M145" s="2"/>
    </row>
    <row r="146" spans="1:13" ht="45" hidden="1" customHeight="1" x14ac:dyDescent="0.3">
      <c r="A146" t="s">
        <v>546</v>
      </c>
      <c r="B146" s="169" t="s">
        <v>586</v>
      </c>
      <c r="C146" s="19" t="s">
        <v>587</v>
      </c>
      <c r="D146" s="33" t="s">
        <v>349</v>
      </c>
      <c r="E146" s="176"/>
      <c r="F146" s="176"/>
      <c r="G146" s="255"/>
      <c r="H146" s="2"/>
      <c r="I146" s="255"/>
      <c r="J146" s="255"/>
      <c r="K146" s="2" t="s">
        <v>560</v>
      </c>
      <c r="L146" s="86"/>
      <c r="M146" s="87"/>
    </row>
    <row r="147" spans="1:13" ht="28.8" hidden="1" x14ac:dyDescent="0.3">
      <c r="A147" t="s">
        <v>588</v>
      </c>
      <c r="B147" s="33" t="s">
        <v>589</v>
      </c>
      <c r="C147" s="5" t="s">
        <v>590</v>
      </c>
      <c r="D147" s="33" t="s">
        <v>591</v>
      </c>
      <c r="E147" s="96" t="s">
        <v>159</v>
      </c>
      <c r="F147" s="176"/>
      <c r="G147" s="255" t="s">
        <v>85</v>
      </c>
      <c r="H147" s="255" t="s">
        <v>85</v>
      </c>
      <c r="I147" s="13" t="s">
        <v>592</v>
      </c>
      <c r="J147" s="257" t="s">
        <v>172</v>
      </c>
      <c r="K147" s="2"/>
      <c r="L147" s="22"/>
      <c r="M147" s="2"/>
    </row>
    <row r="148" spans="1:13" ht="28.8" hidden="1" x14ac:dyDescent="0.3">
      <c r="A148" t="s">
        <v>588</v>
      </c>
      <c r="B148" s="33" t="s">
        <v>589</v>
      </c>
      <c r="C148" s="5" t="s">
        <v>590</v>
      </c>
      <c r="D148" s="33" t="s">
        <v>591</v>
      </c>
      <c r="E148" s="96" t="s">
        <v>159</v>
      </c>
      <c r="F148" s="176"/>
      <c r="G148" s="255" t="s">
        <v>85</v>
      </c>
      <c r="H148" s="255" t="s">
        <v>85</v>
      </c>
      <c r="I148" s="13" t="s">
        <v>592</v>
      </c>
      <c r="J148" s="257" t="s">
        <v>172</v>
      </c>
      <c r="K148" s="2"/>
      <c r="L148" s="22"/>
      <c r="M148" s="2"/>
    </row>
    <row r="149" spans="1:13" ht="28.8" hidden="1" x14ac:dyDescent="0.3">
      <c r="A149" t="s">
        <v>588</v>
      </c>
      <c r="B149" s="33" t="s">
        <v>589</v>
      </c>
      <c r="C149" s="5" t="s">
        <v>593</v>
      </c>
      <c r="D149" s="33" t="s">
        <v>158</v>
      </c>
      <c r="E149" s="96" t="s">
        <v>159</v>
      </c>
      <c r="F149" s="176"/>
      <c r="G149" s="255" t="s">
        <v>85</v>
      </c>
      <c r="H149" s="255" t="s">
        <v>85</v>
      </c>
      <c r="I149" s="13" t="s">
        <v>324</v>
      </c>
      <c r="J149" s="257" t="s">
        <v>172</v>
      </c>
      <c r="K149" s="2"/>
      <c r="L149" s="22"/>
      <c r="M149" s="2"/>
    </row>
    <row r="150" spans="1:13" ht="28.8" hidden="1" x14ac:dyDescent="0.3">
      <c r="A150" t="s">
        <v>588</v>
      </c>
      <c r="B150" s="33" t="s">
        <v>589</v>
      </c>
      <c r="C150" s="5" t="s">
        <v>594</v>
      </c>
      <c r="D150" s="33" t="s">
        <v>158</v>
      </c>
      <c r="E150" s="96" t="s">
        <v>159</v>
      </c>
      <c r="F150" s="176"/>
      <c r="G150" s="255" t="s">
        <v>85</v>
      </c>
      <c r="H150" s="255" t="s">
        <v>85</v>
      </c>
      <c r="I150" s="13" t="s">
        <v>320</v>
      </c>
      <c r="J150" s="257" t="s">
        <v>172</v>
      </c>
      <c r="K150" s="2"/>
      <c r="L150" s="22"/>
      <c r="M150" s="2"/>
    </row>
    <row r="151" spans="1:13" ht="28.8" hidden="1" x14ac:dyDescent="0.3">
      <c r="A151" t="s">
        <v>588</v>
      </c>
      <c r="B151" s="33" t="s">
        <v>589</v>
      </c>
      <c r="C151" s="5" t="s">
        <v>595</v>
      </c>
      <c r="D151" s="33" t="s">
        <v>158</v>
      </c>
      <c r="E151" s="96" t="s">
        <v>159</v>
      </c>
      <c r="F151" s="176" t="s">
        <v>166</v>
      </c>
      <c r="G151" s="255" t="s">
        <v>85</v>
      </c>
      <c r="H151" s="255" t="s">
        <v>596</v>
      </c>
      <c r="I151" s="13" t="s">
        <v>597</v>
      </c>
      <c r="J151" s="257" t="s">
        <v>598</v>
      </c>
      <c r="K151" s="2"/>
      <c r="L151" s="22"/>
      <c r="M151" s="2"/>
    </row>
    <row r="152" spans="1:13" ht="28.8" hidden="1" x14ac:dyDescent="0.3">
      <c r="A152" t="s">
        <v>588</v>
      </c>
      <c r="B152" s="33" t="s">
        <v>589</v>
      </c>
      <c r="C152" s="5" t="s">
        <v>599</v>
      </c>
      <c r="D152" s="33" t="s">
        <v>158</v>
      </c>
      <c r="E152" s="96" t="s">
        <v>159</v>
      </c>
      <c r="F152" s="176" t="s">
        <v>166</v>
      </c>
      <c r="G152" s="255" t="s">
        <v>85</v>
      </c>
      <c r="H152" s="255" t="s">
        <v>596</v>
      </c>
      <c r="I152" s="13" t="s">
        <v>600</v>
      </c>
      <c r="J152" s="257" t="s">
        <v>598</v>
      </c>
      <c r="K152" s="2"/>
      <c r="L152" s="22"/>
      <c r="M152" s="2"/>
    </row>
    <row r="153" spans="1:13" ht="72" hidden="1" x14ac:dyDescent="0.3">
      <c r="A153" t="s">
        <v>588</v>
      </c>
      <c r="B153" s="33" t="s">
        <v>589</v>
      </c>
      <c r="C153" s="5" t="s">
        <v>601</v>
      </c>
      <c r="D153" s="33" t="s">
        <v>602</v>
      </c>
      <c r="E153" s="96" t="s">
        <v>204</v>
      </c>
      <c r="F153" s="176"/>
      <c r="G153" s="255" t="s">
        <v>204</v>
      </c>
      <c r="H153" s="255" t="s">
        <v>204</v>
      </c>
      <c r="I153" s="13" t="s">
        <v>204</v>
      </c>
      <c r="J153" s="13" t="s">
        <v>204</v>
      </c>
      <c r="K153" s="2" t="s">
        <v>204</v>
      </c>
      <c r="L153" s="22" t="s">
        <v>603</v>
      </c>
      <c r="M153" s="2"/>
    </row>
    <row r="154" spans="1:13" ht="28.8" hidden="1" x14ac:dyDescent="0.3">
      <c r="A154" s="2" t="s">
        <v>604</v>
      </c>
      <c r="B154" s="33" t="s">
        <v>605</v>
      </c>
      <c r="C154" s="324" t="s">
        <v>606</v>
      </c>
      <c r="D154" s="33" t="s">
        <v>183</v>
      </c>
      <c r="E154" s="96"/>
      <c r="F154" s="96" t="s">
        <v>482</v>
      </c>
      <c r="G154" s="267"/>
      <c r="H154" s="2"/>
      <c r="I154" s="13"/>
      <c r="J154" s="13"/>
      <c r="K154" s="2"/>
      <c r="L154" s="22"/>
      <c r="M154" s="2"/>
    </row>
    <row r="155" spans="1:13" ht="72" x14ac:dyDescent="0.3">
      <c r="A155" s="2" t="s">
        <v>607</v>
      </c>
      <c r="B155" s="33" t="s">
        <v>608</v>
      </c>
      <c r="C155" s="5" t="s">
        <v>609</v>
      </c>
      <c r="D155" s="33" t="s">
        <v>158</v>
      </c>
      <c r="E155" s="96" t="s">
        <v>159</v>
      </c>
      <c r="F155" s="171"/>
      <c r="G155" s="13" t="s">
        <v>45</v>
      </c>
      <c r="H155" s="13" t="s">
        <v>610</v>
      </c>
      <c r="I155" s="13" t="s">
        <v>611</v>
      </c>
      <c r="J155" s="13" t="s">
        <v>612</v>
      </c>
      <c r="K155" s="4" t="s">
        <v>613</v>
      </c>
      <c r="L155" s="22" t="s">
        <v>614</v>
      </c>
    </row>
    <row r="156" spans="1:13" ht="72" x14ac:dyDescent="0.3">
      <c r="A156" s="2" t="s">
        <v>607</v>
      </c>
      <c r="B156" s="33" t="s">
        <v>615</v>
      </c>
      <c r="C156" s="5" t="s">
        <v>616</v>
      </c>
      <c r="D156" s="33" t="s">
        <v>158</v>
      </c>
      <c r="E156" s="96" t="s">
        <v>159</v>
      </c>
      <c r="F156" s="171"/>
      <c r="G156" s="13" t="s">
        <v>45</v>
      </c>
      <c r="H156" s="13" t="s">
        <v>610</v>
      </c>
      <c r="I156" s="13" t="s">
        <v>617</v>
      </c>
      <c r="J156" s="13" t="s">
        <v>612</v>
      </c>
      <c r="K156" s="4" t="s">
        <v>613</v>
      </c>
      <c r="L156" s="22" t="s">
        <v>614</v>
      </c>
    </row>
    <row r="157" spans="1:13" ht="72" x14ac:dyDescent="0.3">
      <c r="A157" s="2" t="s">
        <v>607</v>
      </c>
      <c r="B157" s="33" t="s">
        <v>618</v>
      </c>
      <c r="C157" s="5" t="s">
        <v>619</v>
      </c>
      <c r="D157" s="33" t="s">
        <v>158</v>
      </c>
      <c r="E157" s="96" t="s">
        <v>159</v>
      </c>
      <c r="F157" s="171"/>
      <c r="G157" s="13" t="s">
        <v>45</v>
      </c>
      <c r="H157" s="13" t="s">
        <v>620</v>
      </c>
      <c r="I157" s="13" t="s">
        <v>621</v>
      </c>
      <c r="J157" s="13" t="s">
        <v>172</v>
      </c>
      <c r="K157" s="4" t="s">
        <v>613</v>
      </c>
      <c r="L157" s="22" t="s">
        <v>614</v>
      </c>
    </row>
    <row r="158" spans="1:13" ht="72" x14ac:dyDescent="0.3">
      <c r="A158" s="2" t="s">
        <v>607</v>
      </c>
      <c r="B158" s="33" t="s">
        <v>622</v>
      </c>
      <c r="C158" s="5" t="s">
        <v>623</v>
      </c>
      <c r="D158" s="33" t="s">
        <v>158</v>
      </c>
      <c r="E158" s="96" t="s">
        <v>159</v>
      </c>
      <c r="F158" s="171"/>
      <c r="G158" s="13" t="s">
        <v>45</v>
      </c>
      <c r="H158" s="13" t="s">
        <v>610</v>
      </c>
      <c r="I158" s="13" t="s">
        <v>624</v>
      </c>
      <c r="J158" s="13" t="s">
        <v>172</v>
      </c>
      <c r="K158" s="4" t="s">
        <v>613</v>
      </c>
      <c r="L158" s="22" t="s">
        <v>614</v>
      </c>
    </row>
    <row r="159" spans="1:13" ht="72" x14ac:dyDescent="0.3">
      <c r="A159" s="2" t="s">
        <v>607</v>
      </c>
      <c r="B159" s="33" t="s">
        <v>625</v>
      </c>
      <c r="C159" s="5" t="s">
        <v>626</v>
      </c>
      <c r="D159" s="33" t="s">
        <v>158</v>
      </c>
      <c r="E159" s="96" t="s">
        <v>159</v>
      </c>
      <c r="F159" s="171" t="s">
        <v>627</v>
      </c>
      <c r="G159" s="13" t="s">
        <v>45</v>
      </c>
      <c r="H159" s="13" t="s">
        <v>402</v>
      </c>
      <c r="I159" s="13" t="s">
        <v>626</v>
      </c>
      <c r="J159" s="13" t="s">
        <v>172</v>
      </c>
      <c r="K159" s="4" t="s">
        <v>613</v>
      </c>
      <c r="L159" s="22" t="s">
        <v>614</v>
      </c>
    </row>
    <row r="160" spans="1:13" ht="72" x14ac:dyDescent="0.3">
      <c r="A160" s="2" t="s">
        <v>607</v>
      </c>
      <c r="B160" s="33" t="s">
        <v>628</v>
      </c>
      <c r="C160" s="5" t="s">
        <v>629</v>
      </c>
      <c r="D160" s="33" t="s">
        <v>630</v>
      </c>
      <c r="E160" s="96" t="s">
        <v>204</v>
      </c>
      <c r="F160" s="96" t="s">
        <v>204</v>
      </c>
      <c r="G160" s="256" t="s">
        <v>204</v>
      </c>
      <c r="H160" s="96" t="s">
        <v>204</v>
      </c>
      <c r="I160" s="96" t="s">
        <v>204</v>
      </c>
      <c r="J160" s="96" t="s">
        <v>204</v>
      </c>
      <c r="K160" s="4" t="s">
        <v>613</v>
      </c>
      <c r="L160" s="22" t="s">
        <v>614</v>
      </c>
    </row>
    <row r="161" spans="1:12" ht="72" x14ac:dyDescent="0.3">
      <c r="A161" s="2" t="s">
        <v>607</v>
      </c>
      <c r="B161" s="33" t="s">
        <v>631</v>
      </c>
      <c r="C161" s="5" t="s">
        <v>632</v>
      </c>
      <c r="D161" s="33" t="s">
        <v>158</v>
      </c>
      <c r="E161" s="96" t="s">
        <v>159</v>
      </c>
      <c r="F161" s="171"/>
      <c r="G161" s="13" t="s">
        <v>45</v>
      </c>
      <c r="H161" s="13" t="s">
        <v>610</v>
      </c>
      <c r="I161" s="13" t="s">
        <v>633</v>
      </c>
      <c r="J161" s="13" t="s">
        <v>172</v>
      </c>
      <c r="K161" s="4" t="s">
        <v>613</v>
      </c>
      <c r="L161" s="22" t="s">
        <v>614</v>
      </c>
    </row>
    <row r="162" spans="1:12" ht="72" x14ac:dyDescent="0.3">
      <c r="A162" s="2" t="s">
        <v>607</v>
      </c>
      <c r="B162" s="33" t="s">
        <v>634</v>
      </c>
      <c r="C162" s="5" t="s">
        <v>635</v>
      </c>
      <c r="D162" s="33" t="s">
        <v>158</v>
      </c>
      <c r="E162" s="96" t="s">
        <v>159</v>
      </c>
      <c r="F162" s="171" t="s">
        <v>627</v>
      </c>
      <c r="G162" s="13" t="s">
        <v>45</v>
      </c>
      <c r="H162" s="13" t="s">
        <v>402</v>
      </c>
      <c r="I162" s="13" t="s">
        <v>635</v>
      </c>
      <c r="J162" s="13" t="s">
        <v>172</v>
      </c>
      <c r="K162" s="4" t="s">
        <v>613</v>
      </c>
      <c r="L162" s="22" t="s">
        <v>614</v>
      </c>
    </row>
    <row r="163" spans="1:12" ht="72" x14ac:dyDescent="0.3">
      <c r="A163" s="2" t="s">
        <v>607</v>
      </c>
      <c r="B163" s="33" t="s">
        <v>636</v>
      </c>
      <c r="C163" s="5" t="s">
        <v>637</v>
      </c>
      <c r="D163" s="33" t="s">
        <v>638</v>
      </c>
      <c r="E163" s="96" t="s">
        <v>204</v>
      </c>
      <c r="F163" s="171"/>
      <c r="G163" s="96" t="s">
        <v>204</v>
      </c>
      <c r="H163" s="96" t="s">
        <v>204</v>
      </c>
      <c r="I163" s="96" t="s">
        <v>204</v>
      </c>
      <c r="J163" s="96" t="s">
        <v>204</v>
      </c>
      <c r="K163" s="4" t="s">
        <v>613</v>
      </c>
      <c r="L163" s="22" t="s">
        <v>614</v>
      </c>
    </row>
    <row r="164" spans="1:12" ht="72" x14ac:dyDescent="0.3">
      <c r="A164" s="2" t="s">
        <v>607</v>
      </c>
      <c r="B164" s="33" t="s">
        <v>639</v>
      </c>
      <c r="C164" s="5" t="s">
        <v>640</v>
      </c>
      <c r="D164" s="33" t="s">
        <v>641</v>
      </c>
      <c r="E164" s="96" t="s">
        <v>204</v>
      </c>
      <c r="F164" s="171"/>
      <c r="G164" s="13" t="s">
        <v>204</v>
      </c>
      <c r="H164" s="2" t="s">
        <v>204</v>
      </c>
      <c r="I164" s="13" t="s">
        <v>204</v>
      </c>
      <c r="J164" s="13" t="s">
        <v>204</v>
      </c>
      <c r="K164" s="4" t="s">
        <v>613</v>
      </c>
      <c r="L164" s="22" t="s">
        <v>614</v>
      </c>
    </row>
    <row r="165" spans="1:12" ht="72" x14ac:dyDescent="0.3">
      <c r="A165" s="2" t="s">
        <v>607</v>
      </c>
      <c r="B165" s="33" t="s">
        <v>642</v>
      </c>
      <c r="C165" s="5" t="s">
        <v>643</v>
      </c>
      <c r="D165" s="33" t="s">
        <v>644</v>
      </c>
      <c r="E165" s="96" t="s">
        <v>204</v>
      </c>
      <c r="F165" s="171"/>
      <c r="G165" s="13" t="s">
        <v>204</v>
      </c>
      <c r="H165" s="2" t="s">
        <v>204</v>
      </c>
      <c r="I165" s="13" t="s">
        <v>204</v>
      </c>
      <c r="J165" s="13" t="s">
        <v>204</v>
      </c>
      <c r="K165" s="4" t="s">
        <v>613</v>
      </c>
      <c r="L165" s="22" t="s">
        <v>614</v>
      </c>
    </row>
    <row r="166" spans="1:12" ht="115.2" x14ac:dyDescent="0.3">
      <c r="A166" s="2" t="s">
        <v>607</v>
      </c>
      <c r="B166" s="33" t="s">
        <v>645</v>
      </c>
      <c r="C166" s="5" t="s">
        <v>646</v>
      </c>
      <c r="D166" s="33" t="s">
        <v>647</v>
      </c>
      <c r="E166" s="96" t="s">
        <v>204</v>
      </c>
      <c r="F166" s="171"/>
      <c r="G166" s="96" t="s">
        <v>204</v>
      </c>
      <c r="H166" s="96" t="s">
        <v>204</v>
      </c>
      <c r="I166" s="96" t="s">
        <v>204</v>
      </c>
      <c r="J166" s="96" t="s">
        <v>204</v>
      </c>
      <c r="K166" s="4" t="s">
        <v>613</v>
      </c>
      <c r="L166" s="22" t="s">
        <v>614</v>
      </c>
    </row>
    <row r="167" spans="1:12" hidden="1" x14ac:dyDescent="0.3">
      <c r="A167" s="2" t="s">
        <v>648</v>
      </c>
      <c r="B167" s="33" t="s">
        <v>649</v>
      </c>
      <c r="C167" s="5" t="s">
        <v>650</v>
      </c>
      <c r="D167" s="33" t="s">
        <v>158</v>
      </c>
      <c r="E167" s="96" t="s">
        <v>159</v>
      </c>
      <c r="F167" s="171"/>
      <c r="G167" s="13" t="s">
        <v>45</v>
      </c>
      <c r="H167" s="2" t="s">
        <v>175</v>
      </c>
      <c r="I167" s="13" t="s">
        <v>387</v>
      </c>
      <c r="J167" s="13" t="s">
        <v>193</v>
      </c>
      <c r="K167" s="4"/>
      <c r="L167" s="22"/>
    </row>
    <row r="168" spans="1:12" hidden="1" x14ac:dyDescent="0.3">
      <c r="A168" s="2" t="s">
        <v>648</v>
      </c>
      <c r="B168" s="33" t="s">
        <v>649</v>
      </c>
      <c r="C168" s="301" t="s">
        <v>651</v>
      </c>
      <c r="D168" s="33"/>
      <c r="E168" s="96"/>
      <c r="F168" s="171"/>
      <c r="G168" s="13"/>
      <c r="H168" s="2"/>
      <c r="I168" s="13"/>
      <c r="J168" s="13"/>
      <c r="K168" s="4"/>
      <c r="L168" s="22"/>
    </row>
    <row r="169" spans="1:12" hidden="1" x14ac:dyDescent="0.3">
      <c r="A169" s="2" t="s">
        <v>648</v>
      </c>
      <c r="B169" s="33" t="s">
        <v>649</v>
      </c>
      <c r="C169" s="301" t="s">
        <v>652</v>
      </c>
      <c r="D169" s="33"/>
      <c r="E169" s="96"/>
      <c r="F169" s="171"/>
      <c r="G169" s="256"/>
      <c r="H169" s="96"/>
      <c r="I169" s="96"/>
      <c r="J169" s="96"/>
      <c r="K169" s="4"/>
      <c r="L169" s="22"/>
    </row>
    <row r="170" spans="1:12" ht="28.8" hidden="1" x14ac:dyDescent="0.3">
      <c r="A170" s="2" t="s">
        <v>648</v>
      </c>
      <c r="B170" s="33" t="s">
        <v>649</v>
      </c>
      <c r="C170" s="5" t="s">
        <v>653</v>
      </c>
      <c r="D170" s="33" t="s">
        <v>654</v>
      </c>
      <c r="E170" s="96" t="s">
        <v>204</v>
      </c>
      <c r="F170" s="171"/>
      <c r="G170" s="96" t="s">
        <v>204</v>
      </c>
      <c r="H170" s="96" t="s">
        <v>204</v>
      </c>
      <c r="I170" s="96" t="s">
        <v>204</v>
      </c>
      <c r="J170" s="96" t="s">
        <v>204</v>
      </c>
      <c r="K170" s="4"/>
      <c r="L170" s="22"/>
    </row>
    <row r="171" spans="1:12" hidden="1" x14ac:dyDescent="0.3">
      <c r="A171" s="2" t="s">
        <v>648</v>
      </c>
      <c r="B171" s="33" t="s">
        <v>649</v>
      </c>
      <c r="C171" s="301" t="s">
        <v>655</v>
      </c>
      <c r="D171" s="33"/>
      <c r="E171" s="96"/>
      <c r="F171" s="171"/>
      <c r="G171" s="13"/>
      <c r="H171" s="2"/>
      <c r="I171" s="13"/>
      <c r="J171" s="13"/>
      <c r="K171" s="4"/>
      <c r="L171" s="22"/>
    </row>
    <row r="172" spans="1:12" hidden="1" x14ac:dyDescent="0.3">
      <c r="A172" s="2" t="s">
        <v>648</v>
      </c>
      <c r="B172" s="33" t="s">
        <v>649</v>
      </c>
      <c r="C172" s="301" t="s">
        <v>656</v>
      </c>
      <c r="D172" s="33"/>
      <c r="E172" s="96"/>
      <c r="F172" s="171"/>
      <c r="G172" s="13"/>
      <c r="H172" s="2"/>
      <c r="I172" s="13"/>
      <c r="J172" s="13"/>
      <c r="K172" s="4"/>
      <c r="L172" s="22"/>
    </row>
    <row r="173" spans="1:12" hidden="1" x14ac:dyDescent="0.3">
      <c r="A173" s="2" t="s">
        <v>648</v>
      </c>
      <c r="B173" s="33" t="s">
        <v>649</v>
      </c>
      <c r="C173" s="5" t="s">
        <v>657</v>
      </c>
      <c r="D173" s="33" t="s">
        <v>158</v>
      </c>
      <c r="E173" s="96" t="s">
        <v>159</v>
      </c>
      <c r="F173" s="171"/>
      <c r="G173" s="13" t="s">
        <v>571</v>
      </c>
      <c r="H173" s="2" t="s">
        <v>498</v>
      </c>
      <c r="I173" s="13" t="s">
        <v>122</v>
      </c>
      <c r="J173" s="13" t="s">
        <v>172</v>
      </c>
      <c r="K173" s="4"/>
      <c r="L173" s="22"/>
    </row>
    <row r="174" spans="1:12" ht="28.8" hidden="1" x14ac:dyDescent="0.3">
      <c r="A174" s="2" t="s">
        <v>658</v>
      </c>
      <c r="B174" s="33" t="s">
        <v>659</v>
      </c>
      <c r="C174" s="301" t="s">
        <v>660</v>
      </c>
      <c r="D174" s="33" t="s">
        <v>158</v>
      </c>
      <c r="E174" s="96" t="s">
        <v>159</v>
      </c>
      <c r="F174" s="171" t="s">
        <v>627</v>
      </c>
      <c r="G174" s="13" t="s">
        <v>661</v>
      </c>
      <c r="H174" s="2" t="s">
        <v>498</v>
      </c>
      <c r="I174" s="2" t="s">
        <v>662</v>
      </c>
      <c r="J174" s="13" t="s">
        <v>172</v>
      </c>
      <c r="K174" s="4"/>
      <c r="L174" s="22"/>
    </row>
    <row r="175" spans="1:12" ht="28.8" hidden="1" x14ac:dyDescent="0.3">
      <c r="A175" s="2" t="s">
        <v>658</v>
      </c>
      <c r="B175" s="33" t="s">
        <v>659</v>
      </c>
      <c r="C175" s="301" t="s">
        <v>663</v>
      </c>
      <c r="D175" s="33" t="s">
        <v>664</v>
      </c>
      <c r="E175" s="96" t="s">
        <v>204</v>
      </c>
      <c r="F175" s="171" t="s">
        <v>627</v>
      </c>
      <c r="G175" s="96" t="s">
        <v>204</v>
      </c>
      <c r="H175" s="96" t="s">
        <v>204</v>
      </c>
      <c r="I175" s="96" t="s">
        <v>204</v>
      </c>
      <c r="J175" s="96" t="s">
        <v>204</v>
      </c>
      <c r="K175" s="4"/>
      <c r="L175" s="22"/>
    </row>
    <row r="176" spans="1:12" ht="28.8" hidden="1" x14ac:dyDescent="0.3">
      <c r="A176" s="2" t="s">
        <v>658</v>
      </c>
      <c r="B176" s="33" t="s">
        <v>659</v>
      </c>
      <c r="C176" s="301" t="s">
        <v>665</v>
      </c>
      <c r="D176" s="33" t="s">
        <v>158</v>
      </c>
      <c r="E176" s="96" t="s">
        <v>159</v>
      </c>
      <c r="F176" s="171" t="s">
        <v>627</v>
      </c>
      <c r="G176" s="13" t="s">
        <v>661</v>
      </c>
      <c r="H176" s="2" t="s">
        <v>498</v>
      </c>
      <c r="I176" s="2" t="s">
        <v>662</v>
      </c>
      <c r="J176" s="13" t="s">
        <v>172</v>
      </c>
      <c r="K176" s="4"/>
      <c r="L176" s="22"/>
    </row>
    <row r="177" spans="1:12" ht="28.8" hidden="1" x14ac:dyDescent="0.3">
      <c r="A177" s="2" t="s">
        <v>658</v>
      </c>
      <c r="B177" s="33" t="s">
        <v>659</v>
      </c>
      <c r="C177" s="301" t="s">
        <v>666</v>
      </c>
      <c r="D177" s="33" t="s">
        <v>664</v>
      </c>
      <c r="E177" s="96" t="s">
        <v>204</v>
      </c>
      <c r="F177" s="171" t="s">
        <v>627</v>
      </c>
      <c r="G177" s="96" t="s">
        <v>204</v>
      </c>
      <c r="H177" s="96" t="s">
        <v>204</v>
      </c>
      <c r="I177" s="96" t="s">
        <v>204</v>
      </c>
      <c r="J177" s="96" t="s">
        <v>204</v>
      </c>
      <c r="K177" s="4"/>
      <c r="L177" s="22"/>
    </row>
    <row r="178" spans="1:12" ht="28.8" x14ac:dyDescent="0.3">
      <c r="A178" s="2" t="s">
        <v>667</v>
      </c>
      <c r="B178" s="33" t="s">
        <v>668</v>
      </c>
      <c r="C178" s="5" t="s">
        <v>669</v>
      </c>
      <c r="D178" s="33" t="s">
        <v>349</v>
      </c>
      <c r="E178" s="96" t="s">
        <v>204</v>
      </c>
      <c r="F178" s="171"/>
      <c r="G178" s="96" t="s">
        <v>204</v>
      </c>
      <c r="H178" s="96" t="s">
        <v>204</v>
      </c>
      <c r="I178" s="96" t="s">
        <v>204</v>
      </c>
      <c r="J178" s="96" t="s">
        <v>204</v>
      </c>
      <c r="K178" s="4"/>
      <c r="L178" s="22"/>
    </row>
    <row r="179" spans="1:12" ht="28.8" x14ac:dyDescent="0.3">
      <c r="A179" s="2" t="s">
        <v>667</v>
      </c>
      <c r="B179" s="33" t="s">
        <v>668</v>
      </c>
      <c r="C179" s="5" t="s">
        <v>497</v>
      </c>
      <c r="D179" s="33" t="s">
        <v>349</v>
      </c>
      <c r="E179" s="96" t="s">
        <v>204</v>
      </c>
      <c r="F179" s="171"/>
      <c r="G179" s="96" t="s">
        <v>204</v>
      </c>
      <c r="H179" s="96" t="s">
        <v>204</v>
      </c>
      <c r="I179" s="96" t="s">
        <v>204</v>
      </c>
      <c r="J179" s="96" t="s">
        <v>204</v>
      </c>
      <c r="K179" s="4"/>
      <c r="L179" s="22"/>
    </row>
    <row r="180" spans="1:12" ht="28.8" x14ac:dyDescent="0.3">
      <c r="A180" s="2" t="s">
        <v>667</v>
      </c>
      <c r="B180" s="33" t="s">
        <v>668</v>
      </c>
      <c r="C180" s="5" t="s">
        <v>670</v>
      </c>
      <c r="D180" s="33" t="s">
        <v>349</v>
      </c>
      <c r="E180" s="96" t="s">
        <v>204</v>
      </c>
      <c r="F180" s="171"/>
      <c r="G180" s="96" t="s">
        <v>204</v>
      </c>
      <c r="H180" s="96" t="s">
        <v>204</v>
      </c>
      <c r="I180" s="96" t="s">
        <v>204</v>
      </c>
      <c r="J180" s="96" t="s">
        <v>204</v>
      </c>
      <c r="K180" s="4"/>
      <c r="L180" s="22"/>
    </row>
    <row r="181" spans="1:12" ht="72" x14ac:dyDescent="0.3">
      <c r="A181" s="2" t="s">
        <v>671</v>
      </c>
      <c r="B181" s="33" t="s">
        <v>672</v>
      </c>
      <c r="C181" s="5" t="s">
        <v>673</v>
      </c>
      <c r="D181" s="33" t="s">
        <v>674</v>
      </c>
      <c r="E181" s="96" t="s">
        <v>204</v>
      </c>
      <c r="F181" s="171"/>
      <c r="G181" s="96" t="s">
        <v>204</v>
      </c>
      <c r="H181" s="96" t="s">
        <v>204</v>
      </c>
      <c r="I181" s="96" t="s">
        <v>204</v>
      </c>
      <c r="J181" s="96" t="s">
        <v>204</v>
      </c>
      <c r="K181" s="4"/>
      <c r="L181" s="22"/>
    </row>
    <row r="182" spans="1:12" ht="72" x14ac:dyDescent="0.3">
      <c r="A182" s="2" t="s">
        <v>671</v>
      </c>
      <c r="B182" s="33" t="s">
        <v>672</v>
      </c>
      <c r="C182" s="5" t="s">
        <v>675</v>
      </c>
      <c r="D182" s="33" t="s">
        <v>674</v>
      </c>
      <c r="E182" s="96" t="s">
        <v>204</v>
      </c>
      <c r="F182" s="171"/>
      <c r="G182" s="96" t="s">
        <v>204</v>
      </c>
      <c r="H182" s="96" t="s">
        <v>204</v>
      </c>
      <c r="I182" s="96" t="s">
        <v>204</v>
      </c>
      <c r="J182" s="96" t="s">
        <v>204</v>
      </c>
      <c r="K182" s="4"/>
      <c r="L182" s="22"/>
    </row>
    <row r="183" spans="1:12" ht="72" x14ac:dyDescent="0.3">
      <c r="A183" s="2" t="s">
        <v>671</v>
      </c>
      <c r="B183" s="33" t="s">
        <v>672</v>
      </c>
      <c r="C183" s="5" t="s">
        <v>676</v>
      </c>
      <c r="D183" s="33" t="s">
        <v>674</v>
      </c>
      <c r="E183" s="96" t="s">
        <v>204</v>
      </c>
      <c r="F183" s="171"/>
      <c r="G183" s="96" t="s">
        <v>204</v>
      </c>
      <c r="H183" s="96" t="s">
        <v>204</v>
      </c>
      <c r="I183" s="96" t="s">
        <v>204</v>
      </c>
      <c r="J183" s="96" t="s">
        <v>204</v>
      </c>
      <c r="K183" s="4"/>
      <c r="L183" s="22"/>
    </row>
    <row r="184" spans="1:12" ht="72" x14ac:dyDescent="0.3">
      <c r="A184" s="2" t="s">
        <v>671</v>
      </c>
      <c r="B184" s="33" t="s">
        <v>672</v>
      </c>
      <c r="C184" s="5" t="s">
        <v>677</v>
      </c>
      <c r="D184" s="33" t="s">
        <v>674</v>
      </c>
      <c r="E184" s="96" t="s">
        <v>204</v>
      </c>
      <c r="F184" s="171"/>
      <c r="G184" s="96" t="s">
        <v>204</v>
      </c>
      <c r="H184" s="96" t="s">
        <v>204</v>
      </c>
      <c r="I184" s="96" t="s">
        <v>204</v>
      </c>
      <c r="J184" s="96" t="s">
        <v>204</v>
      </c>
      <c r="K184" s="4"/>
      <c r="L184" s="22"/>
    </row>
    <row r="185" spans="1:12" ht="72" x14ac:dyDescent="0.3">
      <c r="A185" s="2" t="s">
        <v>678</v>
      </c>
      <c r="B185" s="33" t="s">
        <v>679</v>
      </c>
      <c r="C185" s="5" t="s">
        <v>680</v>
      </c>
      <c r="D185" s="33" t="s">
        <v>674</v>
      </c>
      <c r="E185" s="96" t="s">
        <v>204</v>
      </c>
      <c r="F185" s="171"/>
      <c r="G185" s="96" t="s">
        <v>204</v>
      </c>
      <c r="H185" s="96" t="s">
        <v>204</v>
      </c>
      <c r="I185" s="96" t="s">
        <v>204</v>
      </c>
      <c r="J185" s="96" t="s">
        <v>204</v>
      </c>
      <c r="K185" s="4"/>
      <c r="L185" s="22"/>
    </row>
    <row r="186" spans="1:12" ht="72" x14ac:dyDescent="0.3">
      <c r="A186" s="2" t="s">
        <v>678</v>
      </c>
      <c r="B186" s="33" t="s">
        <v>679</v>
      </c>
      <c r="C186" s="5" t="s">
        <v>681</v>
      </c>
      <c r="D186" s="33" t="s">
        <v>674</v>
      </c>
      <c r="E186" s="96" t="s">
        <v>204</v>
      </c>
      <c r="F186" s="171"/>
      <c r="G186" s="96" t="s">
        <v>204</v>
      </c>
      <c r="H186" s="96" t="s">
        <v>204</v>
      </c>
      <c r="I186" s="96" t="s">
        <v>204</v>
      </c>
      <c r="J186" s="96" t="s">
        <v>204</v>
      </c>
      <c r="K186" s="4"/>
      <c r="L186" s="22"/>
    </row>
  </sheetData>
  <autoFilter ref="A2:M186" xr:uid="{56F95958-2B3C-431E-8B03-3C393D5C58B2}">
    <filterColumn colId="0">
      <filters>
        <filter val="LCPSIM (v37) Carryover Storage"/>
        <filter val="LCPSIM (v37) Cons Take Constrained Take Rule"/>
        <filter val="LCPSIM (v37) Hydrologic Reliability Criteria"/>
        <filter val="LCPSIM (v37) Parameter File"/>
        <filter val="LCPSIM (v37) Percent Delivery Constrained Take Rule"/>
      </filters>
    </filterColumn>
  </autoFilter>
  <sortState xmlns:xlrd2="http://schemas.microsoft.com/office/spreadsheetml/2017/richdata2" ref="A62:L130">
    <sortCondition ref="B62:B130"/>
  </sortState>
  <phoneticPr fontId="10" type="noConversion"/>
  <pageMargins left="0.7" right="0.7" top="0.75" bottom="0.75" header="0.3" footer="0.3"/>
  <pageSetup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C2CBE-1613-4632-BB4A-42C619052025}">
  <sheetPr codeName="Sheet43"/>
  <dimension ref="A1:B20"/>
  <sheetViews>
    <sheetView workbookViewId="0"/>
  </sheetViews>
  <sheetFormatPr defaultRowHeight="14.4" x14ac:dyDescent="0.3"/>
  <cols>
    <col min="1" max="1" width="91.109375" bestFit="1" customWidth="1"/>
    <col min="2" max="2" width="38.109375" bestFit="1" customWidth="1"/>
    <col min="4" max="4" width="49.5546875" bestFit="1" customWidth="1"/>
  </cols>
  <sheetData>
    <row r="1" spans="1:2" x14ac:dyDescent="0.3">
      <c r="A1" s="1" t="s">
        <v>682</v>
      </c>
      <c r="B1" s="1" t="s">
        <v>683</v>
      </c>
    </row>
    <row r="2" spans="1:2" x14ac:dyDescent="0.3">
      <c r="A2" t="s">
        <v>684</v>
      </c>
      <c r="B2" t="s">
        <v>685</v>
      </c>
    </row>
    <row r="3" spans="1:2" x14ac:dyDescent="0.3">
      <c r="A3" t="s">
        <v>686</v>
      </c>
      <c r="B3" t="s">
        <v>687</v>
      </c>
    </row>
    <row r="4" spans="1:2" x14ac:dyDescent="0.3">
      <c r="A4" t="s">
        <v>688</v>
      </c>
      <c r="B4" t="s">
        <v>687</v>
      </c>
    </row>
    <row r="5" spans="1:2" x14ac:dyDescent="0.3">
      <c r="A5" t="s">
        <v>689</v>
      </c>
    </row>
    <row r="6" spans="1:2" x14ac:dyDescent="0.3">
      <c r="A6" t="s">
        <v>690</v>
      </c>
      <c r="B6" t="s">
        <v>687</v>
      </c>
    </row>
    <row r="7" spans="1:2" x14ac:dyDescent="0.3">
      <c r="A7" t="s">
        <v>691</v>
      </c>
      <c r="B7" t="s">
        <v>687</v>
      </c>
    </row>
    <row r="8" spans="1:2" x14ac:dyDescent="0.3">
      <c r="A8" t="s">
        <v>687</v>
      </c>
      <c r="B8" t="s">
        <v>687</v>
      </c>
    </row>
    <row r="9" spans="1:2" x14ac:dyDescent="0.3">
      <c r="A9" t="s">
        <v>692</v>
      </c>
      <c r="B9" t="s">
        <v>687</v>
      </c>
    </row>
    <row r="10" spans="1:2" x14ac:dyDescent="0.3">
      <c r="A10" t="s">
        <v>693</v>
      </c>
      <c r="B10" t="s">
        <v>687</v>
      </c>
    </row>
    <row r="11" spans="1:2" x14ac:dyDescent="0.3">
      <c r="A11" t="s">
        <v>694</v>
      </c>
      <c r="B11" t="s">
        <v>687</v>
      </c>
    </row>
    <row r="12" spans="1:2" x14ac:dyDescent="0.3">
      <c r="A12" t="s">
        <v>695</v>
      </c>
      <c r="B12" t="s">
        <v>687</v>
      </c>
    </row>
    <row r="13" spans="1:2" x14ac:dyDescent="0.3">
      <c r="A13" t="s">
        <v>696</v>
      </c>
      <c r="B13" t="s">
        <v>697</v>
      </c>
    </row>
    <row r="14" spans="1:2" x14ac:dyDescent="0.3">
      <c r="A14" t="s">
        <v>698</v>
      </c>
      <c r="B14" t="s">
        <v>699</v>
      </c>
    </row>
    <row r="15" spans="1:2" x14ac:dyDescent="0.3">
      <c r="A15" t="s">
        <v>700</v>
      </c>
      <c r="B15" t="s">
        <v>700</v>
      </c>
    </row>
    <row r="16" spans="1:2" x14ac:dyDescent="0.3">
      <c r="A16" t="s">
        <v>701</v>
      </c>
      <c r="B16" t="s">
        <v>701</v>
      </c>
    </row>
    <row r="17" spans="1:2" x14ac:dyDescent="0.3">
      <c r="A17" t="s">
        <v>702</v>
      </c>
      <c r="B17" t="s">
        <v>702</v>
      </c>
    </row>
    <row r="18" spans="1:2" x14ac:dyDescent="0.3">
      <c r="A18" t="s">
        <v>703</v>
      </c>
      <c r="B18" t="s">
        <v>704</v>
      </c>
    </row>
    <row r="19" spans="1:2" x14ac:dyDescent="0.3">
      <c r="A19" t="s">
        <v>705</v>
      </c>
      <c r="B19" t="s">
        <v>687</v>
      </c>
    </row>
    <row r="20" spans="1:2" x14ac:dyDescent="0.3">
      <c r="A20" t="s">
        <v>706</v>
      </c>
      <c r="B20" t="s">
        <v>687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14A9F-F464-45C2-8B31-16D37401B80A}">
  <sheetPr codeName="Sheet27"/>
  <dimension ref="A1:A6"/>
  <sheetViews>
    <sheetView workbookViewId="0"/>
  </sheetViews>
  <sheetFormatPr defaultRowHeight="14.4" x14ac:dyDescent="0.3"/>
  <cols>
    <col min="1" max="1" width="37.33203125" bestFit="1" customWidth="1"/>
  </cols>
  <sheetData>
    <row r="1" spans="1:1" x14ac:dyDescent="0.3">
      <c r="A1" s="1" t="s">
        <v>707</v>
      </c>
    </row>
    <row r="2" spans="1:1" x14ac:dyDescent="0.3">
      <c r="A2" t="s">
        <v>708</v>
      </c>
    </row>
    <row r="3" spans="1:1" x14ac:dyDescent="0.3">
      <c r="A3" t="s">
        <v>709</v>
      </c>
    </row>
    <row r="4" spans="1:1" x14ac:dyDescent="0.3">
      <c r="A4" t="s">
        <v>710</v>
      </c>
    </row>
    <row r="5" spans="1:1" x14ac:dyDescent="0.3">
      <c r="A5" t="s">
        <v>711</v>
      </c>
    </row>
    <row r="6" spans="1:1" x14ac:dyDescent="0.3">
      <c r="A6" t="s">
        <v>712</v>
      </c>
    </row>
  </sheetData>
  <pageMargins left="0.7" right="0.7" top="0.75" bottom="0.75" header="0.3" footer="0.3"/>
  <pageSetup orientation="portrait" horizontalDpi="30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4FACF-5EA5-4E72-A2A0-7CA59FB3CFED}">
  <sheetPr codeName="Sheet29">
    <tabColor rgb="FF7030A0"/>
  </sheetPr>
  <dimension ref="A3:C23"/>
  <sheetViews>
    <sheetView workbookViewId="0"/>
  </sheetViews>
  <sheetFormatPr defaultRowHeight="14.4" x14ac:dyDescent="0.3"/>
  <cols>
    <col min="1" max="1" width="84.44140625" bestFit="1" customWidth="1"/>
    <col min="2" max="2" width="30.6640625" bestFit="1" customWidth="1"/>
  </cols>
  <sheetData>
    <row r="3" spans="1:3" x14ac:dyDescent="0.3">
      <c r="A3" s="1" t="s">
        <v>713</v>
      </c>
      <c r="B3" s="1" t="s">
        <v>714</v>
      </c>
      <c r="C3" s="1" t="s">
        <v>153</v>
      </c>
    </row>
    <row r="4" spans="1:3" x14ac:dyDescent="0.3">
      <c r="A4" s="196" t="s">
        <v>715</v>
      </c>
    </row>
    <row r="5" spans="1:3" x14ac:dyDescent="0.3">
      <c r="A5" s="196" t="s">
        <v>716</v>
      </c>
    </row>
    <row r="6" spans="1:3" x14ac:dyDescent="0.3">
      <c r="A6" s="196" t="s">
        <v>717</v>
      </c>
      <c r="B6" t="s">
        <v>300</v>
      </c>
    </row>
    <row r="7" spans="1:3" x14ac:dyDescent="0.3">
      <c r="A7" s="196" t="s">
        <v>718</v>
      </c>
    </row>
    <row r="8" spans="1:3" x14ac:dyDescent="0.3">
      <c r="A8" s="196" t="s">
        <v>719</v>
      </c>
      <c r="B8" t="s">
        <v>29</v>
      </c>
    </row>
    <row r="9" spans="1:3" x14ac:dyDescent="0.3">
      <c r="A9" s="196" t="s">
        <v>720</v>
      </c>
    </row>
    <row r="10" spans="1:3" x14ac:dyDescent="0.3">
      <c r="A10" s="196" t="s">
        <v>721</v>
      </c>
      <c r="B10" t="s">
        <v>722</v>
      </c>
    </row>
    <row r="11" spans="1:3" x14ac:dyDescent="0.3">
      <c r="A11" s="196" t="s">
        <v>723</v>
      </c>
    </row>
    <row r="12" spans="1:3" x14ac:dyDescent="0.3">
      <c r="A12" s="196" t="s">
        <v>724</v>
      </c>
    </row>
    <row r="13" spans="1:3" x14ac:dyDescent="0.3">
      <c r="A13" s="196" t="s">
        <v>725</v>
      </c>
    </row>
    <row r="14" spans="1:3" x14ac:dyDescent="0.3">
      <c r="A14" s="196" t="s">
        <v>726</v>
      </c>
    </row>
    <row r="15" spans="1:3" x14ac:dyDescent="0.3">
      <c r="A15" s="196" t="s">
        <v>727</v>
      </c>
      <c r="B15" t="s">
        <v>728</v>
      </c>
    </row>
    <row r="16" spans="1:3" x14ac:dyDescent="0.3">
      <c r="A16" s="196" t="s">
        <v>729</v>
      </c>
    </row>
    <row r="17" spans="1:3" x14ac:dyDescent="0.3">
      <c r="A17" s="196" t="s">
        <v>730</v>
      </c>
      <c r="B17" t="s">
        <v>731</v>
      </c>
    </row>
    <row r="18" spans="1:3" x14ac:dyDescent="0.3">
      <c r="A18" s="196" t="s">
        <v>732</v>
      </c>
      <c r="B18" t="s">
        <v>733</v>
      </c>
      <c r="C18" t="s">
        <v>734</v>
      </c>
    </row>
    <row r="19" spans="1:3" x14ac:dyDescent="0.3">
      <c r="A19" s="196" t="s">
        <v>735</v>
      </c>
      <c r="B19" t="s">
        <v>736</v>
      </c>
      <c r="C19" t="s">
        <v>737</v>
      </c>
    </row>
    <row r="20" spans="1:3" x14ac:dyDescent="0.3">
      <c r="A20" s="196" t="s">
        <v>738</v>
      </c>
    </row>
    <row r="21" spans="1:3" x14ac:dyDescent="0.3">
      <c r="A21" s="196" t="s">
        <v>739</v>
      </c>
    </row>
    <row r="22" spans="1:3" x14ac:dyDescent="0.3">
      <c r="A22" s="196" t="s">
        <v>740</v>
      </c>
      <c r="B22" t="s">
        <v>103</v>
      </c>
    </row>
    <row r="23" spans="1:3" x14ac:dyDescent="0.3">
      <c r="A23" s="196" t="s">
        <v>741</v>
      </c>
      <c r="B23" t="s">
        <v>589</v>
      </c>
    </row>
  </sheetData>
  <pageMargins left="0.7" right="0.7" top="0.75" bottom="0.75" header="0.3" footer="0.3"/>
  <pageSetup orientation="portrait" horizontalDpi="300"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9009C-BA2D-445C-9464-6EFCD25350AA}">
  <sheetPr codeName="Sheet4" filterMode="1">
    <tabColor rgb="FF7030A0"/>
  </sheetPr>
  <dimension ref="A1:K60"/>
  <sheetViews>
    <sheetView workbookViewId="0"/>
  </sheetViews>
  <sheetFormatPr defaultRowHeight="14.4" x14ac:dyDescent="0.3"/>
  <cols>
    <col min="1" max="1" width="65.109375" bestFit="1" customWidth="1"/>
    <col min="2" max="2" width="40.109375" customWidth="1"/>
    <col min="3" max="3" width="35.5546875" customWidth="1"/>
    <col min="4" max="4" width="87.109375" style="15" customWidth="1"/>
    <col min="5" max="5" width="9.109375" customWidth="1"/>
    <col min="6" max="6" width="31.33203125" customWidth="1"/>
    <col min="7" max="7" width="45.33203125" customWidth="1"/>
  </cols>
  <sheetData>
    <row r="1" spans="1:7" s="1" customFormat="1" x14ac:dyDescent="0.3">
      <c r="A1" s="1" t="s">
        <v>193</v>
      </c>
      <c r="B1" s="1" t="s">
        <v>742</v>
      </c>
      <c r="C1" s="1" t="s">
        <v>743</v>
      </c>
      <c r="D1" s="368" t="s">
        <v>153</v>
      </c>
      <c r="E1" s="1" t="s">
        <v>744</v>
      </c>
      <c r="F1" s="1" t="s">
        <v>745</v>
      </c>
      <c r="G1" s="1" t="s">
        <v>746</v>
      </c>
    </row>
    <row r="2" spans="1:7" s="1" customFormat="1" hidden="1" x14ac:dyDescent="0.3">
      <c r="A2" t="s">
        <v>747</v>
      </c>
      <c r="B2" t="s">
        <v>748</v>
      </c>
      <c r="D2" t="s">
        <v>749</v>
      </c>
      <c r="E2" t="s">
        <v>750</v>
      </c>
    </row>
    <row r="3" spans="1:7" x14ac:dyDescent="0.3">
      <c r="A3" t="s">
        <v>751</v>
      </c>
      <c r="B3" t="s">
        <v>752</v>
      </c>
      <c r="F3" t="s">
        <v>753</v>
      </c>
      <c r="G3" t="s">
        <v>754</v>
      </c>
    </row>
    <row r="4" spans="1:7" x14ac:dyDescent="0.3">
      <c r="A4" t="s">
        <v>755</v>
      </c>
      <c r="B4" t="s">
        <v>752</v>
      </c>
      <c r="F4" t="s">
        <v>756</v>
      </c>
      <c r="G4" t="s">
        <v>757</v>
      </c>
    </row>
    <row r="5" spans="1:7" x14ac:dyDescent="0.3">
      <c r="A5" t="s">
        <v>758</v>
      </c>
      <c r="B5" t="s">
        <v>752</v>
      </c>
      <c r="C5" s="142" t="s">
        <v>759</v>
      </c>
      <c r="F5" t="s">
        <v>753</v>
      </c>
      <c r="G5" t="s">
        <v>760</v>
      </c>
    </row>
    <row r="6" spans="1:7" x14ac:dyDescent="0.3">
      <c r="A6" t="s">
        <v>761</v>
      </c>
      <c r="B6" t="s">
        <v>752</v>
      </c>
      <c r="F6" t="s">
        <v>756</v>
      </c>
      <c r="G6" t="s">
        <v>762</v>
      </c>
    </row>
    <row r="7" spans="1:7" x14ac:dyDescent="0.3">
      <c r="A7" t="s">
        <v>763</v>
      </c>
      <c r="B7" t="s">
        <v>752</v>
      </c>
      <c r="D7" s="432"/>
      <c r="F7" t="s">
        <v>753</v>
      </c>
      <c r="G7" t="s">
        <v>764</v>
      </c>
    </row>
    <row r="8" spans="1:7" x14ac:dyDescent="0.3">
      <c r="A8" t="s">
        <v>765</v>
      </c>
      <c r="B8" t="s">
        <v>752</v>
      </c>
      <c r="D8" s="218" t="s">
        <v>766</v>
      </c>
      <c r="F8" t="s">
        <v>753</v>
      </c>
      <c r="G8" t="s">
        <v>767</v>
      </c>
    </row>
    <row r="9" spans="1:7" ht="129.6" hidden="1" x14ac:dyDescent="0.3">
      <c r="A9" t="s">
        <v>768</v>
      </c>
      <c r="B9" s="15" t="s">
        <v>748</v>
      </c>
      <c r="D9" s="218" t="s">
        <v>769</v>
      </c>
      <c r="E9" t="s">
        <v>770</v>
      </c>
    </row>
    <row r="10" spans="1:7" x14ac:dyDescent="0.3">
      <c r="A10" t="s">
        <v>771</v>
      </c>
      <c r="B10" t="s">
        <v>752</v>
      </c>
      <c r="F10" t="s">
        <v>756</v>
      </c>
      <c r="G10" t="s">
        <v>754</v>
      </c>
    </row>
    <row r="11" spans="1:7" x14ac:dyDescent="0.3">
      <c r="A11" t="s">
        <v>772</v>
      </c>
      <c r="B11" t="s">
        <v>752</v>
      </c>
      <c r="F11" t="s">
        <v>756</v>
      </c>
      <c r="G11" s="85" t="s">
        <v>773</v>
      </c>
    </row>
    <row r="12" spans="1:7" x14ac:dyDescent="0.3">
      <c r="A12" t="s">
        <v>774</v>
      </c>
      <c r="B12" t="s">
        <v>752</v>
      </c>
      <c r="F12" t="s">
        <v>753</v>
      </c>
      <c r="G12" t="s">
        <v>764</v>
      </c>
    </row>
    <row r="13" spans="1:7" ht="72" hidden="1" x14ac:dyDescent="0.3">
      <c r="A13" t="s">
        <v>775</v>
      </c>
      <c r="B13" s="15" t="s">
        <v>776</v>
      </c>
      <c r="D13" s="218" t="s">
        <v>777</v>
      </c>
      <c r="E13" t="s">
        <v>778</v>
      </c>
    </row>
    <row r="14" spans="1:7" ht="43.2" hidden="1" x14ac:dyDescent="0.3">
      <c r="A14" t="s">
        <v>779</v>
      </c>
      <c r="B14" s="15" t="s">
        <v>748</v>
      </c>
      <c r="D14" s="15" t="s">
        <v>780</v>
      </c>
      <c r="E14" t="s">
        <v>770</v>
      </c>
    </row>
    <row r="15" spans="1:7" hidden="1" x14ac:dyDescent="0.3">
      <c r="A15" t="s">
        <v>781</v>
      </c>
      <c r="B15" s="15" t="s">
        <v>748</v>
      </c>
      <c r="D15" t="s">
        <v>782</v>
      </c>
      <c r="E15" t="s">
        <v>770</v>
      </c>
    </row>
    <row r="16" spans="1:7" x14ac:dyDescent="0.3">
      <c r="A16" t="s">
        <v>783</v>
      </c>
      <c r="B16" t="s">
        <v>752</v>
      </c>
      <c r="F16" t="s">
        <v>756</v>
      </c>
      <c r="G16" t="s">
        <v>784</v>
      </c>
    </row>
    <row r="17" spans="1:7" x14ac:dyDescent="0.3">
      <c r="A17" t="s">
        <v>785</v>
      </c>
      <c r="B17" t="s">
        <v>752</v>
      </c>
      <c r="F17" t="s">
        <v>753</v>
      </c>
      <c r="G17" t="s">
        <v>786</v>
      </c>
    </row>
    <row r="18" spans="1:7" hidden="1" x14ac:dyDescent="0.3">
      <c r="A18" t="s">
        <v>787</v>
      </c>
      <c r="B18" s="15" t="s">
        <v>748</v>
      </c>
      <c r="D18"/>
      <c r="E18" t="s">
        <v>770</v>
      </c>
    </row>
    <row r="19" spans="1:7" hidden="1" x14ac:dyDescent="0.3">
      <c r="A19" t="s">
        <v>788</v>
      </c>
      <c r="B19" s="15" t="s">
        <v>748</v>
      </c>
      <c r="D19"/>
      <c r="E19" t="s">
        <v>770</v>
      </c>
    </row>
    <row r="20" spans="1:7" hidden="1" x14ac:dyDescent="0.3">
      <c r="A20" t="s">
        <v>789</v>
      </c>
      <c r="B20" s="15" t="s">
        <v>748</v>
      </c>
      <c r="D20"/>
      <c r="E20" t="s">
        <v>770</v>
      </c>
    </row>
    <row r="21" spans="1:7" x14ac:dyDescent="0.3">
      <c r="A21" t="s">
        <v>790</v>
      </c>
      <c r="B21" t="s">
        <v>752</v>
      </c>
      <c r="D21" s="218" t="s">
        <v>791</v>
      </c>
      <c r="F21" t="s">
        <v>753</v>
      </c>
      <c r="G21" t="s">
        <v>792</v>
      </c>
    </row>
    <row r="22" spans="1:7" x14ac:dyDescent="0.3">
      <c r="A22" t="s">
        <v>793</v>
      </c>
      <c r="B22" t="s">
        <v>794</v>
      </c>
      <c r="F22" t="s">
        <v>753</v>
      </c>
      <c r="G22" t="s">
        <v>764</v>
      </c>
    </row>
    <row r="23" spans="1:7" hidden="1" x14ac:dyDescent="0.3">
      <c r="A23" t="s">
        <v>795</v>
      </c>
      <c r="B23" s="15" t="s">
        <v>748</v>
      </c>
      <c r="D23" t="s">
        <v>796</v>
      </c>
      <c r="E23" t="s">
        <v>770</v>
      </c>
    </row>
    <row r="24" spans="1:7" x14ac:dyDescent="0.3">
      <c r="A24" t="s">
        <v>797</v>
      </c>
      <c r="B24" t="s">
        <v>752</v>
      </c>
      <c r="F24" t="s">
        <v>753</v>
      </c>
      <c r="G24" t="s">
        <v>798</v>
      </c>
    </row>
    <row r="25" spans="1:7" x14ac:dyDescent="0.3">
      <c r="A25" t="s">
        <v>799</v>
      </c>
      <c r="B25" t="s">
        <v>752</v>
      </c>
      <c r="F25" t="s">
        <v>753</v>
      </c>
      <c r="G25" s="85" t="s">
        <v>800</v>
      </c>
    </row>
    <row r="26" spans="1:7" x14ac:dyDescent="0.3">
      <c r="A26" t="s">
        <v>801</v>
      </c>
      <c r="B26" t="s">
        <v>752</v>
      </c>
      <c r="D26" s="218" t="s">
        <v>802</v>
      </c>
      <c r="F26" t="s">
        <v>753</v>
      </c>
      <c r="G26" t="s">
        <v>803</v>
      </c>
    </row>
    <row r="27" spans="1:7" x14ac:dyDescent="0.3">
      <c r="A27" t="s">
        <v>804</v>
      </c>
      <c r="B27" t="s">
        <v>752</v>
      </c>
      <c r="F27" t="s">
        <v>756</v>
      </c>
      <c r="G27" s="85" t="s">
        <v>805</v>
      </c>
    </row>
    <row r="28" spans="1:7" x14ac:dyDescent="0.3">
      <c r="A28" t="s">
        <v>806</v>
      </c>
      <c r="B28" t="s">
        <v>752</v>
      </c>
      <c r="F28" t="s">
        <v>807</v>
      </c>
      <c r="G28" s="85" t="s">
        <v>805</v>
      </c>
    </row>
    <row r="29" spans="1:7" ht="28.8" x14ac:dyDescent="0.3">
      <c r="A29" t="s">
        <v>808</v>
      </c>
      <c r="B29" t="s">
        <v>752</v>
      </c>
      <c r="D29" s="218" t="s">
        <v>809</v>
      </c>
      <c r="F29" t="s">
        <v>756</v>
      </c>
      <c r="G29" t="s">
        <v>810</v>
      </c>
    </row>
    <row r="30" spans="1:7" x14ac:dyDescent="0.3">
      <c r="A30" t="s">
        <v>811</v>
      </c>
      <c r="B30" t="s">
        <v>752</v>
      </c>
      <c r="D30" s="218" t="s">
        <v>812</v>
      </c>
      <c r="F30" t="s">
        <v>753</v>
      </c>
      <c r="G30" t="s">
        <v>813</v>
      </c>
    </row>
    <row r="31" spans="1:7" x14ac:dyDescent="0.3">
      <c r="A31" t="s">
        <v>814</v>
      </c>
      <c r="B31" t="s">
        <v>752</v>
      </c>
      <c r="F31" t="s">
        <v>756</v>
      </c>
      <c r="G31" s="85"/>
    </row>
    <row r="32" spans="1:7" hidden="1" x14ac:dyDescent="0.3">
      <c r="A32" t="s">
        <v>815</v>
      </c>
      <c r="B32" s="15" t="s">
        <v>748</v>
      </c>
      <c r="D32" t="s">
        <v>816</v>
      </c>
      <c r="E32" t="s">
        <v>770</v>
      </c>
    </row>
    <row r="33" spans="1:7" x14ac:dyDescent="0.3">
      <c r="A33" t="s">
        <v>817</v>
      </c>
      <c r="B33" t="s">
        <v>752</v>
      </c>
      <c r="D33"/>
      <c r="F33" t="s">
        <v>753</v>
      </c>
      <c r="G33" s="85" t="s">
        <v>818</v>
      </c>
    </row>
    <row r="34" spans="1:7" x14ac:dyDescent="0.3">
      <c r="A34" t="s">
        <v>819</v>
      </c>
      <c r="B34" t="s">
        <v>752</v>
      </c>
      <c r="D34" s="218" t="s">
        <v>820</v>
      </c>
      <c r="F34" t="s">
        <v>756</v>
      </c>
      <c r="G34" s="85"/>
    </row>
    <row r="35" spans="1:7" ht="57.6" x14ac:dyDescent="0.3">
      <c r="A35" t="s">
        <v>821</v>
      </c>
      <c r="B35" t="s">
        <v>752</v>
      </c>
      <c r="D35" s="218" t="s">
        <v>822</v>
      </c>
      <c r="F35" t="s">
        <v>756</v>
      </c>
      <c r="G35" s="85" t="s">
        <v>805</v>
      </c>
    </row>
    <row r="36" spans="1:7" ht="28.8" hidden="1" x14ac:dyDescent="0.3">
      <c r="A36" t="s">
        <v>823</v>
      </c>
      <c r="B36" s="15" t="s">
        <v>748</v>
      </c>
      <c r="D36" s="15" t="s">
        <v>824</v>
      </c>
      <c r="E36" t="s">
        <v>770</v>
      </c>
    </row>
    <row r="37" spans="1:7" x14ac:dyDescent="0.3">
      <c r="A37" t="s">
        <v>825</v>
      </c>
      <c r="B37" t="s">
        <v>752</v>
      </c>
      <c r="D37" s="218" t="s">
        <v>826</v>
      </c>
      <c r="F37" t="s">
        <v>756</v>
      </c>
      <c r="G37" s="85" t="s">
        <v>805</v>
      </c>
    </row>
    <row r="38" spans="1:7" x14ac:dyDescent="0.3">
      <c r="A38" t="s">
        <v>827</v>
      </c>
      <c r="B38" t="s">
        <v>752</v>
      </c>
      <c r="F38" t="s">
        <v>753</v>
      </c>
      <c r="G38" t="s">
        <v>828</v>
      </c>
    </row>
    <row r="39" spans="1:7" ht="43.2" x14ac:dyDescent="0.3">
      <c r="A39" t="s">
        <v>829</v>
      </c>
      <c r="B39" t="s">
        <v>752</v>
      </c>
      <c r="D39" s="218" t="s">
        <v>830</v>
      </c>
      <c r="F39" t="s">
        <v>831</v>
      </c>
      <c r="G39" t="s">
        <v>832</v>
      </c>
    </row>
    <row r="40" spans="1:7" ht="43.2" x14ac:dyDescent="0.3">
      <c r="A40" t="s">
        <v>833</v>
      </c>
      <c r="B40" t="s">
        <v>834</v>
      </c>
      <c r="D40" s="15" t="s">
        <v>835</v>
      </c>
      <c r="E40" t="s">
        <v>770</v>
      </c>
      <c r="F40" t="s">
        <v>753</v>
      </c>
    </row>
    <row r="41" spans="1:7" x14ac:dyDescent="0.3">
      <c r="A41" t="s">
        <v>836</v>
      </c>
      <c r="B41" t="s">
        <v>752</v>
      </c>
      <c r="F41" t="s">
        <v>753</v>
      </c>
      <c r="G41" t="s">
        <v>764</v>
      </c>
    </row>
    <row r="42" spans="1:7" ht="86.4" x14ac:dyDescent="0.3">
      <c r="A42" t="s">
        <v>837</v>
      </c>
      <c r="B42" t="s">
        <v>752</v>
      </c>
      <c r="D42" s="15" t="s">
        <v>838</v>
      </c>
      <c r="F42" t="s">
        <v>753</v>
      </c>
      <c r="G42" t="s">
        <v>754</v>
      </c>
    </row>
    <row r="43" spans="1:7" x14ac:dyDescent="0.3">
      <c r="A43" t="s">
        <v>839</v>
      </c>
      <c r="B43" t="s">
        <v>752</v>
      </c>
      <c r="D43"/>
      <c r="F43" t="s">
        <v>753</v>
      </c>
      <c r="G43" t="s">
        <v>832</v>
      </c>
    </row>
    <row r="44" spans="1:7" ht="100.8" hidden="1" x14ac:dyDescent="0.3">
      <c r="A44" t="s">
        <v>840</v>
      </c>
      <c r="B44" t="s">
        <v>748</v>
      </c>
      <c r="D44" s="218" t="s">
        <v>841</v>
      </c>
      <c r="E44" t="s">
        <v>750</v>
      </c>
    </row>
    <row r="45" spans="1:7" hidden="1" x14ac:dyDescent="0.3">
      <c r="A45" t="s">
        <v>842</v>
      </c>
      <c r="D45"/>
    </row>
    <row r="54" spans="8:11" x14ac:dyDescent="0.3">
      <c r="I54" s="15"/>
    </row>
    <row r="55" spans="8:11" x14ac:dyDescent="0.3">
      <c r="I55" s="15"/>
      <c r="K55" s="425"/>
    </row>
    <row r="56" spans="8:11" x14ac:dyDescent="0.3">
      <c r="I56" s="15"/>
    </row>
    <row r="57" spans="8:11" x14ac:dyDescent="0.3">
      <c r="I57" s="15"/>
    </row>
    <row r="58" spans="8:11" x14ac:dyDescent="0.3">
      <c r="H58" s="15"/>
    </row>
    <row r="59" spans="8:11" x14ac:dyDescent="0.3">
      <c r="H59" s="15"/>
    </row>
    <row r="60" spans="8:11" x14ac:dyDescent="0.3">
      <c r="H60" s="15"/>
    </row>
  </sheetData>
  <autoFilter ref="A1:F45" xr:uid="{BF69009C-BA2D-445C-9464-6EFCD25350AA}">
    <filterColumn colId="1">
      <filters>
        <filter val="Final"/>
        <filter val="Final for Palmdale only"/>
      </filters>
    </filterColumn>
  </autoFilter>
  <hyperlinks>
    <hyperlink ref="C5" r:id="rId1" xr:uid="{8781224B-277E-4EA6-9DEE-5CA5BA5FFE6F}"/>
  </hyperlinks>
  <pageMargins left="0.7" right="0.7" top="0.75" bottom="0.75" header="0.3" footer="0.3"/>
  <pageSetup orientation="portrait" horizontalDpi="1200" verticalDpi="1200"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0CCD-3A5F-445D-AA17-64F228C474B4}">
  <sheetPr codeName="Sheet2">
    <tabColor theme="1"/>
  </sheetPr>
  <dimension ref="A1"/>
  <sheetViews>
    <sheetView workbookViewId="0">
      <selection activeCell="K21" sqref="K21"/>
    </sheetView>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C9F2C-9F3A-48C0-BC28-E07B519A176B}">
  <sheetPr codeName="Sheet3">
    <tabColor theme="9"/>
  </sheetPr>
  <dimension ref="A1:I60"/>
  <sheetViews>
    <sheetView topLeftCell="A23" zoomScale="70" zoomScaleNormal="70" workbookViewId="0">
      <selection activeCell="C27" sqref="C27"/>
    </sheetView>
  </sheetViews>
  <sheetFormatPr defaultColWidth="9.109375" defaultRowHeight="18" x14ac:dyDescent="0.35"/>
  <cols>
    <col min="1" max="1" width="40.5546875" style="21" customWidth="1"/>
    <col min="2" max="2" width="37.6640625" style="21" customWidth="1"/>
    <col min="3" max="3" width="34.88671875" style="21" customWidth="1"/>
    <col min="4" max="4" width="24.44140625" style="21" customWidth="1"/>
    <col min="5" max="5" width="65.33203125" style="21" customWidth="1"/>
    <col min="6" max="6" width="65" style="21" hidden="1" customWidth="1"/>
    <col min="7" max="7" width="43.5546875" style="21" customWidth="1"/>
    <col min="8" max="8" width="168.109375" style="21" bestFit="1" customWidth="1"/>
    <col min="9" max="9" width="29.44140625" style="21" bestFit="1" customWidth="1"/>
    <col min="10" max="16384" width="9.109375" style="21"/>
  </cols>
  <sheetData>
    <row r="1" spans="1:9" s="77" customFormat="1" ht="31.2" x14ac:dyDescent="0.6">
      <c r="A1" s="76" t="s">
        <v>843</v>
      </c>
    </row>
    <row r="2" spans="1:9" s="77" customFormat="1" x14ac:dyDescent="0.35">
      <c r="A2" s="98" t="s">
        <v>844</v>
      </c>
    </row>
    <row r="3" spans="1:9" s="77" customFormat="1" x14ac:dyDescent="0.35">
      <c r="A3" s="98" t="s">
        <v>845</v>
      </c>
    </row>
    <row r="4" spans="1:9" s="77" customFormat="1" x14ac:dyDescent="0.35">
      <c r="A4" s="97"/>
      <c r="F4" s="77" t="s">
        <v>846</v>
      </c>
    </row>
    <row r="5" spans="1:9" ht="51.6" x14ac:dyDescent="0.35">
      <c r="A5" s="68" t="s">
        <v>847</v>
      </c>
      <c r="B5" s="68" t="s">
        <v>193</v>
      </c>
      <c r="C5" s="99" t="s">
        <v>848</v>
      </c>
      <c r="D5" s="99" t="s">
        <v>849</v>
      </c>
      <c r="E5" s="68" t="s">
        <v>850</v>
      </c>
      <c r="F5" s="327" t="s">
        <v>851</v>
      </c>
      <c r="G5" s="68" t="s">
        <v>852</v>
      </c>
      <c r="H5" s="68" t="s">
        <v>853</v>
      </c>
      <c r="I5" s="68" t="s">
        <v>854</v>
      </c>
    </row>
    <row r="6" spans="1:9" x14ac:dyDescent="0.35">
      <c r="A6" s="100" t="s">
        <v>855</v>
      </c>
      <c r="B6" s="101" t="s">
        <v>747</v>
      </c>
      <c r="C6" s="100" t="s">
        <v>856</v>
      </c>
      <c r="D6" s="100" t="s">
        <v>857</v>
      </c>
      <c r="E6" s="100"/>
      <c r="F6" s="100" t="s">
        <v>204</v>
      </c>
      <c r="G6" s="100" t="s">
        <v>858</v>
      </c>
      <c r="H6" s="100" t="s">
        <v>859</v>
      </c>
      <c r="I6" s="100" t="s">
        <v>748</v>
      </c>
    </row>
    <row r="7" spans="1:9" x14ac:dyDescent="0.35">
      <c r="A7" s="100" t="s">
        <v>855</v>
      </c>
      <c r="B7" s="101" t="s">
        <v>751</v>
      </c>
      <c r="C7" s="100" t="s">
        <v>860</v>
      </c>
      <c r="D7" s="100" t="s">
        <v>861</v>
      </c>
      <c r="E7" s="100"/>
      <c r="F7" s="100" t="s">
        <v>862</v>
      </c>
      <c r="G7" s="100" t="s">
        <v>863</v>
      </c>
      <c r="H7" s="100" t="s">
        <v>864</v>
      </c>
      <c r="I7" s="100" t="s">
        <v>159</v>
      </c>
    </row>
    <row r="8" spans="1:9" x14ac:dyDescent="0.35">
      <c r="A8" s="100" t="s">
        <v>855</v>
      </c>
      <c r="B8" s="101" t="s">
        <v>755</v>
      </c>
      <c r="C8" s="100" t="s">
        <v>860</v>
      </c>
      <c r="D8" s="100" t="s">
        <v>861</v>
      </c>
      <c r="E8" s="100"/>
      <c r="F8" s="100" t="s">
        <v>865</v>
      </c>
      <c r="G8" s="100" t="s">
        <v>866</v>
      </c>
      <c r="H8" s="100" t="s">
        <v>867</v>
      </c>
      <c r="I8" s="100" t="s">
        <v>159</v>
      </c>
    </row>
    <row r="9" spans="1:9" x14ac:dyDescent="0.35">
      <c r="A9" s="100" t="s">
        <v>855</v>
      </c>
      <c r="B9" s="101" t="s">
        <v>758</v>
      </c>
      <c r="C9" s="100" t="s">
        <v>860</v>
      </c>
      <c r="D9" s="100" t="s">
        <v>861</v>
      </c>
      <c r="E9" s="100"/>
      <c r="F9" s="100" t="s">
        <v>868</v>
      </c>
      <c r="G9" s="100" t="s">
        <v>869</v>
      </c>
      <c r="H9" s="100" t="s">
        <v>870</v>
      </c>
      <c r="I9" s="100" t="s">
        <v>159</v>
      </c>
    </row>
    <row r="10" spans="1:9" x14ac:dyDescent="0.35">
      <c r="A10" s="100" t="s">
        <v>855</v>
      </c>
      <c r="B10" s="101" t="s">
        <v>761</v>
      </c>
      <c r="C10" s="100" t="s">
        <v>860</v>
      </c>
      <c r="D10" s="100" t="s">
        <v>861</v>
      </c>
      <c r="E10" s="100"/>
      <c r="F10" s="100" t="s">
        <v>871</v>
      </c>
      <c r="G10" s="100" t="s">
        <v>872</v>
      </c>
      <c r="H10" s="100" t="s">
        <v>873</v>
      </c>
      <c r="I10" s="100" t="s">
        <v>159</v>
      </c>
    </row>
    <row r="11" spans="1:9" x14ac:dyDescent="0.35">
      <c r="A11" s="100" t="s">
        <v>855</v>
      </c>
      <c r="B11" s="101" t="s">
        <v>763</v>
      </c>
      <c r="C11" s="100" t="s">
        <v>860</v>
      </c>
      <c r="D11" s="100" t="s">
        <v>857</v>
      </c>
      <c r="E11" s="100"/>
      <c r="F11" s="100" t="s">
        <v>763</v>
      </c>
      <c r="G11" s="100" t="s">
        <v>874</v>
      </c>
      <c r="H11" s="100" t="s">
        <v>875</v>
      </c>
      <c r="I11" s="100" t="s">
        <v>159</v>
      </c>
    </row>
    <row r="12" spans="1:9" x14ac:dyDescent="0.35">
      <c r="A12" s="100" t="s">
        <v>855</v>
      </c>
      <c r="B12" s="102" t="s">
        <v>765</v>
      </c>
      <c r="C12" s="100" t="s">
        <v>860</v>
      </c>
      <c r="D12" s="100" t="s">
        <v>861</v>
      </c>
      <c r="E12" s="100" t="s">
        <v>876</v>
      </c>
      <c r="F12" s="100" t="s">
        <v>765</v>
      </c>
      <c r="G12" s="100" t="s">
        <v>877</v>
      </c>
      <c r="H12" s="100" t="s">
        <v>878</v>
      </c>
      <c r="I12" s="100" t="s">
        <v>159</v>
      </c>
    </row>
    <row r="13" spans="1:9" ht="36" x14ac:dyDescent="0.35">
      <c r="A13" s="100" t="s">
        <v>855</v>
      </c>
      <c r="B13" s="101" t="s">
        <v>768</v>
      </c>
      <c r="C13" s="100" t="s">
        <v>879</v>
      </c>
      <c r="D13" s="100" t="s">
        <v>857</v>
      </c>
      <c r="E13" s="100"/>
      <c r="F13" s="100" t="s">
        <v>204</v>
      </c>
      <c r="G13" s="101" t="s">
        <v>880</v>
      </c>
      <c r="H13" s="101" t="s">
        <v>881</v>
      </c>
      <c r="I13" s="101" t="s">
        <v>748</v>
      </c>
    </row>
    <row r="14" spans="1:9" x14ac:dyDescent="0.35">
      <c r="A14" s="100" t="s">
        <v>855</v>
      </c>
      <c r="B14" s="101" t="s">
        <v>771</v>
      </c>
      <c r="C14" s="100" t="s">
        <v>856</v>
      </c>
      <c r="D14" s="100" t="s">
        <v>861</v>
      </c>
      <c r="E14" s="100"/>
      <c r="F14" s="100" t="s">
        <v>771</v>
      </c>
      <c r="G14" s="100" t="s">
        <v>882</v>
      </c>
      <c r="H14" s="100" t="s">
        <v>883</v>
      </c>
      <c r="I14" s="100" t="s">
        <v>159</v>
      </c>
    </row>
    <row r="15" spans="1:9" x14ac:dyDescent="0.35">
      <c r="A15" s="100" t="s">
        <v>855</v>
      </c>
      <c r="B15" s="101" t="s">
        <v>772</v>
      </c>
      <c r="C15" s="100" t="s">
        <v>856</v>
      </c>
      <c r="D15" s="100" t="s">
        <v>861</v>
      </c>
      <c r="E15" s="100"/>
      <c r="F15" s="100" t="s">
        <v>772</v>
      </c>
      <c r="G15" s="100" t="s">
        <v>884</v>
      </c>
      <c r="H15" s="100" t="s">
        <v>885</v>
      </c>
      <c r="I15" s="100" t="s">
        <v>159</v>
      </c>
    </row>
    <row r="16" spans="1:9" x14ac:dyDescent="0.35">
      <c r="A16" s="100" t="s">
        <v>855</v>
      </c>
      <c r="B16" s="101" t="s">
        <v>774</v>
      </c>
      <c r="C16" s="100" t="s">
        <v>856</v>
      </c>
      <c r="D16" s="100" t="s">
        <v>861</v>
      </c>
      <c r="E16" s="100"/>
      <c r="F16" s="100" t="s">
        <v>774</v>
      </c>
      <c r="G16" s="100" t="s">
        <v>886</v>
      </c>
      <c r="H16" s="100" t="s">
        <v>887</v>
      </c>
      <c r="I16" s="100" t="s">
        <v>159</v>
      </c>
    </row>
    <row r="17" spans="1:9" ht="90" x14ac:dyDescent="0.35">
      <c r="A17" s="100" t="s">
        <v>855</v>
      </c>
      <c r="B17" s="101" t="s">
        <v>775</v>
      </c>
      <c r="C17" s="100" t="s">
        <v>860</v>
      </c>
      <c r="D17" s="100" t="s">
        <v>861</v>
      </c>
      <c r="E17" s="103" t="s">
        <v>888</v>
      </c>
      <c r="F17" s="194" t="s">
        <v>889</v>
      </c>
      <c r="G17" s="102" t="s">
        <v>890</v>
      </c>
      <c r="H17" s="102" t="s">
        <v>891</v>
      </c>
      <c r="I17" s="101" t="s">
        <v>748</v>
      </c>
    </row>
    <row r="18" spans="1:9" x14ac:dyDescent="0.35">
      <c r="A18" s="100" t="s">
        <v>855</v>
      </c>
      <c r="B18" s="101" t="s">
        <v>779</v>
      </c>
      <c r="C18" s="100" t="s">
        <v>879</v>
      </c>
      <c r="D18" s="100" t="s">
        <v>857</v>
      </c>
      <c r="E18" s="100"/>
      <c r="F18" s="193"/>
      <c r="G18" s="100" t="s">
        <v>892</v>
      </c>
      <c r="H18" s="100" t="s">
        <v>893</v>
      </c>
      <c r="I18" s="101" t="s">
        <v>748</v>
      </c>
    </row>
    <row r="19" spans="1:9" x14ac:dyDescent="0.35">
      <c r="A19" s="104" t="s">
        <v>894</v>
      </c>
      <c r="B19" s="105" t="s">
        <v>781</v>
      </c>
      <c r="C19" s="104" t="s">
        <v>860</v>
      </c>
      <c r="D19" s="104" t="s">
        <v>861</v>
      </c>
      <c r="E19" s="104"/>
      <c r="F19" s="104" t="s">
        <v>204</v>
      </c>
      <c r="G19" s="104" t="s">
        <v>892</v>
      </c>
      <c r="H19" s="104" t="s">
        <v>895</v>
      </c>
      <c r="I19" s="104" t="s">
        <v>748</v>
      </c>
    </row>
    <row r="20" spans="1:9" x14ac:dyDescent="0.35">
      <c r="A20" s="104" t="s">
        <v>894</v>
      </c>
      <c r="B20" s="105" t="s">
        <v>783</v>
      </c>
      <c r="C20" s="104" t="s">
        <v>860</v>
      </c>
      <c r="D20" s="104" t="s">
        <v>861</v>
      </c>
      <c r="E20" s="104"/>
      <c r="F20" s="104" t="s">
        <v>896</v>
      </c>
      <c r="G20" s="104" t="s">
        <v>897</v>
      </c>
      <c r="H20" s="104" t="s">
        <v>898</v>
      </c>
      <c r="I20" s="104" t="s">
        <v>159</v>
      </c>
    </row>
    <row r="21" spans="1:9" x14ac:dyDescent="0.35">
      <c r="A21" s="104" t="s">
        <v>894</v>
      </c>
      <c r="B21" s="105" t="s">
        <v>785</v>
      </c>
      <c r="C21" s="104" t="s">
        <v>860</v>
      </c>
      <c r="D21" s="104" t="s">
        <v>861</v>
      </c>
      <c r="E21" s="104"/>
      <c r="F21" s="104" t="s">
        <v>899</v>
      </c>
      <c r="G21" s="104" t="s">
        <v>900</v>
      </c>
      <c r="H21" s="104"/>
      <c r="I21" s="104" t="s">
        <v>159</v>
      </c>
    </row>
    <row r="22" spans="1:9" x14ac:dyDescent="0.35">
      <c r="A22" s="104" t="s">
        <v>894</v>
      </c>
      <c r="B22" s="105" t="s">
        <v>787</v>
      </c>
      <c r="C22" s="104" t="s">
        <v>860</v>
      </c>
      <c r="D22" s="104" t="s">
        <v>861</v>
      </c>
      <c r="E22" s="104"/>
      <c r="F22" s="104" t="s">
        <v>204</v>
      </c>
      <c r="G22" s="104" t="s">
        <v>901</v>
      </c>
      <c r="H22" s="104" t="s">
        <v>902</v>
      </c>
      <c r="I22" s="104" t="s">
        <v>748</v>
      </c>
    </row>
    <row r="23" spans="1:9" x14ac:dyDescent="0.35">
      <c r="A23" s="104" t="s">
        <v>894</v>
      </c>
      <c r="B23" s="105" t="s">
        <v>788</v>
      </c>
      <c r="C23" s="104" t="s">
        <v>860</v>
      </c>
      <c r="D23" s="104" t="s">
        <v>861</v>
      </c>
      <c r="E23" s="104"/>
      <c r="F23" s="104" t="s">
        <v>204</v>
      </c>
      <c r="G23" s="104" t="s">
        <v>903</v>
      </c>
      <c r="H23" s="104" t="s">
        <v>903</v>
      </c>
      <c r="I23" s="104" t="s">
        <v>748</v>
      </c>
    </row>
    <row r="24" spans="1:9" x14ac:dyDescent="0.35">
      <c r="A24" s="104" t="s">
        <v>894</v>
      </c>
      <c r="B24" s="105" t="s">
        <v>789</v>
      </c>
      <c r="C24" s="104" t="s">
        <v>860</v>
      </c>
      <c r="D24" s="104" t="s">
        <v>861</v>
      </c>
      <c r="E24" s="104"/>
      <c r="F24" s="104" t="s">
        <v>204</v>
      </c>
      <c r="G24" s="104" t="s">
        <v>904</v>
      </c>
      <c r="H24" s="104" t="s">
        <v>904</v>
      </c>
      <c r="I24" s="104" t="s">
        <v>748</v>
      </c>
    </row>
    <row r="25" spans="1:9" x14ac:dyDescent="0.35">
      <c r="A25" s="104" t="s">
        <v>894</v>
      </c>
      <c r="B25" s="105" t="s">
        <v>790</v>
      </c>
      <c r="C25" s="104" t="s">
        <v>860</v>
      </c>
      <c r="D25" s="104" t="s">
        <v>861</v>
      </c>
      <c r="E25" s="104"/>
      <c r="F25" s="104" t="s">
        <v>905</v>
      </c>
      <c r="G25" s="104" t="s">
        <v>906</v>
      </c>
      <c r="H25" s="104" t="s">
        <v>907</v>
      </c>
      <c r="I25" s="104" t="s">
        <v>159</v>
      </c>
    </row>
    <row r="26" spans="1:9" x14ac:dyDescent="0.35">
      <c r="A26" s="104" t="s">
        <v>894</v>
      </c>
      <c r="B26" s="105" t="s">
        <v>793</v>
      </c>
      <c r="C26" s="104" t="s">
        <v>860</v>
      </c>
      <c r="D26" s="104" t="s">
        <v>857</v>
      </c>
      <c r="E26" s="104"/>
      <c r="F26" s="104" t="s">
        <v>908</v>
      </c>
      <c r="G26" s="104" t="s">
        <v>909</v>
      </c>
      <c r="H26" s="104" t="s">
        <v>910</v>
      </c>
      <c r="I26" s="104" t="s">
        <v>748</v>
      </c>
    </row>
    <row r="27" spans="1:9" ht="54" x14ac:dyDescent="0.35">
      <c r="A27" s="104" t="s">
        <v>894</v>
      </c>
      <c r="B27" s="105" t="s">
        <v>795</v>
      </c>
      <c r="C27" s="104" t="s">
        <v>879</v>
      </c>
      <c r="D27" s="104" t="s">
        <v>861</v>
      </c>
      <c r="E27" s="105" t="s">
        <v>796</v>
      </c>
      <c r="F27" s="104" t="s">
        <v>204</v>
      </c>
      <c r="G27" s="105" t="s">
        <v>911</v>
      </c>
      <c r="H27" s="105" t="s">
        <v>911</v>
      </c>
      <c r="I27" s="104" t="s">
        <v>748</v>
      </c>
    </row>
    <row r="28" spans="1:9" x14ac:dyDescent="0.35">
      <c r="A28" s="104" t="s">
        <v>894</v>
      </c>
      <c r="B28" s="105" t="s">
        <v>797</v>
      </c>
      <c r="C28" s="104" t="s">
        <v>879</v>
      </c>
      <c r="D28" s="104" t="s">
        <v>861</v>
      </c>
      <c r="E28" s="104"/>
      <c r="F28" s="104" t="s">
        <v>912</v>
      </c>
      <c r="G28" s="104" t="s">
        <v>913</v>
      </c>
      <c r="H28" s="104" t="s">
        <v>859</v>
      </c>
      <c r="I28" s="104" t="s">
        <v>914</v>
      </c>
    </row>
    <row r="29" spans="1:9" ht="54" x14ac:dyDescent="0.35">
      <c r="A29" s="106" t="s">
        <v>915</v>
      </c>
      <c r="B29" s="107" t="s">
        <v>799</v>
      </c>
      <c r="C29" s="106" t="s">
        <v>879</v>
      </c>
      <c r="D29" s="106" t="s">
        <v>857</v>
      </c>
      <c r="E29" s="106"/>
      <c r="F29" s="106" t="s">
        <v>916</v>
      </c>
      <c r="G29" s="107" t="s">
        <v>917</v>
      </c>
      <c r="H29" s="107" t="s">
        <v>918</v>
      </c>
      <c r="I29" s="107" t="s">
        <v>159</v>
      </c>
    </row>
    <row r="30" spans="1:9" x14ac:dyDescent="0.35">
      <c r="A30" s="106" t="s">
        <v>915</v>
      </c>
      <c r="B30" s="107" t="s">
        <v>801</v>
      </c>
      <c r="C30" s="106" t="s">
        <v>860</v>
      </c>
      <c r="D30" s="106" t="s">
        <v>857</v>
      </c>
      <c r="E30" s="106"/>
      <c r="F30" s="106" t="s">
        <v>801</v>
      </c>
      <c r="G30" s="106" t="s">
        <v>919</v>
      </c>
      <c r="H30" s="106" t="s">
        <v>920</v>
      </c>
      <c r="I30" s="106" t="s">
        <v>159</v>
      </c>
    </row>
    <row r="31" spans="1:9" x14ac:dyDescent="0.35">
      <c r="A31" s="106" t="s">
        <v>915</v>
      </c>
      <c r="B31" s="107" t="s">
        <v>804</v>
      </c>
      <c r="C31" s="106" t="s">
        <v>921</v>
      </c>
      <c r="D31" s="106" t="s">
        <v>861</v>
      </c>
      <c r="E31" s="106"/>
      <c r="F31" s="106" t="s">
        <v>804</v>
      </c>
      <c r="G31" s="106" t="s">
        <v>922</v>
      </c>
      <c r="H31" s="106" t="s">
        <v>923</v>
      </c>
      <c r="I31" s="106" t="s">
        <v>159</v>
      </c>
    </row>
    <row r="32" spans="1:9" ht="36" customHeight="1" x14ac:dyDescent="0.35">
      <c r="A32" s="106" t="s">
        <v>915</v>
      </c>
      <c r="B32" s="108" t="s">
        <v>806</v>
      </c>
      <c r="C32" s="106" t="s">
        <v>921</v>
      </c>
      <c r="D32" s="106" t="s">
        <v>861</v>
      </c>
      <c r="E32" s="106"/>
      <c r="F32" s="106" t="s">
        <v>924</v>
      </c>
      <c r="G32" s="106" t="s">
        <v>925</v>
      </c>
      <c r="H32" s="106" t="s">
        <v>926</v>
      </c>
      <c r="I32" s="106" t="s">
        <v>927</v>
      </c>
    </row>
    <row r="33" spans="1:9" ht="36" x14ac:dyDescent="0.35">
      <c r="A33" s="106" t="s">
        <v>915</v>
      </c>
      <c r="B33" s="107" t="s">
        <v>808</v>
      </c>
      <c r="C33" s="106" t="s">
        <v>879</v>
      </c>
      <c r="D33" s="106" t="s">
        <v>861</v>
      </c>
      <c r="E33" s="106"/>
      <c r="F33" s="106" t="s">
        <v>928</v>
      </c>
      <c r="G33" s="106" t="s">
        <v>929</v>
      </c>
      <c r="H33" s="106" t="s">
        <v>930</v>
      </c>
      <c r="I33" s="106" t="s">
        <v>159</v>
      </c>
    </row>
    <row r="34" spans="1:9" ht="36" x14ac:dyDescent="0.35">
      <c r="A34" s="106" t="s">
        <v>915</v>
      </c>
      <c r="B34" s="107" t="s">
        <v>811</v>
      </c>
      <c r="C34" s="106" t="s">
        <v>879</v>
      </c>
      <c r="D34" s="106" t="s">
        <v>931</v>
      </c>
      <c r="E34" s="106"/>
      <c r="F34" s="106" t="s">
        <v>811</v>
      </c>
      <c r="G34" s="107" t="s">
        <v>932</v>
      </c>
      <c r="H34" s="107" t="s">
        <v>933</v>
      </c>
      <c r="I34" s="107" t="s">
        <v>159</v>
      </c>
    </row>
    <row r="35" spans="1:9" ht="54" x14ac:dyDescent="0.35">
      <c r="A35" s="109" t="s">
        <v>934</v>
      </c>
      <c r="B35" s="110" t="s">
        <v>814</v>
      </c>
      <c r="C35" s="109" t="s">
        <v>879</v>
      </c>
      <c r="D35" s="109" t="s">
        <v>857</v>
      </c>
      <c r="E35" s="109"/>
      <c r="F35" s="109" t="s">
        <v>935</v>
      </c>
      <c r="G35" s="109" t="s">
        <v>936</v>
      </c>
      <c r="H35" s="109" t="s">
        <v>937</v>
      </c>
      <c r="I35" s="109" t="s">
        <v>159</v>
      </c>
    </row>
    <row r="36" spans="1:9" ht="72" x14ac:dyDescent="0.35">
      <c r="A36" s="109" t="s">
        <v>934</v>
      </c>
      <c r="B36" s="110" t="s">
        <v>815</v>
      </c>
      <c r="C36" s="109" t="s">
        <v>860</v>
      </c>
      <c r="D36" s="109" t="s">
        <v>857</v>
      </c>
      <c r="E36" s="109"/>
      <c r="F36" s="109" t="s">
        <v>204</v>
      </c>
      <c r="G36" s="110" t="s">
        <v>938</v>
      </c>
      <c r="H36" s="110" t="s">
        <v>939</v>
      </c>
      <c r="I36" s="110" t="s">
        <v>748</v>
      </c>
    </row>
    <row r="37" spans="1:9" ht="36" x14ac:dyDescent="0.35">
      <c r="A37" s="111" t="s">
        <v>940</v>
      </c>
      <c r="B37" s="112" t="s">
        <v>817</v>
      </c>
      <c r="C37" s="111" t="s">
        <v>879</v>
      </c>
      <c r="D37" s="111" t="s">
        <v>857</v>
      </c>
      <c r="E37" s="111"/>
      <c r="F37" s="111" t="s">
        <v>941</v>
      </c>
      <c r="G37" s="111" t="s">
        <v>942</v>
      </c>
      <c r="H37" s="111" t="s">
        <v>943</v>
      </c>
      <c r="I37" s="111" t="s">
        <v>159</v>
      </c>
    </row>
    <row r="38" spans="1:9" ht="90" x14ac:dyDescent="0.35">
      <c r="A38" s="111" t="s">
        <v>940</v>
      </c>
      <c r="B38" s="114" t="s">
        <v>819</v>
      </c>
      <c r="C38" s="111" t="s">
        <v>860</v>
      </c>
      <c r="D38" s="195" t="s">
        <v>857</v>
      </c>
      <c r="E38" s="114" t="s">
        <v>945</v>
      </c>
      <c r="F38" s="111" t="s">
        <v>944</v>
      </c>
      <c r="G38" s="111" t="s">
        <v>946</v>
      </c>
      <c r="H38" s="111" t="s">
        <v>947</v>
      </c>
      <c r="I38" s="111" t="s">
        <v>159</v>
      </c>
    </row>
    <row r="39" spans="1:9" x14ac:dyDescent="0.35">
      <c r="A39" s="111" t="s">
        <v>940</v>
      </c>
      <c r="B39" s="112" t="s">
        <v>821</v>
      </c>
      <c r="C39" s="111" t="s">
        <v>860</v>
      </c>
      <c r="D39" s="111" t="s">
        <v>857</v>
      </c>
      <c r="E39" s="111"/>
      <c r="F39" s="111" t="s">
        <v>821</v>
      </c>
      <c r="G39" s="111" t="s">
        <v>948</v>
      </c>
      <c r="H39" s="111" t="s">
        <v>949</v>
      </c>
      <c r="I39" s="111" t="s">
        <v>950</v>
      </c>
    </row>
    <row r="40" spans="1:9" ht="36" x14ac:dyDescent="0.35">
      <c r="A40" s="111" t="s">
        <v>940</v>
      </c>
      <c r="B40" s="112" t="s">
        <v>823</v>
      </c>
      <c r="C40" s="111" t="s">
        <v>860</v>
      </c>
      <c r="D40" s="111" t="s">
        <v>857</v>
      </c>
      <c r="E40" s="111"/>
      <c r="F40" s="111" t="s">
        <v>204</v>
      </c>
      <c r="G40" s="111" t="s">
        <v>951</v>
      </c>
      <c r="H40" s="111" t="s">
        <v>952</v>
      </c>
      <c r="I40" s="111" t="s">
        <v>748</v>
      </c>
    </row>
    <row r="41" spans="1:9" x14ac:dyDescent="0.35">
      <c r="A41" s="111" t="s">
        <v>940</v>
      </c>
      <c r="B41" s="112" t="s">
        <v>825</v>
      </c>
      <c r="C41" s="111" t="s">
        <v>860</v>
      </c>
      <c r="D41" s="111" t="s">
        <v>857</v>
      </c>
      <c r="E41" s="111"/>
      <c r="F41" s="111" t="s">
        <v>825</v>
      </c>
      <c r="G41" s="111" t="s">
        <v>953</v>
      </c>
      <c r="H41" s="111" t="s">
        <v>954</v>
      </c>
      <c r="I41" s="111" t="s">
        <v>950</v>
      </c>
    </row>
    <row r="42" spans="1:9" ht="72" x14ac:dyDescent="0.35">
      <c r="A42" s="111" t="s">
        <v>940</v>
      </c>
      <c r="B42" s="112" t="s">
        <v>827</v>
      </c>
      <c r="C42" s="111" t="s">
        <v>879</v>
      </c>
      <c r="D42" s="111" t="s">
        <v>857</v>
      </c>
      <c r="E42" s="111"/>
      <c r="F42" s="111" t="s">
        <v>955</v>
      </c>
      <c r="G42" s="112" t="s">
        <v>956</v>
      </c>
      <c r="H42" s="112" t="s">
        <v>957</v>
      </c>
      <c r="I42" s="112" t="s">
        <v>159</v>
      </c>
    </row>
    <row r="43" spans="1:9" x14ac:dyDescent="0.35">
      <c r="A43" s="111" t="s">
        <v>940</v>
      </c>
      <c r="B43" s="112" t="s">
        <v>829</v>
      </c>
      <c r="C43" s="111" t="s">
        <v>879</v>
      </c>
      <c r="D43" s="111" t="s">
        <v>857</v>
      </c>
      <c r="E43" s="111"/>
      <c r="F43" s="111" t="s">
        <v>829</v>
      </c>
      <c r="G43" s="111" t="s">
        <v>958</v>
      </c>
      <c r="H43" s="111" t="s">
        <v>959</v>
      </c>
      <c r="I43" s="111" t="s">
        <v>159</v>
      </c>
    </row>
    <row r="44" spans="1:9" ht="36" x14ac:dyDescent="0.35">
      <c r="A44" s="111" t="s">
        <v>940</v>
      </c>
      <c r="B44" s="112" t="s">
        <v>833</v>
      </c>
      <c r="C44" s="111" t="s">
        <v>860</v>
      </c>
      <c r="D44" s="111" t="s">
        <v>857</v>
      </c>
      <c r="E44" s="111"/>
      <c r="F44" s="111" t="s">
        <v>960</v>
      </c>
      <c r="G44" s="111" t="s">
        <v>961</v>
      </c>
      <c r="H44" s="111" t="s">
        <v>962</v>
      </c>
      <c r="I44" s="111" t="s">
        <v>159</v>
      </c>
    </row>
    <row r="45" spans="1:9" ht="36" x14ac:dyDescent="0.35">
      <c r="A45" s="111" t="s">
        <v>940</v>
      </c>
      <c r="B45" s="112" t="s">
        <v>836</v>
      </c>
      <c r="C45" s="111" t="s">
        <v>879</v>
      </c>
      <c r="D45" s="111" t="s">
        <v>857</v>
      </c>
      <c r="E45" s="113" t="s">
        <v>963</v>
      </c>
      <c r="F45" s="111" t="s">
        <v>836</v>
      </c>
      <c r="G45" s="111" t="s">
        <v>964</v>
      </c>
      <c r="H45" s="111" t="s">
        <v>965</v>
      </c>
      <c r="I45" s="111" t="s">
        <v>159</v>
      </c>
    </row>
    <row r="46" spans="1:9" ht="36" x14ac:dyDescent="0.35">
      <c r="A46" s="111" t="s">
        <v>940</v>
      </c>
      <c r="B46" s="114" t="s">
        <v>837</v>
      </c>
      <c r="C46" s="111" t="s">
        <v>879</v>
      </c>
      <c r="D46" s="111" t="s">
        <v>857</v>
      </c>
      <c r="E46" s="111" t="s">
        <v>966</v>
      </c>
      <c r="F46" s="111" t="s">
        <v>837</v>
      </c>
      <c r="G46" s="111" t="s">
        <v>967</v>
      </c>
      <c r="H46" s="111" t="s">
        <v>968</v>
      </c>
      <c r="I46" s="111" t="s">
        <v>969</v>
      </c>
    </row>
    <row r="47" spans="1:9" x14ac:dyDescent="0.35">
      <c r="A47" s="111" t="s">
        <v>940</v>
      </c>
      <c r="B47" s="112" t="s">
        <v>839</v>
      </c>
      <c r="C47" s="111" t="s">
        <v>879</v>
      </c>
      <c r="D47" s="111" t="s">
        <v>857</v>
      </c>
      <c r="E47" s="113" t="s">
        <v>963</v>
      </c>
      <c r="F47" s="111" t="s">
        <v>839</v>
      </c>
      <c r="G47" s="111" t="s">
        <v>970</v>
      </c>
      <c r="H47" s="111" t="s">
        <v>971</v>
      </c>
      <c r="I47" s="111" t="s">
        <v>159</v>
      </c>
    </row>
    <row r="48" spans="1:9" ht="36" x14ac:dyDescent="0.35">
      <c r="A48" s="111" t="s">
        <v>940</v>
      </c>
      <c r="B48" s="114" t="s">
        <v>840</v>
      </c>
      <c r="C48" s="111" t="s">
        <v>879</v>
      </c>
      <c r="D48" s="111" t="s">
        <v>857</v>
      </c>
      <c r="E48" s="111"/>
      <c r="F48" s="111" t="s">
        <v>204</v>
      </c>
      <c r="G48" s="111" t="s">
        <v>972</v>
      </c>
      <c r="H48" s="111" t="s">
        <v>973</v>
      </c>
      <c r="I48" s="111" t="s">
        <v>748</v>
      </c>
    </row>
    <row r="49" spans="1:5" x14ac:dyDescent="0.35">
      <c r="A49" s="77"/>
      <c r="B49" s="77"/>
      <c r="C49" s="77"/>
      <c r="D49" s="77"/>
      <c r="E49" s="77"/>
    </row>
    <row r="50" spans="1:5" x14ac:dyDescent="0.35">
      <c r="A50" s="77"/>
      <c r="B50" s="77"/>
      <c r="C50" s="77"/>
      <c r="D50" s="77"/>
      <c r="E50" s="77"/>
    </row>
    <row r="51" spans="1:5" customFormat="1" ht="14.4" x14ac:dyDescent="0.3">
      <c r="A51" s="80" t="s">
        <v>974</v>
      </c>
      <c r="B51" s="70"/>
      <c r="C51" s="70"/>
      <c r="D51" s="70"/>
      <c r="E51" s="70"/>
    </row>
    <row r="52" spans="1:5" customFormat="1" ht="15" customHeight="1" x14ac:dyDescent="0.3">
      <c r="A52" s="556"/>
      <c r="B52" s="556"/>
      <c r="C52" s="556"/>
      <c r="D52" s="556"/>
      <c r="E52" s="556"/>
    </row>
    <row r="53" spans="1:5" customFormat="1" ht="14.4" x14ac:dyDescent="0.3">
      <c r="A53" s="556"/>
      <c r="B53" s="556"/>
      <c r="C53" s="556"/>
      <c r="D53" s="556"/>
      <c r="E53" s="556"/>
    </row>
    <row r="54" spans="1:5" customFormat="1" ht="14.4" x14ac:dyDescent="0.3">
      <c r="A54" s="556"/>
      <c r="B54" s="556"/>
      <c r="C54" s="556"/>
      <c r="D54" s="556"/>
      <c r="E54" s="556"/>
    </row>
    <row r="55" spans="1:5" customFormat="1" ht="14.4" x14ac:dyDescent="0.3">
      <c r="A55" s="556"/>
      <c r="B55" s="556"/>
      <c r="C55" s="556"/>
      <c r="D55" s="556"/>
      <c r="E55" s="556"/>
    </row>
    <row r="56" spans="1:5" customFormat="1" ht="14.4" x14ac:dyDescent="0.3">
      <c r="A56" s="556"/>
      <c r="B56" s="556"/>
      <c r="C56" s="556"/>
      <c r="D56" s="556"/>
      <c r="E56" s="556"/>
    </row>
    <row r="57" spans="1:5" customFormat="1" ht="14.4" x14ac:dyDescent="0.3">
      <c r="A57" s="556"/>
      <c r="B57" s="556"/>
      <c r="C57" s="556"/>
      <c r="D57" s="556"/>
      <c r="E57" s="556"/>
    </row>
    <row r="58" spans="1:5" customFormat="1" ht="15" customHeight="1" x14ac:dyDescent="0.3">
      <c r="A58" s="556"/>
      <c r="B58" s="556"/>
      <c r="C58" s="556"/>
      <c r="D58" s="556"/>
      <c r="E58" s="556"/>
    </row>
    <row r="59" spans="1:5" customFormat="1" ht="14.4" x14ac:dyDescent="0.3">
      <c r="A59" s="556"/>
      <c r="B59" s="556"/>
      <c r="C59" s="556"/>
      <c r="D59" s="556"/>
      <c r="E59" s="556"/>
    </row>
    <row r="60" spans="1:5" customFormat="1" ht="14.4" x14ac:dyDescent="0.3">
      <c r="A60" s="556"/>
      <c r="B60" s="556"/>
      <c r="C60" s="556"/>
      <c r="D60" s="556"/>
      <c r="E60" s="556"/>
    </row>
  </sheetData>
  <autoFilter ref="A5:I48" xr:uid="{C63C9F2C-9F3A-48C0-BC28-E07B519A176B}"/>
  <sortState xmlns:xlrd2="http://schemas.microsoft.com/office/spreadsheetml/2017/richdata2" ref="E75:E116">
    <sortCondition ref="E75:E116"/>
  </sortState>
  <mergeCells count="1">
    <mergeCell ref="A52:E60"/>
  </mergeCell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2FA23-DDB0-48EC-AB5B-C7E9F3F52928}">
  <sheetPr codeName="Sheet7">
    <tabColor theme="9"/>
  </sheetPr>
  <dimension ref="A1:AR98"/>
  <sheetViews>
    <sheetView workbookViewId="0">
      <selection activeCell="C14" sqref="C14"/>
    </sheetView>
  </sheetViews>
  <sheetFormatPr defaultRowHeight="14.4" x14ac:dyDescent="0.3"/>
  <cols>
    <col min="3" max="3" width="17.6640625" bestFit="1" customWidth="1"/>
    <col min="4" max="4" width="17.6640625" customWidth="1"/>
    <col min="6" max="6" width="14.109375" customWidth="1"/>
  </cols>
  <sheetData>
    <row r="1" spans="1:44" ht="23.4" x14ac:dyDescent="0.45">
      <c r="A1" s="288" t="s">
        <v>975</v>
      </c>
      <c r="B1" s="288"/>
      <c r="C1" s="239"/>
      <c r="D1" s="239"/>
      <c r="E1" s="239"/>
      <c r="F1" s="239"/>
      <c r="G1" s="239"/>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row>
    <row r="2" spans="1:44" x14ac:dyDescent="0.3">
      <c r="A2" s="239" t="s">
        <v>976</v>
      </c>
      <c r="B2" s="239"/>
      <c r="C2" s="239"/>
      <c r="D2" s="239"/>
      <c r="E2" s="239"/>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c r="AE2" s="239"/>
      <c r="AF2" s="239"/>
      <c r="AG2" s="239"/>
      <c r="AH2" s="239"/>
      <c r="AI2" s="239"/>
      <c r="AJ2" s="239"/>
      <c r="AK2" s="239"/>
      <c r="AL2" s="239"/>
      <c r="AM2" s="239"/>
      <c r="AN2" s="239"/>
      <c r="AO2" s="239"/>
      <c r="AP2" s="239"/>
      <c r="AQ2" s="239"/>
      <c r="AR2" s="239"/>
    </row>
    <row r="3" spans="1:44" x14ac:dyDescent="0.3">
      <c r="A3" s="239"/>
      <c r="B3" s="239"/>
      <c r="C3" s="239"/>
      <c r="D3" s="239"/>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c r="AE3" s="239"/>
      <c r="AF3" s="239"/>
      <c r="AG3" s="239"/>
      <c r="AH3" s="239"/>
      <c r="AI3" s="239"/>
      <c r="AJ3" s="239"/>
      <c r="AK3" s="239"/>
      <c r="AL3" s="239"/>
      <c r="AM3" s="239"/>
      <c r="AN3" s="239"/>
      <c r="AO3" s="239"/>
      <c r="AP3" s="239"/>
      <c r="AQ3" s="239"/>
      <c r="AR3" s="239"/>
    </row>
    <row r="4" spans="1:44" x14ac:dyDescent="0.3">
      <c r="A4" s="135" t="s">
        <v>977</v>
      </c>
      <c r="B4" s="135" t="str">
        <f>'Contractor Assumptions'!$B6</f>
        <v>Butte County</v>
      </c>
      <c r="C4" s="135" t="str">
        <f>'Contractor Assumptions'!$B7</f>
        <v>City of Folsom</v>
      </c>
      <c r="D4" s="135" t="str">
        <f>'Contractor Assumptions'!$B8</f>
        <v>City of Redding</v>
      </c>
      <c r="E4" s="135" t="str">
        <f>'Contractor Assumptions'!$B9</f>
        <v>City of Roseville</v>
      </c>
      <c r="F4" s="135" t="str">
        <f>'Contractor Assumptions'!$B10</f>
        <v>City of West Sacramento</v>
      </c>
      <c r="G4" s="135" t="str">
        <f>'Contractor Assumptions'!$B11</f>
        <v>Yuba City</v>
      </c>
      <c r="H4" s="135" t="str">
        <f>'Contractor Assumptions'!$B12</f>
        <v>El Dorado Irrigation District</v>
      </c>
      <c r="I4" s="135" t="str">
        <f>'Contractor Assumptions'!$B13</f>
        <v>Napa County Flood Control &amp; Water Conservation District</v>
      </c>
      <c r="J4" s="135" t="str">
        <f>'Contractor Assumptions'!$B14</f>
        <v>Placer County Water Agency</v>
      </c>
      <c r="K4" s="135" t="str">
        <f>'Contractor Assumptions'!$B15</f>
        <v>Sacramento County Water Agency</v>
      </c>
      <c r="L4" s="135" t="str">
        <f>'Contractor Assumptions'!$B16</f>
        <v>San Juan Water District</v>
      </c>
      <c r="M4" s="135" t="str">
        <f>'Contractor Assumptions'!$B17</f>
        <v>Shasta Contractors</v>
      </c>
      <c r="N4" s="135" t="str">
        <f>'Contractor Assumptions'!$B18</f>
        <v>Solano County Water Agency</v>
      </c>
      <c r="O4" s="135" t="str">
        <f>'Contractor Assumptions'!$B19</f>
        <v>City of Avenal</v>
      </c>
      <c r="P4" s="135" t="str">
        <f>'Contractor Assumptions'!$B20</f>
        <v>City of Coalinga</v>
      </c>
      <c r="Q4" s="135" t="str">
        <f>'Contractor Assumptions'!$B21</f>
        <v>City of Fresno</v>
      </c>
      <c r="R4" s="135" t="str">
        <f>'Contractor Assumptions'!$B22</f>
        <v>City of Huron</v>
      </c>
      <c r="S4" s="135" t="str">
        <f>'Contractor Assumptions'!$B23</f>
        <v>City of Lindsay</v>
      </c>
      <c r="T4" s="135" t="str">
        <f>'Contractor Assumptions'!$B24</f>
        <v>City of Orange Cove</v>
      </c>
      <c r="U4" s="135" t="str">
        <f>'Contractor Assumptions'!$B25</f>
        <v>City of Tracy</v>
      </c>
      <c r="V4" s="135" t="str">
        <f>'Contractor Assumptions'!$B26</f>
        <v>Kern County Water Agency</v>
      </c>
      <c r="W4" s="135" t="str">
        <f>'Contractor Assumptions'!$B27</f>
        <v>Other Friant-Kern M&amp;I Contractors</v>
      </c>
      <c r="X4" s="135" t="str">
        <f>'Contractor Assumptions'!$B28</f>
        <v>Stockton-East Water District</v>
      </c>
      <c r="Y4" s="135" t="str">
        <f>'Contractor Assumptions'!$B29</f>
        <v>Alameda County Flood Control and Water Conservation District, Zone 7</v>
      </c>
      <c r="Z4" s="135" t="str">
        <f>'Contractor Assumptions'!$B30</f>
        <v>Alameda County Water District</v>
      </c>
      <c r="AA4" s="135" t="str">
        <f>'Contractor Assumptions'!$B31</f>
        <v>Contra Costa Water District</v>
      </c>
      <c r="AB4" s="135" t="str">
        <f>'Contractor Assumptions'!$B32</f>
        <v>East Bay Municipal Utilities District</v>
      </c>
      <c r="AC4" s="135" t="str">
        <f>'Contractor Assumptions'!$B33</f>
        <v>San Benito County Water District, Zone 6</v>
      </c>
      <c r="AD4" s="135" t="str">
        <f>'Contractor Assumptions'!$B34</f>
        <v>Santa Clara Valley Water District</v>
      </c>
      <c r="AE4" s="135" t="str">
        <f>'Contractor Assumptions'!$B35</f>
        <v>San Luis Obispo County Flood Control &amp; Water Conservation District</v>
      </c>
      <c r="AF4" s="135" t="str">
        <f>'Contractor Assumptions'!$B36</f>
        <v>Santa Barbara County Flood Control &amp; Water Conservation District</v>
      </c>
      <c r="AG4" s="135" t="str">
        <f>'Contractor Assumptions'!$B37</f>
        <v>Antelope Valley-East Kern Water Agency</v>
      </c>
      <c r="AH4" s="135" t="str">
        <f>'Contractor Assumptions'!$B38</f>
        <v>Santa Clarita Water Division</v>
      </c>
      <c r="AI4" s="135" t="str">
        <f>'Contractor Assumptions'!$B39</f>
        <v>Coachella Valley Water District</v>
      </c>
      <c r="AJ4" s="135" t="str">
        <f>'Contractor Assumptions'!$B40</f>
        <v>Crestline-Lake Arrowhead Water Agency</v>
      </c>
      <c r="AK4" s="135" t="str">
        <f>'Contractor Assumptions'!$B41</f>
        <v>Desert Water Agency</v>
      </c>
      <c r="AL4" s="135" t="str">
        <f>'Contractor Assumptions'!$B42</f>
        <v>Metropolitan Water District of Southern California</v>
      </c>
      <c r="AM4" s="135" t="str">
        <f>'Contractor Assumptions'!$B43</f>
        <v>Mojave Water Agency</v>
      </c>
      <c r="AN4" s="135" t="str">
        <f>'Contractor Assumptions'!$B44</f>
        <v>Palmdale Water District &amp; Littlerock Creek Irrigation District</v>
      </c>
      <c r="AO4" s="135" t="str">
        <f>'Contractor Assumptions'!$B45</f>
        <v>San Bernardino Valley Municipal Water District</v>
      </c>
      <c r="AP4" s="135" t="str">
        <f>'Contractor Assumptions'!$B46</f>
        <v>San Gabriel Valley Municipal Water District</v>
      </c>
      <c r="AQ4" s="135" t="str">
        <f>'Contractor Assumptions'!$B47</f>
        <v>San Gorgonio Pass Water Agency</v>
      </c>
      <c r="AR4" s="135" t="str">
        <f>'Contractor Assumptions'!$B48</f>
        <v>Ventura County Watershed Protection District</v>
      </c>
    </row>
    <row r="5" spans="1:44" x14ac:dyDescent="0.3">
      <c r="A5">
        <v>1922</v>
      </c>
      <c r="B5" t="s">
        <v>979</v>
      </c>
      <c r="C5" t="s">
        <v>978</v>
      </c>
      <c r="D5" t="s">
        <v>979</v>
      </c>
      <c r="E5" t="s">
        <v>978</v>
      </c>
      <c r="F5" t="s">
        <v>979</v>
      </c>
      <c r="G5" t="s">
        <v>982</v>
      </c>
      <c r="H5" t="s">
        <v>979</v>
      </c>
      <c r="I5" t="s">
        <v>979</v>
      </c>
      <c r="J5" t="s">
        <v>978</v>
      </c>
      <c r="K5" t="s">
        <v>978</v>
      </c>
      <c r="L5" t="s">
        <v>978</v>
      </c>
      <c r="M5" t="s">
        <v>979</v>
      </c>
      <c r="N5" t="s">
        <v>979</v>
      </c>
      <c r="O5" t="s">
        <v>978</v>
      </c>
      <c r="P5" t="s">
        <v>979</v>
      </c>
      <c r="Q5" t="s">
        <v>978</v>
      </c>
      <c r="R5" t="s">
        <v>979</v>
      </c>
      <c r="S5" t="s">
        <v>979</v>
      </c>
      <c r="T5" t="s">
        <v>979</v>
      </c>
      <c r="U5" t="s">
        <v>982</v>
      </c>
      <c r="V5" t="s">
        <v>978</v>
      </c>
      <c r="W5" t="s">
        <v>978</v>
      </c>
      <c r="X5" t="s">
        <v>979</v>
      </c>
      <c r="Y5" t="s">
        <v>982</v>
      </c>
      <c r="Z5" t="s">
        <v>979</v>
      </c>
      <c r="AA5" t="s">
        <v>978</v>
      </c>
      <c r="AB5" t="s">
        <v>979</v>
      </c>
      <c r="AC5" t="s">
        <v>979</v>
      </c>
      <c r="AD5" t="s">
        <v>982</v>
      </c>
      <c r="AE5" t="s">
        <v>979</v>
      </c>
      <c r="AF5" t="s">
        <v>978</v>
      </c>
      <c r="AG5" t="s">
        <v>979</v>
      </c>
      <c r="AH5" t="e">
        <v>#N/A</v>
      </c>
      <c r="AI5" t="s">
        <v>979</v>
      </c>
      <c r="AJ5" t="s">
        <v>982</v>
      </c>
      <c r="AK5" t="s">
        <v>982</v>
      </c>
      <c r="AL5" t="s">
        <v>979</v>
      </c>
      <c r="AM5" t="s">
        <v>979</v>
      </c>
      <c r="AN5" t="s">
        <v>979</v>
      </c>
      <c r="AO5" t="s">
        <v>982</v>
      </c>
      <c r="AP5" t="s">
        <v>979</v>
      </c>
      <c r="AQ5" t="s">
        <v>982</v>
      </c>
      <c r="AR5" t="s">
        <v>980</v>
      </c>
    </row>
    <row r="6" spans="1:44" x14ac:dyDescent="0.3">
      <c r="A6">
        <v>1923</v>
      </c>
      <c r="B6" t="s">
        <v>978</v>
      </c>
      <c r="C6" t="s">
        <v>981</v>
      </c>
      <c r="D6" t="s">
        <v>979</v>
      </c>
      <c r="E6" t="s">
        <v>981</v>
      </c>
      <c r="F6" t="s">
        <v>981</v>
      </c>
      <c r="G6" t="s">
        <v>979</v>
      </c>
      <c r="H6" t="s">
        <v>981</v>
      </c>
      <c r="I6" t="s">
        <v>980</v>
      </c>
      <c r="J6" t="s">
        <v>981</v>
      </c>
      <c r="K6" t="s">
        <v>981</v>
      </c>
      <c r="L6" t="s">
        <v>981</v>
      </c>
      <c r="M6" t="s">
        <v>979</v>
      </c>
      <c r="N6" t="s">
        <v>981</v>
      </c>
      <c r="O6" t="s">
        <v>981</v>
      </c>
      <c r="P6" t="s">
        <v>980</v>
      </c>
      <c r="Q6" t="s">
        <v>980</v>
      </c>
      <c r="R6" t="s">
        <v>981</v>
      </c>
      <c r="S6" t="s">
        <v>981</v>
      </c>
      <c r="T6" t="s">
        <v>980</v>
      </c>
      <c r="U6" t="s">
        <v>978</v>
      </c>
      <c r="V6" t="s">
        <v>980</v>
      </c>
      <c r="W6" t="s">
        <v>980</v>
      </c>
      <c r="X6" t="s">
        <v>980</v>
      </c>
      <c r="Y6" t="s">
        <v>978</v>
      </c>
      <c r="Z6" t="s">
        <v>981</v>
      </c>
      <c r="AA6" t="s">
        <v>981</v>
      </c>
      <c r="AB6" t="s">
        <v>981</v>
      </c>
      <c r="AC6" t="s">
        <v>981</v>
      </c>
      <c r="AD6" t="s">
        <v>980</v>
      </c>
      <c r="AE6" t="s">
        <v>980</v>
      </c>
      <c r="AF6" t="s">
        <v>981</v>
      </c>
      <c r="AG6" t="s">
        <v>980</v>
      </c>
      <c r="AH6" t="e">
        <v>#N/A</v>
      </c>
      <c r="AI6" t="s">
        <v>979</v>
      </c>
      <c r="AJ6" t="s">
        <v>982</v>
      </c>
      <c r="AK6" t="s">
        <v>979</v>
      </c>
      <c r="AL6" t="s">
        <v>978</v>
      </c>
      <c r="AM6" t="s">
        <v>979</v>
      </c>
      <c r="AN6" t="s">
        <v>978</v>
      </c>
      <c r="AO6" t="s">
        <v>982</v>
      </c>
      <c r="AP6" t="s">
        <v>980</v>
      </c>
      <c r="AQ6" t="s">
        <v>979</v>
      </c>
      <c r="AR6" t="s">
        <v>981</v>
      </c>
    </row>
    <row r="7" spans="1:44" x14ac:dyDescent="0.3">
      <c r="A7">
        <v>1924</v>
      </c>
      <c r="B7" t="s">
        <v>981</v>
      </c>
      <c r="C7" t="s">
        <v>981</v>
      </c>
      <c r="D7" t="s">
        <v>981</v>
      </c>
      <c r="E7" t="s">
        <v>980</v>
      </c>
      <c r="F7" t="s">
        <v>981</v>
      </c>
      <c r="G7" t="s">
        <v>979</v>
      </c>
      <c r="H7" t="s">
        <v>981</v>
      </c>
      <c r="I7" t="s">
        <v>980</v>
      </c>
      <c r="J7" t="s">
        <v>981</v>
      </c>
      <c r="K7" t="s">
        <v>981</v>
      </c>
      <c r="L7" t="s">
        <v>981</v>
      </c>
      <c r="M7" t="s">
        <v>981</v>
      </c>
      <c r="N7" t="s">
        <v>981</v>
      </c>
      <c r="O7" t="s">
        <v>981</v>
      </c>
      <c r="P7" t="s">
        <v>981</v>
      </c>
      <c r="Q7" t="s">
        <v>980</v>
      </c>
      <c r="R7" t="s">
        <v>981</v>
      </c>
      <c r="S7" t="s">
        <v>980</v>
      </c>
      <c r="T7" t="s">
        <v>981</v>
      </c>
      <c r="U7" t="s">
        <v>981</v>
      </c>
      <c r="V7" t="s">
        <v>981</v>
      </c>
      <c r="W7" t="s">
        <v>981</v>
      </c>
      <c r="X7" t="s">
        <v>981</v>
      </c>
      <c r="Y7" t="s">
        <v>980</v>
      </c>
      <c r="Z7" t="s">
        <v>981</v>
      </c>
      <c r="AA7" t="s">
        <v>981</v>
      </c>
      <c r="AB7" t="s">
        <v>981</v>
      </c>
      <c r="AC7" t="s">
        <v>980</v>
      </c>
      <c r="AD7" t="s">
        <v>978</v>
      </c>
      <c r="AE7" t="s">
        <v>981</v>
      </c>
      <c r="AF7" t="s">
        <v>980</v>
      </c>
      <c r="AG7" t="s">
        <v>981</v>
      </c>
      <c r="AH7" t="e">
        <v>#N/A</v>
      </c>
      <c r="AI7" t="s">
        <v>981</v>
      </c>
      <c r="AJ7" t="s">
        <v>978</v>
      </c>
      <c r="AK7" t="s">
        <v>981</v>
      </c>
      <c r="AL7" t="s">
        <v>981</v>
      </c>
      <c r="AM7" t="s">
        <v>980</v>
      </c>
      <c r="AN7" t="s">
        <v>981</v>
      </c>
      <c r="AO7" t="s">
        <v>978</v>
      </c>
      <c r="AP7" t="s">
        <v>981</v>
      </c>
      <c r="AQ7" t="s">
        <v>980</v>
      </c>
      <c r="AR7" t="s">
        <v>981</v>
      </c>
    </row>
    <row r="8" spans="1:44" x14ac:dyDescent="0.3">
      <c r="A8">
        <v>1925</v>
      </c>
      <c r="B8" t="s">
        <v>982</v>
      </c>
      <c r="C8" t="s">
        <v>978</v>
      </c>
      <c r="D8" t="s">
        <v>982</v>
      </c>
      <c r="E8" t="s">
        <v>979</v>
      </c>
      <c r="F8" t="s">
        <v>979</v>
      </c>
      <c r="G8" t="s">
        <v>982</v>
      </c>
      <c r="H8" t="s">
        <v>982</v>
      </c>
      <c r="I8" t="s">
        <v>982</v>
      </c>
      <c r="J8" t="s">
        <v>979</v>
      </c>
      <c r="K8" t="s">
        <v>978</v>
      </c>
      <c r="L8" t="s">
        <v>978</v>
      </c>
      <c r="M8" t="s">
        <v>982</v>
      </c>
      <c r="N8" t="s">
        <v>982</v>
      </c>
      <c r="O8" t="s">
        <v>979</v>
      </c>
      <c r="P8" t="s">
        <v>979</v>
      </c>
      <c r="Q8" t="s">
        <v>982</v>
      </c>
      <c r="R8" t="s">
        <v>979</v>
      </c>
      <c r="S8" t="s">
        <v>982</v>
      </c>
      <c r="T8" t="s">
        <v>982</v>
      </c>
      <c r="U8" t="s">
        <v>982</v>
      </c>
      <c r="V8" t="s">
        <v>979</v>
      </c>
      <c r="W8" t="s">
        <v>982</v>
      </c>
      <c r="X8" t="s">
        <v>979</v>
      </c>
      <c r="Y8" t="s">
        <v>982</v>
      </c>
      <c r="Z8" t="s">
        <v>982</v>
      </c>
      <c r="AA8" t="s">
        <v>982</v>
      </c>
      <c r="AB8" t="s">
        <v>982</v>
      </c>
      <c r="AC8" t="s">
        <v>979</v>
      </c>
      <c r="AD8" t="s">
        <v>982</v>
      </c>
      <c r="AE8" t="s">
        <v>979</v>
      </c>
      <c r="AF8" t="s">
        <v>979</v>
      </c>
      <c r="AG8" t="s">
        <v>980</v>
      </c>
      <c r="AH8" t="e">
        <v>#N/A</v>
      </c>
      <c r="AI8" t="s">
        <v>980</v>
      </c>
      <c r="AJ8" t="s">
        <v>978</v>
      </c>
      <c r="AK8" t="s">
        <v>978</v>
      </c>
      <c r="AL8" t="s">
        <v>980</v>
      </c>
      <c r="AM8" t="s">
        <v>978</v>
      </c>
      <c r="AN8" t="s">
        <v>980</v>
      </c>
      <c r="AO8" t="s">
        <v>978</v>
      </c>
      <c r="AP8" t="s">
        <v>981</v>
      </c>
      <c r="AQ8" t="s">
        <v>978</v>
      </c>
      <c r="AR8" t="s">
        <v>980</v>
      </c>
    </row>
    <row r="9" spans="1:44" x14ac:dyDescent="0.3">
      <c r="A9">
        <v>1926</v>
      </c>
      <c r="B9" t="s">
        <v>981</v>
      </c>
      <c r="C9" t="s">
        <v>981</v>
      </c>
      <c r="D9" t="s">
        <v>981</v>
      </c>
      <c r="E9" t="s">
        <v>980</v>
      </c>
      <c r="F9" t="s">
        <v>981</v>
      </c>
      <c r="G9" t="s">
        <v>978</v>
      </c>
      <c r="H9" t="s">
        <v>981</v>
      </c>
      <c r="I9" t="s">
        <v>978</v>
      </c>
      <c r="J9" t="s">
        <v>981</v>
      </c>
      <c r="K9" t="s">
        <v>981</v>
      </c>
      <c r="L9" t="s">
        <v>981</v>
      </c>
      <c r="M9" t="s">
        <v>981</v>
      </c>
      <c r="N9" t="s">
        <v>980</v>
      </c>
      <c r="O9" t="s">
        <v>981</v>
      </c>
      <c r="P9" t="s">
        <v>981</v>
      </c>
      <c r="Q9" t="s">
        <v>981</v>
      </c>
      <c r="R9" t="s">
        <v>981</v>
      </c>
      <c r="S9" t="s">
        <v>980</v>
      </c>
      <c r="T9" t="s">
        <v>981</v>
      </c>
      <c r="U9" t="s">
        <v>981</v>
      </c>
      <c r="V9" t="s">
        <v>981</v>
      </c>
      <c r="W9" t="s">
        <v>981</v>
      </c>
      <c r="X9" t="s">
        <v>981</v>
      </c>
      <c r="Y9" t="s">
        <v>980</v>
      </c>
      <c r="Z9" t="s">
        <v>981</v>
      </c>
      <c r="AA9" t="s">
        <v>981</v>
      </c>
      <c r="AB9" t="s">
        <v>981</v>
      </c>
      <c r="AC9" t="s">
        <v>981</v>
      </c>
      <c r="AD9" t="s">
        <v>981</v>
      </c>
      <c r="AE9" t="s">
        <v>981</v>
      </c>
      <c r="AF9" t="s">
        <v>980</v>
      </c>
      <c r="AG9" t="s">
        <v>980</v>
      </c>
      <c r="AH9" t="e">
        <v>#N/A</v>
      </c>
      <c r="AI9" t="s">
        <v>979</v>
      </c>
      <c r="AJ9" t="s">
        <v>978</v>
      </c>
      <c r="AK9" t="s">
        <v>978</v>
      </c>
      <c r="AL9" t="s">
        <v>978</v>
      </c>
      <c r="AM9" t="s">
        <v>978</v>
      </c>
      <c r="AN9" t="s">
        <v>980</v>
      </c>
      <c r="AO9" t="s">
        <v>978</v>
      </c>
      <c r="AP9" t="s">
        <v>980</v>
      </c>
      <c r="AQ9" t="s">
        <v>980</v>
      </c>
      <c r="AR9" t="s">
        <v>980</v>
      </c>
    </row>
    <row r="10" spans="1:44" x14ac:dyDescent="0.3">
      <c r="A10">
        <v>1927</v>
      </c>
      <c r="B10" t="s">
        <v>982</v>
      </c>
      <c r="C10" t="s">
        <v>979</v>
      </c>
      <c r="D10" t="s">
        <v>982</v>
      </c>
      <c r="E10" t="s">
        <v>979</v>
      </c>
      <c r="F10" t="s">
        <v>979</v>
      </c>
      <c r="G10" t="s">
        <v>982</v>
      </c>
      <c r="H10" t="s">
        <v>978</v>
      </c>
      <c r="I10" t="s">
        <v>982</v>
      </c>
      <c r="J10" t="s">
        <v>979</v>
      </c>
      <c r="K10" t="s">
        <v>979</v>
      </c>
      <c r="L10" t="s">
        <v>979</v>
      </c>
      <c r="M10" t="s">
        <v>982</v>
      </c>
      <c r="N10" t="s">
        <v>982</v>
      </c>
      <c r="O10" t="s">
        <v>978</v>
      </c>
      <c r="P10" t="s">
        <v>978</v>
      </c>
      <c r="Q10" t="s">
        <v>979</v>
      </c>
      <c r="R10" t="s">
        <v>979</v>
      </c>
      <c r="S10" t="s">
        <v>982</v>
      </c>
      <c r="T10" t="s">
        <v>979</v>
      </c>
      <c r="U10" t="s">
        <v>979</v>
      </c>
      <c r="V10" t="s">
        <v>979</v>
      </c>
      <c r="W10" t="s">
        <v>979</v>
      </c>
      <c r="X10" t="s">
        <v>979</v>
      </c>
      <c r="Y10" t="s">
        <v>982</v>
      </c>
      <c r="Z10" t="s">
        <v>979</v>
      </c>
      <c r="AA10" t="s">
        <v>979</v>
      </c>
      <c r="AB10" t="s">
        <v>979</v>
      </c>
      <c r="AC10" t="s">
        <v>979</v>
      </c>
      <c r="AD10" t="s">
        <v>982</v>
      </c>
      <c r="AE10" t="s">
        <v>978</v>
      </c>
      <c r="AF10" t="s">
        <v>978</v>
      </c>
      <c r="AG10" t="s">
        <v>979</v>
      </c>
      <c r="AH10" t="e">
        <v>#N/A</v>
      </c>
      <c r="AI10" t="s">
        <v>982</v>
      </c>
      <c r="AJ10" t="s">
        <v>982</v>
      </c>
      <c r="AK10" t="s">
        <v>982</v>
      </c>
      <c r="AL10" t="s">
        <v>979</v>
      </c>
      <c r="AM10" t="s">
        <v>982</v>
      </c>
      <c r="AN10" t="s">
        <v>982</v>
      </c>
      <c r="AO10" t="s">
        <v>982</v>
      </c>
      <c r="AP10" t="s">
        <v>978</v>
      </c>
      <c r="AQ10" t="s">
        <v>982</v>
      </c>
      <c r="AR10" t="s">
        <v>978</v>
      </c>
    </row>
    <row r="11" spans="1:44" x14ac:dyDescent="0.3">
      <c r="A11">
        <v>1928</v>
      </c>
      <c r="B11" t="s">
        <v>980</v>
      </c>
      <c r="C11" t="s">
        <v>981</v>
      </c>
      <c r="D11" t="s">
        <v>980</v>
      </c>
      <c r="E11" t="s">
        <v>980</v>
      </c>
      <c r="F11" t="s">
        <v>981</v>
      </c>
      <c r="G11" t="s">
        <v>979</v>
      </c>
      <c r="H11" t="s">
        <v>981</v>
      </c>
      <c r="I11" t="s">
        <v>980</v>
      </c>
      <c r="J11" t="s">
        <v>981</v>
      </c>
      <c r="K11" t="s">
        <v>981</v>
      </c>
      <c r="L11" t="s">
        <v>981</v>
      </c>
      <c r="M11" t="s">
        <v>980</v>
      </c>
      <c r="N11" t="s">
        <v>978</v>
      </c>
      <c r="O11" t="s">
        <v>981</v>
      </c>
      <c r="P11" t="s">
        <v>981</v>
      </c>
      <c r="Q11" t="s">
        <v>981</v>
      </c>
      <c r="R11" t="s">
        <v>981</v>
      </c>
      <c r="S11" t="s">
        <v>981</v>
      </c>
      <c r="T11" t="s">
        <v>981</v>
      </c>
      <c r="U11" t="s">
        <v>978</v>
      </c>
      <c r="V11" t="s">
        <v>981</v>
      </c>
      <c r="W11" t="s">
        <v>981</v>
      </c>
      <c r="X11" t="s">
        <v>981</v>
      </c>
      <c r="Y11" t="s">
        <v>979</v>
      </c>
      <c r="Z11" t="s">
        <v>979</v>
      </c>
      <c r="AA11" t="s">
        <v>980</v>
      </c>
      <c r="AB11" t="s">
        <v>979</v>
      </c>
      <c r="AC11" t="s">
        <v>981</v>
      </c>
      <c r="AD11" t="s">
        <v>978</v>
      </c>
      <c r="AE11" t="s">
        <v>981</v>
      </c>
      <c r="AF11" t="s">
        <v>981</v>
      </c>
      <c r="AG11" t="s">
        <v>980</v>
      </c>
      <c r="AH11" t="e">
        <v>#N/A</v>
      </c>
      <c r="AI11" t="s">
        <v>981</v>
      </c>
      <c r="AJ11" t="s">
        <v>978</v>
      </c>
      <c r="AK11" t="s">
        <v>980</v>
      </c>
      <c r="AL11" t="s">
        <v>981</v>
      </c>
      <c r="AM11" t="s">
        <v>980</v>
      </c>
      <c r="AN11" t="s">
        <v>981</v>
      </c>
      <c r="AO11" t="s">
        <v>978</v>
      </c>
      <c r="AP11" t="s">
        <v>981</v>
      </c>
      <c r="AQ11" t="s">
        <v>980</v>
      </c>
      <c r="AR11" t="s">
        <v>981</v>
      </c>
    </row>
    <row r="12" spans="1:44" x14ac:dyDescent="0.3">
      <c r="A12">
        <v>1929</v>
      </c>
      <c r="B12" t="s">
        <v>981</v>
      </c>
      <c r="C12" t="s">
        <v>981</v>
      </c>
      <c r="D12" t="s">
        <v>981</v>
      </c>
      <c r="E12" t="s">
        <v>981</v>
      </c>
      <c r="F12" t="s">
        <v>981</v>
      </c>
      <c r="G12" t="s">
        <v>981</v>
      </c>
      <c r="H12" t="s">
        <v>981</v>
      </c>
      <c r="I12" t="s">
        <v>981</v>
      </c>
      <c r="J12" t="s">
        <v>981</v>
      </c>
      <c r="K12" t="s">
        <v>981</v>
      </c>
      <c r="L12" t="s">
        <v>981</v>
      </c>
      <c r="M12" t="s">
        <v>981</v>
      </c>
      <c r="N12" t="s">
        <v>981</v>
      </c>
      <c r="O12" t="s">
        <v>981</v>
      </c>
      <c r="P12" t="s">
        <v>981</v>
      </c>
      <c r="Q12" t="s">
        <v>981</v>
      </c>
      <c r="R12" t="s">
        <v>981</v>
      </c>
      <c r="S12" t="s">
        <v>981</v>
      </c>
      <c r="T12" t="s">
        <v>981</v>
      </c>
      <c r="U12" t="s">
        <v>981</v>
      </c>
      <c r="V12" t="s">
        <v>981</v>
      </c>
      <c r="W12" t="s">
        <v>981</v>
      </c>
      <c r="X12" t="s">
        <v>981</v>
      </c>
      <c r="Y12" t="s">
        <v>981</v>
      </c>
      <c r="Z12" t="s">
        <v>981</v>
      </c>
      <c r="AA12" t="s">
        <v>981</v>
      </c>
      <c r="AB12" t="s">
        <v>981</v>
      </c>
      <c r="AC12" t="s">
        <v>981</v>
      </c>
      <c r="AD12" t="s">
        <v>981</v>
      </c>
      <c r="AE12" t="s">
        <v>981</v>
      </c>
      <c r="AF12" t="s">
        <v>981</v>
      </c>
      <c r="AG12" t="s">
        <v>981</v>
      </c>
      <c r="AH12" t="e">
        <v>#N/A</v>
      </c>
      <c r="AI12" t="s">
        <v>978</v>
      </c>
      <c r="AJ12" t="s">
        <v>981</v>
      </c>
      <c r="AK12" t="s">
        <v>980</v>
      </c>
      <c r="AL12" t="s">
        <v>981</v>
      </c>
      <c r="AM12" t="s">
        <v>978</v>
      </c>
      <c r="AN12" t="s">
        <v>981</v>
      </c>
      <c r="AO12" t="s">
        <v>981</v>
      </c>
      <c r="AP12" t="s">
        <v>981</v>
      </c>
      <c r="AQ12" t="s">
        <v>980</v>
      </c>
      <c r="AR12" t="s">
        <v>981</v>
      </c>
    </row>
    <row r="13" spans="1:44" x14ac:dyDescent="0.3">
      <c r="A13">
        <v>1930</v>
      </c>
      <c r="B13" t="s">
        <v>980</v>
      </c>
      <c r="C13" t="s">
        <v>980</v>
      </c>
      <c r="D13" t="s">
        <v>978</v>
      </c>
      <c r="E13" t="s">
        <v>978</v>
      </c>
      <c r="F13" t="s">
        <v>980</v>
      </c>
      <c r="G13" t="s">
        <v>980</v>
      </c>
      <c r="H13" t="s">
        <v>981</v>
      </c>
      <c r="I13" t="s">
        <v>979</v>
      </c>
      <c r="J13" t="s">
        <v>980</v>
      </c>
      <c r="K13" t="s">
        <v>980</v>
      </c>
      <c r="L13" t="s">
        <v>980</v>
      </c>
      <c r="M13" t="s">
        <v>978</v>
      </c>
      <c r="N13" t="s">
        <v>978</v>
      </c>
      <c r="O13" t="s">
        <v>981</v>
      </c>
      <c r="P13" t="s">
        <v>981</v>
      </c>
      <c r="Q13" t="s">
        <v>981</v>
      </c>
      <c r="R13" t="s">
        <v>981</v>
      </c>
      <c r="S13" t="s">
        <v>980</v>
      </c>
      <c r="T13" t="s">
        <v>980</v>
      </c>
      <c r="U13" t="s">
        <v>978</v>
      </c>
      <c r="V13" t="s">
        <v>980</v>
      </c>
      <c r="W13" t="s">
        <v>980</v>
      </c>
      <c r="X13" t="s">
        <v>980</v>
      </c>
      <c r="Y13" t="s">
        <v>979</v>
      </c>
      <c r="Z13" t="s">
        <v>978</v>
      </c>
      <c r="AA13" t="s">
        <v>978</v>
      </c>
      <c r="AB13" t="s">
        <v>978</v>
      </c>
      <c r="AC13" t="s">
        <v>978</v>
      </c>
      <c r="AD13" t="s">
        <v>980</v>
      </c>
      <c r="AE13" t="s">
        <v>980</v>
      </c>
      <c r="AF13" t="s">
        <v>980</v>
      </c>
      <c r="AG13" t="s">
        <v>978</v>
      </c>
      <c r="AH13" t="e">
        <v>#N/A</v>
      </c>
      <c r="AI13" t="s">
        <v>982</v>
      </c>
      <c r="AJ13" t="s">
        <v>979</v>
      </c>
      <c r="AK13" t="s">
        <v>982</v>
      </c>
      <c r="AL13" t="s">
        <v>978</v>
      </c>
      <c r="AM13" t="s">
        <v>982</v>
      </c>
      <c r="AN13" t="s">
        <v>978</v>
      </c>
      <c r="AO13" t="s">
        <v>982</v>
      </c>
      <c r="AP13" t="s">
        <v>980</v>
      </c>
      <c r="AQ13" t="s">
        <v>982</v>
      </c>
      <c r="AR13" t="s">
        <v>980</v>
      </c>
    </row>
    <row r="14" spans="1:44" x14ac:dyDescent="0.3">
      <c r="A14">
        <v>1931</v>
      </c>
      <c r="B14" t="s">
        <v>980</v>
      </c>
      <c r="C14" t="s">
        <v>980</v>
      </c>
      <c r="D14" t="s">
        <v>980</v>
      </c>
      <c r="E14" t="s">
        <v>981</v>
      </c>
      <c r="F14" t="s">
        <v>981</v>
      </c>
      <c r="G14" t="s">
        <v>981</v>
      </c>
      <c r="H14" t="s">
        <v>980</v>
      </c>
      <c r="I14" t="s">
        <v>978</v>
      </c>
      <c r="J14" t="s">
        <v>980</v>
      </c>
      <c r="K14" t="s">
        <v>981</v>
      </c>
      <c r="L14" t="s">
        <v>980</v>
      </c>
      <c r="M14" t="s">
        <v>980</v>
      </c>
      <c r="N14" t="s">
        <v>981</v>
      </c>
      <c r="O14" t="s">
        <v>981</v>
      </c>
      <c r="P14" t="s">
        <v>981</v>
      </c>
      <c r="Q14" t="s">
        <v>981</v>
      </c>
      <c r="R14" t="s">
        <v>981</v>
      </c>
      <c r="S14" t="s">
        <v>981</v>
      </c>
      <c r="T14" t="s">
        <v>981</v>
      </c>
      <c r="U14" t="s">
        <v>981</v>
      </c>
      <c r="V14" t="s">
        <v>978</v>
      </c>
      <c r="W14" t="s">
        <v>981</v>
      </c>
      <c r="X14" t="s">
        <v>981</v>
      </c>
      <c r="Y14" t="s">
        <v>980</v>
      </c>
      <c r="Z14" t="s">
        <v>980</v>
      </c>
      <c r="AA14" t="s">
        <v>981</v>
      </c>
      <c r="AB14" t="s">
        <v>980</v>
      </c>
      <c r="AC14" t="s">
        <v>981</v>
      </c>
      <c r="AD14" t="s">
        <v>981</v>
      </c>
      <c r="AE14" t="s">
        <v>981</v>
      </c>
      <c r="AF14" t="s">
        <v>981</v>
      </c>
      <c r="AG14" t="s">
        <v>979</v>
      </c>
      <c r="AH14" t="e">
        <v>#N/A</v>
      </c>
      <c r="AI14" t="s">
        <v>982</v>
      </c>
      <c r="AJ14" t="s">
        <v>979</v>
      </c>
      <c r="AK14" t="s">
        <v>982</v>
      </c>
      <c r="AL14" t="s">
        <v>978</v>
      </c>
      <c r="AM14" t="s">
        <v>982</v>
      </c>
      <c r="AN14" t="s">
        <v>982</v>
      </c>
      <c r="AO14" t="s">
        <v>979</v>
      </c>
      <c r="AP14" t="s">
        <v>978</v>
      </c>
      <c r="AQ14" t="s">
        <v>982</v>
      </c>
      <c r="AR14" t="s">
        <v>981</v>
      </c>
    </row>
    <row r="15" spans="1:44" x14ac:dyDescent="0.3">
      <c r="A15">
        <v>1932</v>
      </c>
      <c r="B15" t="s">
        <v>981</v>
      </c>
      <c r="C15" t="s">
        <v>981</v>
      </c>
      <c r="D15" t="s">
        <v>980</v>
      </c>
      <c r="E15" t="s">
        <v>981</v>
      </c>
      <c r="F15" t="s">
        <v>981</v>
      </c>
      <c r="G15" t="s">
        <v>981</v>
      </c>
      <c r="H15" t="s">
        <v>981</v>
      </c>
      <c r="I15" t="s">
        <v>981</v>
      </c>
      <c r="J15" t="s">
        <v>981</v>
      </c>
      <c r="K15" t="s">
        <v>981</v>
      </c>
      <c r="L15" t="s">
        <v>981</v>
      </c>
      <c r="M15" t="s">
        <v>980</v>
      </c>
      <c r="N15" t="s">
        <v>981</v>
      </c>
      <c r="O15" t="s">
        <v>981</v>
      </c>
      <c r="P15" t="s">
        <v>981</v>
      </c>
      <c r="Q15" t="s">
        <v>981</v>
      </c>
      <c r="R15" t="s">
        <v>981</v>
      </c>
      <c r="S15" t="s">
        <v>981</v>
      </c>
      <c r="T15" t="s">
        <v>981</v>
      </c>
      <c r="U15" t="s">
        <v>981</v>
      </c>
      <c r="V15" t="s">
        <v>981</v>
      </c>
      <c r="W15" t="s">
        <v>981</v>
      </c>
      <c r="X15" t="s">
        <v>981</v>
      </c>
      <c r="Y15" t="s">
        <v>981</v>
      </c>
      <c r="Z15" t="s">
        <v>981</v>
      </c>
      <c r="AA15" t="s">
        <v>981</v>
      </c>
      <c r="AB15" t="s">
        <v>981</v>
      </c>
      <c r="AC15" t="s">
        <v>981</v>
      </c>
      <c r="AD15" t="s">
        <v>981</v>
      </c>
      <c r="AE15" t="s">
        <v>981</v>
      </c>
      <c r="AF15" t="s">
        <v>981</v>
      </c>
      <c r="AG15" t="s">
        <v>980</v>
      </c>
      <c r="AH15" t="e">
        <v>#N/A</v>
      </c>
      <c r="AI15" t="s">
        <v>982</v>
      </c>
      <c r="AJ15" t="s">
        <v>981</v>
      </c>
      <c r="AK15" t="s">
        <v>979</v>
      </c>
      <c r="AL15" t="s">
        <v>981</v>
      </c>
      <c r="AM15" t="s">
        <v>979</v>
      </c>
      <c r="AN15" t="s">
        <v>978</v>
      </c>
      <c r="AO15" t="s">
        <v>981</v>
      </c>
      <c r="AP15" t="s">
        <v>981</v>
      </c>
      <c r="AQ15" t="s">
        <v>978</v>
      </c>
      <c r="AR15" t="s">
        <v>981</v>
      </c>
    </row>
    <row r="16" spans="1:44" x14ac:dyDescent="0.3">
      <c r="A16">
        <v>1933</v>
      </c>
      <c r="B16" t="s">
        <v>980</v>
      </c>
      <c r="C16" t="s">
        <v>981</v>
      </c>
      <c r="D16" t="s">
        <v>978</v>
      </c>
      <c r="E16" t="s">
        <v>981</v>
      </c>
      <c r="F16" t="s">
        <v>981</v>
      </c>
      <c r="G16" t="s">
        <v>981</v>
      </c>
      <c r="H16" t="s">
        <v>981</v>
      </c>
      <c r="I16" t="s">
        <v>980</v>
      </c>
      <c r="J16" t="s">
        <v>980</v>
      </c>
      <c r="K16" t="s">
        <v>981</v>
      </c>
      <c r="L16" t="s">
        <v>981</v>
      </c>
      <c r="M16" t="s">
        <v>978</v>
      </c>
      <c r="N16" t="s">
        <v>981</v>
      </c>
      <c r="O16" t="s">
        <v>981</v>
      </c>
      <c r="P16" t="s">
        <v>981</v>
      </c>
      <c r="Q16" t="s">
        <v>981</v>
      </c>
      <c r="R16" t="s">
        <v>981</v>
      </c>
      <c r="S16" t="s">
        <v>981</v>
      </c>
      <c r="T16" t="s">
        <v>981</v>
      </c>
      <c r="U16" t="s">
        <v>981</v>
      </c>
      <c r="V16" t="s">
        <v>980</v>
      </c>
      <c r="W16" t="s">
        <v>981</v>
      </c>
      <c r="X16" t="s">
        <v>981</v>
      </c>
      <c r="Y16" t="s">
        <v>980</v>
      </c>
      <c r="Z16" t="s">
        <v>981</v>
      </c>
      <c r="AA16" t="s">
        <v>981</v>
      </c>
      <c r="AB16" t="s">
        <v>980</v>
      </c>
      <c r="AC16" t="s">
        <v>981</v>
      </c>
      <c r="AD16" t="s">
        <v>981</v>
      </c>
      <c r="AE16" t="s">
        <v>981</v>
      </c>
      <c r="AF16" t="s">
        <v>981</v>
      </c>
      <c r="AG16" t="s">
        <v>980</v>
      </c>
      <c r="AH16" t="e">
        <v>#N/A</v>
      </c>
      <c r="AI16" t="s">
        <v>978</v>
      </c>
      <c r="AJ16" t="s">
        <v>981</v>
      </c>
      <c r="AK16" t="s">
        <v>980</v>
      </c>
      <c r="AL16" t="s">
        <v>981</v>
      </c>
      <c r="AM16" t="s">
        <v>980</v>
      </c>
      <c r="AN16" t="s">
        <v>980</v>
      </c>
      <c r="AO16" t="s">
        <v>981</v>
      </c>
      <c r="AP16" t="s">
        <v>980</v>
      </c>
      <c r="AQ16" t="s">
        <v>980</v>
      </c>
      <c r="AR16" t="s">
        <v>980</v>
      </c>
    </row>
    <row r="17" spans="1:44" x14ac:dyDescent="0.3">
      <c r="A17">
        <v>1934</v>
      </c>
      <c r="B17" t="s">
        <v>981</v>
      </c>
      <c r="C17" t="s">
        <v>981</v>
      </c>
      <c r="D17" t="s">
        <v>978</v>
      </c>
      <c r="E17" t="s">
        <v>981</v>
      </c>
      <c r="F17" t="s">
        <v>981</v>
      </c>
      <c r="G17" t="s">
        <v>980</v>
      </c>
      <c r="H17" t="s">
        <v>981</v>
      </c>
      <c r="I17" t="s">
        <v>981</v>
      </c>
      <c r="J17" t="s">
        <v>981</v>
      </c>
      <c r="K17" t="s">
        <v>981</v>
      </c>
      <c r="L17" t="s">
        <v>981</v>
      </c>
      <c r="M17" t="s">
        <v>978</v>
      </c>
      <c r="N17" t="s">
        <v>981</v>
      </c>
      <c r="O17" t="s">
        <v>981</v>
      </c>
      <c r="P17" t="s">
        <v>981</v>
      </c>
      <c r="Q17" t="s">
        <v>981</v>
      </c>
      <c r="R17" t="s">
        <v>981</v>
      </c>
      <c r="S17" t="s">
        <v>981</v>
      </c>
      <c r="T17" t="s">
        <v>981</v>
      </c>
      <c r="U17" t="s">
        <v>981</v>
      </c>
      <c r="V17" t="s">
        <v>981</v>
      </c>
      <c r="W17" t="s">
        <v>981</v>
      </c>
      <c r="X17" t="s">
        <v>981</v>
      </c>
      <c r="Y17" t="s">
        <v>978</v>
      </c>
      <c r="Z17" t="s">
        <v>981</v>
      </c>
      <c r="AA17" t="s">
        <v>981</v>
      </c>
      <c r="AB17" t="s">
        <v>981</v>
      </c>
      <c r="AC17" t="s">
        <v>981</v>
      </c>
      <c r="AD17" t="s">
        <v>981</v>
      </c>
      <c r="AE17" t="s">
        <v>981</v>
      </c>
      <c r="AF17" t="s">
        <v>981</v>
      </c>
      <c r="AG17" t="s">
        <v>981</v>
      </c>
      <c r="AH17" t="e">
        <v>#N/A</v>
      </c>
      <c r="AI17" t="s">
        <v>981</v>
      </c>
      <c r="AJ17" t="s">
        <v>981</v>
      </c>
      <c r="AK17" t="s">
        <v>981</v>
      </c>
      <c r="AL17" t="s">
        <v>981</v>
      </c>
      <c r="AM17" t="s">
        <v>981</v>
      </c>
      <c r="AN17" t="s">
        <v>980</v>
      </c>
      <c r="AO17" t="s">
        <v>981</v>
      </c>
      <c r="AP17" t="s">
        <v>981</v>
      </c>
      <c r="AQ17" t="s">
        <v>981</v>
      </c>
      <c r="AR17" t="s">
        <v>981</v>
      </c>
    </row>
    <row r="18" spans="1:44" x14ac:dyDescent="0.3">
      <c r="A18">
        <v>1935</v>
      </c>
      <c r="B18" t="s">
        <v>978</v>
      </c>
      <c r="C18" t="s">
        <v>979</v>
      </c>
      <c r="D18" t="s">
        <v>979</v>
      </c>
      <c r="E18" t="s">
        <v>982</v>
      </c>
      <c r="F18" t="s">
        <v>979</v>
      </c>
      <c r="G18" t="s">
        <v>979</v>
      </c>
      <c r="H18" t="s">
        <v>979</v>
      </c>
      <c r="I18" t="s">
        <v>982</v>
      </c>
      <c r="J18" t="s">
        <v>979</v>
      </c>
      <c r="K18" t="s">
        <v>979</v>
      </c>
      <c r="L18" t="s">
        <v>979</v>
      </c>
      <c r="M18" t="s">
        <v>979</v>
      </c>
      <c r="N18" t="s">
        <v>982</v>
      </c>
      <c r="O18" t="s">
        <v>978</v>
      </c>
      <c r="P18" t="s">
        <v>979</v>
      </c>
      <c r="Q18" t="s">
        <v>978</v>
      </c>
      <c r="R18" t="s">
        <v>980</v>
      </c>
      <c r="S18" t="s">
        <v>978</v>
      </c>
      <c r="T18" t="s">
        <v>978</v>
      </c>
      <c r="U18" t="s">
        <v>979</v>
      </c>
      <c r="V18" t="s">
        <v>979</v>
      </c>
      <c r="W18" t="s">
        <v>978</v>
      </c>
      <c r="X18" t="s">
        <v>979</v>
      </c>
      <c r="Y18" t="s">
        <v>982</v>
      </c>
      <c r="Z18" t="s">
        <v>979</v>
      </c>
      <c r="AA18" t="s">
        <v>979</v>
      </c>
      <c r="AB18" t="s">
        <v>979</v>
      </c>
      <c r="AC18" t="s">
        <v>978</v>
      </c>
      <c r="AD18" t="s">
        <v>979</v>
      </c>
      <c r="AE18" t="s">
        <v>978</v>
      </c>
      <c r="AF18" t="s">
        <v>979</v>
      </c>
      <c r="AG18" t="s">
        <v>979</v>
      </c>
      <c r="AH18" t="e">
        <v>#N/A</v>
      </c>
      <c r="AI18" t="s">
        <v>982</v>
      </c>
      <c r="AJ18" t="s">
        <v>979</v>
      </c>
      <c r="AK18" t="s">
        <v>982</v>
      </c>
      <c r="AL18" t="s">
        <v>979</v>
      </c>
      <c r="AM18" t="s">
        <v>982</v>
      </c>
      <c r="AN18" t="s">
        <v>979</v>
      </c>
      <c r="AO18" t="s">
        <v>979</v>
      </c>
      <c r="AP18" t="s">
        <v>979</v>
      </c>
      <c r="AQ18" t="s">
        <v>982</v>
      </c>
      <c r="AR18" t="s">
        <v>979</v>
      </c>
    </row>
    <row r="19" spans="1:44" x14ac:dyDescent="0.3">
      <c r="A19">
        <v>1936</v>
      </c>
      <c r="B19" t="s">
        <v>981</v>
      </c>
      <c r="C19" t="s">
        <v>981</v>
      </c>
      <c r="D19" t="s">
        <v>981</v>
      </c>
      <c r="E19" t="s">
        <v>981</v>
      </c>
      <c r="F19" t="s">
        <v>981</v>
      </c>
      <c r="G19" t="s">
        <v>981</v>
      </c>
      <c r="H19" t="s">
        <v>981</v>
      </c>
      <c r="I19" t="s">
        <v>981</v>
      </c>
      <c r="J19" t="s">
        <v>981</v>
      </c>
      <c r="K19" t="s">
        <v>981</v>
      </c>
      <c r="L19" t="s">
        <v>981</v>
      </c>
      <c r="M19" t="s">
        <v>981</v>
      </c>
      <c r="N19" t="s">
        <v>981</v>
      </c>
      <c r="O19" t="s">
        <v>981</v>
      </c>
      <c r="P19" t="s">
        <v>980</v>
      </c>
      <c r="Q19" t="s">
        <v>981</v>
      </c>
      <c r="R19" t="s">
        <v>981</v>
      </c>
      <c r="S19" t="s">
        <v>981</v>
      </c>
      <c r="T19" t="s">
        <v>981</v>
      </c>
      <c r="U19" t="s">
        <v>980</v>
      </c>
      <c r="V19" t="s">
        <v>978</v>
      </c>
      <c r="W19" t="s">
        <v>981</v>
      </c>
      <c r="X19" t="s">
        <v>980</v>
      </c>
      <c r="Y19" t="s">
        <v>981</v>
      </c>
      <c r="Z19" t="s">
        <v>981</v>
      </c>
      <c r="AA19" t="s">
        <v>981</v>
      </c>
      <c r="AB19" t="s">
        <v>981</v>
      </c>
      <c r="AC19" t="s">
        <v>981</v>
      </c>
      <c r="AD19" t="s">
        <v>981</v>
      </c>
      <c r="AE19" t="s">
        <v>981</v>
      </c>
      <c r="AF19" t="s">
        <v>980</v>
      </c>
      <c r="AG19" t="s">
        <v>978</v>
      </c>
      <c r="AH19" t="e">
        <v>#N/A</v>
      </c>
      <c r="AI19" t="s">
        <v>979</v>
      </c>
      <c r="AJ19" t="s">
        <v>978</v>
      </c>
      <c r="AK19" t="s">
        <v>978</v>
      </c>
      <c r="AL19" t="s">
        <v>980</v>
      </c>
      <c r="AM19" t="s">
        <v>979</v>
      </c>
      <c r="AN19" t="s">
        <v>978</v>
      </c>
      <c r="AO19" t="s">
        <v>980</v>
      </c>
      <c r="AP19" t="s">
        <v>980</v>
      </c>
      <c r="AQ19" t="s">
        <v>979</v>
      </c>
      <c r="AR19" t="s">
        <v>980</v>
      </c>
    </row>
    <row r="20" spans="1:44" x14ac:dyDescent="0.3">
      <c r="A20">
        <v>1937</v>
      </c>
      <c r="B20" t="s">
        <v>979</v>
      </c>
      <c r="C20" t="s">
        <v>979</v>
      </c>
      <c r="D20" t="s">
        <v>982</v>
      </c>
      <c r="E20" t="s">
        <v>979</v>
      </c>
      <c r="F20" t="s">
        <v>979</v>
      </c>
      <c r="G20" t="s">
        <v>979</v>
      </c>
      <c r="H20" t="s">
        <v>980</v>
      </c>
      <c r="I20" t="s">
        <v>979</v>
      </c>
      <c r="J20" t="s">
        <v>978</v>
      </c>
      <c r="K20" t="s">
        <v>979</v>
      </c>
      <c r="L20" t="s">
        <v>979</v>
      </c>
      <c r="M20" t="s">
        <v>982</v>
      </c>
      <c r="N20" t="s">
        <v>979</v>
      </c>
      <c r="O20" t="s">
        <v>981</v>
      </c>
      <c r="P20" t="s">
        <v>981</v>
      </c>
      <c r="Q20" t="s">
        <v>978</v>
      </c>
      <c r="R20" t="s">
        <v>981</v>
      </c>
      <c r="S20" t="s">
        <v>980</v>
      </c>
      <c r="T20" t="s">
        <v>980</v>
      </c>
      <c r="U20" t="s">
        <v>979</v>
      </c>
      <c r="V20" t="s">
        <v>978</v>
      </c>
      <c r="W20" t="s">
        <v>980</v>
      </c>
      <c r="X20" t="s">
        <v>979</v>
      </c>
      <c r="Y20" t="s">
        <v>979</v>
      </c>
      <c r="Z20" t="s">
        <v>979</v>
      </c>
      <c r="AA20" t="s">
        <v>979</v>
      </c>
      <c r="AB20" t="s">
        <v>979</v>
      </c>
      <c r="AC20" t="s">
        <v>978</v>
      </c>
      <c r="AD20" t="s">
        <v>978</v>
      </c>
      <c r="AE20" t="s">
        <v>980</v>
      </c>
      <c r="AF20" t="s">
        <v>980</v>
      </c>
      <c r="AG20" t="s">
        <v>978</v>
      </c>
      <c r="AH20" t="e">
        <v>#N/A</v>
      </c>
      <c r="AI20" t="s">
        <v>978</v>
      </c>
      <c r="AJ20" t="s">
        <v>978</v>
      </c>
      <c r="AK20" t="s">
        <v>978</v>
      </c>
      <c r="AL20" t="s">
        <v>978</v>
      </c>
      <c r="AM20" t="s">
        <v>979</v>
      </c>
      <c r="AN20" t="s">
        <v>979</v>
      </c>
      <c r="AO20" t="s">
        <v>978</v>
      </c>
      <c r="AP20" t="s">
        <v>978</v>
      </c>
      <c r="AQ20" t="s">
        <v>978</v>
      </c>
      <c r="AR20" t="s">
        <v>978</v>
      </c>
    </row>
    <row r="21" spans="1:44" x14ac:dyDescent="0.3">
      <c r="A21">
        <v>1938</v>
      </c>
      <c r="B21" t="s">
        <v>979</v>
      </c>
      <c r="C21" t="s">
        <v>979</v>
      </c>
      <c r="D21" t="s">
        <v>982</v>
      </c>
      <c r="E21" t="s">
        <v>979</v>
      </c>
      <c r="F21" t="s">
        <v>979</v>
      </c>
      <c r="G21" t="s">
        <v>982</v>
      </c>
      <c r="H21" t="s">
        <v>979</v>
      </c>
      <c r="I21" t="s">
        <v>979</v>
      </c>
      <c r="J21" t="s">
        <v>979</v>
      </c>
      <c r="K21" t="s">
        <v>979</v>
      </c>
      <c r="L21" t="s">
        <v>979</v>
      </c>
      <c r="M21" t="s">
        <v>982</v>
      </c>
      <c r="N21" t="s">
        <v>979</v>
      </c>
      <c r="O21" t="s">
        <v>979</v>
      </c>
      <c r="P21" t="s">
        <v>979</v>
      </c>
      <c r="Q21" t="s">
        <v>979</v>
      </c>
      <c r="R21" t="s">
        <v>982</v>
      </c>
      <c r="S21" t="s">
        <v>979</v>
      </c>
      <c r="T21" t="s">
        <v>982</v>
      </c>
      <c r="U21" t="s">
        <v>982</v>
      </c>
      <c r="V21" t="s">
        <v>982</v>
      </c>
      <c r="W21" t="s">
        <v>982</v>
      </c>
      <c r="X21" t="s">
        <v>982</v>
      </c>
      <c r="Y21" t="s">
        <v>982</v>
      </c>
      <c r="Z21" t="s">
        <v>982</v>
      </c>
      <c r="AA21" t="s">
        <v>982</v>
      </c>
      <c r="AB21" t="s">
        <v>979</v>
      </c>
      <c r="AC21" t="s">
        <v>982</v>
      </c>
      <c r="AD21" t="s">
        <v>979</v>
      </c>
      <c r="AE21" t="s">
        <v>979</v>
      </c>
      <c r="AF21" t="s">
        <v>979</v>
      </c>
      <c r="AG21" t="s">
        <v>982</v>
      </c>
      <c r="AH21" t="e">
        <v>#N/A</v>
      </c>
      <c r="AI21" t="s">
        <v>982</v>
      </c>
      <c r="AJ21" t="s">
        <v>982</v>
      </c>
      <c r="AK21" t="s">
        <v>982</v>
      </c>
      <c r="AL21" t="s">
        <v>979</v>
      </c>
      <c r="AM21" t="s">
        <v>982</v>
      </c>
      <c r="AN21" t="s">
        <v>982</v>
      </c>
      <c r="AO21" t="s">
        <v>979</v>
      </c>
      <c r="AP21" t="s">
        <v>979</v>
      </c>
      <c r="AQ21" t="s">
        <v>979</v>
      </c>
      <c r="AR21" t="s">
        <v>979</v>
      </c>
    </row>
    <row r="22" spans="1:44" x14ac:dyDescent="0.3">
      <c r="A22">
        <v>1939</v>
      </c>
      <c r="B22" t="s">
        <v>981</v>
      </c>
      <c r="C22" t="s">
        <v>981</v>
      </c>
      <c r="D22" t="s">
        <v>978</v>
      </c>
      <c r="E22" t="s">
        <v>980</v>
      </c>
      <c r="F22" t="s">
        <v>981</v>
      </c>
      <c r="G22" t="s">
        <v>981</v>
      </c>
      <c r="H22" t="s">
        <v>978</v>
      </c>
      <c r="I22" t="s">
        <v>981</v>
      </c>
      <c r="J22" t="s">
        <v>980</v>
      </c>
      <c r="K22" t="s">
        <v>981</v>
      </c>
      <c r="L22" t="s">
        <v>981</v>
      </c>
      <c r="M22" t="s">
        <v>978</v>
      </c>
      <c r="N22" t="s">
        <v>981</v>
      </c>
      <c r="O22" t="s">
        <v>981</v>
      </c>
      <c r="P22" t="s">
        <v>981</v>
      </c>
      <c r="Q22" t="s">
        <v>980</v>
      </c>
      <c r="R22" t="s">
        <v>981</v>
      </c>
      <c r="S22" t="s">
        <v>981</v>
      </c>
      <c r="T22" t="s">
        <v>981</v>
      </c>
      <c r="U22" t="s">
        <v>981</v>
      </c>
      <c r="V22" t="s">
        <v>980</v>
      </c>
      <c r="W22" t="s">
        <v>981</v>
      </c>
      <c r="X22" t="s">
        <v>981</v>
      </c>
      <c r="Y22" t="s">
        <v>980</v>
      </c>
      <c r="Z22" t="s">
        <v>981</v>
      </c>
      <c r="AA22" t="s">
        <v>981</v>
      </c>
      <c r="AB22" t="s">
        <v>981</v>
      </c>
      <c r="AC22" t="s">
        <v>981</v>
      </c>
      <c r="AD22" t="s">
        <v>981</v>
      </c>
      <c r="AE22" t="s">
        <v>980</v>
      </c>
      <c r="AF22" t="s">
        <v>978</v>
      </c>
      <c r="AG22" t="s">
        <v>978</v>
      </c>
      <c r="AH22" t="e">
        <v>#N/A</v>
      </c>
      <c r="AI22" t="s">
        <v>979</v>
      </c>
      <c r="AJ22" t="s">
        <v>980</v>
      </c>
      <c r="AK22" t="s">
        <v>979</v>
      </c>
      <c r="AL22" t="s">
        <v>980</v>
      </c>
      <c r="AM22" t="s">
        <v>978</v>
      </c>
      <c r="AN22" t="s">
        <v>978</v>
      </c>
      <c r="AO22" t="s">
        <v>980</v>
      </c>
      <c r="AP22" t="s">
        <v>980</v>
      </c>
      <c r="AQ22" t="s">
        <v>980</v>
      </c>
      <c r="AR22" t="s">
        <v>978</v>
      </c>
    </row>
    <row r="23" spans="1:44" x14ac:dyDescent="0.3">
      <c r="A23">
        <v>1940</v>
      </c>
      <c r="B23" t="s">
        <v>979</v>
      </c>
      <c r="C23" t="s">
        <v>979</v>
      </c>
      <c r="D23" t="s">
        <v>979</v>
      </c>
      <c r="E23" t="s">
        <v>979</v>
      </c>
      <c r="F23" t="s">
        <v>979</v>
      </c>
      <c r="G23" t="s">
        <v>979</v>
      </c>
      <c r="H23" t="s">
        <v>980</v>
      </c>
      <c r="I23" t="s">
        <v>979</v>
      </c>
      <c r="J23" t="s">
        <v>978</v>
      </c>
      <c r="K23" t="s">
        <v>979</v>
      </c>
      <c r="L23" t="s">
        <v>979</v>
      </c>
      <c r="M23" t="s">
        <v>979</v>
      </c>
      <c r="N23" t="s">
        <v>982</v>
      </c>
      <c r="O23" t="s">
        <v>981</v>
      </c>
      <c r="P23" t="s">
        <v>980</v>
      </c>
      <c r="Q23" t="s">
        <v>981</v>
      </c>
      <c r="R23" t="s">
        <v>980</v>
      </c>
      <c r="S23" t="s">
        <v>981</v>
      </c>
      <c r="T23" t="s">
        <v>980</v>
      </c>
      <c r="U23" t="s">
        <v>978</v>
      </c>
      <c r="V23" t="s">
        <v>978</v>
      </c>
      <c r="W23" t="s">
        <v>978</v>
      </c>
      <c r="X23" t="s">
        <v>978</v>
      </c>
      <c r="Y23" t="s">
        <v>979</v>
      </c>
      <c r="Z23" t="s">
        <v>979</v>
      </c>
      <c r="AA23" t="s">
        <v>979</v>
      </c>
      <c r="AB23" t="s">
        <v>979</v>
      </c>
      <c r="AC23" t="s">
        <v>980</v>
      </c>
      <c r="AD23" t="s">
        <v>979</v>
      </c>
      <c r="AE23" t="s">
        <v>980</v>
      </c>
      <c r="AF23" t="s">
        <v>978</v>
      </c>
      <c r="AG23" t="s">
        <v>978</v>
      </c>
      <c r="AH23" t="e">
        <v>#N/A</v>
      </c>
      <c r="AI23" t="s">
        <v>979</v>
      </c>
      <c r="AJ23" t="s">
        <v>980</v>
      </c>
      <c r="AK23" t="s">
        <v>978</v>
      </c>
      <c r="AL23" t="s">
        <v>978</v>
      </c>
      <c r="AM23" t="s">
        <v>980</v>
      </c>
      <c r="AN23" t="s">
        <v>978</v>
      </c>
      <c r="AO23" t="s">
        <v>978</v>
      </c>
      <c r="AP23" t="s">
        <v>979</v>
      </c>
      <c r="AQ23" t="s">
        <v>979</v>
      </c>
      <c r="AR23" t="s">
        <v>978</v>
      </c>
    </row>
    <row r="24" spans="1:44" x14ac:dyDescent="0.3">
      <c r="A24">
        <v>1941</v>
      </c>
      <c r="B24" t="s">
        <v>982</v>
      </c>
      <c r="C24" t="s">
        <v>982</v>
      </c>
      <c r="D24" t="s">
        <v>982</v>
      </c>
      <c r="E24" t="s">
        <v>982</v>
      </c>
      <c r="F24" t="s">
        <v>982</v>
      </c>
      <c r="G24" t="s">
        <v>982</v>
      </c>
      <c r="H24" t="s">
        <v>982</v>
      </c>
      <c r="I24" t="s">
        <v>982</v>
      </c>
      <c r="J24" t="s">
        <v>982</v>
      </c>
      <c r="K24" t="s">
        <v>982</v>
      </c>
      <c r="L24" t="s">
        <v>982</v>
      </c>
      <c r="M24" t="s">
        <v>982</v>
      </c>
      <c r="N24" t="s">
        <v>982</v>
      </c>
      <c r="O24" t="s">
        <v>982</v>
      </c>
      <c r="P24" t="s">
        <v>982</v>
      </c>
      <c r="Q24" t="s">
        <v>982</v>
      </c>
      <c r="R24" t="s">
        <v>982</v>
      </c>
      <c r="S24" t="s">
        <v>979</v>
      </c>
      <c r="T24" t="s">
        <v>979</v>
      </c>
      <c r="U24" t="s">
        <v>982</v>
      </c>
      <c r="V24" t="s">
        <v>982</v>
      </c>
      <c r="W24" t="s">
        <v>982</v>
      </c>
      <c r="X24" t="s">
        <v>982</v>
      </c>
      <c r="Y24" t="s">
        <v>982</v>
      </c>
      <c r="Z24" t="s">
        <v>982</v>
      </c>
      <c r="AA24" t="s">
        <v>982</v>
      </c>
      <c r="AB24" t="s">
        <v>982</v>
      </c>
      <c r="AC24" t="s">
        <v>982</v>
      </c>
      <c r="AD24" t="s">
        <v>982</v>
      </c>
      <c r="AE24" t="s">
        <v>982</v>
      </c>
      <c r="AF24" t="s">
        <v>982</v>
      </c>
      <c r="AG24" t="s">
        <v>982</v>
      </c>
      <c r="AH24" t="e">
        <v>#N/A</v>
      </c>
      <c r="AI24" t="s">
        <v>982</v>
      </c>
      <c r="AJ24" t="s">
        <v>982</v>
      </c>
      <c r="AK24" t="s">
        <v>982</v>
      </c>
      <c r="AL24" t="s">
        <v>982</v>
      </c>
      <c r="AM24" t="s">
        <v>982</v>
      </c>
      <c r="AN24" t="s">
        <v>982</v>
      </c>
      <c r="AO24" t="s">
        <v>982</v>
      </c>
      <c r="AP24" t="s">
        <v>982</v>
      </c>
      <c r="AQ24" t="s">
        <v>982</v>
      </c>
      <c r="AR24" t="s">
        <v>982</v>
      </c>
    </row>
    <row r="25" spans="1:44" x14ac:dyDescent="0.3">
      <c r="A25">
        <v>1942</v>
      </c>
      <c r="B25" t="s">
        <v>982</v>
      </c>
      <c r="C25" t="s">
        <v>982</v>
      </c>
      <c r="D25" t="s">
        <v>982</v>
      </c>
      <c r="E25" t="s">
        <v>982</v>
      </c>
      <c r="F25" t="s">
        <v>982</v>
      </c>
      <c r="G25" t="s">
        <v>982</v>
      </c>
      <c r="H25" t="s">
        <v>982</v>
      </c>
      <c r="I25" t="s">
        <v>982</v>
      </c>
      <c r="J25" t="s">
        <v>982</v>
      </c>
      <c r="K25" t="s">
        <v>982</v>
      </c>
      <c r="L25" t="s">
        <v>982</v>
      </c>
      <c r="M25" t="s">
        <v>982</v>
      </c>
      <c r="N25" t="s">
        <v>982</v>
      </c>
      <c r="O25" t="s">
        <v>980</v>
      </c>
      <c r="P25" t="s">
        <v>978</v>
      </c>
      <c r="Q25" t="s">
        <v>978</v>
      </c>
      <c r="R25" t="s">
        <v>980</v>
      </c>
      <c r="S25" t="s">
        <v>981</v>
      </c>
      <c r="T25" t="s">
        <v>980</v>
      </c>
      <c r="U25" t="s">
        <v>979</v>
      </c>
      <c r="V25" t="s">
        <v>981</v>
      </c>
      <c r="W25" t="s">
        <v>980</v>
      </c>
      <c r="X25" t="s">
        <v>982</v>
      </c>
      <c r="Y25" t="s">
        <v>982</v>
      </c>
      <c r="Z25" t="s">
        <v>982</v>
      </c>
      <c r="AA25" t="s">
        <v>982</v>
      </c>
      <c r="AB25" t="s">
        <v>982</v>
      </c>
      <c r="AC25" t="s">
        <v>982</v>
      </c>
      <c r="AD25" t="s">
        <v>982</v>
      </c>
      <c r="AE25" t="s">
        <v>978</v>
      </c>
      <c r="AF25" t="s">
        <v>978</v>
      </c>
      <c r="AG25" t="s">
        <v>981</v>
      </c>
      <c r="AH25" t="e">
        <v>#N/A</v>
      </c>
      <c r="AI25" t="s">
        <v>980</v>
      </c>
      <c r="AJ25" t="s">
        <v>981</v>
      </c>
      <c r="AK25" t="s">
        <v>980</v>
      </c>
      <c r="AL25" t="s">
        <v>980</v>
      </c>
      <c r="AM25" t="s">
        <v>981</v>
      </c>
      <c r="AN25" t="s">
        <v>981</v>
      </c>
      <c r="AO25" t="s">
        <v>981</v>
      </c>
      <c r="AP25" t="s">
        <v>980</v>
      </c>
      <c r="AQ25" t="s">
        <v>980</v>
      </c>
      <c r="AR25" t="s">
        <v>978</v>
      </c>
    </row>
    <row r="26" spans="1:44" x14ac:dyDescent="0.3">
      <c r="A26">
        <v>1943</v>
      </c>
      <c r="B26" t="s">
        <v>979</v>
      </c>
      <c r="C26" t="s">
        <v>978</v>
      </c>
      <c r="D26" t="s">
        <v>982</v>
      </c>
      <c r="E26" t="s">
        <v>978</v>
      </c>
      <c r="F26" t="s">
        <v>978</v>
      </c>
      <c r="G26" t="s">
        <v>979</v>
      </c>
      <c r="H26" t="s">
        <v>978</v>
      </c>
      <c r="I26" t="s">
        <v>978</v>
      </c>
      <c r="J26" t="s">
        <v>980</v>
      </c>
      <c r="K26" t="s">
        <v>978</v>
      </c>
      <c r="L26" t="s">
        <v>978</v>
      </c>
      <c r="M26" t="s">
        <v>982</v>
      </c>
      <c r="N26" t="s">
        <v>978</v>
      </c>
      <c r="O26" t="s">
        <v>979</v>
      </c>
      <c r="P26" t="s">
        <v>979</v>
      </c>
      <c r="Q26" t="s">
        <v>978</v>
      </c>
      <c r="R26" t="s">
        <v>979</v>
      </c>
      <c r="S26" t="s">
        <v>978</v>
      </c>
      <c r="T26" t="s">
        <v>978</v>
      </c>
      <c r="U26" t="s">
        <v>978</v>
      </c>
      <c r="V26" t="s">
        <v>982</v>
      </c>
      <c r="W26" t="s">
        <v>979</v>
      </c>
      <c r="X26" t="s">
        <v>979</v>
      </c>
      <c r="Y26" t="s">
        <v>979</v>
      </c>
      <c r="Z26" t="s">
        <v>980</v>
      </c>
      <c r="AA26" t="s">
        <v>978</v>
      </c>
      <c r="AB26" t="s">
        <v>978</v>
      </c>
      <c r="AC26" t="s">
        <v>979</v>
      </c>
      <c r="AD26" t="s">
        <v>980</v>
      </c>
      <c r="AE26" t="s">
        <v>979</v>
      </c>
      <c r="AF26" t="s">
        <v>978</v>
      </c>
      <c r="AG26" t="s">
        <v>979</v>
      </c>
      <c r="AH26" t="e">
        <v>#N/A</v>
      </c>
      <c r="AI26" t="s">
        <v>982</v>
      </c>
      <c r="AJ26" t="s">
        <v>979</v>
      </c>
      <c r="AK26" t="s">
        <v>982</v>
      </c>
      <c r="AL26" t="s">
        <v>979</v>
      </c>
      <c r="AM26" t="s">
        <v>982</v>
      </c>
      <c r="AN26" t="s">
        <v>979</v>
      </c>
      <c r="AO26" t="s">
        <v>979</v>
      </c>
      <c r="AP26" t="s">
        <v>978</v>
      </c>
      <c r="AQ26" t="s">
        <v>982</v>
      </c>
      <c r="AR26" t="s">
        <v>979</v>
      </c>
    </row>
    <row r="27" spans="1:44" x14ac:dyDescent="0.3">
      <c r="A27">
        <v>1944</v>
      </c>
      <c r="B27" t="s">
        <v>979</v>
      </c>
      <c r="C27" t="s">
        <v>979</v>
      </c>
      <c r="D27" t="s">
        <v>979</v>
      </c>
      <c r="E27" t="s">
        <v>979</v>
      </c>
      <c r="F27" t="s">
        <v>979</v>
      </c>
      <c r="G27" t="s">
        <v>979</v>
      </c>
      <c r="H27" t="s">
        <v>979</v>
      </c>
      <c r="I27" t="s">
        <v>979</v>
      </c>
      <c r="J27" t="s">
        <v>978</v>
      </c>
      <c r="K27" t="s">
        <v>979</v>
      </c>
      <c r="L27" t="s">
        <v>979</v>
      </c>
      <c r="M27" t="s">
        <v>979</v>
      </c>
      <c r="N27" t="s">
        <v>979</v>
      </c>
      <c r="O27" t="s">
        <v>979</v>
      </c>
      <c r="P27" t="s">
        <v>982</v>
      </c>
      <c r="Q27" t="s">
        <v>979</v>
      </c>
      <c r="R27" t="s">
        <v>979</v>
      </c>
      <c r="S27" t="s">
        <v>978</v>
      </c>
      <c r="T27" t="s">
        <v>979</v>
      </c>
      <c r="U27" t="s">
        <v>979</v>
      </c>
      <c r="V27" t="s">
        <v>979</v>
      </c>
      <c r="W27" t="s">
        <v>979</v>
      </c>
      <c r="X27" t="s">
        <v>979</v>
      </c>
      <c r="Y27" t="s">
        <v>979</v>
      </c>
      <c r="Z27" t="s">
        <v>979</v>
      </c>
      <c r="AA27" t="s">
        <v>978</v>
      </c>
      <c r="AB27" t="s">
        <v>979</v>
      </c>
      <c r="AC27" t="s">
        <v>979</v>
      </c>
      <c r="AD27" t="s">
        <v>979</v>
      </c>
      <c r="AE27" t="s">
        <v>979</v>
      </c>
      <c r="AF27" t="s">
        <v>979</v>
      </c>
      <c r="AG27" t="s">
        <v>979</v>
      </c>
      <c r="AH27" t="e">
        <v>#N/A</v>
      </c>
      <c r="AI27" t="s">
        <v>982</v>
      </c>
      <c r="AJ27" t="s">
        <v>979</v>
      </c>
      <c r="AK27" t="s">
        <v>982</v>
      </c>
      <c r="AL27" t="s">
        <v>979</v>
      </c>
      <c r="AM27" t="s">
        <v>979</v>
      </c>
      <c r="AN27" t="s">
        <v>979</v>
      </c>
      <c r="AO27" t="s">
        <v>979</v>
      </c>
      <c r="AP27" t="s">
        <v>979</v>
      </c>
      <c r="AQ27" t="s">
        <v>979</v>
      </c>
      <c r="AR27" t="s">
        <v>979</v>
      </c>
    </row>
    <row r="28" spans="1:44" x14ac:dyDescent="0.3">
      <c r="A28">
        <v>1945</v>
      </c>
      <c r="B28" t="s">
        <v>979</v>
      </c>
      <c r="C28" t="s">
        <v>979</v>
      </c>
      <c r="D28" t="s">
        <v>979</v>
      </c>
      <c r="E28" t="s">
        <v>979</v>
      </c>
      <c r="F28" t="s">
        <v>982</v>
      </c>
      <c r="G28" t="s">
        <v>979</v>
      </c>
      <c r="H28" t="s">
        <v>979</v>
      </c>
      <c r="I28" t="s">
        <v>979</v>
      </c>
      <c r="J28" t="s">
        <v>979</v>
      </c>
      <c r="K28" t="s">
        <v>979</v>
      </c>
      <c r="L28" t="s">
        <v>979</v>
      </c>
      <c r="M28" t="s">
        <v>979</v>
      </c>
      <c r="N28" t="s">
        <v>979</v>
      </c>
      <c r="O28" t="s">
        <v>979</v>
      </c>
      <c r="P28" t="s">
        <v>982</v>
      </c>
      <c r="Q28" t="s">
        <v>979</v>
      </c>
      <c r="R28" t="s">
        <v>978</v>
      </c>
      <c r="S28" t="s">
        <v>978</v>
      </c>
      <c r="T28" t="s">
        <v>979</v>
      </c>
      <c r="U28" t="s">
        <v>979</v>
      </c>
      <c r="V28" t="s">
        <v>979</v>
      </c>
      <c r="W28" t="s">
        <v>979</v>
      </c>
      <c r="X28" t="s">
        <v>982</v>
      </c>
      <c r="Y28" t="s">
        <v>979</v>
      </c>
      <c r="Z28" t="s">
        <v>979</v>
      </c>
      <c r="AA28" t="s">
        <v>979</v>
      </c>
      <c r="AB28" t="s">
        <v>979</v>
      </c>
      <c r="AC28" t="s">
        <v>979</v>
      </c>
      <c r="AD28" t="s">
        <v>979</v>
      </c>
      <c r="AE28" t="s">
        <v>979</v>
      </c>
      <c r="AF28" t="s">
        <v>979</v>
      </c>
      <c r="AG28" t="s">
        <v>979</v>
      </c>
      <c r="AH28" t="e">
        <v>#N/A</v>
      </c>
      <c r="AI28" t="s">
        <v>982</v>
      </c>
      <c r="AJ28" t="s">
        <v>982</v>
      </c>
      <c r="AK28" t="s">
        <v>982</v>
      </c>
      <c r="AL28" t="s">
        <v>979</v>
      </c>
      <c r="AM28" t="s">
        <v>979</v>
      </c>
      <c r="AN28" t="s">
        <v>979</v>
      </c>
      <c r="AO28" t="s">
        <v>982</v>
      </c>
      <c r="AP28" t="s">
        <v>979</v>
      </c>
      <c r="AQ28" t="s">
        <v>982</v>
      </c>
      <c r="AR28" t="s">
        <v>979</v>
      </c>
    </row>
    <row r="29" spans="1:44" x14ac:dyDescent="0.3">
      <c r="A29">
        <v>1946</v>
      </c>
      <c r="B29" t="s">
        <v>978</v>
      </c>
      <c r="C29" t="s">
        <v>980</v>
      </c>
      <c r="D29" t="s">
        <v>979</v>
      </c>
      <c r="E29" t="s">
        <v>978</v>
      </c>
      <c r="F29" t="s">
        <v>980</v>
      </c>
      <c r="G29" t="s">
        <v>981</v>
      </c>
      <c r="H29" t="s">
        <v>978</v>
      </c>
      <c r="I29" t="s">
        <v>981</v>
      </c>
      <c r="J29" t="s">
        <v>978</v>
      </c>
      <c r="K29" t="s">
        <v>980</v>
      </c>
      <c r="L29" t="s">
        <v>978</v>
      </c>
      <c r="M29" t="s">
        <v>979</v>
      </c>
      <c r="N29" t="s">
        <v>980</v>
      </c>
      <c r="O29" t="s">
        <v>979</v>
      </c>
      <c r="P29" t="s">
        <v>982</v>
      </c>
      <c r="Q29" t="s">
        <v>978</v>
      </c>
      <c r="R29" t="s">
        <v>978</v>
      </c>
      <c r="S29" t="s">
        <v>979</v>
      </c>
      <c r="T29" t="s">
        <v>979</v>
      </c>
      <c r="U29" t="s">
        <v>980</v>
      </c>
      <c r="V29" t="s">
        <v>978</v>
      </c>
      <c r="W29" t="s">
        <v>979</v>
      </c>
      <c r="X29" t="s">
        <v>978</v>
      </c>
      <c r="Y29" t="s">
        <v>980</v>
      </c>
      <c r="Z29" t="s">
        <v>980</v>
      </c>
      <c r="AA29" t="s">
        <v>981</v>
      </c>
      <c r="AB29" t="s">
        <v>980</v>
      </c>
      <c r="AC29" t="s">
        <v>980</v>
      </c>
      <c r="AD29" t="s">
        <v>980</v>
      </c>
      <c r="AE29" t="s">
        <v>978</v>
      </c>
      <c r="AF29" t="s">
        <v>978</v>
      </c>
      <c r="AG29" t="s">
        <v>979</v>
      </c>
      <c r="AH29" t="e">
        <v>#N/A</v>
      </c>
      <c r="AI29" t="s">
        <v>978</v>
      </c>
      <c r="AJ29" t="s">
        <v>979</v>
      </c>
      <c r="AK29" t="s">
        <v>979</v>
      </c>
      <c r="AL29" t="s">
        <v>978</v>
      </c>
      <c r="AM29" t="s">
        <v>980</v>
      </c>
      <c r="AN29" t="s">
        <v>979</v>
      </c>
      <c r="AO29" t="s">
        <v>980</v>
      </c>
      <c r="AP29" t="s">
        <v>978</v>
      </c>
      <c r="AQ29" t="s">
        <v>978</v>
      </c>
      <c r="AR29" t="s">
        <v>979</v>
      </c>
    </row>
    <row r="30" spans="1:44" x14ac:dyDescent="0.3">
      <c r="A30">
        <v>1947</v>
      </c>
      <c r="B30" t="s">
        <v>982</v>
      </c>
      <c r="C30" t="s">
        <v>979</v>
      </c>
      <c r="D30" t="s">
        <v>982</v>
      </c>
      <c r="E30" t="s">
        <v>979</v>
      </c>
      <c r="F30" t="s">
        <v>979</v>
      </c>
      <c r="G30" t="s">
        <v>979</v>
      </c>
      <c r="H30" t="s">
        <v>979</v>
      </c>
      <c r="I30" t="s">
        <v>979</v>
      </c>
      <c r="J30" t="s">
        <v>978</v>
      </c>
      <c r="K30" t="s">
        <v>979</v>
      </c>
      <c r="L30" t="s">
        <v>979</v>
      </c>
      <c r="M30" t="s">
        <v>982</v>
      </c>
      <c r="N30" t="s">
        <v>979</v>
      </c>
      <c r="O30" t="s">
        <v>981</v>
      </c>
      <c r="P30" t="s">
        <v>980</v>
      </c>
      <c r="Q30" t="s">
        <v>981</v>
      </c>
      <c r="R30" t="s">
        <v>981</v>
      </c>
      <c r="S30" t="s">
        <v>981</v>
      </c>
      <c r="T30" t="s">
        <v>981</v>
      </c>
      <c r="U30" t="s">
        <v>981</v>
      </c>
      <c r="V30" t="s">
        <v>981</v>
      </c>
      <c r="W30" t="s">
        <v>981</v>
      </c>
      <c r="X30" t="s">
        <v>981</v>
      </c>
      <c r="Y30" t="s">
        <v>981</v>
      </c>
      <c r="Z30" t="s">
        <v>978</v>
      </c>
      <c r="AA30" t="s">
        <v>980</v>
      </c>
      <c r="AB30" t="s">
        <v>979</v>
      </c>
      <c r="AC30" t="s">
        <v>981</v>
      </c>
      <c r="AD30" t="s">
        <v>978</v>
      </c>
      <c r="AE30" t="s">
        <v>981</v>
      </c>
      <c r="AF30" t="s">
        <v>981</v>
      </c>
      <c r="AG30" t="s">
        <v>981</v>
      </c>
      <c r="AH30" t="e">
        <v>#N/A</v>
      </c>
      <c r="AI30" t="s">
        <v>978</v>
      </c>
      <c r="AJ30" t="s">
        <v>981</v>
      </c>
      <c r="AK30" t="s">
        <v>981</v>
      </c>
      <c r="AL30" t="s">
        <v>981</v>
      </c>
      <c r="AM30" t="s">
        <v>981</v>
      </c>
      <c r="AN30" t="s">
        <v>981</v>
      </c>
      <c r="AO30" t="s">
        <v>981</v>
      </c>
      <c r="AP30" t="s">
        <v>981</v>
      </c>
      <c r="AQ30" t="s">
        <v>981</v>
      </c>
      <c r="AR30" t="s">
        <v>981</v>
      </c>
    </row>
    <row r="31" spans="1:44" x14ac:dyDescent="0.3">
      <c r="A31">
        <v>1948</v>
      </c>
      <c r="B31" t="s">
        <v>982</v>
      </c>
      <c r="C31" t="s">
        <v>982</v>
      </c>
      <c r="D31" t="s">
        <v>982</v>
      </c>
      <c r="E31" t="s">
        <v>982</v>
      </c>
      <c r="F31" t="s">
        <v>982</v>
      </c>
      <c r="G31" t="s">
        <v>982</v>
      </c>
      <c r="H31" t="s">
        <v>982</v>
      </c>
      <c r="I31" t="s">
        <v>982</v>
      </c>
      <c r="J31" t="s">
        <v>982</v>
      </c>
      <c r="K31" t="s">
        <v>982</v>
      </c>
      <c r="L31" t="s">
        <v>982</v>
      </c>
      <c r="M31" t="s">
        <v>982</v>
      </c>
      <c r="N31" t="s">
        <v>982</v>
      </c>
      <c r="O31" t="s">
        <v>979</v>
      </c>
      <c r="P31" t="s">
        <v>982</v>
      </c>
      <c r="Q31" t="s">
        <v>980</v>
      </c>
      <c r="R31" t="s">
        <v>979</v>
      </c>
      <c r="S31" t="s">
        <v>978</v>
      </c>
      <c r="T31" t="s">
        <v>980</v>
      </c>
      <c r="U31" t="s">
        <v>982</v>
      </c>
      <c r="V31" t="s">
        <v>980</v>
      </c>
      <c r="W31" t="s">
        <v>978</v>
      </c>
      <c r="X31" t="s">
        <v>982</v>
      </c>
      <c r="Y31" t="s">
        <v>982</v>
      </c>
      <c r="Z31" t="s">
        <v>982</v>
      </c>
      <c r="AA31" t="s">
        <v>982</v>
      </c>
      <c r="AB31" t="s">
        <v>982</v>
      </c>
      <c r="AC31" t="s">
        <v>979</v>
      </c>
      <c r="AD31" t="s">
        <v>979</v>
      </c>
      <c r="AE31" t="s">
        <v>978</v>
      </c>
      <c r="AF31" t="s">
        <v>978</v>
      </c>
      <c r="AG31" t="s">
        <v>978</v>
      </c>
      <c r="AH31" t="e">
        <v>#N/A</v>
      </c>
      <c r="AI31" t="s">
        <v>979</v>
      </c>
      <c r="AJ31" t="s">
        <v>978</v>
      </c>
      <c r="AK31" t="s">
        <v>978</v>
      </c>
      <c r="AL31" t="s">
        <v>980</v>
      </c>
      <c r="AM31" t="s">
        <v>980</v>
      </c>
      <c r="AN31" t="s">
        <v>980</v>
      </c>
      <c r="AO31" t="s">
        <v>978</v>
      </c>
      <c r="AP31" t="s">
        <v>981</v>
      </c>
      <c r="AQ31" t="s">
        <v>978</v>
      </c>
      <c r="AR31" t="s">
        <v>978</v>
      </c>
    </row>
    <row r="32" spans="1:44" x14ac:dyDescent="0.3">
      <c r="A32">
        <v>1949</v>
      </c>
      <c r="B32" t="s">
        <v>981</v>
      </c>
      <c r="C32" t="s">
        <v>980</v>
      </c>
      <c r="D32" t="s">
        <v>980</v>
      </c>
      <c r="E32" t="s">
        <v>980</v>
      </c>
      <c r="F32" t="s">
        <v>980</v>
      </c>
      <c r="G32" t="s">
        <v>980</v>
      </c>
      <c r="H32" t="s">
        <v>981</v>
      </c>
      <c r="I32" t="s">
        <v>981</v>
      </c>
      <c r="J32" t="s">
        <v>981</v>
      </c>
      <c r="K32" t="s">
        <v>980</v>
      </c>
      <c r="L32" t="s">
        <v>981</v>
      </c>
      <c r="M32" t="s">
        <v>980</v>
      </c>
      <c r="N32" t="s">
        <v>980</v>
      </c>
      <c r="O32" t="s">
        <v>979</v>
      </c>
      <c r="P32" t="s">
        <v>979</v>
      </c>
      <c r="Q32" t="s">
        <v>978</v>
      </c>
      <c r="R32" t="s">
        <v>980</v>
      </c>
      <c r="S32" t="s">
        <v>980</v>
      </c>
      <c r="T32" t="s">
        <v>979</v>
      </c>
      <c r="U32" t="s">
        <v>980</v>
      </c>
      <c r="V32" t="s">
        <v>978</v>
      </c>
      <c r="W32" t="s">
        <v>980</v>
      </c>
      <c r="X32" t="s">
        <v>979</v>
      </c>
      <c r="Y32" t="s">
        <v>980</v>
      </c>
      <c r="Z32" t="s">
        <v>980</v>
      </c>
      <c r="AA32" t="s">
        <v>980</v>
      </c>
      <c r="AB32" t="s">
        <v>980</v>
      </c>
      <c r="AC32" t="s">
        <v>980</v>
      </c>
      <c r="AD32" t="s">
        <v>981</v>
      </c>
      <c r="AE32" t="s">
        <v>978</v>
      </c>
      <c r="AF32" t="s">
        <v>979</v>
      </c>
      <c r="AG32" t="s">
        <v>980</v>
      </c>
      <c r="AH32" t="e">
        <v>#N/A</v>
      </c>
      <c r="AI32" t="s">
        <v>979</v>
      </c>
      <c r="AJ32" t="s">
        <v>981</v>
      </c>
      <c r="AK32" t="s">
        <v>978</v>
      </c>
      <c r="AL32" t="s">
        <v>980</v>
      </c>
      <c r="AM32" t="s">
        <v>980</v>
      </c>
      <c r="AN32" t="s">
        <v>980</v>
      </c>
      <c r="AO32" t="s">
        <v>980</v>
      </c>
      <c r="AP32" t="s">
        <v>981</v>
      </c>
      <c r="AQ32" t="s">
        <v>978</v>
      </c>
      <c r="AR32" t="s">
        <v>978</v>
      </c>
    </row>
    <row r="33" spans="1:44" x14ac:dyDescent="0.3">
      <c r="A33">
        <v>1950</v>
      </c>
      <c r="B33" t="s">
        <v>978</v>
      </c>
      <c r="C33" t="s">
        <v>978</v>
      </c>
      <c r="D33" t="s">
        <v>980</v>
      </c>
      <c r="E33" t="s">
        <v>978</v>
      </c>
      <c r="F33" t="s">
        <v>978</v>
      </c>
      <c r="G33" t="s">
        <v>979</v>
      </c>
      <c r="H33" t="s">
        <v>978</v>
      </c>
      <c r="I33" t="s">
        <v>979</v>
      </c>
      <c r="J33" t="s">
        <v>980</v>
      </c>
      <c r="K33" t="s">
        <v>978</v>
      </c>
      <c r="L33" t="s">
        <v>978</v>
      </c>
      <c r="M33" t="s">
        <v>978</v>
      </c>
      <c r="N33" t="s">
        <v>978</v>
      </c>
      <c r="O33" t="s">
        <v>978</v>
      </c>
      <c r="P33" t="s">
        <v>979</v>
      </c>
      <c r="Q33" t="s">
        <v>980</v>
      </c>
      <c r="R33" t="s">
        <v>980</v>
      </c>
      <c r="S33" t="s">
        <v>981</v>
      </c>
      <c r="T33" t="s">
        <v>978</v>
      </c>
      <c r="U33" t="s">
        <v>980</v>
      </c>
      <c r="V33" t="s">
        <v>981</v>
      </c>
      <c r="W33" t="s">
        <v>981</v>
      </c>
      <c r="X33" t="s">
        <v>978</v>
      </c>
      <c r="Y33" t="s">
        <v>981</v>
      </c>
      <c r="Z33" t="s">
        <v>978</v>
      </c>
      <c r="AA33" t="s">
        <v>980</v>
      </c>
      <c r="AB33" t="s">
        <v>980</v>
      </c>
      <c r="AC33" t="s">
        <v>978</v>
      </c>
      <c r="AD33" t="s">
        <v>978</v>
      </c>
      <c r="AE33" t="s">
        <v>978</v>
      </c>
      <c r="AF33" t="s">
        <v>978</v>
      </c>
      <c r="AG33" t="s">
        <v>981</v>
      </c>
      <c r="AH33" t="e">
        <v>#N/A</v>
      </c>
      <c r="AI33" t="s">
        <v>981</v>
      </c>
      <c r="AJ33" t="s">
        <v>981</v>
      </c>
      <c r="AK33" t="s">
        <v>981</v>
      </c>
      <c r="AL33" t="s">
        <v>978</v>
      </c>
      <c r="AM33" t="s">
        <v>981</v>
      </c>
      <c r="AN33" t="s">
        <v>981</v>
      </c>
      <c r="AO33" t="s">
        <v>978</v>
      </c>
      <c r="AP33" t="s">
        <v>978</v>
      </c>
      <c r="AQ33" t="s">
        <v>978</v>
      </c>
      <c r="AR33" t="s">
        <v>978</v>
      </c>
    </row>
    <row r="34" spans="1:44" x14ac:dyDescent="0.3">
      <c r="A34">
        <v>1951</v>
      </c>
      <c r="B34" t="s">
        <v>981</v>
      </c>
      <c r="C34" t="s">
        <v>978</v>
      </c>
      <c r="D34" t="s">
        <v>981</v>
      </c>
      <c r="E34" t="s">
        <v>978</v>
      </c>
      <c r="F34" t="s">
        <v>978</v>
      </c>
      <c r="G34" t="s">
        <v>980</v>
      </c>
      <c r="H34" t="s">
        <v>980</v>
      </c>
      <c r="I34" t="s">
        <v>978</v>
      </c>
      <c r="J34" t="s">
        <v>981</v>
      </c>
      <c r="K34" t="s">
        <v>978</v>
      </c>
      <c r="L34" t="s">
        <v>980</v>
      </c>
      <c r="M34" t="s">
        <v>981</v>
      </c>
      <c r="N34" t="s">
        <v>979</v>
      </c>
      <c r="O34" t="s">
        <v>980</v>
      </c>
      <c r="P34" t="s">
        <v>978</v>
      </c>
      <c r="Q34" t="s">
        <v>981</v>
      </c>
      <c r="R34" t="s">
        <v>981</v>
      </c>
      <c r="S34" t="s">
        <v>980</v>
      </c>
      <c r="T34" t="s">
        <v>978</v>
      </c>
      <c r="U34" t="s">
        <v>978</v>
      </c>
      <c r="V34" t="s">
        <v>980</v>
      </c>
      <c r="W34" t="s">
        <v>980</v>
      </c>
      <c r="X34" t="s">
        <v>978</v>
      </c>
      <c r="Y34" t="s">
        <v>978</v>
      </c>
      <c r="Z34" t="s">
        <v>982</v>
      </c>
      <c r="AA34" t="s">
        <v>979</v>
      </c>
      <c r="AB34" t="s">
        <v>979</v>
      </c>
      <c r="AC34" t="s">
        <v>979</v>
      </c>
      <c r="AD34" t="s">
        <v>979</v>
      </c>
      <c r="AE34" t="s">
        <v>978</v>
      </c>
      <c r="AF34" t="s">
        <v>979</v>
      </c>
      <c r="AG34" t="s">
        <v>979</v>
      </c>
      <c r="AH34" t="e">
        <v>#N/A</v>
      </c>
      <c r="AI34" t="s">
        <v>978</v>
      </c>
      <c r="AJ34" t="s">
        <v>979</v>
      </c>
      <c r="AK34" t="s">
        <v>978</v>
      </c>
      <c r="AL34" t="s">
        <v>982</v>
      </c>
      <c r="AM34" t="s">
        <v>979</v>
      </c>
      <c r="AN34" t="s">
        <v>978</v>
      </c>
      <c r="AO34" t="s">
        <v>979</v>
      </c>
      <c r="AP34" t="s">
        <v>979</v>
      </c>
      <c r="AQ34" t="s">
        <v>979</v>
      </c>
      <c r="AR34" t="s">
        <v>979</v>
      </c>
    </row>
    <row r="35" spans="1:44" x14ac:dyDescent="0.3">
      <c r="A35">
        <v>1952</v>
      </c>
      <c r="B35" t="s">
        <v>980</v>
      </c>
      <c r="C35" t="s">
        <v>979</v>
      </c>
      <c r="D35" t="s">
        <v>980</v>
      </c>
      <c r="E35" t="s">
        <v>978</v>
      </c>
      <c r="F35" t="s">
        <v>979</v>
      </c>
      <c r="G35" t="s">
        <v>980</v>
      </c>
      <c r="H35" t="s">
        <v>980</v>
      </c>
      <c r="I35" t="s">
        <v>980</v>
      </c>
      <c r="J35" t="s">
        <v>980</v>
      </c>
      <c r="K35" t="s">
        <v>979</v>
      </c>
      <c r="L35" t="s">
        <v>978</v>
      </c>
      <c r="M35" t="s">
        <v>980</v>
      </c>
      <c r="N35" t="s">
        <v>978</v>
      </c>
      <c r="O35" t="s">
        <v>979</v>
      </c>
      <c r="P35" t="s">
        <v>982</v>
      </c>
      <c r="Q35" t="s">
        <v>979</v>
      </c>
      <c r="R35" t="s">
        <v>978</v>
      </c>
      <c r="S35" t="s">
        <v>979</v>
      </c>
      <c r="T35" t="s">
        <v>982</v>
      </c>
      <c r="U35" t="s">
        <v>979</v>
      </c>
      <c r="V35" t="s">
        <v>982</v>
      </c>
      <c r="W35" t="s">
        <v>982</v>
      </c>
      <c r="X35" t="s">
        <v>979</v>
      </c>
      <c r="Y35" t="s">
        <v>979</v>
      </c>
      <c r="Z35" t="s">
        <v>980</v>
      </c>
      <c r="AA35" t="s">
        <v>979</v>
      </c>
      <c r="AB35" t="s">
        <v>978</v>
      </c>
      <c r="AC35" t="s">
        <v>979</v>
      </c>
      <c r="AD35" t="s">
        <v>979</v>
      </c>
      <c r="AE35" t="s">
        <v>982</v>
      </c>
      <c r="AF35" t="s">
        <v>982</v>
      </c>
      <c r="AG35" t="s">
        <v>982</v>
      </c>
      <c r="AH35" t="e">
        <v>#N/A</v>
      </c>
      <c r="AI35" t="s">
        <v>979</v>
      </c>
      <c r="AJ35" t="s">
        <v>982</v>
      </c>
      <c r="AK35" t="s">
        <v>982</v>
      </c>
      <c r="AL35" t="s">
        <v>982</v>
      </c>
      <c r="AM35" t="s">
        <v>982</v>
      </c>
      <c r="AN35" t="s">
        <v>982</v>
      </c>
      <c r="AO35" t="s">
        <v>982</v>
      </c>
      <c r="AP35" t="s">
        <v>982</v>
      </c>
      <c r="AQ35" t="s">
        <v>982</v>
      </c>
      <c r="AR35" t="s">
        <v>982</v>
      </c>
    </row>
    <row r="36" spans="1:44" x14ac:dyDescent="0.3">
      <c r="A36">
        <v>1953</v>
      </c>
      <c r="B36" t="s">
        <v>979</v>
      </c>
      <c r="C36" t="s">
        <v>980</v>
      </c>
      <c r="D36" t="s">
        <v>979</v>
      </c>
      <c r="E36" t="s">
        <v>981</v>
      </c>
      <c r="F36" t="s">
        <v>980</v>
      </c>
      <c r="G36" t="s">
        <v>978</v>
      </c>
      <c r="H36" t="s">
        <v>979</v>
      </c>
      <c r="I36" t="s">
        <v>978</v>
      </c>
      <c r="J36" t="s">
        <v>979</v>
      </c>
      <c r="K36" t="s">
        <v>980</v>
      </c>
      <c r="L36" t="s">
        <v>980</v>
      </c>
      <c r="M36" t="s">
        <v>979</v>
      </c>
      <c r="N36" t="s">
        <v>980</v>
      </c>
      <c r="O36" t="s">
        <v>980</v>
      </c>
      <c r="P36" t="s">
        <v>978</v>
      </c>
      <c r="Q36" t="s">
        <v>981</v>
      </c>
      <c r="R36" t="s">
        <v>980</v>
      </c>
      <c r="S36" t="s">
        <v>980</v>
      </c>
      <c r="T36" t="s">
        <v>978</v>
      </c>
      <c r="U36" t="s">
        <v>981</v>
      </c>
      <c r="V36" t="s">
        <v>980</v>
      </c>
      <c r="W36" t="s">
        <v>978</v>
      </c>
      <c r="X36" t="s">
        <v>981</v>
      </c>
      <c r="Y36" t="s">
        <v>981</v>
      </c>
      <c r="Z36" t="s">
        <v>981</v>
      </c>
      <c r="AA36" t="s">
        <v>981</v>
      </c>
      <c r="AB36" t="s">
        <v>980</v>
      </c>
      <c r="AC36" t="s">
        <v>980</v>
      </c>
      <c r="AD36" t="s">
        <v>981</v>
      </c>
      <c r="AE36" t="s">
        <v>981</v>
      </c>
      <c r="AF36" t="s">
        <v>981</v>
      </c>
      <c r="AG36" t="s">
        <v>981</v>
      </c>
      <c r="AH36" t="e">
        <v>#N/A</v>
      </c>
      <c r="AI36" t="s">
        <v>981</v>
      </c>
      <c r="AJ36" t="s">
        <v>981</v>
      </c>
      <c r="AK36" t="s">
        <v>981</v>
      </c>
      <c r="AL36" t="s">
        <v>981</v>
      </c>
      <c r="AM36" t="s">
        <v>981</v>
      </c>
      <c r="AN36" t="s">
        <v>981</v>
      </c>
      <c r="AO36" t="s">
        <v>981</v>
      </c>
      <c r="AP36" t="s">
        <v>981</v>
      </c>
      <c r="AQ36" t="s">
        <v>981</v>
      </c>
      <c r="AR36" t="s">
        <v>981</v>
      </c>
    </row>
    <row r="37" spans="1:44" x14ac:dyDescent="0.3">
      <c r="A37">
        <v>1954</v>
      </c>
      <c r="B37" t="s">
        <v>978</v>
      </c>
      <c r="C37" t="s">
        <v>979</v>
      </c>
      <c r="D37" t="s">
        <v>979</v>
      </c>
      <c r="E37" t="s">
        <v>979</v>
      </c>
      <c r="F37" t="s">
        <v>982</v>
      </c>
      <c r="G37" t="s">
        <v>979</v>
      </c>
      <c r="H37" t="s">
        <v>979</v>
      </c>
      <c r="I37" t="s">
        <v>982</v>
      </c>
      <c r="J37" t="s">
        <v>978</v>
      </c>
      <c r="K37" t="s">
        <v>979</v>
      </c>
      <c r="L37" t="s">
        <v>979</v>
      </c>
      <c r="M37" t="s">
        <v>979</v>
      </c>
      <c r="N37" t="s">
        <v>979</v>
      </c>
      <c r="O37" t="s">
        <v>979</v>
      </c>
      <c r="P37" t="s">
        <v>979</v>
      </c>
      <c r="Q37" t="s">
        <v>978</v>
      </c>
      <c r="R37" t="s">
        <v>980</v>
      </c>
      <c r="S37" t="s">
        <v>978</v>
      </c>
      <c r="T37" t="s">
        <v>979</v>
      </c>
      <c r="U37" t="s">
        <v>979</v>
      </c>
      <c r="V37" t="s">
        <v>979</v>
      </c>
      <c r="W37" t="s">
        <v>979</v>
      </c>
      <c r="X37" t="s">
        <v>979</v>
      </c>
      <c r="Y37" t="s">
        <v>979</v>
      </c>
      <c r="Z37" t="s">
        <v>978</v>
      </c>
      <c r="AA37" t="s">
        <v>979</v>
      </c>
      <c r="AB37" t="s">
        <v>979</v>
      </c>
      <c r="AC37" t="s">
        <v>979</v>
      </c>
      <c r="AD37" t="s">
        <v>979</v>
      </c>
      <c r="AE37" t="s">
        <v>979</v>
      </c>
      <c r="AF37" t="s">
        <v>979</v>
      </c>
      <c r="AG37" t="s">
        <v>979</v>
      </c>
      <c r="AH37" t="e">
        <v>#N/A</v>
      </c>
      <c r="AI37" t="s">
        <v>980</v>
      </c>
      <c r="AJ37" t="s">
        <v>979</v>
      </c>
      <c r="AK37" t="s">
        <v>979</v>
      </c>
      <c r="AL37" t="s">
        <v>982</v>
      </c>
      <c r="AM37" t="s">
        <v>979</v>
      </c>
      <c r="AN37" t="s">
        <v>979</v>
      </c>
      <c r="AO37" t="s">
        <v>982</v>
      </c>
      <c r="AP37" t="s">
        <v>982</v>
      </c>
      <c r="AQ37" t="s">
        <v>982</v>
      </c>
      <c r="AR37" t="s">
        <v>979</v>
      </c>
    </row>
    <row r="38" spans="1:44" x14ac:dyDescent="0.3">
      <c r="A38">
        <v>1955</v>
      </c>
      <c r="B38" t="s">
        <v>981</v>
      </c>
      <c r="C38" t="s">
        <v>978</v>
      </c>
      <c r="D38" t="s">
        <v>981</v>
      </c>
      <c r="E38" t="s">
        <v>980</v>
      </c>
      <c r="F38" t="s">
        <v>978</v>
      </c>
      <c r="G38" t="s">
        <v>981</v>
      </c>
      <c r="H38" t="s">
        <v>980</v>
      </c>
      <c r="I38" t="s">
        <v>981</v>
      </c>
      <c r="J38" t="s">
        <v>980</v>
      </c>
      <c r="K38" t="s">
        <v>978</v>
      </c>
      <c r="L38" t="s">
        <v>980</v>
      </c>
      <c r="M38" t="s">
        <v>981</v>
      </c>
      <c r="N38" t="s">
        <v>978</v>
      </c>
      <c r="O38" t="s">
        <v>982</v>
      </c>
      <c r="P38" t="s">
        <v>982</v>
      </c>
      <c r="Q38" t="s">
        <v>978</v>
      </c>
      <c r="R38" t="s">
        <v>979</v>
      </c>
      <c r="S38" t="s">
        <v>978</v>
      </c>
      <c r="T38" t="s">
        <v>979</v>
      </c>
      <c r="U38" t="s">
        <v>979</v>
      </c>
      <c r="V38" t="s">
        <v>979</v>
      </c>
      <c r="W38" t="s">
        <v>979</v>
      </c>
      <c r="X38" t="s">
        <v>979</v>
      </c>
      <c r="Y38" t="s">
        <v>978</v>
      </c>
      <c r="Z38" t="s">
        <v>980</v>
      </c>
      <c r="AA38" t="s">
        <v>978</v>
      </c>
      <c r="AB38" t="s">
        <v>980</v>
      </c>
      <c r="AC38" t="s">
        <v>980</v>
      </c>
      <c r="AD38" t="s">
        <v>978</v>
      </c>
      <c r="AE38" t="s">
        <v>979</v>
      </c>
      <c r="AF38" t="s">
        <v>982</v>
      </c>
      <c r="AG38" t="s">
        <v>979</v>
      </c>
      <c r="AH38" t="e">
        <v>#N/A</v>
      </c>
      <c r="AI38" t="s">
        <v>979</v>
      </c>
      <c r="AJ38" t="s">
        <v>979</v>
      </c>
      <c r="AK38" t="s">
        <v>979</v>
      </c>
      <c r="AL38" t="s">
        <v>979</v>
      </c>
      <c r="AM38" t="s">
        <v>978</v>
      </c>
      <c r="AN38" t="s">
        <v>978</v>
      </c>
      <c r="AO38" t="s">
        <v>979</v>
      </c>
      <c r="AP38" t="s">
        <v>979</v>
      </c>
      <c r="AQ38" t="s">
        <v>979</v>
      </c>
      <c r="AR38" t="s">
        <v>979</v>
      </c>
    </row>
    <row r="39" spans="1:44" x14ac:dyDescent="0.3">
      <c r="A39">
        <v>1956</v>
      </c>
      <c r="B39" t="s">
        <v>981</v>
      </c>
      <c r="C39" t="s">
        <v>980</v>
      </c>
      <c r="D39" t="s">
        <v>981</v>
      </c>
      <c r="E39" t="s">
        <v>980</v>
      </c>
      <c r="F39" t="s">
        <v>980</v>
      </c>
      <c r="G39" t="s">
        <v>981</v>
      </c>
      <c r="H39" t="s">
        <v>980</v>
      </c>
      <c r="I39" t="s">
        <v>981</v>
      </c>
      <c r="J39" t="s">
        <v>980</v>
      </c>
      <c r="K39" t="s">
        <v>980</v>
      </c>
      <c r="L39" t="s">
        <v>980</v>
      </c>
      <c r="M39" t="s">
        <v>981</v>
      </c>
      <c r="N39" t="s">
        <v>980</v>
      </c>
      <c r="O39" t="s">
        <v>979</v>
      </c>
      <c r="P39" t="s">
        <v>979</v>
      </c>
      <c r="Q39" t="s">
        <v>980</v>
      </c>
      <c r="R39" t="s">
        <v>981</v>
      </c>
      <c r="S39" t="s">
        <v>978</v>
      </c>
      <c r="T39" t="s">
        <v>979</v>
      </c>
      <c r="U39" t="s">
        <v>981</v>
      </c>
      <c r="V39" t="s">
        <v>978</v>
      </c>
      <c r="W39" t="s">
        <v>978</v>
      </c>
      <c r="X39" t="s">
        <v>980</v>
      </c>
      <c r="Y39" t="s">
        <v>981</v>
      </c>
      <c r="Z39" t="s">
        <v>981</v>
      </c>
      <c r="AA39" t="s">
        <v>980</v>
      </c>
      <c r="AB39" t="s">
        <v>981</v>
      </c>
      <c r="AC39" t="s">
        <v>980</v>
      </c>
      <c r="AD39" t="s">
        <v>980</v>
      </c>
      <c r="AE39" t="s">
        <v>980</v>
      </c>
      <c r="AF39" t="s">
        <v>980</v>
      </c>
      <c r="AG39" t="s">
        <v>980</v>
      </c>
      <c r="AH39" t="e">
        <v>#N/A</v>
      </c>
      <c r="AI39" t="s">
        <v>981</v>
      </c>
      <c r="AJ39" t="s">
        <v>980</v>
      </c>
      <c r="AK39" t="s">
        <v>981</v>
      </c>
      <c r="AL39" t="s">
        <v>981</v>
      </c>
      <c r="AM39" t="s">
        <v>981</v>
      </c>
      <c r="AN39" t="s">
        <v>981</v>
      </c>
      <c r="AO39" t="s">
        <v>981</v>
      </c>
      <c r="AP39" t="s">
        <v>981</v>
      </c>
      <c r="AQ39" t="s">
        <v>981</v>
      </c>
      <c r="AR39" t="s">
        <v>980</v>
      </c>
    </row>
    <row r="40" spans="1:44" x14ac:dyDescent="0.3">
      <c r="A40">
        <v>1957</v>
      </c>
      <c r="B40" t="s">
        <v>982</v>
      </c>
      <c r="C40" t="s">
        <v>982</v>
      </c>
      <c r="D40" t="s">
        <v>982</v>
      </c>
      <c r="E40" t="s">
        <v>982</v>
      </c>
      <c r="F40" t="s">
        <v>982</v>
      </c>
      <c r="G40" t="s">
        <v>979</v>
      </c>
      <c r="H40" t="s">
        <v>982</v>
      </c>
      <c r="I40" t="s">
        <v>982</v>
      </c>
      <c r="J40" t="s">
        <v>982</v>
      </c>
      <c r="K40" t="s">
        <v>982</v>
      </c>
      <c r="L40" t="s">
        <v>982</v>
      </c>
      <c r="M40" t="s">
        <v>982</v>
      </c>
      <c r="N40" t="s">
        <v>982</v>
      </c>
      <c r="O40" t="s">
        <v>982</v>
      </c>
      <c r="P40" t="s">
        <v>982</v>
      </c>
      <c r="Q40" t="s">
        <v>982</v>
      </c>
      <c r="R40" t="s">
        <v>979</v>
      </c>
      <c r="S40" t="s">
        <v>982</v>
      </c>
      <c r="T40" t="s">
        <v>982</v>
      </c>
      <c r="U40" t="s">
        <v>982</v>
      </c>
      <c r="V40" t="s">
        <v>982</v>
      </c>
      <c r="W40" t="s">
        <v>982</v>
      </c>
      <c r="X40" t="s">
        <v>982</v>
      </c>
      <c r="Y40" t="s">
        <v>982</v>
      </c>
      <c r="Z40" t="s">
        <v>979</v>
      </c>
      <c r="AA40" t="s">
        <v>982</v>
      </c>
      <c r="AB40" t="s">
        <v>982</v>
      </c>
      <c r="AC40" t="s">
        <v>982</v>
      </c>
      <c r="AD40" t="s">
        <v>982</v>
      </c>
      <c r="AE40" t="s">
        <v>982</v>
      </c>
      <c r="AF40" t="s">
        <v>982</v>
      </c>
      <c r="AG40" t="s">
        <v>982</v>
      </c>
      <c r="AH40" t="e">
        <v>#N/A</v>
      </c>
      <c r="AI40" t="s">
        <v>979</v>
      </c>
      <c r="AJ40" t="s">
        <v>982</v>
      </c>
      <c r="AK40" t="s">
        <v>982</v>
      </c>
      <c r="AL40" t="s">
        <v>982</v>
      </c>
      <c r="AM40" t="s">
        <v>982</v>
      </c>
      <c r="AN40" t="s">
        <v>982</v>
      </c>
      <c r="AO40" t="s">
        <v>982</v>
      </c>
      <c r="AP40" t="s">
        <v>982</v>
      </c>
      <c r="AQ40" t="s">
        <v>982</v>
      </c>
      <c r="AR40" t="s">
        <v>982</v>
      </c>
    </row>
    <row r="41" spans="1:44" x14ac:dyDescent="0.3">
      <c r="A41">
        <v>1958</v>
      </c>
      <c r="B41" t="s">
        <v>980</v>
      </c>
      <c r="C41" t="s">
        <v>979</v>
      </c>
      <c r="D41" t="s">
        <v>979</v>
      </c>
      <c r="E41" t="s">
        <v>978</v>
      </c>
      <c r="F41" t="s">
        <v>979</v>
      </c>
      <c r="G41" t="s">
        <v>978</v>
      </c>
      <c r="H41" t="s">
        <v>980</v>
      </c>
      <c r="I41" t="s">
        <v>978</v>
      </c>
      <c r="J41" t="s">
        <v>980</v>
      </c>
      <c r="K41" t="s">
        <v>979</v>
      </c>
      <c r="L41" t="s">
        <v>978</v>
      </c>
      <c r="M41" t="s">
        <v>979</v>
      </c>
      <c r="N41" t="s">
        <v>978</v>
      </c>
      <c r="O41" t="s">
        <v>982</v>
      </c>
      <c r="P41" t="s">
        <v>982</v>
      </c>
      <c r="Q41" t="s">
        <v>978</v>
      </c>
      <c r="R41" t="s">
        <v>979</v>
      </c>
      <c r="S41" t="s">
        <v>979</v>
      </c>
      <c r="T41" t="s">
        <v>979</v>
      </c>
      <c r="U41" t="s">
        <v>979</v>
      </c>
      <c r="V41" t="s">
        <v>982</v>
      </c>
      <c r="W41" t="s">
        <v>982</v>
      </c>
      <c r="X41" t="s">
        <v>979</v>
      </c>
      <c r="Y41" t="s">
        <v>978</v>
      </c>
      <c r="Z41" t="s">
        <v>980</v>
      </c>
      <c r="AA41" t="s">
        <v>978</v>
      </c>
      <c r="AB41" t="s">
        <v>980</v>
      </c>
      <c r="AC41" t="s">
        <v>979</v>
      </c>
      <c r="AD41" t="s">
        <v>980</v>
      </c>
      <c r="AE41" t="s">
        <v>982</v>
      </c>
      <c r="AF41" t="s">
        <v>979</v>
      </c>
      <c r="AG41" t="s">
        <v>982</v>
      </c>
      <c r="AH41" t="e">
        <v>#N/A</v>
      </c>
      <c r="AI41" t="s">
        <v>979</v>
      </c>
      <c r="AJ41" t="s">
        <v>982</v>
      </c>
      <c r="AK41" t="s">
        <v>979</v>
      </c>
      <c r="AL41" t="s">
        <v>979</v>
      </c>
      <c r="AM41" t="s">
        <v>982</v>
      </c>
      <c r="AN41" t="s">
        <v>982</v>
      </c>
      <c r="AO41" t="s">
        <v>979</v>
      </c>
      <c r="AP41" t="s">
        <v>979</v>
      </c>
      <c r="AQ41" t="s">
        <v>979</v>
      </c>
      <c r="AR41" t="s">
        <v>979</v>
      </c>
    </row>
    <row r="42" spans="1:44" x14ac:dyDescent="0.3">
      <c r="A42">
        <v>1959</v>
      </c>
      <c r="B42" t="s">
        <v>981</v>
      </c>
      <c r="C42" t="s">
        <v>981</v>
      </c>
      <c r="D42" t="s">
        <v>981</v>
      </c>
      <c r="E42" t="s">
        <v>981</v>
      </c>
      <c r="F42" t="s">
        <v>981</v>
      </c>
      <c r="G42" t="s">
        <v>981</v>
      </c>
      <c r="H42" t="s">
        <v>981</v>
      </c>
      <c r="I42" t="s">
        <v>981</v>
      </c>
      <c r="J42" t="s">
        <v>981</v>
      </c>
      <c r="K42" t="s">
        <v>981</v>
      </c>
      <c r="L42" t="s">
        <v>981</v>
      </c>
      <c r="M42" t="s">
        <v>981</v>
      </c>
      <c r="N42" t="s">
        <v>981</v>
      </c>
      <c r="O42" t="s">
        <v>981</v>
      </c>
      <c r="P42" t="s">
        <v>981</v>
      </c>
      <c r="Q42" t="s">
        <v>981</v>
      </c>
      <c r="R42" t="s">
        <v>981</v>
      </c>
      <c r="S42" t="s">
        <v>981</v>
      </c>
      <c r="T42" t="s">
        <v>981</v>
      </c>
      <c r="U42" t="s">
        <v>981</v>
      </c>
      <c r="V42" t="s">
        <v>981</v>
      </c>
      <c r="W42" t="s">
        <v>981</v>
      </c>
      <c r="X42" t="s">
        <v>981</v>
      </c>
      <c r="Y42" t="s">
        <v>981</v>
      </c>
      <c r="Z42" t="s">
        <v>981</v>
      </c>
      <c r="AA42" t="s">
        <v>981</v>
      </c>
      <c r="AB42" t="s">
        <v>981</v>
      </c>
      <c r="AC42" t="s">
        <v>981</v>
      </c>
      <c r="AD42" t="s">
        <v>981</v>
      </c>
      <c r="AE42" t="s">
        <v>981</v>
      </c>
      <c r="AF42" t="s">
        <v>981</v>
      </c>
      <c r="AG42" t="s">
        <v>981</v>
      </c>
      <c r="AH42" t="e">
        <v>#N/A</v>
      </c>
      <c r="AI42" t="s">
        <v>981</v>
      </c>
      <c r="AJ42" t="s">
        <v>980</v>
      </c>
      <c r="AK42" t="s">
        <v>981</v>
      </c>
      <c r="AL42" t="s">
        <v>981</v>
      </c>
      <c r="AM42" t="s">
        <v>981</v>
      </c>
      <c r="AN42" t="s">
        <v>980</v>
      </c>
      <c r="AO42" t="s">
        <v>981</v>
      </c>
      <c r="AP42" t="s">
        <v>981</v>
      </c>
      <c r="AQ42" t="s">
        <v>981</v>
      </c>
      <c r="AR42" t="s">
        <v>981</v>
      </c>
    </row>
    <row r="43" spans="1:44" x14ac:dyDescent="0.3">
      <c r="A43">
        <v>1960</v>
      </c>
      <c r="B43" t="s">
        <v>980</v>
      </c>
      <c r="C43" t="s">
        <v>980</v>
      </c>
      <c r="D43" t="s">
        <v>979</v>
      </c>
      <c r="E43" t="s">
        <v>981</v>
      </c>
      <c r="F43" t="s">
        <v>980</v>
      </c>
      <c r="G43" t="s">
        <v>980</v>
      </c>
      <c r="H43" t="s">
        <v>981</v>
      </c>
      <c r="I43" t="s">
        <v>978</v>
      </c>
      <c r="J43" t="s">
        <v>981</v>
      </c>
      <c r="K43" t="s">
        <v>980</v>
      </c>
      <c r="L43" t="s">
        <v>980</v>
      </c>
      <c r="M43" t="s">
        <v>979</v>
      </c>
      <c r="N43" t="s">
        <v>978</v>
      </c>
      <c r="O43" t="s">
        <v>980</v>
      </c>
      <c r="P43" t="s">
        <v>980</v>
      </c>
      <c r="Q43" t="s">
        <v>981</v>
      </c>
      <c r="R43" t="s">
        <v>981</v>
      </c>
      <c r="S43" t="s">
        <v>981</v>
      </c>
      <c r="T43" t="s">
        <v>980</v>
      </c>
      <c r="U43" t="s">
        <v>981</v>
      </c>
      <c r="V43" t="s">
        <v>980</v>
      </c>
      <c r="W43" t="s">
        <v>980</v>
      </c>
      <c r="X43" t="s">
        <v>980</v>
      </c>
      <c r="Y43" t="s">
        <v>981</v>
      </c>
      <c r="Z43" t="s">
        <v>980</v>
      </c>
      <c r="AA43" t="s">
        <v>980</v>
      </c>
      <c r="AB43" t="s">
        <v>980</v>
      </c>
      <c r="AC43" t="s">
        <v>978</v>
      </c>
      <c r="AD43" t="s">
        <v>980</v>
      </c>
      <c r="AE43" t="s">
        <v>979</v>
      </c>
      <c r="AF43" t="s">
        <v>979</v>
      </c>
      <c r="AG43" t="s">
        <v>980</v>
      </c>
      <c r="AH43" t="e">
        <v>#N/A</v>
      </c>
      <c r="AI43" t="s">
        <v>980</v>
      </c>
      <c r="AJ43" t="s">
        <v>980</v>
      </c>
      <c r="AK43" t="s">
        <v>981</v>
      </c>
      <c r="AL43" t="s">
        <v>980</v>
      </c>
      <c r="AM43" t="s">
        <v>981</v>
      </c>
      <c r="AN43" t="s">
        <v>981</v>
      </c>
      <c r="AO43" t="s">
        <v>980</v>
      </c>
      <c r="AP43" t="s">
        <v>980</v>
      </c>
      <c r="AQ43" t="s">
        <v>981</v>
      </c>
      <c r="AR43" t="s">
        <v>980</v>
      </c>
    </row>
    <row r="44" spans="1:44" x14ac:dyDescent="0.3">
      <c r="A44">
        <v>1961</v>
      </c>
      <c r="B44" t="s">
        <v>978</v>
      </c>
      <c r="C44" t="s">
        <v>980</v>
      </c>
      <c r="D44" t="s">
        <v>978</v>
      </c>
      <c r="E44" t="s">
        <v>980</v>
      </c>
      <c r="F44" t="s">
        <v>980</v>
      </c>
      <c r="G44" t="s">
        <v>978</v>
      </c>
      <c r="H44" t="s">
        <v>978</v>
      </c>
      <c r="I44" t="s">
        <v>978</v>
      </c>
      <c r="J44" t="s">
        <v>978</v>
      </c>
      <c r="K44" t="s">
        <v>980</v>
      </c>
      <c r="L44" t="s">
        <v>980</v>
      </c>
      <c r="M44" t="s">
        <v>979</v>
      </c>
      <c r="N44" t="s">
        <v>980</v>
      </c>
      <c r="O44" t="s">
        <v>981</v>
      </c>
      <c r="P44" t="s">
        <v>981</v>
      </c>
      <c r="Q44" t="s">
        <v>981</v>
      </c>
      <c r="R44" t="s">
        <v>980</v>
      </c>
      <c r="S44" t="s">
        <v>981</v>
      </c>
      <c r="T44" t="s">
        <v>981</v>
      </c>
      <c r="U44" t="s">
        <v>980</v>
      </c>
      <c r="V44" t="s">
        <v>980</v>
      </c>
      <c r="W44" t="s">
        <v>981</v>
      </c>
      <c r="X44" t="s">
        <v>980</v>
      </c>
      <c r="Y44" t="s">
        <v>980</v>
      </c>
      <c r="Z44" t="s">
        <v>980</v>
      </c>
      <c r="AA44" t="s">
        <v>980</v>
      </c>
      <c r="AB44" t="s">
        <v>980</v>
      </c>
      <c r="AC44" t="s">
        <v>980</v>
      </c>
      <c r="AD44" t="s">
        <v>980</v>
      </c>
      <c r="AE44" t="s">
        <v>981</v>
      </c>
      <c r="AF44" t="s">
        <v>980</v>
      </c>
      <c r="AG44" t="s">
        <v>980</v>
      </c>
      <c r="AH44" t="e">
        <v>#N/A</v>
      </c>
      <c r="AI44" t="s">
        <v>980</v>
      </c>
      <c r="AJ44" t="s">
        <v>981</v>
      </c>
      <c r="AK44" t="s">
        <v>981</v>
      </c>
      <c r="AL44" t="s">
        <v>981</v>
      </c>
      <c r="AM44" t="s">
        <v>980</v>
      </c>
      <c r="AN44" t="s">
        <v>981</v>
      </c>
      <c r="AO44" t="s">
        <v>981</v>
      </c>
      <c r="AP44" t="s">
        <v>981</v>
      </c>
      <c r="AQ44" t="s">
        <v>981</v>
      </c>
      <c r="AR44" t="s">
        <v>981</v>
      </c>
    </row>
    <row r="45" spans="1:44" x14ac:dyDescent="0.3">
      <c r="A45">
        <v>1962</v>
      </c>
      <c r="B45" t="s">
        <v>980</v>
      </c>
      <c r="C45" t="s">
        <v>978</v>
      </c>
      <c r="D45" t="s">
        <v>980</v>
      </c>
      <c r="E45" t="s">
        <v>978</v>
      </c>
      <c r="F45" t="s">
        <v>978</v>
      </c>
      <c r="G45" t="s">
        <v>978</v>
      </c>
      <c r="H45" t="s">
        <v>980</v>
      </c>
      <c r="I45" t="s">
        <v>978</v>
      </c>
      <c r="J45" t="s">
        <v>978</v>
      </c>
      <c r="K45" t="s">
        <v>978</v>
      </c>
      <c r="L45" t="s">
        <v>978</v>
      </c>
      <c r="M45" t="s">
        <v>980</v>
      </c>
      <c r="N45" t="s">
        <v>978</v>
      </c>
      <c r="O45" t="s">
        <v>980</v>
      </c>
      <c r="P45" t="s">
        <v>978</v>
      </c>
      <c r="Q45" t="s">
        <v>980</v>
      </c>
      <c r="R45" t="s">
        <v>978</v>
      </c>
      <c r="S45" t="s">
        <v>980</v>
      </c>
      <c r="T45" t="s">
        <v>980</v>
      </c>
      <c r="U45" t="s">
        <v>978</v>
      </c>
      <c r="V45" t="s">
        <v>980</v>
      </c>
      <c r="W45" t="s">
        <v>980</v>
      </c>
      <c r="X45" t="s">
        <v>978</v>
      </c>
      <c r="Y45" t="s">
        <v>978</v>
      </c>
      <c r="Z45" t="s">
        <v>978</v>
      </c>
      <c r="AA45" t="s">
        <v>979</v>
      </c>
      <c r="AB45" t="s">
        <v>978</v>
      </c>
      <c r="AC45" t="s">
        <v>978</v>
      </c>
      <c r="AD45" t="s">
        <v>978</v>
      </c>
      <c r="AE45" t="s">
        <v>978</v>
      </c>
      <c r="AF45" t="s">
        <v>979</v>
      </c>
      <c r="AG45" t="s">
        <v>978</v>
      </c>
      <c r="AH45" t="e">
        <v>#N/A</v>
      </c>
      <c r="AI45" t="s">
        <v>980</v>
      </c>
      <c r="AJ45" t="s">
        <v>980</v>
      </c>
      <c r="AK45" t="s">
        <v>981</v>
      </c>
      <c r="AL45" t="s">
        <v>978</v>
      </c>
      <c r="AM45" t="s">
        <v>980</v>
      </c>
      <c r="AN45" t="s">
        <v>978</v>
      </c>
      <c r="AO45" t="s">
        <v>980</v>
      </c>
      <c r="AP45" t="s">
        <v>978</v>
      </c>
      <c r="AQ45" t="s">
        <v>980</v>
      </c>
      <c r="AR45" t="s">
        <v>978</v>
      </c>
    </row>
    <row r="46" spans="1:44" x14ac:dyDescent="0.3">
      <c r="A46">
        <v>1963</v>
      </c>
      <c r="B46" t="s">
        <v>982</v>
      </c>
      <c r="C46" t="s">
        <v>982</v>
      </c>
      <c r="D46" t="s">
        <v>982</v>
      </c>
      <c r="E46" t="s">
        <v>982</v>
      </c>
      <c r="F46" t="s">
        <v>982</v>
      </c>
      <c r="G46" t="s">
        <v>982</v>
      </c>
      <c r="H46" t="s">
        <v>982</v>
      </c>
      <c r="I46" t="s">
        <v>982</v>
      </c>
      <c r="J46" t="s">
        <v>982</v>
      </c>
      <c r="K46" t="s">
        <v>982</v>
      </c>
      <c r="L46" t="s">
        <v>982</v>
      </c>
      <c r="M46" t="s">
        <v>982</v>
      </c>
      <c r="N46" t="s">
        <v>982</v>
      </c>
      <c r="O46" t="s">
        <v>982</v>
      </c>
      <c r="P46" t="s">
        <v>982</v>
      </c>
      <c r="Q46" t="s">
        <v>982</v>
      </c>
      <c r="R46" t="s">
        <v>982</v>
      </c>
      <c r="S46" t="s">
        <v>982</v>
      </c>
      <c r="T46" t="s">
        <v>982</v>
      </c>
      <c r="U46" t="s">
        <v>982</v>
      </c>
      <c r="V46" t="s">
        <v>982</v>
      </c>
      <c r="W46" t="s">
        <v>982</v>
      </c>
      <c r="X46" t="s">
        <v>982</v>
      </c>
      <c r="Y46" t="s">
        <v>982</v>
      </c>
      <c r="Z46" t="s">
        <v>982</v>
      </c>
      <c r="AA46" t="s">
        <v>982</v>
      </c>
      <c r="AB46" t="s">
        <v>982</v>
      </c>
      <c r="AC46" t="s">
        <v>982</v>
      </c>
      <c r="AD46" t="s">
        <v>982</v>
      </c>
      <c r="AE46" t="s">
        <v>982</v>
      </c>
      <c r="AF46" t="s">
        <v>982</v>
      </c>
      <c r="AG46" t="s">
        <v>982</v>
      </c>
      <c r="AH46" t="e">
        <v>#N/A</v>
      </c>
      <c r="AI46" t="s">
        <v>982</v>
      </c>
      <c r="AJ46" t="s">
        <v>982</v>
      </c>
      <c r="AK46" t="s">
        <v>982</v>
      </c>
      <c r="AL46" t="s">
        <v>982</v>
      </c>
      <c r="AM46" t="s">
        <v>982</v>
      </c>
      <c r="AN46" t="s">
        <v>982</v>
      </c>
      <c r="AO46" t="s">
        <v>982</v>
      </c>
      <c r="AP46" t="s">
        <v>982</v>
      </c>
      <c r="AQ46" t="s">
        <v>979</v>
      </c>
      <c r="AR46" t="s">
        <v>982</v>
      </c>
    </row>
    <row r="47" spans="1:44" x14ac:dyDescent="0.3">
      <c r="A47">
        <v>1964</v>
      </c>
      <c r="B47" t="s">
        <v>978</v>
      </c>
      <c r="C47" t="s">
        <v>978</v>
      </c>
      <c r="D47" t="s">
        <v>981</v>
      </c>
      <c r="E47" t="s">
        <v>978</v>
      </c>
      <c r="F47" t="s">
        <v>978</v>
      </c>
      <c r="G47" t="s">
        <v>980</v>
      </c>
      <c r="H47" t="s">
        <v>979</v>
      </c>
      <c r="I47" t="s">
        <v>980</v>
      </c>
      <c r="J47" t="s">
        <v>979</v>
      </c>
      <c r="K47" t="s">
        <v>978</v>
      </c>
      <c r="L47" t="s">
        <v>978</v>
      </c>
      <c r="M47" t="s">
        <v>981</v>
      </c>
      <c r="N47" t="s">
        <v>978</v>
      </c>
      <c r="O47" t="s">
        <v>978</v>
      </c>
      <c r="P47" t="s">
        <v>979</v>
      </c>
      <c r="Q47" t="s">
        <v>978</v>
      </c>
      <c r="R47" t="s">
        <v>978</v>
      </c>
      <c r="S47" t="s">
        <v>979</v>
      </c>
      <c r="T47" t="s">
        <v>979</v>
      </c>
      <c r="U47" t="s">
        <v>979</v>
      </c>
      <c r="V47" t="s">
        <v>979</v>
      </c>
      <c r="W47" t="s">
        <v>979</v>
      </c>
      <c r="X47" t="s">
        <v>978</v>
      </c>
      <c r="Y47" t="s">
        <v>979</v>
      </c>
      <c r="Z47" t="s">
        <v>979</v>
      </c>
      <c r="AA47" t="s">
        <v>979</v>
      </c>
      <c r="AB47" t="s">
        <v>978</v>
      </c>
      <c r="AC47" t="s">
        <v>979</v>
      </c>
      <c r="AD47" t="s">
        <v>978</v>
      </c>
      <c r="AE47" t="s">
        <v>979</v>
      </c>
      <c r="AF47" t="s">
        <v>982</v>
      </c>
      <c r="AG47" t="s">
        <v>979</v>
      </c>
      <c r="AH47" t="e">
        <v>#N/A</v>
      </c>
      <c r="AI47" t="s">
        <v>979</v>
      </c>
      <c r="AJ47" t="s">
        <v>979</v>
      </c>
      <c r="AK47" t="s">
        <v>978</v>
      </c>
      <c r="AL47" t="s">
        <v>979</v>
      </c>
      <c r="AM47" t="s">
        <v>978</v>
      </c>
      <c r="AN47" t="s">
        <v>979</v>
      </c>
      <c r="AO47" t="s">
        <v>979</v>
      </c>
      <c r="AP47" t="s">
        <v>979</v>
      </c>
      <c r="AQ47" t="s">
        <v>978</v>
      </c>
      <c r="AR47" t="s">
        <v>979</v>
      </c>
    </row>
    <row r="48" spans="1:44" x14ac:dyDescent="0.3">
      <c r="A48">
        <v>1965</v>
      </c>
      <c r="B48" t="s">
        <v>979</v>
      </c>
      <c r="C48" t="s">
        <v>982</v>
      </c>
      <c r="D48" t="s">
        <v>980</v>
      </c>
      <c r="E48" t="s">
        <v>982</v>
      </c>
      <c r="F48" t="s">
        <v>979</v>
      </c>
      <c r="G48" t="s">
        <v>978</v>
      </c>
      <c r="H48" t="s">
        <v>982</v>
      </c>
      <c r="I48" t="s">
        <v>979</v>
      </c>
      <c r="J48" t="s">
        <v>979</v>
      </c>
      <c r="K48" t="s">
        <v>982</v>
      </c>
      <c r="L48" t="s">
        <v>982</v>
      </c>
      <c r="M48" t="s">
        <v>980</v>
      </c>
      <c r="N48" t="s">
        <v>979</v>
      </c>
      <c r="O48" t="s">
        <v>982</v>
      </c>
      <c r="P48" t="s">
        <v>982</v>
      </c>
      <c r="Q48" t="s">
        <v>979</v>
      </c>
      <c r="R48" t="s">
        <v>979</v>
      </c>
      <c r="S48" t="s">
        <v>979</v>
      </c>
      <c r="T48" t="s">
        <v>979</v>
      </c>
      <c r="U48" t="s">
        <v>979</v>
      </c>
      <c r="V48" t="s">
        <v>982</v>
      </c>
      <c r="W48" t="s">
        <v>982</v>
      </c>
      <c r="X48" t="s">
        <v>982</v>
      </c>
      <c r="Y48" t="s">
        <v>979</v>
      </c>
      <c r="Z48" t="s">
        <v>979</v>
      </c>
      <c r="AA48" t="s">
        <v>979</v>
      </c>
      <c r="AB48" t="s">
        <v>979</v>
      </c>
      <c r="AC48" t="s">
        <v>982</v>
      </c>
      <c r="AD48" t="s">
        <v>982</v>
      </c>
      <c r="AE48" t="s">
        <v>979</v>
      </c>
      <c r="AF48" t="s">
        <v>982</v>
      </c>
      <c r="AG48" t="s">
        <v>982</v>
      </c>
      <c r="AH48" t="e">
        <v>#N/A</v>
      </c>
      <c r="AI48" t="s">
        <v>982</v>
      </c>
      <c r="AJ48" t="s">
        <v>982</v>
      </c>
      <c r="AK48" t="s">
        <v>979</v>
      </c>
      <c r="AL48" t="s">
        <v>982</v>
      </c>
      <c r="AM48" t="s">
        <v>982</v>
      </c>
      <c r="AN48" t="s">
        <v>982</v>
      </c>
      <c r="AO48" t="s">
        <v>979</v>
      </c>
      <c r="AP48" t="s">
        <v>982</v>
      </c>
      <c r="AQ48" t="s">
        <v>979</v>
      </c>
      <c r="AR48" t="s">
        <v>979</v>
      </c>
    </row>
    <row r="49" spans="1:44" x14ac:dyDescent="0.3">
      <c r="A49">
        <v>1966</v>
      </c>
      <c r="B49" t="s">
        <v>981</v>
      </c>
      <c r="C49" t="s">
        <v>981</v>
      </c>
      <c r="D49" t="s">
        <v>981</v>
      </c>
      <c r="E49" t="s">
        <v>981</v>
      </c>
      <c r="F49" t="s">
        <v>981</v>
      </c>
      <c r="G49" t="s">
        <v>981</v>
      </c>
      <c r="H49" t="s">
        <v>981</v>
      </c>
      <c r="I49" t="s">
        <v>981</v>
      </c>
      <c r="J49" t="s">
        <v>981</v>
      </c>
      <c r="K49" t="s">
        <v>981</v>
      </c>
      <c r="L49" t="s">
        <v>981</v>
      </c>
      <c r="M49" t="s">
        <v>981</v>
      </c>
      <c r="N49" t="s">
        <v>981</v>
      </c>
      <c r="O49" t="s">
        <v>981</v>
      </c>
      <c r="P49" t="s">
        <v>981</v>
      </c>
      <c r="Q49" t="s">
        <v>981</v>
      </c>
      <c r="R49" t="s">
        <v>981</v>
      </c>
      <c r="S49" t="s">
        <v>981</v>
      </c>
      <c r="T49" t="s">
        <v>981</v>
      </c>
      <c r="U49" t="s">
        <v>981</v>
      </c>
      <c r="V49" t="s">
        <v>981</v>
      </c>
      <c r="W49" t="s">
        <v>981</v>
      </c>
      <c r="X49" t="s">
        <v>981</v>
      </c>
      <c r="Y49" t="s">
        <v>981</v>
      </c>
      <c r="Z49" t="s">
        <v>981</v>
      </c>
      <c r="AA49" t="s">
        <v>981</v>
      </c>
      <c r="AB49" t="s">
        <v>981</v>
      </c>
      <c r="AC49" t="s">
        <v>981</v>
      </c>
      <c r="AD49" t="s">
        <v>981</v>
      </c>
      <c r="AE49" t="s">
        <v>981</v>
      </c>
      <c r="AF49" t="s">
        <v>980</v>
      </c>
      <c r="AG49" t="s">
        <v>981</v>
      </c>
      <c r="AH49" t="e">
        <v>#N/A</v>
      </c>
      <c r="AI49" t="s">
        <v>981</v>
      </c>
      <c r="AJ49" t="s">
        <v>980</v>
      </c>
      <c r="AK49" t="s">
        <v>981</v>
      </c>
      <c r="AL49" t="s">
        <v>980</v>
      </c>
      <c r="AM49" t="s">
        <v>981</v>
      </c>
      <c r="AN49" t="s">
        <v>980</v>
      </c>
      <c r="AO49" t="s">
        <v>981</v>
      </c>
      <c r="AP49" t="s">
        <v>980</v>
      </c>
      <c r="AQ49" t="s">
        <v>981</v>
      </c>
      <c r="AR49" t="s">
        <v>980</v>
      </c>
    </row>
    <row r="50" spans="1:44" x14ac:dyDescent="0.3">
      <c r="A50">
        <v>1967</v>
      </c>
      <c r="B50" t="s">
        <v>979</v>
      </c>
      <c r="C50" t="s">
        <v>979</v>
      </c>
      <c r="D50" t="s">
        <v>979</v>
      </c>
      <c r="E50" t="s">
        <v>979</v>
      </c>
      <c r="F50" t="s">
        <v>982</v>
      </c>
      <c r="G50" t="s">
        <v>979</v>
      </c>
      <c r="H50" t="s">
        <v>982</v>
      </c>
      <c r="I50" t="s">
        <v>982</v>
      </c>
      <c r="J50" t="s">
        <v>979</v>
      </c>
      <c r="K50" t="s">
        <v>982</v>
      </c>
      <c r="L50" t="s">
        <v>979</v>
      </c>
      <c r="M50" t="s">
        <v>979</v>
      </c>
      <c r="N50" t="s">
        <v>982</v>
      </c>
      <c r="O50" t="s">
        <v>982</v>
      </c>
      <c r="P50" t="s">
        <v>982</v>
      </c>
      <c r="Q50" t="s">
        <v>982</v>
      </c>
      <c r="R50" t="s">
        <v>979</v>
      </c>
      <c r="S50" t="s">
        <v>982</v>
      </c>
      <c r="T50" t="s">
        <v>982</v>
      </c>
      <c r="U50" t="s">
        <v>979</v>
      </c>
      <c r="V50" t="s">
        <v>982</v>
      </c>
      <c r="W50" t="s">
        <v>982</v>
      </c>
      <c r="X50" t="s">
        <v>982</v>
      </c>
      <c r="Y50" t="s">
        <v>982</v>
      </c>
      <c r="Z50" t="s">
        <v>982</v>
      </c>
      <c r="AA50" t="s">
        <v>982</v>
      </c>
      <c r="AB50" t="s">
        <v>979</v>
      </c>
      <c r="AC50" t="s">
        <v>982</v>
      </c>
      <c r="AD50" t="s">
        <v>979</v>
      </c>
      <c r="AE50" t="s">
        <v>982</v>
      </c>
      <c r="AF50" t="s">
        <v>982</v>
      </c>
      <c r="AG50" t="s">
        <v>982</v>
      </c>
      <c r="AH50" t="e">
        <v>#N/A</v>
      </c>
      <c r="AI50" t="s">
        <v>979</v>
      </c>
      <c r="AJ50" t="s">
        <v>982</v>
      </c>
      <c r="AK50" t="s">
        <v>982</v>
      </c>
      <c r="AL50" t="s">
        <v>982</v>
      </c>
      <c r="AM50" t="s">
        <v>979</v>
      </c>
      <c r="AN50" t="s">
        <v>982</v>
      </c>
      <c r="AO50" t="s">
        <v>982</v>
      </c>
      <c r="AP50" t="s">
        <v>982</v>
      </c>
      <c r="AQ50" t="s">
        <v>982</v>
      </c>
      <c r="AR50" t="s">
        <v>982</v>
      </c>
    </row>
    <row r="51" spans="1:44" x14ac:dyDescent="0.3">
      <c r="A51">
        <v>1968</v>
      </c>
      <c r="B51" t="s">
        <v>978</v>
      </c>
      <c r="C51" t="s">
        <v>982</v>
      </c>
      <c r="D51" t="s">
        <v>978</v>
      </c>
      <c r="E51" t="s">
        <v>979</v>
      </c>
      <c r="F51" t="s">
        <v>979</v>
      </c>
      <c r="G51" t="s">
        <v>979</v>
      </c>
      <c r="H51" t="s">
        <v>979</v>
      </c>
      <c r="I51" t="s">
        <v>979</v>
      </c>
      <c r="J51" t="s">
        <v>979</v>
      </c>
      <c r="K51" t="s">
        <v>979</v>
      </c>
      <c r="L51" t="s">
        <v>979</v>
      </c>
      <c r="M51" t="s">
        <v>978</v>
      </c>
      <c r="N51" t="s">
        <v>979</v>
      </c>
      <c r="O51" t="s">
        <v>980</v>
      </c>
      <c r="P51" t="s">
        <v>980</v>
      </c>
      <c r="Q51" t="s">
        <v>979</v>
      </c>
      <c r="R51" t="s">
        <v>978</v>
      </c>
      <c r="S51" t="s">
        <v>978</v>
      </c>
      <c r="T51" t="s">
        <v>982</v>
      </c>
      <c r="U51" t="s">
        <v>982</v>
      </c>
      <c r="V51" t="s">
        <v>978</v>
      </c>
      <c r="W51" t="s">
        <v>978</v>
      </c>
      <c r="X51" t="s">
        <v>979</v>
      </c>
      <c r="Y51" t="s">
        <v>979</v>
      </c>
      <c r="Z51" t="s">
        <v>978</v>
      </c>
      <c r="AA51" t="s">
        <v>979</v>
      </c>
      <c r="AB51" t="s">
        <v>978</v>
      </c>
      <c r="AC51" t="s">
        <v>978</v>
      </c>
      <c r="AD51" t="s">
        <v>979</v>
      </c>
      <c r="AE51" t="s">
        <v>978</v>
      </c>
      <c r="AF51" t="s">
        <v>979</v>
      </c>
      <c r="AG51" t="s">
        <v>978</v>
      </c>
      <c r="AH51" t="e">
        <v>#N/A</v>
      </c>
      <c r="AI51" t="s">
        <v>981</v>
      </c>
      <c r="AJ51" t="s">
        <v>978</v>
      </c>
      <c r="AK51" t="s">
        <v>980</v>
      </c>
      <c r="AL51" t="s">
        <v>980</v>
      </c>
      <c r="AM51" t="s">
        <v>978</v>
      </c>
      <c r="AN51" t="s">
        <v>978</v>
      </c>
      <c r="AO51" t="s">
        <v>980</v>
      </c>
      <c r="AP51" t="s">
        <v>980</v>
      </c>
      <c r="AQ51" t="s">
        <v>980</v>
      </c>
      <c r="AR51" t="s">
        <v>978</v>
      </c>
    </row>
    <row r="52" spans="1:44" x14ac:dyDescent="0.3">
      <c r="A52">
        <v>1969</v>
      </c>
      <c r="B52" t="s">
        <v>981</v>
      </c>
      <c r="C52" t="s">
        <v>978</v>
      </c>
      <c r="D52" t="s">
        <v>981</v>
      </c>
      <c r="E52" t="s">
        <v>980</v>
      </c>
      <c r="F52" t="s">
        <v>978</v>
      </c>
      <c r="G52" t="s">
        <v>981</v>
      </c>
      <c r="H52" t="s">
        <v>980</v>
      </c>
      <c r="I52" t="s">
        <v>980</v>
      </c>
      <c r="J52" t="s">
        <v>980</v>
      </c>
      <c r="K52" t="s">
        <v>978</v>
      </c>
      <c r="L52" t="s">
        <v>980</v>
      </c>
      <c r="M52" t="s">
        <v>981</v>
      </c>
      <c r="N52" t="s">
        <v>980</v>
      </c>
      <c r="O52" t="s">
        <v>978</v>
      </c>
      <c r="P52" t="s">
        <v>978</v>
      </c>
      <c r="Q52" t="s">
        <v>979</v>
      </c>
      <c r="R52" t="s">
        <v>979</v>
      </c>
      <c r="S52" t="s">
        <v>979</v>
      </c>
      <c r="T52" t="s">
        <v>979</v>
      </c>
      <c r="U52" t="s">
        <v>979</v>
      </c>
      <c r="V52" t="s">
        <v>979</v>
      </c>
      <c r="W52" t="s">
        <v>979</v>
      </c>
      <c r="X52" t="s">
        <v>979</v>
      </c>
      <c r="Y52" t="s">
        <v>981</v>
      </c>
      <c r="Z52" t="s">
        <v>980</v>
      </c>
      <c r="AA52" t="s">
        <v>978</v>
      </c>
      <c r="AB52" t="s">
        <v>981</v>
      </c>
      <c r="AC52" t="s">
        <v>979</v>
      </c>
      <c r="AD52" t="s">
        <v>978</v>
      </c>
      <c r="AE52" t="s">
        <v>979</v>
      </c>
      <c r="AF52" t="s">
        <v>979</v>
      </c>
      <c r="AG52" t="s">
        <v>979</v>
      </c>
      <c r="AH52" t="e">
        <v>#N/A</v>
      </c>
      <c r="AI52" t="s">
        <v>979</v>
      </c>
      <c r="AJ52" t="s">
        <v>982</v>
      </c>
      <c r="AK52" t="s">
        <v>979</v>
      </c>
      <c r="AL52" t="s">
        <v>979</v>
      </c>
      <c r="AM52" t="s">
        <v>982</v>
      </c>
      <c r="AN52" t="s">
        <v>979</v>
      </c>
      <c r="AO52" t="s">
        <v>979</v>
      </c>
      <c r="AP52" t="s">
        <v>979</v>
      </c>
      <c r="AQ52" t="s">
        <v>982</v>
      </c>
      <c r="AR52" t="s">
        <v>978</v>
      </c>
    </row>
    <row r="53" spans="1:44" x14ac:dyDescent="0.3">
      <c r="A53">
        <v>1970</v>
      </c>
      <c r="B53" t="s">
        <v>980</v>
      </c>
      <c r="C53" t="s">
        <v>978</v>
      </c>
      <c r="D53" t="s">
        <v>981</v>
      </c>
      <c r="E53" t="s">
        <v>980</v>
      </c>
      <c r="F53" t="s">
        <v>978</v>
      </c>
      <c r="G53" t="s">
        <v>980</v>
      </c>
      <c r="H53" t="s">
        <v>980</v>
      </c>
      <c r="I53" t="s">
        <v>980</v>
      </c>
      <c r="J53" t="s">
        <v>980</v>
      </c>
      <c r="K53" t="s">
        <v>980</v>
      </c>
      <c r="L53" t="s">
        <v>980</v>
      </c>
      <c r="M53" t="s">
        <v>981</v>
      </c>
      <c r="N53" t="s">
        <v>980</v>
      </c>
      <c r="O53" t="s">
        <v>978</v>
      </c>
      <c r="P53" t="s">
        <v>978</v>
      </c>
      <c r="Q53" t="s">
        <v>978</v>
      </c>
      <c r="R53" t="s">
        <v>978</v>
      </c>
      <c r="S53" t="s">
        <v>978</v>
      </c>
      <c r="T53" t="s">
        <v>978</v>
      </c>
      <c r="U53" t="s">
        <v>980</v>
      </c>
      <c r="V53" t="s">
        <v>979</v>
      </c>
      <c r="W53" t="s">
        <v>978</v>
      </c>
      <c r="X53" t="s">
        <v>978</v>
      </c>
      <c r="Y53" t="s">
        <v>980</v>
      </c>
      <c r="Z53" t="s">
        <v>980</v>
      </c>
      <c r="AA53" t="s">
        <v>980</v>
      </c>
      <c r="AB53" t="s">
        <v>981</v>
      </c>
      <c r="AC53" t="s">
        <v>980</v>
      </c>
      <c r="AD53" t="s">
        <v>980</v>
      </c>
      <c r="AE53" t="s">
        <v>979</v>
      </c>
      <c r="AF53" t="s">
        <v>979</v>
      </c>
      <c r="AG53" t="s">
        <v>979</v>
      </c>
      <c r="AH53" t="e">
        <v>#N/A</v>
      </c>
      <c r="AI53" t="s">
        <v>978</v>
      </c>
      <c r="AJ53" t="s">
        <v>979</v>
      </c>
      <c r="AK53" t="s">
        <v>979</v>
      </c>
      <c r="AL53" t="s">
        <v>979</v>
      </c>
      <c r="AM53" t="s">
        <v>979</v>
      </c>
      <c r="AN53" t="s">
        <v>979</v>
      </c>
      <c r="AO53" t="s">
        <v>979</v>
      </c>
      <c r="AP53" t="s">
        <v>979</v>
      </c>
      <c r="AQ53" t="s">
        <v>979</v>
      </c>
      <c r="AR53" t="s">
        <v>979</v>
      </c>
    </row>
    <row r="54" spans="1:44" x14ac:dyDescent="0.3">
      <c r="A54">
        <v>1971</v>
      </c>
      <c r="B54" t="s">
        <v>978</v>
      </c>
      <c r="C54" t="s">
        <v>979</v>
      </c>
      <c r="D54" t="s">
        <v>979</v>
      </c>
      <c r="E54" t="s">
        <v>979</v>
      </c>
      <c r="F54" t="s">
        <v>978</v>
      </c>
      <c r="G54" t="s">
        <v>978</v>
      </c>
      <c r="H54" t="s">
        <v>979</v>
      </c>
      <c r="I54" t="s">
        <v>980</v>
      </c>
      <c r="J54" t="s">
        <v>979</v>
      </c>
      <c r="K54" t="s">
        <v>979</v>
      </c>
      <c r="L54" t="s">
        <v>979</v>
      </c>
      <c r="M54" t="s">
        <v>979</v>
      </c>
      <c r="N54" t="s">
        <v>978</v>
      </c>
      <c r="O54" t="s">
        <v>978</v>
      </c>
      <c r="P54" t="s">
        <v>978</v>
      </c>
      <c r="Q54" t="s">
        <v>979</v>
      </c>
      <c r="R54" t="s">
        <v>978</v>
      </c>
      <c r="S54" t="s">
        <v>979</v>
      </c>
      <c r="T54" t="s">
        <v>979</v>
      </c>
      <c r="U54" t="s">
        <v>979</v>
      </c>
      <c r="V54" t="s">
        <v>979</v>
      </c>
      <c r="W54" t="s">
        <v>979</v>
      </c>
      <c r="X54" t="s">
        <v>979</v>
      </c>
      <c r="Y54" t="s">
        <v>979</v>
      </c>
      <c r="Z54" t="s">
        <v>980</v>
      </c>
      <c r="AA54" t="s">
        <v>979</v>
      </c>
      <c r="AB54" t="s">
        <v>980</v>
      </c>
      <c r="AC54" t="s">
        <v>980</v>
      </c>
      <c r="AD54" t="s">
        <v>978</v>
      </c>
      <c r="AE54" t="s">
        <v>978</v>
      </c>
      <c r="AF54" t="s">
        <v>979</v>
      </c>
      <c r="AG54" t="s">
        <v>978</v>
      </c>
      <c r="AH54" t="e">
        <v>#N/A</v>
      </c>
      <c r="AI54" t="s">
        <v>978</v>
      </c>
      <c r="AJ54" t="s">
        <v>978</v>
      </c>
      <c r="AK54" t="s">
        <v>980</v>
      </c>
      <c r="AL54" t="s">
        <v>978</v>
      </c>
      <c r="AM54" t="s">
        <v>978</v>
      </c>
      <c r="AN54" t="s">
        <v>978</v>
      </c>
      <c r="AO54" t="s">
        <v>978</v>
      </c>
      <c r="AP54" t="s">
        <v>978</v>
      </c>
      <c r="AQ54" t="s">
        <v>980</v>
      </c>
      <c r="AR54" t="s">
        <v>978</v>
      </c>
    </row>
    <row r="55" spans="1:44" x14ac:dyDescent="0.3">
      <c r="A55">
        <v>1972</v>
      </c>
      <c r="B55" t="s">
        <v>979</v>
      </c>
      <c r="C55" t="s">
        <v>979</v>
      </c>
      <c r="D55" t="s">
        <v>982</v>
      </c>
      <c r="E55" t="s">
        <v>978</v>
      </c>
      <c r="F55" t="s">
        <v>979</v>
      </c>
      <c r="G55" t="s">
        <v>978</v>
      </c>
      <c r="H55" t="s">
        <v>979</v>
      </c>
      <c r="I55" t="s">
        <v>979</v>
      </c>
      <c r="J55" t="s">
        <v>978</v>
      </c>
      <c r="K55" t="s">
        <v>979</v>
      </c>
      <c r="L55" t="s">
        <v>979</v>
      </c>
      <c r="M55" t="s">
        <v>982</v>
      </c>
      <c r="N55" t="s">
        <v>979</v>
      </c>
      <c r="O55" t="s">
        <v>980</v>
      </c>
      <c r="P55" t="s">
        <v>980</v>
      </c>
      <c r="Q55" t="s">
        <v>980</v>
      </c>
      <c r="R55" t="s">
        <v>980</v>
      </c>
      <c r="S55" t="s">
        <v>980</v>
      </c>
      <c r="T55" t="s">
        <v>981</v>
      </c>
      <c r="U55" t="s">
        <v>980</v>
      </c>
      <c r="V55" t="s">
        <v>981</v>
      </c>
      <c r="W55" t="s">
        <v>978</v>
      </c>
      <c r="X55" t="s">
        <v>980</v>
      </c>
      <c r="Y55" t="s">
        <v>978</v>
      </c>
      <c r="Z55" t="s">
        <v>979</v>
      </c>
      <c r="AA55" t="s">
        <v>979</v>
      </c>
      <c r="AB55" t="s">
        <v>978</v>
      </c>
      <c r="AC55" t="s">
        <v>981</v>
      </c>
      <c r="AD55" t="s">
        <v>981</v>
      </c>
      <c r="AE55" t="s">
        <v>980</v>
      </c>
      <c r="AF55" t="s">
        <v>981</v>
      </c>
      <c r="AG55" t="s">
        <v>981</v>
      </c>
      <c r="AH55" t="e">
        <v>#N/A</v>
      </c>
      <c r="AI55" t="s">
        <v>980</v>
      </c>
      <c r="AJ55" t="s">
        <v>980</v>
      </c>
      <c r="AK55" t="s">
        <v>981</v>
      </c>
      <c r="AL55" t="s">
        <v>981</v>
      </c>
      <c r="AM55" t="s">
        <v>981</v>
      </c>
      <c r="AN55" t="s">
        <v>981</v>
      </c>
      <c r="AO55" t="s">
        <v>981</v>
      </c>
      <c r="AP55" t="s">
        <v>981</v>
      </c>
      <c r="AQ55" t="s">
        <v>981</v>
      </c>
      <c r="AR55" t="s">
        <v>981</v>
      </c>
    </row>
    <row r="56" spans="1:44" x14ac:dyDescent="0.3">
      <c r="A56">
        <v>1973</v>
      </c>
      <c r="B56" t="s">
        <v>979</v>
      </c>
      <c r="C56" t="s">
        <v>982</v>
      </c>
      <c r="D56" t="s">
        <v>978</v>
      </c>
      <c r="E56" t="s">
        <v>979</v>
      </c>
      <c r="F56" t="s">
        <v>979</v>
      </c>
      <c r="G56" t="s">
        <v>979</v>
      </c>
      <c r="H56" t="s">
        <v>979</v>
      </c>
      <c r="I56" t="s">
        <v>979</v>
      </c>
      <c r="J56" t="s">
        <v>979</v>
      </c>
      <c r="K56" t="s">
        <v>982</v>
      </c>
      <c r="L56" t="s">
        <v>979</v>
      </c>
      <c r="M56" t="s">
        <v>978</v>
      </c>
      <c r="N56" t="s">
        <v>979</v>
      </c>
      <c r="O56" t="s">
        <v>982</v>
      </c>
      <c r="P56" t="s">
        <v>982</v>
      </c>
      <c r="Q56" t="s">
        <v>982</v>
      </c>
      <c r="R56" t="s">
        <v>979</v>
      </c>
      <c r="S56" t="s">
        <v>982</v>
      </c>
      <c r="T56" t="s">
        <v>982</v>
      </c>
      <c r="U56" t="s">
        <v>982</v>
      </c>
      <c r="V56" t="s">
        <v>982</v>
      </c>
      <c r="W56" t="s">
        <v>982</v>
      </c>
      <c r="X56" t="s">
        <v>982</v>
      </c>
      <c r="Y56" t="s">
        <v>982</v>
      </c>
      <c r="Z56" t="s">
        <v>979</v>
      </c>
      <c r="AA56" t="s">
        <v>982</v>
      </c>
      <c r="AB56" t="s">
        <v>979</v>
      </c>
      <c r="AC56" t="s">
        <v>979</v>
      </c>
      <c r="AD56" t="s">
        <v>979</v>
      </c>
      <c r="AE56" t="s">
        <v>982</v>
      </c>
      <c r="AF56" t="s">
        <v>982</v>
      </c>
      <c r="AG56" t="s">
        <v>982</v>
      </c>
      <c r="AH56" t="e">
        <v>#N/A</v>
      </c>
      <c r="AI56" t="s">
        <v>980</v>
      </c>
      <c r="AJ56" t="s">
        <v>979</v>
      </c>
      <c r="AK56" t="s">
        <v>979</v>
      </c>
      <c r="AL56" t="s">
        <v>982</v>
      </c>
      <c r="AM56" t="s">
        <v>979</v>
      </c>
      <c r="AN56" t="s">
        <v>979</v>
      </c>
      <c r="AO56" t="s">
        <v>982</v>
      </c>
      <c r="AP56" t="s">
        <v>982</v>
      </c>
      <c r="AQ56" t="s">
        <v>979</v>
      </c>
      <c r="AR56" t="s">
        <v>982</v>
      </c>
    </row>
    <row r="57" spans="1:44" x14ac:dyDescent="0.3">
      <c r="A57">
        <v>1974</v>
      </c>
      <c r="B57" t="s">
        <v>982</v>
      </c>
      <c r="C57" t="s">
        <v>982</v>
      </c>
      <c r="D57" t="s">
        <v>979</v>
      </c>
      <c r="E57" t="s">
        <v>982</v>
      </c>
      <c r="F57" t="s">
        <v>979</v>
      </c>
      <c r="G57" t="s">
        <v>982</v>
      </c>
      <c r="H57" t="s">
        <v>982</v>
      </c>
      <c r="I57" t="s">
        <v>979</v>
      </c>
      <c r="J57" t="s">
        <v>982</v>
      </c>
      <c r="K57" t="s">
        <v>982</v>
      </c>
      <c r="L57" t="s">
        <v>982</v>
      </c>
      <c r="M57" t="s">
        <v>979</v>
      </c>
      <c r="N57" t="s">
        <v>979</v>
      </c>
      <c r="O57" t="s">
        <v>978</v>
      </c>
      <c r="P57" t="s">
        <v>978</v>
      </c>
      <c r="Q57" t="s">
        <v>979</v>
      </c>
      <c r="R57" t="s">
        <v>979</v>
      </c>
      <c r="S57" t="s">
        <v>979</v>
      </c>
      <c r="T57" t="s">
        <v>979</v>
      </c>
      <c r="U57" t="s">
        <v>980</v>
      </c>
      <c r="V57" t="s">
        <v>979</v>
      </c>
      <c r="W57" t="s">
        <v>979</v>
      </c>
      <c r="X57" t="s">
        <v>979</v>
      </c>
      <c r="Y57" t="s">
        <v>978</v>
      </c>
      <c r="Z57" t="s">
        <v>982</v>
      </c>
      <c r="AA57" t="s">
        <v>979</v>
      </c>
      <c r="AB57" t="s">
        <v>982</v>
      </c>
      <c r="AC57" t="s">
        <v>982</v>
      </c>
      <c r="AD57" t="s">
        <v>982</v>
      </c>
      <c r="AE57" t="s">
        <v>979</v>
      </c>
      <c r="AF57" t="s">
        <v>979</v>
      </c>
      <c r="AG57" t="s">
        <v>979</v>
      </c>
      <c r="AH57" t="e">
        <v>#N/A</v>
      </c>
      <c r="AI57" t="s">
        <v>978</v>
      </c>
      <c r="AJ57" t="s">
        <v>978</v>
      </c>
      <c r="AK57" t="s">
        <v>978</v>
      </c>
      <c r="AL57" t="s">
        <v>979</v>
      </c>
      <c r="AM57" t="s">
        <v>978</v>
      </c>
      <c r="AN57" t="s">
        <v>979</v>
      </c>
      <c r="AO57" t="s">
        <v>978</v>
      </c>
      <c r="AP57" t="s">
        <v>979</v>
      </c>
      <c r="AQ57" t="s">
        <v>978</v>
      </c>
      <c r="AR57" t="s">
        <v>979</v>
      </c>
    </row>
    <row r="58" spans="1:44" x14ac:dyDescent="0.3">
      <c r="A58">
        <v>1975</v>
      </c>
      <c r="B58" t="s">
        <v>982</v>
      </c>
      <c r="C58" t="s">
        <v>982</v>
      </c>
      <c r="D58" t="s">
        <v>982</v>
      </c>
      <c r="E58" t="s">
        <v>982</v>
      </c>
      <c r="F58" t="s">
        <v>979</v>
      </c>
      <c r="G58" t="s">
        <v>982</v>
      </c>
      <c r="H58" t="s">
        <v>982</v>
      </c>
      <c r="I58" t="s">
        <v>982</v>
      </c>
      <c r="J58" t="s">
        <v>982</v>
      </c>
      <c r="K58" t="s">
        <v>982</v>
      </c>
      <c r="L58" t="s">
        <v>982</v>
      </c>
      <c r="M58" t="s">
        <v>982</v>
      </c>
      <c r="N58" t="s">
        <v>982</v>
      </c>
      <c r="O58" t="s">
        <v>979</v>
      </c>
      <c r="P58" t="s">
        <v>979</v>
      </c>
      <c r="Q58" t="s">
        <v>982</v>
      </c>
      <c r="R58" t="s">
        <v>979</v>
      </c>
      <c r="S58" t="s">
        <v>979</v>
      </c>
      <c r="T58" t="s">
        <v>982</v>
      </c>
      <c r="U58" t="s">
        <v>982</v>
      </c>
      <c r="V58" t="s">
        <v>979</v>
      </c>
      <c r="W58" t="s">
        <v>979</v>
      </c>
      <c r="X58" t="s">
        <v>982</v>
      </c>
      <c r="Y58" t="s">
        <v>982</v>
      </c>
      <c r="Z58" t="s">
        <v>982</v>
      </c>
      <c r="AA58" t="s">
        <v>979</v>
      </c>
      <c r="AB58" t="s">
        <v>982</v>
      </c>
      <c r="AC58" t="s">
        <v>982</v>
      </c>
      <c r="AD58" t="s">
        <v>982</v>
      </c>
      <c r="AE58" t="s">
        <v>979</v>
      </c>
      <c r="AF58" t="s">
        <v>982</v>
      </c>
      <c r="AG58" t="s">
        <v>979</v>
      </c>
      <c r="AH58" t="e">
        <v>#N/A</v>
      </c>
      <c r="AI58" t="s">
        <v>978</v>
      </c>
      <c r="AJ58" t="s">
        <v>979</v>
      </c>
      <c r="AK58" t="s">
        <v>979</v>
      </c>
      <c r="AL58" t="s">
        <v>982</v>
      </c>
      <c r="AM58" t="s">
        <v>978</v>
      </c>
      <c r="AN58" t="s">
        <v>979</v>
      </c>
      <c r="AO58" t="s">
        <v>979</v>
      </c>
      <c r="AP58" t="s">
        <v>982</v>
      </c>
      <c r="AQ58" t="s">
        <v>979</v>
      </c>
      <c r="AR58" t="s">
        <v>979</v>
      </c>
    </row>
    <row r="59" spans="1:44" x14ac:dyDescent="0.3">
      <c r="A59">
        <v>1976</v>
      </c>
      <c r="B59" t="s">
        <v>980</v>
      </c>
      <c r="C59" t="s">
        <v>981</v>
      </c>
      <c r="D59" t="s">
        <v>981</v>
      </c>
      <c r="E59" t="s">
        <v>981</v>
      </c>
      <c r="F59" t="s">
        <v>981</v>
      </c>
      <c r="G59" t="s">
        <v>981</v>
      </c>
      <c r="H59" t="s">
        <v>980</v>
      </c>
      <c r="I59" t="s">
        <v>981</v>
      </c>
      <c r="J59" t="s">
        <v>981</v>
      </c>
      <c r="K59" t="s">
        <v>981</v>
      </c>
      <c r="L59" t="s">
        <v>981</v>
      </c>
      <c r="M59" t="s">
        <v>981</v>
      </c>
      <c r="N59" t="s">
        <v>981</v>
      </c>
      <c r="O59" t="s">
        <v>982</v>
      </c>
      <c r="P59" t="s">
        <v>982</v>
      </c>
      <c r="Q59" t="s">
        <v>979</v>
      </c>
      <c r="R59" t="s">
        <v>982</v>
      </c>
      <c r="S59" t="s">
        <v>979</v>
      </c>
      <c r="T59" t="s">
        <v>978</v>
      </c>
      <c r="U59" t="s">
        <v>978</v>
      </c>
      <c r="V59" t="s">
        <v>979</v>
      </c>
      <c r="W59" t="s">
        <v>979</v>
      </c>
      <c r="X59" t="s">
        <v>980</v>
      </c>
      <c r="Y59" t="s">
        <v>981</v>
      </c>
      <c r="Z59" t="s">
        <v>981</v>
      </c>
      <c r="AA59" t="s">
        <v>981</v>
      </c>
      <c r="AB59" t="s">
        <v>981</v>
      </c>
      <c r="AC59" t="s">
        <v>978</v>
      </c>
      <c r="AD59" t="s">
        <v>980</v>
      </c>
      <c r="AE59" t="s">
        <v>979</v>
      </c>
      <c r="AF59" t="s">
        <v>979</v>
      </c>
      <c r="AG59" t="s">
        <v>978</v>
      </c>
      <c r="AH59" t="e">
        <v>#N/A</v>
      </c>
      <c r="AI59" t="s">
        <v>982</v>
      </c>
      <c r="AJ59" t="s">
        <v>979</v>
      </c>
      <c r="AK59" t="s">
        <v>979</v>
      </c>
      <c r="AL59" t="s">
        <v>979</v>
      </c>
      <c r="AM59" t="s">
        <v>979</v>
      </c>
      <c r="AN59" t="s">
        <v>979</v>
      </c>
      <c r="AO59" t="s">
        <v>979</v>
      </c>
      <c r="AP59" t="s">
        <v>979</v>
      </c>
      <c r="AQ59" t="s">
        <v>979</v>
      </c>
      <c r="AR59" t="s">
        <v>980</v>
      </c>
    </row>
    <row r="60" spans="1:44" x14ac:dyDescent="0.3">
      <c r="A60">
        <v>1977</v>
      </c>
      <c r="B60" t="s">
        <v>979</v>
      </c>
      <c r="C60" t="s">
        <v>979</v>
      </c>
      <c r="D60" t="s">
        <v>979</v>
      </c>
      <c r="E60" t="s">
        <v>979</v>
      </c>
      <c r="F60" t="s">
        <v>979</v>
      </c>
      <c r="G60" t="s">
        <v>978</v>
      </c>
      <c r="H60" t="s">
        <v>978</v>
      </c>
      <c r="I60" t="s">
        <v>979</v>
      </c>
      <c r="J60" t="s">
        <v>979</v>
      </c>
      <c r="K60" t="s">
        <v>979</v>
      </c>
      <c r="L60" t="s">
        <v>979</v>
      </c>
      <c r="M60" t="s">
        <v>979</v>
      </c>
      <c r="N60" t="s">
        <v>979</v>
      </c>
      <c r="O60" t="s">
        <v>980</v>
      </c>
      <c r="P60" t="s">
        <v>980</v>
      </c>
      <c r="Q60" t="s">
        <v>980</v>
      </c>
      <c r="R60" t="s">
        <v>978</v>
      </c>
      <c r="S60" t="s">
        <v>980</v>
      </c>
      <c r="T60" t="s">
        <v>981</v>
      </c>
      <c r="U60" t="s">
        <v>978</v>
      </c>
      <c r="V60" t="s">
        <v>979</v>
      </c>
      <c r="W60" t="s">
        <v>978</v>
      </c>
      <c r="X60" t="s">
        <v>980</v>
      </c>
      <c r="Y60" t="s">
        <v>980</v>
      </c>
      <c r="Z60" t="s">
        <v>978</v>
      </c>
      <c r="AA60" t="s">
        <v>980</v>
      </c>
      <c r="AB60" t="s">
        <v>978</v>
      </c>
      <c r="AC60" t="s">
        <v>981</v>
      </c>
      <c r="AD60" t="s">
        <v>980</v>
      </c>
      <c r="AE60" t="s">
        <v>980</v>
      </c>
      <c r="AF60" t="s">
        <v>980</v>
      </c>
      <c r="AG60" t="s">
        <v>979</v>
      </c>
      <c r="AH60" t="e">
        <v>#N/A</v>
      </c>
      <c r="AI60" t="s">
        <v>978</v>
      </c>
      <c r="AJ60" t="s">
        <v>979</v>
      </c>
      <c r="AK60" t="s">
        <v>978</v>
      </c>
      <c r="AL60" t="s">
        <v>979</v>
      </c>
      <c r="AM60" t="s">
        <v>979</v>
      </c>
      <c r="AN60" t="s">
        <v>979</v>
      </c>
      <c r="AO60" t="s">
        <v>978</v>
      </c>
      <c r="AP60" t="s">
        <v>979</v>
      </c>
      <c r="AQ60" t="s">
        <v>979</v>
      </c>
      <c r="AR60" t="s">
        <v>979</v>
      </c>
    </row>
    <row r="61" spans="1:44" x14ac:dyDescent="0.3">
      <c r="A61">
        <v>1978</v>
      </c>
      <c r="B61" t="s">
        <v>982</v>
      </c>
      <c r="C61" t="s">
        <v>982</v>
      </c>
      <c r="D61" t="s">
        <v>979</v>
      </c>
      <c r="E61" t="s">
        <v>979</v>
      </c>
      <c r="F61" t="s">
        <v>982</v>
      </c>
      <c r="G61" t="s">
        <v>982</v>
      </c>
      <c r="H61" t="s">
        <v>982</v>
      </c>
      <c r="I61" t="s">
        <v>979</v>
      </c>
      <c r="J61" t="s">
        <v>982</v>
      </c>
      <c r="K61" t="s">
        <v>982</v>
      </c>
      <c r="L61" t="s">
        <v>982</v>
      </c>
      <c r="M61" t="s">
        <v>979</v>
      </c>
      <c r="N61" t="s">
        <v>982</v>
      </c>
      <c r="O61" t="s">
        <v>982</v>
      </c>
      <c r="P61" t="s">
        <v>982</v>
      </c>
      <c r="Q61" t="s">
        <v>982</v>
      </c>
      <c r="R61" t="s">
        <v>982</v>
      </c>
      <c r="S61" t="s">
        <v>982</v>
      </c>
      <c r="T61" t="s">
        <v>982</v>
      </c>
      <c r="U61" t="s">
        <v>979</v>
      </c>
      <c r="V61" t="s">
        <v>982</v>
      </c>
      <c r="W61" t="s">
        <v>982</v>
      </c>
      <c r="X61" t="s">
        <v>982</v>
      </c>
      <c r="Y61" t="s">
        <v>979</v>
      </c>
      <c r="Z61" t="s">
        <v>979</v>
      </c>
      <c r="AA61" t="s">
        <v>979</v>
      </c>
      <c r="AB61" t="s">
        <v>979</v>
      </c>
      <c r="AC61" t="s">
        <v>982</v>
      </c>
      <c r="AD61" t="s">
        <v>982</v>
      </c>
      <c r="AE61" t="s">
        <v>982</v>
      </c>
      <c r="AF61" t="s">
        <v>982</v>
      </c>
      <c r="AG61" t="s">
        <v>982</v>
      </c>
      <c r="AH61" t="e">
        <v>#N/A</v>
      </c>
      <c r="AI61" t="s">
        <v>982</v>
      </c>
      <c r="AJ61" t="s">
        <v>982</v>
      </c>
      <c r="AK61" t="s">
        <v>982</v>
      </c>
      <c r="AL61" t="s">
        <v>982</v>
      </c>
      <c r="AM61" t="s">
        <v>982</v>
      </c>
      <c r="AN61" t="s">
        <v>982</v>
      </c>
      <c r="AO61" t="s">
        <v>982</v>
      </c>
      <c r="AP61" t="s">
        <v>982</v>
      </c>
      <c r="AQ61" t="s">
        <v>982</v>
      </c>
      <c r="AR61" t="s">
        <v>982</v>
      </c>
    </row>
    <row r="62" spans="1:44" x14ac:dyDescent="0.3">
      <c r="A62">
        <v>1979</v>
      </c>
      <c r="B62" t="s">
        <v>982</v>
      </c>
      <c r="C62" t="s">
        <v>982</v>
      </c>
      <c r="D62" t="s">
        <v>982</v>
      </c>
      <c r="E62" t="s">
        <v>982</v>
      </c>
      <c r="F62" t="s">
        <v>982</v>
      </c>
      <c r="G62" t="s">
        <v>982</v>
      </c>
      <c r="H62" t="s">
        <v>982</v>
      </c>
      <c r="I62" t="s">
        <v>982</v>
      </c>
      <c r="J62" t="s">
        <v>982</v>
      </c>
      <c r="K62" t="s">
        <v>982</v>
      </c>
      <c r="L62" t="s">
        <v>982</v>
      </c>
      <c r="M62" t="s">
        <v>982</v>
      </c>
      <c r="N62" t="s">
        <v>982</v>
      </c>
      <c r="O62" t="s">
        <v>979</v>
      </c>
      <c r="P62" t="s">
        <v>979</v>
      </c>
      <c r="Q62" t="s">
        <v>979</v>
      </c>
      <c r="R62" t="s">
        <v>979</v>
      </c>
      <c r="S62" t="s">
        <v>979</v>
      </c>
      <c r="T62" t="s">
        <v>979</v>
      </c>
      <c r="U62" t="s">
        <v>982</v>
      </c>
      <c r="V62" t="s">
        <v>979</v>
      </c>
      <c r="W62" t="s">
        <v>979</v>
      </c>
      <c r="X62" t="s">
        <v>979</v>
      </c>
      <c r="Y62" t="s">
        <v>982</v>
      </c>
      <c r="Z62" t="s">
        <v>982</v>
      </c>
      <c r="AA62" t="s">
        <v>982</v>
      </c>
      <c r="AB62" t="s">
        <v>982</v>
      </c>
      <c r="AC62" t="s">
        <v>982</v>
      </c>
      <c r="AD62" t="s">
        <v>979</v>
      </c>
      <c r="AE62" t="s">
        <v>979</v>
      </c>
      <c r="AF62" t="s">
        <v>979</v>
      </c>
      <c r="AG62" t="s">
        <v>979</v>
      </c>
      <c r="AH62" t="e">
        <v>#N/A</v>
      </c>
      <c r="AI62" t="s">
        <v>979</v>
      </c>
      <c r="AJ62" t="s">
        <v>979</v>
      </c>
      <c r="AK62" t="s">
        <v>979</v>
      </c>
      <c r="AL62" t="s">
        <v>979</v>
      </c>
      <c r="AM62" t="s">
        <v>979</v>
      </c>
      <c r="AN62" t="s">
        <v>979</v>
      </c>
      <c r="AO62" t="s">
        <v>979</v>
      </c>
      <c r="AP62" t="s">
        <v>979</v>
      </c>
      <c r="AQ62" t="s">
        <v>979</v>
      </c>
      <c r="AR62" t="s">
        <v>979</v>
      </c>
    </row>
    <row r="63" spans="1:44" x14ac:dyDescent="0.3">
      <c r="A63">
        <v>1980</v>
      </c>
      <c r="B63" t="s">
        <v>979</v>
      </c>
      <c r="C63" t="s">
        <v>979</v>
      </c>
      <c r="D63" t="s">
        <v>978</v>
      </c>
      <c r="E63" t="s">
        <v>979</v>
      </c>
      <c r="F63" t="s">
        <v>979</v>
      </c>
      <c r="G63" t="s">
        <v>978</v>
      </c>
      <c r="H63" t="s">
        <v>979</v>
      </c>
      <c r="I63" t="s">
        <v>978</v>
      </c>
      <c r="J63" t="s">
        <v>979</v>
      </c>
      <c r="K63" t="s">
        <v>979</v>
      </c>
      <c r="L63" t="s">
        <v>979</v>
      </c>
      <c r="M63" t="s">
        <v>978</v>
      </c>
      <c r="N63" t="s">
        <v>978</v>
      </c>
      <c r="O63" t="s">
        <v>979</v>
      </c>
      <c r="P63" t="s">
        <v>979</v>
      </c>
      <c r="Q63" t="s">
        <v>978</v>
      </c>
      <c r="R63" t="s">
        <v>979</v>
      </c>
      <c r="S63" t="s">
        <v>979</v>
      </c>
      <c r="T63" t="s">
        <v>978</v>
      </c>
      <c r="U63" t="s">
        <v>978</v>
      </c>
      <c r="V63" t="s">
        <v>982</v>
      </c>
      <c r="W63" t="s">
        <v>979</v>
      </c>
      <c r="X63" t="s">
        <v>978</v>
      </c>
      <c r="Y63" t="s">
        <v>979</v>
      </c>
      <c r="Z63" t="s">
        <v>978</v>
      </c>
      <c r="AA63" t="s">
        <v>978</v>
      </c>
      <c r="AB63" t="s">
        <v>978</v>
      </c>
      <c r="AC63" t="s">
        <v>979</v>
      </c>
      <c r="AD63" t="s">
        <v>979</v>
      </c>
      <c r="AE63" t="s">
        <v>979</v>
      </c>
      <c r="AF63" t="s">
        <v>979</v>
      </c>
      <c r="AG63" t="s">
        <v>979</v>
      </c>
      <c r="AH63" t="e">
        <v>#N/A</v>
      </c>
      <c r="AI63" t="s">
        <v>982</v>
      </c>
      <c r="AJ63" t="s">
        <v>979</v>
      </c>
      <c r="AK63" t="s">
        <v>979</v>
      </c>
      <c r="AL63" t="s">
        <v>979</v>
      </c>
      <c r="AM63" t="s">
        <v>982</v>
      </c>
      <c r="AN63" t="s">
        <v>982</v>
      </c>
      <c r="AO63" t="s">
        <v>979</v>
      </c>
      <c r="AP63" t="s">
        <v>979</v>
      </c>
      <c r="AQ63" t="s">
        <v>979</v>
      </c>
      <c r="AR63" t="s">
        <v>979</v>
      </c>
    </row>
    <row r="64" spans="1:44" x14ac:dyDescent="0.3">
      <c r="A64">
        <v>1981</v>
      </c>
      <c r="B64" t="s">
        <v>982</v>
      </c>
      <c r="C64" t="s">
        <v>982</v>
      </c>
      <c r="D64" t="s">
        <v>982</v>
      </c>
      <c r="E64" t="s">
        <v>982</v>
      </c>
      <c r="F64" t="s">
        <v>982</v>
      </c>
      <c r="G64" t="s">
        <v>982</v>
      </c>
      <c r="H64" t="s">
        <v>979</v>
      </c>
      <c r="I64" t="s">
        <v>979</v>
      </c>
      <c r="J64" t="s">
        <v>982</v>
      </c>
      <c r="K64" t="s">
        <v>982</v>
      </c>
      <c r="L64" t="s">
        <v>982</v>
      </c>
      <c r="M64" t="s">
        <v>982</v>
      </c>
      <c r="N64" t="s">
        <v>979</v>
      </c>
      <c r="O64" t="s">
        <v>979</v>
      </c>
      <c r="P64" t="s">
        <v>979</v>
      </c>
      <c r="Q64" t="s">
        <v>982</v>
      </c>
      <c r="R64" t="s">
        <v>982</v>
      </c>
      <c r="S64" t="s">
        <v>982</v>
      </c>
      <c r="T64" t="s">
        <v>982</v>
      </c>
      <c r="U64" t="s">
        <v>982</v>
      </c>
      <c r="V64" t="s">
        <v>979</v>
      </c>
      <c r="W64" t="s">
        <v>982</v>
      </c>
      <c r="X64" t="s">
        <v>982</v>
      </c>
      <c r="Y64" t="s">
        <v>979</v>
      </c>
      <c r="Z64" t="s">
        <v>979</v>
      </c>
      <c r="AA64" t="s">
        <v>979</v>
      </c>
      <c r="AB64" t="s">
        <v>979</v>
      </c>
      <c r="AC64" t="s">
        <v>982</v>
      </c>
      <c r="AD64" t="s">
        <v>979</v>
      </c>
      <c r="AE64" t="s">
        <v>982</v>
      </c>
      <c r="AF64" t="s">
        <v>982</v>
      </c>
      <c r="AG64" t="s">
        <v>979</v>
      </c>
      <c r="AH64" t="e">
        <v>#N/A</v>
      </c>
      <c r="AI64" t="s">
        <v>980</v>
      </c>
      <c r="AJ64" t="s">
        <v>979</v>
      </c>
      <c r="AK64" t="s">
        <v>978</v>
      </c>
      <c r="AL64" t="s">
        <v>979</v>
      </c>
      <c r="AM64" t="s">
        <v>980</v>
      </c>
      <c r="AN64" t="s">
        <v>979</v>
      </c>
      <c r="AO64" t="s">
        <v>979</v>
      </c>
      <c r="AP64" t="s">
        <v>979</v>
      </c>
      <c r="AQ64" t="s">
        <v>979</v>
      </c>
      <c r="AR64" t="s">
        <v>982</v>
      </c>
    </row>
    <row r="65" spans="1:44" x14ac:dyDescent="0.3">
      <c r="A65">
        <v>1982</v>
      </c>
      <c r="B65" t="s">
        <v>982</v>
      </c>
      <c r="C65" t="s">
        <v>982</v>
      </c>
      <c r="D65" t="s">
        <v>982</v>
      </c>
      <c r="E65" t="s">
        <v>982</v>
      </c>
      <c r="F65" t="s">
        <v>982</v>
      </c>
      <c r="G65" t="s">
        <v>982</v>
      </c>
      <c r="H65" t="s">
        <v>982</v>
      </c>
      <c r="I65" t="s">
        <v>982</v>
      </c>
      <c r="J65" t="s">
        <v>982</v>
      </c>
      <c r="K65" t="s">
        <v>982</v>
      </c>
      <c r="L65" t="s">
        <v>982</v>
      </c>
      <c r="M65" t="s">
        <v>982</v>
      </c>
      <c r="N65" t="s">
        <v>982</v>
      </c>
      <c r="O65" t="s">
        <v>982</v>
      </c>
      <c r="P65" t="s">
        <v>982</v>
      </c>
      <c r="Q65" t="s">
        <v>982</v>
      </c>
      <c r="R65" t="s">
        <v>982</v>
      </c>
      <c r="S65" t="s">
        <v>982</v>
      </c>
      <c r="T65" t="s">
        <v>982</v>
      </c>
      <c r="U65" t="s">
        <v>982</v>
      </c>
      <c r="V65" t="s">
        <v>982</v>
      </c>
      <c r="W65" t="s">
        <v>982</v>
      </c>
      <c r="X65" t="s">
        <v>982</v>
      </c>
      <c r="Y65" t="s">
        <v>982</v>
      </c>
      <c r="Z65" t="s">
        <v>982</v>
      </c>
      <c r="AA65" t="s">
        <v>982</v>
      </c>
      <c r="AB65" t="s">
        <v>982</v>
      </c>
      <c r="AC65" t="s">
        <v>982</v>
      </c>
      <c r="AD65" t="s">
        <v>982</v>
      </c>
      <c r="AE65" t="s">
        <v>982</v>
      </c>
      <c r="AF65" t="s">
        <v>982</v>
      </c>
      <c r="AG65" t="s">
        <v>982</v>
      </c>
      <c r="AH65" t="e">
        <v>#N/A</v>
      </c>
      <c r="AI65" t="s">
        <v>982</v>
      </c>
      <c r="AJ65" t="s">
        <v>982</v>
      </c>
      <c r="AK65" t="s">
        <v>982</v>
      </c>
      <c r="AL65" t="s">
        <v>982</v>
      </c>
      <c r="AM65" t="s">
        <v>982</v>
      </c>
      <c r="AN65" t="s">
        <v>982</v>
      </c>
      <c r="AO65" t="s">
        <v>982</v>
      </c>
      <c r="AP65" t="s">
        <v>982</v>
      </c>
      <c r="AQ65" t="s">
        <v>982</v>
      </c>
      <c r="AR65" t="s">
        <v>982</v>
      </c>
    </row>
    <row r="66" spans="1:44" x14ac:dyDescent="0.3">
      <c r="A66">
        <v>1983</v>
      </c>
      <c r="B66" t="s">
        <v>982</v>
      </c>
      <c r="C66" t="s">
        <v>982</v>
      </c>
      <c r="D66" t="s">
        <v>982</v>
      </c>
      <c r="E66" t="s">
        <v>982</v>
      </c>
      <c r="F66" t="s">
        <v>982</v>
      </c>
      <c r="G66" t="s">
        <v>982</v>
      </c>
      <c r="H66" t="s">
        <v>982</v>
      </c>
      <c r="I66" t="s">
        <v>982</v>
      </c>
      <c r="J66" t="s">
        <v>982</v>
      </c>
      <c r="K66" t="s">
        <v>982</v>
      </c>
      <c r="L66" t="s">
        <v>982</v>
      </c>
      <c r="M66" t="s">
        <v>982</v>
      </c>
      <c r="N66" t="s">
        <v>982</v>
      </c>
      <c r="O66" t="s">
        <v>982</v>
      </c>
      <c r="P66" t="s">
        <v>982</v>
      </c>
      <c r="Q66" t="s">
        <v>982</v>
      </c>
      <c r="R66" t="s">
        <v>982</v>
      </c>
      <c r="S66" t="s">
        <v>982</v>
      </c>
      <c r="T66" t="s">
        <v>982</v>
      </c>
      <c r="U66" t="s">
        <v>982</v>
      </c>
      <c r="V66" t="s">
        <v>982</v>
      </c>
      <c r="W66" t="s">
        <v>982</v>
      </c>
      <c r="X66" t="s">
        <v>982</v>
      </c>
      <c r="Y66" t="s">
        <v>982</v>
      </c>
      <c r="Z66" t="s">
        <v>982</v>
      </c>
      <c r="AA66" t="s">
        <v>982</v>
      </c>
      <c r="AB66" t="s">
        <v>982</v>
      </c>
      <c r="AC66" t="s">
        <v>982</v>
      </c>
      <c r="AD66" t="s">
        <v>982</v>
      </c>
      <c r="AE66" t="s">
        <v>982</v>
      </c>
      <c r="AF66" t="s">
        <v>982</v>
      </c>
      <c r="AG66" t="s">
        <v>982</v>
      </c>
      <c r="AH66" t="e">
        <v>#N/A</v>
      </c>
      <c r="AI66" t="s">
        <v>982</v>
      </c>
      <c r="AJ66" t="s">
        <v>982</v>
      </c>
      <c r="AK66" t="s">
        <v>982</v>
      </c>
      <c r="AL66" t="s">
        <v>982</v>
      </c>
      <c r="AM66" t="s">
        <v>982</v>
      </c>
      <c r="AN66" t="s">
        <v>982</v>
      </c>
      <c r="AO66" t="s">
        <v>982</v>
      </c>
      <c r="AP66" t="s">
        <v>982</v>
      </c>
      <c r="AQ66" t="s">
        <v>982</v>
      </c>
      <c r="AR66" t="s">
        <v>982</v>
      </c>
    </row>
    <row r="67" spans="1:44" x14ac:dyDescent="0.3">
      <c r="A67">
        <v>1984</v>
      </c>
      <c r="B67" t="s">
        <v>979</v>
      </c>
      <c r="C67" t="s">
        <v>981</v>
      </c>
      <c r="D67" t="s">
        <v>978</v>
      </c>
      <c r="E67" t="s">
        <v>980</v>
      </c>
      <c r="F67" t="s">
        <v>980</v>
      </c>
      <c r="G67" t="s">
        <v>980</v>
      </c>
      <c r="H67" t="s">
        <v>978</v>
      </c>
      <c r="I67" t="s">
        <v>978</v>
      </c>
      <c r="J67" t="s">
        <v>978</v>
      </c>
      <c r="K67" t="s">
        <v>980</v>
      </c>
      <c r="L67" t="s">
        <v>980</v>
      </c>
      <c r="M67" t="s">
        <v>978</v>
      </c>
      <c r="N67" t="s">
        <v>981</v>
      </c>
      <c r="O67" t="s">
        <v>980</v>
      </c>
      <c r="P67" t="s">
        <v>980</v>
      </c>
      <c r="Q67" t="s">
        <v>980</v>
      </c>
      <c r="R67" t="s">
        <v>980</v>
      </c>
      <c r="S67" t="s">
        <v>980</v>
      </c>
      <c r="T67" t="s">
        <v>980</v>
      </c>
      <c r="U67" t="s">
        <v>981</v>
      </c>
      <c r="V67" t="s">
        <v>980</v>
      </c>
      <c r="W67" t="s">
        <v>980</v>
      </c>
      <c r="X67" t="s">
        <v>980</v>
      </c>
      <c r="Y67" t="s">
        <v>981</v>
      </c>
      <c r="Z67" t="s">
        <v>978</v>
      </c>
      <c r="AA67" t="s">
        <v>980</v>
      </c>
      <c r="AB67" t="s">
        <v>980</v>
      </c>
      <c r="AC67" t="s">
        <v>980</v>
      </c>
      <c r="AD67" t="s">
        <v>980</v>
      </c>
      <c r="AE67" t="s">
        <v>981</v>
      </c>
      <c r="AF67" t="s">
        <v>981</v>
      </c>
      <c r="AG67" t="s">
        <v>981</v>
      </c>
      <c r="AH67" t="e">
        <v>#N/A</v>
      </c>
      <c r="AI67" t="s">
        <v>978</v>
      </c>
      <c r="AJ67" t="s">
        <v>981</v>
      </c>
      <c r="AK67" t="s">
        <v>980</v>
      </c>
      <c r="AL67" t="s">
        <v>981</v>
      </c>
      <c r="AM67" t="s">
        <v>978</v>
      </c>
      <c r="AN67" t="s">
        <v>981</v>
      </c>
      <c r="AO67" t="s">
        <v>981</v>
      </c>
      <c r="AP67" t="s">
        <v>981</v>
      </c>
      <c r="AQ67" t="s">
        <v>981</v>
      </c>
      <c r="AR67" t="s">
        <v>981</v>
      </c>
    </row>
    <row r="68" spans="1:44" x14ac:dyDescent="0.3">
      <c r="A68">
        <v>1985</v>
      </c>
      <c r="B68" t="s">
        <v>978</v>
      </c>
      <c r="C68" t="s">
        <v>978</v>
      </c>
      <c r="D68" t="s">
        <v>979</v>
      </c>
      <c r="E68" t="s">
        <v>978</v>
      </c>
      <c r="F68" t="s">
        <v>978</v>
      </c>
      <c r="G68" t="s">
        <v>980</v>
      </c>
      <c r="H68" t="s">
        <v>979</v>
      </c>
      <c r="I68" t="s">
        <v>979</v>
      </c>
      <c r="J68" t="s">
        <v>979</v>
      </c>
      <c r="K68" t="s">
        <v>978</v>
      </c>
      <c r="L68" t="s">
        <v>979</v>
      </c>
      <c r="M68" t="s">
        <v>979</v>
      </c>
      <c r="N68" t="s">
        <v>978</v>
      </c>
      <c r="O68" t="s">
        <v>979</v>
      </c>
      <c r="P68" t="s">
        <v>978</v>
      </c>
      <c r="Q68" t="s">
        <v>979</v>
      </c>
      <c r="R68" t="s">
        <v>979</v>
      </c>
      <c r="S68" t="s">
        <v>979</v>
      </c>
      <c r="T68" t="s">
        <v>978</v>
      </c>
      <c r="U68" t="s">
        <v>980</v>
      </c>
      <c r="V68" t="s">
        <v>978</v>
      </c>
      <c r="W68" t="s">
        <v>979</v>
      </c>
      <c r="X68" t="s">
        <v>978</v>
      </c>
      <c r="Y68" t="s">
        <v>978</v>
      </c>
      <c r="Z68" t="s">
        <v>979</v>
      </c>
      <c r="AA68" t="s">
        <v>980</v>
      </c>
      <c r="AB68" t="s">
        <v>979</v>
      </c>
      <c r="AC68" t="s">
        <v>979</v>
      </c>
      <c r="AD68" t="s">
        <v>982</v>
      </c>
      <c r="AE68" t="s">
        <v>980</v>
      </c>
      <c r="AF68" t="s">
        <v>980</v>
      </c>
      <c r="AG68" t="s">
        <v>980</v>
      </c>
      <c r="AH68" t="e">
        <v>#N/A</v>
      </c>
      <c r="AI68" t="s">
        <v>980</v>
      </c>
      <c r="AJ68" t="s">
        <v>980</v>
      </c>
      <c r="AK68" t="s">
        <v>981</v>
      </c>
      <c r="AL68" t="s">
        <v>980</v>
      </c>
      <c r="AM68" t="s">
        <v>981</v>
      </c>
      <c r="AN68" t="s">
        <v>981</v>
      </c>
      <c r="AO68" t="s">
        <v>980</v>
      </c>
      <c r="AP68" t="s">
        <v>978</v>
      </c>
      <c r="AQ68" t="s">
        <v>981</v>
      </c>
      <c r="AR68" t="s">
        <v>978</v>
      </c>
    </row>
    <row r="69" spans="1:44" x14ac:dyDescent="0.3">
      <c r="A69">
        <v>1986</v>
      </c>
      <c r="B69" t="s">
        <v>979</v>
      </c>
      <c r="C69" t="s">
        <v>980</v>
      </c>
      <c r="D69" t="s">
        <v>978</v>
      </c>
      <c r="E69" t="s">
        <v>979</v>
      </c>
      <c r="F69" t="s">
        <v>980</v>
      </c>
      <c r="G69" t="s">
        <v>978</v>
      </c>
      <c r="H69" t="s">
        <v>980</v>
      </c>
      <c r="I69" t="s">
        <v>978</v>
      </c>
      <c r="J69" t="s">
        <v>979</v>
      </c>
      <c r="K69" t="s">
        <v>980</v>
      </c>
      <c r="L69" t="s">
        <v>978</v>
      </c>
      <c r="M69" t="s">
        <v>978</v>
      </c>
      <c r="N69" t="s">
        <v>978</v>
      </c>
      <c r="O69" t="s">
        <v>979</v>
      </c>
      <c r="P69" t="s">
        <v>979</v>
      </c>
      <c r="Q69" t="s">
        <v>979</v>
      </c>
      <c r="R69" t="s">
        <v>979</v>
      </c>
      <c r="S69" t="s">
        <v>979</v>
      </c>
      <c r="T69" t="s">
        <v>978</v>
      </c>
      <c r="U69" t="s">
        <v>978</v>
      </c>
      <c r="V69" t="s">
        <v>979</v>
      </c>
      <c r="W69" t="s">
        <v>979</v>
      </c>
      <c r="X69" t="s">
        <v>978</v>
      </c>
      <c r="Y69" t="s">
        <v>981</v>
      </c>
      <c r="Z69" t="s">
        <v>979</v>
      </c>
      <c r="AA69" t="s">
        <v>978</v>
      </c>
      <c r="AB69" t="s">
        <v>978</v>
      </c>
      <c r="AC69" t="s">
        <v>979</v>
      </c>
      <c r="AD69" t="s">
        <v>979</v>
      </c>
      <c r="AE69" t="s">
        <v>979</v>
      </c>
      <c r="AF69" t="s">
        <v>979</v>
      </c>
      <c r="AG69" t="s">
        <v>982</v>
      </c>
      <c r="AH69" t="e">
        <v>#N/A</v>
      </c>
      <c r="AI69" t="s">
        <v>980</v>
      </c>
      <c r="AJ69" t="s">
        <v>982</v>
      </c>
      <c r="AK69" t="s">
        <v>979</v>
      </c>
      <c r="AL69" t="s">
        <v>982</v>
      </c>
      <c r="AM69" t="s">
        <v>979</v>
      </c>
      <c r="AN69" t="s">
        <v>982</v>
      </c>
      <c r="AO69" t="s">
        <v>979</v>
      </c>
      <c r="AP69" t="s">
        <v>979</v>
      </c>
      <c r="AQ69" t="s">
        <v>979</v>
      </c>
      <c r="AR69" t="s">
        <v>982</v>
      </c>
    </row>
    <row r="70" spans="1:44" x14ac:dyDescent="0.3">
      <c r="A70">
        <v>1987</v>
      </c>
      <c r="B70" t="s">
        <v>981</v>
      </c>
      <c r="C70" t="s">
        <v>979</v>
      </c>
      <c r="D70" t="s">
        <v>981</v>
      </c>
      <c r="E70" t="s">
        <v>982</v>
      </c>
      <c r="F70" t="s">
        <v>979</v>
      </c>
      <c r="G70" t="s">
        <v>979</v>
      </c>
      <c r="H70" t="s">
        <v>978</v>
      </c>
      <c r="I70" t="s">
        <v>978</v>
      </c>
      <c r="J70" t="s">
        <v>979</v>
      </c>
      <c r="K70" t="s">
        <v>979</v>
      </c>
      <c r="L70" t="s">
        <v>979</v>
      </c>
      <c r="M70" t="s">
        <v>981</v>
      </c>
      <c r="N70" t="s">
        <v>979</v>
      </c>
      <c r="O70" t="s">
        <v>982</v>
      </c>
      <c r="P70" t="s">
        <v>982</v>
      </c>
      <c r="Q70" t="s">
        <v>982</v>
      </c>
      <c r="R70" t="s">
        <v>982</v>
      </c>
      <c r="S70" t="s">
        <v>982</v>
      </c>
      <c r="T70" t="s">
        <v>979</v>
      </c>
      <c r="U70" t="s">
        <v>982</v>
      </c>
      <c r="V70" t="s">
        <v>982</v>
      </c>
      <c r="W70" t="s">
        <v>979</v>
      </c>
      <c r="X70" t="s">
        <v>982</v>
      </c>
      <c r="Y70" t="s">
        <v>979</v>
      </c>
      <c r="Z70" t="s">
        <v>979</v>
      </c>
      <c r="AA70" t="s">
        <v>982</v>
      </c>
      <c r="AB70" t="s">
        <v>979</v>
      </c>
      <c r="AC70" t="s">
        <v>982</v>
      </c>
      <c r="AD70" t="s">
        <v>982</v>
      </c>
      <c r="AE70" t="s">
        <v>982</v>
      </c>
      <c r="AF70" t="s">
        <v>982</v>
      </c>
      <c r="AG70" t="s">
        <v>982</v>
      </c>
      <c r="AH70" t="e">
        <v>#N/A</v>
      </c>
      <c r="AI70" t="s">
        <v>979</v>
      </c>
      <c r="AJ70" t="s">
        <v>982</v>
      </c>
      <c r="AK70" t="s">
        <v>982</v>
      </c>
      <c r="AL70" t="s">
        <v>982</v>
      </c>
      <c r="AM70" t="s">
        <v>979</v>
      </c>
      <c r="AN70" t="s">
        <v>979</v>
      </c>
      <c r="AO70" t="s">
        <v>982</v>
      </c>
      <c r="AP70" t="s">
        <v>982</v>
      </c>
      <c r="AQ70" t="s">
        <v>982</v>
      </c>
      <c r="AR70" t="s">
        <v>982</v>
      </c>
    </row>
    <row r="71" spans="1:44" x14ac:dyDescent="0.3">
      <c r="A71">
        <v>1988</v>
      </c>
      <c r="B71" t="s">
        <v>981</v>
      </c>
      <c r="C71" t="s">
        <v>981</v>
      </c>
      <c r="D71" t="s">
        <v>981</v>
      </c>
      <c r="E71" t="s">
        <v>981</v>
      </c>
      <c r="F71" t="s">
        <v>981</v>
      </c>
      <c r="G71" t="s">
        <v>981</v>
      </c>
      <c r="H71" t="s">
        <v>981</v>
      </c>
      <c r="I71" t="s">
        <v>981</v>
      </c>
      <c r="J71" t="s">
        <v>981</v>
      </c>
      <c r="K71" t="s">
        <v>981</v>
      </c>
      <c r="L71" t="s">
        <v>981</v>
      </c>
      <c r="M71" t="s">
        <v>981</v>
      </c>
      <c r="N71" t="s">
        <v>981</v>
      </c>
      <c r="O71" t="s">
        <v>978</v>
      </c>
      <c r="P71" t="s">
        <v>978</v>
      </c>
      <c r="Q71" t="s">
        <v>980</v>
      </c>
      <c r="R71" t="s">
        <v>978</v>
      </c>
      <c r="S71" t="s">
        <v>978</v>
      </c>
      <c r="T71" t="s">
        <v>981</v>
      </c>
      <c r="U71" t="s">
        <v>981</v>
      </c>
      <c r="V71" t="s">
        <v>980</v>
      </c>
      <c r="W71" t="s">
        <v>980</v>
      </c>
      <c r="X71" t="s">
        <v>981</v>
      </c>
      <c r="Y71" t="s">
        <v>981</v>
      </c>
      <c r="Z71" t="s">
        <v>981</v>
      </c>
      <c r="AA71" t="s">
        <v>981</v>
      </c>
      <c r="AB71" t="s">
        <v>981</v>
      </c>
      <c r="AC71" t="s">
        <v>981</v>
      </c>
      <c r="AD71" t="s">
        <v>981</v>
      </c>
      <c r="AE71" t="s">
        <v>980</v>
      </c>
      <c r="AF71" t="s">
        <v>978</v>
      </c>
      <c r="AG71" t="s">
        <v>978</v>
      </c>
      <c r="AH71" t="e">
        <v>#N/A</v>
      </c>
      <c r="AI71" t="s">
        <v>981</v>
      </c>
      <c r="AJ71" t="s">
        <v>978</v>
      </c>
      <c r="AK71" t="s">
        <v>980</v>
      </c>
      <c r="AL71" t="s">
        <v>980</v>
      </c>
      <c r="AM71" t="s">
        <v>980</v>
      </c>
      <c r="AN71" t="s">
        <v>978</v>
      </c>
      <c r="AO71" t="s">
        <v>980</v>
      </c>
      <c r="AP71" t="s">
        <v>978</v>
      </c>
      <c r="AQ71" t="s">
        <v>978</v>
      </c>
      <c r="AR71" t="s">
        <v>979</v>
      </c>
    </row>
    <row r="72" spans="1:44" x14ac:dyDescent="0.3">
      <c r="A72">
        <v>1989</v>
      </c>
      <c r="B72" t="s">
        <v>978</v>
      </c>
      <c r="C72" t="s">
        <v>979</v>
      </c>
      <c r="D72" t="s">
        <v>978</v>
      </c>
      <c r="E72" t="s">
        <v>982</v>
      </c>
      <c r="F72" t="s">
        <v>982</v>
      </c>
      <c r="G72" t="s">
        <v>978</v>
      </c>
      <c r="H72" t="s">
        <v>979</v>
      </c>
      <c r="I72" t="s">
        <v>979</v>
      </c>
      <c r="J72" t="s">
        <v>979</v>
      </c>
      <c r="K72" t="s">
        <v>979</v>
      </c>
      <c r="L72" t="s">
        <v>982</v>
      </c>
      <c r="M72" t="s">
        <v>978</v>
      </c>
      <c r="N72" t="s">
        <v>979</v>
      </c>
      <c r="O72" t="s">
        <v>980</v>
      </c>
      <c r="P72" t="s">
        <v>981</v>
      </c>
      <c r="Q72" t="s">
        <v>979</v>
      </c>
      <c r="R72" t="s">
        <v>978</v>
      </c>
      <c r="S72" t="s">
        <v>979</v>
      </c>
      <c r="T72" t="s">
        <v>978</v>
      </c>
      <c r="U72" t="s">
        <v>980</v>
      </c>
      <c r="V72" t="s">
        <v>981</v>
      </c>
      <c r="W72" t="s">
        <v>980</v>
      </c>
      <c r="X72" t="s">
        <v>980</v>
      </c>
      <c r="Y72" t="s">
        <v>980</v>
      </c>
      <c r="Z72" t="s">
        <v>979</v>
      </c>
      <c r="AA72" t="s">
        <v>978</v>
      </c>
      <c r="AB72" t="s">
        <v>979</v>
      </c>
      <c r="AC72" t="s">
        <v>980</v>
      </c>
      <c r="AD72" t="s">
        <v>978</v>
      </c>
      <c r="AE72" t="s">
        <v>981</v>
      </c>
      <c r="AF72" t="s">
        <v>981</v>
      </c>
      <c r="AG72" t="s">
        <v>981</v>
      </c>
      <c r="AH72" t="e">
        <v>#N/A</v>
      </c>
      <c r="AI72" t="s">
        <v>981</v>
      </c>
      <c r="AJ72" t="s">
        <v>981</v>
      </c>
      <c r="AK72" t="s">
        <v>981</v>
      </c>
      <c r="AL72" t="s">
        <v>981</v>
      </c>
      <c r="AM72" t="s">
        <v>981</v>
      </c>
      <c r="AN72" t="s">
        <v>981</v>
      </c>
      <c r="AO72" t="s">
        <v>981</v>
      </c>
      <c r="AP72" t="s">
        <v>981</v>
      </c>
      <c r="AQ72" t="s">
        <v>981</v>
      </c>
      <c r="AR72" t="s">
        <v>981</v>
      </c>
    </row>
    <row r="73" spans="1:44" x14ac:dyDescent="0.3">
      <c r="A73">
        <v>1990</v>
      </c>
      <c r="B73" t="s">
        <v>979</v>
      </c>
      <c r="C73" t="s">
        <v>980</v>
      </c>
      <c r="D73" t="s">
        <v>978</v>
      </c>
      <c r="E73" t="s">
        <v>981</v>
      </c>
      <c r="F73" t="s">
        <v>980</v>
      </c>
      <c r="G73" t="s">
        <v>980</v>
      </c>
      <c r="H73" t="s">
        <v>979</v>
      </c>
      <c r="I73" t="s">
        <v>980</v>
      </c>
      <c r="J73" t="s">
        <v>979</v>
      </c>
      <c r="K73" t="s">
        <v>980</v>
      </c>
      <c r="L73" t="s">
        <v>978</v>
      </c>
      <c r="M73" t="s">
        <v>978</v>
      </c>
      <c r="N73" t="s">
        <v>980</v>
      </c>
      <c r="O73" t="s">
        <v>978</v>
      </c>
      <c r="P73" t="s">
        <v>980</v>
      </c>
      <c r="Q73" t="s">
        <v>979</v>
      </c>
      <c r="R73" t="s">
        <v>978</v>
      </c>
      <c r="S73" t="s">
        <v>979</v>
      </c>
      <c r="T73" t="s">
        <v>978</v>
      </c>
      <c r="U73" t="s">
        <v>980</v>
      </c>
      <c r="V73" t="s">
        <v>980</v>
      </c>
      <c r="W73" t="s">
        <v>978</v>
      </c>
      <c r="X73" t="s">
        <v>980</v>
      </c>
      <c r="Y73" t="s">
        <v>981</v>
      </c>
      <c r="Z73" t="s">
        <v>978</v>
      </c>
      <c r="AA73" t="s">
        <v>978</v>
      </c>
      <c r="AB73" t="s">
        <v>978</v>
      </c>
      <c r="AC73" t="s">
        <v>978</v>
      </c>
      <c r="AD73" t="s">
        <v>978</v>
      </c>
      <c r="AE73" t="s">
        <v>980</v>
      </c>
      <c r="AF73" t="s">
        <v>980</v>
      </c>
      <c r="AG73" t="s">
        <v>980</v>
      </c>
      <c r="AH73" t="e">
        <v>#N/A</v>
      </c>
      <c r="AI73" t="s">
        <v>981</v>
      </c>
      <c r="AJ73" t="s">
        <v>978</v>
      </c>
      <c r="AK73" t="s">
        <v>980</v>
      </c>
      <c r="AL73" t="s">
        <v>980</v>
      </c>
      <c r="AM73" t="s">
        <v>980</v>
      </c>
      <c r="AN73" t="s">
        <v>980</v>
      </c>
      <c r="AO73" t="s">
        <v>978</v>
      </c>
      <c r="AP73" t="s">
        <v>980</v>
      </c>
      <c r="AQ73" t="s">
        <v>978</v>
      </c>
      <c r="AR73" t="s">
        <v>980</v>
      </c>
    </row>
    <row r="74" spans="1:44" x14ac:dyDescent="0.3">
      <c r="A74">
        <v>1991</v>
      </c>
      <c r="B74" t="s">
        <v>979</v>
      </c>
      <c r="C74" t="s">
        <v>979</v>
      </c>
      <c r="D74" t="s">
        <v>979</v>
      </c>
      <c r="E74" t="s">
        <v>980</v>
      </c>
      <c r="F74" t="s">
        <v>980</v>
      </c>
      <c r="G74" t="s">
        <v>979</v>
      </c>
      <c r="H74" t="s">
        <v>979</v>
      </c>
      <c r="I74" t="s">
        <v>982</v>
      </c>
      <c r="J74" t="s">
        <v>982</v>
      </c>
      <c r="K74" t="s">
        <v>979</v>
      </c>
      <c r="L74" t="s">
        <v>979</v>
      </c>
      <c r="M74" t="s">
        <v>978</v>
      </c>
      <c r="N74" t="s">
        <v>979</v>
      </c>
      <c r="O74" t="s">
        <v>982</v>
      </c>
      <c r="P74" t="s">
        <v>979</v>
      </c>
      <c r="Q74" t="s">
        <v>979</v>
      </c>
      <c r="R74" t="s">
        <v>979</v>
      </c>
      <c r="S74" t="s">
        <v>979</v>
      </c>
      <c r="T74" t="s">
        <v>979</v>
      </c>
      <c r="U74" t="s">
        <v>978</v>
      </c>
      <c r="V74" t="s">
        <v>982</v>
      </c>
      <c r="W74" t="s">
        <v>979</v>
      </c>
      <c r="X74" t="s">
        <v>978</v>
      </c>
      <c r="Y74" t="s">
        <v>978</v>
      </c>
      <c r="Z74" t="s">
        <v>982</v>
      </c>
      <c r="AA74" t="s">
        <v>982</v>
      </c>
      <c r="AB74" t="s">
        <v>982</v>
      </c>
      <c r="AC74" t="s">
        <v>982</v>
      </c>
      <c r="AD74" t="s">
        <v>979</v>
      </c>
      <c r="AE74" t="s">
        <v>982</v>
      </c>
      <c r="AF74" t="s">
        <v>982</v>
      </c>
      <c r="AG74" t="s">
        <v>982</v>
      </c>
      <c r="AH74" t="e">
        <v>#N/A</v>
      </c>
      <c r="AI74" t="s">
        <v>982</v>
      </c>
      <c r="AJ74" t="s">
        <v>982</v>
      </c>
      <c r="AK74" t="s">
        <v>982</v>
      </c>
      <c r="AL74" t="s">
        <v>982</v>
      </c>
      <c r="AM74" t="s">
        <v>982</v>
      </c>
      <c r="AN74" t="s">
        <v>982</v>
      </c>
      <c r="AO74" t="s">
        <v>982</v>
      </c>
      <c r="AP74" t="s">
        <v>982</v>
      </c>
      <c r="AQ74" t="s">
        <v>982</v>
      </c>
      <c r="AR74" t="s">
        <v>982</v>
      </c>
    </row>
    <row r="75" spans="1:44" x14ac:dyDescent="0.3">
      <c r="A75">
        <v>1992</v>
      </c>
      <c r="B75" t="s">
        <v>979</v>
      </c>
      <c r="C75" t="s">
        <v>979</v>
      </c>
      <c r="D75" t="s">
        <v>979</v>
      </c>
      <c r="E75" t="s">
        <v>979</v>
      </c>
      <c r="F75" t="s">
        <v>979</v>
      </c>
      <c r="G75" t="s">
        <v>979</v>
      </c>
      <c r="H75" t="s">
        <v>978</v>
      </c>
      <c r="I75" t="s">
        <v>979</v>
      </c>
      <c r="J75" t="s">
        <v>979</v>
      </c>
      <c r="K75" t="s">
        <v>979</v>
      </c>
      <c r="L75" t="s">
        <v>979</v>
      </c>
      <c r="M75" t="s">
        <v>979</v>
      </c>
      <c r="N75" t="s">
        <v>979</v>
      </c>
      <c r="O75" t="s">
        <v>982</v>
      </c>
      <c r="P75" t="s">
        <v>982</v>
      </c>
      <c r="Q75" t="s">
        <v>979</v>
      </c>
      <c r="R75" t="s">
        <v>982</v>
      </c>
      <c r="S75" t="s">
        <v>979</v>
      </c>
      <c r="T75" t="s">
        <v>978</v>
      </c>
      <c r="U75" t="s">
        <v>978</v>
      </c>
      <c r="V75" t="s">
        <v>982</v>
      </c>
      <c r="W75" t="s">
        <v>979</v>
      </c>
      <c r="X75" t="s">
        <v>978</v>
      </c>
      <c r="Y75" t="s">
        <v>980</v>
      </c>
      <c r="Z75" t="s">
        <v>979</v>
      </c>
      <c r="AA75" t="s">
        <v>979</v>
      </c>
      <c r="AB75" t="s">
        <v>979</v>
      </c>
      <c r="AC75" t="s">
        <v>979</v>
      </c>
      <c r="AD75" t="s">
        <v>979</v>
      </c>
      <c r="AE75" t="s">
        <v>979</v>
      </c>
      <c r="AF75" t="s">
        <v>979</v>
      </c>
      <c r="AG75" t="s">
        <v>982</v>
      </c>
      <c r="AH75" t="e">
        <v>#N/A</v>
      </c>
      <c r="AI75" t="s">
        <v>982</v>
      </c>
      <c r="AJ75" t="s">
        <v>982</v>
      </c>
      <c r="AK75" t="s">
        <v>982</v>
      </c>
      <c r="AL75" t="s">
        <v>982</v>
      </c>
      <c r="AM75" t="s">
        <v>982</v>
      </c>
      <c r="AN75" t="s">
        <v>982</v>
      </c>
      <c r="AO75" t="s">
        <v>982</v>
      </c>
      <c r="AP75" t="s">
        <v>982</v>
      </c>
      <c r="AQ75" t="s">
        <v>982</v>
      </c>
      <c r="AR75" t="s">
        <v>982</v>
      </c>
    </row>
    <row r="76" spans="1:44" x14ac:dyDescent="0.3">
      <c r="A76">
        <v>1993</v>
      </c>
      <c r="B76" t="s">
        <v>982</v>
      </c>
      <c r="C76" t="s">
        <v>982</v>
      </c>
      <c r="D76" t="s">
        <v>982</v>
      </c>
      <c r="E76" t="s">
        <v>982</v>
      </c>
      <c r="F76" t="s">
        <v>982</v>
      </c>
      <c r="G76" t="s">
        <v>982</v>
      </c>
      <c r="H76" t="s">
        <v>982</v>
      </c>
      <c r="I76" t="s">
        <v>982</v>
      </c>
      <c r="J76" t="s">
        <v>982</v>
      </c>
      <c r="K76" t="s">
        <v>982</v>
      </c>
      <c r="L76" t="s">
        <v>982</v>
      </c>
      <c r="M76" t="s">
        <v>982</v>
      </c>
      <c r="N76" t="s">
        <v>982</v>
      </c>
      <c r="O76" t="s">
        <v>982</v>
      </c>
      <c r="P76" t="s">
        <v>979</v>
      </c>
      <c r="Q76" t="s">
        <v>982</v>
      </c>
      <c r="R76" t="s">
        <v>982</v>
      </c>
      <c r="S76" t="s">
        <v>982</v>
      </c>
      <c r="T76" t="s">
        <v>982</v>
      </c>
      <c r="U76" t="s">
        <v>982</v>
      </c>
      <c r="V76" t="s">
        <v>982</v>
      </c>
      <c r="W76" t="s">
        <v>982</v>
      </c>
      <c r="X76" t="s">
        <v>982</v>
      </c>
      <c r="Y76" t="s">
        <v>982</v>
      </c>
      <c r="Z76" t="s">
        <v>978</v>
      </c>
      <c r="AA76" t="s">
        <v>982</v>
      </c>
      <c r="AB76" t="s">
        <v>979</v>
      </c>
      <c r="AC76" t="s">
        <v>979</v>
      </c>
      <c r="AD76" t="s">
        <v>979</v>
      </c>
      <c r="AE76" t="s">
        <v>979</v>
      </c>
      <c r="AF76" t="s">
        <v>978</v>
      </c>
      <c r="AG76" t="s">
        <v>982</v>
      </c>
      <c r="AH76" t="e">
        <v>#N/A</v>
      </c>
      <c r="AI76" t="s">
        <v>979</v>
      </c>
      <c r="AJ76" t="s">
        <v>979</v>
      </c>
      <c r="AK76" t="s">
        <v>979</v>
      </c>
      <c r="AL76" t="s">
        <v>979</v>
      </c>
      <c r="AM76" t="s">
        <v>979</v>
      </c>
      <c r="AN76" t="s">
        <v>979</v>
      </c>
      <c r="AO76" t="s">
        <v>979</v>
      </c>
      <c r="AP76" t="s">
        <v>979</v>
      </c>
      <c r="AQ76" t="s">
        <v>979</v>
      </c>
      <c r="AR76" t="s">
        <v>982</v>
      </c>
    </row>
    <row r="77" spans="1:44" x14ac:dyDescent="0.3">
      <c r="A77">
        <v>1994</v>
      </c>
      <c r="B77" t="s">
        <v>978</v>
      </c>
      <c r="C77" t="s">
        <v>978</v>
      </c>
      <c r="D77" t="s">
        <v>980</v>
      </c>
      <c r="E77" t="s">
        <v>979</v>
      </c>
      <c r="F77" t="s">
        <v>978</v>
      </c>
      <c r="G77" t="s">
        <v>980</v>
      </c>
      <c r="H77" t="s">
        <v>978</v>
      </c>
      <c r="I77" t="s">
        <v>978</v>
      </c>
      <c r="J77" t="s">
        <v>978</v>
      </c>
      <c r="K77" t="s">
        <v>978</v>
      </c>
      <c r="L77" t="s">
        <v>978</v>
      </c>
      <c r="M77" t="s">
        <v>980</v>
      </c>
      <c r="N77" t="s">
        <v>979</v>
      </c>
      <c r="O77" t="s">
        <v>979</v>
      </c>
      <c r="P77" t="s">
        <v>978</v>
      </c>
      <c r="Q77" t="s">
        <v>982</v>
      </c>
      <c r="R77" t="s">
        <v>979</v>
      </c>
      <c r="S77" t="s">
        <v>982</v>
      </c>
      <c r="T77" t="s">
        <v>982</v>
      </c>
      <c r="U77" t="s">
        <v>979</v>
      </c>
      <c r="V77" t="s">
        <v>979</v>
      </c>
      <c r="W77" t="s">
        <v>982</v>
      </c>
      <c r="X77" t="s">
        <v>979</v>
      </c>
      <c r="Y77" t="s">
        <v>979</v>
      </c>
      <c r="Z77" t="s">
        <v>982</v>
      </c>
      <c r="AA77" t="s">
        <v>982</v>
      </c>
      <c r="AB77" t="s">
        <v>982</v>
      </c>
      <c r="AC77" t="s">
        <v>982</v>
      </c>
      <c r="AD77" t="s">
        <v>982</v>
      </c>
      <c r="AE77" t="s">
        <v>982</v>
      </c>
      <c r="AF77" t="s">
        <v>982</v>
      </c>
      <c r="AG77" t="s">
        <v>979</v>
      </c>
      <c r="AH77" t="e">
        <v>#N/A</v>
      </c>
      <c r="AI77" t="s">
        <v>980</v>
      </c>
      <c r="AJ77" t="s">
        <v>982</v>
      </c>
      <c r="AK77" t="s">
        <v>979</v>
      </c>
      <c r="AL77" t="s">
        <v>982</v>
      </c>
      <c r="AM77" t="s">
        <v>979</v>
      </c>
      <c r="AN77" t="s">
        <v>978</v>
      </c>
      <c r="AO77" t="s">
        <v>982</v>
      </c>
      <c r="AP77" t="s">
        <v>979</v>
      </c>
      <c r="AQ77" t="s">
        <v>982</v>
      </c>
      <c r="AR77" t="s">
        <v>979</v>
      </c>
    </row>
    <row r="78" spans="1:44" x14ac:dyDescent="0.3">
      <c r="A78">
        <v>1995</v>
      </c>
      <c r="B78" t="s">
        <v>982</v>
      </c>
      <c r="C78" t="s">
        <v>982</v>
      </c>
      <c r="D78" t="s">
        <v>982</v>
      </c>
      <c r="E78" t="s">
        <v>982</v>
      </c>
      <c r="F78" t="s">
        <v>982</v>
      </c>
      <c r="G78" t="s">
        <v>982</v>
      </c>
      <c r="H78" t="s">
        <v>982</v>
      </c>
      <c r="I78" t="s">
        <v>982</v>
      </c>
      <c r="J78" t="s">
        <v>982</v>
      </c>
      <c r="K78" t="s">
        <v>982</v>
      </c>
      <c r="L78" t="s">
        <v>982</v>
      </c>
      <c r="M78" t="s">
        <v>982</v>
      </c>
      <c r="N78" t="s">
        <v>982</v>
      </c>
      <c r="O78" t="s">
        <v>982</v>
      </c>
      <c r="P78" t="s">
        <v>982</v>
      </c>
      <c r="Q78" t="s">
        <v>982</v>
      </c>
      <c r="R78" t="s">
        <v>982</v>
      </c>
      <c r="S78" t="s">
        <v>982</v>
      </c>
      <c r="T78" t="s">
        <v>982</v>
      </c>
      <c r="U78" t="s">
        <v>982</v>
      </c>
      <c r="V78" t="s">
        <v>982</v>
      </c>
      <c r="W78" t="s">
        <v>982</v>
      </c>
      <c r="X78" t="s">
        <v>982</v>
      </c>
      <c r="Y78" t="s">
        <v>982</v>
      </c>
      <c r="Z78" t="s">
        <v>982</v>
      </c>
      <c r="AA78" t="s">
        <v>982</v>
      </c>
      <c r="AB78" t="s">
        <v>982</v>
      </c>
      <c r="AC78" t="s">
        <v>982</v>
      </c>
      <c r="AD78" t="s">
        <v>982</v>
      </c>
      <c r="AE78" t="s">
        <v>982</v>
      </c>
      <c r="AF78" t="s">
        <v>979</v>
      </c>
      <c r="AG78" t="s">
        <v>982</v>
      </c>
      <c r="AH78" t="e">
        <v>#N/A</v>
      </c>
      <c r="AI78" t="s">
        <v>978</v>
      </c>
      <c r="AJ78" t="s">
        <v>979</v>
      </c>
      <c r="AK78" t="s">
        <v>979</v>
      </c>
      <c r="AL78" t="s">
        <v>982</v>
      </c>
      <c r="AM78" t="s">
        <v>979</v>
      </c>
      <c r="AN78" t="s">
        <v>979</v>
      </c>
      <c r="AO78" t="s">
        <v>982</v>
      </c>
      <c r="AP78" t="s">
        <v>982</v>
      </c>
      <c r="AQ78" t="s">
        <v>982</v>
      </c>
      <c r="AR78" t="s">
        <v>982</v>
      </c>
    </row>
    <row r="79" spans="1:44" x14ac:dyDescent="0.3">
      <c r="A79">
        <v>1996</v>
      </c>
      <c r="B79" t="s">
        <v>979</v>
      </c>
      <c r="C79" t="s">
        <v>979</v>
      </c>
      <c r="D79" t="s">
        <v>978</v>
      </c>
      <c r="E79" t="s">
        <v>979</v>
      </c>
      <c r="F79" t="s">
        <v>979</v>
      </c>
      <c r="G79" t="s">
        <v>979</v>
      </c>
      <c r="H79" t="s">
        <v>979</v>
      </c>
      <c r="I79" t="s">
        <v>979</v>
      </c>
      <c r="J79" t="s">
        <v>979</v>
      </c>
      <c r="K79" t="s">
        <v>979</v>
      </c>
      <c r="L79" t="s">
        <v>979</v>
      </c>
      <c r="M79" t="s">
        <v>980</v>
      </c>
      <c r="N79" t="s">
        <v>979</v>
      </c>
      <c r="O79" t="s">
        <v>982</v>
      </c>
      <c r="P79" t="s">
        <v>979</v>
      </c>
      <c r="Q79" t="s">
        <v>982</v>
      </c>
      <c r="R79" t="s">
        <v>982</v>
      </c>
      <c r="S79" t="s">
        <v>982</v>
      </c>
      <c r="T79" t="s">
        <v>979</v>
      </c>
      <c r="U79" t="s">
        <v>979</v>
      </c>
      <c r="V79" t="s">
        <v>982</v>
      </c>
      <c r="W79" t="s">
        <v>982</v>
      </c>
      <c r="X79" t="s">
        <v>979</v>
      </c>
      <c r="Y79" t="s">
        <v>979</v>
      </c>
      <c r="Z79" t="s">
        <v>978</v>
      </c>
      <c r="AA79" t="s">
        <v>979</v>
      </c>
      <c r="AB79" t="s">
        <v>978</v>
      </c>
      <c r="AC79" t="s">
        <v>979</v>
      </c>
      <c r="AD79" t="s">
        <v>979</v>
      </c>
      <c r="AE79" t="s">
        <v>982</v>
      </c>
      <c r="AF79" t="s">
        <v>979</v>
      </c>
      <c r="AG79" t="s">
        <v>979</v>
      </c>
      <c r="AH79" t="e">
        <v>#N/A</v>
      </c>
      <c r="AI79" t="s">
        <v>981</v>
      </c>
      <c r="AJ79" t="s">
        <v>979</v>
      </c>
      <c r="AK79" t="s">
        <v>978</v>
      </c>
      <c r="AL79" t="s">
        <v>982</v>
      </c>
      <c r="AM79" t="s">
        <v>978</v>
      </c>
      <c r="AN79" t="s">
        <v>979</v>
      </c>
      <c r="AO79" t="s">
        <v>982</v>
      </c>
      <c r="AP79" t="s">
        <v>982</v>
      </c>
      <c r="AQ79" t="s">
        <v>979</v>
      </c>
      <c r="AR79" t="s">
        <v>982</v>
      </c>
    </row>
    <row r="80" spans="1:44" x14ac:dyDescent="0.3">
      <c r="A80">
        <v>1997</v>
      </c>
      <c r="B80" t="s">
        <v>980</v>
      </c>
      <c r="C80" t="s">
        <v>981</v>
      </c>
      <c r="D80" t="s">
        <v>979</v>
      </c>
      <c r="E80" t="s">
        <v>981</v>
      </c>
      <c r="F80" t="s">
        <v>981</v>
      </c>
      <c r="G80" t="s">
        <v>981</v>
      </c>
      <c r="H80" t="s">
        <v>981</v>
      </c>
      <c r="I80" t="s">
        <v>981</v>
      </c>
      <c r="J80" t="s">
        <v>981</v>
      </c>
      <c r="K80" t="s">
        <v>981</v>
      </c>
      <c r="L80" t="s">
        <v>981</v>
      </c>
      <c r="M80" t="s">
        <v>979</v>
      </c>
      <c r="N80" t="s">
        <v>981</v>
      </c>
      <c r="O80" t="s">
        <v>978</v>
      </c>
      <c r="P80" t="s">
        <v>980</v>
      </c>
      <c r="Q80" t="s">
        <v>981</v>
      </c>
      <c r="R80" t="s">
        <v>978</v>
      </c>
      <c r="S80" t="s">
        <v>980</v>
      </c>
      <c r="T80" t="s">
        <v>981</v>
      </c>
      <c r="U80" t="s">
        <v>981</v>
      </c>
      <c r="V80" t="s">
        <v>978</v>
      </c>
      <c r="W80" t="s">
        <v>980</v>
      </c>
      <c r="X80" t="s">
        <v>981</v>
      </c>
      <c r="Y80" t="s">
        <v>981</v>
      </c>
      <c r="Z80" t="s">
        <v>981</v>
      </c>
      <c r="AA80" t="s">
        <v>981</v>
      </c>
      <c r="AB80" t="s">
        <v>981</v>
      </c>
      <c r="AC80" t="s">
        <v>981</v>
      </c>
      <c r="AD80" t="s">
        <v>981</v>
      </c>
      <c r="AE80" t="s">
        <v>981</v>
      </c>
      <c r="AF80" t="s">
        <v>981</v>
      </c>
      <c r="AG80" t="s">
        <v>980</v>
      </c>
      <c r="AH80" t="e">
        <v>#N/A</v>
      </c>
      <c r="AI80" t="s">
        <v>979</v>
      </c>
      <c r="AJ80" t="s">
        <v>980</v>
      </c>
      <c r="AK80" t="s">
        <v>980</v>
      </c>
      <c r="AL80" t="s">
        <v>981</v>
      </c>
      <c r="AM80" t="s">
        <v>979</v>
      </c>
      <c r="AN80" t="s">
        <v>980</v>
      </c>
      <c r="AO80" t="s">
        <v>980</v>
      </c>
      <c r="AP80" t="s">
        <v>980</v>
      </c>
      <c r="AQ80" t="s">
        <v>980</v>
      </c>
      <c r="AR80" t="s">
        <v>981</v>
      </c>
    </row>
    <row r="81" spans="1:44" x14ac:dyDescent="0.3">
      <c r="A81">
        <v>1998</v>
      </c>
      <c r="B81" t="s">
        <v>982</v>
      </c>
      <c r="C81" t="s">
        <v>982</v>
      </c>
      <c r="D81" t="s">
        <v>982</v>
      </c>
      <c r="E81" t="s">
        <v>982</v>
      </c>
      <c r="F81" t="s">
        <v>982</v>
      </c>
      <c r="G81" t="s">
        <v>982</v>
      </c>
      <c r="H81" t="s">
        <v>982</v>
      </c>
      <c r="I81" t="s">
        <v>982</v>
      </c>
      <c r="J81" t="s">
        <v>982</v>
      </c>
      <c r="K81" t="s">
        <v>982</v>
      </c>
      <c r="L81" t="s">
        <v>982</v>
      </c>
      <c r="M81" t="s">
        <v>982</v>
      </c>
      <c r="N81" t="s">
        <v>982</v>
      </c>
      <c r="O81" t="s">
        <v>982</v>
      </c>
      <c r="P81" t="s">
        <v>982</v>
      </c>
      <c r="Q81" t="s">
        <v>982</v>
      </c>
      <c r="R81" t="s">
        <v>982</v>
      </c>
      <c r="S81" t="s">
        <v>982</v>
      </c>
      <c r="T81" t="s">
        <v>982</v>
      </c>
      <c r="U81" t="s">
        <v>982</v>
      </c>
      <c r="V81" t="s">
        <v>982</v>
      </c>
      <c r="W81" t="s">
        <v>982</v>
      </c>
      <c r="X81" t="s">
        <v>982</v>
      </c>
      <c r="Y81" t="s">
        <v>982</v>
      </c>
      <c r="Z81" t="s">
        <v>982</v>
      </c>
      <c r="AA81" t="s">
        <v>982</v>
      </c>
      <c r="AB81" t="s">
        <v>982</v>
      </c>
      <c r="AC81" t="s">
        <v>982</v>
      </c>
      <c r="AD81" t="s">
        <v>982</v>
      </c>
      <c r="AE81" t="s">
        <v>982</v>
      </c>
      <c r="AF81" t="s">
        <v>982</v>
      </c>
      <c r="AG81" t="s">
        <v>982</v>
      </c>
      <c r="AH81" t="e">
        <v>#N/A</v>
      </c>
      <c r="AI81" t="s">
        <v>982</v>
      </c>
      <c r="AJ81" t="s">
        <v>982</v>
      </c>
      <c r="AK81" t="s">
        <v>982</v>
      </c>
      <c r="AL81" t="s">
        <v>982</v>
      </c>
      <c r="AM81" t="s">
        <v>982</v>
      </c>
      <c r="AN81" t="s">
        <v>982</v>
      </c>
      <c r="AO81" t="s">
        <v>982</v>
      </c>
      <c r="AP81" t="s">
        <v>982</v>
      </c>
      <c r="AQ81" t="s">
        <v>982</v>
      </c>
      <c r="AR81" t="s">
        <v>982</v>
      </c>
    </row>
    <row r="82" spans="1:44" x14ac:dyDescent="0.3">
      <c r="A82">
        <v>1999</v>
      </c>
      <c r="B82" t="s">
        <v>979</v>
      </c>
      <c r="C82" t="s">
        <v>980</v>
      </c>
      <c r="D82" t="s">
        <v>979</v>
      </c>
      <c r="E82" t="s">
        <v>978</v>
      </c>
      <c r="F82" t="s">
        <v>979</v>
      </c>
      <c r="G82" t="s">
        <v>979</v>
      </c>
      <c r="H82" t="s">
        <v>979</v>
      </c>
      <c r="I82" t="s">
        <v>979</v>
      </c>
      <c r="J82" t="s">
        <v>979</v>
      </c>
      <c r="K82" t="s">
        <v>978</v>
      </c>
      <c r="L82" t="s">
        <v>978</v>
      </c>
      <c r="M82" t="s">
        <v>979</v>
      </c>
      <c r="N82" t="s">
        <v>979</v>
      </c>
      <c r="O82" t="s">
        <v>979</v>
      </c>
      <c r="P82" t="s">
        <v>980</v>
      </c>
      <c r="Q82" t="s">
        <v>979</v>
      </c>
      <c r="R82" t="s">
        <v>979</v>
      </c>
      <c r="S82" t="s">
        <v>979</v>
      </c>
      <c r="T82" t="s">
        <v>979</v>
      </c>
      <c r="U82" t="s">
        <v>979</v>
      </c>
      <c r="V82" t="s">
        <v>978</v>
      </c>
      <c r="W82" t="s">
        <v>978</v>
      </c>
      <c r="X82" t="s">
        <v>979</v>
      </c>
      <c r="Y82" t="s">
        <v>979</v>
      </c>
      <c r="Z82" t="s">
        <v>982</v>
      </c>
      <c r="AA82" t="s">
        <v>979</v>
      </c>
      <c r="AB82" t="s">
        <v>982</v>
      </c>
      <c r="AC82" t="s">
        <v>979</v>
      </c>
      <c r="AD82" t="s">
        <v>982</v>
      </c>
      <c r="AE82" t="s">
        <v>982</v>
      </c>
      <c r="AF82" t="s">
        <v>982</v>
      </c>
      <c r="AG82" t="s">
        <v>978</v>
      </c>
      <c r="AH82" t="e">
        <v>#N/A</v>
      </c>
      <c r="AI82" t="s">
        <v>981</v>
      </c>
      <c r="AJ82" t="s">
        <v>980</v>
      </c>
      <c r="AK82" t="s">
        <v>981</v>
      </c>
      <c r="AL82" t="s">
        <v>980</v>
      </c>
      <c r="AM82" t="s">
        <v>980</v>
      </c>
      <c r="AN82" t="s">
        <v>980</v>
      </c>
      <c r="AO82" t="s">
        <v>981</v>
      </c>
      <c r="AP82" t="s">
        <v>978</v>
      </c>
      <c r="AQ82" t="s">
        <v>981</v>
      </c>
      <c r="AR82" t="s">
        <v>979</v>
      </c>
    </row>
    <row r="83" spans="1:44" x14ac:dyDescent="0.3">
      <c r="A83">
        <v>2000</v>
      </c>
      <c r="B83" t="s">
        <v>979</v>
      </c>
      <c r="C83" t="s">
        <v>979</v>
      </c>
      <c r="D83" t="s">
        <v>979</v>
      </c>
      <c r="E83" t="s">
        <v>979</v>
      </c>
      <c r="F83" t="s">
        <v>982</v>
      </c>
      <c r="G83" t="s">
        <v>979</v>
      </c>
      <c r="H83" t="s">
        <v>982</v>
      </c>
      <c r="I83" t="s">
        <v>982</v>
      </c>
      <c r="J83" t="s">
        <v>982</v>
      </c>
      <c r="K83" t="s">
        <v>979</v>
      </c>
      <c r="L83" t="s">
        <v>979</v>
      </c>
      <c r="M83" t="s">
        <v>979</v>
      </c>
      <c r="N83" t="s">
        <v>979</v>
      </c>
      <c r="O83" t="s">
        <v>979</v>
      </c>
      <c r="P83" t="s">
        <v>979</v>
      </c>
      <c r="Q83" t="s">
        <v>982</v>
      </c>
      <c r="R83" t="s">
        <v>982</v>
      </c>
      <c r="S83" t="s">
        <v>982</v>
      </c>
      <c r="T83" t="s">
        <v>982</v>
      </c>
      <c r="U83" t="s">
        <v>982</v>
      </c>
      <c r="V83" t="s">
        <v>978</v>
      </c>
      <c r="W83" t="s">
        <v>979</v>
      </c>
      <c r="X83" t="s">
        <v>979</v>
      </c>
      <c r="Y83" t="s">
        <v>979</v>
      </c>
      <c r="Z83" t="s">
        <v>979</v>
      </c>
      <c r="AA83" t="s">
        <v>982</v>
      </c>
      <c r="AB83" t="s">
        <v>982</v>
      </c>
      <c r="AC83" t="s">
        <v>979</v>
      </c>
      <c r="AD83" t="s">
        <v>979</v>
      </c>
      <c r="AE83" t="s">
        <v>979</v>
      </c>
      <c r="AF83" t="s">
        <v>978</v>
      </c>
      <c r="AG83" t="s">
        <v>978</v>
      </c>
      <c r="AH83" t="e">
        <v>#N/A</v>
      </c>
      <c r="AI83" t="s">
        <v>981</v>
      </c>
      <c r="AJ83" t="s">
        <v>981</v>
      </c>
      <c r="AK83" t="s">
        <v>981</v>
      </c>
      <c r="AL83" t="s">
        <v>978</v>
      </c>
      <c r="AM83" t="s">
        <v>981</v>
      </c>
      <c r="AN83" t="s">
        <v>980</v>
      </c>
      <c r="AO83" t="s">
        <v>981</v>
      </c>
      <c r="AP83" t="s">
        <v>979</v>
      </c>
      <c r="AQ83" t="s">
        <v>981</v>
      </c>
      <c r="AR83" t="s">
        <v>979</v>
      </c>
    </row>
    <row r="84" spans="1:44" x14ac:dyDescent="0.3">
      <c r="A84">
        <v>2001</v>
      </c>
      <c r="B84" t="s">
        <v>980</v>
      </c>
      <c r="C84" t="s">
        <v>978</v>
      </c>
      <c r="D84" t="s">
        <v>980</v>
      </c>
      <c r="E84" t="s">
        <v>978</v>
      </c>
      <c r="F84" t="s">
        <v>978</v>
      </c>
      <c r="G84" t="s">
        <v>979</v>
      </c>
      <c r="H84" t="s">
        <v>978</v>
      </c>
      <c r="I84" t="s">
        <v>980</v>
      </c>
      <c r="J84" t="s">
        <v>980</v>
      </c>
      <c r="K84" t="s">
        <v>978</v>
      </c>
      <c r="L84" t="s">
        <v>978</v>
      </c>
      <c r="M84" t="s">
        <v>980</v>
      </c>
      <c r="N84" t="s">
        <v>980</v>
      </c>
      <c r="O84" t="s">
        <v>979</v>
      </c>
      <c r="P84" t="s">
        <v>979</v>
      </c>
      <c r="Q84" t="s">
        <v>979</v>
      </c>
      <c r="R84" t="s">
        <v>982</v>
      </c>
      <c r="S84" t="s">
        <v>982</v>
      </c>
      <c r="T84" t="s">
        <v>979</v>
      </c>
      <c r="U84" t="s">
        <v>979</v>
      </c>
      <c r="V84" t="s">
        <v>979</v>
      </c>
      <c r="W84" t="s">
        <v>979</v>
      </c>
      <c r="X84" t="s">
        <v>978</v>
      </c>
      <c r="Y84" t="s">
        <v>979</v>
      </c>
      <c r="Z84" t="s">
        <v>979</v>
      </c>
      <c r="AA84" t="s">
        <v>979</v>
      </c>
      <c r="AB84" t="s">
        <v>979</v>
      </c>
      <c r="AC84" t="s">
        <v>979</v>
      </c>
      <c r="AD84" t="s">
        <v>979</v>
      </c>
      <c r="AE84" t="s">
        <v>982</v>
      </c>
      <c r="AF84" t="s">
        <v>982</v>
      </c>
      <c r="AG84" t="s">
        <v>982</v>
      </c>
      <c r="AH84" t="e">
        <v>#N/A</v>
      </c>
      <c r="AI84" t="s">
        <v>979</v>
      </c>
      <c r="AJ84" t="s">
        <v>978</v>
      </c>
      <c r="AK84" t="s">
        <v>979</v>
      </c>
      <c r="AL84" t="s">
        <v>982</v>
      </c>
      <c r="AM84" t="s">
        <v>979</v>
      </c>
      <c r="AN84" t="s">
        <v>982</v>
      </c>
      <c r="AO84" t="s">
        <v>979</v>
      </c>
      <c r="AP84" t="s">
        <v>982</v>
      </c>
      <c r="AQ84" t="s">
        <v>979</v>
      </c>
      <c r="AR84" t="s">
        <v>982</v>
      </c>
    </row>
    <row r="85" spans="1:44" x14ac:dyDescent="0.3">
      <c r="A85">
        <v>2002</v>
      </c>
      <c r="B85" t="s">
        <v>980</v>
      </c>
      <c r="C85" t="s">
        <v>980</v>
      </c>
      <c r="D85" t="s">
        <v>981</v>
      </c>
      <c r="E85" t="s">
        <v>980</v>
      </c>
      <c r="F85" t="s">
        <v>980</v>
      </c>
      <c r="G85" t="s">
        <v>980</v>
      </c>
      <c r="H85" t="s">
        <v>978</v>
      </c>
      <c r="I85" t="s">
        <v>980</v>
      </c>
      <c r="J85" t="s">
        <v>978</v>
      </c>
      <c r="K85" t="s">
        <v>980</v>
      </c>
      <c r="L85" t="s">
        <v>980</v>
      </c>
      <c r="M85" t="s">
        <v>981</v>
      </c>
      <c r="N85" t="s">
        <v>980</v>
      </c>
      <c r="O85" t="s">
        <v>980</v>
      </c>
      <c r="P85" t="s">
        <v>981</v>
      </c>
      <c r="Q85" t="s">
        <v>980</v>
      </c>
      <c r="R85" t="s">
        <v>978</v>
      </c>
      <c r="S85" t="s">
        <v>980</v>
      </c>
      <c r="T85" t="s">
        <v>980</v>
      </c>
      <c r="U85" t="s">
        <v>978</v>
      </c>
      <c r="V85" t="s">
        <v>981</v>
      </c>
      <c r="W85" t="s">
        <v>981</v>
      </c>
      <c r="X85" t="s">
        <v>980</v>
      </c>
      <c r="Y85" t="s">
        <v>978</v>
      </c>
      <c r="Z85" t="s">
        <v>979</v>
      </c>
      <c r="AA85" t="s">
        <v>978</v>
      </c>
      <c r="AB85" t="s">
        <v>979</v>
      </c>
      <c r="AC85" t="s">
        <v>978</v>
      </c>
      <c r="AD85" t="s">
        <v>978</v>
      </c>
      <c r="AE85" t="s">
        <v>978</v>
      </c>
      <c r="AF85" t="s">
        <v>981</v>
      </c>
      <c r="AG85" t="s">
        <v>981</v>
      </c>
      <c r="AH85" t="e">
        <v>#N/A</v>
      </c>
      <c r="AI85" t="s">
        <v>981</v>
      </c>
      <c r="AJ85" t="s">
        <v>981</v>
      </c>
      <c r="AK85" t="s">
        <v>981</v>
      </c>
      <c r="AL85" t="s">
        <v>980</v>
      </c>
      <c r="AM85" t="s">
        <v>981</v>
      </c>
      <c r="AN85" t="s">
        <v>981</v>
      </c>
      <c r="AO85" t="s">
        <v>981</v>
      </c>
      <c r="AP85" t="s">
        <v>978</v>
      </c>
      <c r="AQ85" t="s">
        <v>981</v>
      </c>
      <c r="AR85" t="s">
        <v>980</v>
      </c>
    </row>
    <row r="86" spans="1:44" x14ac:dyDescent="0.3">
      <c r="A86">
        <v>2003</v>
      </c>
      <c r="B86" t="s">
        <v>982</v>
      </c>
      <c r="C86" t="s">
        <v>982</v>
      </c>
      <c r="D86" t="s">
        <v>979</v>
      </c>
      <c r="E86" t="s">
        <v>982</v>
      </c>
      <c r="F86" t="s">
        <v>982</v>
      </c>
      <c r="G86" t="s">
        <v>982</v>
      </c>
      <c r="H86" t="s">
        <v>982</v>
      </c>
      <c r="I86" t="s">
        <v>982</v>
      </c>
      <c r="J86" t="s">
        <v>982</v>
      </c>
      <c r="K86" t="s">
        <v>982</v>
      </c>
      <c r="L86" t="s">
        <v>982</v>
      </c>
      <c r="M86" t="s">
        <v>979</v>
      </c>
      <c r="N86" t="s">
        <v>982</v>
      </c>
      <c r="O86" t="s">
        <v>979</v>
      </c>
      <c r="P86" t="s">
        <v>979</v>
      </c>
      <c r="Q86" t="s">
        <v>979</v>
      </c>
      <c r="R86" t="s">
        <v>982</v>
      </c>
      <c r="S86" t="s">
        <v>982</v>
      </c>
      <c r="T86" t="s">
        <v>982</v>
      </c>
      <c r="U86" t="s">
        <v>979</v>
      </c>
      <c r="V86" t="s">
        <v>979</v>
      </c>
      <c r="W86" t="s">
        <v>979</v>
      </c>
      <c r="X86" t="s">
        <v>979</v>
      </c>
      <c r="Y86" t="s">
        <v>979</v>
      </c>
      <c r="Z86" t="s">
        <v>982</v>
      </c>
      <c r="AA86" t="s">
        <v>979</v>
      </c>
      <c r="AB86" t="s">
        <v>982</v>
      </c>
      <c r="AC86" t="s">
        <v>978</v>
      </c>
      <c r="AD86" t="s">
        <v>982</v>
      </c>
      <c r="AE86" t="s">
        <v>979</v>
      </c>
      <c r="AF86" t="s">
        <v>979</v>
      </c>
      <c r="AG86" t="s">
        <v>982</v>
      </c>
      <c r="AH86" t="e">
        <v>#N/A</v>
      </c>
      <c r="AI86" t="s">
        <v>979</v>
      </c>
      <c r="AJ86" t="s">
        <v>979</v>
      </c>
      <c r="AK86" t="s">
        <v>979</v>
      </c>
      <c r="AL86" t="s">
        <v>979</v>
      </c>
      <c r="AM86" t="s">
        <v>979</v>
      </c>
      <c r="AN86" t="s">
        <v>982</v>
      </c>
      <c r="AO86" t="s">
        <v>979</v>
      </c>
      <c r="AP86" t="s">
        <v>982</v>
      </c>
      <c r="AQ86" t="s">
        <v>978</v>
      </c>
      <c r="AR86" t="s">
        <v>982</v>
      </c>
    </row>
    <row r="87" spans="1:44" x14ac:dyDescent="0.3">
      <c r="A87">
        <v>2004</v>
      </c>
      <c r="B87" t="s">
        <v>980</v>
      </c>
      <c r="C87" t="s">
        <v>980</v>
      </c>
      <c r="D87" t="s">
        <v>980</v>
      </c>
      <c r="E87" t="s">
        <v>981</v>
      </c>
      <c r="F87" t="s">
        <v>978</v>
      </c>
      <c r="G87" t="s">
        <v>981</v>
      </c>
      <c r="H87" t="s">
        <v>981</v>
      </c>
      <c r="I87" t="s">
        <v>980</v>
      </c>
      <c r="J87" t="s">
        <v>981</v>
      </c>
      <c r="K87" t="s">
        <v>980</v>
      </c>
      <c r="L87" t="s">
        <v>980</v>
      </c>
      <c r="M87" t="s">
        <v>980</v>
      </c>
      <c r="N87" t="s">
        <v>980</v>
      </c>
      <c r="O87" t="s">
        <v>979</v>
      </c>
      <c r="P87" t="s">
        <v>979</v>
      </c>
      <c r="Q87" t="s">
        <v>982</v>
      </c>
      <c r="R87" t="s">
        <v>982</v>
      </c>
      <c r="S87" t="s">
        <v>979</v>
      </c>
      <c r="T87" t="s">
        <v>978</v>
      </c>
      <c r="U87" t="s">
        <v>979</v>
      </c>
      <c r="V87" t="s">
        <v>979</v>
      </c>
      <c r="W87" t="s">
        <v>978</v>
      </c>
      <c r="X87" t="s">
        <v>979</v>
      </c>
      <c r="Y87" t="s">
        <v>978</v>
      </c>
      <c r="Z87" t="s">
        <v>978</v>
      </c>
      <c r="AA87" t="s">
        <v>978</v>
      </c>
      <c r="AB87" t="s">
        <v>980</v>
      </c>
      <c r="AC87" t="s">
        <v>978</v>
      </c>
      <c r="AD87" t="s">
        <v>980</v>
      </c>
      <c r="AE87" t="s">
        <v>978</v>
      </c>
      <c r="AF87" t="s">
        <v>980</v>
      </c>
      <c r="AG87" t="s">
        <v>979</v>
      </c>
      <c r="AH87" t="e">
        <v>#N/A</v>
      </c>
      <c r="AI87" t="s">
        <v>982</v>
      </c>
      <c r="AJ87" t="s">
        <v>979</v>
      </c>
      <c r="AK87" t="s">
        <v>979</v>
      </c>
      <c r="AL87" t="s">
        <v>979</v>
      </c>
      <c r="AM87" t="s">
        <v>982</v>
      </c>
      <c r="AN87" t="s">
        <v>982</v>
      </c>
      <c r="AO87" t="s">
        <v>979</v>
      </c>
      <c r="AP87" t="s">
        <v>982</v>
      </c>
      <c r="AQ87" t="s">
        <v>979</v>
      </c>
      <c r="AR87" t="s">
        <v>979</v>
      </c>
    </row>
    <row r="88" spans="1:44" x14ac:dyDescent="0.3">
      <c r="A88">
        <v>2005</v>
      </c>
      <c r="B88" t="s">
        <v>982</v>
      </c>
      <c r="C88" t="s">
        <v>982</v>
      </c>
      <c r="D88" t="s">
        <v>982</v>
      </c>
      <c r="E88" t="s">
        <v>982</v>
      </c>
      <c r="F88" t="s">
        <v>982</v>
      </c>
      <c r="G88" t="s">
        <v>982</v>
      </c>
      <c r="H88" t="s">
        <v>982</v>
      </c>
      <c r="I88" t="s">
        <v>982</v>
      </c>
      <c r="J88" t="s">
        <v>982</v>
      </c>
      <c r="K88" t="s">
        <v>982</v>
      </c>
      <c r="L88" t="s">
        <v>982</v>
      </c>
      <c r="M88" t="s">
        <v>982</v>
      </c>
      <c r="N88" t="s">
        <v>982</v>
      </c>
      <c r="O88" t="s">
        <v>982</v>
      </c>
      <c r="P88" t="s">
        <v>982</v>
      </c>
      <c r="Q88" t="s">
        <v>982</v>
      </c>
      <c r="R88" t="s">
        <v>982</v>
      </c>
      <c r="S88" t="s">
        <v>982</v>
      </c>
      <c r="T88" t="s">
        <v>982</v>
      </c>
      <c r="U88" t="s">
        <v>982</v>
      </c>
      <c r="V88" t="s">
        <v>982</v>
      </c>
      <c r="W88" t="s">
        <v>982</v>
      </c>
      <c r="X88" t="s">
        <v>982</v>
      </c>
      <c r="Y88" t="s">
        <v>982</v>
      </c>
      <c r="Z88" t="s">
        <v>982</v>
      </c>
      <c r="AA88" t="s">
        <v>982</v>
      </c>
      <c r="AB88" t="s">
        <v>982</v>
      </c>
      <c r="AC88" t="s">
        <v>982</v>
      </c>
      <c r="AD88" t="s">
        <v>982</v>
      </c>
      <c r="AE88" t="s">
        <v>982</v>
      </c>
      <c r="AF88" t="s">
        <v>982</v>
      </c>
      <c r="AG88" t="s">
        <v>982</v>
      </c>
      <c r="AH88" t="e">
        <v>#N/A</v>
      </c>
      <c r="AI88" t="s">
        <v>982</v>
      </c>
      <c r="AJ88" t="s">
        <v>979</v>
      </c>
      <c r="AK88" t="s">
        <v>982</v>
      </c>
      <c r="AL88" t="s">
        <v>979</v>
      </c>
      <c r="AM88" t="s">
        <v>982</v>
      </c>
      <c r="AN88" t="s">
        <v>982</v>
      </c>
      <c r="AO88" t="s">
        <v>979</v>
      </c>
      <c r="AP88" t="s">
        <v>982</v>
      </c>
      <c r="AQ88" t="s">
        <v>979</v>
      </c>
      <c r="AR88" t="s">
        <v>982</v>
      </c>
    </row>
    <row r="89" spans="1:44" x14ac:dyDescent="0.3">
      <c r="A89">
        <v>2006</v>
      </c>
      <c r="B89" t="s">
        <v>982</v>
      </c>
      <c r="C89" t="s">
        <v>982</v>
      </c>
      <c r="D89" t="s">
        <v>980</v>
      </c>
      <c r="E89" t="s">
        <v>982</v>
      </c>
      <c r="F89" t="s">
        <v>982</v>
      </c>
      <c r="G89" t="s">
        <v>982</v>
      </c>
      <c r="H89" t="s">
        <v>979</v>
      </c>
      <c r="I89" t="s">
        <v>979</v>
      </c>
      <c r="J89" t="s">
        <v>982</v>
      </c>
      <c r="K89" t="s">
        <v>982</v>
      </c>
      <c r="L89" t="s">
        <v>982</v>
      </c>
      <c r="M89" t="s">
        <v>980</v>
      </c>
      <c r="N89" t="s">
        <v>982</v>
      </c>
      <c r="O89" t="s">
        <v>982</v>
      </c>
      <c r="P89" t="s">
        <v>979</v>
      </c>
      <c r="Q89" t="s">
        <v>982</v>
      </c>
      <c r="R89" t="s">
        <v>982</v>
      </c>
      <c r="S89" t="s">
        <v>982</v>
      </c>
      <c r="T89" t="s">
        <v>982</v>
      </c>
      <c r="U89" t="s">
        <v>982</v>
      </c>
      <c r="V89" t="s">
        <v>979</v>
      </c>
      <c r="W89" t="s">
        <v>982</v>
      </c>
      <c r="X89" t="s">
        <v>982</v>
      </c>
      <c r="Y89" t="s">
        <v>982</v>
      </c>
      <c r="Z89" t="s">
        <v>982</v>
      </c>
      <c r="AA89" t="s">
        <v>982</v>
      </c>
      <c r="AB89" t="s">
        <v>982</v>
      </c>
      <c r="AC89" t="s">
        <v>982</v>
      </c>
      <c r="AD89" t="s">
        <v>982</v>
      </c>
      <c r="AE89" t="s">
        <v>982</v>
      </c>
      <c r="AF89" t="s">
        <v>982</v>
      </c>
      <c r="AG89" t="s">
        <v>979</v>
      </c>
      <c r="AH89" t="e">
        <v>#N/A</v>
      </c>
      <c r="AI89" t="s">
        <v>981</v>
      </c>
      <c r="AJ89" t="s">
        <v>980</v>
      </c>
      <c r="AK89" t="s">
        <v>980</v>
      </c>
      <c r="AL89" t="s">
        <v>979</v>
      </c>
      <c r="AM89" t="s">
        <v>980</v>
      </c>
      <c r="AN89" t="s">
        <v>979</v>
      </c>
      <c r="AO89" t="s">
        <v>978</v>
      </c>
      <c r="AP89" t="s">
        <v>979</v>
      </c>
      <c r="AQ89" t="s">
        <v>981</v>
      </c>
      <c r="AR89" t="s">
        <v>982</v>
      </c>
    </row>
    <row r="90" spans="1:44" x14ac:dyDescent="0.3">
      <c r="A90">
        <v>2007</v>
      </c>
      <c r="B90" t="s">
        <v>978</v>
      </c>
      <c r="C90" t="s">
        <v>978</v>
      </c>
      <c r="D90" t="s">
        <v>980</v>
      </c>
      <c r="E90" t="s">
        <v>979</v>
      </c>
      <c r="F90" t="s">
        <v>980</v>
      </c>
      <c r="G90" t="s">
        <v>978</v>
      </c>
      <c r="H90" t="s">
        <v>979</v>
      </c>
      <c r="I90" t="s">
        <v>981</v>
      </c>
      <c r="J90" t="s">
        <v>979</v>
      </c>
      <c r="K90" t="s">
        <v>978</v>
      </c>
      <c r="L90" t="s">
        <v>979</v>
      </c>
      <c r="M90" t="s">
        <v>980</v>
      </c>
      <c r="N90" t="s">
        <v>980</v>
      </c>
      <c r="O90" t="s">
        <v>980</v>
      </c>
      <c r="P90" t="s">
        <v>981</v>
      </c>
      <c r="Q90" t="s">
        <v>980</v>
      </c>
      <c r="R90" t="s">
        <v>980</v>
      </c>
      <c r="S90" t="s">
        <v>981</v>
      </c>
      <c r="T90" t="s">
        <v>980</v>
      </c>
      <c r="U90" t="s">
        <v>980</v>
      </c>
      <c r="V90" t="s">
        <v>981</v>
      </c>
      <c r="W90" t="s">
        <v>981</v>
      </c>
      <c r="X90" t="s">
        <v>980</v>
      </c>
      <c r="Y90" t="s">
        <v>978</v>
      </c>
      <c r="Z90" t="s">
        <v>980</v>
      </c>
      <c r="AA90" t="s">
        <v>980</v>
      </c>
      <c r="AB90" t="s">
        <v>980</v>
      </c>
      <c r="AC90" t="s">
        <v>978</v>
      </c>
      <c r="AD90" t="s">
        <v>980</v>
      </c>
      <c r="AE90" t="s">
        <v>980</v>
      </c>
      <c r="AF90" t="s">
        <v>981</v>
      </c>
      <c r="AG90" t="s">
        <v>981</v>
      </c>
      <c r="AH90" t="e">
        <v>#N/A</v>
      </c>
      <c r="AI90" t="s">
        <v>981</v>
      </c>
      <c r="AJ90" t="s">
        <v>981</v>
      </c>
      <c r="AK90" t="s">
        <v>981</v>
      </c>
      <c r="AL90" t="s">
        <v>981</v>
      </c>
      <c r="AM90" t="s">
        <v>981</v>
      </c>
      <c r="AN90" t="s">
        <v>981</v>
      </c>
      <c r="AO90" t="s">
        <v>981</v>
      </c>
      <c r="AP90" t="s">
        <v>980</v>
      </c>
      <c r="AQ90" t="s">
        <v>981</v>
      </c>
      <c r="AR90" t="s">
        <v>981</v>
      </c>
    </row>
    <row r="91" spans="1:44" x14ac:dyDescent="0.3">
      <c r="A91">
        <v>2008</v>
      </c>
      <c r="B91" t="s">
        <v>981</v>
      </c>
      <c r="C91" t="s">
        <v>981</v>
      </c>
      <c r="D91" t="s">
        <v>981</v>
      </c>
      <c r="E91" t="s">
        <v>981</v>
      </c>
      <c r="F91" t="s">
        <v>981</v>
      </c>
      <c r="G91" t="s">
        <v>981</v>
      </c>
      <c r="H91" t="s">
        <v>981</v>
      </c>
      <c r="I91" t="s">
        <v>981</v>
      </c>
      <c r="J91" t="s">
        <v>981</v>
      </c>
      <c r="K91" t="s">
        <v>981</v>
      </c>
      <c r="L91" t="s">
        <v>981</v>
      </c>
      <c r="M91" t="s">
        <v>981</v>
      </c>
      <c r="N91" t="s">
        <v>981</v>
      </c>
      <c r="O91" t="s">
        <v>981</v>
      </c>
      <c r="P91" t="s">
        <v>981</v>
      </c>
      <c r="Q91" t="s">
        <v>978</v>
      </c>
      <c r="R91" t="s">
        <v>980</v>
      </c>
      <c r="S91" t="s">
        <v>980</v>
      </c>
      <c r="T91" t="s">
        <v>980</v>
      </c>
      <c r="U91" t="s">
        <v>981</v>
      </c>
      <c r="V91" t="s">
        <v>981</v>
      </c>
      <c r="W91" t="s">
        <v>980</v>
      </c>
      <c r="X91" t="s">
        <v>981</v>
      </c>
      <c r="Y91" t="s">
        <v>981</v>
      </c>
      <c r="Z91" t="s">
        <v>981</v>
      </c>
      <c r="AA91" t="s">
        <v>981</v>
      </c>
      <c r="AB91" t="s">
        <v>981</v>
      </c>
      <c r="AC91" t="s">
        <v>980</v>
      </c>
      <c r="AD91" t="s">
        <v>981</v>
      </c>
      <c r="AE91" t="s">
        <v>980</v>
      </c>
      <c r="AF91" t="s">
        <v>981</v>
      </c>
      <c r="AG91" t="s">
        <v>981</v>
      </c>
      <c r="AH91" t="e">
        <v>#N/A</v>
      </c>
      <c r="AI91" t="s">
        <v>979</v>
      </c>
      <c r="AJ91" t="s">
        <v>980</v>
      </c>
      <c r="AK91" t="s">
        <v>978</v>
      </c>
      <c r="AL91" t="s">
        <v>978</v>
      </c>
      <c r="AM91" t="s">
        <v>978</v>
      </c>
      <c r="AN91" t="s">
        <v>980</v>
      </c>
      <c r="AO91" t="s">
        <v>980</v>
      </c>
      <c r="AP91" t="s">
        <v>978</v>
      </c>
      <c r="AQ91" t="s">
        <v>981</v>
      </c>
      <c r="AR91" t="s">
        <v>981</v>
      </c>
    </row>
    <row r="92" spans="1:44" x14ac:dyDescent="0.3">
      <c r="A92">
        <v>2009</v>
      </c>
      <c r="B92" t="s">
        <v>978</v>
      </c>
      <c r="C92" t="s">
        <v>979</v>
      </c>
      <c r="D92" t="s">
        <v>978</v>
      </c>
      <c r="E92" t="s">
        <v>979</v>
      </c>
      <c r="F92" t="s">
        <v>978</v>
      </c>
      <c r="G92" t="s">
        <v>978</v>
      </c>
      <c r="H92" t="s">
        <v>979</v>
      </c>
      <c r="I92" t="s">
        <v>980</v>
      </c>
      <c r="J92" t="s">
        <v>979</v>
      </c>
      <c r="K92" t="s">
        <v>979</v>
      </c>
      <c r="L92" t="s">
        <v>979</v>
      </c>
      <c r="M92" t="s">
        <v>978</v>
      </c>
      <c r="N92" t="s">
        <v>980</v>
      </c>
      <c r="O92" t="s">
        <v>980</v>
      </c>
      <c r="P92" t="s">
        <v>978</v>
      </c>
      <c r="Q92" t="s">
        <v>979</v>
      </c>
      <c r="R92" t="s">
        <v>980</v>
      </c>
      <c r="S92" t="s">
        <v>978</v>
      </c>
      <c r="T92" t="s">
        <v>980</v>
      </c>
      <c r="U92" t="s">
        <v>979</v>
      </c>
      <c r="V92" t="s">
        <v>980</v>
      </c>
      <c r="W92" t="s">
        <v>980</v>
      </c>
      <c r="X92" t="s">
        <v>978</v>
      </c>
      <c r="Y92" t="s">
        <v>978</v>
      </c>
      <c r="Z92" t="s">
        <v>980</v>
      </c>
      <c r="AA92" t="s">
        <v>978</v>
      </c>
      <c r="AB92" t="s">
        <v>978</v>
      </c>
      <c r="AC92" t="s">
        <v>978</v>
      </c>
      <c r="AD92" t="s">
        <v>978</v>
      </c>
      <c r="AE92" t="s">
        <v>979</v>
      </c>
      <c r="AF92" t="s">
        <v>980</v>
      </c>
      <c r="AG92" t="s">
        <v>981</v>
      </c>
      <c r="AH92" t="e">
        <v>#N/A</v>
      </c>
      <c r="AI92" t="s">
        <v>980</v>
      </c>
      <c r="AJ92" t="s">
        <v>981</v>
      </c>
      <c r="AK92" t="s">
        <v>981</v>
      </c>
      <c r="AL92" t="s">
        <v>981</v>
      </c>
      <c r="AM92" t="s">
        <v>981</v>
      </c>
      <c r="AN92" t="s">
        <v>980</v>
      </c>
      <c r="AO92" t="s">
        <v>981</v>
      </c>
      <c r="AP92" t="s">
        <v>978</v>
      </c>
      <c r="AQ92" t="s">
        <v>981</v>
      </c>
      <c r="AR92" t="s">
        <v>980</v>
      </c>
    </row>
    <row r="93" spans="1:44" x14ac:dyDescent="0.3">
      <c r="A93">
        <v>2010</v>
      </c>
      <c r="B93" t="s">
        <v>982</v>
      </c>
      <c r="C93" t="s">
        <v>982</v>
      </c>
      <c r="D93" t="s">
        <v>982</v>
      </c>
      <c r="E93" t="s">
        <v>982</v>
      </c>
      <c r="F93" t="s">
        <v>982</v>
      </c>
      <c r="G93" t="s">
        <v>982</v>
      </c>
      <c r="H93" t="s">
        <v>982</v>
      </c>
      <c r="I93" t="s">
        <v>982</v>
      </c>
      <c r="J93" t="s">
        <v>982</v>
      </c>
      <c r="K93" t="s">
        <v>982</v>
      </c>
      <c r="L93" t="s">
        <v>982</v>
      </c>
      <c r="M93" t="s">
        <v>982</v>
      </c>
      <c r="N93" t="s">
        <v>982</v>
      </c>
      <c r="O93" t="s">
        <v>982</v>
      </c>
      <c r="P93" t="s">
        <v>982</v>
      </c>
      <c r="Q93" t="s">
        <v>982</v>
      </c>
      <c r="R93" t="s">
        <v>982</v>
      </c>
      <c r="S93" t="s">
        <v>982</v>
      </c>
      <c r="T93" t="s">
        <v>982</v>
      </c>
      <c r="U93" t="s">
        <v>982</v>
      </c>
      <c r="V93" t="s">
        <v>982</v>
      </c>
      <c r="W93" t="s">
        <v>982</v>
      </c>
      <c r="X93" t="s">
        <v>982</v>
      </c>
      <c r="Y93" t="s">
        <v>982</v>
      </c>
      <c r="Z93" t="s">
        <v>982</v>
      </c>
      <c r="AA93" t="s">
        <v>982</v>
      </c>
      <c r="AB93" t="s">
        <v>982</v>
      </c>
      <c r="AC93" t="s">
        <v>982</v>
      </c>
      <c r="AD93" t="s">
        <v>982</v>
      </c>
      <c r="AE93" t="s">
        <v>982</v>
      </c>
      <c r="AF93" t="s">
        <v>982</v>
      </c>
      <c r="AG93" t="s">
        <v>982</v>
      </c>
      <c r="AH93" t="e">
        <v>#N/A</v>
      </c>
      <c r="AI93" t="s">
        <v>982</v>
      </c>
      <c r="AJ93" t="s">
        <v>982</v>
      </c>
      <c r="AK93" t="s">
        <v>982</v>
      </c>
      <c r="AL93" t="s">
        <v>982</v>
      </c>
      <c r="AM93" t="s">
        <v>982</v>
      </c>
      <c r="AN93" t="s">
        <v>982</v>
      </c>
      <c r="AO93" t="s">
        <v>982</v>
      </c>
      <c r="AP93" t="s">
        <v>982</v>
      </c>
      <c r="AQ93" t="s">
        <v>982</v>
      </c>
      <c r="AR93" t="s">
        <v>982</v>
      </c>
    </row>
    <row r="94" spans="1:44" x14ac:dyDescent="0.3">
      <c r="A94">
        <v>2011</v>
      </c>
      <c r="B94" t="s">
        <v>982</v>
      </c>
      <c r="C94" t="s">
        <v>982</v>
      </c>
      <c r="D94" t="s">
        <v>982</v>
      </c>
      <c r="E94" t="s">
        <v>982</v>
      </c>
      <c r="F94" t="s">
        <v>982</v>
      </c>
      <c r="G94" t="s">
        <v>982</v>
      </c>
      <c r="H94" t="s">
        <v>982</v>
      </c>
      <c r="I94" t="s">
        <v>982</v>
      </c>
      <c r="J94" t="s">
        <v>982</v>
      </c>
      <c r="K94" t="s">
        <v>982</v>
      </c>
      <c r="L94" t="s">
        <v>982</v>
      </c>
      <c r="M94" t="s">
        <v>982</v>
      </c>
      <c r="N94" t="s">
        <v>982</v>
      </c>
      <c r="O94" t="s">
        <v>982</v>
      </c>
      <c r="P94" t="s">
        <v>979</v>
      </c>
      <c r="Q94" t="s">
        <v>982</v>
      </c>
      <c r="R94" t="s">
        <v>982</v>
      </c>
      <c r="S94" t="s">
        <v>982</v>
      </c>
      <c r="T94" t="s">
        <v>982</v>
      </c>
      <c r="U94" t="s">
        <v>982</v>
      </c>
      <c r="V94" t="s">
        <v>979</v>
      </c>
      <c r="W94" t="s">
        <v>982</v>
      </c>
      <c r="X94" t="s">
        <v>982</v>
      </c>
      <c r="Y94" t="s">
        <v>982</v>
      </c>
      <c r="Z94" t="s">
        <v>982</v>
      </c>
      <c r="AA94" t="s">
        <v>982</v>
      </c>
      <c r="AB94" t="s">
        <v>982</v>
      </c>
      <c r="AC94" t="s">
        <v>982</v>
      </c>
      <c r="AD94" t="s">
        <v>979</v>
      </c>
      <c r="AE94" t="s">
        <v>982</v>
      </c>
      <c r="AF94" t="s">
        <v>978</v>
      </c>
      <c r="AG94" t="s">
        <v>978</v>
      </c>
      <c r="AH94" t="e">
        <v>#N/A</v>
      </c>
      <c r="AI94" t="s">
        <v>979</v>
      </c>
      <c r="AJ94" t="s">
        <v>978</v>
      </c>
      <c r="AK94" t="s">
        <v>979</v>
      </c>
      <c r="AL94" t="s">
        <v>979</v>
      </c>
      <c r="AM94" t="s">
        <v>979</v>
      </c>
      <c r="AN94" t="s">
        <v>979</v>
      </c>
      <c r="AO94" t="s">
        <v>979</v>
      </c>
      <c r="AP94" t="s">
        <v>979</v>
      </c>
      <c r="AQ94" t="s">
        <v>978</v>
      </c>
      <c r="AR94" t="s">
        <v>979</v>
      </c>
    </row>
    <row r="95" spans="1:44" x14ac:dyDescent="0.3">
      <c r="A95">
        <v>2012</v>
      </c>
      <c r="B95" t="s">
        <v>979</v>
      </c>
      <c r="C95" t="s">
        <v>979</v>
      </c>
      <c r="D95" t="s">
        <v>979</v>
      </c>
      <c r="E95" t="s">
        <v>979</v>
      </c>
      <c r="F95" t="s">
        <v>979</v>
      </c>
      <c r="G95" t="s">
        <v>979</v>
      </c>
      <c r="H95" t="s">
        <v>982</v>
      </c>
      <c r="I95" t="s">
        <v>979</v>
      </c>
      <c r="J95" t="s">
        <v>982</v>
      </c>
      <c r="K95" t="s">
        <v>979</v>
      </c>
      <c r="L95" t="s">
        <v>982</v>
      </c>
      <c r="M95" t="s">
        <v>979</v>
      </c>
      <c r="N95" t="s">
        <v>979</v>
      </c>
      <c r="O95" t="s">
        <v>979</v>
      </c>
      <c r="P95" t="s">
        <v>978</v>
      </c>
      <c r="Q95" t="s">
        <v>979</v>
      </c>
      <c r="R95" t="s">
        <v>982</v>
      </c>
      <c r="S95" t="s">
        <v>978</v>
      </c>
      <c r="T95" t="s">
        <v>979</v>
      </c>
      <c r="U95" t="s">
        <v>979</v>
      </c>
      <c r="V95" t="s">
        <v>981</v>
      </c>
      <c r="W95" t="s">
        <v>978</v>
      </c>
      <c r="X95" t="s">
        <v>979</v>
      </c>
      <c r="Y95" t="s">
        <v>979</v>
      </c>
      <c r="Z95" t="s">
        <v>979</v>
      </c>
      <c r="AA95" t="s">
        <v>979</v>
      </c>
      <c r="AB95" t="s">
        <v>982</v>
      </c>
      <c r="AC95" t="s">
        <v>979</v>
      </c>
      <c r="AD95" t="s">
        <v>979</v>
      </c>
      <c r="AE95" t="s">
        <v>978</v>
      </c>
      <c r="AF95" t="s">
        <v>978</v>
      </c>
      <c r="AG95" t="s">
        <v>981</v>
      </c>
      <c r="AH95" t="e">
        <v>#N/A</v>
      </c>
      <c r="AI95" t="s">
        <v>980</v>
      </c>
      <c r="AJ95" t="s">
        <v>981</v>
      </c>
      <c r="AK95" t="s">
        <v>980</v>
      </c>
      <c r="AL95" t="s">
        <v>978</v>
      </c>
      <c r="AM95" t="s">
        <v>981</v>
      </c>
      <c r="AN95" t="s">
        <v>981</v>
      </c>
      <c r="AO95" t="s">
        <v>980</v>
      </c>
      <c r="AP95" t="s">
        <v>980</v>
      </c>
      <c r="AQ95" t="s">
        <v>980</v>
      </c>
      <c r="AR95" t="s">
        <v>978</v>
      </c>
    </row>
    <row r="96" spans="1:44" x14ac:dyDescent="0.3">
      <c r="A96">
        <v>2013</v>
      </c>
      <c r="B96" t="s">
        <v>981</v>
      </c>
      <c r="C96" t="s">
        <v>981</v>
      </c>
      <c r="D96" t="s">
        <v>981</v>
      </c>
      <c r="E96" t="s">
        <v>981</v>
      </c>
      <c r="F96" t="s">
        <v>981</v>
      </c>
      <c r="G96" t="s">
        <v>981</v>
      </c>
      <c r="H96" t="s">
        <v>981</v>
      </c>
      <c r="I96" t="s">
        <v>981</v>
      </c>
      <c r="J96" t="s">
        <v>981</v>
      </c>
      <c r="K96" t="s">
        <v>981</v>
      </c>
      <c r="L96" t="s">
        <v>981</v>
      </c>
      <c r="M96" t="s">
        <v>981</v>
      </c>
      <c r="N96" t="s">
        <v>981</v>
      </c>
      <c r="O96" t="s">
        <v>980</v>
      </c>
      <c r="P96" t="s">
        <v>981</v>
      </c>
      <c r="Q96" t="s">
        <v>981</v>
      </c>
      <c r="R96" t="s">
        <v>980</v>
      </c>
      <c r="S96" t="s">
        <v>981</v>
      </c>
      <c r="T96" t="s">
        <v>981</v>
      </c>
      <c r="U96" t="s">
        <v>981</v>
      </c>
      <c r="V96" t="s">
        <v>981</v>
      </c>
      <c r="W96" t="s">
        <v>981</v>
      </c>
      <c r="X96" t="s">
        <v>981</v>
      </c>
      <c r="Y96" t="s">
        <v>981</v>
      </c>
      <c r="Z96" t="s">
        <v>981</v>
      </c>
      <c r="AA96" t="s">
        <v>981</v>
      </c>
      <c r="AB96" t="s">
        <v>981</v>
      </c>
      <c r="AC96" t="s">
        <v>981</v>
      </c>
      <c r="AD96" t="s">
        <v>981</v>
      </c>
      <c r="AE96" t="s">
        <v>981</v>
      </c>
      <c r="AF96" t="s">
        <v>981</v>
      </c>
      <c r="AG96" t="s">
        <v>981</v>
      </c>
      <c r="AH96" t="e">
        <v>#N/A</v>
      </c>
      <c r="AI96" t="s">
        <v>978</v>
      </c>
      <c r="AJ96" t="s">
        <v>981</v>
      </c>
      <c r="AK96" t="s">
        <v>980</v>
      </c>
      <c r="AL96" t="s">
        <v>981</v>
      </c>
      <c r="AM96" t="s">
        <v>981</v>
      </c>
      <c r="AN96" t="s">
        <v>981</v>
      </c>
      <c r="AO96" t="s">
        <v>980</v>
      </c>
      <c r="AP96" t="s">
        <v>981</v>
      </c>
      <c r="AQ96" t="s">
        <v>980</v>
      </c>
      <c r="AR96" t="s">
        <v>981</v>
      </c>
    </row>
    <row r="97" spans="1:44" x14ac:dyDescent="0.3">
      <c r="A97">
        <v>2014</v>
      </c>
      <c r="B97" t="s">
        <v>979</v>
      </c>
      <c r="C97" t="s">
        <v>980</v>
      </c>
      <c r="D97" t="s">
        <v>980</v>
      </c>
      <c r="E97" t="s">
        <v>980</v>
      </c>
      <c r="F97" t="s">
        <v>981</v>
      </c>
      <c r="G97" t="s">
        <v>980</v>
      </c>
      <c r="H97" t="s">
        <v>978</v>
      </c>
      <c r="I97" t="s">
        <v>981</v>
      </c>
      <c r="J97" t="s">
        <v>978</v>
      </c>
      <c r="K97" t="s">
        <v>980</v>
      </c>
      <c r="L97" t="s">
        <v>980</v>
      </c>
      <c r="M97" t="s">
        <v>980</v>
      </c>
      <c r="N97" t="s">
        <v>981</v>
      </c>
      <c r="O97" t="s">
        <v>978</v>
      </c>
      <c r="P97" t="s">
        <v>980</v>
      </c>
      <c r="Q97" t="s">
        <v>980</v>
      </c>
      <c r="R97" t="s">
        <v>979</v>
      </c>
      <c r="S97" t="s">
        <v>978</v>
      </c>
      <c r="T97" t="s">
        <v>980</v>
      </c>
      <c r="U97" t="s">
        <v>980</v>
      </c>
      <c r="V97" t="s">
        <v>981</v>
      </c>
      <c r="W97" t="s">
        <v>981</v>
      </c>
      <c r="X97" t="s">
        <v>981</v>
      </c>
      <c r="Y97" t="s">
        <v>980</v>
      </c>
      <c r="Z97" t="s">
        <v>978</v>
      </c>
      <c r="AA97" t="s">
        <v>980</v>
      </c>
      <c r="AB97" t="s">
        <v>978</v>
      </c>
      <c r="AC97" t="s">
        <v>980</v>
      </c>
      <c r="AD97" t="s">
        <v>981</v>
      </c>
      <c r="AE97" t="s">
        <v>981</v>
      </c>
      <c r="AF97" t="s">
        <v>981</v>
      </c>
      <c r="AG97" t="s">
        <v>981</v>
      </c>
      <c r="AH97" t="e">
        <v>#N/A</v>
      </c>
      <c r="AI97" t="s">
        <v>981</v>
      </c>
      <c r="AJ97" t="s">
        <v>981</v>
      </c>
      <c r="AK97" t="s">
        <v>980</v>
      </c>
      <c r="AL97" t="s">
        <v>981</v>
      </c>
      <c r="AM97" t="s">
        <v>981</v>
      </c>
      <c r="AN97" t="s">
        <v>981</v>
      </c>
      <c r="AO97" t="s">
        <v>980</v>
      </c>
      <c r="AP97" t="s">
        <v>981</v>
      </c>
      <c r="AQ97" t="s">
        <v>980</v>
      </c>
      <c r="AR97" t="s">
        <v>981</v>
      </c>
    </row>
    <row r="98" spans="1:44" x14ac:dyDescent="0.3">
      <c r="A98">
        <v>2015</v>
      </c>
      <c r="B98" t="s">
        <v>981</v>
      </c>
      <c r="C98" t="s">
        <v>981</v>
      </c>
      <c r="D98" t="s">
        <v>981</v>
      </c>
      <c r="E98" t="s">
        <v>981</v>
      </c>
      <c r="F98" t="s">
        <v>980</v>
      </c>
      <c r="G98" t="s">
        <v>981</v>
      </c>
      <c r="H98" t="s">
        <v>980</v>
      </c>
      <c r="I98" t="s">
        <v>981</v>
      </c>
      <c r="J98" t="s">
        <v>980</v>
      </c>
      <c r="K98" t="s">
        <v>981</v>
      </c>
      <c r="L98" t="s">
        <v>981</v>
      </c>
      <c r="M98" t="s">
        <v>981</v>
      </c>
      <c r="N98" t="s">
        <v>981</v>
      </c>
      <c r="O98" t="s">
        <v>978</v>
      </c>
      <c r="P98" t="s">
        <v>980</v>
      </c>
      <c r="Q98" t="s">
        <v>979</v>
      </c>
      <c r="R98" t="s">
        <v>979</v>
      </c>
      <c r="S98" t="s">
        <v>979</v>
      </c>
      <c r="T98" t="s">
        <v>979</v>
      </c>
      <c r="U98" t="s">
        <v>980</v>
      </c>
      <c r="V98" t="s">
        <v>978</v>
      </c>
      <c r="W98" t="s">
        <v>979</v>
      </c>
      <c r="X98" t="s">
        <v>981</v>
      </c>
      <c r="Y98" t="s">
        <v>980</v>
      </c>
      <c r="Z98" t="s">
        <v>981</v>
      </c>
      <c r="AA98" t="s">
        <v>980</v>
      </c>
      <c r="AB98" t="s">
        <v>981</v>
      </c>
      <c r="AC98" t="s">
        <v>981</v>
      </c>
      <c r="AD98" t="s">
        <v>981</v>
      </c>
      <c r="AE98" t="s">
        <v>980</v>
      </c>
      <c r="AF98" t="s">
        <v>980</v>
      </c>
      <c r="AG98" t="s">
        <v>980</v>
      </c>
      <c r="AH98" t="e">
        <v>#N/A</v>
      </c>
      <c r="AI98" t="s">
        <v>979</v>
      </c>
      <c r="AJ98" t="s">
        <v>980</v>
      </c>
      <c r="AK98" t="s">
        <v>979</v>
      </c>
      <c r="AL98" t="s">
        <v>978</v>
      </c>
      <c r="AM98" t="s">
        <v>978</v>
      </c>
      <c r="AN98" t="s">
        <v>978</v>
      </c>
      <c r="AO98" t="s">
        <v>978</v>
      </c>
      <c r="AP98" t="s">
        <v>981</v>
      </c>
      <c r="AQ98" t="s">
        <v>978</v>
      </c>
      <c r="AR98" t="s">
        <v>980</v>
      </c>
    </row>
  </sheetData>
  <pageMargins left="0.7" right="0.7" top="0.75" bottom="0.75" header="0.3" footer="0.3"/>
  <pageSetup orientation="portrait" horizont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049C-3386-43B9-80D8-E265C35955BE}">
  <sheetPr codeName="Sheet26">
    <tabColor theme="1"/>
  </sheetPr>
  <dimension ref="A1"/>
  <sheetViews>
    <sheetView workbookViewId="0">
      <selection activeCell="F16" sqref="F16"/>
    </sheetView>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8D4DD-471F-4C68-88DC-86D73A80421F}">
  <sheetPr codeName="Sheet5" filterMode="1">
    <tabColor theme="9"/>
  </sheetPr>
  <dimension ref="A1:AS801"/>
  <sheetViews>
    <sheetView topLeftCell="A253" zoomScale="84" workbookViewId="0">
      <selection activeCell="A155" sqref="A155"/>
    </sheetView>
  </sheetViews>
  <sheetFormatPr defaultColWidth="9.109375" defaultRowHeight="14.4" outlineLevelRow="1" x14ac:dyDescent="0.3"/>
  <cols>
    <col min="1" max="2" width="78.44140625" customWidth="1"/>
    <col min="3" max="3" width="40" customWidth="1"/>
    <col min="4" max="4" width="13.88671875" bestFit="1" customWidth="1"/>
    <col min="5" max="5" width="25.44140625" customWidth="1"/>
    <col min="6" max="7" width="13.88671875" bestFit="1" customWidth="1"/>
    <col min="8" max="8" width="13.88671875" style="529" bestFit="1" customWidth="1"/>
    <col min="9" max="9" width="66.44140625" bestFit="1" customWidth="1"/>
    <col min="10" max="10" width="11.44140625" customWidth="1"/>
    <col min="11" max="11" width="94" bestFit="1" customWidth="1"/>
    <col min="12" max="12" width="47.109375" customWidth="1"/>
    <col min="13" max="15" width="12.6640625" customWidth="1"/>
    <col min="16" max="16" width="11.5546875" customWidth="1"/>
    <col min="17" max="26" width="9.109375" customWidth="1"/>
  </cols>
  <sheetData>
    <row r="1" spans="1:16" ht="25.8" x14ac:dyDescent="0.5">
      <c r="A1" s="74" t="s">
        <v>983</v>
      </c>
      <c r="B1" s="74"/>
      <c r="C1" s="70"/>
      <c r="D1" s="70"/>
      <c r="E1" s="67"/>
      <c r="F1" s="70"/>
      <c r="G1" s="70"/>
      <c r="H1" s="507"/>
      <c r="I1" s="165"/>
      <c r="J1" s="70"/>
      <c r="K1" s="70"/>
      <c r="L1" s="70"/>
      <c r="M1" s="70"/>
      <c r="P1" s="70"/>
    </row>
    <row r="2" spans="1:16" ht="15.6" x14ac:dyDescent="0.3">
      <c r="A2" s="559" t="s">
        <v>984</v>
      </c>
      <c r="B2" s="559"/>
      <c r="C2" s="560"/>
      <c r="D2" s="560"/>
      <c r="E2" s="560"/>
      <c r="F2" s="560"/>
      <c r="G2" s="560"/>
      <c r="H2" s="561"/>
      <c r="I2" s="165"/>
      <c r="J2" s="70"/>
      <c r="K2" s="70"/>
      <c r="L2" s="70"/>
      <c r="M2" s="70"/>
      <c r="P2" s="70"/>
    </row>
    <row r="3" spans="1:16" ht="15.6" x14ac:dyDescent="0.3">
      <c r="A3" s="560"/>
      <c r="B3" s="560"/>
      <c r="C3" s="560"/>
      <c r="D3" s="560"/>
      <c r="E3" s="560"/>
      <c r="F3" s="560"/>
      <c r="G3" s="560"/>
      <c r="H3" s="561"/>
      <c r="I3" s="165"/>
      <c r="J3" s="70"/>
      <c r="K3" s="70"/>
      <c r="L3" s="70"/>
      <c r="M3" s="70"/>
      <c r="P3" s="70"/>
    </row>
    <row r="4" spans="1:16" ht="15.6" x14ac:dyDescent="0.3">
      <c r="A4" s="560"/>
      <c r="B4" s="560"/>
      <c r="C4" s="560"/>
      <c r="D4" s="560"/>
      <c r="E4" s="560"/>
      <c r="F4" s="560"/>
      <c r="G4" s="560"/>
      <c r="H4" s="561"/>
      <c r="I4" s="165"/>
      <c r="J4" s="70"/>
      <c r="K4" s="70"/>
      <c r="L4" s="70"/>
      <c r="M4" s="70"/>
      <c r="P4" s="70"/>
    </row>
    <row r="5" spans="1:16" ht="15.6" x14ac:dyDescent="0.3">
      <c r="A5" s="560"/>
      <c r="B5" s="560"/>
      <c r="C5" s="560"/>
      <c r="D5" s="560"/>
      <c r="E5" s="560"/>
      <c r="F5" s="560"/>
      <c r="G5" s="560"/>
      <c r="H5" s="561"/>
      <c r="I5" s="165"/>
      <c r="J5" s="70"/>
      <c r="K5" s="70"/>
      <c r="L5" s="70"/>
      <c r="M5" s="70"/>
      <c r="N5" s="70"/>
      <c r="O5" s="70"/>
      <c r="P5" s="70"/>
    </row>
    <row r="6" spans="1:16" ht="15.6" x14ac:dyDescent="0.3">
      <c r="A6" s="560"/>
      <c r="B6" s="560"/>
      <c r="C6" s="560"/>
      <c r="D6" s="560"/>
      <c r="E6" s="560"/>
      <c r="F6" s="560"/>
      <c r="G6" s="560"/>
      <c r="H6" s="561"/>
      <c r="I6" s="165"/>
      <c r="J6" s="70"/>
      <c r="K6" s="70"/>
      <c r="L6" s="70"/>
      <c r="M6" s="70"/>
      <c r="N6" s="70"/>
      <c r="O6" s="70"/>
      <c r="P6" s="70"/>
    </row>
    <row r="7" spans="1:16" ht="15.6" x14ac:dyDescent="0.3">
      <c r="A7" s="560"/>
      <c r="B7" s="560"/>
      <c r="C7" s="560"/>
      <c r="D7" s="560"/>
      <c r="E7" s="560"/>
      <c r="F7" s="560"/>
      <c r="G7" s="560"/>
      <c r="H7" s="561"/>
      <c r="I7" s="165"/>
      <c r="J7" s="70"/>
      <c r="K7" s="70"/>
      <c r="L7" s="70"/>
      <c r="M7" s="70"/>
      <c r="N7" s="70"/>
      <c r="O7" s="70"/>
      <c r="P7" s="70"/>
    </row>
    <row r="8" spans="1:16" ht="24" customHeight="1" x14ac:dyDescent="0.3">
      <c r="A8" s="560"/>
      <c r="B8" s="560"/>
      <c r="C8" s="560"/>
      <c r="D8" s="560"/>
      <c r="E8" s="560"/>
      <c r="F8" s="560"/>
      <c r="G8" s="560"/>
      <c r="H8" s="561"/>
      <c r="I8" s="165"/>
      <c r="J8" s="70"/>
      <c r="K8" s="70"/>
      <c r="L8" s="70"/>
      <c r="M8" s="70"/>
      <c r="N8" s="70"/>
      <c r="O8" s="70"/>
      <c r="P8" s="70"/>
    </row>
    <row r="9" spans="1:16" ht="16.2" thickBot="1" x14ac:dyDescent="0.35">
      <c r="A9" s="70"/>
      <c r="B9" s="70"/>
      <c r="C9" s="70"/>
      <c r="D9" s="165"/>
      <c r="E9" s="165"/>
      <c r="F9" s="165"/>
      <c r="G9" s="165"/>
      <c r="H9" s="508"/>
      <c r="I9" s="165"/>
      <c r="J9" s="70"/>
      <c r="K9" s="70"/>
      <c r="L9" s="70"/>
      <c r="M9" s="70"/>
      <c r="N9" s="70"/>
      <c r="O9" s="70"/>
      <c r="P9" s="70"/>
    </row>
    <row r="10" spans="1:16" ht="15.6" x14ac:dyDescent="0.3">
      <c r="A10" s="209" t="s">
        <v>985</v>
      </c>
      <c r="B10" s="210"/>
      <c r="C10" s="70"/>
      <c r="D10" s="165"/>
      <c r="E10" s="165"/>
      <c r="F10" s="165"/>
      <c r="G10" s="165"/>
      <c r="H10" s="508"/>
      <c r="I10" s="165"/>
      <c r="J10" s="70"/>
      <c r="K10" s="70"/>
      <c r="L10" s="70"/>
      <c r="M10" s="70"/>
      <c r="N10" s="70"/>
      <c r="O10" s="70"/>
      <c r="P10" s="70"/>
    </row>
    <row r="11" spans="1:16" ht="15.6" x14ac:dyDescent="0.3">
      <c r="A11" s="211" t="s">
        <v>986</v>
      </c>
      <c r="B11" s="212">
        <v>2.29569E-5</v>
      </c>
      <c r="C11" s="70"/>
      <c r="D11" s="165"/>
      <c r="E11" s="165"/>
      <c r="F11" s="165"/>
      <c r="G11" s="165"/>
      <c r="H11" s="508"/>
      <c r="I11" s="165"/>
      <c r="J11" s="70"/>
      <c r="K11" s="70"/>
      <c r="L11" s="70"/>
      <c r="M11" s="70"/>
      <c r="N11" s="70"/>
      <c r="O11" s="70"/>
      <c r="P11" s="70"/>
    </row>
    <row r="12" spans="1:16" ht="15.6" x14ac:dyDescent="0.3">
      <c r="A12" s="211" t="s">
        <v>987</v>
      </c>
      <c r="B12" s="213">
        <v>3.0688878499999999</v>
      </c>
      <c r="C12" s="70"/>
      <c r="D12" s="165"/>
      <c r="E12" s="165"/>
      <c r="F12" s="165"/>
      <c r="G12" s="165"/>
      <c r="H12" s="508"/>
      <c r="I12" s="165"/>
      <c r="J12" s="70"/>
      <c r="K12" s="70"/>
      <c r="L12" s="70"/>
      <c r="M12" s="70"/>
      <c r="N12" s="70"/>
      <c r="O12" s="70"/>
      <c r="P12" s="70"/>
    </row>
    <row r="13" spans="1:16" ht="16.2" thickBot="1" x14ac:dyDescent="0.35">
      <c r="A13" s="214" t="s">
        <v>988</v>
      </c>
      <c r="B13" s="215">
        <v>1</v>
      </c>
      <c r="C13" s="70"/>
      <c r="D13" s="165"/>
      <c r="E13" s="165"/>
      <c r="F13" s="165"/>
      <c r="G13" s="165"/>
      <c r="H13" s="508"/>
      <c r="I13" s="165"/>
      <c r="J13" s="70"/>
      <c r="K13" s="70"/>
      <c r="L13" s="70"/>
      <c r="M13" s="70"/>
      <c r="N13" s="70"/>
      <c r="O13" s="70"/>
      <c r="P13" s="70"/>
    </row>
    <row r="14" spans="1:16" ht="15.6" x14ac:dyDescent="0.3">
      <c r="A14" s="70"/>
      <c r="B14" s="70"/>
      <c r="C14" s="70"/>
      <c r="D14" s="165"/>
      <c r="E14" s="165"/>
      <c r="F14" s="165"/>
      <c r="G14" s="165"/>
      <c r="H14" s="508"/>
      <c r="I14" s="165"/>
      <c r="J14" s="70"/>
      <c r="K14" s="70"/>
      <c r="L14" s="70"/>
      <c r="M14" s="70"/>
      <c r="N14" s="70"/>
      <c r="O14" s="70"/>
      <c r="P14" s="70"/>
    </row>
    <row r="15" spans="1:16" ht="15.6" x14ac:dyDescent="0.3">
      <c r="A15" s="70"/>
      <c r="B15" s="70"/>
      <c r="C15" s="70"/>
      <c r="D15" s="165"/>
      <c r="E15" s="165"/>
      <c r="F15" s="165"/>
      <c r="G15" s="165"/>
      <c r="H15" s="508"/>
      <c r="I15" s="165"/>
      <c r="J15" s="70"/>
      <c r="K15" s="70"/>
      <c r="L15" s="70"/>
      <c r="M15" s="70"/>
      <c r="N15" s="70"/>
      <c r="O15" s="70"/>
      <c r="P15" s="70"/>
    </row>
    <row r="16" spans="1:16" ht="15.6" x14ac:dyDescent="0.3">
      <c r="A16" s="165"/>
      <c r="B16" s="165"/>
      <c r="C16" s="165"/>
      <c r="D16" s="165"/>
      <c r="E16" s="165"/>
      <c r="F16" s="165"/>
      <c r="G16" s="165"/>
      <c r="H16" s="508"/>
      <c r="I16" s="165"/>
      <c r="J16" s="70"/>
      <c r="K16" s="70"/>
      <c r="L16" s="70"/>
      <c r="M16" s="70"/>
      <c r="N16" s="70"/>
      <c r="O16" s="70"/>
      <c r="P16" s="70"/>
    </row>
    <row r="17" spans="1:17" ht="25.8" x14ac:dyDescent="0.5">
      <c r="A17" s="562" t="s">
        <v>191</v>
      </c>
      <c r="B17" s="562"/>
      <c r="C17" s="563"/>
      <c r="D17" s="563"/>
      <c r="E17" s="563"/>
      <c r="F17" s="563"/>
      <c r="G17" s="563"/>
      <c r="H17" s="564"/>
      <c r="I17" s="166"/>
      <c r="J17" s="72"/>
      <c r="K17" s="70"/>
      <c r="L17" s="70"/>
      <c r="M17" s="70"/>
      <c r="N17" s="70"/>
      <c r="O17" s="70"/>
      <c r="P17" s="70"/>
    </row>
    <row r="18" spans="1:17" ht="98.25" customHeight="1" x14ac:dyDescent="0.3">
      <c r="A18" s="557" t="s">
        <v>989</v>
      </c>
      <c r="B18" s="557"/>
      <c r="C18" s="557"/>
      <c r="D18" s="557"/>
      <c r="E18" s="557"/>
      <c r="F18" s="557"/>
      <c r="G18" s="557"/>
      <c r="H18" s="558"/>
      <c r="I18" s="167"/>
      <c r="J18" s="70"/>
      <c r="K18" s="70"/>
      <c r="L18" s="70"/>
      <c r="M18" s="70"/>
      <c r="N18" s="70"/>
      <c r="O18" s="70"/>
      <c r="P18" s="70"/>
    </row>
    <row r="19" spans="1:17" x14ac:dyDescent="0.3">
      <c r="A19" s="38"/>
      <c r="B19" s="38"/>
      <c r="C19" s="130" t="s">
        <v>990</v>
      </c>
      <c r="D19" s="124">
        <f>SUM(D21:D63)</f>
        <v>7335202.6851187767</v>
      </c>
      <c r="E19" s="124">
        <f>SUM(E21:E63)</f>
        <v>7563766.225202186</v>
      </c>
      <c r="F19" s="124">
        <f>SUM(F21:F63)</f>
        <v>7704717.0331045883</v>
      </c>
      <c r="G19" s="124">
        <f>SUM(G21:G63)</f>
        <v>7927256.5083564101</v>
      </c>
      <c r="H19" s="509">
        <f>SUM(H21:H63)</f>
        <v>8154022.1950540747</v>
      </c>
      <c r="I19" s="40"/>
      <c r="J19" s="70"/>
      <c r="K19" s="70"/>
      <c r="L19" s="70"/>
      <c r="M19" s="70"/>
      <c r="N19" s="70"/>
      <c r="O19" s="70"/>
      <c r="P19" s="70"/>
    </row>
    <row r="20" spans="1:17" x14ac:dyDescent="0.3">
      <c r="A20" s="125" t="s">
        <v>5</v>
      </c>
      <c r="B20" s="125" t="s">
        <v>847</v>
      </c>
      <c r="C20" s="125" t="s">
        <v>193</v>
      </c>
      <c r="D20" s="126">
        <v>2025</v>
      </c>
      <c r="E20" s="126">
        <v>2030</v>
      </c>
      <c r="F20" s="126">
        <v>2035</v>
      </c>
      <c r="G20" s="126">
        <v>2040</v>
      </c>
      <c r="H20" s="510">
        <v>2045</v>
      </c>
      <c r="I20" s="126" t="s">
        <v>153</v>
      </c>
      <c r="J20" s="70"/>
      <c r="K20" s="70"/>
      <c r="L20" s="70"/>
      <c r="M20" s="70"/>
      <c r="N20" s="70"/>
      <c r="O20" s="70"/>
      <c r="P20" s="70"/>
    </row>
    <row r="21" spans="1:17" hidden="1" outlineLevel="1" x14ac:dyDescent="0.3">
      <c r="A21" s="38" t="s">
        <v>991</v>
      </c>
      <c r="B21" s="38" t="s">
        <v>855</v>
      </c>
      <c r="C21" s="39" t="str">
        <f>'Contractor Assumptions'!B6</f>
        <v>Butte County</v>
      </c>
      <c r="D21" s="470" t="s">
        <v>204</v>
      </c>
      <c r="E21" s="470" t="s">
        <v>204</v>
      </c>
      <c r="F21" s="470" t="s">
        <v>204</v>
      </c>
      <c r="G21" s="470" t="s">
        <v>204</v>
      </c>
      <c r="H21" s="506" t="s">
        <v>204</v>
      </c>
      <c r="I21" s="40"/>
      <c r="J21" s="71"/>
      <c r="K21" s="70"/>
      <c r="L21" s="71"/>
      <c r="M21" s="70"/>
      <c r="N21" s="71"/>
      <c r="O21" s="71"/>
      <c r="P21" s="70"/>
      <c r="Q21" s="37"/>
    </row>
    <row r="22" spans="1:17" hidden="1" outlineLevel="1" x14ac:dyDescent="0.3">
      <c r="A22" s="38" t="s">
        <v>991</v>
      </c>
      <c r="B22" s="38" t="s">
        <v>855</v>
      </c>
      <c r="C22" s="39" t="str">
        <f>'Contractor Assumptions'!B7</f>
        <v>City of Folsom</v>
      </c>
      <c r="D22" s="470">
        <f>'Demand and Conservation_Calcs'!B4 + 'Demand and Conservation_Calcs'!L4</f>
        <v>21475.157894736843</v>
      </c>
      <c r="E22" s="470">
        <f>'Demand and Conservation_Calcs'!C4 + 'Demand and Conservation_Calcs'!M4</f>
        <v>23806.78947368421</v>
      </c>
      <c r="F22" s="470">
        <f>'Demand and Conservation_Calcs'!D4 + 'Demand and Conservation_Calcs'!N4</f>
        <v>25344.84210526316</v>
      </c>
      <c r="G22" s="470">
        <f>'Demand and Conservation_Calcs'!E4 + 'Demand and Conservation_Calcs'!O4</f>
        <v>26319.578947368424</v>
      </c>
      <c r="H22" s="506">
        <f>'Demand and Conservation_Calcs'!F4 + 'Demand and Conservation_Calcs'!P4</f>
        <v>26712.21052631579</v>
      </c>
      <c r="I22" s="40"/>
      <c r="J22" s="71"/>
      <c r="K22" s="70"/>
      <c r="L22" s="71"/>
      <c r="M22" s="70"/>
      <c r="N22" s="71"/>
      <c r="O22" s="71"/>
      <c r="P22" s="70"/>
      <c r="Q22" s="37"/>
    </row>
    <row r="23" spans="1:17" hidden="1" outlineLevel="1" x14ac:dyDescent="0.3">
      <c r="A23" s="38" t="s">
        <v>991</v>
      </c>
      <c r="B23" s="38" t="s">
        <v>855</v>
      </c>
      <c r="C23" s="39" t="str">
        <f>'Contractor Assumptions'!B8</f>
        <v>City of Redding</v>
      </c>
      <c r="D23" s="470">
        <f>'Demand and Conservation_Calcs'!B5 + 'Demand and Conservation_Calcs'!L5</f>
        <v>27468.894232968421</v>
      </c>
      <c r="E23" s="470">
        <f>'Demand and Conservation_Calcs'!C5 + 'Demand and Conservation_Calcs'!M5</f>
        <v>28057.598247144735</v>
      </c>
      <c r="F23" s="470">
        <f>'Demand and Conservation_Calcs'!D5 + 'Demand and Conservation_Calcs'!N5</f>
        <v>28667.995002586838</v>
      </c>
      <c r="G23" s="470">
        <f>'Demand and Conservation_Calcs'!E5 + 'Demand and Conservation_Calcs'!O5</f>
        <v>29287.703684736844</v>
      </c>
      <c r="H23" s="506">
        <f>'Demand and Conservation_Calcs'!F5 + 'Demand and Conservation_Calcs'!P5</f>
        <v>29929.157739731581</v>
      </c>
      <c r="I23" s="40"/>
      <c r="J23" s="71"/>
      <c r="K23" s="71"/>
      <c r="L23" s="71"/>
      <c r="M23" s="70"/>
      <c r="N23" s="71"/>
      <c r="O23" s="71"/>
      <c r="P23" s="70"/>
      <c r="Q23" s="37"/>
    </row>
    <row r="24" spans="1:17" hidden="1" outlineLevel="1" x14ac:dyDescent="0.3">
      <c r="A24" s="38" t="s">
        <v>991</v>
      </c>
      <c r="B24" s="38" t="s">
        <v>855</v>
      </c>
      <c r="C24" s="39" t="str">
        <f>'Contractor Assumptions'!B9</f>
        <v>City of Roseville</v>
      </c>
      <c r="D24" s="470">
        <f>'Demand and Conservation_Calcs'!B6 + 'Demand and Conservation_Calcs'!L6</f>
        <v>66313.666666666657</v>
      </c>
      <c r="E24" s="470">
        <f>'Demand and Conservation_Calcs'!C6 + 'Demand and Conservation_Calcs'!M6</f>
        <v>72999</v>
      </c>
      <c r="F24" s="470">
        <f>'Demand and Conservation_Calcs'!D6 + 'Demand and Conservation_Calcs'!N6</f>
        <v>79969</v>
      </c>
      <c r="G24" s="470">
        <f>'Demand and Conservation_Calcs'!E6 + 'Demand and Conservation_Calcs'!O6</f>
        <v>79969</v>
      </c>
      <c r="H24" s="506">
        <f>'Demand and Conservation_Calcs'!F6 + 'Demand and Conservation_Calcs'!P6</f>
        <v>79969</v>
      </c>
      <c r="I24" s="40"/>
      <c r="J24" s="71"/>
      <c r="K24" s="71"/>
      <c r="L24" s="71"/>
      <c r="M24" s="70"/>
      <c r="N24" s="71"/>
      <c r="O24" s="71"/>
      <c r="P24" s="70"/>
      <c r="Q24" s="37"/>
    </row>
    <row r="25" spans="1:17" hidden="1" outlineLevel="1" x14ac:dyDescent="0.3">
      <c r="A25" s="38" t="s">
        <v>991</v>
      </c>
      <c r="B25" s="38" t="s">
        <v>855</v>
      </c>
      <c r="C25" s="39" t="str">
        <f>'Contractor Assumptions'!B10</f>
        <v>City of West Sacramento</v>
      </c>
      <c r="D25" s="470">
        <f>'Demand and Conservation_Calcs'!B7 + 'Demand and Conservation_Calcs'!L7</f>
        <v>15072.105263157895</v>
      </c>
      <c r="E25" s="470">
        <f>'Demand and Conservation_Calcs'!C7 + 'Demand and Conservation_Calcs'!M7</f>
        <v>17211.052631578947</v>
      </c>
      <c r="F25" s="470">
        <f>'Demand and Conservation_Calcs'!D7 + 'Demand and Conservation_Calcs'!N7</f>
        <v>17914.736842105263</v>
      </c>
      <c r="G25" s="470">
        <f>'Demand and Conservation_Calcs'!E7 + 'Demand and Conservation_Calcs'!O7</f>
        <v>18802.631578947367</v>
      </c>
      <c r="H25" s="506">
        <f>'Demand and Conservation_Calcs'!F7 + 'Demand and Conservation_Calcs'!P7</f>
        <v>21010</v>
      </c>
      <c r="I25" s="40"/>
      <c r="J25" s="71"/>
      <c r="K25" s="71"/>
      <c r="L25" s="71"/>
      <c r="M25" s="71"/>
      <c r="N25" s="71"/>
      <c r="O25" s="71"/>
      <c r="P25" s="70"/>
      <c r="Q25" s="37"/>
    </row>
    <row r="26" spans="1:17" hidden="1" outlineLevel="1" x14ac:dyDescent="0.3">
      <c r="A26" s="38" t="s">
        <v>991</v>
      </c>
      <c r="B26" s="38" t="s">
        <v>855</v>
      </c>
      <c r="C26" s="39" t="str">
        <f>'Contractor Assumptions'!B11</f>
        <v>Yuba City</v>
      </c>
      <c r="D26" s="470">
        <f>'Demand and Conservation_Calcs'!B8 + 'Demand and Conservation_Calcs'!L8</f>
        <v>15634.736842105263</v>
      </c>
      <c r="E26" s="470">
        <f>'Demand and Conservation_Calcs'!C8 + 'Demand and Conservation_Calcs'!M8</f>
        <v>16205.263157894737</v>
      </c>
      <c r="F26" s="470">
        <f>'Demand and Conservation_Calcs'!D8 + 'Demand and Conservation_Calcs'!N8</f>
        <v>16906.84210526316</v>
      </c>
      <c r="G26" s="470">
        <f>'Demand and Conservation_Calcs'!E8 + 'Demand and Conservation_Calcs'!O8</f>
        <v>17791.052631578947</v>
      </c>
      <c r="H26" s="506">
        <f>'Demand and Conservation_Calcs'!F8 + 'Demand and Conservation_Calcs'!P8</f>
        <v>18665.263157894737</v>
      </c>
      <c r="I26" s="40"/>
      <c r="J26" s="71"/>
      <c r="K26" s="71"/>
      <c r="L26" s="71"/>
      <c r="M26" s="71"/>
      <c r="N26" s="71"/>
      <c r="O26" s="71"/>
      <c r="P26" s="70"/>
      <c r="Q26" s="37"/>
    </row>
    <row r="27" spans="1:17" hidden="1" outlineLevel="1" x14ac:dyDescent="0.3">
      <c r="A27" s="38" t="s">
        <v>991</v>
      </c>
      <c r="B27" s="38" t="s">
        <v>855</v>
      </c>
      <c r="C27" s="39" t="str">
        <f>'Contractor Assumptions'!B12</f>
        <v>El Dorado Irrigation District</v>
      </c>
      <c r="D27" s="470">
        <f>'Demand and Conservation_Calcs'!B9 + 'Demand and Conservation_Calcs'!L9</f>
        <v>40243.15789473684</v>
      </c>
      <c r="E27" s="470">
        <f>'Demand and Conservation_Calcs'!C9 + 'Demand and Conservation_Calcs'!M9</f>
        <v>41033.15789473684</v>
      </c>
      <c r="F27" s="470">
        <f>'Demand and Conservation_Calcs'!D9 + 'Demand and Conservation_Calcs'!N9</f>
        <v>42183.15789473684</v>
      </c>
      <c r="G27" s="470">
        <f>'Demand and Conservation_Calcs'!E9 + 'Demand and Conservation_Calcs'!O9</f>
        <v>43393.15789473684</v>
      </c>
      <c r="H27" s="506">
        <f>'Demand and Conservation_Calcs'!F9 + 'Demand and Conservation_Calcs'!P9</f>
        <v>44583.15789473684</v>
      </c>
      <c r="I27" s="40"/>
      <c r="J27" s="71"/>
      <c r="K27" s="70"/>
      <c r="L27" s="71"/>
      <c r="M27" s="71"/>
      <c r="N27" s="71"/>
      <c r="O27" s="71"/>
      <c r="P27" s="70"/>
      <c r="Q27" s="37"/>
    </row>
    <row r="28" spans="1:17" hidden="1" outlineLevel="1" x14ac:dyDescent="0.3">
      <c r="A28" s="38" t="s">
        <v>991</v>
      </c>
      <c r="B28" s="38" t="s">
        <v>855</v>
      </c>
      <c r="C28" s="39" t="str">
        <f>'Contractor Assumptions'!B13</f>
        <v>Napa County Flood Control &amp; Water Conservation District</v>
      </c>
      <c r="D28" s="470" t="s">
        <v>204</v>
      </c>
      <c r="E28" s="470" t="s">
        <v>204</v>
      </c>
      <c r="F28" s="470" t="s">
        <v>204</v>
      </c>
      <c r="G28" s="470" t="s">
        <v>204</v>
      </c>
      <c r="H28" s="506" t="s">
        <v>204</v>
      </c>
      <c r="I28" s="40"/>
      <c r="J28" s="71"/>
      <c r="K28" s="181"/>
      <c r="L28" s="71"/>
      <c r="M28" s="71"/>
      <c r="N28" s="71"/>
      <c r="O28" s="71"/>
      <c r="P28" s="70"/>
      <c r="Q28" s="37"/>
    </row>
    <row r="29" spans="1:17" hidden="1" outlineLevel="1" x14ac:dyDescent="0.3">
      <c r="A29" s="38" t="s">
        <v>991</v>
      </c>
      <c r="B29" s="38" t="s">
        <v>855</v>
      </c>
      <c r="C29" s="39" t="str">
        <f>'Contractor Assumptions'!B14</f>
        <v>Placer County Water Agency</v>
      </c>
      <c r="D29" s="470">
        <f>'Demand and Conservation_Calcs'!B11 + 'Demand and Conservation_Calcs'!L11</f>
        <v>176314.10526315789</v>
      </c>
      <c r="E29" s="470">
        <f>'Demand and Conservation_Calcs'!C11 + 'Demand and Conservation_Calcs'!M11</f>
        <v>186019.31578947368</v>
      </c>
      <c r="F29" s="470">
        <f>'Demand and Conservation_Calcs'!D11 + 'Demand and Conservation_Calcs'!N11</f>
        <v>199602.36842105264</v>
      </c>
      <c r="G29" s="470">
        <f>'Demand and Conservation_Calcs'!E11 + 'Demand and Conservation_Calcs'!O11</f>
        <v>229466.05263157893</v>
      </c>
      <c r="H29" s="506">
        <f>'Demand and Conservation_Calcs'!F11 + 'Demand and Conservation_Calcs'!P11</f>
        <v>256049.36842105264</v>
      </c>
      <c r="I29" s="40"/>
      <c r="J29" s="71"/>
      <c r="K29" s="71"/>
      <c r="L29" s="71"/>
      <c r="M29" s="71"/>
      <c r="N29" s="71"/>
      <c r="O29" s="71"/>
      <c r="P29" s="70"/>
      <c r="Q29" s="37"/>
    </row>
    <row r="30" spans="1:17" hidden="1" outlineLevel="1" x14ac:dyDescent="0.3">
      <c r="A30" s="38" t="s">
        <v>991</v>
      </c>
      <c r="B30" s="38" t="s">
        <v>855</v>
      </c>
      <c r="C30" s="39" t="str">
        <f>'Contractor Assumptions'!B15</f>
        <v>Sacramento County Water Agency</v>
      </c>
      <c r="D30" s="470">
        <f>'Demand and Conservation_Calcs'!B12 + 'Demand and Conservation_Calcs'!L12</f>
        <v>56049.473684210527</v>
      </c>
      <c r="E30" s="470">
        <f>'Demand and Conservation_Calcs'!C12 + 'Demand and Conservation_Calcs'!M12</f>
        <v>66263.789473684214</v>
      </c>
      <c r="F30" s="470">
        <f>'Demand and Conservation_Calcs'!D12 + 'Demand and Conservation_Calcs'!N12</f>
        <v>75709.105263157893</v>
      </c>
      <c r="G30" s="470">
        <f>'Demand and Conservation_Calcs'!E12 + 'Demand and Conservation_Calcs'!O12</f>
        <v>83715.631578947374</v>
      </c>
      <c r="H30" s="506">
        <f>'Demand and Conservation_Calcs'!F12 + 'Demand and Conservation_Calcs'!P12</f>
        <v>91882.368421052641</v>
      </c>
      <c r="I30" s="40"/>
      <c r="J30" s="71"/>
      <c r="K30" s="71"/>
      <c r="L30" s="71"/>
      <c r="M30" s="71"/>
      <c r="N30" s="71"/>
      <c r="O30" s="71"/>
      <c r="P30" s="70"/>
      <c r="Q30" s="37"/>
    </row>
    <row r="31" spans="1:17" hidden="1" outlineLevel="1" x14ac:dyDescent="0.3">
      <c r="A31" s="38" t="s">
        <v>991</v>
      </c>
      <c r="B31" s="38" t="s">
        <v>855</v>
      </c>
      <c r="C31" s="39" t="str">
        <f>'Contractor Assumptions'!B16</f>
        <v>San Juan Water District</v>
      </c>
      <c r="D31" s="470">
        <f>'Demand and Conservation_Calcs'!B13 + 'Demand and Conservation_Calcs'!L13</f>
        <v>55398.052631578947</v>
      </c>
      <c r="E31" s="470">
        <f>'Demand and Conservation_Calcs'!C13 + 'Demand and Conservation_Calcs'!M13</f>
        <v>56023.736842105267</v>
      </c>
      <c r="F31" s="470">
        <f>'Demand and Conservation_Calcs'!D13 + 'Demand and Conservation_Calcs'!N13</f>
        <v>55597.1052631579</v>
      </c>
      <c r="G31" s="470">
        <f>'Demand and Conservation_Calcs'!E13 + 'Demand and Conservation_Calcs'!O13</f>
        <v>56431.894736842107</v>
      </c>
      <c r="H31" s="506">
        <f>'Demand and Conservation_Calcs'!F13 + 'Demand and Conservation_Calcs'!P13</f>
        <v>57162.157894736847</v>
      </c>
      <c r="I31" s="40"/>
      <c r="J31" s="71"/>
      <c r="K31" s="71"/>
      <c r="L31" s="71"/>
      <c r="M31" s="71"/>
      <c r="N31" s="71"/>
      <c r="O31" s="71"/>
      <c r="P31" s="70"/>
      <c r="Q31" s="37"/>
    </row>
    <row r="32" spans="1:17" hidden="1" outlineLevel="1" x14ac:dyDescent="0.3">
      <c r="A32" s="38" t="s">
        <v>991</v>
      </c>
      <c r="B32" s="38" t="s">
        <v>855</v>
      </c>
      <c r="C32" s="39" t="str">
        <f>'Contractor Assumptions'!B17</f>
        <v>Shasta Contractors</v>
      </c>
      <c r="D32" s="470" t="s">
        <v>204</v>
      </c>
      <c r="E32" s="470" t="s">
        <v>204</v>
      </c>
      <c r="F32" s="470" t="s">
        <v>204</v>
      </c>
      <c r="G32" s="470" t="s">
        <v>204</v>
      </c>
      <c r="H32" s="506" t="s">
        <v>204</v>
      </c>
      <c r="I32" s="40"/>
      <c r="J32" s="71"/>
      <c r="K32" s="71"/>
      <c r="L32" s="71"/>
      <c r="M32" s="71"/>
      <c r="N32" s="71"/>
      <c r="O32" s="71"/>
      <c r="P32" s="70"/>
      <c r="Q32" s="37"/>
    </row>
    <row r="33" spans="1:17" hidden="1" outlineLevel="1" x14ac:dyDescent="0.3">
      <c r="A33" s="38" t="s">
        <v>991</v>
      </c>
      <c r="B33" s="38" t="s">
        <v>855</v>
      </c>
      <c r="C33" s="39" t="str">
        <f>'Contractor Assumptions'!B18</f>
        <v>Solano County Water Agency</v>
      </c>
      <c r="D33" s="470" t="s">
        <v>204</v>
      </c>
      <c r="E33" s="470" t="s">
        <v>204</v>
      </c>
      <c r="F33" s="470" t="s">
        <v>204</v>
      </c>
      <c r="G33" s="470" t="s">
        <v>204</v>
      </c>
      <c r="H33" s="506" t="s">
        <v>204</v>
      </c>
      <c r="I33" s="40"/>
      <c r="J33" s="71"/>
      <c r="K33" s="71"/>
      <c r="L33" s="71"/>
      <c r="M33" s="71"/>
      <c r="N33" s="71"/>
      <c r="O33" s="71"/>
      <c r="P33" s="70"/>
      <c r="Q33" s="37"/>
    </row>
    <row r="34" spans="1:17" hidden="1" outlineLevel="1" x14ac:dyDescent="0.3">
      <c r="A34" s="38" t="s">
        <v>991</v>
      </c>
      <c r="B34" s="38" t="s">
        <v>894</v>
      </c>
      <c r="C34" s="39" t="str">
        <f>'Contractor Assumptions'!B19</f>
        <v>City of Avenal</v>
      </c>
      <c r="D34" s="470" t="s">
        <v>204</v>
      </c>
      <c r="E34" s="470" t="s">
        <v>204</v>
      </c>
      <c r="F34" s="470" t="s">
        <v>204</v>
      </c>
      <c r="G34" s="470" t="s">
        <v>204</v>
      </c>
      <c r="H34" s="506" t="s">
        <v>204</v>
      </c>
      <c r="I34" s="40"/>
      <c r="J34" s="71"/>
      <c r="K34" s="71"/>
      <c r="L34" s="71"/>
      <c r="M34" s="71"/>
      <c r="N34" s="71"/>
      <c r="O34" s="71"/>
      <c r="P34" s="70"/>
      <c r="Q34" s="37"/>
    </row>
    <row r="35" spans="1:17" hidden="1" outlineLevel="1" x14ac:dyDescent="0.3">
      <c r="A35" s="38" t="s">
        <v>991</v>
      </c>
      <c r="B35" s="38" t="s">
        <v>894</v>
      </c>
      <c r="C35" s="39" t="str">
        <f>'Contractor Assumptions'!B20</f>
        <v>City of Coalinga</v>
      </c>
      <c r="D35" s="470">
        <f>'Demand and Conservation_Calcs'!B17 + 'Demand and Conservation_Calcs'!L17</f>
        <v>4843.9971906052633</v>
      </c>
      <c r="E35" s="470">
        <f>'Demand and Conservation_Calcs'!C17 + 'Demand and Conservation_Calcs'!M17</f>
        <v>5499.2855067868422</v>
      </c>
      <c r="F35" s="470">
        <f>'Demand and Conservation_Calcs'!D17 + 'Demand and Conservation_Calcs'!N17</f>
        <v>6247.6095809473691</v>
      </c>
      <c r="G35" s="470">
        <f>'Demand and Conservation_Calcs'!E17 + 'Demand and Conservation_Calcs'!O17</f>
        <v>7089.2924539131582</v>
      </c>
      <c r="H35" s="506">
        <f>'Demand and Conservation_Calcs'!F17 + 'Demand and Conservation_Calcs'!P17</f>
        <v>7089.2924539131582</v>
      </c>
      <c r="I35" s="40"/>
      <c r="J35" s="71"/>
      <c r="K35" s="71"/>
      <c r="L35" s="71"/>
      <c r="M35" s="71"/>
      <c r="N35" s="71"/>
      <c r="O35" s="71"/>
      <c r="P35" s="70"/>
      <c r="Q35" s="37"/>
    </row>
    <row r="36" spans="1:17" hidden="1" outlineLevel="1" x14ac:dyDescent="0.3">
      <c r="A36" s="38" t="s">
        <v>991</v>
      </c>
      <c r="B36" s="38" t="s">
        <v>894</v>
      </c>
      <c r="C36" s="39" t="str">
        <f>'Contractor Assumptions'!B21</f>
        <v>City of Fresno</v>
      </c>
      <c r="D36" s="470">
        <f>'Demand and Conservation_Calcs'!B18 + 'Demand and Conservation_Calcs'!L18</f>
        <v>205846.47368421053</v>
      </c>
      <c r="E36" s="470">
        <f>'Demand and Conservation_Calcs'!C18 + 'Demand and Conservation_Calcs'!M18</f>
        <v>219927.36842105264</v>
      </c>
      <c r="F36" s="470">
        <f>'Demand and Conservation_Calcs'!D18 + 'Demand and Conservation_Calcs'!N18</f>
        <v>229815.36842105264</v>
      </c>
      <c r="G36" s="470">
        <f>'Demand and Conservation_Calcs'!E18 + 'Demand and Conservation_Calcs'!O18</f>
        <v>239715.94736842107</v>
      </c>
      <c r="H36" s="506">
        <f>'Demand and Conservation_Calcs'!F18 + 'Demand and Conservation_Calcs'!P18</f>
        <v>249621.78947368421</v>
      </c>
      <c r="I36" s="40"/>
      <c r="J36" s="71"/>
      <c r="K36" s="71"/>
      <c r="L36" s="71"/>
      <c r="M36" s="71"/>
      <c r="N36" s="71"/>
      <c r="O36" s="71"/>
      <c r="P36" s="70"/>
      <c r="Q36" s="37"/>
    </row>
    <row r="37" spans="1:17" hidden="1" outlineLevel="1" x14ac:dyDescent="0.3">
      <c r="A37" s="38" t="s">
        <v>991</v>
      </c>
      <c r="B37" s="38" t="s">
        <v>894</v>
      </c>
      <c r="C37" s="39" t="str">
        <f>'Contractor Assumptions'!B22</f>
        <v>City of Huron</v>
      </c>
      <c r="D37" s="470" t="s">
        <v>204</v>
      </c>
      <c r="E37" s="470" t="s">
        <v>204</v>
      </c>
      <c r="F37" s="470" t="s">
        <v>204</v>
      </c>
      <c r="G37" s="470" t="s">
        <v>204</v>
      </c>
      <c r="H37" s="506" t="s">
        <v>204</v>
      </c>
      <c r="I37" s="40"/>
      <c r="J37" s="71"/>
      <c r="K37" s="71"/>
      <c r="L37" s="71"/>
      <c r="M37" s="71"/>
      <c r="N37" s="71"/>
      <c r="O37" s="71"/>
      <c r="P37" s="70"/>
      <c r="Q37" s="37"/>
    </row>
    <row r="38" spans="1:17" hidden="1" outlineLevel="1" x14ac:dyDescent="0.3">
      <c r="A38" s="38" t="s">
        <v>991</v>
      </c>
      <c r="B38" s="38" t="s">
        <v>894</v>
      </c>
      <c r="C38" s="39" t="str">
        <f>'Contractor Assumptions'!B23</f>
        <v>City of Lindsay</v>
      </c>
      <c r="D38" s="470" t="s">
        <v>204</v>
      </c>
      <c r="E38" s="470" t="s">
        <v>204</v>
      </c>
      <c r="F38" s="470" t="s">
        <v>204</v>
      </c>
      <c r="G38" s="470" t="s">
        <v>204</v>
      </c>
      <c r="H38" s="506" t="s">
        <v>204</v>
      </c>
      <c r="I38" s="40"/>
      <c r="J38" s="71"/>
      <c r="K38" s="71"/>
      <c r="L38" s="71"/>
      <c r="M38" s="71"/>
      <c r="N38" s="71"/>
      <c r="O38" s="71"/>
      <c r="P38" s="70"/>
      <c r="Q38" s="37"/>
    </row>
    <row r="39" spans="1:17" hidden="1" outlineLevel="1" x14ac:dyDescent="0.3">
      <c r="A39" s="38" t="s">
        <v>991</v>
      </c>
      <c r="B39" s="38" t="s">
        <v>894</v>
      </c>
      <c r="C39" s="39" t="str">
        <f>'Contractor Assumptions'!B24</f>
        <v>City of Orange Cove</v>
      </c>
      <c r="D39" s="470" t="s">
        <v>204</v>
      </c>
      <c r="E39" s="470" t="s">
        <v>204</v>
      </c>
      <c r="F39" s="470" t="s">
        <v>204</v>
      </c>
      <c r="G39" s="470" t="s">
        <v>204</v>
      </c>
      <c r="H39" s="506" t="s">
        <v>204</v>
      </c>
      <c r="I39" s="40"/>
      <c r="J39" s="71"/>
      <c r="K39" s="71"/>
      <c r="L39" s="71"/>
      <c r="M39" s="71"/>
      <c r="N39" s="71"/>
      <c r="O39" s="71"/>
      <c r="P39" s="70"/>
      <c r="Q39" s="37"/>
    </row>
    <row r="40" spans="1:17" hidden="1" outlineLevel="1" x14ac:dyDescent="0.3">
      <c r="A40" s="38" t="s">
        <v>991</v>
      </c>
      <c r="B40" s="38" t="s">
        <v>894</v>
      </c>
      <c r="C40" s="39" t="str">
        <f>'Contractor Assumptions'!B25</f>
        <v>City of Tracy</v>
      </c>
      <c r="D40" s="470">
        <f>'Demand and Conservation_Calcs'!B22 + 'Demand and Conservation_Calcs'!L22</f>
        <v>22484.398421052632</v>
      </c>
      <c r="E40" s="470">
        <f>'Demand and Conservation_Calcs'!C22 + 'Demand and Conservation_Calcs'!M22</f>
        <v>26266.47157894737</v>
      </c>
      <c r="F40" s="470">
        <f>'Demand and Conservation_Calcs'!D22 + 'Demand and Conservation_Calcs'!N22</f>
        <v>30095.43</v>
      </c>
      <c r="G40" s="470">
        <f>'Demand and Conservation_Calcs'!E22 + 'Demand and Conservation_Calcs'!O22</f>
        <v>33954.845789473686</v>
      </c>
      <c r="H40" s="506">
        <f>'Demand and Conservation_Calcs'!F22 + 'Demand and Conservation_Calcs'!P22</f>
        <v>40952.64421052632</v>
      </c>
      <c r="I40" s="40"/>
      <c r="J40" s="71"/>
      <c r="K40" s="182"/>
      <c r="L40" s="71"/>
      <c r="M40" s="71"/>
      <c r="N40" s="71"/>
      <c r="O40" s="71"/>
      <c r="P40" s="70"/>
      <c r="Q40" s="37"/>
    </row>
    <row r="41" spans="1:17" hidden="1" outlineLevel="1" x14ac:dyDescent="0.3">
      <c r="A41" s="38" t="s">
        <v>991</v>
      </c>
      <c r="B41" s="38" t="s">
        <v>894</v>
      </c>
      <c r="C41" s="39" t="str">
        <f>'Contractor Assumptions'!B26</f>
        <v>Kern County Water Agency</v>
      </c>
      <c r="D41" s="470" t="s">
        <v>204</v>
      </c>
      <c r="E41" s="470" t="s">
        <v>204</v>
      </c>
      <c r="F41" s="470" t="s">
        <v>204</v>
      </c>
      <c r="G41" s="470" t="s">
        <v>204</v>
      </c>
      <c r="H41" s="506" t="s">
        <v>204</v>
      </c>
      <c r="I41" s="40"/>
      <c r="J41" s="71"/>
      <c r="K41" s="71"/>
      <c r="L41" s="71"/>
      <c r="M41" s="71"/>
      <c r="N41" s="71"/>
      <c r="O41" s="71"/>
      <c r="P41" s="70"/>
      <c r="Q41" s="37"/>
    </row>
    <row r="42" spans="1:17" hidden="1" outlineLevel="1" x14ac:dyDescent="0.3">
      <c r="A42" s="38" t="s">
        <v>991</v>
      </c>
      <c r="B42" s="38" t="s">
        <v>894</v>
      </c>
      <c r="C42" s="39" t="str">
        <f>'Contractor Assumptions'!B27</f>
        <v>Other Friant-Kern M&amp;I Contractors</v>
      </c>
      <c r="D42" s="470" t="s">
        <v>204</v>
      </c>
      <c r="E42" s="470" t="s">
        <v>204</v>
      </c>
      <c r="F42" s="470" t="s">
        <v>204</v>
      </c>
      <c r="G42" s="470" t="s">
        <v>204</v>
      </c>
      <c r="H42" s="506" t="s">
        <v>204</v>
      </c>
      <c r="I42" s="40"/>
      <c r="J42" s="71"/>
      <c r="K42" s="70"/>
      <c r="L42" s="71"/>
      <c r="M42" s="71"/>
      <c r="N42" s="71"/>
      <c r="O42" s="71"/>
      <c r="P42" s="70"/>
      <c r="Q42" s="37"/>
    </row>
    <row r="43" spans="1:17" hidden="1" outlineLevel="1" x14ac:dyDescent="0.3">
      <c r="A43" s="38" t="s">
        <v>991</v>
      </c>
      <c r="B43" s="38" t="s">
        <v>894</v>
      </c>
      <c r="C43" s="39" t="str">
        <f>'Contractor Assumptions'!B28</f>
        <v>Stockton-East Water District</v>
      </c>
      <c r="D43" s="470">
        <f>'Demand and Conservation_Calcs'!B25 + 'Demand and Conservation_Calcs'!L25</f>
        <v>85095.157894736854</v>
      </c>
      <c r="E43" s="470">
        <f>'Demand and Conservation_Calcs'!C25 + 'Demand and Conservation_Calcs'!M25</f>
        <v>89453.210526315786</v>
      </c>
      <c r="F43" s="470">
        <v>0</v>
      </c>
      <c r="G43" s="470">
        <v>0</v>
      </c>
      <c r="H43" s="506">
        <v>0</v>
      </c>
      <c r="I43" s="40"/>
      <c r="J43" s="71"/>
      <c r="K43" s="71"/>
      <c r="L43" s="71"/>
      <c r="M43" s="71"/>
      <c r="N43" s="71"/>
      <c r="O43" s="71"/>
      <c r="P43" s="70"/>
      <c r="Q43" s="37"/>
    </row>
    <row r="44" spans="1:17" hidden="1" outlineLevel="1" x14ac:dyDescent="0.3">
      <c r="A44" s="38" t="s">
        <v>991</v>
      </c>
      <c r="B44" s="38" t="s">
        <v>915</v>
      </c>
      <c r="C44" s="39" t="str">
        <f>'Contractor Assumptions'!B29</f>
        <v>Alameda County Flood Control and Water Conservation District, Zone 7</v>
      </c>
      <c r="D44" s="470">
        <f>'Demand and Conservation_Calcs'!B26 + 'Demand and Conservation_Calcs'!L26</f>
        <v>52451.649016184216</v>
      </c>
      <c r="E44" s="470">
        <f>'Demand and Conservation_Calcs'!C26 + 'Demand and Conservation_Calcs'!M26</f>
        <v>55054.886557255268</v>
      </c>
      <c r="F44" s="470">
        <f>'Demand and Conservation_Calcs'!D26 + 'Demand and Conservation_Calcs'!N26</f>
        <v>56116.70304569474</v>
      </c>
      <c r="G44" s="470">
        <f>'Demand and Conservation_Calcs'!E26 + 'Demand and Conservation_Calcs'!O26</f>
        <v>57660.828072255266</v>
      </c>
      <c r="H44" s="506">
        <f>'Demand and Conservation_Calcs'!F26 + 'Demand and Conservation_Calcs'!P26</f>
        <v>57675.091230149999</v>
      </c>
      <c r="I44" s="40"/>
      <c r="J44" s="71"/>
      <c r="K44" s="71"/>
      <c r="L44" s="71"/>
      <c r="M44" s="71"/>
      <c r="N44" s="71"/>
      <c r="O44" s="71"/>
      <c r="P44" s="70"/>
      <c r="Q44" s="37"/>
    </row>
    <row r="45" spans="1:17" hidden="1" outlineLevel="1" x14ac:dyDescent="0.3">
      <c r="A45" s="38" t="s">
        <v>991</v>
      </c>
      <c r="B45" s="38" t="s">
        <v>915</v>
      </c>
      <c r="C45" s="39" t="str">
        <f>'Contractor Assumptions'!B30</f>
        <v>Alameda County Water District</v>
      </c>
      <c r="D45" s="470">
        <f>'Demand and Conservation_Calcs'!B27 + 'Demand and Conservation_Calcs'!L27</f>
        <v>63036.84210526316</v>
      </c>
      <c r="E45" s="470">
        <f>'Demand and Conservation_Calcs'!C27 + 'Demand and Conservation_Calcs'!M27</f>
        <v>62515.789473684214</v>
      </c>
      <c r="F45" s="470">
        <f>'Demand and Conservation_Calcs'!D27 + 'Demand and Conservation_Calcs'!N27</f>
        <v>62205.26315789474</v>
      </c>
      <c r="G45" s="470">
        <f>'Demand and Conservation_Calcs'!E27 + 'Demand and Conservation_Calcs'!O27</f>
        <v>62310.526315789473</v>
      </c>
      <c r="H45" s="506">
        <f>'Demand and Conservation_Calcs'!F27 + 'Demand and Conservation_Calcs'!P27</f>
        <v>69989.473684210534</v>
      </c>
      <c r="I45" s="40"/>
      <c r="J45" s="71"/>
      <c r="K45" s="71"/>
      <c r="L45" s="71"/>
      <c r="M45" s="71"/>
      <c r="N45" s="71"/>
      <c r="O45" s="71"/>
      <c r="P45" s="70"/>
      <c r="Q45" s="37"/>
    </row>
    <row r="46" spans="1:17" hidden="1" outlineLevel="1" x14ac:dyDescent="0.3">
      <c r="A46" s="38" t="s">
        <v>991</v>
      </c>
      <c r="B46" s="38" t="s">
        <v>915</v>
      </c>
      <c r="C46" s="39" t="str">
        <f>'Contractor Assumptions'!B31</f>
        <v>Contra Costa Water District</v>
      </c>
      <c r="D46" s="470">
        <f>'Demand and Conservation_Calcs'!B28 + 'Demand and Conservation_Calcs'!L28</f>
        <v>241450</v>
      </c>
      <c r="E46" s="470">
        <f>'Demand and Conservation_Calcs'!C28 + 'Demand and Conservation_Calcs'!M28</f>
        <v>260100</v>
      </c>
      <c r="F46" s="470">
        <f>'Demand and Conservation_Calcs'!D28 + 'Demand and Conservation_Calcs'!N28</f>
        <v>272940</v>
      </c>
      <c r="G46" s="470">
        <f>'Demand and Conservation_Calcs'!E28 + 'Demand and Conservation_Calcs'!O28</f>
        <v>283940</v>
      </c>
      <c r="H46" s="506">
        <f>'Demand and Conservation_Calcs'!F28 + 'Demand and Conservation_Calcs'!P28</f>
        <v>290910</v>
      </c>
      <c r="I46" s="40"/>
      <c r="J46" s="71"/>
      <c r="K46" s="71"/>
      <c r="L46" s="71"/>
      <c r="M46" s="71"/>
      <c r="N46" s="71"/>
      <c r="O46" s="71"/>
      <c r="P46" s="70"/>
      <c r="Q46" s="37"/>
    </row>
    <row r="47" spans="1:17" hidden="1" outlineLevel="1" x14ac:dyDescent="0.3">
      <c r="A47" s="38" t="s">
        <v>991</v>
      </c>
      <c r="B47" s="38" t="s">
        <v>915</v>
      </c>
      <c r="C47" s="39" t="str">
        <f>'Contractor Assumptions'!B32</f>
        <v>East Bay Municipal Utilities District</v>
      </c>
      <c r="D47" s="470">
        <f>'Demand and Conservation_Calcs'!B29 + 'Demand and Conservation_Calcs'!L29</f>
        <v>218971.28587319999</v>
      </c>
      <c r="E47" s="470">
        <f>'Demand and Conservation_Calcs'!C29 + 'Demand and Conservation_Calcs'!M29</f>
        <v>226971.87649815</v>
      </c>
      <c r="F47" s="470">
        <f>'Demand and Conservation_Calcs'!D29 + 'Demand and Conservation_Calcs'!N29</f>
        <v>235113.63596419999</v>
      </c>
      <c r="G47" s="470">
        <f>'Demand and Conservation_Calcs'!E29 + 'Demand and Conservation_Calcs'!O29</f>
        <v>247257.22518665</v>
      </c>
      <c r="H47" s="506">
        <f>'Demand and Conservation_Calcs'!F29 + 'Demand and Conservation_Calcs'!P29</f>
        <v>256218.37770864999</v>
      </c>
      <c r="I47" s="40"/>
      <c r="J47" s="71"/>
      <c r="K47" s="71"/>
      <c r="L47" s="71"/>
      <c r="M47" s="71"/>
      <c r="N47" s="71"/>
      <c r="O47" s="71"/>
      <c r="P47" s="70"/>
      <c r="Q47" s="37"/>
    </row>
    <row r="48" spans="1:17" hidden="1" outlineLevel="1" x14ac:dyDescent="0.3">
      <c r="A48" s="38" t="s">
        <v>991</v>
      </c>
      <c r="B48" s="38" t="s">
        <v>915</v>
      </c>
      <c r="C48" s="39" t="str">
        <f>'Contractor Assumptions'!B33</f>
        <v>San Benito County Water District, Zone 6</v>
      </c>
      <c r="D48" s="470">
        <f>'Demand and Conservation_Calcs'!B30 + 'Demand and Conservation_Calcs'!L30</f>
        <v>7105.0526315789475</v>
      </c>
      <c r="E48" s="470">
        <f>'Demand and Conservation_Calcs'!C30 + 'Demand and Conservation_Calcs'!M30</f>
        <v>7167.1578947368425</v>
      </c>
      <c r="F48" s="470">
        <f>'Demand and Conservation_Calcs'!D30 + 'Demand and Conservation_Calcs'!N30</f>
        <v>7237.4210526315801</v>
      </c>
      <c r="G48" s="470">
        <f>'Demand and Conservation_Calcs'!E30 + 'Demand and Conservation_Calcs'!O30</f>
        <v>7309.7368421052633</v>
      </c>
      <c r="H48" s="506">
        <f>'Demand and Conservation_Calcs'!F30 + 'Demand and Conservation_Calcs'!P30</f>
        <v>7309.7368421052633</v>
      </c>
      <c r="I48" s="40"/>
      <c r="J48" s="71"/>
      <c r="K48" s="71"/>
      <c r="L48" s="71"/>
      <c r="M48" s="71"/>
      <c r="N48" s="71"/>
      <c r="O48" s="71"/>
      <c r="P48" s="70"/>
      <c r="Q48" s="37"/>
    </row>
    <row r="49" spans="1:17" hidden="1" outlineLevel="1" x14ac:dyDescent="0.3">
      <c r="A49" s="38" t="s">
        <v>991</v>
      </c>
      <c r="B49" s="38" t="s">
        <v>915</v>
      </c>
      <c r="C49" s="39" t="str">
        <f>'Contractor Assumptions'!B34</f>
        <v>Santa Clara Valley Water District</v>
      </c>
      <c r="D49" s="470">
        <f>'Demand and Conservation_Calcs'!B31 + 'Demand and Conservation_Calcs'!L31</f>
        <v>371900</v>
      </c>
      <c r="E49" s="470">
        <f>'Demand and Conservation_Calcs'!C31 + 'Demand and Conservation_Calcs'!M31</f>
        <v>376800</v>
      </c>
      <c r="F49" s="470">
        <f>'Demand and Conservation_Calcs'!D31 + 'Demand and Conservation_Calcs'!N31</f>
        <v>386100</v>
      </c>
      <c r="G49" s="470">
        <f>'Demand and Conservation_Calcs'!E31 + 'Demand and Conservation_Calcs'!O31</f>
        <v>395400</v>
      </c>
      <c r="H49" s="506">
        <f>'Demand and Conservation_Calcs'!F31 + 'Demand and Conservation_Calcs'!P31</f>
        <v>404000</v>
      </c>
      <c r="I49" s="40"/>
      <c r="J49" s="71"/>
      <c r="K49" s="71"/>
      <c r="L49" s="71"/>
      <c r="M49" s="71"/>
      <c r="N49" s="71"/>
      <c r="O49" s="71"/>
      <c r="P49" s="70"/>
      <c r="Q49" s="37"/>
    </row>
    <row r="50" spans="1:17" hidden="1" outlineLevel="1" x14ac:dyDescent="0.3">
      <c r="A50" s="38" t="s">
        <v>991</v>
      </c>
      <c r="B50" s="38" t="s">
        <v>934</v>
      </c>
      <c r="C50" s="39" t="str">
        <f>'Contractor Assumptions'!B35</f>
        <v>San Luis Obispo County Flood Control &amp; Water Conservation District</v>
      </c>
      <c r="D50" s="470">
        <f>'Demand and Conservation_Calcs'!B32 + 'Demand and Conservation_Calcs'!L32</f>
        <v>8938</v>
      </c>
      <c r="E50" s="470">
        <f>'Demand and Conservation_Calcs'!C32 + 'Demand and Conservation_Calcs'!M32</f>
        <v>8943.6315789473683</v>
      </c>
      <c r="F50" s="470">
        <f>'Demand and Conservation_Calcs'!D32 + 'Demand and Conservation_Calcs'!N32</f>
        <v>8949</v>
      </c>
      <c r="G50" s="470">
        <f>'Demand and Conservation_Calcs'!E32 + 'Demand and Conservation_Calcs'!O32</f>
        <v>8954.5263157894733</v>
      </c>
      <c r="H50" s="506">
        <f>'Demand and Conservation_Calcs'!F32 + 'Demand and Conservation_Calcs'!P32</f>
        <v>8960.105263157895</v>
      </c>
      <c r="I50" s="40"/>
      <c r="J50" s="71"/>
      <c r="K50" s="71"/>
      <c r="L50" s="71"/>
      <c r="M50" s="71"/>
      <c r="N50" s="71"/>
      <c r="O50" s="71"/>
      <c r="P50" s="70"/>
      <c r="Q50" s="37"/>
    </row>
    <row r="51" spans="1:17" hidden="1" outlineLevel="1" x14ac:dyDescent="0.3">
      <c r="A51" s="38" t="s">
        <v>991</v>
      </c>
      <c r="B51" s="38" t="s">
        <v>934</v>
      </c>
      <c r="C51" s="39" t="str">
        <f>'Contractor Assumptions'!B36</f>
        <v>Santa Barbara County Flood Control &amp; Water Conservation District</v>
      </c>
      <c r="D51" s="470" t="s">
        <v>204</v>
      </c>
      <c r="E51" s="470" t="s">
        <v>204</v>
      </c>
      <c r="F51" s="470" t="s">
        <v>204</v>
      </c>
      <c r="G51" s="470" t="s">
        <v>204</v>
      </c>
      <c r="H51" s="506" t="s">
        <v>204</v>
      </c>
      <c r="I51" s="40"/>
      <c r="J51" s="71"/>
      <c r="K51" s="71"/>
      <c r="L51" s="71"/>
      <c r="M51" s="71"/>
      <c r="N51" s="71"/>
      <c r="O51" s="71"/>
      <c r="P51" s="70"/>
      <c r="Q51" s="37"/>
    </row>
    <row r="52" spans="1:17" hidden="1" outlineLevel="1" x14ac:dyDescent="0.3">
      <c r="A52" s="38" t="s">
        <v>991</v>
      </c>
      <c r="B52" s="38" t="s">
        <v>940</v>
      </c>
      <c r="C52" s="39" t="str">
        <f>'Contractor Assumptions'!B37</f>
        <v>Antelope Valley-East Kern Water Agency</v>
      </c>
      <c r="D52" s="470">
        <f>'Demand and Conservation_Calcs'!B34 + 'Demand and Conservation_Calcs'!L34</f>
        <v>45771.446843099387</v>
      </c>
      <c r="E52" s="470">
        <f>'Demand and Conservation_Calcs'!C34 + 'Demand and Conservation_Calcs'!M34</f>
        <v>52517.671522848425</v>
      </c>
      <c r="F52" s="470">
        <f>'Demand and Conservation_Calcs'!D34 + 'Demand and Conservation_Calcs'!N34</f>
        <v>53434.29960142287</v>
      </c>
      <c r="G52" s="470">
        <f>'Demand and Conservation_Calcs'!E34 + 'Demand and Conservation_Calcs'!O34</f>
        <v>56864.071508590714</v>
      </c>
      <c r="H52" s="506">
        <f>'Demand and Conservation_Calcs'!F34 + 'Demand and Conservation_Calcs'!P34</f>
        <v>59315.389558473107</v>
      </c>
      <c r="I52" s="40"/>
      <c r="J52" s="71"/>
      <c r="K52" s="71"/>
      <c r="L52" s="71"/>
      <c r="M52" s="71"/>
      <c r="N52" s="71"/>
      <c r="O52" s="71"/>
      <c r="P52" s="70"/>
      <c r="Q52" s="37"/>
    </row>
    <row r="53" spans="1:17" hidden="1" outlineLevel="1" x14ac:dyDescent="0.3">
      <c r="A53" s="38" t="s">
        <v>991</v>
      </c>
      <c r="B53" s="38" t="s">
        <v>940</v>
      </c>
      <c r="C53" s="39" t="str">
        <f>'Contractor Assumptions'!B38</f>
        <v>Santa Clarita Water Division</v>
      </c>
      <c r="D53" s="470">
        <f>'Demand and Conservation_Calcs'!B35 + 'Demand and Conservation_Calcs'!L35</f>
        <v>86594.025822368421</v>
      </c>
      <c r="E53" s="470">
        <f>'Demand and Conservation_Calcs'!C35 + 'Demand and Conservation_Calcs'!M35</f>
        <v>92274.043185789487</v>
      </c>
      <c r="F53" s="470">
        <f>'Demand and Conservation_Calcs'!D35 + 'Demand and Conservation_Calcs'!N35</f>
        <v>100063.58096236843</v>
      </c>
      <c r="G53" s="470">
        <f>'Demand and Conservation_Calcs'!E35 + 'Demand and Conservation_Calcs'!O35</f>
        <v>105225.92587131579</v>
      </c>
      <c r="H53" s="506">
        <f>'Demand and Conservation_Calcs'!F35 + 'Demand and Conservation_Calcs'!P35</f>
        <v>109401.51057368421</v>
      </c>
      <c r="I53" s="40"/>
      <c r="J53" s="71"/>
      <c r="K53" s="71"/>
      <c r="L53" s="71"/>
      <c r="M53" s="71"/>
      <c r="N53" s="71"/>
      <c r="O53" s="71"/>
      <c r="P53" s="70"/>
      <c r="Q53" s="37"/>
    </row>
    <row r="54" spans="1:17" hidden="1" outlineLevel="1" x14ac:dyDescent="0.3">
      <c r="A54" s="38" t="s">
        <v>991</v>
      </c>
      <c r="B54" s="38" t="s">
        <v>940</v>
      </c>
      <c r="C54" s="39" t="str">
        <f>'Contractor Assumptions'!B39</f>
        <v>Coachella Valley Water District</v>
      </c>
      <c r="D54" s="470" t="s">
        <v>204</v>
      </c>
      <c r="E54" s="470" t="s">
        <v>204</v>
      </c>
      <c r="F54" s="470" t="s">
        <v>204</v>
      </c>
      <c r="G54" s="470" t="s">
        <v>204</v>
      </c>
      <c r="H54" s="506" t="s">
        <v>204</v>
      </c>
      <c r="I54" s="40"/>
      <c r="J54" s="71"/>
      <c r="K54" s="71"/>
      <c r="L54" s="71"/>
      <c r="M54" s="71"/>
      <c r="N54" s="71"/>
      <c r="O54" s="71"/>
      <c r="P54" s="70"/>
      <c r="Q54" s="37"/>
    </row>
    <row r="55" spans="1:17" hidden="1" outlineLevel="1" x14ac:dyDescent="0.3">
      <c r="A55" s="38" t="s">
        <v>991</v>
      </c>
      <c r="B55" s="38" t="s">
        <v>940</v>
      </c>
      <c r="C55" s="39" t="str">
        <f>'Contractor Assumptions'!B40</f>
        <v>Crestline-Lake Arrowhead Water Agency</v>
      </c>
      <c r="D55" s="470" t="s">
        <v>204</v>
      </c>
      <c r="E55" s="470" t="s">
        <v>204</v>
      </c>
      <c r="F55" s="470" t="s">
        <v>204</v>
      </c>
      <c r="G55" s="470" t="s">
        <v>204</v>
      </c>
      <c r="H55" s="506" t="s">
        <v>204</v>
      </c>
      <c r="I55" s="40"/>
      <c r="J55" s="71"/>
      <c r="K55" s="71"/>
      <c r="L55" s="71"/>
      <c r="M55" s="71"/>
      <c r="N55" s="71"/>
      <c r="O55" s="71"/>
      <c r="P55" s="70"/>
      <c r="Q55" s="37"/>
    </row>
    <row r="56" spans="1:17" hidden="1" outlineLevel="1" x14ac:dyDescent="0.3">
      <c r="A56" s="38" t="s">
        <v>991</v>
      </c>
      <c r="B56" s="38" t="s">
        <v>940</v>
      </c>
      <c r="C56" s="39" t="str">
        <f>'Contractor Assumptions'!B41</f>
        <v>Desert Water Agency</v>
      </c>
      <c r="D56" s="470" t="s">
        <v>204</v>
      </c>
      <c r="E56" s="470" t="s">
        <v>204</v>
      </c>
      <c r="F56" s="470" t="s">
        <v>204</v>
      </c>
      <c r="G56" s="470" t="s">
        <v>204</v>
      </c>
      <c r="H56" s="506" t="s">
        <v>204</v>
      </c>
      <c r="I56" s="40"/>
      <c r="J56" s="71"/>
      <c r="K56" s="71"/>
      <c r="L56" s="71"/>
      <c r="M56" s="71"/>
      <c r="N56" s="71"/>
      <c r="O56" s="71"/>
      <c r="P56" s="70"/>
      <c r="Q56" s="37"/>
    </row>
    <row r="57" spans="1:17" hidden="1" outlineLevel="1" x14ac:dyDescent="0.3">
      <c r="A57" s="38" t="s">
        <v>991</v>
      </c>
      <c r="B57" s="38" t="s">
        <v>940</v>
      </c>
      <c r="C57" s="39" t="str">
        <f>'Contractor Assumptions'!B42</f>
        <v>Metropolitan Water District of Southern California</v>
      </c>
      <c r="D57" s="470">
        <f>'Met 2020 UWMP Demand Data'!D5</f>
        <v>4925000</v>
      </c>
      <c r="E57" s="470">
        <f>'Met 2020 UWMP Demand Data'!E5</f>
        <v>5032000</v>
      </c>
      <c r="F57" s="470">
        <f>'Met 2020 UWMP Demand Data'!F5</f>
        <v>5156000</v>
      </c>
      <c r="G57" s="470">
        <f>'Met 2020 UWMP Demand Data'!G5</f>
        <v>5261000</v>
      </c>
      <c r="H57" s="506">
        <f>'Met 2020 UWMP Demand Data'!H5</f>
        <v>5374000</v>
      </c>
      <c r="I57" s="40"/>
      <c r="J57" s="71"/>
      <c r="K57" s="71"/>
      <c r="L57" s="71"/>
      <c r="M57" s="71"/>
      <c r="N57" s="71"/>
      <c r="O57" s="71"/>
      <c r="P57" s="70"/>
      <c r="Q57" s="37"/>
    </row>
    <row r="58" spans="1:17" hidden="1" outlineLevel="1" x14ac:dyDescent="0.3">
      <c r="A58" s="38" t="s">
        <v>991</v>
      </c>
      <c r="B58" s="38" t="s">
        <v>940</v>
      </c>
      <c r="C58" s="39" t="str">
        <f>'Contractor Assumptions'!B43</f>
        <v>Mojave Water Agency</v>
      </c>
      <c r="D58" s="470">
        <f>'Demand and Conservation_Calcs'!B40 + 'Demand and Conservation_Calcs'!L40</f>
        <v>135414.39473684211</v>
      </c>
      <c r="E58" s="470">
        <f>'Demand and Conservation_Calcs'!C40 + 'Demand and Conservation_Calcs'!M40</f>
        <v>140075.0263157895</v>
      </c>
      <c r="F58" s="470">
        <f>'Demand and Conservation_Calcs'!D40 + 'Demand and Conservation_Calcs'!N40</f>
        <v>142557.34210526315</v>
      </c>
      <c r="G58" s="470">
        <f>'Demand and Conservation_Calcs'!E40 + 'Demand and Conservation_Calcs'!O40</f>
        <v>145136.0894736842</v>
      </c>
      <c r="H58" s="506">
        <f>'Demand and Conservation_Calcs'!F40 + 'Demand and Conservation_Calcs'!P40</f>
        <v>148134.29999999999</v>
      </c>
      <c r="I58" s="40"/>
      <c r="J58" s="71"/>
      <c r="K58" s="71"/>
      <c r="L58" s="71"/>
      <c r="M58" s="71"/>
      <c r="N58" s="71"/>
      <c r="O58" s="71"/>
      <c r="P58" s="70"/>
      <c r="Q58" s="37"/>
    </row>
    <row r="59" spans="1:17" hidden="1" outlineLevel="1" x14ac:dyDescent="0.3">
      <c r="A59" s="38" t="s">
        <v>991</v>
      </c>
      <c r="B59" s="38" t="s">
        <v>940</v>
      </c>
      <c r="C59" s="39" t="str">
        <f>'Contractor Assumptions'!B44</f>
        <v>Palmdale Water District &amp; Littlerock Creek Irrigation District</v>
      </c>
      <c r="D59" s="470">
        <f>'Demand and Conservation_Calcs'!B41 + 'Demand and Conservation_Calcs'!L41</f>
        <v>21087.368421052633</v>
      </c>
      <c r="E59" s="470">
        <f>'Demand and Conservation_Calcs'!C41 + 'Demand and Conservation_Calcs'!M41</f>
        <v>22203.157894736843</v>
      </c>
      <c r="F59" s="470">
        <f>'Demand and Conservation_Calcs'!D41 + 'Demand and Conservation_Calcs'!N41</f>
        <v>23929.473684210527</v>
      </c>
      <c r="G59" s="470">
        <f>'Demand and Conservation_Calcs'!E41 + 'Demand and Conservation_Calcs'!O41</f>
        <v>25792.63157894737</v>
      </c>
      <c r="H59" s="506">
        <f>'Demand and Conservation_Calcs'!F41 + 'Demand and Conservation_Calcs'!P41</f>
        <v>27329.473684210527</v>
      </c>
      <c r="I59" s="40"/>
      <c r="J59" s="71"/>
      <c r="K59" s="71"/>
      <c r="L59" s="71"/>
      <c r="M59" s="71"/>
      <c r="N59" s="71"/>
      <c r="O59" s="71"/>
      <c r="P59" s="70"/>
      <c r="Q59" s="37"/>
    </row>
    <row r="60" spans="1:17" hidden="1" outlineLevel="1" x14ac:dyDescent="0.3">
      <c r="A60" s="38" t="s">
        <v>991</v>
      </c>
      <c r="B60" s="38" t="s">
        <v>940</v>
      </c>
      <c r="C60" s="39" t="str">
        <f>'Contractor Assumptions'!B45</f>
        <v>San Bernardino Valley Municipal Water District</v>
      </c>
      <c r="D60" s="470">
        <f>'Demand and Conservation_Calcs'!B42 + 'Demand and Conservation_Calcs'!L42</f>
        <v>333408.40000000002</v>
      </c>
      <c r="E60" s="470">
        <f>'Demand and Conservation_Calcs'!C42 + 'Demand and Conservation_Calcs'!M42</f>
        <v>343830.45</v>
      </c>
      <c r="F60" s="470">
        <f>'Demand and Conservation_Calcs'!D42 + 'Demand and Conservation_Calcs'!N42</f>
        <v>354647.1</v>
      </c>
      <c r="G60" s="470">
        <f>'Demand and Conservation_Calcs'!E42 + 'Demand and Conservation_Calcs'!O42</f>
        <v>364487.4</v>
      </c>
      <c r="H60" s="506">
        <f>'Demand and Conservation_Calcs'!F42 + 'Demand and Conservation_Calcs'!P42</f>
        <v>374873.2</v>
      </c>
      <c r="I60" s="40"/>
      <c r="J60" s="71"/>
      <c r="K60" s="71"/>
      <c r="L60" s="71"/>
      <c r="M60" s="71"/>
      <c r="N60" s="71"/>
      <c r="O60" s="71"/>
      <c r="P60" s="70"/>
      <c r="Q60" s="37"/>
    </row>
    <row r="61" spans="1:17" hidden="1" outlineLevel="1" x14ac:dyDescent="0.3">
      <c r="A61" s="38" t="s">
        <v>991</v>
      </c>
      <c r="B61" s="38" t="s">
        <v>940</v>
      </c>
      <c r="C61" s="39" t="str">
        <f>'Contractor Assumptions'!B46</f>
        <v>San Gabriel Valley Municipal Water District</v>
      </c>
      <c r="D61" s="470" t="s">
        <v>204</v>
      </c>
      <c r="E61" s="470" t="s">
        <v>204</v>
      </c>
      <c r="F61" s="470" t="s">
        <v>204</v>
      </c>
      <c r="G61" s="470" t="s">
        <v>204</v>
      </c>
      <c r="H61" s="506" t="s">
        <v>204</v>
      </c>
      <c r="I61" s="40"/>
      <c r="J61" s="71"/>
      <c r="K61" s="71"/>
      <c r="L61" s="71"/>
      <c r="M61" s="71"/>
      <c r="N61" s="71"/>
      <c r="O61" s="71"/>
      <c r="P61" s="70"/>
      <c r="Q61" s="37"/>
    </row>
    <row r="62" spans="1:17" hidden="1" outlineLevel="1" x14ac:dyDescent="0.3">
      <c r="A62" s="38" t="s">
        <v>991</v>
      </c>
      <c r="B62" s="38" t="s">
        <v>940</v>
      </c>
      <c r="C62" s="39" t="str">
        <f>'Contractor Assumptions'!B47</f>
        <v>San Gorgonio Pass Water Agency</v>
      </c>
      <c r="D62" s="470">
        <f>'Demand and Conservation_Calcs'!B44 + 'Demand and Conservation_Calcs'!L44</f>
        <v>31834.84210526316</v>
      </c>
      <c r="E62" s="470">
        <f>'Demand and Conservation_Calcs'!C44 + 'Demand and Conservation_Calcs'!M44</f>
        <v>34546.494736842105</v>
      </c>
      <c r="F62" s="470">
        <f>'Demand and Conservation_Calcs'!D44 + 'Demand and Conservation_Calcs'!N44</f>
        <v>37369.652631578952</v>
      </c>
      <c r="G62" s="470">
        <f>'Demand and Conservation_Calcs'!E44 + 'Demand and Conservation_Calcs'!O44</f>
        <v>39980.757894736846</v>
      </c>
      <c r="H62" s="506">
        <f>'Demand and Conservation_Calcs'!F44 + 'Demand and Conservation_Calcs'!P44</f>
        <v>42279.126315789479</v>
      </c>
      <c r="I62" s="40"/>
      <c r="J62" s="71"/>
      <c r="K62" s="71"/>
      <c r="L62" s="71"/>
      <c r="M62" s="71"/>
      <c r="N62" s="70"/>
      <c r="O62" s="71"/>
      <c r="P62" s="70"/>
      <c r="Q62" s="37"/>
    </row>
    <row r="63" spans="1:17" hidden="1" outlineLevel="1" x14ac:dyDescent="0.3">
      <c r="A63" s="38" t="s">
        <v>991</v>
      </c>
      <c r="B63" s="38" t="s">
        <v>940</v>
      </c>
      <c r="C63" s="39" t="str">
        <f>'Contractor Assumptions'!B48</f>
        <v>Ventura County Watershed Protection District</v>
      </c>
      <c r="D63" s="470" t="s">
        <v>204</v>
      </c>
      <c r="E63" s="470" t="s">
        <v>204</v>
      </c>
      <c r="F63" s="470" t="s">
        <v>204</v>
      </c>
      <c r="G63" s="470" t="s">
        <v>204</v>
      </c>
      <c r="H63" s="506" t="s">
        <v>204</v>
      </c>
      <c r="I63" s="40"/>
      <c r="J63" s="71"/>
      <c r="K63" s="71"/>
      <c r="L63" s="71"/>
      <c r="M63" s="71"/>
      <c r="N63" s="70"/>
      <c r="O63" s="71"/>
      <c r="P63" s="70"/>
      <c r="Q63" s="37"/>
    </row>
    <row r="64" spans="1:17" collapsed="1" x14ac:dyDescent="0.3">
      <c r="A64" s="38"/>
      <c r="B64" s="38"/>
      <c r="C64" s="405" t="s">
        <v>992</v>
      </c>
      <c r="D64" s="40"/>
      <c r="E64" s="40"/>
      <c r="F64" s="40"/>
      <c r="G64" s="40"/>
      <c r="H64" s="511"/>
      <c r="I64" s="40"/>
      <c r="J64" s="70"/>
      <c r="K64" s="70"/>
      <c r="L64" s="181"/>
      <c r="M64" s="181"/>
      <c r="N64" s="182"/>
      <c r="O64" s="70"/>
      <c r="P64" s="70"/>
    </row>
    <row r="65" spans="1:17" x14ac:dyDescent="0.3">
      <c r="A65" s="38"/>
      <c r="B65" s="38"/>
      <c r="C65" s="130" t="s">
        <v>990</v>
      </c>
      <c r="D65" s="124">
        <f>SUM(D67:D109)</f>
        <v>7279535.4229270397</v>
      </c>
      <c r="E65" s="124">
        <f>SUM(E67:E109)</f>
        <v>7506011.3386412701</v>
      </c>
      <c r="F65" s="124">
        <f>SUM(F67:F109)</f>
        <v>7659174.6998277381</v>
      </c>
      <c r="G65" s="124">
        <f>SUM(G67:G109)</f>
        <v>7875650.0002766596</v>
      </c>
      <c r="H65" s="509">
        <f>SUM(H67:H109)</f>
        <v>8100651.9133204753</v>
      </c>
      <c r="I65" s="40"/>
      <c r="J65" s="73"/>
      <c r="K65" s="70"/>
      <c r="L65" s="182"/>
      <c r="M65" s="182"/>
      <c r="N65" s="182"/>
      <c r="O65" s="70"/>
      <c r="P65" s="70"/>
    </row>
    <row r="66" spans="1:17" x14ac:dyDescent="0.3">
      <c r="A66" s="125" t="s">
        <v>5</v>
      </c>
      <c r="B66" s="125"/>
      <c r="C66" s="125" t="s">
        <v>193</v>
      </c>
      <c r="D66" s="126">
        <v>2025</v>
      </c>
      <c r="E66" s="126">
        <v>2030</v>
      </c>
      <c r="F66" s="126">
        <v>2035</v>
      </c>
      <c r="G66" s="126">
        <v>2040</v>
      </c>
      <c r="H66" s="510">
        <v>2045</v>
      </c>
      <c r="I66" s="126" t="s">
        <v>153</v>
      </c>
      <c r="J66" s="73"/>
      <c r="K66" s="70"/>
      <c r="L66" s="183"/>
      <c r="M66" s="182"/>
      <c r="N66" s="70"/>
      <c r="O66" s="70"/>
      <c r="P66" s="70"/>
    </row>
    <row r="67" spans="1:17" hidden="1" outlineLevel="1" x14ac:dyDescent="0.3">
      <c r="A67" s="38" t="s">
        <v>993</v>
      </c>
      <c r="B67" s="38" t="s">
        <v>855</v>
      </c>
      <c r="C67" s="39" t="str">
        <f t="shared" ref="C67:C109" si="0">C21</f>
        <v>Butte County</v>
      </c>
      <c r="D67" s="470" t="s">
        <v>204</v>
      </c>
      <c r="E67" s="470" t="s">
        <v>204</v>
      </c>
      <c r="F67" s="470" t="s">
        <v>204</v>
      </c>
      <c r="G67" s="470" t="s">
        <v>204</v>
      </c>
      <c r="H67" s="506" t="s">
        <v>204</v>
      </c>
      <c r="I67" s="40"/>
      <c r="J67" s="71"/>
      <c r="K67" s="70"/>
      <c r="L67" s="71"/>
      <c r="M67" s="71"/>
      <c r="N67" s="71"/>
      <c r="O67" s="71"/>
      <c r="P67" s="70"/>
      <c r="Q67" s="37"/>
    </row>
    <row r="68" spans="1:17" hidden="1" outlineLevel="1" x14ac:dyDescent="0.3">
      <c r="A68" s="38" t="s">
        <v>993</v>
      </c>
      <c r="B68" s="38" t="s">
        <v>855</v>
      </c>
      <c r="C68" s="39" t="str">
        <f t="shared" si="0"/>
        <v>City of Folsom</v>
      </c>
      <c r="D68" s="470">
        <f>'Demand and Conservation_Calcs'!B51 + 'Demand and Conservation_Calcs'!L4</f>
        <v>21474.157894736843</v>
      </c>
      <c r="E68" s="470">
        <f>'Demand and Conservation_Calcs'!C51 + 'Demand and Conservation_Calcs'!M4</f>
        <v>23807.78947368421</v>
      </c>
      <c r="F68" s="470">
        <f>'Demand and Conservation_Calcs'!D51 + 'Demand and Conservation_Calcs'!N4</f>
        <v>25344.84210526316</v>
      </c>
      <c r="G68" s="470">
        <f>'Demand and Conservation_Calcs'!E51 + 'Demand and Conservation_Calcs'!O4</f>
        <v>26319.578947368424</v>
      </c>
      <c r="H68" s="506">
        <f>'Demand and Conservation_Calcs'!F51 + 'Demand and Conservation_Calcs'!P4</f>
        <v>26711.21052631579</v>
      </c>
      <c r="I68" s="40"/>
      <c r="J68" s="71"/>
      <c r="K68" s="70"/>
      <c r="L68" s="71"/>
      <c r="M68" s="71"/>
      <c r="N68" s="71"/>
      <c r="O68" s="71"/>
      <c r="P68" s="70"/>
      <c r="Q68" s="37"/>
    </row>
    <row r="69" spans="1:17" hidden="1" outlineLevel="1" x14ac:dyDescent="0.3">
      <c r="A69" s="38" t="s">
        <v>993</v>
      </c>
      <c r="B69" s="38" t="s">
        <v>855</v>
      </c>
      <c r="C69" s="39" t="str">
        <f t="shared" si="0"/>
        <v>City of Redding</v>
      </c>
      <c r="D69" s="470">
        <f>'Demand and Conservation_Calcs'!B52 + 'Demand and Conservation_Calcs'!L5</f>
        <v>24528.89967266842</v>
      </c>
      <c r="E69" s="470">
        <f>'Demand and Conservation_Calcs'!C52 + 'Demand and Conservation_Calcs'!M5</f>
        <v>25043.950378444737</v>
      </c>
      <c r="F69" s="470">
        <f>'Demand and Conservation_Calcs'!D52 + 'Demand and Conservation_Calcs'!N5</f>
        <v>25571.487161936842</v>
      </c>
      <c r="G69" s="470">
        <f>'Demand and Conservation_Calcs'!E52 + 'Demand and Conservation_Calcs'!O5</f>
        <v>26108.335872136842</v>
      </c>
      <c r="H69" s="506">
        <f>'Demand and Conservation_Calcs'!F52 + 'Demand and Conservation_Calcs'!P5</f>
        <v>26654.65440378158</v>
      </c>
      <c r="I69" s="40"/>
      <c r="J69" s="71"/>
      <c r="K69" s="70"/>
      <c r="L69" s="71"/>
      <c r="M69" s="71"/>
      <c r="N69" s="71"/>
      <c r="O69" s="71"/>
      <c r="P69" s="70"/>
      <c r="Q69" s="37"/>
    </row>
    <row r="70" spans="1:17" hidden="1" outlineLevel="1" x14ac:dyDescent="0.3">
      <c r="A70" s="38" t="s">
        <v>993</v>
      </c>
      <c r="B70" s="38" t="s">
        <v>855</v>
      </c>
      <c r="C70" s="39" t="str">
        <f t="shared" si="0"/>
        <v>City of Roseville</v>
      </c>
      <c r="D70" s="470">
        <f>'Demand and Conservation_Calcs'!B53 + 'Demand and Conservation_Calcs'!L6</f>
        <v>66313.666666666657</v>
      </c>
      <c r="E70" s="470">
        <f>'Demand and Conservation_Calcs'!C53 + 'Demand and Conservation_Calcs'!M6</f>
        <v>73000</v>
      </c>
      <c r="F70" s="470">
        <f>'Demand and Conservation_Calcs'!D53 + 'Demand and Conservation_Calcs'!N6</f>
        <v>79971</v>
      </c>
      <c r="G70" s="470">
        <f>'Demand and Conservation_Calcs'!E53 + 'Demand and Conservation_Calcs'!O6</f>
        <v>79971</v>
      </c>
      <c r="H70" s="506">
        <f>'Demand and Conservation_Calcs'!F53 + 'Demand and Conservation_Calcs'!P6</f>
        <v>79971</v>
      </c>
      <c r="I70" s="40"/>
      <c r="J70" s="71"/>
      <c r="K70" s="70"/>
      <c r="L70" s="71"/>
      <c r="M70" s="71"/>
      <c r="N70" s="71"/>
      <c r="O70" s="71"/>
      <c r="P70" s="70"/>
      <c r="Q70" s="37"/>
    </row>
    <row r="71" spans="1:17" hidden="1" outlineLevel="1" x14ac:dyDescent="0.3">
      <c r="A71" s="38" t="s">
        <v>993</v>
      </c>
      <c r="B71" s="38" t="s">
        <v>855</v>
      </c>
      <c r="C71" s="39" t="str">
        <f t="shared" si="0"/>
        <v>City of West Sacramento</v>
      </c>
      <c r="D71" s="470">
        <f>'Demand and Conservation_Calcs'!B54 + 'Demand and Conservation_Calcs'!L7</f>
        <v>15795.105263157895</v>
      </c>
      <c r="E71" s="470">
        <f>'Demand and Conservation_Calcs'!C54 + 'Demand and Conservation_Calcs'!M7</f>
        <v>18047.052631578947</v>
      </c>
      <c r="F71" s="470">
        <f>'Demand and Conservation_Calcs'!D54 + 'Demand and Conservation_Calcs'!N7</f>
        <v>18784.736842105263</v>
      </c>
      <c r="G71" s="470">
        <f>'Demand and Conservation_Calcs'!E54 + 'Demand and Conservation_Calcs'!O7</f>
        <v>19715.631578947367</v>
      </c>
      <c r="H71" s="506">
        <f>'Demand and Conservation_Calcs'!F54 + 'Demand and Conservation_Calcs'!P7</f>
        <v>22030</v>
      </c>
      <c r="I71" s="40"/>
      <c r="J71" s="71"/>
      <c r="K71" s="70"/>
      <c r="L71" s="71"/>
      <c r="M71" s="71"/>
      <c r="N71" s="71"/>
      <c r="O71" s="71"/>
      <c r="P71" s="70"/>
      <c r="Q71" s="37"/>
    </row>
    <row r="72" spans="1:17" hidden="1" outlineLevel="1" x14ac:dyDescent="0.3">
      <c r="A72" s="38" t="s">
        <v>993</v>
      </c>
      <c r="B72" s="38" t="s">
        <v>855</v>
      </c>
      <c r="C72" s="39" t="str">
        <f t="shared" si="0"/>
        <v>Yuba City</v>
      </c>
      <c r="D72" s="470">
        <f>'Demand and Conservation_Calcs'!B55 + 'Demand and Conservation_Calcs'!L8</f>
        <v>16327.736842105263</v>
      </c>
      <c r="E72" s="470">
        <f>'Demand and Conservation_Calcs'!C55 + 'Demand and Conservation_Calcs'!M8</f>
        <v>16979.263157894737</v>
      </c>
      <c r="F72" s="470">
        <f>'Demand and Conservation_Calcs'!D55 + 'Demand and Conservation_Calcs'!N8</f>
        <v>17714.84210526316</v>
      </c>
      <c r="G72" s="470">
        <f>'Demand and Conservation_Calcs'!E55 + 'Demand and Conservation_Calcs'!O8</f>
        <v>18641.052631578947</v>
      </c>
      <c r="H72" s="506">
        <f>'Demand and Conservation_Calcs'!F55 + 'Demand and Conservation_Calcs'!P8</f>
        <v>19557.263157894737</v>
      </c>
      <c r="I72" s="40"/>
      <c r="J72" s="71"/>
      <c r="K72" s="70"/>
      <c r="L72" s="71"/>
      <c r="M72" s="71"/>
      <c r="N72" s="71"/>
      <c r="O72" s="71"/>
      <c r="P72" s="70"/>
      <c r="Q72" s="37"/>
    </row>
    <row r="73" spans="1:17" hidden="1" outlineLevel="1" x14ac:dyDescent="0.3">
      <c r="A73" s="38" t="s">
        <v>993</v>
      </c>
      <c r="B73" s="38" t="s">
        <v>855</v>
      </c>
      <c r="C73" s="39" t="str">
        <f t="shared" si="0"/>
        <v>El Dorado Irrigation District</v>
      </c>
      <c r="D73" s="470">
        <f>'Demand and Conservation_Calcs'!B56 + 'Demand and Conservation_Calcs'!L9</f>
        <v>42193.15789473684</v>
      </c>
      <c r="E73" s="470">
        <f>'Demand and Conservation_Calcs'!C56 + 'Demand and Conservation_Calcs'!M9</f>
        <v>43023.15789473684</v>
      </c>
      <c r="F73" s="470">
        <f>'Demand and Conservation_Calcs'!D56 + 'Demand and Conservation_Calcs'!N9</f>
        <v>44233.15789473684</v>
      </c>
      <c r="G73" s="470">
        <f>'Demand and Conservation_Calcs'!E56 + 'Demand and Conservation_Calcs'!O9</f>
        <v>45503.15789473684</v>
      </c>
      <c r="H73" s="506">
        <f>'Demand and Conservation_Calcs'!F56 + 'Demand and Conservation_Calcs'!P9</f>
        <v>46753.15789473684</v>
      </c>
      <c r="I73" s="40"/>
      <c r="J73" s="71"/>
      <c r="K73" s="70"/>
      <c r="L73" s="71"/>
      <c r="M73" s="71"/>
      <c r="N73" s="71"/>
      <c r="O73" s="71"/>
      <c r="P73" s="70"/>
      <c r="Q73" s="37"/>
    </row>
    <row r="74" spans="1:17" hidden="1" outlineLevel="1" x14ac:dyDescent="0.3">
      <c r="A74" s="38" t="s">
        <v>993</v>
      </c>
      <c r="B74" s="38" t="s">
        <v>855</v>
      </c>
      <c r="C74" s="39" t="str">
        <f t="shared" si="0"/>
        <v>Napa County Flood Control &amp; Water Conservation District</v>
      </c>
      <c r="D74" s="470" t="s">
        <v>204</v>
      </c>
      <c r="E74" s="470" t="s">
        <v>204</v>
      </c>
      <c r="F74" s="470" t="s">
        <v>204</v>
      </c>
      <c r="G74" s="470" t="s">
        <v>204</v>
      </c>
      <c r="H74" s="506" t="s">
        <v>204</v>
      </c>
      <c r="I74" s="40"/>
      <c r="J74" s="71"/>
      <c r="K74" s="70"/>
      <c r="L74" s="71"/>
      <c r="M74" s="71"/>
      <c r="N74" s="71"/>
      <c r="O74" s="71"/>
      <c r="P74" s="70"/>
      <c r="Q74" s="37"/>
    </row>
    <row r="75" spans="1:17" hidden="1" outlineLevel="1" x14ac:dyDescent="0.3">
      <c r="A75" s="38" t="s">
        <v>993</v>
      </c>
      <c r="B75" s="38" t="s">
        <v>855</v>
      </c>
      <c r="C75" s="39" t="str">
        <f t="shared" si="0"/>
        <v>Placer County Water Agency</v>
      </c>
      <c r="D75" s="470">
        <f>'Demand and Conservation_Calcs'!B58 + 'Demand and Conservation_Calcs'!L11</f>
        <v>142668.10526315789</v>
      </c>
      <c r="E75" s="470">
        <f>'Demand and Conservation_Calcs'!C58 + 'Demand and Conservation_Calcs'!M11</f>
        <v>150774.31578947368</v>
      </c>
      <c r="F75" s="470">
        <f>'Demand and Conservation_Calcs'!D58 + 'Demand and Conservation_Calcs'!N11</f>
        <v>162522.36842105264</v>
      </c>
      <c r="G75" s="470">
        <f>'Demand and Conservation_Calcs'!E58 + 'Demand and Conservation_Calcs'!O11</f>
        <v>190966.05263157893</v>
      </c>
      <c r="H75" s="506">
        <f>'Demand and Conservation_Calcs'!F58 + 'Demand and Conservation_Calcs'!P11</f>
        <v>217549.36842105264</v>
      </c>
      <c r="I75" s="40"/>
      <c r="J75" s="71"/>
      <c r="K75" s="71"/>
      <c r="L75" s="71"/>
      <c r="M75" s="71"/>
      <c r="N75" s="71"/>
      <c r="O75" s="71"/>
      <c r="P75" s="70"/>
      <c r="Q75" s="37"/>
    </row>
    <row r="76" spans="1:17" hidden="1" outlineLevel="1" x14ac:dyDescent="0.3">
      <c r="A76" s="38" t="s">
        <v>993</v>
      </c>
      <c r="B76" s="38" t="s">
        <v>855</v>
      </c>
      <c r="C76" s="39" t="str">
        <f t="shared" si="0"/>
        <v>Sacramento County Water Agency</v>
      </c>
      <c r="D76" s="470">
        <f>'Demand and Conservation_Calcs'!B59 + 'Demand and Conservation_Calcs'!L12</f>
        <v>59811.473684210527</v>
      </c>
      <c r="E76" s="470">
        <f>'Demand and Conservation_Calcs'!C59 + 'Demand and Conservation_Calcs'!M12</f>
        <v>70122.789473684214</v>
      </c>
      <c r="F76" s="470">
        <f>'Demand and Conservation_Calcs'!D59 + 'Demand and Conservation_Calcs'!N12</f>
        <v>79627.105263157893</v>
      </c>
      <c r="G76" s="470">
        <f>'Demand and Conservation_Calcs'!E59 + 'Demand and Conservation_Calcs'!O12</f>
        <v>87622.631578947374</v>
      </c>
      <c r="H76" s="506">
        <f>'Demand and Conservation_Calcs'!F59 + 'Demand and Conservation_Calcs'!P12</f>
        <v>95890.368421052641</v>
      </c>
      <c r="I76" s="40"/>
      <c r="J76" s="71"/>
      <c r="K76" s="71"/>
      <c r="L76" s="71"/>
      <c r="M76" s="71"/>
      <c r="N76" s="71"/>
      <c r="O76" s="71"/>
      <c r="P76" s="70"/>
      <c r="Q76" s="37"/>
    </row>
    <row r="77" spans="1:17" hidden="1" outlineLevel="1" x14ac:dyDescent="0.3">
      <c r="A77" s="38" t="s">
        <v>993</v>
      </c>
      <c r="B77" s="38" t="s">
        <v>855</v>
      </c>
      <c r="C77" s="39" t="str">
        <f t="shared" si="0"/>
        <v>San Juan Water District</v>
      </c>
      <c r="D77" s="470">
        <f>'Demand and Conservation_Calcs'!B60 + 'Demand and Conservation_Calcs'!L13</f>
        <v>55858.052631578947</v>
      </c>
      <c r="E77" s="470">
        <f>'Demand and Conservation_Calcs'!C60 + 'Demand and Conservation_Calcs'!M13</f>
        <v>56503.736842105267</v>
      </c>
      <c r="F77" s="470">
        <f>'Demand and Conservation_Calcs'!D60 + 'Demand and Conservation_Calcs'!N13</f>
        <v>56067.1052631579</v>
      </c>
      <c r="G77" s="470">
        <f>'Demand and Conservation_Calcs'!E60 + 'Demand and Conservation_Calcs'!O13</f>
        <v>56931.894736842107</v>
      </c>
      <c r="H77" s="506">
        <f>'Demand and Conservation_Calcs'!F60 + 'Demand and Conservation_Calcs'!P13</f>
        <v>57702.157894736847</v>
      </c>
      <c r="I77" s="40"/>
      <c r="J77" s="71"/>
      <c r="K77" s="71"/>
      <c r="L77" s="71"/>
      <c r="M77" s="71"/>
      <c r="N77" s="71"/>
      <c r="O77" s="71"/>
      <c r="P77" s="70"/>
      <c r="Q77" s="37"/>
    </row>
    <row r="78" spans="1:17" hidden="1" outlineLevel="1" x14ac:dyDescent="0.3">
      <c r="A78" s="38" t="s">
        <v>993</v>
      </c>
      <c r="B78" s="38" t="s">
        <v>855</v>
      </c>
      <c r="C78" s="39" t="str">
        <f t="shared" si="0"/>
        <v>Shasta Contractors</v>
      </c>
      <c r="D78" s="470" t="s">
        <v>204</v>
      </c>
      <c r="E78" s="470" t="s">
        <v>204</v>
      </c>
      <c r="F78" s="470" t="s">
        <v>204</v>
      </c>
      <c r="G78" s="470" t="s">
        <v>204</v>
      </c>
      <c r="H78" s="506" t="s">
        <v>204</v>
      </c>
      <c r="I78" s="40"/>
      <c r="J78" s="71"/>
      <c r="K78" s="71"/>
      <c r="L78" s="71"/>
      <c r="M78" s="71"/>
      <c r="N78" s="71"/>
      <c r="O78" s="71"/>
      <c r="P78" s="70"/>
      <c r="Q78" s="37"/>
    </row>
    <row r="79" spans="1:17" hidden="1" outlineLevel="1" x14ac:dyDescent="0.3">
      <c r="A79" s="38" t="s">
        <v>993</v>
      </c>
      <c r="B79" s="38" t="s">
        <v>855</v>
      </c>
      <c r="C79" s="39" t="str">
        <f t="shared" si="0"/>
        <v>Solano County Water Agency</v>
      </c>
      <c r="D79" s="470" t="s">
        <v>204</v>
      </c>
      <c r="E79" s="470" t="s">
        <v>204</v>
      </c>
      <c r="F79" s="470" t="s">
        <v>204</v>
      </c>
      <c r="G79" s="470" t="s">
        <v>204</v>
      </c>
      <c r="H79" s="506" t="s">
        <v>204</v>
      </c>
      <c r="I79" s="40"/>
      <c r="J79" s="71"/>
      <c r="K79" s="71"/>
      <c r="L79" s="71"/>
      <c r="M79" s="71"/>
      <c r="N79" s="71"/>
      <c r="O79" s="71"/>
      <c r="P79" s="70"/>
      <c r="Q79" s="37"/>
    </row>
    <row r="80" spans="1:17" hidden="1" outlineLevel="1" x14ac:dyDescent="0.3">
      <c r="A80" s="38" t="s">
        <v>993</v>
      </c>
      <c r="B80" s="38" t="s">
        <v>894</v>
      </c>
      <c r="C80" s="39" t="str">
        <f t="shared" si="0"/>
        <v>City of Avenal</v>
      </c>
      <c r="D80" s="470" t="s">
        <v>204</v>
      </c>
      <c r="E80" s="470" t="s">
        <v>204</v>
      </c>
      <c r="F80" s="470" t="s">
        <v>204</v>
      </c>
      <c r="G80" s="470" t="s">
        <v>204</v>
      </c>
      <c r="H80" s="506" t="s">
        <v>204</v>
      </c>
      <c r="I80" s="40"/>
      <c r="J80" s="71"/>
      <c r="K80" s="71"/>
      <c r="L80" s="71"/>
      <c r="M80" s="71"/>
      <c r="N80" s="71"/>
      <c r="O80" s="71"/>
      <c r="P80" s="70"/>
      <c r="Q80" s="37"/>
    </row>
    <row r="81" spans="1:26" hidden="1" outlineLevel="1" x14ac:dyDescent="0.3">
      <c r="A81" s="38" t="s">
        <v>993</v>
      </c>
      <c r="B81" s="38" t="s">
        <v>894</v>
      </c>
      <c r="C81" s="39" t="str">
        <f t="shared" si="0"/>
        <v>City of Coalinga</v>
      </c>
      <c r="D81" s="470">
        <f>'Demand and Conservation_Calcs'!B64 + 'Demand and Conservation_Calcs'!L17</f>
        <v>4843.9971906052633</v>
      </c>
      <c r="E81" s="470">
        <f>'Demand and Conservation_Calcs'!C64 + 'Demand and Conservation_Calcs'!M17</f>
        <v>5499.2855067868422</v>
      </c>
      <c r="F81" s="470">
        <f>'Demand and Conservation_Calcs'!D64 + 'Demand and Conservation_Calcs'!N17</f>
        <v>6247.6095809473691</v>
      </c>
      <c r="G81" s="470">
        <f>'Demand and Conservation_Calcs'!E64 + 'Demand and Conservation_Calcs'!O17</f>
        <v>7089.2924539131582</v>
      </c>
      <c r="H81" s="506">
        <f>'Demand and Conservation_Calcs'!F64 + 'Demand and Conservation_Calcs'!P17</f>
        <v>7089.2924539131582</v>
      </c>
      <c r="I81" s="40"/>
      <c r="J81" s="71"/>
      <c r="K81" s="71"/>
      <c r="L81" s="71"/>
      <c r="M81" s="71"/>
      <c r="N81" s="71"/>
      <c r="O81" s="71"/>
      <c r="P81" s="70"/>
      <c r="Q81" s="37"/>
    </row>
    <row r="82" spans="1:26" hidden="1" outlineLevel="1" x14ac:dyDescent="0.3">
      <c r="A82" s="38" t="s">
        <v>993</v>
      </c>
      <c r="B82" s="38" t="s">
        <v>894</v>
      </c>
      <c r="C82" s="39" t="str">
        <f t="shared" si="0"/>
        <v>City of Fresno</v>
      </c>
      <c r="D82" s="470">
        <f>'Demand and Conservation_Calcs'!B65 + 'Demand and Conservation_Calcs'!L18</f>
        <v>170734.47368421053</v>
      </c>
      <c r="E82" s="470">
        <f>'Demand and Conservation_Calcs'!C65 + 'Demand and Conservation_Calcs'!M18</f>
        <v>183303.36842105264</v>
      </c>
      <c r="F82" s="470">
        <f>'Demand and Conservation_Calcs'!D65 + 'Demand and Conservation_Calcs'!N18</f>
        <v>191679.36842105264</v>
      </c>
      <c r="G82" s="470">
        <f>'Demand and Conservation_Calcs'!E65 + 'Demand and Conservation_Calcs'!O18</f>
        <v>200067.94736842107</v>
      </c>
      <c r="H82" s="506">
        <f>'Demand and Conservation_Calcs'!F65 + 'Demand and Conservation_Calcs'!P18</f>
        <v>208461.78947368421</v>
      </c>
      <c r="I82" s="40"/>
      <c r="J82" s="71"/>
      <c r="K82" s="71"/>
      <c r="L82" s="71"/>
      <c r="M82" s="71"/>
      <c r="N82" s="71"/>
      <c r="O82" s="71"/>
      <c r="P82" s="70"/>
      <c r="Q82" s="37"/>
    </row>
    <row r="83" spans="1:26" hidden="1" outlineLevel="1" x14ac:dyDescent="0.3">
      <c r="A83" s="38" t="s">
        <v>993</v>
      </c>
      <c r="B83" s="38" t="s">
        <v>894</v>
      </c>
      <c r="C83" s="39" t="str">
        <f t="shared" si="0"/>
        <v>City of Huron</v>
      </c>
      <c r="D83" s="470" t="s">
        <v>204</v>
      </c>
      <c r="E83" s="470" t="s">
        <v>204</v>
      </c>
      <c r="F83" s="470" t="s">
        <v>204</v>
      </c>
      <c r="G83" s="470" t="s">
        <v>204</v>
      </c>
      <c r="H83" s="506" t="s">
        <v>204</v>
      </c>
      <c r="I83" s="40"/>
      <c r="J83" s="71"/>
      <c r="K83" s="71"/>
      <c r="L83" s="71"/>
      <c r="M83" s="71"/>
      <c r="N83" s="71"/>
      <c r="O83" s="71"/>
      <c r="P83" s="70"/>
      <c r="Q83" s="37"/>
      <c r="R83" s="44"/>
      <c r="S83" s="44"/>
      <c r="T83" s="44"/>
      <c r="U83" s="44"/>
      <c r="V83" s="44"/>
      <c r="W83" s="44"/>
      <c r="X83" s="44"/>
      <c r="Y83" s="44"/>
      <c r="Z83" s="44"/>
    </row>
    <row r="84" spans="1:26" hidden="1" outlineLevel="1" x14ac:dyDescent="0.3">
      <c r="A84" s="38" t="s">
        <v>993</v>
      </c>
      <c r="B84" s="38" t="s">
        <v>894</v>
      </c>
      <c r="C84" s="39" t="str">
        <f t="shared" si="0"/>
        <v>City of Lindsay</v>
      </c>
      <c r="D84" s="470" t="s">
        <v>204</v>
      </c>
      <c r="E84" s="470" t="s">
        <v>204</v>
      </c>
      <c r="F84" s="470" t="s">
        <v>204</v>
      </c>
      <c r="G84" s="470" t="s">
        <v>204</v>
      </c>
      <c r="H84" s="506" t="s">
        <v>204</v>
      </c>
      <c r="I84" s="40"/>
      <c r="J84" s="71"/>
      <c r="K84" s="71"/>
      <c r="L84" s="71"/>
      <c r="M84" s="71"/>
      <c r="N84" s="71"/>
      <c r="O84" s="71"/>
      <c r="P84" s="70"/>
      <c r="Q84" s="37"/>
    </row>
    <row r="85" spans="1:26" hidden="1" outlineLevel="1" x14ac:dyDescent="0.3">
      <c r="A85" s="38" t="s">
        <v>993</v>
      </c>
      <c r="B85" s="38" t="s">
        <v>894</v>
      </c>
      <c r="C85" s="39" t="str">
        <f t="shared" si="0"/>
        <v>City of Orange Cove</v>
      </c>
      <c r="D85" s="470" t="s">
        <v>204</v>
      </c>
      <c r="E85" s="470" t="s">
        <v>204</v>
      </c>
      <c r="F85" s="470" t="s">
        <v>204</v>
      </c>
      <c r="G85" s="470" t="s">
        <v>204</v>
      </c>
      <c r="H85" s="506" t="s">
        <v>204</v>
      </c>
      <c r="I85" s="40"/>
      <c r="J85" s="71"/>
      <c r="K85" s="71"/>
      <c r="L85" s="71"/>
      <c r="M85" s="71"/>
      <c r="N85" s="71"/>
      <c r="O85" s="71"/>
      <c r="P85" s="70"/>
      <c r="Q85" s="37"/>
    </row>
    <row r="86" spans="1:26" hidden="1" outlineLevel="1" x14ac:dyDescent="0.3">
      <c r="A86" s="38" t="s">
        <v>993</v>
      </c>
      <c r="B86" s="38" t="s">
        <v>894</v>
      </c>
      <c r="C86" s="39" t="str">
        <f t="shared" si="0"/>
        <v>City of Tracy</v>
      </c>
      <c r="D86" s="470">
        <f>'Demand and Conservation_Calcs'!B69 + 'Demand and Conservation_Calcs'!L22</f>
        <v>22484.778421052633</v>
      </c>
      <c r="E86" s="470">
        <f>'Demand and Conservation_Calcs'!C69 + 'Demand and Conservation_Calcs'!M22</f>
        <v>26266.091578947369</v>
      </c>
      <c r="F86" s="470">
        <f>'Demand and Conservation_Calcs'!D69 + 'Demand and Conservation_Calcs'!N22</f>
        <v>30095.58</v>
      </c>
      <c r="G86" s="470">
        <f>'Demand and Conservation_Calcs'!E69 + 'Demand and Conservation_Calcs'!O22</f>
        <v>33954.405789473691</v>
      </c>
      <c r="H86" s="506">
        <f>'Demand and Conservation_Calcs'!F69 + 'Demand and Conservation_Calcs'!P22</f>
        <v>40952.854210526319</v>
      </c>
      <c r="I86" s="40"/>
      <c r="J86" s="71"/>
      <c r="K86" s="71"/>
      <c r="L86" s="71"/>
      <c r="M86" s="71"/>
      <c r="N86" s="71"/>
      <c r="O86" s="71"/>
      <c r="P86" s="70"/>
      <c r="Q86" s="37"/>
    </row>
    <row r="87" spans="1:26" hidden="1" outlineLevel="1" x14ac:dyDescent="0.3">
      <c r="A87" s="38" t="s">
        <v>993</v>
      </c>
      <c r="B87" s="38" t="s">
        <v>894</v>
      </c>
      <c r="C87" s="39" t="str">
        <f t="shared" si="0"/>
        <v>Kern County Water Agency</v>
      </c>
      <c r="D87" s="470" t="s">
        <v>204</v>
      </c>
      <c r="E87" s="470" t="s">
        <v>204</v>
      </c>
      <c r="F87" s="470" t="s">
        <v>204</v>
      </c>
      <c r="G87" s="470" t="s">
        <v>204</v>
      </c>
      <c r="H87" s="506" t="s">
        <v>204</v>
      </c>
      <c r="I87" s="40"/>
      <c r="J87" s="71"/>
      <c r="K87" s="71"/>
      <c r="L87" s="71"/>
      <c r="M87" s="71"/>
      <c r="N87" s="71"/>
      <c r="O87" s="71"/>
      <c r="P87" s="70"/>
      <c r="Q87" s="37"/>
    </row>
    <row r="88" spans="1:26" hidden="1" outlineLevel="1" x14ac:dyDescent="0.3">
      <c r="A88" s="38" t="s">
        <v>993</v>
      </c>
      <c r="B88" s="38" t="s">
        <v>894</v>
      </c>
      <c r="C88" s="39" t="str">
        <f t="shared" si="0"/>
        <v>Other Friant-Kern M&amp;I Contractors</v>
      </c>
      <c r="D88" s="470" t="s">
        <v>204</v>
      </c>
      <c r="E88" s="470" t="s">
        <v>204</v>
      </c>
      <c r="F88" s="470" t="s">
        <v>204</v>
      </c>
      <c r="G88" s="470" t="s">
        <v>204</v>
      </c>
      <c r="H88" s="506" t="s">
        <v>204</v>
      </c>
      <c r="I88" s="40"/>
      <c r="J88" s="71"/>
      <c r="K88" s="71"/>
      <c r="L88" s="71"/>
      <c r="M88" s="71"/>
      <c r="N88" s="71"/>
      <c r="O88" s="71"/>
      <c r="P88" s="70"/>
      <c r="Q88" s="37"/>
    </row>
    <row r="89" spans="1:26" hidden="1" outlineLevel="1" x14ac:dyDescent="0.3">
      <c r="A89" s="38" t="s">
        <v>993</v>
      </c>
      <c r="B89" s="38" t="s">
        <v>894</v>
      </c>
      <c r="C89" s="39" t="str">
        <f t="shared" si="0"/>
        <v>Stockton-East Water District</v>
      </c>
      <c r="D89" s="470">
        <v>68404</v>
      </c>
      <c r="E89" s="470">
        <v>71493</v>
      </c>
      <c r="F89" s="470">
        <v>0</v>
      </c>
      <c r="G89" s="470">
        <v>0</v>
      </c>
      <c r="H89" s="506">
        <v>0</v>
      </c>
      <c r="I89" s="40"/>
      <c r="J89" s="71"/>
      <c r="K89" s="71"/>
      <c r="L89" s="71"/>
      <c r="M89" s="71"/>
      <c r="N89" s="71"/>
      <c r="O89" s="71"/>
      <c r="P89" s="70"/>
      <c r="Q89" s="37"/>
    </row>
    <row r="90" spans="1:26" hidden="1" outlineLevel="1" x14ac:dyDescent="0.3">
      <c r="A90" s="38" t="s">
        <v>993</v>
      </c>
      <c r="B90" s="38" t="s">
        <v>915</v>
      </c>
      <c r="C90" s="39" t="str">
        <f t="shared" si="0"/>
        <v>Alameda County Flood Control and Water Conservation District, Zone 7</v>
      </c>
      <c r="D90" s="470">
        <f>'Demand and Conservation_Calcs'!B73 + 'Demand and Conservation_Calcs'!L26</f>
        <v>52451.649016184216</v>
      </c>
      <c r="E90" s="470">
        <f>'Demand and Conservation_Calcs'!C73 + 'Demand and Conservation_Calcs'!M26</f>
        <v>55054.886557255268</v>
      </c>
      <c r="F90" s="470">
        <f>'Demand and Conservation_Calcs'!D73 + 'Demand and Conservation_Calcs'!N26</f>
        <v>56116.70304569474</v>
      </c>
      <c r="G90" s="470">
        <f>'Demand and Conservation_Calcs'!E73 + 'Demand and Conservation_Calcs'!O26</f>
        <v>57660.828072255266</v>
      </c>
      <c r="H90" s="506">
        <f>'Demand and Conservation_Calcs'!F73 + 'Demand and Conservation_Calcs'!P26</f>
        <v>57675.091230149999</v>
      </c>
      <c r="I90" s="40"/>
      <c r="J90" s="71"/>
      <c r="K90" s="71"/>
      <c r="L90" s="71"/>
      <c r="M90" s="71"/>
      <c r="N90" s="71"/>
      <c r="O90" s="71"/>
      <c r="P90" s="70"/>
      <c r="Q90" s="37"/>
    </row>
    <row r="91" spans="1:26" hidden="1" outlineLevel="1" x14ac:dyDescent="0.3">
      <c r="A91" s="38" t="s">
        <v>993</v>
      </c>
      <c r="B91" s="38" t="s">
        <v>915</v>
      </c>
      <c r="C91" s="39" t="str">
        <f t="shared" si="0"/>
        <v>Alameda County Water District</v>
      </c>
      <c r="D91" s="470">
        <f>'Demand and Conservation_Calcs'!B74 + 'Demand and Conservation_Calcs'!L27</f>
        <v>60336.84210526316</v>
      </c>
      <c r="E91" s="470">
        <f>'Demand and Conservation_Calcs'!C74 + 'Demand and Conservation_Calcs'!M27</f>
        <v>59815.789473684214</v>
      </c>
      <c r="F91" s="470">
        <f>'Demand and Conservation_Calcs'!D74 + 'Demand and Conservation_Calcs'!N27</f>
        <v>59505.26315789474</v>
      </c>
      <c r="G91" s="470">
        <f>'Demand and Conservation_Calcs'!E74 + 'Demand and Conservation_Calcs'!O27</f>
        <v>59510.526315789473</v>
      </c>
      <c r="H91" s="506">
        <f>'Demand and Conservation_Calcs'!F74 + 'Demand and Conservation_Calcs'!P27</f>
        <v>66389.473684210534</v>
      </c>
      <c r="I91" s="40"/>
      <c r="J91" s="71"/>
      <c r="K91" s="71"/>
      <c r="L91" s="71"/>
      <c r="M91" s="71"/>
      <c r="N91" s="71"/>
      <c r="O91" s="71"/>
      <c r="P91" s="70"/>
      <c r="Q91" s="37"/>
    </row>
    <row r="92" spans="1:26" hidden="1" outlineLevel="1" x14ac:dyDescent="0.3">
      <c r="A92" s="38" t="s">
        <v>993</v>
      </c>
      <c r="B92" s="38" t="s">
        <v>915</v>
      </c>
      <c r="C92" s="39" t="str">
        <f t="shared" si="0"/>
        <v>Contra Costa Water District</v>
      </c>
      <c r="D92" s="470">
        <f>'Demand and Conservation_Calcs'!B75 + 'Demand and Conservation_Calcs'!L28</f>
        <v>241450</v>
      </c>
      <c r="E92" s="470">
        <f>'Demand and Conservation_Calcs'!C75 + 'Demand and Conservation_Calcs'!M28</f>
        <v>260100</v>
      </c>
      <c r="F92" s="470">
        <f>'Demand and Conservation_Calcs'!D75 + 'Demand and Conservation_Calcs'!N28</f>
        <v>272940</v>
      </c>
      <c r="G92" s="470">
        <f>'Demand and Conservation_Calcs'!E75 + 'Demand and Conservation_Calcs'!O28</f>
        <v>283940</v>
      </c>
      <c r="H92" s="506">
        <f>'Demand and Conservation_Calcs'!F75 + 'Demand and Conservation_Calcs'!P28</f>
        <v>290910</v>
      </c>
      <c r="I92" s="40"/>
      <c r="J92" s="71"/>
      <c r="K92" s="71"/>
      <c r="L92" s="71"/>
      <c r="M92" s="71"/>
      <c r="N92" s="71"/>
      <c r="O92" s="71"/>
      <c r="P92" s="70"/>
      <c r="Q92" s="37"/>
    </row>
    <row r="93" spans="1:26" hidden="1" outlineLevel="1" x14ac:dyDescent="0.3">
      <c r="A93" s="38" t="s">
        <v>993</v>
      </c>
      <c r="B93" s="38" t="s">
        <v>915</v>
      </c>
      <c r="C93" s="39" t="str">
        <f t="shared" si="0"/>
        <v>East Bay Municipal Utilities District</v>
      </c>
      <c r="D93" s="470">
        <f>'Demand and Conservation_Calcs'!B76 + 'Demand and Conservation_Calcs'!L29</f>
        <v>208346.79613649999</v>
      </c>
      <c r="E93" s="470">
        <f>'Demand and Conservation_Calcs'!C76 + 'Demand and Conservation_Calcs'!M29</f>
        <v>211707.22833225</v>
      </c>
      <c r="F93" s="470">
        <f>'Demand and Conservation_Calcs'!D76 + 'Demand and Conservation_Calcs'!N29</f>
        <v>215067.66052800001</v>
      </c>
      <c r="G93" s="470">
        <f>'Demand and Conservation_Calcs'!E76 + 'Demand and Conservation_Calcs'!O29</f>
        <v>221788.52491949999</v>
      </c>
      <c r="H93" s="506">
        <f>'Demand and Conservation_Calcs'!F76 + 'Demand and Conservation_Calcs'!P29</f>
        <v>228509.38931100001</v>
      </c>
      <c r="I93" s="40"/>
      <c r="J93" s="71"/>
      <c r="K93" s="71"/>
      <c r="L93" s="71"/>
      <c r="M93" s="71"/>
      <c r="N93" s="71"/>
      <c r="O93" s="71"/>
      <c r="P93" s="70"/>
      <c r="Q93" s="37"/>
    </row>
    <row r="94" spans="1:26" hidden="1" outlineLevel="1" x14ac:dyDescent="0.3">
      <c r="A94" s="38" t="s">
        <v>993</v>
      </c>
      <c r="B94" s="38" t="s">
        <v>915</v>
      </c>
      <c r="C94" s="39" t="str">
        <f t="shared" si="0"/>
        <v>San Benito County Water District, Zone 6</v>
      </c>
      <c r="D94" s="470">
        <f>'Demand and Conservation_Calcs'!B77 + 'Demand and Conservation_Calcs'!L30</f>
        <v>6611.0526315789475</v>
      </c>
      <c r="E94" s="470">
        <f>'Demand and Conservation_Calcs'!C77 + 'Demand and Conservation_Calcs'!M30</f>
        <v>7736.1578947368425</v>
      </c>
      <c r="F94" s="470">
        <f>'Demand and Conservation_Calcs'!D77 + 'Demand and Conservation_Calcs'!N30</f>
        <v>9008.4210526315801</v>
      </c>
      <c r="G94" s="470">
        <f>'Demand and Conservation_Calcs'!E77 + 'Demand and Conservation_Calcs'!O30</f>
        <v>10315.736842105263</v>
      </c>
      <c r="H94" s="506">
        <f>G94</f>
        <v>10315.736842105263</v>
      </c>
      <c r="I94" s="40"/>
      <c r="J94" s="71"/>
      <c r="K94" s="71"/>
      <c r="L94" s="71"/>
      <c r="M94" s="71"/>
      <c r="N94" s="71"/>
      <c r="O94" s="71"/>
      <c r="P94" s="70"/>
      <c r="Q94" s="37"/>
    </row>
    <row r="95" spans="1:26" hidden="1" outlineLevel="1" x14ac:dyDescent="0.3">
      <c r="A95" s="38" t="s">
        <v>993</v>
      </c>
      <c r="B95" s="38" t="s">
        <v>915</v>
      </c>
      <c r="C95" s="39" t="str">
        <f t="shared" si="0"/>
        <v>Santa Clara Valley Water District</v>
      </c>
      <c r="D95" s="470">
        <f>'Demand and Conservation_Calcs'!B78 + 'Demand and Conservation_Calcs'!L31</f>
        <v>370000</v>
      </c>
      <c r="E95" s="470">
        <f>'Demand and Conservation_Calcs'!C78 + 'Demand and Conservation_Calcs'!M31</f>
        <v>378000</v>
      </c>
      <c r="F95" s="470">
        <f>'Demand and Conservation_Calcs'!D78 + 'Demand and Conservation_Calcs'!N31</f>
        <v>388000</v>
      </c>
      <c r="G95" s="470">
        <f>'Demand and Conservation_Calcs'!E78 + 'Demand and Conservation_Calcs'!O31</f>
        <v>397000</v>
      </c>
      <c r="H95" s="506">
        <f>'Demand and Conservation_Calcs'!F78 + 'Demand and Conservation_Calcs'!P31</f>
        <v>407000</v>
      </c>
      <c r="I95" s="40"/>
      <c r="J95" s="71"/>
      <c r="K95" s="71"/>
      <c r="L95" s="71"/>
      <c r="M95" s="71"/>
      <c r="N95" s="71"/>
      <c r="O95" s="71"/>
      <c r="P95" s="70"/>
      <c r="Q95" s="37"/>
    </row>
    <row r="96" spans="1:26" hidden="1" outlineLevel="1" x14ac:dyDescent="0.3">
      <c r="A96" s="38" t="s">
        <v>993</v>
      </c>
      <c r="B96" s="38" t="s">
        <v>934</v>
      </c>
      <c r="C96" s="39" t="str">
        <f t="shared" si="0"/>
        <v>San Luis Obispo County Flood Control &amp; Water Conservation District</v>
      </c>
      <c r="D96" s="470">
        <f>'Demand and Conservation_Calcs'!B79 + 'Demand and Conservation_Calcs'!L32</f>
        <v>8085</v>
      </c>
      <c r="E96" s="470">
        <f>'Demand and Conservation_Calcs'!C79 + 'Demand and Conservation_Calcs'!M32</f>
        <v>8090.6315789473683</v>
      </c>
      <c r="F96" s="470">
        <f>'Demand and Conservation_Calcs'!D79 + 'Demand and Conservation_Calcs'!N32</f>
        <v>8096</v>
      </c>
      <c r="G96" s="470">
        <f>'Demand and Conservation_Calcs'!E79 + 'Demand and Conservation_Calcs'!O32</f>
        <v>8101.5263157894742</v>
      </c>
      <c r="H96" s="506">
        <f>'Demand and Conservation_Calcs'!F79 + 'Demand and Conservation_Calcs'!P32</f>
        <v>8107.105263157895</v>
      </c>
      <c r="I96" s="40"/>
      <c r="J96" s="71"/>
      <c r="K96" s="71"/>
      <c r="L96" s="71"/>
      <c r="M96" s="71"/>
      <c r="N96" s="71"/>
      <c r="O96" s="71"/>
      <c r="P96" s="70"/>
      <c r="Q96" s="37"/>
    </row>
    <row r="97" spans="1:17" hidden="1" outlineLevel="1" x14ac:dyDescent="0.3">
      <c r="A97" s="38" t="s">
        <v>993</v>
      </c>
      <c r="B97" s="38" t="s">
        <v>934</v>
      </c>
      <c r="C97" s="39" t="str">
        <f t="shared" si="0"/>
        <v>Santa Barbara County Flood Control &amp; Water Conservation District</v>
      </c>
      <c r="D97" s="470" t="s">
        <v>204</v>
      </c>
      <c r="E97" s="470" t="s">
        <v>204</v>
      </c>
      <c r="F97" s="470" t="s">
        <v>204</v>
      </c>
      <c r="G97" s="470" t="s">
        <v>204</v>
      </c>
      <c r="H97" s="506" t="s">
        <v>204</v>
      </c>
      <c r="I97" s="40"/>
      <c r="J97" s="71"/>
      <c r="K97" s="71"/>
      <c r="L97" s="71"/>
      <c r="M97" s="71"/>
      <c r="N97" s="71"/>
      <c r="O97" s="71"/>
      <c r="P97" s="70"/>
      <c r="Q97" s="37"/>
    </row>
    <row r="98" spans="1:17" hidden="1" outlineLevel="1" x14ac:dyDescent="0.3">
      <c r="A98" s="38" t="s">
        <v>993</v>
      </c>
      <c r="B98" s="38" t="s">
        <v>940</v>
      </c>
      <c r="C98" s="39" t="str">
        <f t="shared" si="0"/>
        <v>Antelope Valley-East Kern Water Agency</v>
      </c>
      <c r="D98" s="470">
        <f>'Demand and Conservation_Calcs'!B81 + 'Demand and Conservation_Calcs'!L34</f>
        <v>45771.446843099387</v>
      </c>
      <c r="E98" s="470">
        <f>'Demand and Conservation_Calcs'!C81 + 'Demand and Conservation_Calcs'!M34</f>
        <v>52517.671522848425</v>
      </c>
      <c r="F98" s="470">
        <f>'Demand and Conservation_Calcs'!D81 + 'Demand and Conservation_Calcs'!N34</f>
        <v>53434.29960142287</v>
      </c>
      <c r="G98" s="470">
        <f>'Demand and Conservation_Calcs'!E81 + 'Demand and Conservation_Calcs'!O34</f>
        <v>56864.071508590714</v>
      </c>
      <c r="H98" s="506">
        <f>'Demand and Conservation_Calcs'!F81 + 'Demand and Conservation_Calcs'!P34</f>
        <v>59315.389558473107</v>
      </c>
      <c r="I98" s="40"/>
      <c r="J98" s="71"/>
      <c r="K98" s="71"/>
      <c r="L98" s="71"/>
      <c r="M98" s="71"/>
      <c r="N98" s="71"/>
      <c r="O98" s="71"/>
      <c r="P98" s="70"/>
      <c r="Q98" s="37"/>
    </row>
    <row r="99" spans="1:17" hidden="1" outlineLevel="1" x14ac:dyDescent="0.3">
      <c r="A99" s="38" t="s">
        <v>993</v>
      </c>
      <c r="B99" s="38" t="s">
        <v>940</v>
      </c>
      <c r="C99" s="39" t="str">
        <f t="shared" si="0"/>
        <v>Santa Clarita Water Division</v>
      </c>
      <c r="D99" s="470">
        <f>'Demand and Conservation_Calcs'!B82 + 'Demand and Conservation_Calcs'!L35</f>
        <v>91095.025822368421</v>
      </c>
      <c r="E99" s="470">
        <f>'Demand and Conservation_Calcs'!C82 + 'Demand and Conservation_Calcs'!M35</f>
        <v>97228.043185789487</v>
      </c>
      <c r="F99" s="470">
        <f>'Demand and Conservation_Calcs'!D82 + 'Demand and Conservation_Calcs'!N35</f>
        <v>105322.58096236843</v>
      </c>
      <c r="G99" s="470">
        <f>'Demand and Conservation_Calcs'!E82 + 'Demand and Conservation_Calcs'!O35</f>
        <v>110877.92587131579</v>
      </c>
      <c r="H99" s="506">
        <f>'Demand and Conservation_Calcs'!F82 + 'Demand and Conservation_Calcs'!P35</f>
        <v>115352.51057368421</v>
      </c>
      <c r="I99" s="40"/>
      <c r="J99" s="71"/>
      <c r="K99" s="71"/>
      <c r="L99" s="71"/>
      <c r="M99" s="71"/>
      <c r="N99" s="71"/>
      <c r="O99" s="71"/>
      <c r="P99" s="70"/>
      <c r="Q99" s="37"/>
    </row>
    <row r="100" spans="1:17" hidden="1" outlineLevel="1" x14ac:dyDescent="0.3">
      <c r="A100" s="38" t="s">
        <v>993</v>
      </c>
      <c r="B100" s="38" t="s">
        <v>940</v>
      </c>
      <c r="C100" s="39" t="str">
        <f t="shared" si="0"/>
        <v>Coachella Valley Water District</v>
      </c>
      <c r="D100" s="470" t="s">
        <v>204</v>
      </c>
      <c r="E100" s="470" t="s">
        <v>204</v>
      </c>
      <c r="F100" s="470" t="s">
        <v>204</v>
      </c>
      <c r="G100" s="470" t="s">
        <v>204</v>
      </c>
      <c r="H100" s="506" t="s">
        <v>204</v>
      </c>
      <c r="I100" s="40"/>
      <c r="J100" s="71"/>
      <c r="K100" s="71"/>
      <c r="L100" s="71"/>
      <c r="M100" s="71"/>
      <c r="N100" s="71"/>
      <c r="O100" s="71"/>
      <c r="P100" s="70"/>
      <c r="Q100" s="37"/>
    </row>
    <row r="101" spans="1:17" hidden="1" outlineLevel="1" x14ac:dyDescent="0.3">
      <c r="A101" s="38" t="s">
        <v>993</v>
      </c>
      <c r="B101" s="38" t="s">
        <v>940</v>
      </c>
      <c r="C101" s="39" t="str">
        <f t="shared" si="0"/>
        <v>Crestline-Lake Arrowhead Water Agency</v>
      </c>
      <c r="D101" s="470" t="s">
        <v>204</v>
      </c>
      <c r="E101" s="470" t="s">
        <v>204</v>
      </c>
      <c r="F101" s="470" t="s">
        <v>204</v>
      </c>
      <c r="G101" s="470" t="s">
        <v>204</v>
      </c>
      <c r="H101" s="506" t="s">
        <v>204</v>
      </c>
      <c r="I101" s="40"/>
      <c r="J101" s="71"/>
      <c r="K101" s="71"/>
      <c r="L101" s="71"/>
      <c r="M101" s="71"/>
      <c r="N101" s="71"/>
      <c r="O101" s="71"/>
      <c r="P101" s="70"/>
      <c r="Q101" s="37"/>
    </row>
    <row r="102" spans="1:17" hidden="1" outlineLevel="1" x14ac:dyDescent="0.3">
      <c r="A102" s="38" t="s">
        <v>993</v>
      </c>
      <c r="B102" s="38" t="s">
        <v>940</v>
      </c>
      <c r="C102" s="39" t="str">
        <f t="shared" si="0"/>
        <v>Desert Water Agency</v>
      </c>
      <c r="D102" s="470" t="s">
        <v>204</v>
      </c>
      <c r="E102" s="470" t="s">
        <v>204</v>
      </c>
      <c r="F102" s="470" t="s">
        <v>204</v>
      </c>
      <c r="G102" s="470" t="s">
        <v>204</v>
      </c>
      <c r="H102" s="506" t="s">
        <v>204</v>
      </c>
      <c r="I102" s="40"/>
      <c r="J102" s="71"/>
      <c r="K102" s="71"/>
      <c r="L102" s="71"/>
      <c r="M102" s="71"/>
      <c r="N102" s="71"/>
      <c r="O102" s="71"/>
      <c r="P102" s="70"/>
      <c r="Q102" s="37"/>
    </row>
    <row r="103" spans="1:17" hidden="1" outlineLevel="1" x14ac:dyDescent="0.3">
      <c r="A103" s="38" t="s">
        <v>993</v>
      </c>
      <c r="B103" s="38" t="s">
        <v>940</v>
      </c>
      <c r="C103" s="39" t="str">
        <f t="shared" si="0"/>
        <v>Metropolitan Water District of Southern California</v>
      </c>
      <c r="D103" s="470">
        <f>'Demand and Conservation_Calcs'!B86 + 'Demand and Conservation_Calcs'!L39</f>
        <v>4929000</v>
      </c>
      <c r="E103" s="470">
        <f>'Demand and Conservation_Calcs'!C86 + 'Demand and Conservation_Calcs'!M39</f>
        <v>5037000</v>
      </c>
      <c r="F103" s="470">
        <f>'Demand and Conservation_Calcs'!D86 + 'Demand and Conservation_Calcs'!N39</f>
        <v>5160000</v>
      </c>
      <c r="G103" s="470">
        <f>'Demand and Conservation_Calcs'!E86 + 'Demand and Conservation_Calcs'!O39</f>
        <v>5265000</v>
      </c>
      <c r="H103" s="506">
        <f>'Demand and Conservation_Calcs'!F86 + 'Demand and Conservation_Calcs'!P39</f>
        <v>5378000</v>
      </c>
      <c r="I103" s="40"/>
      <c r="J103" s="71"/>
      <c r="K103" s="71"/>
      <c r="L103" s="71"/>
      <c r="M103" s="71"/>
      <c r="N103" s="71"/>
      <c r="O103" s="71"/>
      <c r="P103" s="70"/>
      <c r="Q103" s="37"/>
    </row>
    <row r="104" spans="1:17" hidden="1" outlineLevel="1" x14ac:dyDescent="0.3">
      <c r="A104" s="38" t="s">
        <v>993</v>
      </c>
      <c r="B104" s="38" t="s">
        <v>940</v>
      </c>
      <c r="C104" s="39" t="str">
        <f t="shared" si="0"/>
        <v>Mojave Water Agency</v>
      </c>
      <c r="D104" s="470">
        <f>'Demand and Conservation_Calcs'!B87 + 'Demand and Conservation_Calcs'!L40</f>
        <v>135414.39473684211</v>
      </c>
      <c r="E104" s="470">
        <f>'Demand and Conservation_Calcs'!C87 + 'Demand and Conservation_Calcs'!M40</f>
        <v>140075.0263157895</v>
      </c>
      <c r="F104" s="470">
        <f>'Demand and Conservation_Calcs'!D87 + 'Demand and Conservation_Calcs'!N40</f>
        <v>142557.34210526315</v>
      </c>
      <c r="G104" s="470">
        <f>'Demand and Conservation_Calcs'!E87 + 'Demand and Conservation_Calcs'!O40</f>
        <v>145136.0894736842</v>
      </c>
      <c r="H104" s="506">
        <f>'Demand and Conservation_Calcs'!F87 + 'Demand and Conservation_Calcs'!P40</f>
        <v>147934.29999999999</v>
      </c>
      <c r="I104" s="40"/>
      <c r="J104" s="71"/>
      <c r="K104" s="71"/>
      <c r="L104" s="71"/>
      <c r="M104" s="71"/>
      <c r="N104" s="71"/>
      <c r="O104" s="71"/>
      <c r="P104" s="70"/>
      <c r="Q104" s="37"/>
    </row>
    <row r="105" spans="1:17" hidden="1" outlineLevel="1" x14ac:dyDescent="0.3">
      <c r="A105" s="38" t="s">
        <v>993</v>
      </c>
      <c r="B105" s="38" t="s">
        <v>940</v>
      </c>
      <c r="C105" s="39" t="str">
        <f t="shared" si="0"/>
        <v>Palmdale Water District &amp; Littlerock Creek Irrigation District</v>
      </c>
      <c r="D105" s="470">
        <f>'Demand and Conservation_Calcs'!B88 + 'Demand and Conservation_Calcs'!L41</f>
        <v>21087.368421052633</v>
      </c>
      <c r="E105" s="470">
        <f>'Demand and Conservation_Calcs'!C88 + 'Demand and Conservation_Calcs'!M41</f>
        <v>22203.157894736843</v>
      </c>
      <c r="F105" s="470">
        <f>'Demand and Conservation_Calcs'!D88 + 'Demand and Conservation_Calcs'!N41</f>
        <v>23929.473684210527</v>
      </c>
      <c r="G105" s="470">
        <f>'Demand and Conservation_Calcs'!E88 + 'Demand and Conservation_Calcs'!O41</f>
        <v>25792.63157894737</v>
      </c>
      <c r="H105" s="506">
        <f>'Demand and Conservation_Calcs'!F88 + 'Demand and Conservation_Calcs'!P41</f>
        <v>27329.473684210527</v>
      </c>
      <c r="I105" s="40"/>
      <c r="J105" s="71"/>
      <c r="K105" s="71"/>
      <c r="L105" s="71"/>
      <c r="M105" s="71"/>
      <c r="N105" s="71"/>
      <c r="O105" s="71"/>
      <c r="P105" s="70"/>
      <c r="Q105" s="37"/>
    </row>
    <row r="106" spans="1:17" hidden="1" outlineLevel="1" x14ac:dyDescent="0.3">
      <c r="A106" s="38" t="s">
        <v>993</v>
      </c>
      <c r="B106" s="38" t="s">
        <v>940</v>
      </c>
      <c r="C106" s="39" t="str">
        <f t="shared" si="0"/>
        <v>San Bernardino Valley Municipal Water District</v>
      </c>
      <c r="D106" s="470">
        <f>'Demand and Conservation_Calcs'!B89 + 'Demand and Conservation_Calcs'!L42</f>
        <v>366613.4</v>
      </c>
      <c r="E106" s="470">
        <f>'Demand and Conservation_Calcs'!C89 + 'Demand and Conservation_Calcs'!M42</f>
        <v>378072.45</v>
      </c>
      <c r="F106" s="470">
        <f>'Demand and Conservation_Calcs'!D89 + 'Demand and Conservation_Calcs'!N42</f>
        <v>389968.1</v>
      </c>
      <c r="G106" s="470">
        <f>'Demand and Conservation_Calcs'!E89 + 'Demand and Conservation_Calcs'!O42</f>
        <v>400790.4</v>
      </c>
      <c r="H106" s="506">
        <f>'Demand and Conservation_Calcs'!F89 + 'Demand and Conservation_Calcs'!P42</f>
        <v>412211.20000000001</v>
      </c>
      <c r="I106" s="40"/>
      <c r="J106" s="71"/>
      <c r="K106" s="71"/>
      <c r="L106" s="71"/>
      <c r="M106" s="71"/>
      <c r="N106" s="71"/>
      <c r="O106" s="71"/>
      <c r="P106" s="70"/>
      <c r="Q106" s="37"/>
    </row>
    <row r="107" spans="1:17" hidden="1" outlineLevel="1" x14ac:dyDescent="0.3">
      <c r="A107" s="38" t="s">
        <v>993</v>
      </c>
      <c r="B107" s="38" t="s">
        <v>940</v>
      </c>
      <c r="C107" s="39" t="str">
        <f t="shared" si="0"/>
        <v>San Gabriel Valley Municipal Water District</v>
      </c>
      <c r="D107" s="470" t="s">
        <v>204</v>
      </c>
      <c r="E107" s="470" t="s">
        <v>204</v>
      </c>
      <c r="F107" s="470" t="s">
        <v>204</v>
      </c>
      <c r="G107" s="470" t="s">
        <v>204</v>
      </c>
      <c r="H107" s="506" t="s">
        <v>204</v>
      </c>
      <c r="I107" s="40"/>
      <c r="J107" s="71"/>
      <c r="K107" s="71"/>
      <c r="L107" s="71"/>
      <c r="M107" s="71"/>
      <c r="N107" s="71"/>
      <c r="O107" s="71"/>
      <c r="P107" s="70"/>
      <c r="Q107" s="37"/>
    </row>
    <row r="108" spans="1:17" hidden="1" outlineLevel="1" x14ac:dyDescent="0.3">
      <c r="A108" s="38" t="s">
        <v>993</v>
      </c>
      <c r="B108" s="38" t="s">
        <v>940</v>
      </c>
      <c r="C108" s="39" t="str">
        <f t="shared" si="0"/>
        <v>San Gorgonio Pass Water Agency</v>
      </c>
      <c r="D108" s="470">
        <f>'Demand and Conservation_Calcs'!B91 + 'Demand and Conservation_Calcs'!L44</f>
        <v>31834.84210526316</v>
      </c>
      <c r="E108" s="470">
        <f>'Demand and Conservation_Calcs'!C91 + 'Demand and Conservation_Calcs'!M44</f>
        <v>34546.494736842105</v>
      </c>
      <c r="F108" s="470">
        <f>'Demand and Conservation_Calcs'!D91 + 'Demand and Conservation_Calcs'!N44</f>
        <v>37369.652631578952</v>
      </c>
      <c r="G108" s="470">
        <f>'Demand and Conservation_Calcs'!E91 + 'Demand and Conservation_Calcs'!O44</f>
        <v>39980.757894736846</v>
      </c>
      <c r="H108" s="506">
        <f>'Demand and Conservation_Calcs'!F91 + 'Demand and Conservation_Calcs'!P44</f>
        <v>42279.126315789479</v>
      </c>
      <c r="I108" s="40"/>
      <c r="J108" s="71"/>
      <c r="K108" s="71"/>
      <c r="L108" s="71"/>
      <c r="M108" s="71"/>
      <c r="N108" s="71"/>
      <c r="O108" s="71"/>
      <c r="P108" s="70"/>
      <c r="Q108" s="37"/>
    </row>
    <row r="109" spans="1:17" hidden="1" outlineLevel="1" x14ac:dyDescent="0.3">
      <c r="A109" s="38" t="s">
        <v>993</v>
      </c>
      <c r="B109" s="38" t="s">
        <v>940</v>
      </c>
      <c r="C109" s="39" t="str">
        <f t="shared" si="0"/>
        <v>Ventura County Watershed Protection District</v>
      </c>
      <c r="D109" s="470" t="s">
        <v>204</v>
      </c>
      <c r="E109" s="470" t="s">
        <v>204</v>
      </c>
      <c r="F109" s="470" t="s">
        <v>204</v>
      </c>
      <c r="G109" s="470" t="s">
        <v>204</v>
      </c>
      <c r="H109" s="506" t="s">
        <v>204</v>
      </c>
      <c r="I109" s="40"/>
      <c r="J109" s="71"/>
      <c r="K109" s="71"/>
      <c r="L109" s="71"/>
      <c r="M109" s="71"/>
      <c r="N109" s="71"/>
      <c r="O109" s="71"/>
      <c r="P109" s="70"/>
      <c r="Q109" s="37"/>
    </row>
    <row r="110" spans="1:17" collapsed="1" x14ac:dyDescent="0.3">
      <c r="A110" s="38"/>
      <c r="B110" s="38"/>
      <c r="C110" s="405" t="s">
        <v>992</v>
      </c>
      <c r="D110" s="40"/>
      <c r="E110" s="40"/>
      <c r="F110" s="40"/>
      <c r="G110" s="40"/>
      <c r="H110" s="511"/>
      <c r="I110" s="40"/>
      <c r="J110" s="73"/>
      <c r="K110" s="181"/>
      <c r="L110" s="181"/>
      <c r="M110" s="181"/>
      <c r="N110" s="181"/>
      <c r="O110" s="70"/>
      <c r="P110" s="70"/>
    </row>
    <row r="111" spans="1:17" x14ac:dyDescent="0.3">
      <c r="A111" s="38"/>
      <c r="B111" s="38"/>
      <c r="C111" s="130" t="s">
        <v>990</v>
      </c>
      <c r="D111" s="124">
        <f>SUM(D113:D155)</f>
        <v>7238424.8497525398</v>
      </c>
      <c r="E111" s="124">
        <f>SUM(E113:E155)</f>
        <v>7532552.4427566035</v>
      </c>
      <c r="F111" s="124">
        <f>SUM(F113:F155)</f>
        <v>7685744.3985227384</v>
      </c>
      <c r="G111" s="124">
        <f>SUM(G113:G155)</f>
        <v>7917405.0198123259</v>
      </c>
      <c r="H111" s="509">
        <f>SUM(H113:H155)</f>
        <v>8135986.9710415248</v>
      </c>
      <c r="I111" s="40"/>
      <c r="J111" s="73"/>
      <c r="K111" s="70"/>
      <c r="L111" s="70"/>
      <c r="M111" s="70"/>
      <c r="N111" s="70"/>
      <c r="O111" s="70"/>
      <c r="P111" s="70"/>
    </row>
    <row r="112" spans="1:17" x14ac:dyDescent="0.3">
      <c r="A112" s="125" t="s">
        <v>5</v>
      </c>
      <c r="B112" s="125"/>
      <c r="C112" s="125" t="s">
        <v>193</v>
      </c>
      <c r="D112" s="126">
        <v>2025</v>
      </c>
      <c r="E112" s="126">
        <v>2030</v>
      </c>
      <c r="F112" s="126">
        <v>2035</v>
      </c>
      <c r="G112" s="126">
        <v>2040</v>
      </c>
      <c r="H112" s="510">
        <v>2045</v>
      </c>
      <c r="I112" s="126" t="s">
        <v>153</v>
      </c>
      <c r="J112" s="70"/>
      <c r="K112" s="70"/>
      <c r="L112" s="70"/>
      <c r="M112" s="71"/>
      <c r="N112" s="71"/>
      <c r="O112" s="71"/>
      <c r="P112" s="70"/>
    </row>
    <row r="113" spans="1:17" hidden="1" outlineLevel="1" x14ac:dyDescent="0.3">
      <c r="A113" s="38" t="s">
        <v>994</v>
      </c>
      <c r="B113" s="38" t="s">
        <v>855</v>
      </c>
      <c r="C113" s="39" t="str">
        <f t="shared" ref="C113:C155" si="1">C67</f>
        <v>Butte County</v>
      </c>
      <c r="D113" s="470" t="s">
        <v>204</v>
      </c>
      <c r="E113" s="470" t="s">
        <v>204</v>
      </c>
      <c r="F113" s="470" t="s">
        <v>204</v>
      </c>
      <c r="G113" s="470" t="s">
        <v>204</v>
      </c>
      <c r="H113" s="506" t="s">
        <v>204</v>
      </c>
      <c r="I113" s="40"/>
      <c r="J113" s="71"/>
      <c r="K113" s="71"/>
      <c r="L113" s="71"/>
      <c r="M113" s="71"/>
      <c r="N113" s="71"/>
      <c r="O113" s="71"/>
      <c r="P113" s="70"/>
      <c r="Q113" s="37"/>
    </row>
    <row r="114" spans="1:17" hidden="1" outlineLevel="1" x14ac:dyDescent="0.3">
      <c r="A114" s="38" t="s">
        <v>994</v>
      </c>
      <c r="B114" s="38" t="s">
        <v>855</v>
      </c>
      <c r="C114" s="39" t="str">
        <f t="shared" si="1"/>
        <v>City of Folsom</v>
      </c>
      <c r="D114" s="470">
        <f>'Demand and Conservation_Calcs'!L4+'Demand and Conservation_Calcs'!B98</f>
        <v>21474.157894736843</v>
      </c>
      <c r="E114" s="470">
        <f>'Demand and Conservation_Calcs'!M4+'Demand and Conservation_Calcs'!C98</f>
        <v>23807.78947368421</v>
      </c>
      <c r="F114" s="470">
        <f>'Demand and Conservation_Calcs'!N4+'Demand and Conservation_Calcs'!D98</f>
        <v>25344.84210526316</v>
      </c>
      <c r="G114" s="470">
        <f>'Demand and Conservation_Calcs'!O4+'Demand and Conservation_Calcs'!E98</f>
        <v>26319.578947368424</v>
      </c>
      <c r="H114" s="506">
        <f>'Demand and Conservation_Calcs'!P4+'Demand and Conservation_Calcs'!F98</f>
        <v>26711.21052631579</v>
      </c>
      <c r="I114" s="40"/>
      <c r="J114" s="71"/>
      <c r="K114" s="71"/>
      <c r="L114" s="71"/>
      <c r="M114" s="71"/>
      <c r="N114" s="71"/>
      <c r="O114" s="71"/>
      <c r="P114" s="70"/>
      <c r="Q114" s="37"/>
    </row>
    <row r="115" spans="1:17" hidden="1" outlineLevel="1" x14ac:dyDescent="0.3">
      <c r="A115" s="38" t="s">
        <v>994</v>
      </c>
      <c r="B115" s="38" t="s">
        <v>855</v>
      </c>
      <c r="C115" s="39" t="str">
        <f t="shared" si="1"/>
        <v>City of Redding</v>
      </c>
      <c r="D115" s="470">
        <f>'Demand and Conservation_Calcs'!L5+'Demand and Conservation_Calcs'!B99</f>
        <v>24528.89967266842</v>
      </c>
      <c r="E115" s="470">
        <f>'Demand and Conservation_Calcs'!M5+'Demand and Conservation_Calcs'!C99</f>
        <v>25043.950378444737</v>
      </c>
      <c r="F115" s="470">
        <f>'Demand and Conservation_Calcs'!N5+'Demand and Conservation_Calcs'!D99</f>
        <v>25571.487161936842</v>
      </c>
      <c r="G115" s="470">
        <f>'Demand and Conservation_Calcs'!O5+'Demand and Conservation_Calcs'!E99</f>
        <v>26108.335872136842</v>
      </c>
      <c r="H115" s="506">
        <f>'Demand and Conservation_Calcs'!P5+'Demand and Conservation_Calcs'!F99</f>
        <v>26654.65440378158</v>
      </c>
      <c r="I115" s="40"/>
      <c r="J115" s="71"/>
      <c r="K115" s="71"/>
      <c r="L115" s="71"/>
      <c r="M115" s="71"/>
      <c r="N115" s="71"/>
      <c r="O115" s="71"/>
      <c r="P115" s="70"/>
      <c r="Q115" s="37"/>
    </row>
    <row r="116" spans="1:17" hidden="1" outlineLevel="1" x14ac:dyDescent="0.3">
      <c r="A116" s="38" t="s">
        <v>994</v>
      </c>
      <c r="B116" s="38" t="s">
        <v>855</v>
      </c>
      <c r="C116" s="39" t="str">
        <f t="shared" si="1"/>
        <v>City of Roseville</v>
      </c>
      <c r="D116" s="470">
        <f>'Demand and Conservation_Calcs'!L6+'Demand and Conservation_Calcs'!B100</f>
        <v>66313.666666666657</v>
      </c>
      <c r="E116" s="470">
        <f>'Demand and Conservation_Calcs'!M6+'Demand and Conservation_Calcs'!C100</f>
        <v>73000</v>
      </c>
      <c r="F116" s="470">
        <f>'Demand and Conservation_Calcs'!N6+'Demand and Conservation_Calcs'!D100</f>
        <v>79971</v>
      </c>
      <c r="G116" s="470">
        <f>'Demand and Conservation_Calcs'!O6+'Demand and Conservation_Calcs'!E100</f>
        <v>79971</v>
      </c>
      <c r="H116" s="506">
        <f>'Demand and Conservation_Calcs'!P6+'Demand and Conservation_Calcs'!F100</f>
        <v>79971</v>
      </c>
      <c r="I116" s="40" t="s">
        <v>995</v>
      </c>
      <c r="J116" s="71"/>
      <c r="K116" s="71"/>
      <c r="L116" s="71"/>
      <c r="M116" s="71"/>
      <c r="N116" s="71"/>
      <c r="O116" s="71"/>
      <c r="P116" s="70"/>
      <c r="Q116" s="37"/>
    </row>
    <row r="117" spans="1:17" hidden="1" outlineLevel="1" x14ac:dyDescent="0.3">
      <c r="A117" s="38" t="s">
        <v>994</v>
      </c>
      <c r="B117" s="38" t="s">
        <v>855</v>
      </c>
      <c r="C117" s="39" t="str">
        <f t="shared" si="1"/>
        <v>City of West Sacramento</v>
      </c>
      <c r="D117" s="470">
        <f>'Demand and Conservation_Calcs'!L7+'Demand and Conservation_Calcs'!B101</f>
        <v>16677.105263157893</v>
      </c>
      <c r="E117" s="470">
        <f>'Demand and Conservation_Calcs'!M7+'Demand and Conservation_Calcs'!C101</f>
        <v>18328.452631578948</v>
      </c>
      <c r="F117" s="470">
        <f>'Demand and Conservation_Calcs'!N7+'Demand and Conservation_Calcs'!D101</f>
        <v>19149.736842105263</v>
      </c>
      <c r="G117" s="470">
        <f>'Demand and Conservation_Calcs'!O7+'Demand and Conservation_Calcs'!E101</f>
        <v>20614.431578947369</v>
      </c>
      <c r="H117" s="506">
        <f>'Demand and Conservation_Calcs'!P7+'Demand and Conservation_Calcs'!F101</f>
        <v>22030</v>
      </c>
      <c r="I117" s="40"/>
      <c r="J117" s="71"/>
      <c r="K117" s="71"/>
      <c r="L117" s="71"/>
      <c r="M117" s="71"/>
      <c r="N117" s="71"/>
      <c r="O117" s="71"/>
      <c r="P117" s="70"/>
      <c r="Q117" s="37"/>
    </row>
    <row r="118" spans="1:17" hidden="1" outlineLevel="1" x14ac:dyDescent="0.3">
      <c r="A118" s="38" t="s">
        <v>994</v>
      </c>
      <c r="B118" s="38" t="s">
        <v>855</v>
      </c>
      <c r="C118" s="39" t="str">
        <f t="shared" si="1"/>
        <v>Yuba City</v>
      </c>
      <c r="D118" s="470">
        <f>'Demand and Conservation_Calcs'!L8+'Demand and Conservation_Calcs'!B102</f>
        <v>16610.536842105263</v>
      </c>
      <c r="E118" s="470">
        <f>'Demand and Conservation_Calcs'!M8+'Demand and Conservation_Calcs'!C102</f>
        <v>15260.663157894736</v>
      </c>
      <c r="F118" s="470">
        <f>'Demand and Conservation_Calcs'!N8+'Demand and Conservation_Calcs'!D102</f>
        <v>18069.242105263162</v>
      </c>
      <c r="G118" s="470">
        <f>'Demand and Conservation_Calcs'!O8+'Demand and Conservation_Calcs'!E102</f>
        <v>18991.452631578948</v>
      </c>
      <c r="H118" s="506">
        <f>'Demand and Conservation_Calcs'!P8+'Demand and Conservation_Calcs'!F102</f>
        <v>19557.263157894737</v>
      </c>
      <c r="I118" s="40" t="s">
        <v>996</v>
      </c>
      <c r="J118" s="71"/>
      <c r="K118" s="71"/>
      <c r="L118" s="71"/>
      <c r="M118" s="71"/>
      <c r="N118" s="71"/>
      <c r="O118" s="71"/>
      <c r="P118" s="70"/>
      <c r="Q118" s="37"/>
    </row>
    <row r="119" spans="1:17" hidden="1" outlineLevel="1" x14ac:dyDescent="0.3">
      <c r="A119" s="38" t="s">
        <v>994</v>
      </c>
      <c r="B119" s="38" t="s">
        <v>855</v>
      </c>
      <c r="C119" s="39" t="str">
        <f t="shared" si="1"/>
        <v>El Dorado Irrigation District</v>
      </c>
      <c r="D119" s="470">
        <f>'Demand and Conservation_Calcs'!L9+'Demand and Conservation_Calcs'!B103</f>
        <v>42533.15789473684</v>
      </c>
      <c r="E119" s="470">
        <f>'Demand and Conservation_Calcs'!M9+'Demand and Conservation_Calcs'!C103</f>
        <v>35943.15789473684</v>
      </c>
      <c r="F119" s="470">
        <f>'Demand and Conservation_Calcs'!N9+'Demand and Conservation_Calcs'!D103</f>
        <v>44733.15789473684</v>
      </c>
      <c r="G119" s="470">
        <f>'Demand and Conservation_Calcs'!O9+'Demand and Conservation_Calcs'!E103</f>
        <v>46003.15789473684</v>
      </c>
      <c r="H119" s="506">
        <f>'Demand and Conservation_Calcs'!P9+'Demand and Conservation_Calcs'!F103</f>
        <v>46753.15789473684</v>
      </c>
      <c r="I119" s="40" t="s">
        <v>997</v>
      </c>
      <c r="J119" s="71"/>
      <c r="K119" s="71"/>
      <c r="L119" s="71"/>
      <c r="M119" s="71"/>
      <c r="N119" s="71"/>
      <c r="O119" s="71"/>
      <c r="P119" s="70"/>
      <c r="Q119" s="37"/>
    </row>
    <row r="120" spans="1:17" hidden="1" outlineLevel="1" x14ac:dyDescent="0.3">
      <c r="A120" s="38" t="s">
        <v>994</v>
      </c>
      <c r="B120" s="38" t="s">
        <v>855</v>
      </c>
      <c r="C120" s="39" t="str">
        <f t="shared" si="1"/>
        <v>Napa County Flood Control &amp; Water Conservation District</v>
      </c>
      <c r="D120" s="470" t="s">
        <v>204</v>
      </c>
      <c r="E120" s="470" t="s">
        <v>204</v>
      </c>
      <c r="F120" s="470" t="s">
        <v>204</v>
      </c>
      <c r="G120" s="470" t="s">
        <v>204</v>
      </c>
      <c r="H120" s="506" t="s">
        <v>204</v>
      </c>
      <c r="I120" s="40"/>
      <c r="J120" s="71"/>
      <c r="K120" s="71"/>
      <c r="L120" s="71"/>
      <c r="M120" s="71"/>
      <c r="N120" s="71"/>
      <c r="O120" s="71"/>
      <c r="P120" s="70"/>
      <c r="Q120" s="37"/>
    </row>
    <row r="121" spans="1:17" hidden="1" outlineLevel="1" x14ac:dyDescent="0.3">
      <c r="A121" s="38" t="s">
        <v>994</v>
      </c>
      <c r="B121" s="38" t="s">
        <v>855</v>
      </c>
      <c r="C121" s="39" t="str">
        <f t="shared" si="1"/>
        <v>Placer County Water Agency</v>
      </c>
      <c r="D121" s="470">
        <f>'Demand and Conservation_Calcs'!L11+'Demand and Conservation_Calcs'!B105</f>
        <v>147315.10526315789</v>
      </c>
      <c r="E121" s="470">
        <f>'Demand and Conservation_Calcs'!M11+'Demand and Conservation_Calcs'!C105</f>
        <v>157018.31578947368</v>
      </c>
      <c r="F121" s="470">
        <f>'Demand and Conservation_Calcs'!N11+'Demand and Conservation_Calcs'!D105</f>
        <v>170602.36842105264</v>
      </c>
      <c r="G121" s="470">
        <f>'Demand and Conservation_Calcs'!O11+'Demand and Conservation_Calcs'!E105</f>
        <v>200466.05263157893</v>
      </c>
      <c r="H121" s="506">
        <f>'Demand and Conservation_Calcs'!P11+'Demand and Conservation_Calcs'!F105</f>
        <v>227049.36842105264</v>
      </c>
      <c r="I121" s="40" t="s">
        <v>998</v>
      </c>
      <c r="J121" s="71"/>
      <c r="K121" s="71"/>
      <c r="L121" s="71"/>
      <c r="M121" s="71"/>
      <c r="N121" s="71"/>
      <c r="O121" s="71"/>
      <c r="P121" s="70"/>
      <c r="Q121" s="37"/>
    </row>
    <row r="122" spans="1:17" hidden="1" outlineLevel="1" x14ac:dyDescent="0.3">
      <c r="A122" s="38" t="s">
        <v>994</v>
      </c>
      <c r="B122" s="38" t="s">
        <v>855</v>
      </c>
      <c r="C122" s="39" t="str">
        <f t="shared" si="1"/>
        <v>Sacramento County Water Agency</v>
      </c>
      <c r="D122" s="470">
        <f>'Demand and Conservation_Calcs'!L12+'Demand and Conservation_Calcs'!B106</f>
        <v>57243.473684210527</v>
      </c>
      <c r="E122" s="470">
        <f>'Demand and Conservation_Calcs'!M12+'Demand and Conservation_Calcs'!C106</f>
        <v>67454.789473684214</v>
      </c>
      <c r="F122" s="470">
        <f>'Demand and Conservation_Calcs'!N12+'Demand and Conservation_Calcs'!D106</f>
        <v>76859.105263157893</v>
      </c>
      <c r="G122" s="470">
        <f>'Demand and Conservation_Calcs'!O12+'Demand and Conservation_Calcs'!E106</f>
        <v>84754.631578947374</v>
      </c>
      <c r="H122" s="506">
        <f>'Demand and Conservation_Calcs'!P12+'Demand and Conservation_Calcs'!F106</f>
        <v>92818.368421052641</v>
      </c>
      <c r="I122" s="40" t="s">
        <v>999</v>
      </c>
      <c r="J122" s="71"/>
      <c r="K122" s="71"/>
      <c r="L122" s="71"/>
      <c r="M122" s="71"/>
      <c r="N122" s="71"/>
      <c r="O122" s="71"/>
      <c r="P122" s="70"/>
      <c r="Q122" s="37"/>
    </row>
    <row r="123" spans="1:17" hidden="1" outlineLevel="1" x14ac:dyDescent="0.3">
      <c r="A123" s="38" t="s">
        <v>994</v>
      </c>
      <c r="B123" s="38" t="s">
        <v>855</v>
      </c>
      <c r="C123" s="39" t="str">
        <f t="shared" si="1"/>
        <v>San Juan Water District</v>
      </c>
      <c r="D123" s="470">
        <f>'Demand and Conservation_Calcs'!L13+'Demand and Conservation_Calcs'!B107</f>
        <v>56178.052631578947</v>
      </c>
      <c r="E123" s="470">
        <f>'Demand and Conservation_Calcs'!M13+'Demand and Conservation_Calcs'!C107</f>
        <v>56823.736842105267</v>
      </c>
      <c r="F123" s="470">
        <f>'Demand and Conservation_Calcs'!N13+'Demand and Conservation_Calcs'!D107</f>
        <v>56387.1052631579</v>
      </c>
      <c r="G123" s="470">
        <f>'Demand and Conservation_Calcs'!O13+'Demand and Conservation_Calcs'!E107</f>
        <v>57251.894736842107</v>
      </c>
      <c r="H123" s="506">
        <f>'Demand and Conservation_Calcs'!P13+'Demand and Conservation_Calcs'!F107</f>
        <v>58064.766144736845</v>
      </c>
      <c r="I123" s="40"/>
      <c r="J123" s="71"/>
      <c r="K123" s="71"/>
      <c r="L123" s="71"/>
      <c r="M123" s="71"/>
      <c r="N123" s="71"/>
      <c r="O123" s="71"/>
      <c r="P123" s="70"/>
      <c r="Q123" s="37"/>
    </row>
    <row r="124" spans="1:17" hidden="1" outlineLevel="1" x14ac:dyDescent="0.3">
      <c r="A124" s="38" t="s">
        <v>994</v>
      </c>
      <c r="B124" s="38" t="s">
        <v>855</v>
      </c>
      <c r="C124" s="39" t="str">
        <f t="shared" si="1"/>
        <v>Shasta Contractors</v>
      </c>
      <c r="D124" s="470" t="s">
        <v>204</v>
      </c>
      <c r="E124" s="470" t="s">
        <v>204</v>
      </c>
      <c r="F124" s="470" t="s">
        <v>204</v>
      </c>
      <c r="G124" s="470" t="s">
        <v>204</v>
      </c>
      <c r="H124" s="506" t="s">
        <v>204</v>
      </c>
      <c r="I124" s="40"/>
      <c r="J124" s="71"/>
      <c r="K124" s="71"/>
      <c r="L124" s="71"/>
      <c r="M124" s="71"/>
      <c r="N124" s="71"/>
      <c r="O124" s="71"/>
      <c r="P124" s="70"/>
      <c r="Q124" s="37"/>
    </row>
    <row r="125" spans="1:17" hidden="1" outlineLevel="1" x14ac:dyDescent="0.3">
      <c r="A125" s="38" t="s">
        <v>994</v>
      </c>
      <c r="B125" s="38" t="s">
        <v>855</v>
      </c>
      <c r="C125" s="39" t="str">
        <f t="shared" si="1"/>
        <v>Solano County Water Agency</v>
      </c>
      <c r="D125" s="470" t="s">
        <v>204</v>
      </c>
      <c r="E125" s="470" t="s">
        <v>204</v>
      </c>
      <c r="F125" s="470" t="s">
        <v>204</v>
      </c>
      <c r="G125" s="470" t="s">
        <v>204</v>
      </c>
      <c r="H125" s="506" t="s">
        <v>204</v>
      </c>
      <c r="I125" s="40"/>
      <c r="J125" s="71"/>
      <c r="K125" s="71"/>
      <c r="L125" s="71"/>
      <c r="M125" s="71"/>
      <c r="N125" s="71"/>
      <c r="O125" s="71"/>
      <c r="P125" s="70"/>
      <c r="Q125" s="37"/>
    </row>
    <row r="126" spans="1:17" hidden="1" outlineLevel="1" x14ac:dyDescent="0.3">
      <c r="A126" s="38" t="s">
        <v>994</v>
      </c>
      <c r="B126" s="38" t="s">
        <v>894</v>
      </c>
      <c r="C126" s="39" t="str">
        <f t="shared" si="1"/>
        <v>City of Avenal</v>
      </c>
      <c r="D126" s="470" t="s">
        <v>204</v>
      </c>
      <c r="E126" s="470" t="s">
        <v>204</v>
      </c>
      <c r="F126" s="470" t="s">
        <v>204</v>
      </c>
      <c r="G126" s="470" t="s">
        <v>204</v>
      </c>
      <c r="H126" s="506" t="s">
        <v>204</v>
      </c>
      <c r="I126" s="40"/>
      <c r="J126" s="71"/>
      <c r="K126" s="71"/>
      <c r="L126" s="71"/>
      <c r="M126" s="71"/>
      <c r="N126" s="71"/>
      <c r="O126" s="71"/>
      <c r="P126" s="70"/>
      <c r="Q126" s="37"/>
    </row>
    <row r="127" spans="1:17" hidden="1" outlineLevel="1" x14ac:dyDescent="0.3">
      <c r="A127" s="38" t="s">
        <v>994</v>
      </c>
      <c r="B127" s="38" t="s">
        <v>894</v>
      </c>
      <c r="C127" s="39" t="str">
        <f t="shared" si="1"/>
        <v>City of Coalinga</v>
      </c>
      <c r="D127" s="470">
        <f>'Demand and Conservation_Calcs'!L17+'Demand and Conservation_Calcs'!B111</f>
        <v>4843.9971906052633</v>
      </c>
      <c r="E127" s="470">
        <f>'Demand and Conservation_Calcs'!M17+'Demand and Conservation_Calcs'!C111</f>
        <v>5499.2855067868422</v>
      </c>
      <c r="F127" s="470">
        <f>'Demand and Conservation_Calcs'!N17+'Demand and Conservation_Calcs'!D111</f>
        <v>6247.6095809473691</v>
      </c>
      <c r="G127" s="470">
        <f>'Demand and Conservation_Calcs'!O17+'Demand and Conservation_Calcs'!E111</f>
        <v>7089.2924539131582</v>
      </c>
      <c r="H127" s="506">
        <f>'Demand and Conservation_Calcs'!P17+'Demand and Conservation_Calcs'!F111</f>
        <v>7089.2569689631582</v>
      </c>
      <c r="I127" s="40"/>
      <c r="J127" s="71"/>
      <c r="K127" s="71"/>
      <c r="L127" s="71"/>
      <c r="M127" s="71"/>
      <c r="N127" s="71"/>
      <c r="O127" s="71"/>
      <c r="P127" s="70"/>
      <c r="Q127" s="37"/>
    </row>
    <row r="128" spans="1:17" hidden="1" outlineLevel="1" x14ac:dyDescent="0.3">
      <c r="A128" s="38" t="s">
        <v>994</v>
      </c>
      <c r="B128" s="38" t="s">
        <v>894</v>
      </c>
      <c r="C128" s="39" t="str">
        <f t="shared" si="1"/>
        <v>City of Fresno</v>
      </c>
      <c r="D128" s="470">
        <f>'Demand and Conservation_Calcs'!L18+'Demand and Conservation_Calcs'!B112</f>
        <v>196728.47368421053</v>
      </c>
      <c r="E128" s="470">
        <f>'Demand and Conservation_Calcs'!M18+'Demand and Conservation_Calcs'!C112</f>
        <v>206736.36842105264</v>
      </c>
      <c r="F128" s="470">
        <f>'Demand and Conservation_Calcs'!N18+'Demand and Conservation_Calcs'!D112</f>
        <v>214442.56842105265</v>
      </c>
      <c r="G128" s="470">
        <f>'Demand and Conservation_Calcs'!O18+'Demand and Conservation_Calcs'!E112</f>
        <v>222123.34736842106</v>
      </c>
      <c r="H128" s="506">
        <f>'Demand and Conservation_Calcs'!P18+'Demand and Conservation_Calcs'!F112</f>
        <v>229782.98947368423</v>
      </c>
      <c r="I128" s="40"/>
      <c r="J128" s="71"/>
      <c r="K128" s="71"/>
      <c r="L128" s="71"/>
      <c r="M128" s="71"/>
      <c r="N128" s="71"/>
      <c r="O128" s="71"/>
      <c r="P128" s="70"/>
      <c r="Q128" s="37"/>
    </row>
    <row r="129" spans="1:17" hidden="1" outlineLevel="1" x14ac:dyDescent="0.3">
      <c r="A129" s="38" t="s">
        <v>994</v>
      </c>
      <c r="B129" s="38" t="s">
        <v>894</v>
      </c>
      <c r="C129" s="39" t="str">
        <f t="shared" si="1"/>
        <v>City of Huron</v>
      </c>
      <c r="D129" s="470" t="s">
        <v>204</v>
      </c>
      <c r="E129" s="470" t="s">
        <v>204</v>
      </c>
      <c r="F129" s="470" t="s">
        <v>204</v>
      </c>
      <c r="G129" s="470" t="s">
        <v>204</v>
      </c>
      <c r="H129" s="506" t="s">
        <v>204</v>
      </c>
      <c r="I129" s="40"/>
      <c r="J129" s="71"/>
      <c r="K129" s="71"/>
      <c r="L129" s="71"/>
      <c r="M129" s="71"/>
      <c r="N129" s="71"/>
      <c r="O129" s="71"/>
      <c r="P129" s="70"/>
      <c r="Q129" s="37"/>
    </row>
    <row r="130" spans="1:17" hidden="1" outlineLevel="1" x14ac:dyDescent="0.3">
      <c r="A130" s="38" t="s">
        <v>994</v>
      </c>
      <c r="B130" s="38" t="s">
        <v>894</v>
      </c>
      <c r="C130" s="39" t="str">
        <f t="shared" si="1"/>
        <v>City of Lindsay</v>
      </c>
      <c r="D130" s="470" t="s">
        <v>204</v>
      </c>
      <c r="E130" s="470" t="s">
        <v>204</v>
      </c>
      <c r="F130" s="470" t="s">
        <v>204</v>
      </c>
      <c r="G130" s="470" t="s">
        <v>204</v>
      </c>
      <c r="H130" s="506" t="s">
        <v>204</v>
      </c>
      <c r="I130" s="40"/>
      <c r="J130" s="71"/>
      <c r="K130" s="71"/>
      <c r="L130" s="71"/>
      <c r="M130" s="71"/>
      <c r="N130" s="71"/>
      <c r="O130" s="71"/>
      <c r="P130" s="70"/>
      <c r="Q130" s="37"/>
    </row>
    <row r="131" spans="1:17" hidden="1" outlineLevel="1" x14ac:dyDescent="0.3">
      <c r="A131" s="38" t="s">
        <v>994</v>
      </c>
      <c r="B131" s="38" t="s">
        <v>894</v>
      </c>
      <c r="C131" s="39" t="str">
        <f t="shared" si="1"/>
        <v>City of Orange Cove</v>
      </c>
      <c r="D131" s="470" t="s">
        <v>204</v>
      </c>
      <c r="E131" s="470" t="s">
        <v>204</v>
      </c>
      <c r="F131" s="470" t="s">
        <v>204</v>
      </c>
      <c r="G131" s="470" t="s">
        <v>204</v>
      </c>
      <c r="H131" s="506" t="s">
        <v>204</v>
      </c>
      <c r="I131" s="40"/>
      <c r="J131" s="71"/>
      <c r="K131" s="71"/>
      <c r="L131" s="71"/>
      <c r="M131" s="71"/>
      <c r="N131" s="71"/>
      <c r="O131" s="71"/>
      <c r="P131" s="70"/>
      <c r="Q131" s="37"/>
    </row>
    <row r="132" spans="1:17" hidden="1" outlineLevel="1" x14ac:dyDescent="0.3">
      <c r="A132" s="38" t="s">
        <v>994</v>
      </c>
      <c r="B132" s="38" t="s">
        <v>894</v>
      </c>
      <c r="C132" s="39" t="str">
        <f t="shared" si="1"/>
        <v>City of Tracy</v>
      </c>
      <c r="D132" s="470">
        <f>'Demand and Conservation_Calcs'!L22+'Demand and Conservation_Calcs'!B116</f>
        <v>22484.398421052632</v>
      </c>
      <c r="E132" s="470">
        <f>'Demand and Conservation_Calcs'!M22+'Demand and Conservation_Calcs'!C116</f>
        <v>26266.151578947371</v>
      </c>
      <c r="F132" s="470">
        <f>'Demand and Conservation_Calcs'!N22+'Demand and Conservation_Calcs'!D116</f>
        <v>30095.760000000002</v>
      </c>
      <c r="G132" s="470">
        <f>'Demand and Conservation_Calcs'!O22+'Demand and Conservation_Calcs'!E116</f>
        <v>33954.855789473688</v>
      </c>
      <c r="H132" s="506">
        <f>'Demand and Conservation_Calcs'!P22+'Demand and Conservation_Calcs'!F116</f>
        <v>40952.64421052632</v>
      </c>
      <c r="I132" s="40"/>
      <c r="J132" s="71"/>
      <c r="K132" s="71"/>
      <c r="L132" s="71"/>
      <c r="M132" s="71"/>
      <c r="N132" s="71"/>
      <c r="O132" s="71"/>
      <c r="P132" s="70"/>
      <c r="Q132" s="37"/>
    </row>
    <row r="133" spans="1:17" hidden="1" outlineLevel="1" x14ac:dyDescent="0.3">
      <c r="A133" s="38" t="s">
        <v>994</v>
      </c>
      <c r="B133" s="38" t="s">
        <v>894</v>
      </c>
      <c r="C133" s="39" t="str">
        <f t="shared" si="1"/>
        <v>Kern County Water Agency</v>
      </c>
      <c r="D133" s="470" t="s">
        <v>204</v>
      </c>
      <c r="E133" s="470" t="s">
        <v>204</v>
      </c>
      <c r="F133" s="470" t="s">
        <v>204</v>
      </c>
      <c r="G133" s="470" t="s">
        <v>204</v>
      </c>
      <c r="H133" s="506" t="s">
        <v>204</v>
      </c>
      <c r="I133" s="40"/>
      <c r="J133" s="71"/>
      <c r="K133" s="71"/>
      <c r="L133" s="71"/>
      <c r="M133" s="71"/>
      <c r="N133" s="71"/>
      <c r="O133" s="71"/>
      <c r="P133" s="70"/>
      <c r="Q133" s="37"/>
    </row>
    <row r="134" spans="1:17" hidden="1" outlineLevel="1" x14ac:dyDescent="0.3">
      <c r="A134" s="38" t="s">
        <v>994</v>
      </c>
      <c r="B134" s="38" t="s">
        <v>894</v>
      </c>
      <c r="C134" s="39" t="str">
        <f t="shared" si="1"/>
        <v>Other Friant-Kern M&amp;I Contractors</v>
      </c>
      <c r="D134" s="470" t="s">
        <v>204</v>
      </c>
      <c r="E134" s="470" t="s">
        <v>204</v>
      </c>
      <c r="F134" s="470" t="s">
        <v>204</v>
      </c>
      <c r="G134" s="470" t="s">
        <v>204</v>
      </c>
      <c r="H134" s="506" t="s">
        <v>204</v>
      </c>
      <c r="I134" s="40"/>
      <c r="J134" s="71"/>
      <c r="K134" s="71"/>
      <c r="L134" s="71"/>
      <c r="M134" s="71"/>
      <c r="N134" s="71"/>
      <c r="O134" s="71"/>
      <c r="P134" s="70"/>
      <c r="Q134" s="37"/>
    </row>
    <row r="135" spans="1:17" hidden="1" outlineLevel="1" x14ac:dyDescent="0.3">
      <c r="A135" s="38" t="s">
        <v>994</v>
      </c>
      <c r="B135" s="38" t="s">
        <v>894</v>
      </c>
      <c r="C135" s="39" t="str">
        <f t="shared" si="1"/>
        <v>Stockton-East Water District</v>
      </c>
      <c r="D135" s="470">
        <f>AVERAGE(78796, 70837, 68415, 68230, 74276)</f>
        <v>72110.8</v>
      </c>
      <c r="E135" s="470">
        <f>AVERAGE(81885, 73926, 71504, 71319, 77365)</f>
        <v>75199.8</v>
      </c>
      <c r="F135" s="470">
        <v>0</v>
      </c>
      <c r="G135" s="470">
        <v>0</v>
      </c>
      <c r="H135" s="506">
        <v>0</v>
      </c>
      <c r="I135" s="40" t="s">
        <v>1000</v>
      </c>
      <c r="J135" s="71"/>
      <c r="K135" s="71"/>
      <c r="L135" s="71"/>
      <c r="M135" s="71"/>
      <c r="N135" s="71"/>
      <c r="O135" s="71"/>
      <c r="P135" s="70"/>
      <c r="Q135" s="37"/>
    </row>
    <row r="136" spans="1:17" hidden="1" outlineLevel="1" x14ac:dyDescent="0.3">
      <c r="A136" s="38" t="s">
        <v>994</v>
      </c>
      <c r="B136" s="38" t="s">
        <v>915</v>
      </c>
      <c r="C136" s="39" t="str">
        <f t="shared" si="1"/>
        <v>Alameda County Flood Control and Water Conservation District, Zone 7</v>
      </c>
      <c r="D136" s="470">
        <f>'Demand and Conservation_Calcs'!L26+'Demand and Conservation_Calcs'!B120</f>
        <v>53901.649016184216</v>
      </c>
      <c r="E136" s="470">
        <f>'Demand and Conservation_Calcs'!M26+'Demand and Conservation_Calcs'!C120</f>
        <v>55654.886557255268</v>
      </c>
      <c r="F136" s="470">
        <f>'Demand and Conservation_Calcs'!N26+'Demand and Conservation_Calcs'!D120</f>
        <v>56736.70304569474</v>
      </c>
      <c r="G136" s="470">
        <f>'Demand and Conservation_Calcs'!O26+'Demand and Conservation_Calcs'!E120</f>
        <v>57660.828072255266</v>
      </c>
      <c r="H136" s="506">
        <f>'Demand and Conservation_Calcs'!P26+'Demand and Conservation_Calcs'!F120</f>
        <v>57675.091230149999</v>
      </c>
      <c r="I136" s="40"/>
      <c r="J136" s="71"/>
      <c r="K136" s="71"/>
      <c r="L136" s="71"/>
      <c r="M136" s="71"/>
      <c r="N136" s="71"/>
      <c r="O136" s="71"/>
      <c r="P136" s="70"/>
      <c r="Q136" s="37"/>
    </row>
    <row r="137" spans="1:17" hidden="1" outlineLevel="1" x14ac:dyDescent="0.3">
      <c r="A137" s="38" t="s">
        <v>994</v>
      </c>
      <c r="B137" s="38" t="s">
        <v>915</v>
      </c>
      <c r="C137" s="39" t="str">
        <f t="shared" si="1"/>
        <v>Alameda County Water District</v>
      </c>
      <c r="D137" s="470">
        <f>'Demand and Conservation_Calcs'!L27+'Demand and Conservation_Calcs'!B121</f>
        <v>58996.84210526316</v>
      </c>
      <c r="E137" s="470">
        <f>'Demand and Conservation_Calcs'!M27+'Demand and Conservation_Calcs'!C121</f>
        <v>59615.789473684214</v>
      </c>
      <c r="F137" s="470">
        <f>'Demand and Conservation_Calcs'!N27+'Demand and Conservation_Calcs'!D121</f>
        <v>59165.26315789474</v>
      </c>
      <c r="G137" s="470">
        <f>'Demand and Conservation_Calcs'!O27+'Demand and Conservation_Calcs'!E121</f>
        <v>58830.526315789473</v>
      </c>
      <c r="H137" s="506">
        <f>'Demand and Conservation_Calcs'!P27+'Demand and Conservation_Calcs'!F121</f>
        <v>62749.473684210527</v>
      </c>
      <c r="I137" s="40"/>
      <c r="J137" s="71"/>
      <c r="K137" s="71"/>
      <c r="L137" s="71"/>
      <c r="M137" s="71"/>
      <c r="N137" s="71"/>
      <c r="O137" s="71"/>
      <c r="P137" s="70"/>
      <c r="Q137" s="37"/>
    </row>
    <row r="138" spans="1:17" hidden="1" outlineLevel="1" x14ac:dyDescent="0.3">
      <c r="A138" s="38" t="s">
        <v>994</v>
      </c>
      <c r="B138" s="38" t="s">
        <v>915</v>
      </c>
      <c r="C138" s="39" t="str">
        <f t="shared" si="1"/>
        <v>Contra Costa Water District</v>
      </c>
      <c r="D138" s="470">
        <f>'Demand and Conservation_Calcs'!L28+'Demand and Conservation_Calcs'!B122</f>
        <v>241450</v>
      </c>
      <c r="E138" s="470">
        <f>'Demand and Conservation_Calcs'!M28+'Demand and Conservation_Calcs'!C122</f>
        <v>260100</v>
      </c>
      <c r="F138" s="470">
        <f>'Demand and Conservation_Calcs'!N28+'Demand and Conservation_Calcs'!D122</f>
        <v>272940</v>
      </c>
      <c r="G138" s="470">
        <f>'Demand and Conservation_Calcs'!O28+'Demand and Conservation_Calcs'!E122</f>
        <v>283940</v>
      </c>
      <c r="H138" s="506">
        <f>'Demand and Conservation_Calcs'!P28+'Demand and Conservation_Calcs'!F122</f>
        <v>290910</v>
      </c>
      <c r="I138" s="40"/>
      <c r="J138" s="71"/>
      <c r="K138" s="71"/>
      <c r="L138" s="71"/>
      <c r="M138" s="71"/>
      <c r="N138" s="71"/>
      <c r="O138" s="71"/>
      <c r="P138" s="70"/>
      <c r="Q138" s="37"/>
    </row>
    <row r="139" spans="1:17" hidden="1" outlineLevel="1" x14ac:dyDescent="0.3">
      <c r="A139" s="38" t="s">
        <v>994</v>
      </c>
      <c r="B139" s="38" t="s">
        <v>915</v>
      </c>
      <c r="C139" s="39" t="str">
        <f t="shared" si="1"/>
        <v>East Bay Municipal Utilities District</v>
      </c>
      <c r="D139" s="470">
        <f>'Demand and Conservation_Calcs'!L29+'Demand and Conservation_Calcs'!B123</f>
        <v>188184.20296200001</v>
      </c>
      <c r="E139" s="470">
        <f>'Demand and Conservation_Calcs'!M29+'Demand and Conservation_Calcs'!C123</f>
        <v>190797.87244758333</v>
      </c>
      <c r="F139" s="470">
        <f>'Demand and Conservation_Calcs'!N29+'Demand and Conservation_Calcs'!D123</f>
        <v>192664.77922300002</v>
      </c>
      <c r="G139" s="470">
        <f>'Demand and Conservation_Calcs'!O29+'Demand and Conservation_Calcs'!E123</f>
        <v>202372.69445516667</v>
      </c>
      <c r="H139" s="506">
        <f>'Demand and Conservation_Calcs'!P29+'Demand and Conservation_Calcs'!F123</f>
        <v>210587.084267</v>
      </c>
      <c r="I139" s="40"/>
      <c r="J139" s="71"/>
      <c r="K139" s="71"/>
      <c r="L139" s="71"/>
      <c r="M139" s="71"/>
      <c r="N139" s="71"/>
      <c r="O139" s="71"/>
      <c r="P139" s="70"/>
      <c r="Q139" s="37"/>
    </row>
    <row r="140" spans="1:17" hidden="1" outlineLevel="1" x14ac:dyDescent="0.3">
      <c r="A140" s="38" t="s">
        <v>994</v>
      </c>
      <c r="B140" s="38" t="s">
        <v>915</v>
      </c>
      <c r="C140" s="39" t="str">
        <f t="shared" si="1"/>
        <v>San Benito County Water District, Zone 6</v>
      </c>
      <c r="D140" s="470">
        <f>'Demand and Conservation_Calcs'!L30+'Demand and Conservation_Calcs'!B124</f>
        <v>6611.0526315789475</v>
      </c>
      <c r="E140" s="470">
        <f>'Demand and Conservation_Calcs'!M30+'Demand and Conservation_Calcs'!C124</f>
        <v>7736.1578947368425</v>
      </c>
      <c r="F140" s="470">
        <f>'Demand and Conservation_Calcs'!N30+'Demand and Conservation_Calcs'!D124</f>
        <v>9008.4210526315801</v>
      </c>
      <c r="G140" s="470">
        <f>'Demand and Conservation_Calcs'!O30+'Demand and Conservation_Calcs'!E124</f>
        <v>10315.736842105263</v>
      </c>
      <c r="H140" s="506">
        <f>'Demand and Conservation_Calcs'!P30+'Demand and Conservation_Calcs'!F124</f>
        <v>10315.736842105263</v>
      </c>
      <c r="I140" s="40"/>
      <c r="J140" s="71"/>
      <c r="K140" s="71"/>
      <c r="L140" s="71"/>
      <c r="M140" s="71"/>
      <c r="N140" s="71"/>
      <c r="O140" s="71"/>
      <c r="P140" s="70"/>
      <c r="Q140" s="37"/>
    </row>
    <row r="141" spans="1:17" hidden="1" outlineLevel="1" x14ac:dyDescent="0.3">
      <c r="A141" s="38" t="s">
        <v>994</v>
      </c>
      <c r="B141" s="38" t="s">
        <v>915</v>
      </c>
      <c r="C141" s="39" t="str">
        <f t="shared" si="1"/>
        <v>Santa Clara Valley Water District</v>
      </c>
      <c r="D141" s="470">
        <f>'Demand and Conservation_Calcs'!L31+'Demand and Conservation_Calcs'!B125</f>
        <v>370000</v>
      </c>
      <c r="E141" s="470">
        <f>'Demand and Conservation_Calcs'!M31+'Demand and Conservation_Calcs'!C125</f>
        <v>378000</v>
      </c>
      <c r="F141" s="470">
        <f>'Demand and Conservation_Calcs'!N31+'Demand and Conservation_Calcs'!D125</f>
        <v>388000</v>
      </c>
      <c r="G141" s="470">
        <f>'Demand and Conservation_Calcs'!O31+'Demand and Conservation_Calcs'!E125</f>
        <v>397000</v>
      </c>
      <c r="H141" s="506">
        <f>'Demand and Conservation_Calcs'!P31+'Demand and Conservation_Calcs'!F125</f>
        <v>407000</v>
      </c>
      <c r="I141" s="40"/>
      <c r="J141" s="71"/>
      <c r="K141" s="71"/>
      <c r="L141" s="71"/>
      <c r="M141" s="71"/>
      <c r="N141" s="71"/>
      <c r="O141" s="71"/>
      <c r="P141" s="70"/>
      <c r="Q141" s="37"/>
    </row>
    <row r="142" spans="1:17" hidden="1" outlineLevel="1" x14ac:dyDescent="0.3">
      <c r="A142" s="38" t="s">
        <v>994</v>
      </c>
      <c r="B142" s="38" t="s">
        <v>934</v>
      </c>
      <c r="C142" s="39" t="str">
        <f t="shared" si="1"/>
        <v>San Luis Obispo County Flood Control &amp; Water Conservation District</v>
      </c>
      <c r="D142" s="470">
        <f>'Demand and Conservation_Calcs'!L32+'Demand and Conservation_Calcs'!B126</f>
        <v>8596.7999999999993</v>
      </c>
      <c r="E142" s="470">
        <f>'Demand and Conservation_Calcs'!M32+'Demand and Conservation_Calcs'!C126</f>
        <v>8602.4315789473676</v>
      </c>
      <c r="F142" s="470">
        <f>'Demand and Conservation_Calcs'!N32+'Demand and Conservation_Calcs'!D126</f>
        <v>8607.7999999999993</v>
      </c>
      <c r="G142" s="470">
        <f>'Demand and Conservation_Calcs'!O32+'Demand and Conservation_Calcs'!E126</f>
        <v>8613.3263157894726</v>
      </c>
      <c r="H142" s="506">
        <f>'Demand and Conservation_Calcs'!P32+'Demand and Conservation_Calcs'!F126</f>
        <v>8618.9052631578943</v>
      </c>
      <c r="I142" s="40"/>
      <c r="J142" s="71"/>
      <c r="K142" s="71"/>
      <c r="L142" s="71"/>
      <c r="M142" s="71"/>
      <c r="N142" s="71"/>
      <c r="O142" s="71"/>
      <c r="P142" s="70"/>
      <c r="Q142" s="37"/>
    </row>
    <row r="143" spans="1:17" hidden="1" outlineLevel="1" x14ac:dyDescent="0.3">
      <c r="A143" s="38" t="s">
        <v>994</v>
      </c>
      <c r="B143" s="38" t="s">
        <v>934</v>
      </c>
      <c r="C143" s="39" t="str">
        <f t="shared" si="1"/>
        <v>Santa Barbara County Flood Control &amp; Water Conservation District</v>
      </c>
      <c r="D143" s="470" t="s">
        <v>204</v>
      </c>
      <c r="E143" s="470" t="s">
        <v>204</v>
      </c>
      <c r="F143" s="470" t="s">
        <v>204</v>
      </c>
      <c r="G143" s="470" t="s">
        <v>204</v>
      </c>
      <c r="H143" s="506" t="s">
        <v>204</v>
      </c>
      <c r="I143" s="40"/>
      <c r="J143" s="71"/>
      <c r="K143" s="71"/>
      <c r="L143" s="71"/>
      <c r="M143" s="71"/>
      <c r="N143" s="71"/>
      <c r="O143" s="71"/>
      <c r="P143" s="70"/>
      <c r="Q143" s="37"/>
    </row>
    <row r="144" spans="1:17" hidden="1" outlineLevel="1" x14ac:dyDescent="0.3">
      <c r="A144" s="38" t="s">
        <v>994</v>
      </c>
      <c r="B144" s="38" t="s">
        <v>940</v>
      </c>
      <c r="C144" s="39" t="str">
        <f t="shared" si="1"/>
        <v>Antelope Valley-East Kern Water Agency</v>
      </c>
      <c r="D144" s="470">
        <f>'Demand and Conservation_Calcs'!L34+'Demand and Conservation_Calcs'!B128</f>
        <v>45771.446843099387</v>
      </c>
      <c r="E144" s="470">
        <f>'Demand and Conservation_Calcs'!M34+'Demand and Conservation_Calcs'!C128</f>
        <v>52517.671522848425</v>
      </c>
      <c r="F144" s="470">
        <f>'Demand and Conservation_Calcs'!N34+'Demand and Conservation_Calcs'!D128</f>
        <v>53434.29960142287</v>
      </c>
      <c r="G144" s="470">
        <f>'Demand and Conservation_Calcs'!O34+'Demand and Conservation_Calcs'!E128</f>
        <v>56864.071508590714</v>
      </c>
      <c r="H144" s="506">
        <f>'Demand and Conservation_Calcs'!P34+'Demand and Conservation_Calcs'!F128</f>
        <v>59315.389558473107</v>
      </c>
      <c r="I144" s="40"/>
      <c r="J144" s="71"/>
      <c r="K144" s="71"/>
      <c r="L144" s="71"/>
      <c r="M144" s="71"/>
      <c r="N144" s="71"/>
      <c r="O144" s="71"/>
      <c r="P144" s="70"/>
      <c r="Q144" s="37"/>
    </row>
    <row r="145" spans="1:45" hidden="1" outlineLevel="1" x14ac:dyDescent="0.3">
      <c r="A145" s="38" t="s">
        <v>994</v>
      </c>
      <c r="B145" s="38" t="s">
        <v>940</v>
      </c>
      <c r="C145" s="39" t="str">
        <f t="shared" si="1"/>
        <v>Santa Clarita Water Division</v>
      </c>
      <c r="D145" s="470">
        <f>'Demand and Conservation_Calcs'!L35+'Demand and Conservation_Calcs'!B129</f>
        <v>87921.025822368421</v>
      </c>
      <c r="E145" s="470">
        <f>'Demand and Conservation_Calcs'!M35+'Demand and Conservation_Calcs'!C129</f>
        <v>94248.043185789487</v>
      </c>
      <c r="F145" s="470">
        <f>'Demand and Conservation_Calcs'!N35+'Demand and Conservation_Calcs'!D129</f>
        <v>101888.58096236843</v>
      </c>
      <c r="G145" s="470">
        <f>'Demand and Conservation_Calcs'!O35+'Demand and Conservation_Calcs'!E129</f>
        <v>107459.92587131579</v>
      </c>
      <c r="H145" s="506">
        <f>'Demand and Conservation_Calcs'!P35+'Demand and Conservation_Calcs'!F129</f>
        <v>111626.51057368421</v>
      </c>
      <c r="I145" s="40"/>
      <c r="J145" s="71"/>
      <c r="K145" s="71"/>
      <c r="L145" s="71"/>
      <c r="M145" s="71"/>
      <c r="N145" s="71"/>
      <c r="O145" s="71"/>
      <c r="P145" s="70"/>
      <c r="Q145" s="37"/>
    </row>
    <row r="146" spans="1:45" hidden="1" outlineLevel="1" x14ac:dyDescent="0.3">
      <c r="A146" s="38" t="s">
        <v>994</v>
      </c>
      <c r="B146" s="38" t="s">
        <v>940</v>
      </c>
      <c r="C146" s="39" t="str">
        <f t="shared" si="1"/>
        <v>Coachella Valley Water District</v>
      </c>
      <c r="D146" s="470" t="s">
        <v>204</v>
      </c>
      <c r="E146" s="470" t="s">
        <v>204</v>
      </c>
      <c r="F146" s="470" t="s">
        <v>204</v>
      </c>
      <c r="G146" s="470" t="s">
        <v>204</v>
      </c>
      <c r="H146" s="506" t="s">
        <v>204</v>
      </c>
      <c r="I146" s="40"/>
      <c r="J146" s="71"/>
      <c r="K146" s="71"/>
      <c r="L146" s="71"/>
      <c r="M146" s="71"/>
      <c r="N146" s="71"/>
      <c r="O146" s="71"/>
      <c r="P146" s="70"/>
      <c r="Q146" s="37"/>
    </row>
    <row r="147" spans="1:45" hidden="1" outlineLevel="1" x14ac:dyDescent="0.3">
      <c r="A147" s="38" t="s">
        <v>994</v>
      </c>
      <c r="B147" s="38" t="s">
        <v>940</v>
      </c>
      <c r="C147" s="39" t="str">
        <f t="shared" si="1"/>
        <v>Crestline-Lake Arrowhead Water Agency</v>
      </c>
      <c r="D147" s="470" t="s">
        <v>204</v>
      </c>
      <c r="E147" s="470" t="s">
        <v>204</v>
      </c>
      <c r="F147" s="470" t="s">
        <v>204</v>
      </c>
      <c r="G147" s="470" t="s">
        <v>204</v>
      </c>
      <c r="H147" s="506" t="s">
        <v>204</v>
      </c>
      <c r="I147" s="40"/>
      <c r="J147" s="71"/>
      <c r="K147" s="71"/>
      <c r="L147" s="71"/>
      <c r="M147" s="71"/>
      <c r="N147" s="71"/>
      <c r="O147" s="71"/>
      <c r="P147" s="70"/>
      <c r="Q147" s="37"/>
    </row>
    <row r="148" spans="1:45" hidden="1" outlineLevel="1" x14ac:dyDescent="0.3">
      <c r="A148" s="38" t="s">
        <v>994</v>
      </c>
      <c r="B148" s="38" t="s">
        <v>940</v>
      </c>
      <c r="C148" s="39" t="str">
        <f t="shared" si="1"/>
        <v>Desert Water Agency</v>
      </c>
      <c r="D148" s="470" t="s">
        <v>204</v>
      </c>
      <c r="E148" s="470" t="s">
        <v>204</v>
      </c>
      <c r="F148" s="470" t="s">
        <v>204</v>
      </c>
      <c r="G148" s="470" t="s">
        <v>204</v>
      </c>
      <c r="H148" s="506" t="s">
        <v>204</v>
      </c>
      <c r="I148" s="40"/>
      <c r="J148" s="71"/>
      <c r="K148" s="71"/>
      <c r="L148" s="71"/>
      <c r="M148" s="71"/>
      <c r="N148" s="71"/>
      <c r="O148" s="71"/>
      <c r="P148" s="70"/>
      <c r="Q148" s="37"/>
    </row>
    <row r="149" spans="1:45" hidden="1" outlineLevel="1" x14ac:dyDescent="0.3">
      <c r="A149" s="38" t="s">
        <v>994</v>
      </c>
      <c r="B149" s="38" t="s">
        <v>940</v>
      </c>
      <c r="C149" s="39" t="str">
        <f t="shared" si="1"/>
        <v>Metropolitan Water District of Southern California</v>
      </c>
      <c r="D149" s="470">
        <f>'Demand and Conservation_Calcs'!L39+'Demand and Conservation_Calcs'!B133</f>
        <v>4877000</v>
      </c>
      <c r="E149" s="470">
        <f>'Demand and Conservation_Calcs'!M39+'Demand and Conservation_Calcs'!C133</f>
        <v>5064000</v>
      </c>
      <c r="F149" s="470">
        <f>'Demand and Conservation_Calcs'!N39+'Demand and Conservation_Calcs'!D133</f>
        <v>5182000</v>
      </c>
      <c r="G149" s="470">
        <f>'Demand and Conservation_Calcs'!O39+'Demand and Conservation_Calcs'!E133</f>
        <v>5299000</v>
      </c>
      <c r="H149" s="506">
        <f>'Demand and Conservation_Calcs'!P39+'Demand and Conservation_Calcs'!F133</f>
        <v>5410000</v>
      </c>
      <c r="I149" s="40" t="s">
        <v>1001</v>
      </c>
      <c r="J149" s="71"/>
      <c r="K149" s="71"/>
      <c r="L149" s="71"/>
      <c r="M149" s="71"/>
      <c r="N149" s="71"/>
      <c r="O149" s="71"/>
      <c r="P149" s="70"/>
      <c r="Q149" s="37"/>
    </row>
    <row r="150" spans="1:45" hidden="1" outlineLevel="1" x14ac:dyDescent="0.3">
      <c r="A150" s="38" t="s">
        <v>994</v>
      </c>
      <c r="B150" s="38" t="s">
        <v>940</v>
      </c>
      <c r="C150" s="39" t="str">
        <f t="shared" si="1"/>
        <v>Mojave Water Agency</v>
      </c>
      <c r="D150" s="470">
        <f>'Demand and Conservation_Calcs'!L40+'Demand and Conservation_Calcs'!B134</f>
        <v>135414.39473684211</v>
      </c>
      <c r="E150" s="470">
        <f>'Demand and Conservation_Calcs'!M40+'Demand and Conservation_Calcs'!C134</f>
        <v>140075.0263157895</v>
      </c>
      <c r="F150" s="470">
        <f>'Demand and Conservation_Calcs'!N40+'Demand and Conservation_Calcs'!D134</f>
        <v>142557.34210526315</v>
      </c>
      <c r="G150" s="470">
        <f>'Demand and Conservation_Calcs'!O40+'Demand and Conservation_Calcs'!E134</f>
        <v>145136.0894736842</v>
      </c>
      <c r="H150" s="506">
        <f>'Demand and Conservation_Calcs'!P40+'Demand and Conservation_Calcs'!F134</f>
        <v>147934.29999999999</v>
      </c>
      <c r="I150" s="40"/>
      <c r="J150" s="71"/>
      <c r="K150" s="71"/>
      <c r="L150" s="71"/>
      <c r="M150" s="71"/>
      <c r="N150" s="71"/>
      <c r="O150" s="71"/>
      <c r="P150" s="70"/>
      <c r="Q150" s="37"/>
    </row>
    <row r="151" spans="1:45" hidden="1" outlineLevel="1" x14ac:dyDescent="0.3">
      <c r="A151" s="38" t="s">
        <v>994</v>
      </c>
      <c r="B151" s="38" t="s">
        <v>940</v>
      </c>
      <c r="C151" s="39" t="str">
        <f t="shared" si="1"/>
        <v>Palmdale Water District &amp; Littlerock Creek Irrigation District</v>
      </c>
      <c r="D151" s="470">
        <f>'Demand and Conservation_Calcs'!L41+'Demand and Conservation_Calcs'!B135</f>
        <v>21087.368421052633</v>
      </c>
      <c r="E151" s="470">
        <f>'Demand and Conservation_Calcs'!M41+'Demand and Conservation_Calcs'!C135</f>
        <v>22203.157894736843</v>
      </c>
      <c r="F151" s="470">
        <f>'Demand and Conservation_Calcs'!N41+'Demand and Conservation_Calcs'!D135</f>
        <v>23929.473684210527</v>
      </c>
      <c r="G151" s="470">
        <f>'Demand and Conservation_Calcs'!O41+'Demand and Conservation_Calcs'!E135</f>
        <v>25792.63157894737</v>
      </c>
      <c r="H151" s="506">
        <f>'Demand and Conservation_Calcs'!P41+'Demand and Conservation_Calcs'!F135</f>
        <v>27329.473684210527</v>
      </c>
      <c r="I151" s="40"/>
      <c r="J151" s="71"/>
      <c r="K151" s="71"/>
      <c r="L151" s="71"/>
      <c r="M151" s="71"/>
      <c r="N151" s="71"/>
      <c r="O151" s="71"/>
      <c r="P151" s="70"/>
      <c r="Q151" s="37"/>
    </row>
    <row r="152" spans="1:45" hidden="1" outlineLevel="1" x14ac:dyDescent="0.3">
      <c r="A152" s="38" t="s">
        <v>994</v>
      </c>
      <c r="B152" s="38" t="s">
        <v>940</v>
      </c>
      <c r="C152" s="39" t="str">
        <f t="shared" si="1"/>
        <v>San Bernardino Valley Municipal Water District</v>
      </c>
      <c r="D152" s="470">
        <f>'Demand and Conservation_Calcs'!L42+'Demand and Conservation_Calcs'!B136</f>
        <v>366613.4</v>
      </c>
      <c r="E152" s="470">
        <f>'Demand and Conservation_Calcs'!M42+'Demand and Conservation_Calcs'!C136</f>
        <v>378072.45</v>
      </c>
      <c r="F152" s="470">
        <f>'Demand and Conservation_Calcs'!N42+'Demand and Conservation_Calcs'!D136</f>
        <v>389968.1</v>
      </c>
      <c r="G152" s="470">
        <f>'Demand and Conservation_Calcs'!O42+'Demand and Conservation_Calcs'!E136</f>
        <v>400790.4</v>
      </c>
      <c r="H152" s="506">
        <f>'Demand and Conservation_Calcs'!P42+'Demand and Conservation_Calcs'!F136</f>
        <v>412211.20000000001</v>
      </c>
      <c r="I152" s="40"/>
      <c r="J152" s="71"/>
      <c r="K152" s="71"/>
      <c r="L152" s="71"/>
      <c r="M152" s="71"/>
      <c r="N152" s="71"/>
      <c r="O152" s="71"/>
      <c r="P152" s="70"/>
      <c r="Q152" s="37"/>
    </row>
    <row r="153" spans="1:45" hidden="1" outlineLevel="1" x14ac:dyDescent="0.3">
      <c r="A153" s="38" t="s">
        <v>994</v>
      </c>
      <c r="B153" s="38" t="s">
        <v>940</v>
      </c>
      <c r="C153" s="39" t="str">
        <f t="shared" si="1"/>
        <v>San Gabriel Valley Municipal Water District</v>
      </c>
      <c r="D153" s="470" t="s">
        <v>204</v>
      </c>
      <c r="E153" s="470" t="s">
        <v>204</v>
      </c>
      <c r="F153" s="470" t="s">
        <v>204</v>
      </c>
      <c r="G153" s="470" t="s">
        <v>204</v>
      </c>
      <c r="H153" s="506" t="s">
        <v>204</v>
      </c>
      <c r="I153" s="40"/>
      <c r="J153" s="71"/>
      <c r="K153" s="71"/>
      <c r="L153" s="71"/>
      <c r="M153" s="71"/>
      <c r="N153" s="71"/>
      <c r="O153" s="71"/>
      <c r="P153" s="70"/>
      <c r="Q153" s="37"/>
    </row>
    <row r="154" spans="1:45" hidden="1" outlineLevel="1" x14ac:dyDescent="0.3">
      <c r="A154" s="38" t="s">
        <v>994</v>
      </c>
      <c r="B154" s="38" t="s">
        <v>940</v>
      </c>
      <c r="C154" s="39" t="str">
        <f t="shared" si="1"/>
        <v>San Gorgonio Pass Water Agency</v>
      </c>
      <c r="D154" s="470">
        <f>'Demand and Conservation_Calcs'!L44+'Demand and Conservation_Calcs'!B138</f>
        <v>31834.84210526316</v>
      </c>
      <c r="E154" s="470">
        <f>'Demand and Conservation_Calcs'!M44+'Demand and Conservation_Calcs'!C138</f>
        <v>34546.494736842105</v>
      </c>
      <c r="F154" s="470">
        <f>'Demand and Conservation_Calcs'!N44+'Demand and Conservation_Calcs'!D138</f>
        <v>37369.652631578952</v>
      </c>
      <c r="G154" s="470">
        <f>'Demand and Conservation_Calcs'!O44+'Demand and Conservation_Calcs'!E138</f>
        <v>39980.757894736846</v>
      </c>
      <c r="H154" s="506">
        <f>'Demand and Conservation_Calcs'!P44+'Demand and Conservation_Calcs'!F138</f>
        <v>42279.126315789479</v>
      </c>
      <c r="I154" s="40"/>
      <c r="J154" s="71"/>
      <c r="K154" s="71"/>
      <c r="L154" s="71"/>
      <c r="M154" s="71"/>
      <c r="N154" s="71"/>
      <c r="O154" s="71"/>
      <c r="P154" s="70"/>
      <c r="Q154" s="37"/>
    </row>
    <row r="155" spans="1:45" hidden="1" outlineLevel="1" x14ac:dyDescent="0.3">
      <c r="A155" s="38" t="s">
        <v>994</v>
      </c>
      <c r="B155" s="38" t="s">
        <v>940</v>
      </c>
      <c r="C155" s="39" t="str">
        <f t="shared" si="1"/>
        <v>Ventura County Watershed Protection District</v>
      </c>
      <c r="D155" s="470" t="s">
        <v>204</v>
      </c>
      <c r="E155" s="470" t="s">
        <v>204</v>
      </c>
      <c r="F155" s="470" t="s">
        <v>204</v>
      </c>
      <c r="G155" s="470" t="s">
        <v>204</v>
      </c>
      <c r="H155" s="506" t="s">
        <v>204</v>
      </c>
      <c r="I155" s="40"/>
      <c r="J155" s="71"/>
      <c r="K155" s="71"/>
      <c r="L155" s="71"/>
      <c r="M155" s="71"/>
      <c r="N155" s="71"/>
      <c r="O155" s="71"/>
      <c r="P155" s="70"/>
      <c r="Q155" s="37"/>
    </row>
    <row r="156" spans="1:45" collapsed="1" x14ac:dyDescent="0.3">
      <c r="A156" s="38"/>
      <c r="B156" s="38"/>
      <c r="C156" s="406" t="s">
        <v>992</v>
      </c>
      <c r="D156" s="146"/>
      <c r="E156" s="146"/>
      <c r="F156" s="146"/>
      <c r="G156" s="146"/>
      <c r="H156" s="512"/>
      <c r="I156" s="40"/>
      <c r="J156" s="71"/>
      <c r="K156" s="71"/>
      <c r="L156" s="71"/>
      <c r="M156" s="71"/>
      <c r="N156" s="71"/>
      <c r="O156" s="71"/>
      <c r="P156" s="70"/>
      <c r="Q156" s="37"/>
    </row>
    <row r="157" spans="1:45" x14ac:dyDescent="0.3">
      <c r="A157" s="310" t="s">
        <v>1002</v>
      </c>
      <c r="B157" s="310"/>
      <c r="C157" s="409" t="s">
        <v>992</v>
      </c>
      <c r="D157" s="311"/>
      <c r="E157" s="311"/>
      <c r="F157" s="311"/>
      <c r="G157" s="311"/>
      <c r="H157" s="513"/>
      <c r="I157" s="168"/>
      <c r="J157" s="309"/>
      <c r="K157" s="309"/>
      <c r="L157" s="309"/>
      <c r="M157" s="309"/>
      <c r="N157" s="309"/>
      <c r="O157" s="309"/>
      <c r="P157" s="309"/>
      <c r="Q157" s="309"/>
      <c r="R157" s="309"/>
      <c r="S157" s="309"/>
      <c r="T157" s="309"/>
      <c r="U157" s="309"/>
      <c r="V157" s="309"/>
      <c r="W157" s="309"/>
      <c r="X157" s="309"/>
      <c r="Y157" s="309"/>
      <c r="Z157" s="309"/>
      <c r="AA157" s="309"/>
      <c r="AB157" s="309"/>
      <c r="AC157" s="309"/>
      <c r="AD157" s="309"/>
      <c r="AE157" s="309"/>
      <c r="AF157" s="309"/>
      <c r="AG157" s="309"/>
      <c r="AH157" s="309"/>
      <c r="AI157" s="309"/>
      <c r="AJ157" s="309"/>
      <c r="AK157" s="309"/>
      <c r="AL157" s="309"/>
      <c r="AM157" s="309"/>
      <c r="AN157" s="309"/>
      <c r="AO157" s="309"/>
      <c r="AP157" s="309"/>
      <c r="AQ157" s="309"/>
      <c r="AR157" s="309"/>
      <c r="AS157" s="309"/>
    </row>
    <row r="158" spans="1:45" s="308" customFormat="1" x14ac:dyDescent="0.3">
      <c r="A158" s="305" t="s">
        <v>977</v>
      </c>
      <c r="B158" s="305" t="s">
        <v>747</v>
      </c>
      <c r="C158" s="305" t="s">
        <v>751</v>
      </c>
      <c r="D158" s="305" t="s">
        <v>755</v>
      </c>
      <c r="E158" s="305" t="s">
        <v>758</v>
      </c>
      <c r="F158" s="305" t="s">
        <v>761</v>
      </c>
      <c r="G158" s="514" t="s">
        <v>763</v>
      </c>
      <c r="H158" s="305" t="s">
        <v>765</v>
      </c>
      <c r="I158" s="305" t="s">
        <v>768</v>
      </c>
      <c r="J158" s="305" t="s">
        <v>771</v>
      </c>
      <c r="K158" s="305" t="s">
        <v>772</v>
      </c>
      <c r="L158" s="305" t="s">
        <v>774</v>
      </c>
      <c r="M158" s="305" t="s">
        <v>775</v>
      </c>
      <c r="N158" s="305" t="s">
        <v>779</v>
      </c>
      <c r="O158" s="305" t="s">
        <v>781</v>
      </c>
      <c r="P158" s="305" t="s">
        <v>783</v>
      </c>
      <c r="Q158" s="305" t="s">
        <v>785</v>
      </c>
      <c r="R158" s="305" t="s">
        <v>787</v>
      </c>
      <c r="S158" s="305" t="s">
        <v>788</v>
      </c>
      <c r="T158" s="305" t="s">
        <v>789</v>
      </c>
      <c r="U158" s="305" t="s">
        <v>790</v>
      </c>
      <c r="V158" s="305" t="s">
        <v>793</v>
      </c>
      <c r="W158" s="305" t="s">
        <v>795</v>
      </c>
      <c r="X158" s="305" t="s">
        <v>797</v>
      </c>
      <c r="Y158" s="305" t="s">
        <v>799</v>
      </c>
      <c r="Z158" s="305" t="s">
        <v>801</v>
      </c>
      <c r="AA158" s="305" t="s">
        <v>804</v>
      </c>
      <c r="AB158" s="305" t="s">
        <v>806</v>
      </c>
      <c r="AC158" s="305" t="s">
        <v>808</v>
      </c>
      <c r="AD158" s="305" t="s">
        <v>811</v>
      </c>
      <c r="AE158" s="305" t="s">
        <v>814</v>
      </c>
      <c r="AF158" s="305" t="s">
        <v>815</v>
      </c>
      <c r="AG158" s="305" t="s">
        <v>817</v>
      </c>
      <c r="AH158" s="305" t="s">
        <v>819</v>
      </c>
      <c r="AI158" s="305" t="s">
        <v>821</v>
      </c>
      <c r="AJ158" s="305" t="s">
        <v>823</v>
      </c>
      <c r="AK158" s="305" t="s">
        <v>825</v>
      </c>
      <c r="AL158" s="305" t="s">
        <v>827</v>
      </c>
      <c r="AM158" s="305" t="s">
        <v>829</v>
      </c>
      <c r="AN158" s="305" t="s">
        <v>833</v>
      </c>
      <c r="AO158" s="305" t="s">
        <v>836</v>
      </c>
      <c r="AP158" s="305" t="s">
        <v>837</v>
      </c>
      <c r="AQ158" s="305" t="s">
        <v>839</v>
      </c>
      <c r="AR158" s="305" t="s">
        <v>840</v>
      </c>
    </row>
    <row r="159" spans="1:45" s="308" customFormat="1" hidden="1" outlineLevel="1" x14ac:dyDescent="0.3">
      <c r="A159" s="306">
        <v>1922</v>
      </c>
      <c r="B159" s="307">
        <v>1.0026238280905462</v>
      </c>
      <c r="C159" s="307">
        <v>1.0108824905974443</v>
      </c>
      <c r="D159" s="307">
        <v>0.95685784945220398</v>
      </c>
      <c r="E159" s="307">
        <v>1.0189506614727475</v>
      </c>
      <c r="F159" s="307">
        <v>0.98037154320466624</v>
      </c>
      <c r="G159" s="307">
        <v>0.91081867558587837</v>
      </c>
      <c r="H159" s="307">
        <v>0.99758436674524731</v>
      </c>
      <c r="I159" s="307">
        <v>0.97694598984542758</v>
      </c>
      <c r="J159" s="307">
        <v>1.0112627518377677</v>
      </c>
      <c r="K159" s="307">
        <v>1.0098532735402499</v>
      </c>
      <c r="L159" s="307">
        <v>1.0125853200506214</v>
      </c>
      <c r="M159" s="307">
        <v>0.96149136027023385</v>
      </c>
      <c r="N159" s="307">
        <v>0.97505205609118806</v>
      </c>
      <c r="O159" s="307">
        <v>1.0133821915887518</v>
      </c>
      <c r="P159" s="307">
        <v>0.98312969464540423</v>
      </c>
      <c r="Q159" s="307">
        <v>1.000491265709833</v>
      </c>
      <c r="R159" s="307">
        <v>0.99785904006498738</v>
      </c>
      <c r="S159" s="307">
        <v>1.0008609455056576</v>
      </c>
      <c r="T159" s="307">
        <v>0.97371099298768027</v>
      </c>
      <c r="U159" s="307">
        <v>0.9570968238930343</v>
      </c>
      <c r="V159" s="307">
        <v>1.0119889151310899</v>
      </c>
      <c r="W159" s="307">
        <v>1.0174935310651372</v>
      </c>
      <c r="X159" s="307">
        <v>0.97263660114488049</v>
      </c>
      <c r="Y159" s="307">
        <v>0.95006872379851615</v>
      </c>
      <c r="Z159" s="307">
        <v>0.96430127424321443</v>
      </c>
      <c r="AA159" s="307">
        <v>1.0012374539871256</v>
      </c>
      <c r="AB159" s="307">
        <v>0.96280782114568297</v>
      </c>
      <c r="AC159" s="307">
        <v>0.98528091181818656</v>
      </c>
      <c r="AD159" s="307">
        <v>0.93053495789570695</v>
      </c>
      <c r="AE159" s="307">
        <v>0.98598087281518942</v>
      </c>
      <c r="AF159" s="307">
        <v>1.0334219662184612</v>
      </c>
      <c r="AG159" s="307">
        <v>0.99205874291789564</v>
      </c>
      <c r="AH159" s="307">
        <v>1.0017590047255607</v>
      </c>
      <c r="AI159" s="307">
        <v>0.98501324814902502</v>
      </c>
      <c r="AJ159" s="307">
        <v>0.90586598165229881</v>
      </c>
      <c r="AK159" s="307">
        <v>0.93097124590840097</v>
      </c>
      <c r="AL159" s="307">
        <v>0.96784744393585254</v>
      </c>
      <c r="AM159" s="307">
        <v>0.96332143445539209</v>
      </c>
      <c r="AN159" s="307">
        <v>0.96328976774846198</v>
      </c>
      <c r="AO159" s="307">
        <v>0.92344986896328074</v>
      </c>
      <c r="AP159" s="307">
        <v>0.9849656516159736</v>
      </c>
      <c r="AQ159" s="307">
        <v>0.93834537725037181</v>
      </c>
      <c r="AR159" s="307">
        <v>1.0469196872804043</v>
      </c>
    </row>
    <row r="160" spans="1:45" s="308" customFormat="1" hidden="1" outlineLevel="1" x14ac:dyDescent="0.3">
      <c r="A160" s="306">
        <v>1923</v>
      </c>
      <c r="B160" s="307">
        <v>1.0183668173744691</v>
      </c>
      <c r="C160" s="307">
        <v>1.072227203245667</v>
      </c>
      <c r="D160" s="307">
        <v>0.96093061313111006</v>
      </c>
      <c r="E160" s="307">
        <v>1.0565236089505636</v>
      </c>
      <c r="F160" s="307">
        <v>1.0643686177017431</v>
      </c>
      <c r="G160" s="307">
        <v>1.0002224561377546</v>
      </c>
      <c r="H160" s="307">
        <v>1.0637017064870766</v>
      </c>
      <c r="I160" s="307">
        <v>1.0401486466884355</v>
      </c>
      <c r="J160" s="307">
        <v>1.0633140936723893</v>
      </c>
      <c r="K160" s="307">
        <v>1.0690978323556366</v>
      </c>
      <c r="L160" s="307">
        <v>1.071248634486313</v>
      </c>
      <c r="M160" s="307">
        <v>0.96822687908115812</v>
      </c>
      <c r="N160" s="307">
        <v>1.0585881408836937</v>
      </c>
      <c r="O160" s="307">
        <v>1.0709861226511286</v>
      </c>
      <c r="P160" s="307">
        <v>1.0392835191541876</v>
      </c>
      <c r="Q160" s="307">
        <v>1.0578483395543048</v>
      </c>
      <c r="R160" s="307">
        <v>1.0689642386100702</v>
      </c>
      <c r="S160" s="307">
        <v>1.0593931370109544</v>
      </c>
      <c r="T160" s="307">
        <v>1.0384685905720421</v>
      </c>
      <c r="U160" s="307">
        <v>1.0239467638261874</v>
      </c>
      <c r="V160" s="307">
        <v>1.0430615553536446</v>
      </c>
      <c r="W160" s="307">
        <v>1.0484794731162868</v>
      </c>
      <c r="X160" s="307">
        <v>1.0322159127570787</v>
      </c>
      <c r="Y160" s="307">
        <v>1.0153237752949209</v>
      </c>
      <c r="Z160" s="307">
        <v>1.0956409700744096</v>
      </c>
      <c r="AA160" s="307">
        <v>1.0676393271245481</v>
      </c>
      <c r="AB160" s="307">
        <v>1.0807212687685543</v>
      </c>
      <c r="AC160" s="307">
        <v>1.093243367262092</v>
      </c>
      <c r="AD160" s="307">
        <v>1.0294053135481209</v>
      </c>
      <c r="AE160" s="307">
        <v>1.0701569454346445</v>
      </c>
      <c r="AF160" s="307">
        <v>1.1052403824384724</v>
      </c>
      <c r="AG160" s="307">
        <v>1.0403150196920796</v>
      </c>
      <c r="AH160" s="307">
        <v>1.0638164665687526</v>
      </c>
      <c r="AI160" s="307">
        <v>0.99587091514306236</v>
      </c>
      <c r="AJ160" s="307">
        <v>0.9452896403954808</v>
      </c>
      <c r="AK160" s="307">
        <v>0.97009835637583497</v>
      </c>
      <c r="AL160" s="307">
        <v>1.0236878476074887</v>
      </c>
      <c r="AM160" s="307">
        <v>0.98383122926677091</v>
      </c>
      <c r="AN160" s="307">
        <v>1.022155400997846</v>
      </c>
      <c r="AO160" s="307">
        <v>0.94522494244377442</v>
      </c>
      <c r="AP160" s="307">
        <v>1.0568927443813989</v>
      </c>
      <c r="AQ160" s="307">
        <v>0.96130429240071535</v>
      </c>
      <c r="AR160" s="307">
        <v>1.1114450151779869</v>
      </c>
    </row>
    <row r="161" spans="1:44" s="308" customFormat="1" hidden="1" outlineLevel="1" x14ac:dyDescent="0.3">
      <c r="A161" s="306">
        <v>1924</v>
      </c>
      <c r="B161" s="307">
        <v>1.0891434767758079</v>
      </c>
      <c r="C161" s="307">
        <v>1.0693856032949411</v>
      </c>
      <c r="D161" s="307">
        <v>1.1241177910319109</v>
      </c>
      <c r="E161" s="307">
        <v>1.044783393350555</v>
      </c>
      <c r="F161" s="307">
        <v>1.0903541721805703</v>
      </c>
      <c r="G161" s="307">
        <v>1.0006245883867722</v>
      </c>
      <c r="H161" s="307">
        <v>1.1210459179810095</v>
      </c>
      <c r="I161" s="307">
        <v>1.0589734621673277</v>
      </c>
      <c r="J161" s="307">
        <v>1.0992187942645888</v>
      </c>
      <c r="K161" s="307">
        <v>1.0712003216413897</v>
      </c>
      <c r="L161" s="307">
        <v>1.0848792357821186</v>
      </c>
      <c r="M161" s="307">
        <v>1.1218811911338598</v>
      </c>
      <c r="N161" s="307">
        <v>1.0506734664688233</v>
      </c>
      <c r="O161" s="307">
        <v>1.0889953964445895</v>
      </c>
      <c r="P161" s="307">
        <v>1.0820463200274442</v>
      </c>
      <c r="Q161" s="307">
        <v>1.0577454727628237</v>
      </c>
      <c r="R161" s="307">
        <v>1.0890910494601864</v>
      </c>
      <c r="S161" s="307">
        <v>1.0387415220868323</v>
      </c>
      <c r="T161" s="307">
        <v>1.0541630729364841</v>
      </c>
      <c r="U161" s="307">
        <v>1.0473168572167826</v>
      </c>
      <c r="V161" s="307">
        <v>1.0711722916190227</v>
      </c>
      <c r="W161" s="307">
        <v>1.0636985259092266</v>
      </c>
      <c r="X161" s="307">
        <v>1.0564984640459143</v>
      </c>
      <c r="Y161" s="307">
        <v>1.0442355590804588</v>
      </c>
      <c r="Z161" s="307">
        <v>1.0892536788965492</v>
      </c>
      <c r="AA161" s="307">
        <v>1.0664769171504027</v>
      </c>
      <c r="AB161" s="307">
        <v>1.0579432523954964</v>
      </c>
      <c r="AC161" s="307">
        <v>1.0330788936189665</v>
      </c>
      <c r="AD161" s="307">
        <v>1.0188156858046817</v>
      </c>
      <c r="AE161" s="307">
        <v>1.0693363378855911</v>
      </c>
      <c r="AF161" s="307">
        <v>1.0928768618421483</v>
      </c>
      <c r="AG161" s="307">
        <v>1.0856219796710138</v>
      </c>
      <c r="AH161" s="307">
        <v>1.0557335031817838</v>
      </c>
      <c r="AI161" s="307">
        <v>1.115407548761834</v>
      </c>
      <c r="AJ161" s="307">
        <v>1.0214323327891659</v>
      </c>
      <c r="AK161" s="307">
        <v>1.080895258137657</v>
      </c>
      <c r="AL161" s="307">
        <v>1.0859659244458912</v>
      </c>
      <c r="AM161" s="307">
        <v>1.036046954918965</v>
      </c>
      <c r="AN161" s="307">
        <v>1.0661967788124227</v>
      </c>
      <c r="AO161" s="307">
        <v>1.0282141857935927</v>
      </c>
      <c r="AP161" s="307">
        <v>1.1015675078883833</v>
      </c>
      <c r="AQ161" s="307">
        <v>1.0603870561922066</v>
      </c>
      <c r="AR161" s="307">
        <v>1.1396169053222787</v>
      </c>
    </row>
    <row r="162" spans="1:44" s="308" customFormat="1" hidden="1" outlineLevel="1" x14ac:dyDescent="0.3">
      <c r="A162" s="306">
        <v>1925</v>
      </c>
      <c r="B162" s="307">
        <v>0.88118328806945234</v>
      </c>
      <c r="C162" s="307">
        <v>1.0149458339125776</v>
      </c>
      <c r="D162" s="307">
        <v>0.80228263255697208</v>
      </c>
      <c r="E162" s="307">
        <v>0.99962134911588829</v>
      </c>
      <c r="F162" s="307">
        <v>0.98687645664236201</v>
      </c>
      <c r="G162" s="307">
        <v>0.92959933845892029</v>
      </c>
      <c r="H162" s="307">
        <v>0.93561117976655173</v>
      </c>
      <c r="I162" s="307">
        <v>0.84682467414799201</v>
      </c>
      <c r="J162" s="307">
        <v>0.98301954686584392</v>
      </c>
      <c r="K162" s="307">
        <v>1.0044177178344493</v>
      </c>
      <c r="L162" s="307">
        <v>1.0180831375367085</v>
      </c>
      <c r="M162" s="307">
        <v>0.80097512717125885</v>
      </c>
      <c r="N162" s="307">
        <v>0.92136370987360572</v>
      </c>
      <c r="O162" s="307">
        <v>0.97900486819867716</v>
      </c>
      <c r="P162" s="307">
        <v>0.98630004022738715</v>
      </c>
      <c r="Q162" s="307">
        <v>0.94672508500658492</v>
      </c>
      <c r="R162" s="307">
        <v>1.0020506361079291</v>
      </c>
      <c r="S162" s="307">
        <v>0.92017309989409002</v>
      </c>
      <c r="T162" s="307">
        <v>0.86171688118680212</v>
      </c>
      <c r="U162" s="307">
        <v>0.9261188184005904</v>
      </c>
      <c r="V162" s="307">
        <v>1.0090808307467551</v>
      </c>
      <c r="W162" s="307">
        <v>0.95323347671877723</v>
      </c>
      <c r="X162" s="307">
        <v>0.96714968871587237</v>
      </c>
      <c r="Y162" s="307">
        <v>0.90859337045566313</v>
      </c>
      <c r="Z162" s="307">
        <v>0.94626656974102052</v>
      </c>
      <c r="AA162" s="307">
        <v>0.94469453066372577</v>
      </c>
      <c r="AB162" s="307">
        <v>0.92963894773431999</v>
      </c>
      <c r="AC162" s="307">
        <v>0.95918566161425434</v>
      </c>
      <c r="AD162" s="307">
        <v>0.89234876673111474</v>
      </c>
      <c r="AE162" s="307">
        <v>0.95494185744135007</v>
      </c>
      <c r="AF162" s="307">
        <v>0.93961978451328843</v>
      </c>
      <c r="AG162" s="307">
        <v>1.0374630784672936</v>
      </c>
      <c r="AH162" s="307">
        <v>1.0799103312619747</v>
      </c>
      <c r="AI162" s="307">
        <v>1.0234699796430853</v>
      </c>
      <c r="AJ162" s="307">
        <v>1.0232788207614534</v>
      </c>
      <c r="AK162" s="307">
        <v>1.010165089743956</v>
      </c>
      <c r="AL162" s="307">
        <v>1.0673923987976728</v>
      </c>
      <c r="AM162" s="307">
        <v>1.0195356017000115</v>
      </c>
      <c r="AN162" s="307">
        <v>1.0573377696951836</v>
      </c>
      <c r="AO162" s="307">
        <v>1.0261113274243865</v>
      </c>
      <c r="AP162" s="307">
        <v>1.0896163845749978</v>
      </c>
      <c r="AQ162" s="307">
        <v>1.027277273762887</v>
      </c>
      <c r="AR162" s="307">
        <v>1.0457109410630612</v>
      </c>
    </row>
    <row r="163" spans="1:44" s="308" customFormat="1" hidden="1" outlineLevel="1" x14ac:dyDescent="0.3">
      <c r="A163" s="306">
        <v>1926</v>
      </c>
      <c r="B163" s="307">
        <v>1.0866949731993623</v>
      </c>
      <c r="C163" s="307">
        <v>1.0592893757408568</v>
      </c>
      <c r="D163" s="307">
        <v>1.0948199463654471</v>
      </c>
      <c r="E163" s="307">
        <v>1.029062361218902</v>
      </c>
      <c r="F163" s="307">
        <v>1.0604814178621456</v>
      </c>
      <c r="G163" s="307">
        <v>1.0090802340553062</v>
      </c>
      <c r="H163" s="307">
        <v>1.1051108811725221</v>
      </c>
      <c r="I163" s="307">
        <v>1.0220858459034008</v>
      </c>
      <c r="J163" s="307">
        <v>1.0881753607761719</v>
      </c>
      <c r="K163" s="307">
        <v>1.0641307469598362</v>
      </c>
      <c r="L163" s="307">
        <v>1.0662899015806144</v>
      </c>
      <c r="M163" s="307">
        <v>1.097138658153251</v>
      </c>
      <c r="N163" s="307">
        <v>1.0347830579353148</v>
      </c>
      <c r="O163" s="307">
        <v>1.0853462543827115</v>
      </c>
      <c r="P163" s="307">
        <v>1.0860184681258007</v>
      </c>
      <c r="Q163" s="307">
        <v>1.1080107905539125</v>
      </c>
      <c r="R163" s="307">
        <v>1.0934613916030405</v>
      </c>
      <c r="S163" s="307">
        <v>1.050581010007851</v>
      </c>
      <c r="T163" s="307">
        <v>1.0756230836077594</v>
      </c>
      <c r="U163" s="307">
        <v>1.0511493157318355</v>
      </c>
      <c r="V163" s="307">
        <v>1.0641993234319811</v>
      </c>
      <c r="W163" s="307">
        <v>1.0694595176063593</v>
      </c>
      <c r="X163" s="307">
        <v>1.0642507580917513</v>
      </c>
      <c r="Y163" s="307">
        <v>1.0361290623014969</v>
      </c>
      <c r="Z163" s="307">
        <v>1.1282798646354453</v>
      </c>
      <c r="AA163" s="307">
        <v>1.0754363702771685</v>
      </c>
      <c r="AB163" s="307">
        <v>1.0878543596122936</v>
      </c>
      <c r="AC163" s="307">
        <v>1.1375538616730236</v>
      </c>
      <c r="AD163" s="307">
        <v>1.0896198617998072</v>
      </c>
      <c r="AE163" s="307">
        <v>1.0819573160041147</v>
      </c>
      <c r="AF163" s="307">
        <v>1.0907564532609886</v>
      </c>
      <c r="AG163" s="307">
        <v>1.0502594233246785</v>
      </c>
      <c r="AH163" s="307">
        <v>1.0566222688439468</v>
      </c>
      <c r="AI163" s="307">
        <v>0.99308301809774713</v>
      </c>
      <c r="AJ163" s="307">
        <v>1.0269439500936581</v>
      </c>
      <c r="AK163" s="307">
        <v>1.0052754340168881</v>
      </c>
      <c r="AL163" s="307">
        <v>1.0361397485612529</v>
      </c>
      <c r="AM163" s="307">
        <v>1.0136412554057672</v>
      </c>
      <c r="AN163" s="307">
        <v>1.0457811493428464</v>
      </c>
      <c r="AO163" s="307">
        <v>1.0214080672820358</v>
      </c>
      <c r="AP163" s="307">
        <v>1.0488314090570805</v>
      </c>
      <c r="AQ163" s="307">
        <v>1.0401538179458385</v>
      </c>
      <c r="AR163" s="307">
        <v>1.0518518346977475</v>
      </c>
    </row>
    <row r="164" spans="1:44" s="308" customFormat="1" hidden="1" outlineLevel="1" x14ac:dyDescent="0.3">
      <c r="A164" s="306">
        <v>1927</v>
      </c>
      <c r="B164" s="307">
        <v>0.96218233296288003</v>
      </c>
      <c r="C164" s="307">
        <v>0.99387193318112899</v>
      </c>
      <c r="D164" s="307">
        <v>0.92450891714297667</v>
      </c>
      <c r="E164" s="307">
        <v>0.99432068967000942</v>
      </c>
      <c r="F164" s="307">
        <v>0.97054100528909082</v>
      </c>
      <c r="G164" s="307">
        <v>0.90966662103463858</v>
      </c>
      <c r="H164" s="307">
        <v>1.0030162349499052</v>
      </c>
      <c r="I164" s="307">
        <v>0.92638885072328281</v>
      </c>
      <c r="J164" s="307">
        <v>0.98254460288467982</v>
      </c>
      <c r="K164" s="307">
        <v>0.99563062961193172</v>
      </c>
      <c r="L164" s="307">
        <v>0.98983727470115468</v>
      </c>
      <c r="M164" s="307">
        <v>0.92279481301501376</v>
      </c>
      <c r="N164" s="307">
        <v>0.94978544144247357</v>
      </c>
      <c r="O164" s="307">
        <v>1.0179616847622444</v>
      </c>
      <c r="P164" s="307">
        <v>1.0076353600596262</v>
      </c>
      <c r="Q164" s="307">
        <v>0.97851506478063166</v>
      </c>
      <c r="R164" s="307">
        <v>1.000075491703899</v>
      </c>
      <c r="S164" s="307">
        <v>0.96514001492962009</v>
      </c>
      <c r="T164" s="307">
        <v>0.96990472385768223</v>
      </c>
      <c r="U164" s="307">
        <v>0.96925401615496498</v>
      </c>
      <c r="V164" s="307">
        <v>0.99999583144690474</v>
      </c>
      <c r="W164" s="307">
        <v>0.99978553447972762</v>
      </c>
      <c r="X164" s="307">
        <v>0.96773676426803834</v>
      </c>
      <c r="Y164" s="307">
        <v>0.922435451465064</v>
      </c>
      <c r="Z164" s="307">
        <v>0.96541210749153805</v>
      </c>
      <c r="AA164" s="307">
        <v>0.98936500893281876</v>
      </c>
      <c r="AB164" s="307">
        <v>0.95245245652663701</v>
      </c>
      <c r="AC164" s="307">
        <v>0.98985979294877913</v>
      </c>
      <c r="AD164" s="307">
        <v>0.93197582387648981</v>
      </c>
      <c r="AE164" s="307">
        <v>1.001181442509874</v>
      </c>
      <c r="AF164" s="307">
        <v>1.0217411200108972</v>
      </c>
      <c r="AG164" s="307">
        <v>0.97730245693754847</v>
      </c>
      <c r="AH164" s="307">
        <v>1.0140215687940528</v>
      </c>
      <c r="AI164" s="307">
        <v>0.93965906089591034</v>
      </c>
      <c r="AJ164" s="307">
        <v>0.94537557095235469</v>
      </c>
      <c r="AK164" s="307">
        <v>0.9134509586779771</v>
      </c>
      <c r="AL164" s="307">
        <v>0.98889224361900008</v>
      </c>
      <c r="AM164" s="307">
        <v>0.91636350357062368</v>
      </c>
      <c r="AN164" s="307">
        <v>0.9537706895892043</v>
      </c>
      <c r="AO164" s="307">
        <v>0.94539919770632863</v>
      </c>
      <c r="AP164" s="307">
        <v>1.0265452024940709</v>
      </c>
      <c r="AQ164" s="307">
        <v>0.91874109370352386</v>
      </c>
      <c r="AR164" s="307">
        <v>1.0396108602861271</v>
      </c>
    </row>
    <row r="165" spans="1:44" s="308" customFormat="1" hidden="1" outlineLevel="1" x14ac:dyDescent="0.3">
      <c r="A165" s="306">
        <v>1928</v>
      </c>
      <c r="B165" s="307">
        <v>1.0632449606619654</v>
      </c>
      <c r="C165" s="307">
        <v>1.0684351817511359</v>
      </c>
      <c r="D165" s="307">
        <v>1.070277131130779</v>
      </c>
      <c r="E165" s="307">
        <v>1.0452091491293403</v>
      </c>
      <c r="F165" s="307">
        <v>1.060005344837323</v>
      </c>
      <c r="G165" s="307">
        <v>0.98651735435366572</v>
      </c>
      <c r="H165" s="307">
        <v>1.0797917927631742</v>
      </c>
      <c r="I165" s="307">
        <v>1.0415168193033661</v>
      </c>
      <c r="J165" s="307">
        <v>1.0660006661588841</v>
      </c>
      <c r="K165" s="307">
        <v>1.0655694060155567</v>
      </c>
      <c r="L165" s="307">
        <v>1.063576765866671</v>
      </c>
      <c r="M165" s="307">
        <v>1.071190498014805</v>
      </c>
      <c r="N165" s="307">
        <v>1.0150113410691584</v>
      </c>
      <c r="O165" s="307">
        <v>1.1091654145424701</v>
      </c>
      <c r="P165" s="307">
        <v>1.1019254927609821</v>
      </c>
      <c r="Q165" s="307">
        <v>1.0916077489703497</v>
      </c>
      <c r="R165" s="307">
        <v>1.1153577888422879</v>
      </c>
      <c r="S165" s="307">
        <v>1.0655057065076368</v>
      </c>
      <c r="T165" s="307">
        <v>1.0796742601348617</v>
      </c>
      <c r="U165" s="307">
        <v>1.0166354464155052</v>
      </c>
      <c r="V165" s="307">
        <v>1.0732464722187718</v>
      </c>
      <c r="W165" s="307">
        <v>1.0844822457196812</v>
      </c>
      <c r="X165" s="307">
        <v>1.0584071874168295</v>
      </c>
      <c r="Y165" s="307">
        <v>1.0022587757313326</v>
      </c>
      <c r="Z165" s="307">
        <v>0.98080041513743177</v>
      </c>
      <c r="AA165" s="307">
        <v>1.0422112994449999</v>
      </c>
      <c r="AB165" s="307">
        <v>0.98043171633466264</v>
      </c>
      <c r="AC165" s="307">
        <v>1.0796016228009158</v>
      </c>
      <c r="AD165" s="307">
        <v>1.0064074296251291</v>
      </c>
      <c r="AE165" s="307">
        <v>1.1120048885948615</v>
      </c>
      <c r="AF165" s="307">
        <v>1.1132167658604559</v>
      </c>
      <c r="AG165" s="307">
        <v>1.0451824105760026</v>
      </c>
      <c r="AH165" s="307">
        <v>1.0599371245568792</v>
      </c>
      <c r="AI165" s="307">
        <v>1.0444980401925865</v>
      </c>
      <c r="AJ165" s="307">
        <v>1.0299511689984424</v>
      </c>
      <c r="AK165" s="307">
        <v>1.0437827806685118</v>
      </c>
      <c r="AL165" s="307">
        <v>1.0802814539076211</v>
      </c>
      <c r="AM165" s="307">
        <v>1.0356140101256881</v>
      </c>
      <c r="AN165" s="307">
        <v>1.0614136079062999</v>
      </c>
      <c r="AO165" s="307">
        <v>1.0365963897550676</v>
      </c>
      <c r="AP165" s="307">
        <v>1.103000718220442</v>
      </c>
      <c r="AQ165" s="307">
        <v>1.0315806445850531</v>
      </c>
      <c r="AR165" s="307">
        <v>1.0969530547090012</v>
      </c>
    </row>
    <row r="166" spans="1:44" s="308" customFormat="1" hidden="1" outlineLevel="1" x14ac:dyDescent="0.3">
      <c r="A166" s="306">
        <v>1929</v>
      </c>
      <c r="B166" s="307">
        <v>1.1107362255159976</v>
      </c>
      <c r="C166" s="307">
        <v>1.1398539434578914</v>
      </c>
      <c r="D166" s="307">
        <v>1.0971252334892494</v>
      </c>
      <c r="E166" s="307">
        <v>1.1091683109973847</v>
      </c>
      <c r="F166" s="307">
        <v>1.1544675146824028</v>
      </c>
      <c r="G166" s="307">
        <v>1.0786817184528523</v>
      </c>
      <c r="H166" s="307">
        <v>1.1214780601051584</v>
      </c>
      <c r="I166" s="307">
        <v>1.157759614991658</v>
      </c>
      <c r="J166" s="307">
        <v>1.110151760731158</v>
      </c>
      <c r="K166" s="307">
        <v>1.1416495727376095</v>
      </c>
      <c r="L166" s="307">
        <v>1.1204098306752688</v>
      </c>
      <c r="M166" s="307">
        <v>1.096028849422134</v>
      </c>
      <c r="N166" s="307">
        <v>1.1424845844577782</v>
      </c>
      <c r="O166" s="307">
        <v>1.1244954015945161</v>
      </c>
      <c r="P166" s="307">
        <v>1.1172334695391026</v>
      </c>
      <c r="Q166" s="307">
        <v>1.1268248359533384</v>
      </c>
      <c r="R166" s="307">
        <v>1.1208810433295757</v>
      </c>
      <c r="S166" s="307">
        <v>1.0987391876670431</v>
      </c>
      <c r="T166" s="307">
        <v>1.1030323031336964</v>
      </c>
      <c r="U166" s="307">
        <v>1.1049220873793191</v>
      </c>
      <c r="V166" s="307">
        <v>1.0991232501613808</v>
      </c>
      <c r="W166" s="307">
        <v>1.0966386516948445</v>
      </c>
      <c r="X166" s="307">
        <v>1.1085758162132571</v>
      </c>
      <c r="Y166" s="307">
        <v>1.1102700790240647</v>
      </c>
      <c r="Z166" s="307">
        <v>1.1960733643493084</v>
      </c>
      <c r="AA166" s="307">
        <v>1.1678316627053482</v>
      </c>
      <c r="AB166" s="307">
        <v>1.1765169413181427</v>
      </c>
      <c r="AC166" s="307">
        <v>1.1174034389537864</v>
      </c>
      <c r="AD166" s="307">
        <v>1.1318617611620805</v>
      </c>
      <c r="AE166" s="307">
        <v>1.1762586919144025</v>
      </c>
      <c r="AF166" s="307">
        <v>1.217689356683219</v>
      </c>
      <c r="AG166" s="307">
        <v>1.1195887067393886</v>
      </c>
      <c r="AH166" s="307">
        <v>1.1668532316457307</v>
      </c>
      <c r="AI166" s="307">
        <v>1.0042036995232562</v>
      </c>
      <c r="AJ166" s="307">
        <v>1.0696678752053581</v>
      </c>
      <c r="AK166" s="307">
        <v>1.0312332204572745</v>
      </c>
      <c r="AL166" s="307">
        <v>1.1531160736116892</v>
      </c>
      <c r="AM166" s="307">
        <v>1.0175344618931601</v>
      </c>
      <c r="AN166" s="307">
        <v>1.0940012700954447</v>
      </c>
      <c r="AO166" s="307">
        <v>1.089227239607329</v>
      </c>
      <c r="AP166" s="307">
        <v>1.1842878549075118</v>
      </c>
      <c r="AQ166" s="307">
        <v>1.0451856641509232</v>
      </c>
      <c r="AR166" s="307">
        <v>1.2199608634575019</v>
      </c>
    </row>
    <row r="167" spans="1:44" s="308" customFormat="1" hidden="1" outlineLevel="1" x14ac:dyDescent="0.3">
      <c r="A167" s="306">
        <v>1930</v>
      </c>
      <c r="B167" s="307">
        <v>1.0339319289082591</v>
      </c>
      <c r="C167" s="307">
        <v>1.0319067656916765</v>
      </c>
      <c r="D167" s="307">
        <v>1.0067206588493722</v>
      </c>
      <c r="E167" s="307">
        <v>1.0221651176025781</v>
      </c>
      <c r="F167" s="307">
        <v>1.0353660498328485</v>
      </c>
      <c r="G167" s="307">
        <v>1.03519709336313</v>
      </c>
      <c r="H167" s="307">
        <v>1.0638365412175574</v>
      </c>
      <c r="I167" s="307">
        <v>0.99214658627496843</v>
      </c>
      <c r="J167" s="307">
        <v>1.0277289510537153</v>
      </c>
      <c r="K167" s="307">
        <v>1.0347465303644321</v>
      </c>
      <c r="L167" s="307">
        <v>1.0293742780844635</v>
      </c>
      <c r="M167" s="307">
        <v>1.0076217622979056</v>
      </c>
      <c r="N167" s="307">
        <v>1.0014646363393331</v>
      </c>
      <c r="O167" s="307">
        <v>1.0703370171747968</v>
      </c>
      <c r="P167" s="307">
        <v>1.0687474576006966</v>
      </c>
      <c r="Q167" s="307">
        <v>1.0697962798467073</v>
      </c>
      <c r="R167" s="307">
        <v>1.0973669938861226</v>
      </c>
      <c r="S167" s="307">
        <v>1.0571274369609225</v>
      </c>
      <c r="T167" s="307">
        <v>1.0340602574241624</v>
      </c>
      <c r="U167" s="307">
        <v>1.0204052920321935</v>
      </c>
      <c r="V167" s="307">
        <v>1.0287023693569426</v>
      </c>
      <c r="W167" s="307">
        <v>1.0432938451744891</v>
      </c>
      <c r="X167" s="307">
        <v>1.0301588443112895</v>
      </c>
      <c r="Y167" s="307">
        <v>0.99409764902199615</v>
      </c>
      <c r="Z167" s="307">
        <v>0.99658078157685137</v>
      </c>
      <c r="AA167" s="307">
        <v>1.0243204293938115</v>
      </c>
      <c r="AB167" s="307">
        <v>0.99882348380287611</v>
      </c>
      <c r="AC167" s="307">
        <v>1.0302026137686502</v>
      </c>
      <c r="AD167" s="307">
        <v>1.0265571488046974</v>
      </c>
      <c r="AE167" s="307">
        <v>1.054696029388726</v>
      </c>
      <c r="AF167" s="307">
        <v>1.0347846547004811</v>
      </c>
      <c r="AG167" s="307">
        <v>1.017250084480436</v>
      </c>
      <c r="AH167" s="307">
        <v>1.0083646954578531</v>
      </c>
      <c r="AI167" s="307">
        <v>0.95541404814480402</v>
      </c>
      <c r="AJ167" s="307">
        <v>0.95272063653527317</v>
      </c>
      <c r="AK167" s="307">
        <v>0.92732505158584488</v>
      </c>
      <c r="AL167" s="307">
        <v>1.0075874090105614</v>
      </c>
      <c r="AM167" s="307">
        <v>0.95684082474289323</v>
      </c>
      <c r="AN167" s="307">
        <v>1.0214724038096883</v>
      </c>
      <c r="AO167" s="307">
        <v>0.94505834227915075</v>
      </c>
      <c r="AP167" s="307">
        <v>1.0499834656473102</v>
      </c>
      <c r="AQ167" s="307">
        <v>0.91124240384551913</v>
      </c>
      <c r="AR167" s="307">
        <v>1.0499745834749603</v>
      </c>
    </row>
    <row r="168" spans="1:44" s="308" customFormat="1" hidden="1" outlineLevel="1" x14ac:dyDescent="0.3">
      <c r="A168" s="306">
        <v>1931</v>
      </c>
      <c r="B168" s="307">
        <v>1.0620425051304367</v>
      </c>
      <c r="C168" s="307">
        <v>1.0576982794265994</v>
      </c>
      <c r="D168" s="307">
        <v>1.0564634491028149</v>
      </c>
      <c r="E168" s="307">
        <v>1.067337805731714</v>
      </c>
      <c r="F168" s="307">
        <v>1.0660166136937863</v>
      </c>
      <c r="G168" s="307">
        <v>1.0613139526709539</v>
      </c>
      <c r="H168" s="307">
        <v>1.0560672185646987</v>
      </c>
      <c r="I168" s="307">
        <v>1.0357498910315246</v>
      </c>
      <c r="J168" s="307">
        <v>1.0240202515725219</v>
      </c>
      <c r="K168" s="307">
        <v>1.0706852162604654</v>
      </c>
      <c r="L168" s="307">
        <v>1.0402069838788359</v>
      </c>
      <c r="M168" s="307">
        <v>1.0565776476467192</v>
      </c>
      <c r="N168" s="307">
        <v>1.0580289608402658</v>
      </c>
      <c r="O168" s="307">
        <v>1.0988858707208287</v>
      </c>
      <c r="P168" s="307">
        <v>1.0938337386302235</v>
      </c>
      <c r="Q168" s="307">
        <v>1.0684505111296025</v>
      </c>
      <c r="R168" s="307">
        <v>1.1198711278650715</v>
      </c>
      <c r="S168" s="307">
        <v>1.1052277669592627</v>
      </c>
      <c r="T168" s="307">
        <v>1.0835111426894977</v>
      </c>
      <c r="U168" s="307">
        <v>1.0911181671211752</v>
      </c>
      <c r="V168" s="307">
        <v>1.016200951428609</v>
      </c>
      <c r="W168" s="307">
        <v>1.068980472544302</v>
      </c>
      <c r="X168" s="307">
        <v>1.0828342441911505</v>
      </c>
      <c r="Y168" s="307">
        <v>1.0402673203987229</v>
      </c>
      <c r="Z168" s="307">
        <v>1.0452287435401972</v>
      </c>
      <c r="AA168" s="307">
        <v>1.0762043065684677</v>
      </c>
      <c r="AB168" s="307">
        <v>1.045152054261099</v>
      </c>
      <c r="AC168" s="307">
        <v>1.0875296442656559</v>
      </c>
      <c r="AD168" s="307">
        <v>1.1183722712195265</v>
      </c>
      <c r="AE168" s="307">
        <v>1.0857646796620262</v>
      </c>
      <c r="AF168" s="307">
        <v>1.1256015777984105</v>
      </c>
      <c r="AG168" s="307">
        <v>1.0013292985939259</v>
      </c>
      <c r="AH168" s="307">
        <v>1.0013146218944791</v>
      </c>
      <c r="AI168" s="307">
        <v>0.94038123464859846</v>
      </c>
      <c r="AJ168" s="307">
        <v>0.95541516099888879</v>
      </c>
      <c r="AK168" s="307">
        <v>0.93386338345945352</v>
      </c>
      <c r="AL168" s="307">
        <v>1.0359644181785304</v>
      </c>
      <c r="AM168" s="307">
        <v>0.93137422690318039</v>
      </c>
      <c r="AN168" s="307">
        <v>0.93274688339188561</v>
      </c>
      <c r="AO168" s="307">
        <v>0.99972549304082126</v>
      </c>
      <c r="AP168" s="307">
        <v>1.0401955029203316</v>
      </c>
      <c r="AQ168" s="307">
        <v>0.93941378879352833</v>
      </c>
      <c r="AR168" s="307">
        <v>1.1008262287973212</v>
      </c>
    </row>
    <row r="169" spans="1:44" s="308" customFormat="1" hidden="1" outlineLevel="1" x14ac:dyDescent="0.3">
      <c r="A169" s="306">
        <v>1932</v>
      </c>
      <c r="B169" s="307">
        <v>1.0807101214653509</v>
      </c>
      <c r="C169" s="307">
        <v>1.1234710008538391</v>
      </c>
      <c r="D169" s="307">
        <v>1.0688586855976916</v>
      </c>
      <c r="E169" s="307">
        <v>1.1127765912225915</v>
      </c>
      <c r="F169" s="307">
        <v>1.1382339352906357</v>
      </c>
      <c r="G169" s="307">
        <v>1.097016775320226</v>
      </c>
      <c r="H169" s="307">
        <v>1.158732370213915</v>
      </c>
      <c r="I169" s="307">
        <v>1.1564702086925889</v>
      </c>
      <c r="J169" s="307">
        <v>1.1075854514909098</v>
      </c>
      <c r="K169" s="307">
        <v>1.1274400862982372</v>
      </c>
      <c r="L169" s="307">
        <v>1.1193610047848783</v>
      </c>
      <c r="M169" s="307">
        <v>1.0664459160765762</v>
      </c>
      <c r="N169" s="307">
        <v>1.1320718769630005</v>
      </c>
      <c r="O169" s="307">
        <v>1.1470144812947682</v>
      </c>
      <c r="P169" s="307">
        <v>1.1422644538433626</v>
      </c>
      <c r="Q169" s="307">
        <v>1.1096416112724159</v>
      </c>
      <c r="R169" s="307">
        <v>1.1479968266862601</v>
      </c>
      <c r="S169" s="307">
        <v>1.1214733183818333</v>
      </c>
      <c r="T169" s="307">
        <v>1.1238188184629345</v>
      </c>
      <c r="U169" s="307">
        <v>1.1196912721539956</v>
      </c>
      <c r="V169" s="307">
        <v>1.0489765620400195</v>
      </c>
      <c r="W169" s="307">
        <v>1.0870021636508542</v>
      </c>
      <c r="X169" s="307">
        <v>1.1207000649069976</v>
      </c>
      <c r="Y169" s="307">
        <v>1.1034344561575538</v>
      </c>
      <c r="Z169" s="307">
        <v>1.1434067997523218</v>
      </c>
      <c r="AA169" s="307">
        <v>1.1188177741397631</v>
      </c>
      <c r="AB169" s="307">
        <v>1.1332019637223982</v>
      </c>
      <c r="AC169" s="307">
        <v>1.1372938522048475</v>
      </c>
      <c r="AD169" s="307">
        <v>1.1657122552874337</v>
      </c>
      <c r="AE169" s="307">
        <v>1.159589046423497</v>
      </c>
      <c r="AF169" s="307">
        <v>1.1747224748925282</v>
      </c>
      <c r="AG169" s="307">
        <v>1.0702864566732191</v>
      </c>
      <c r="AH169" s="307">
        <v>1.0799823933426906</v>
      </c>
      <c r="AI169" s="307">
        <v>0.97041909260932069</v>
      </c>
      <c r="AJ169" s="307">
        <v>1.0814699828461352</v>
      </c>
      <c r="AK169" s="307">
        <v>1.0078426827351297</v>
      </c>
      <c r="AL169" s="307">
        <v>1.1100780844666642</v>
      </c>
      <c r="AM169" s="307">
        <v>1.0105741929154459</v>
      </c>
      <c r="AN169" s="307">
        <v>1.0320453330980366</v>
      </c>
      <c r="AO169" s="307">
        <v>1.0682207157829526</v>
      </c>
      <c r="AP169" s="307">
        <v>1.1142293524218634</v>
      </c>
      <c r="AQ169" s="307">
        <v>1.031771289807615</v>
      </c>
      <c r="AR169" s="307">
        <v>1.1616818291844644</v>
      </c>
    </row>
    <row r="170" spans="1:44" s="308" customFormat="1" hidden="1" outlineLevel="1" x14ac:dyDescent="0.3">
      <c r="A170" s="306">
        <v>1933</v>
      </c>
      <c r="B170" s="307">
        <v>1.0538100145506075</v>
      </c>
      <c r="C170" s="307">
        <v>1.0721530532633732</v>
      </c>
      <c r="D170" s="307">
        <v>1.0064127848958562</v>
      </c>
      <c r="E170" s="307">
        <v>1.0619094195521996</v>
      </c>
      <c r="F170" s="307">
        <v>1.0937497204134987</v>
      </c>
      <c r="G170" s="307">
        <v>1.0694870189212591</v>
      </c>
      <c r="H170" s="307">
        <v>1.071106041318701</v>
      </c>
      <c r="I170" s="307">
        <v>1.0429339462372149</v>
      </c>
      <c r="J170" s="307">
        <v>1.0481335381611252</v>
      </c>
      <c r="K170" s="307">
        <v>1.0736859682941813</v>
      </c>
      <c r="L170" s="307">
        <v>1.0603870948687</v>
      </c>
      <c r="M170" s="307">
        <v>1.0070061541180713</v>
      </c>
      <c r="N170" s="307">
        <v>1.056176850910145</v>
      </c>
      <c r="O170" s="307">
        <v>1.0906871013158994</v>
      </c>
      <c r="P170" s="307">
        <v>1.0966815199814814</v>
      </c>
      <c r="Q170" s="307">
        <v>1.059269027153672</v>
      </c>
      <c r="R170" s="307">
        <v>1.081288782199018</v>
      </c>
      <c r="S170" s="307">
        <v>1.1090457125754871</v>
      </c>
      <c r="T170" s="307">
        <v>1.055377405447127</v>
      </c>
      <c r="U170" s="307">
        <v>1.073292705893822</v>
      </c>
      <c r="V170" s="307">
        <v>1.039256939021646</v>
      </c>
      <c r="W170" s="307">
        <v>1.0745878543600316</v>
      </c>
      <c r="X170" s="307">
        <v>1.0677608429999532</v>
      </c>
      <c r="Y170" s="307">
        <v>1.0404235870341061</v>
      </c>
      <c r="Z170" s="307">
        <v>1.0672493791099051</v>
      </c>
      <c r="AA170" s="307">
        <v>1.0681850393533294</v>
      </c>
      <c r="AB170" s="307">
        <v>1.0445520706734828</v>
      </c>
      <c r="AC170" s="307">
        <v>1.0932419025798772</v>
      </c>
      <c r="AD170" s="307">
        <v>1.0847378235691754</v>
      </c>
      <c r="AE170" s="307">
        <v>1.0950418314192134</v>
      </c>
      <c r="AF170" s="307">
        <v>1.1060506888575536</v>
      </c>
      <c r="AG170" s="307">
        <v>1.0586846973429944</v>
      </c>
      <c r="AH170" s="307">
        <v>1.0242663946024992</v>
      </c>
      <c r="AI170" s="307">
        <v>1.0055416053738107</v>
      </c>
      <c r="AJ170" s="307">
        <v>1.0776657629749935</v>
      </c>
      <c r="AK170" s="307">
        <v>1.0412754504820894</v>
      </c>
      <c r="AL170" s="307">
        <v>1.0730522972321237</v>
      </c>
      <c r="AM170" s="307">
        <v>1.0279080994476637</v>
      </c>
      <c r="AN170" s="307">
        <v>1.034489961047359</v>
      </c>
      <c r="AO170" s="307">
        <v>1.0758872851453856</v>
      </c>
      <c r="AP170" s="307">
        <v>1.0653481513771432</v>
      </c>
      <c r="AQ170" s="307">
        <v>1.0459122409940074</v>
      </c>
      <c r="AR170" s="307">
        <v>1.0828479933423112</v>
      </c>
    </row>
    <row r="171" spans="1:44" s="308" customFormat="1" hidden="1" outlineLevel="1" x14ac:dyDescent="0.3">
      <c r="A171" s="306">
        <v>1934</v>
      </c>
      <c r="B171" s="307">
        <v>1.0806513837219056</v>
      </c>
      <c r="C171" s="307">
        <v>1.0964417291811779</v>
      </c>
      <c r="D171" s="307">
        <v>1.0130857276157328</v>
      </c>
      <c r="E171" s="307">
        <v>1.069594311359277</v>
      </c>
      <c r="F171" s="307">
        <v>1.101636354084373</v>
      </c>
      <c r="G171" s="307">
        <v>1.0405769707486368</v>
      </c>
      <c r="H171" s="307">
        <v>1.1244163213624065</v>
      </c>
      <c r="I171" s="307">
        <v>1.0628924972444316</v>
      </c>
      <c r="J171" s="307">
        <v>1.0914359458623846</v>
      </c>
      <c r="K171" s="307">
        <v>1.0969536541121871</v>
      </c>
      <c r="L171" s="307">
        <v>1.0895845286306589</v>
      </c>
      <c r="M171" s="307">
        <v>1.0141048182824368</v>
      </c>
      <c r="N171" s="307">
        <v>1.0802804468751299</v>
      </c>
      <c r="O171" s="307">
        <v>1.0800449334195807</v>
      </c>
      <c r="P171" s="307">
        <v>1.0543518767894837</v>
      </c>
      <c r="Q171" s="307">
        <v>1.1341443598551371</v>
      </c>
      <c r="R171" s="307">
        <v>1.0924246642235496</v>
      </c>
      <c r="S171" s="307">
        <v>1.1621402239607068</v>
      </c>
      <c r="T171" s="307">
        <v>1.1350947632046173</v>
      </c>
      <c r="U171" s="307">
        <v>1.0769982864061265</v>
      </c>
      <c r="V171" s="307">
        <v>1.0570868455621423</v>
      </c>
      <c r="W171" s="307">
        <v>1.0969735452449489</v>
      </c>
      <c r="X171" s="307">
        <v>1.0793733359437991</v>
      </c>
      <c r="Y171" s="307">
        <v>1.0354828175642519</v>
      </c>
      <c r="Z171" s="307">
        <v>1.0972092052485134</v>
      </c>
      <c r="AA171" s="307">
        <v>1.0672399442453697</v>
      </c>
      <c r="AB171" s="307">
        <v>1.0769664471341822</v>
      </c>
      <c r="AC171" s="307">
        <v>1.0909577886881352</v>
      </c>
      <c r="AD171" s="307">
        <v>1.1107376810932812</v>
      </c>
      <c r="AE171" s="307">
        <v>1.0910087286453756</v>
      </c>
      <c r="AF171" s="307">
        <v>1.0924082107235791</v>
      </c>
      <c r="AG171" s="307">
        <v>1.0675548478037327</v>
      </c>
      <c r="AH171" s="307">
        <v>1.0435790322343654</v>
      </c>
      <c r="AI171" s="307">
        <v>1.0813370124569495</v>
      </c>
      <c r="AJ171" s="307">
        <v>1.0898992417524607</v>
      </c>
      <c r="AK171" s="307">
        <v>1.0833966027669744</v>
      </c>
      <c r="AL171" s="307">
        <v>1.0848582771437048</v>
      </c>
      <c r="AM171" s="307">
        <v>1.0556182460790826</v>
      </c>
      <c r="AN171" s="307">
        <v>1.0454057495988986</v>
      </c>
      <c r="AO171" s="307">
        <v>1.0655253272743093</v>
      </c>
      <c r="AP171" s="307">
        <v>1.0759258742138351</v>
      </c>
      <c r="AQ171" s="307">
        <v>1.0652245133100906</v>
      </c>
      <c r="AR171" s="307">
        <v>1.0967177968022199</v>
      </c>
    </row>
    <row r="172" spans="1:44" s="308" customFormat="1" hidden="1" outlineLevel="1" x14ac:dyDescent="0.3">
      <c r="A172" s="306">
        <v>1935</v>
      </c>
      <c r="B172" s="307">
        <v>1.0144470824191048</v>
      </c>
      <c r="C172" s="307">
        <v>0.99144509332714525</v>
      </c>
      <c r="D172" s="307">
        <v>0.98465754379565484</v>
      </c>
      <c r="E172" s="307">
        <v>0.96675300299365152</v>
      </c>
      <c r="F172" s="307">
        <v>0.97964251181054329</v>
      </c>
      <c r="G172" s="307">
        <v>0.9726709628604624</v>
      </c>
      <c r="H172" s="307">
        <v>0.99794183897658495</v>
      </c>
      <c r="I172" s="307">
        <v>0.94488142594910496</v>
      </c>
      <c r="J172" s="307">
        <v>0.99037614384879458</v>
      </c>
      <c r="K172" s="307">
        <v>0.99129415483978556</v>
      </c>
      <c r="L172" s="307">
        <v>0.98363314168895899</v>
      </c>
      <c r="M172" s="307">
        <v>0.98880379722376288</v>
      </c>
      <c r="N172" s="307">
        <v>0.95695096708939409</v>
      </c>
      <c r="O172" s="307">
        <v>1.0215719365548712</v>
      </c>
      <c r="P172" s="307">
        <v>0.98394992940353365</v>
      </c>
      <c r="Q172" s="307">
        <v>0.99994458665129471</v>
      </c>
      <c r="R172" s="307">
        <v>1.0241704659720667</v>
      </c>
      <c r="S172" s="307">
        <v>1.0226598723700089</v>
      </c>
      <c r="T172" s="307">
        <v>1.0093654282161328</v>
      </c>
      <c r="U172" s="307">
        <v>0.98170010344667824</v>
      </c>
      <c r="V172" s="307">
        <v>0.99456167142822649</v>
      </c>
      <c r="W172" s="307">
        <v>1.0119741665313187</v>
      </c>
      <c r="X172" s="307">
        <v>0.95831300974842137</v>
      </c>
      <c r="Y172" s="307">
        <v>0.94510453626743729</v>
      </c>
      <c r="Z172" s="307">
        <v>0.98439428741141977</v>
      </c>
      <c r="AA172" s="307">
        <v>0.95710425339536664</v>
      </c>
      <c r="AB172" s="307">
        <v>0.9544173849322064</v>
      </c>
      <c r="AC172" s="307">
        <v>1.0155216278663166</v>
      </c>
      <c r="AD172" s="307">
        <v>0.9728115062177265</v>
      </c>
      <c r="AE172" s="307">
        <v>1.0133594616819515</v>
      </c>
      <c r="AF172" s="307">
        <v>0.9551920484616917</v>
      </c>
      <c r="AG172" s="307">
        <v>0.95715140178171154</v>
      </c>
      <c r="AH172" s="307">
        <v>0.92877212730712067</v>
      </c>
      <c r="AI172" s="307">
        <v>0.96534224232124088</v>
      </c>
      <c r="AJ172" s="307">
        <v>0.9830231665794561</v>
      </c>
      <c r="AK172" s="307">
        <v>0.96440738793123026</v>
      </c>
      <c r="AL172" s="307">
        <v>0.97030099896191158</v>
      </c>
      <c r="AM172" s="307">
        <v>0.96285255337873443</v>
      </c>
      <c r="AN172" s="307">
        <v>0.95830579913433089</v>
      </c>
      <c r="AO172" s="307">
        <v>0.95801952382743194</v>
      </c>
      <c r="AP172" s="307">
        <v>0.97084390211504601</v>
      </c>
      <c r="AQ172" s="307">
        <v>0.94494669366887452</v>
      </c>
      <c r="AR172" s="307">
        <v>0.94163635648686883</v>
      </c>
    </row>
    <row r="173" spans="1:44" s="308" customFormat="1" hidden="1" outlineLevel="1" x14ac:dyDescent="0.3">
      <c r="A173" s="306">
        <v>1936</v>
      </c>
      <c r="B173" s="307">
        <v>1.1054564434765837</v>
      </c>
      <c r="C173" s="307">
        <v>1.0850224668285122</v>
      </c>
      <c r="D173" s="307">
        <v>1.0914912627407656</v>
      </c>
      <c r="E173" s="307">
        <v>1.0954802627094322</v>
      </c>
      <c r="F173" s="307">
        <v>1.0715782334307946</v>
      </c>
      <c r="G173" s="307">
        <v>1.0982992511414176</v>
      </c>
      <c r="H173" s="307">
        <v>1.1157896429842631</v>
      </c>
      <c r="I173" s="307">
        <v>1.1212321885909386</v>
      </c>
      <c r="J173" s="307">
        <v>1.123013416712511</v>
      </c>
      <c r="K173" s="307">
        <v>1.0849733715760623</v>
      </c>
      <c r="L173" s="307">
        <v>1.1009774794645222</v>
      </c>
      <c r="M173" s="307">
        <v>1.0929998754044408</v>
      </c>
      <c r="N173" s="307">
        <v>1.0924767436389229</v>
      </c>
      <c r="O173" s="307">
        <v>1.0673594547768286</v>
      </c>
      <c r="P173" s="307">
        <v>1.0325465347924738</v>
      </c>
      <c r="Q173" s="307">
        <v>1.0700679190950313</v>
      </c>
      <c r="R173" s="307">
        <v>1.0704388939343461</v>
      </c>
      <c r="S173" s="307">
        <v>1.0862440929230368</v>
      </c>
      <c r="T173" s="307">
        <v>1.0774292756614046</v>
      </c>
      <c r="U173" s="307">
        <v>1.0414514643732102</v>
      </c>
      <c r="V173" s="307">
        <v>1.024432392005215</v>
      </c>
      <c r="W173" s="307">
        <v>1.0592319676024833</v>
      </c>
      <c r="X173" s="307">
        <v>1.0303591083817003</v>
      </c>
      <c r="Y173" s="307">
        <v>1.057589632135685</v>
      </c>
      <c r="Z173" s="307">
        <v>1.1730725817957859</v>
      </c>
      <c r="AA173" s="307">
        <v>1.0833824328817678</v>
      </c>
      <c r="AB173" s="307">
        <v>1.1440440743796392</v>
      </c>
      <c r="AC173" s="307">
        <v>1.102998775378554</v>
      </c>
      <c r="AD173" s="307">
        <v>1.1199396272843023</v>
      </c>
      <c r="AE173" s="307">
        <v>1.0977817434432819</v>
      </c>
      <c r="AF173" s="307">
        <v>1.0941585497936299</v>
      </c>
      <c r="AG173" s="307">
        <v>1.0390252956192358</v>
      </c>
      <c r="AH173" s="307">
        <v>1.0160753380944565</v>
      </c>
      <c r="AI173" s="307">
        <v>0.99543715021487389</v>
      </c>
      <c r="AJ173" s="307">
        <v>1.0262271541072168</v>
      </c>
      <c r="AK173" s="307">
        <v>1.0071344175549437</v>
      </c>
      <c r="AL173" s="307">
        <v>1.0544104308875657</v>
      </c>
      <c r="AM173" s="307">
        <v>0.98509266629966163</v>
      </c>
      <c r="AN173" s="307">
        <v>1.0205984382233722</v>
      </c>
      <c r="AO173" s="307">
        <v>1.0375450024241453</v>
      </c>
      <c r="AP173" s="307">
        <v>1.067147860048401</v>
      </c>
      <c r="AQ173" s="307">
        <v>0.99566122831441717</v>
      </c>
      <c r="AR173" s="307">
        <v>1.0841222799770762</v>
      </c>
    </row>
    <row r="174" spans="1:44" s="308" customFormat="1" hidden="1" outlineLevel="1" x14ac:dyDescent="0.3">
      <c r="A174" s="306">
        <v>1937</v>
      </c>
      <c r="B174" s="307">
        <v>0.99329388372797922</v>
      </c>
      <c r="C174" s="307">
        <v>0.98132057188268851</v>
      </c>
      <c r="D174" s="307">
        <v>0.91862711824332854</v>
      </c>
      <c r="E174" s="307">
        <v>0.99018021472132101</v>
      </c>
      <c r="F174" s="307">
        <v>0.97650942539391306</v>
      </c>
      <c r="G174" s="307">
        <v>0.99420134084165213</v>
      </c>
      <c r="H174" s="307">
        <v>1.03355579960104</v>
      </c>
      <c r="I174" s="307">
        <v>0.98414389805610658</v>
      </c>
      <c r="J174" s="307">
        <v>1.0235843976799073</v>
      </c>
      <c r="K174" s="307">
        <v>0.97915363841519998</v>
      </c>
      <c r="L174" s="307">
        <v>0.99382705639702962</v>
      </c>
      <c r="M174" s="307">
        <v>0.92062429558083358</v>
      </c>
      <c r="N174" s="307">
        <v>0.98578940471054799</v>
      </c>
      <c r="O174" s="307">
        <v>1.0691481881967992</v>
      </c>
      <c r="P174" s="307">
        <v>1.0567572843386046</v>
      </c>
      <c r="Q174" s="307">
        <v>1.0211671195168834</v>
      </c>
      <c r="R174" s="307">
        <v>1.0645402726372426</v>
      </c>
      <c r="S174" s="307">
        <v>1.0343450998620891</v>
      </c>
      <c r="T174" s="307">
        <v>1.0318560908502226</v>
      </c>
      <c r="U174" s="307">
        <v>0.95813533091226832</v>
      </c>
      <c r="V174" s="307">
        <v>1.0200084119098118</v>
      </c>
      <c r="W174" s="307">
        <v>1.0321028110253934</v>
      </c>
      <c r="X174" s="307">
        <v>0.96386566504824012</v>
      </c>
      <c r="Y174" s="307">
        <v>0.96514094545319884</v>
      </c>
      <c r="Z174" s="307">
        <v>0.97841539081014894</v>
      </c>
      <c r="AA174" s="307">
        <v>0.98103677618027918</v>
      </c>
      <c r="AB174" s="307">
        <v>0.98280213089066626</v>
      </c>
      <c r="AC174" s="307">
        <v>1.0263845981151385</v>
      </c>
      <c r="AD174" s="307">
        <v>1.0191117202647315</v>
      </c>
      <c r="AE174" s="307">
        <v>1.0692443907266305</v>
      </c>
      <c r="AF174" s="307">
        <v>1.0649341872087428</v>
      </c>
      <c r="AG174" s="307">
        <v>1.0233067120059089</v>
      </c>
      <c r="AH174" s="307">
        <v>1.0065511330931691</v>
      </c>
      <c r="AI174" s="307">
        <v>1.0114350695108234</v>
      </c>
      <c r="AJ174" s="307">
        <v>1.0365336541756629</v>
      </c>
      <c r="AK174" s="307">
        <v>1.0116081002971953</v>
      </c>
      <c r="AL174" s="307">
        <v>1.0161959451736404</v>
      </c>
      <c r="AM174" s="307">
        <v>1.0009422840348465</v>
      </c>
      <c r="AN174" s="307">
        <v>0.99860322431543125</v>
      </c>
      <c r="AO174" s="307">
        <v>1.0340508980630003</v>
      </c>
      <c r="AP174" s="307">
        <v>1.0103400929177528</v>
      </c>
      <c r="AQ174" s="307">
        <v>1.0150434660623247</v>
      </c>
      <c r="AR174" s="307">
        <v>1.0147838590479279</v>
      </c>
    </row>
    <row r="175" spans="1:44" s="308" customFormat="1" hidden="1" outlineLevel="1" x14ac:dyDescent="0.3">
      <c r="A175" s="306">
        <v>1938</v>
      </c>
      <c r="B175" s="307">
        <v>0.97176462842838918</v>
      </c>
      <c r="C175" s="307">
        <v>0.99033660165709492</v>
      </c>
      <c r="D175" s="307">
        <v>0.92801318194245042</v>
      </c>
      <c r="E175" s="307">
        <v>0.96847731389773262</v>
      </c>
      <c r="F175" s="307">
        <v>0.98035569907315179</v>
      </c>
      <c r="G175" s="307">
        <v>0.95114058487927255</v>
      </c>
      <c r="H175" s="307">
        <v>0.99052693781971968</v>
      </c>
      <c r="I175" s="307">
        <v>0.98914148077631991</v>
      </c>
      <c r="J175" s="307">
        <v>0.9944768076895476</v>
      </c>
      <c r="K175" s="307">
        <v>0.98157109667581255</v>
      </c>
      <c r="L175" s="307">
        <v>0.98983101308862276</v>
      </c>
      <c r="M175" s="307">
        <v>0.93404819391615801</v>
      </c>
      <c r="N175" s="307">
        <v>0.96508523585662132</v>
      </c>
      <c r="O175" s="307">
        <v>0.97119139434715895</v>
      </c>
      <c r="P175" s="307">
        <v>0.96426429520843082</v>
      </c>
      <c r="Q175" s="307">
        <v>0.96957053616216049</v>
      </c>
      <c r="R175" s="307">
        <v>0.94772075903960851</v>
      </c>
      <c r="S175" s="307">
        <v>0.97365326235165561</v>
      </c>
      <c r="T175" s="307">
        <v>0.9297092973079184</v>
      </c>
      <c r="U175" s="307">
        <v>0.94486926880850897</v>
      </c>
      <c r="V175" s="307">
        <v>0.94272370418433837</v>
      </c>
      <c r="W175" s="307">
        <v>0.95666266731664651</v>
      </c>
      <c r="X175" s="307">
        <v>0.94583708417174261</v>
      </c>
      <c r="Y175" s="307">
        <v>0.92651237712227597</v>
      </c>
      <c r="Z175" s="307">
        <v>0.94430627577339066</v>
      </c>
      <c r="AA175" s="307">
        <v>0.9501563057589143</v>
      </c>
      <c r="AB175" s="307">
        <v>0.95673301810295486</v>
      </c>
      <c r="AC175" s="307">
        <v>0.93386646408395246</v>
      </c>
      <c r="AD175" s="307">
        <v>0.96709282119444961</v>
      </c>
      <c r="AE175" s="307">
        <v>0.99167791564514085</v>
      </c>
      <c r="AF175" s="307">
        <v>0.96745370317568591</v>
      </c>
      <c r="AG175" s="307">
        <v>0.93959734587550381</v>
      </c>
      <c r="AH175" s="307">
        <v>0.9172542047393597</v>
      </c>
      <c r="AI175" s="307">
        <v>0.95604840274210645</v>
      </c>
      <c r="AJ175" s="307">
        <v>0.95118944630920654</v>
      </c>
      <c r="AK175" s="307">
        <v>0.95724155274255529</v>
      </c>
      <c r="AL175" s="307">
        <v>0.96790965145632235</v>
      </c>
      <c r="AM175" s="307">
        <v>0.92678350214536642</v>
      </c>
      <c r="AN175" s="307">
        <v>0.93551521374127589</v>
      </c>
      <c r="AO175" s="307">
        <v>0.96661040467907089</v>
      </c>
      <c r="AP175" s="307">
        <v>0.96594168693321114</v>
      </c>
      <c r="AQ175" s="307">
        <v>0.95499204325471299</v>
      </c>
      <c r="AR175" s="307">
        <v>0.95420784777351741</v>
      </c>
    </row>
    <row r="176" spans="1:44" s="308" customFormat="1" hidden="1" outlineLevel="1" x14ac:dyDescent="0.3">
      <c r="A176" s="306">
        <v>1939</v>
      </c>
      <c r="B176" s="307">
        <v>1.0791514405642904</v>
      </c>
      <c r="C176" s="307">
        <v>1.0771589582322256</v>
      </c>
      <c r="D176" s="307">
        <v>1.0353442176688619</v>
      </c>
      <c r="E176" s="307">
        <v>1.034512035187356</v>
      </c>
      <c r="F176" s="307">
        <v>1.126452463982365</v>
      </c>
      <c r="G176" s="307">
        <v>1.1144823570545885</v>
      </c>
      <c r="H176" s="307">
        <v>1.0125380631362881</v>
      </c>
      <c r="I176" s="307">
        <v>1.124251474845642</v>
      </c>
      <c r="J176" s="307">
        <v>1.0521707947181738</v>
      </c>
      <c r="K176" s="307">
        <v>1.0783782765270873</v>
      </c>
      <c r="L176" s="307">
        <v>1.0609066041993005</v>
      </c>
      <c r="M176" s="307">
        <v>1.036833112590942</v>
      </c>
      <c r="N176" s="307">
        <v>1.1077233142113958</v>
      </c>
      <c r="O176" s="307">
        <v>1.0996561947967307</v>
      </c>
      <c r="P176" s="307">
        <v>1.1118696871881899</v>
      </c>
      <c r="Q176" s="307">
        <v>1.0557500902121804</v>
      </c>
      <c r="R176" s="307">
        <v>1.0851854471771045</v>
      </c>
      <c r="S176" s="307">
        <v>1.089049704474353</v>
      </c>
      <c r="T176" s="307">
        <v>1.0550406577761084</v>
      </c>
      <c r="U176" s="307">
        <v>1.0668139834635388</v>
      </c>
      <c r="V176" s="307">
        <v>1.0423209278927323</v>
      </c>
      <c r="W176" s="307">
        <v>1.0713901281563269</v>
      </c>
      <c r="X176" s="307">
        <v>1.0598794995672129</v>
      </c>
      <c r="Y176" s="307">
        <v>1.0434132420879452</v>
      </c>
      <c r="Z176" s="307">
        <v>1.0723461434257424</v>
      </c>
      <c r="AA176" s="307">
        <v>1.0677249504603672</v>
      </c>
      <c r="AB176" s="307">
        <v>1.0718010256071366</v>
      </c>
      <c r="AC176" s="307">
        <v>1.0812882561784727</v>
      </c>
      <c r="AD176" s="307">
        <v>1.0503398534713071</v>
      </c>
      <c r="AE176" s="307">
        <v>1.0627609417805801</v>
      </c>
      <c r="AF176" s="307">
        <v>0.99861702387186124</v>
      </c>
      <c r="AG176" s="307">
        <v>1.020551057326194</v>
      </c>
      <c r="AH176" s="307">
        <v>0.99799976618154695</v>
      </c>
      <c r="AI176" s="307">
        <v>0.97788055392281781</v>
      </c>
      <c r="AJ176" s="307">
        <v>1.0599035588112833</v>
      </c>
      <c r="AK176" s="307">
        <v>1.0058355107407373</v>
      </c>
      <c r="AL176" s="307">
        <v>1.0485122864069427</v>
      </c>
      <c r="AM176" s="307">
        <v>1.0245339388144852</v>
      </c>
      <c r="AN176" s="307">
        <v>1.0182464037074002</v>
      </c>
      <c r="AO176" s="307">
        <v>1.0457420355855553</v>
      </c>
      <c r="AP176" s="307">
        <v>1.0635729481337461</v>
      </c>
      <c r="AQ176" s="307">
        <v>1.0378035425984149</v>
      </c>
      <c r="AR176" s="307">
        <v>1.0235556810983883</v>
      </c>
    </row>
    <row r="177" spans="1:44" s="308" customFormat="1" hidden="1" outlineLevel="1" x14ac:dyDescent="0.3">
      <c r="A177" s="306">
        <v>1940</v>
      </c>
      <c r="B177" s="307">
        <v>0.98220182235655462</v>
      </c>
      <c r="C177" s="307">
        <v>0.97591095422100871</v>
      </c>
      <c r="D177" s="307">
        <v>0.94064575048999455</v>
      </c>
      <c r="E177" s="307">
        <v>0.9867422368076284</v>
      </c>
      <c r="F177" s="307">
        <v>0.96398656081618972</v>
      </c>
      <c r="G177" s="307">
        <v>0.98015931744352125</v>
      </c>
      <c r="H177" s="307">
        <v>1.0544877951457483</v>
      </c>
      <c r="I177" s="307">
        <v>0.96825231175397164</v>
      </c>
      <c r="J177" s="307">
        <v>1.0230449931003198</v>
      </c>
      <c r="K177" s="307">
        <v>0.97464150494666624</v>
      </c>
      <c r="L177" s="307">
        <v>0.99307312549572058</v>
      </c>
      <c r="M177" s="307">
        <v>0.94276507613971705</v>
      </c>
      <c r="N177" s="307">
        <v>0.95346377298564844</v>
      </c>
      <c r="O177" s="307">
        <v>1.0555821181450151</v>
      </c>
      <c r="P177" s="307">
        <v>1.0434860702744904</v>
      </c>
      <c r="Q177" s="307">
        <v>1.0589629993911522</v>
      </c>
      <c r="R177" s="307">
        <v>1.0412585931236753</v>
      </c>
      <c r="S177" s="307">
        <v>1.0576095008013549</v>
      </c>
      <c r="T177" s="307">
        <v>1.0455096782387943</v>
      </c>
      <c r="U177" s="307">
        <v>1.0341927538383933</v>
      </c>
      <c r="V177" s="307">
        <v>1.0203823012779336</v>
      </c>
      <c r="W177" s="307">
        <v>1.026668376452007</v>
      </c>
      <c r="X177" s="307">
        <v>1.0277344460598088</v>
      </c>
      <c r="Y177" s="307">
        <v>0.99026596244661125</v>
      </c>
      <c r="Z177" s="307">
        <v>0.95712986547830214</v>
      </c>
      <c r="AA177" s="307">
        <v>0.98830152716744968</v>
      </c>
      <c r="AB177" s="307">
        <v>0.96192284549893425</v>
      </c>
      <c r="AC177" s="307">
        <v>1.0441358497086455</v>
      </c>
      <c r="AD177" s="307">
        <v>0.99006331240375722</v>
      </c>
      <c r="AE177" s="307">
        <v>1.0367326160099422</v>
      </c>
      <c r="AF177" s="307">
        <v>1.0338331370109715</v>
      </c>
      <c r="AG177" s="307">
        <v>1.0357224008448358</v>
      </c>
      <c r="AH177" s="307">
        <v>1.0008942597569694</v>
      </c>
      <c r="AI177" s="307">
        <v>1.0033702564568912</v>
      </c>
      <c r="AJ177" s="307">
        <v>1.0585657395301868</v>
      </c>
      <c r="AK177" s="307">
        <v>1.0064499640439588</v>
      </c>
      <c r="AL177" s="307">
        <v>1.0169321460182295</v>
      </c>
      <c r="AM177" s="307">
        <v>1.0318003043945452</v>
      </c>
      <c r="AN177" s="307">
        <v>1.0159219250260176</v>
      </c>
      <c r="AO177" s="307">
        <v>1.0211579084825086</v>
      </c>
      <c r="AP177" s="307">
        <v>1.0100959037706436</v>
      </c>
      <c r="AQ177" s="307">
        <v>1.009216111195852</v>
      </c>
      <c r="AR177" s="307">
        <v>1.0361917121815403</v>
      </c>
    </row>
    <row r="178" spans="1:44" s="308" customFormat="1" hidden="1" outlineLevel="1" x14ac:dyDescent="0.3">
      <c r="A178" s="306">
        <v>1941</v>
      </c>
      <c r="B178" s="307">
        <v>0.84002329650230456</v>
      </c>
      <c r="C178" s="307">
        <v>0.87621001600115944</v>
      </c>
      <c r="D178" s="307">
        <v>0.79436076803134148</v>
      </c>
      <c r="E178" s="307">
        <v>0.87497070098197827</v>
      </c>
      <c r="F178" s="307">
        <v>0.84249690596255755</v>
      </c>
      <c r="G178" s="307">
        <v>0.87111626732475467</v>
      </c>
      <c r="H178" s="307">
        <v>0.89434377284762445</v>
      </c>
      <c r="I178" s="307">
        <v>0.83983745695946965</v>
      </c>
      <c r="J178" s="307">
        <v>0.88170503975627401</v>
      </c>
      <c r="K178" s="307">
        <v>0.88231832553104905</v>
      </c>
      <c r="L178" s="307">
        <v>0.87704023317064173</v>
      </c>
      <c r="M178" s="307">
        <v>0.79531894978630757</v>
      </c>
      <c r="N178" s="307">
        <v>0.82371400748898549</v>
      </c>
      <c r="O178" s="307">
        <v>0.89444321186326303</v>
      </c>
      <c r="P178" s="307">
        <v>0.89703269340446345</v>
      </c>
      <c r="Q178" s="307">
        <v>0.93346518128783729</v>
      </c>
      <c r="R178" s="307">
        <v>0.90567073903525774</v>
      </c>
      <c r="S178" s="307">
        <v>0.9689483192690358</v>
      </c>
      <c r="T178" s="307">
        <v>0.97304770212052227</v>
      </c>
      <c r="U178" s="307">
        <v>0.89867731840354603</v>
      </c>
      <c r="V178" s="307">
        <v>0.87648389341677535</v>
      </c>
      <c r="W178" s="307">
        <v>0.92884054495885082</v>
      </c>
      <c r="X178" s="307">
        <v>0.89346814407876529</v>
      </c>
      <c r="Y178" s="307">
        <v>0.86197066612538031</v>
      </c>
      <c r="Z178" s="307">
        <v>0.8548678635002821</v>
      </c>
      <c r="AA178" s="307">
        <v>0.87263992177928551</v>
      </c>
      <c r="AB178" s="307">
        <v>0.85000425146742919</v>
      </c>
      <c r="AC178" s="307">
        <v>0.88121813720169118</v>
      </c>
      <c r="AD178" s="307">
        <v>0.89929435242964839</v>
      </c>
      <c r="AE178" s="307">
        <v>0.89980769231697466</v>
      </c>
      <c r="AF178" s="307">
        <v>0.88783694764515986</v>
      </c>
      <c r="AG178" s="307">
        <v>0.85459714056037661</v>
      </c>
      <c r="AH178" s="307">
        <v>0.81334068434700468</v>
      </c>
      <c r="AI178" s="307">
        <v>0.87401225126230186</v>
      </c>
      <c r="AJ178" s="307">
        <v>0.87076232684420307</v>
      </c>
      <c r="AK178" s="307">
        <v>0.82235504569487816</v>
      </c>
      <c r="AL178" s="307">
        <v>0.87184934169377148</v>
      </c>
      <c r="AM178" s="307">
        <v>0.86884110410261228</v>
      </c>
      <c r="AN178" s="307">
        <v>0.83445919263479817</v>
      </c>
      <c r="AO178" s="307">
        <v>0.8338620382837385</v>
      </c>
      <c r="AP178" s="307">
        <v>0.91068122165049015</v>
      </c>
      <c r="AQ178" s="307">
        <v>0.82424922432689063</v>
      </c>
      <c r="AR178" s="307">
        <v>0.8790024067447556</v>
      </c>
    </row>
    <row r="179" spans="1:44" s="308" customFormat="1" hidden="1" outlineLevel="1" x14ac:dyDescent="0.3">
      <c r="A179" s="306">
        <v>1942</v>
      </c>
      <c r="B179" s="307">
        <v>0.91703104680886893</v>
      </c>
      <c r="C179" s="307">
        <v>0.92338183659000461</v>
      </c>
      <c r="D179" s="307">
        <v>0.89264472752753488</v>
      </c>
      <c r="E179" s="307">
        <v>0.92176126107049927</v>
      </c>
      <c r="F179" s="307">
        <v>0.94325748567394374</v>
      </c>
      <c r="G179" s="307">
        <v>0.93451187296043348</v>
      </c>
      <c r="H179" s="307">
        <v>0.95443691245311291</v>
      </c>
      <c r="I179" s="307">
        <v>0.90942495643827104</v>
      </c>
      <c r="J179" s="307">
        <v>0.94400126586974709</v>
      </c>
      <c r="K179" s="307">
        <v>0.92428735858945821</v>
      </c>
      <c r="L179" s="307">
        <v>0.92377377812321826</v>
      </c>
      <c r="M179" s="307">
        <v>0.8947548791169857</v>
      </c>
      <c r="N179" s="307">
        <v>0.92203089264452898</v>
      </c>
      <c r="O179" s="307">
        <v>1.0276781027467132</v>
      </c>
      <c r="P179" s="307">
        <v>1.0114047534986699</v>
      </c>
      <c r="Q179" s="307">
        <v>1.0023042489060077</v>
      </c>
      <c r="R179" s="307">
        <v>1.035359971826572</v>
      </c>
      <c r="S179" s="307">
        <v>1.0573491863275213</v>
      </c>
      <c r="T179" s="307">
        <v>1.044979045545068</v>
      </c>
      <c r="U179" s="307">
        <v>0.971756827269876</v>
      </c>
      <c r="V179" s="307">
        <v>1.0553288650199919</v>
      </c>
      <c r="W179" s="307">
        <v>1.044316314604985</v>
      </c>
      <c r="X179" s="307">
        <v>0.92351887004693844</v>
      </c>
      <c r="Y179" s="307">
        <v>0.91890473275617979</v>
      </c>
      <c r="Z179" s="307">
        <v>0.9051330679869225</v>
      </c>
      <c r="AA179" s="307">
        <v>0.91331663523054718</v>
      </c>
      <c r="AB179" s="307">
        <v>0.90065315343877628</v>
      </c>
      <c r="AC179" s="307">
        <v>0.9332601692709156</v>
      </c>
      <c r="AD179" s="307">
        <v>0.93420872117369491</v>
      </c>
      <c r="AE179" s="307">
        <v>1.0110451977506241</v>
      </c>
      <c r="AF179" s="307">
        <v>1.014259816759399</v>
      </c>
      <c r="AG179" s="307">
        <v>1.0704819529439777</v>
      </c>
      <c r="AH179" s="307">
        <v>1.0093615542410899</v>
      </c>
      <c r="AI179" s="307">
        <v>1.0161483227898764</v>
      </c>
      <c r="AJ179" s="307">
        <v>1.100898483855774</v>
      </c>
      <c r="AK179" s="307">
        <v>1.0276696392842162</v>
      </c>
      <c r="AL179" s="307">
        <v>1.0666837138657099</v>
      </c>
      <c r="AM179" s="307">
        <v>1.080777869145114</v>
      </c>
      <c r="AN179" s="307">
        <v>1.0891563274667706</v>
      </c>
      <c r="AO179" s="307">
        <v>1.0708999471691889</v>
      </c>
      <c r="AP179" s="307">
        <v>1.066725963494126</v>
      </c>
      <c r="AQ179" s="307">
        <v>1.0576135529925563</v>
      </c>
      <c r="AR179" s="307">
        <v>1.0415118419690403</v>
      </c>
    </row>
    <row r="180" spans="1:44" s="308" customFormat="1" hidden="1" outlineLevel="1" x14ac:dyDescent="0.3">
      <c r="A180" s="306">
        <v>1943</v>
      </c>
      <c r="B180" s="307">
        <v>0.9827496965624225</v>
      </c>
      <c r="C180" s="307">
        <v>1.0099623846522752</v>
      </c>
      <c r="D180" s="307">
        <v>0.92885097866585142</v>
      </c>
      <c r="E180" s="307">
        <v>1.0163748390110956</v>
      </c>
      <c r="F180" s="307">
        <v>1.0109816687319124</v>
      </c>
      <c r="G180" s="307">
        <v>0.98868017374703099</v>
      </c>
      <c r="H180" s="307">
        <v>1.0158012300661778</v>
      </c>
      <c r="I180" s="307">
        <v>1.022270106728048</v>
      </c>
      <c r="J180" s="307">
        <v>1.0330376050587089</v>
      </c>
      <c r="K180" s="307">
        <v>1.0060739835482673</v>
      </c>
      <c r="L180" s="307">
        <v>1.0186509385166331</v>
      </c>
      <c r="M180" s="307">
        <v>0.93120314814434868</v>
      </c>
      <c r="N180" s="307">
        <v>1.0127080205285961</v>
      </c>
      <c r="O180" s="307">
        <v>0.98123229719833038</v>
      </c>
      <c r="P180" s="307">
        <v>0.96175751032965362</v>
      </c>
      <c r="Q180" s="307">
        <v>1.0124141871389614</v>
      </c>
      <c r="R180" s="307">
        <v>0.99686699921047461</v>
      </c>
      <c r="S180" s="307">
        <v>1.0167208458558823</v>
      </c>
      <c r="T180" s="307">
        <v>1.0251925687540064</v>
      </c>
      <c r="U180" s="307">
        <v>1.0040300793974641</v>
      </c>
      <c r="V180" s="307">
        <v>0.9648042921270813</v>
      </c>
      <c r="W180" s="307">
        <v>0.9844994678630774</v>
      </c>
      <c r="X180" s="307">
        <v>0.98543308374967453</v>
      </c>
      <c r="Y180" s="307">
        <v>0.99758797959413781</v>
      </c>
      <c r="Z180" s="307">
        <v>1.0360153618923373</v>
      </c>
      <c r="AA180" s="307">
        <v>1.012486912000178</v>
      </c>
      <c r="AB180" s="307">
        <v>1.0146447121070483</v>
      </c>
      <c r="AC180" s="307">
        <v>1.0033218459074846</v>
      </c>
      <c r="AD180" s="307">
        <v>1.037460988189981</v>
      </c>
      <c r="AE180" s="307">
        <v>0.98012362841201595</v>
      </c>
      <c r="AF180" s="307">
        <v>1.0007641648322438</v>
      </c>
      <c r="AG180" s="307">
        <v>0.96813781732556903</v>
      </c>
      <c r="AH180" s="307">
        <v>0.93146244498718156</v>
      </c>
      <c r="AI180" s="307">
        <v>0.95485200556754413</v>
      </c>
      <c r="AJ180" s="307">
        <v>0.97943267894991926</v>
      </c>
      <c r="AK180" s="307">
        <v>0.93203962351070258</v>
      </c>
      <c r="AL180" s="307">
        <v>1.0025050442219516</v>
      </c>
      <c r="AM180" s="307">
        <v>0.96587102310146467</v>
      </c>
      <c r="AN180" s="307">
        <v>0.96419584039226769</v>
      </c>
      <c r="AO180" s="307">
        <v>0.96560029575847317</v>
      </c>
      <c r="AP180" s="307">
        <v>1.0179809197035139</v>
      </c>
      <c r="AQ180" s="307">
        <v>0.93948141062637103</v>
      </c>
      <c r="AR180" s="307">
        <v>0.98675480848257446</v>
      </c>
    </row>
    <row r="181" spans="1:44" s="308" customFormat="1" hidden="1" outlineLevel="1" x14ac:dyDescent="0.3">
      <c r="A181" s="306">
        <v>1944</v>
      </c>
      <c r="B181" s="307">
        <v>0.98508969834635396</v>
      </c>
      <c r="C181" s="307">
        <v>0.97971394350131835</v>
      </c>
      <c r="D181" s="307">
        <v>0.99796384053877829</v>
      </c>
      <c r="E181" s="307">
        <v>0.99568310816212291</v>
      </c>
      <c r="F181" s="307">
        <v>0.98863740628908847</v>
      </c>
      <c r="G181" s="307">
        <v>0.95365119432584244</v>
      </c>
      <c r="H181" s="307">
        <v>1.0012468067556561</v>
      </c>
      <c r="I181" s="307">
        <v>0.98389537677361094</v>
      </c>
      <c r="J181" s="307">
        <v>1.0048576615028084</v>
      </c>
      <c r="K181" s="307">
        <v>0.97915760476261005</v>
      </c>
      <c r="L181" s="307">
        <v>0.9913523001063278</v>
      </c>
      <c r="M181" s="307">
        <v>0.99971229361615443</v>
      </c>
      <c r="N181" s="307">
        <v>0.97527143091765045</v>
      </c>
      <c r="O181" s="307">
        <v>0.96861970113331752</v>
      </c>
      <c r="P181" s="307">
        <v>0.94348194262886309</v>
      </c>
      <c r="Q181" s="307">
        <v>0.98569412678464841</v>
      </c>
      <c r="R181" s="307">
        <v>0.96590817470567725</v>
      </c>
      <c r="S181" s="307">
        <v>1.0019889748922695</v>
      </c>
      <c r="T181" s="307">
        <v>0.98879320685936112</v>
      </c>
      <c r="U181" s="307">
        <v>0.98678175467614804</v>
      </c>
      <c r="V181" s="307">
        <v>0.98081483076544551</v>
      </c>
      <c r="W181" s="307">
        <v>0.98570000303339977</v>
      </c>
      <c r="X181" s="307">
        <v>0.97958175166131389</v>
      </c>
      <c r="Y181" s="307">
        <v>0.97530048315394358</v>
      </c>
      <c r="Z181" s="307">
        <v>0.9783010403287038</v>
      </c>
      <c r="AA181" s="307">
        <v>1.0017006643089335</v>
      </c>
      <c r="AB181" s="307">
        <v>0.98162244455848136</v>
      </c>
      <c r="AC181" s="307">
        <v>0.99550823698505231</v>
      </c>
      <c r="AD181" s="307">
        <v>0.96133491523029269</v>
      </c>
      <c r="AE181" s="307">
        <v>0.98650997760838433</v>
      </c>
      <c r="AF181" s="307">
        <v>0.97587972368686726</v>
      </c>
      <c r="AG181" s="307">
        <v>0.97417559617442018</v>
      </c>
      <c r="AH181" s="307">
        <v>0.92767918574959585</v>
      </c>
      <c r="AI181" s="307">
        <v>0.95110908655280413</v>
      </c>
      <c r="AJ181" s="307">
        <v>0.99870639359227609</v>
      </c>
      <c r="AK181" s="307">
        <v>0.95416358189218464</v>
      </c>
      <c r="AL181" s="307">
        <v>0.99634613515766368</v>
      </c>
      <c r="AM181" s="307">
        <v>0.96592275254907878</v>
      </c>
      <c r="AN181" s="307">
        <v>0.96353313373688432</v>
      </c>
      <c r="AO181" s="307">
        <v>0.98785377689026765</v>
      </c>
      <c r="AP181" s="307">
        <v>1.0012271221435021</v>
      </c>
      <c r="AQ181" s="307">
        <v>0.95734170133344021</v>
      </c>
      <c r="AR181" s="307">
        <v>0.99568520135638849</v>
      </c>
    </row>
    <row r="182" spans="1:44" s="308" customFormat="1" hidden="1" outlineLevel="1" x14ac:dyDescent="0.3">
      <c r="A182" s="306">
        <v>1945</v>
      </c>
      <c r="B182" s="307">
        <v>0.96261754604614957</v>
      </c>
      <c r="C182" s="307">
        <v>0.97048773394308308</v>
      </c>
      <c r="D182" s="307">
        <v>0.94949829204519753</v>
      </c>
      <c r="E182" s="307">
        <v>0.97069124394741713</v>
      </c>
      <c r="F182" s="307">
        <v>0.95782120579272234</v>
      </c>
      <c r="G182" s="307">
        <v>0.95577053996255723</v>
      </c>
      <c r="H182" s="307">
        <v>0.97303320828075124</v>
      </c>
      <c r="I182" s="307">
        <v>0.99448533396589622</v>
      </c>
      <c r="J182" s="307">
        <v>0.98925638640143887</v>
      </c>
      <c r="K182" s="307">
        <v>0.97090212033119572</v>
      </c>
      <c r="L182" s="307">
        <v>0.97858222727495925</v>
      </c>
      <c r="M182" s="307">
        <v>0.95330335093577245</v>
      </c>
      <c r="N182" s="307">
        <v>0.96699382885808727</v>
      </c>
      <c r="O182" s="307">
        <v>1.0001509204595862</v>
      </c>
      <c r="P182" s="307">
        <v>0.94450493204630515</v>
      </c>
      <c r="Q182" s="307">
        <v>0.99013888839867104</v>
      </c>
      <c r="R182" s="307">
        <v>1.0049016364015291</v>
      </c>
      <c r="S182" s="307">
        <v>1.025475125198134</v>
      </c>
      <c r="T182" s="307">
        <v>0.98560941069700359</v>
      </c>
      <c r="U182" s="307">
        <v>0.98836997405688232</v>
      </c>
      <c r="V182" s="307">
        <v>0.98074232454757293</v>
      </c>
      <c r="W182" s="307">
        <v>0.99885822733287088</v>
      </c>
      <c r="X182" s="307">
        <v>0.94530234302027005</v>
      </c>
      <c r="Y182" s="307">
        <v>0.96705137794743612</v>
      </c>
      <c r="Z182" s="307">
        <v>0.97072123698720203</v>
      </c>
      <c r="AA182" s="307">
        <v>0.9888366782058583</v>
      </c>
      <c r="AB182" s="307">
        <v>0.97353780864457584</v>
      </c>
      <c r="AC182" s="307">
        <v>0.97426885176941758</v>
      </c>
      <c r="AD182" s="307">
        <v>0.9796238917428125</v>
      </c>
      <c r="AE182" s="307">
        <v>0.99201960408118239</v>
      </c>
      <c r="AF182" s="307">
        <v>0.96703254558527307</v>
      </c>
      <c r="AG182" s="307">
        <v>0.95544606475856608</v>
      </c>
      <c r="AH182" s="307">
        <v>0.91604115971397504</v>
      </c>
      <c r="AI182" s="307">
        <v>0.95517825073352114</v>
      </c>
      <c r="AJ182" s="307">
        <v>0.94923203491570707</v>
      </c>
      <c r="AK182" s="307">
        <v>0.93224239042696344</v>
      </c>
      <c r="AL182" s="307">
        <v>0.95970004681666254</v>
      </c>
      <c r="AM182" s="307">
        <v>0.97687163106906039</v>
      </c>
      <c r="AN182" s="307">
        <v>0.98690493728466511</v>
      </c>
      <c r="AO182" s="307">
        <v>0.94613045933605322</v>
      </c>
      <c r="AP182" s="307">
        <v>0.96486105609220374</v>
      </c>
      <c r="AQ182" s="307">
        <v>0.92088245568902827</v>
      </c>
      <c r="AR182" s="307">
        <v>0.93353609717175146</v>
      </c>
    </row>
    <row r="183" spans="1:44" s="308" customFormat="1" hidden="1" outlineLevel="1" x14ac:dyDescent="0.3">
      <c r="A183" s="306">
        <v>1946</v>
      </c>
      <c r="B183" s="307">
        <v>1.0262164428301848</v>
      </c>
      <c r="C183" s="307">
        <v>1.0274711969001382</v>
      </c>
      <c r="D183" s="307">
        <v>0.99004721278233432</v>
      </c>
      <c r="E183" s="307">
        <v>1.0200363387086506</v>
      </c>
      <c r="F183" s="307">
        <v>1.044675915668358</v>
      </c>
      <c r="G183" s="307">
        <v>1.0600423452889249</v>
      </c>
      <c r="H183" s="307">
        <v>1.0253824503864368</v>
      </c>
      <c r="I183" s="307">
        <v>1.0835579508738025</v>
      </c>
      <c r="J183" s="307">
        <v>1.0157450565779451</v>
      </c>
      <c r="K183" s="307">
        <v>1.0303540819980319</v>
      </c>
      <c r="L183" s="307">
        <v>1.017676578149352</v>
      </c>
      <c r="M183" s="307">
        <v>0.98971042772308948</v>
      </c>
      <c r="N183" s="307">
        <v>1.0472360312332951</v>
      </c>
      <c r="O183" s="307">
        <v>0.97651333595899059</v>
      </c>
      <c r="P183" s="307">
        <v>0.94005354566230026</v>
      </c>
      <c r="Q183" s="307">
        <v>1.011391645485165</v>
      </c>
      <c r="R183" s="307">
        <v>1.0103176432288694</v>
      </c>
      <c r="S183" s="307">
        <v>0.99509546197408671</v>
      </c>
      <c r="T183" s="307">
        <v>0.98373178731920297</v>
      </c>
      <c r="U183" s="307">
        <v>1.0417682077461567</v>
      </c>
      <c r="V183" s="307">
        <v>1.0157133075741251</v>
      </c>
      <c r="W183" s="307">
        <v>0.99770973512032246</v>
      </c>
      <c r="X183" s="307">
        <v>1.0201881894638629</v>
      </c>
      <c r="Y183" s="307">
        <v>1.0433472342317367</v>
      </c>
      <c r="Z183" s="307">
        <v>1.056157382409733</v>
      </c>
      <c r="AA183" s="307">
        <v>1.0657962153979719</v>
      </c>
      <c r="AB183" s="307">
        <v>1.0525317323917656</v>
      </c>
      <c r="AC183" s="307">
        <v>1.0621779132196716</v>
      </c>
      <c r="AD183" s="307">
        <v>1.0462314252952687</v>
      </c>
      <c r="AE183" s="307">
        <v>1.0100188449093912</v>
      </c>
      <c r="AF183" s="307">
        <v>1.0154918059309195</v>
      </c>
      <c r="AG183" s="307">
        <v>1.0006433194053632</v>
      </c>
      <c r="AH183" s="307">
        <v>0.98476436402338963</v>
      </c>
      <c r="AI183" s="307">
        <v>1.0061463870826886</v>
      </c>
      <c r="AJ183" s="307">
        <v>0.9857571292167584</v>
      </c>
      <c r="AK183" s="307">
        <v>1.0028440751684211</v>
      </c>
      <c r="AL183" s="307">
        <v>1.0341081903573084</v>
      </c>
      <c r="AM183" s="307">
        <v>1.0280328979684001</v>
      </c>
      <c r="AN183" s="307">
        <v>0.99483868250103247</v>
      </c>
      <c r="AO183" s="307">
        <v>1.0372069099728274</v>
      </c>
      <c r="AP183" s="307">
        <v>1.0332920729589734</v>
      </c>
      <c r="AQ183" s="307">
        <v>1.0274701075552535</v>
      </c>
      <c r="AR183" s="307">
        <v>0.99428684464909434</v>
      </c>
    </row>
    <row r="184" spans="1:44" s="308" customFormat="1" hidden="1" outlineLevel="1" x14ac:dyDescent="0.3">
      <c r="A184" s="306">
        <v>1947</v>
      </c>
      <c r="B184" s="307">
        <v>0.92926122474632611</v>
      </c>
      <c r="C184" s="307">
        <v>0.9846628235123378</v>
      </c>
      <c r="D184" s="307">
        <v>0.85538644992049928</v>
      </c>
      <c r="E184" s="307">
        <v>0.96823250432493102</v>
      </c>
      <c r="F184" s="307">
        <v>0.99959129265095947</v>
      </c>
      <c r="G184" s="307">
        <v>0.9714971714308972</v>
      </c>
      <c r="H184" s="307">
        <v>0.99272892441428762</v>
      </c>
      <c r="I184" s="307">
        <v>0.95914036822961579</v>
      </c>
      <c r="J184" s="307">
        <v>1.006378370033336</v>
      </c>
      <c r="K184" s="307">
        <v>0.99821603341762333</v>
      </c>
      <c r="L184" s="307">
        <v>0.99022296109691843</v>
      </c>
      <c r="M184" s="307">
        <v>0.85415621555008558</v>
      </c>
      <c r="N184" s="307">
        <v>1.0001548280697086</v>
      </c>
      <c r="O184" s="307">
        <v>1.0757285246167096</v>
      </c>
      <c r="P184" s="307">
        <v>1.0455965619555196</v>
      </c>
      <c r="Q184" s="307">
        <v>1.1158735398513524</v>
      </c>
      <c r="R184" s="307">
        <v>1.0780802897055937</v>
      </c>
      <c r="S184" s="307">
        <v>1.0984017429787407</v>
      </c>
      <c r="T184" s="307">
        <v>1.097440250899812</v>
      </c>
      <c r="U184" s="307">
        <v>1.0932573557076219</v>
      </c>
      <c r="V184" s="307">
        <v>1.1063212317359197</v>
      </c>
      <c r="W184" s="307">
        <v>1.087102355032302</v>
      </c>
      <c r="X184" s="307">
        <v>1.0568411514322953</v>
      </c>
      <c r="Y184" s="307">
        <v>1.0444892757601467</v>
      </c>
      <c r="Z184" s="307">
        <v>1.0068396533407806</v>
      </c>
      <c r="AA184" s="307">
        <v>1.042022093307259</v>
      </c>
      <c r="AB184" s="307">
        <v>0.9883670912686231</v>
      </c>
      <c r="AC184" s="307">
        <v>1.1251362785796744</v>
      </c>
      <c r="AD184" s="307">
        <v>1.02034195597776</v>
      </c>
      <c r="AE184" s="307">
        <v>1.1269252149421276</v>
      </c>
      <c r="AF184" s="307">
        <v>1.131006698700036</v>
      </c>
      <c r="AG184" s="307">
        <v>1.1235084609672457</v>
      </c>
      <c r="AH184" s="307">
        <v>1.1192322066392943</v>
      </c>
      <c r="AI184" s="307">
        <v>1.0089754805879747</v>
      </c>
      <c r="AJ184" s="307">
        <v>1.1144317720963988</v>
      </c>
      <c r="AK184" s="307">
        <v>1.0573951251351805</v>
      </c>
      <c r="AL184" s="307">
        <v>1.1764238067767772</v>
      </c>
      <c r="AM184" s="307">
        <v>1.0644798032001723</v>
      </c>
      <c r="AN184" s="307">
        <v>1.1013163206851935</v>
      </c>
      <c r="AO184" s="307">
        <v>1.1518250325854855</v>
      </c>
      <c r="AP184" s="307">
        <v>1.1966723915561401</v>
      </c>
      <c r="AQ184" s="307">
        <v>1.1014072245764872</v>
      </c>
      <c r="AR184" s="307">
        <v>1.1578453508018831</v>
      </c>
    </row>
    <row r="185" spans="1:44" s="308" customFormat="1" hidden="1" outlineLevel="1" x14ac:dyDescent="0.3">
      <c r="A185" s="306">
        <v>1948</v>
      </c>
      <c r="B185" s="307">
        <v>0.80376758343558197</v>
      </c>
      <c r="C185" s="307">
        <v>0.918630264117683</v>
      </c>
      <c r="D185" s="307">
        <v>0.73337944606370731</v>
      </c>
      <c r="E185" s="307">
        <v>0.90496519559741317</v>
      </c>
      <c r="F185" s="307">
        <v>0.88264722568977483</v>
      </c>
      <c r="G185" s="307">
        <v>0.91824181953396145</v>
      </c>
      <c r="H185" s="307">
        <v>0.89368040283273054</v>
      </c>
      <c r="I185" s="307">
        <v>0.84279408498032904</v>
      </c>
      <c r="J185" s="307">
        <v>0.88987496163120816</v>
      </c>
      <c r="K185" s="307">
        <v>0.90719336784950921</v>
      </c>
      <c r="L185" s="307">
        <v>0.90517899583514805</v>
      </c>
      <c r="M185" s="307">
        <v>0.73021141596887296</v>
      </c>
      <c r="N185" s="307">
        <v>0.90139400481033871</v>
      </c>
      <c r="O185" s="307">
        <v>0.97678862298493041</v>
      </c>
      <c r="P185" s="307">
        <v>0.95820930379167879</v>
      </c>
      <c r="Q185" s="307">
        <v>1.040549481030306</v>
      </c>
      <c r="R185" s="307">
        <v>0.99262177933755924</v>
      </c>
      <c r="S185" s="307">
        <v>1.0095091708030142</v>
      </c>
      <c r="T185" s="307">
        <v>1.0314989342294454</v>
      </c>
      <c r="U185" s="307">
        <v>0.95556782141537644</v>
      </c>
      <c r="V185" s="307">
        <v>1.0305461604605028</v>
      </c>
      <c r="W185" s="307">
        <v>1.0103520432708875</v>
      </c>
      <c r="X185" s="307">
        <v>0.92498991381427553</v>
      </c>
      <c r="Y185" s="307">
        <v>0.92777816101074939</v>
      </c>
      <c r="Z185" s="307">
        <v>0.93638342098755378</v>
      </c>
      <c r="AA185" s="307">
        <v>0.92268317801520361</v>
      </c>
      <c r="AB185" s="307">
        <v>0.90738735458334963</v>
      </c>
      <c r="AC185" s="307">
        <v>0.98438582228705485</v>
      </c>
      <c r="AD185" s="307">
        <v>0.94609627772458993</v>
      </c>
      <c r="AE185" s="307">
        <v>0.99868571199051093</v>
      </c>
      <c r="AF185" s="307">
        <v>0.98690971247542592</v>
      </c>
      <c r="AG185" s="307">
        <v>1.0283670406584893</v>
      </c>
      <c r="AH185" s="307">
        <v>1.0385707176246091</v>
      </c>
      <c r="AI185" s="307">
        <v>0.98382806108799947</v>
      </c>
      <c r="AJ185" s="307">
        <v>1.0298784426963432</v>
      </c>
      <c r="AK185" s="307">
        <v>1.0200968305324432</v>
      </c>
      <c r="AL185" s="307">
        <v>1.0686456974119165</v>
      </c>
      <c r="AM185" s="307">
        <v>1.0385490880303605</v>
      </c>
      <c r="AN185" s="307">
        <v>1.0499390582326469</v>
      </c>
      <c r="AO185" s="307">
        <v>1.026513864968154</v>
      </c>
      <c r="AP185" s="307">
        <v>1.1001047888273392</v>
      </c>
      <c r="AQ185" s="307">
        <v>1.0278392050310448</v>
      </c>
      <c r="AR185" s="307">
        <v>1.0195919637126174</v>
      </c>
    </row>
    <row r="186" spans="1:44" s="308" customFormat="1" hidden="1" outlineLevel="1" x14ac:dyDescent="0.3">
      <c r="A186" s="306">
        <v>1949</v>
      </c>
      <c r="B186" s="307">
        <v>1.0696268780219769</v>
      </c>
      <c r="C186" s="307">
        <v>1.036317143547633</v>
      </c>
      <c r="D186" s="307">
        <v>1.0805805644201809</v>
      </c>
      <c r="E186" s="307">
        <v>1.0401107236783846</v>
      </c>
      <c r="F186" s="307">
        <v>1.0288186247665458</v>
      </c>
      <c r="G186" s="307">
        <v>1.050195539407573</v>
      </c>
      <c r="H186" s="307">
        <v>1.1006914357148991</v>
      </c>
      <c r="I186" s="307">
        <v>1.0616827194879399</v>
      </c>
      <c r="J186" s="307">
        <v>1.0929015169026952</v>
      </c>
      <c r="K186" s="307">
        <v>1.0325739586168106</v>
      </c>
      <c r="L186" s="307">
        <v>1.0607346598080236</v>
      </c>
      <c r="M186" s="307">
        <v>1.0791058465823344</v>
      </c>
      <c r="N186" s="307">
        <v>1.047528034424194</v>
      </c>
      <c r="O186" s="307">
        <v>0.99351732013907545</v>
      </c>
      <c r="P186" s="307">
        <v>0.96779406950464997</v>
      </c>
      <c r="Q186" s="307">
        <v>1.0121713845939539</v>
      </c>
      <c r="R186" s="307">
        <v>1.0286569930798637</v>
      </c>
      <c r="S186" s="307">
        <v>1.0483827988954795</v>
      </c>
      <c r="T186" s="307">
        <v>1.0021202510517935</v>
      </c>
      <c r="U186" s="307">
        <v>1.0386363344365588</v>
      </c>
      <c r="V186" s="307">
        <v>1.0242751898939944</v>
      </c>
      <c r="W186" s="307">
        <v>1.0332519027038864</v>
      </c>
      <c r="X186" s="307">
        <v>1.0009187880662089</v>
      </c>
      <c r="Y186" s="307">
        <v>1.0434680196750146</v>
      </c>
      <c r="Z186" s="307">
        <v>1.056941499996785</v>
      </c>
      <c r="AA186" s="307">
        <v>1.0503466272913131</v>
      </c>
      <c r="AB186" s="307">
        <v>1.0558214968434732</v>
      </c>
      <c r="AC186" s="307">
        <v>1.0485374064136408</v>
      </c>
      <c r="AD186" s="307">
        <v>1.0524772978824999</v>
      </c>
      <c r="AE186" s="307">
        <v>1.0020265393094268</v>
      </c>
      <c r="AF186" s="307">
        <v>0.98455845509978246</v>
      </c>
      <c r="AG186" s="307">
        <v>1.038185766740944</v>
      </c>
      <c r="AH186" s="307">
        <v>1.040528404150725</v>
      </c>
      <c r="AI186" s="307">
        <v>0.9819112837268037</v>
      </c>
      <c r="AJ186" s="307">
        <v>1.0786318227232461</v>
      </c>
      <c r="AK186" s="307">
        <v>1.0125753550409164</v>
      </c>
      <c r="AL186" s="307">
        <v>1.059036651843277</v>
      </c>
      <c r="AM186" s="307">
        <v>1.0483304216400464</v>
      </c>
      <c r="AN186" s="307">
        <v>1.0523846621185735</v>
      </c>
      <c r="AO186" s="307">
        <v>1.0519858693814887</v>
      </c>
      <c r="AP186" s="307">
        <v>1.0895637657200343</v>
      </c>
      <c r="AQ186" s="307">
        <v>1.0332385951241632</v>
      </c>
      <c r="AR186" s="307">
        <v>1.016050338873604</v>
      </c>
    </row>
    <row r="187" spans="1:44" s="308" customFormat="1" hidden="1" outlineLevel="1" x14ac:dyDescent="0.3">
      <c r="A187" s="306">
        <v>1950</v>
      </c>
      <c r="B187" s="307">
        <v>1.0149718988306553</v>
      </c>
      <c r="C187" s="307">
        <v>1.0040185183426775</v>
      </c>
      <c r="D187" s="307">
        <v>1.0395818057874904</v>
      </c>
      <c r="E187" s="307">
        <v>1.0181843010709342</v>
      </c>
      <c r="F187" s="307">
        <v>1.0146380926661003</v>
      </c>
      <c r="G187" s="307">
        <v>0.995049079096338</v>
      </c>
      <c r="H187" s="307">
        <v>1.0176755106687581</v>
      </c>
      <c r="I187" s="307">
        <v>0.98890772334842147</v>
      </c>
      <c r="J187" s="307">
        <v>1.033759276281536</v>
      </c>
      <c r="K187" s="307">
        <v>1.0102629132843366</v>
      </c>
      <c r="L187" s="307">
        <v>1.0137605862392496</v>
      </c>
      <c r="M187" s="307">
        <v>1.0356827317124044</v>
      </c>
      <c r="N187" s="307">
        <v>1.0241230040979699</v>
      </c>
      <c r="O187" s="307">
        <v>1.0133074121263173</v>
      </c>
      <c r="P187" s="307">
        <v>0.98987589512799556</v>
      </c>
      <c r="Q187" s="307">
        <v>1.0437375582830102</v>
      </c>
      <c r="R187" s="307">
        <v>1.0266460994558511</v>
      </c>
      <c r="S187" s="307">
        <v>1.073479042428388</v>
      </c>
      <c r="T187" s="307">
        <v>1.0181208676626161</v>
      </c>
      <c r="U187" s="307">
        <v>1.0364553470690723</v>
      </c>
      <c r="V187" s="307">
        <v>1.0651336291882481</v>
      </c>
      <c r="W187" s="307">
        <v>1.0577445936865337</v>
      </c>
      <c r="X187" s="307">
        <v>1.0128770775666294</v>
      </c>
      <c r="Y187" s="307">
        <v>1.071143993815709</v>
      </c>
      <c r="Z187" s="307">
        <v>0.99550261989465505</v>
      </c>
      <c r="AA187" s="307">
        <v>1.044087436419417</v>
      </c>
      <c r="AB187" s="307">
        <v>1.030360957086768</v>
      </c>
      <c r="AC187" s="307">
        <v>1.0078577027036781</v>
      </c>
      <c r="AD187" s="307">
        <v>1.0131058698816466</v>
      </c>
      <c r="AE187" s="307">
        <v>0.9958835307571845</v>
      </c>
      <c r="AF187" s="307">
        <v>0.9902916168279472</v>
      </c>
      <c r="AG187" s="307">
        <v>1.0800679858128925</v>
      </c>
      <c r="AH187" s="307">
        <v>1.0713349436567803</v>
      </c>
      <c r="AI187" s="307">
        <v>1.0732766027886445</v>
      </c>
      <c r="AJ187" s="307">
        <v>1.07761725377213</v>
      </c>
      <c r="AK187" s="307">
        <v>1.0660159262482136</v>
      </c>
      <c r="AL187" s="307">
        <v>1.0216315106900524</v>
      </c>
      <c r="AM187" s="307">
        <v>1.0797489684487076</v>
      </c>
      <c r="AN187" s="307">
        <v>1.0939309564207351</v>
      </c>
      <c r="AO187" s="307">
        <v>1.0345786069556964</v>
      </c>
      <c r="AP187" s="307">
        <v>1.0302130507277185</v>
      </c>
      <c r="AQ187" s="307">
        <v>1.0252505911150758</v>
      </c>
      <c r="AR187" s="307">
        <v>1.0258152849154452</v>
      </c>
    </row>
    <row r="188" spans="1:44" s="308" customFormat="1" hidden="1" outlineLevel="1" x14ac:dyDescent="0.3">
      <c r="A188" s="306">
        <v>1951</v>
      </c>
      <c r="B188" s="307">
        <v>1.0716076896523903</v>
      </c>
      <c r="C188" s="307">
        <v>1.0050575332780074</v>
      </c>
      <c r="D188" s="307">
        <v>1.1139214073251007</v>
      </c>
      <c r="E188" s="307">
        <v>1.02151584003993</v>
      </c>
      <c r="F188" s="307">
        <v>1.0074837799640814</v>
      </c>
      <c r="G188" s="307">
        <v>1.0396531534198123</v>
      </c>
      <c r="H188" s="307">
        <v>1.0330370593698843</v>
      </c>
      <c r="I188" s="307">
        <v>1.003302888322485</v>
      </c>
      <c r="J188" s="307">
        <v>1.0533557812986265</v>
      </c>
      <c r="K188" s="307">
        <v>1.005515106607525</v>
      </c>
      <c r="L188" s="307">
        <v>1.0251499323188153</v>
      </c>
      <c r="M188" s="307">
        <v>1.1135911612046292</v>
      </c>
      <c r="N188" s="307">
        <v>1.0020509541285896</v>
      </c>
      <c r="O188" s="307">
        <v>1.0244477584665213</v>
      </c>
      <c r="P188" s="307">
        <v>1.0014882074340956</v>
      </c>
      <c r="Q188" s="307">
        <v>1.0757849204057448</v>
      </c>
      <c r="R188" s="307">
        <v>1.0700635271245302</v>
      </c>
      <c r="S188" s="307">
        <v>1.04916374231698</v>
      </c>
      <c r="T188" s="307">
        <v>1.0192739733239828</v>
      </c>
      <c r="U188" s="307">
        <v>1.0188329684632935</v>
      </c>
      <c r="V188" s="307">
        <v>1.0388695466977611</v>
      </c>
      <c r="W188" s="307">
        <v>1.036417613121555</v>
      </c>
      <c r="X188" s="307">
        <v>1.0066168731890102</v>
      </c>
      <c r="Y188" s="307">
        <v>1.021719411966594</v>
      </c>
      <c r="Z188" s="307">
        <v>0.94905998864489305</v>
      </c>
      <c r="AA188" s="307">
        <v>0.9998145448178275</v>
      </c>
      <c r="AB188" s="307">
        <v>0.97430025754786675</v>
      </c>
      <c r="AC188" s="307">
        <v>0.96040029916754022</v>
      </c>
      <c r="AD188" s="307">
        <v>0.97703412027095304</v>
      </c>
      <c r="AE188" s="307">
        <v>0.993352538990947</v>
      </c>
      <c r="AF188" s="307">
        <v>0.96264865608188666</v>
      </c>
      <c r="AG188" s="307">
        <v>0.99885545377873308</v>
      </c>
      <c r="AH188" s="307">
        <v>0.98705834025951311</v>
      </c>
      <c r="AI188" s="307">
        <v>1.0119749724022</v>
      </c>
      <c r="AJ188" s="307">
        <v>0.9916574032464589</v>
      </c>
      <c r="AK188" s="307">
        <v>1.0089478325856165</v>
      </c>
      <c r="AL188" s="307">
        <v>0.94450119483293116</v>
      </c>
      <c r="AM188" s="307">
        <v>1.0089557497935071</v>
      </c>
      <c r="AN188" s="307">
        <v>1.0123824746053744</v>
      </c>
      <c r="AO188" s="307">
        <v>0.96614881650485573</v>
      </c>
      <c r="AP188" s="307">
        <v>0.93770285181262025</v>
      </c>
      <c r="AQ188" s="307">
        <v>0.9674069610688274</v>
      </c>
      <c r="AR188" s="307">
        <v>0.96851942018253845</v>
      </c>
    </row>
    <row r="189" spans="1:44" s="308" customFormat="1" hidden="1" outlineLevel="1" x14ac:dyDescent="0.3">
      <c r="A189" s="306">
        <v>1952</v>
      </c>
      <c r="B189" s="307">
        <v>1.0353026442855087</v>
      </c>
      <c r="C189" s="307">
        <v>0.99520518708639782</v>
      </c>
      <c r="D189" s="307">
        <v>1.049657102558335</v>
      </c>
      <c r="E189" s="307">
        <v>1.0077852161740992</v>
      </c>
      <c r="F189" s="307">
        <v>0.99328046364003042</v>
      </c>
      <c r="G189" s="307">
        <v>1.0331646952397162</v>
      </c>
      <c r="H189" s="307">
        <v>1.0516563155752321</v>
      </c>
      <c r="I189" s="307">
        <v>1.0434855139665304</v>
      </c>
      <c r="J189" s="307">
        <v>1.0442464081520209</v>
      </c>
      <c r="K189" s="307">
        <v>0.98617789121402522</v>
      </c>
      <c r="L189" s="307">
        <v>1.0155230508300821</v>
      </c>
      <c r="M189" s="307">
        <v>1.0469022353508</v>
      </c>
      <c r="N189" s="307">
        <v>1.0183744263517451</v>
      </c>
      <c r="O189" s="307">
        <v>0.96889018585994124</v>
      </c>
      <c r="P189" s="307">
        <v>0.93363912553131168</v>
      </c>
      <c r="Q189" s="307">
        <v>0.99202789423271343</v>
      </c>
      <c r="R189" s="307">
        <v>1.0046513918616518</v>
      </c>
      <c r="S189" s="307">
        <v>0.98787414564441023</v>
      </c>
      <c r="T189" s="307">
        <v>0.9658943652300972</v>
      </c>
      <c r="U189" s="307">
        <v>0.9822228102561773</v>
      </c>
      <c r="V189" s="307">
        <v>0.95895436969073311</v>
      </c>
      <c r="W189" s="307">
        <v>0.95302809284112322</v>
      </c>
      <c r="X189" s="307">
        <v>0.97503072744222741</v>
      </c>
      <c r="Y189" s="307">
        <v>0.98048883991459979</v>
      </c>
      <c r="Z189" s="307">
        <v>1.0341694184061525</v>
      </c>
      <c r="AA189" s="307">
        <v>0.9694606090937069</v>
      </c>
      <c r="AB189" s="307">
        <v>1.0071215469032559</v>
      </c>
      <c r="AC189" s="307">
        <v>0.99157855979237719</v>
      </c>
      <c r="AD189" s="307">
        <v>0.98518826631127165</v>
      </c>
      <c r="AE189" s="307">
        <v>0.93146148312221744</v>
      </c>
      <c r="AF189" s="307">
        <v>0.93108800012385684</v>
      </c>
      <c r="AG189" s="307">
        <v>0.92444638554965808</v>
      </c>
      <c r="AH189" s="307">
        <v>0.9165696149725584</v>
      </c>
      <c r="AI189" s="307">
        <v>0.98697022248910182</v>
      </c>
      <c r="AJ189" s="307">
        <v>0.90660367315661972</v>
      </c>
      <c r="AK189" s="307">
        <v>0.95522881637242918</v>
      </c>
      <c r="AL189" s="307">
        <v>0.90958572704634477</v>
      </c>
      <c r="AM189" s="307">
        <v>0.95297513904363496</v>
      </c>
      <c r="AN189" s="307">
        <v>0.90599800941664921</v>
      </c>
      <c r="AO189" s="307">
        <v>0.91109258194837861</v>
      </c>
      <c r="AP189" s="307">
        <v>0.92042492922973695</v>
      </c>
      <c r="AQ189" s="307">
        <v>0.925378439050764</v>
      </c>
      <c r="AR189" s="307">
        <v>0.91286622279371565</v>
      </c>
    </row>
    <row r="190" spans="1:44" s="308" customFormat="1" hidden="1" outlineLevel="1" x14ac:dyDescent="0.3">
      <c r="A190" s="306">
        <v>1953</v>
      </c>
      <c r="B190" s="307">
        <v>0.96530371931190695</v>
      </c>
      <c r="C190" s="307">
        <v>1.0286696956321764</v>
      </c>
      <c r="D190" s="307">
        <v>0.95707946589300885</v>
      </c>
      <c r="E190" s="307">
        <v>1.0473272841287979</v>
      </c>
      <c r="F190" s="307">
        <v>1.0386005862007017</v>
      </c>
      <c r="G190" s="307">
        <v>1.0181227754386226</v>
      </c>
      <c r="H190" s="307">
        <v>0.99102147535631036</v>
      </c>
      <c r="I190" s="307">
        <v>1.0291826805138853</v>
      </c>
      <c r="J190" s="307">
        <v>0.99329118662799609</v>
      </c>
      <c r="K190" s="307">
        <v>1.0367139512948726</v>
      </c>
      <c r="L190" s="307">
        <v>1.0265048847150986</v>
      </c>
      <c r="M190" s="307">
        <v>0.94803577192240884</v>
      </c>
      <c r="N190" s="307">
        <v>1.0324555121929333</v>
      </c>
      <c r="O190" s="307">
        <v>1.0241884067216518</v>
      </c>
      <c r="P190" s="307">
        <v>1.0096813388945105</v>
      </c>
      <c r="Q190" s="307">
        <v>1.0580927977860255</v>
      </c>
      <c r="R190" s="307">
        <v>1.0464064808011473</v>
      </c>
      <c r="S190" s="307">
        <v>1.0571177956841138</v>
      </c>
      <c r="T190" s="307">
        <v>1.0151207520480869</v>
      </c>
      <c r="U190" s="307">
        <v>1.0636942191481651</v>
      </c>
      <c r="V190" s="307">
        <v>1.0356644364232177</v>
      </c>
      <c r="W190" s="307">
        <v>1.0232684855345788</v>
      </c>
      <c r="X190" s="307">
        <v>1.0553273444089557</v>
      </c>
      <c r="Y190" s="307">
        <v>1.0626333041236107</v>
      </c>
      <c r="Z190" s="307">
        <v>1.0643252739415239</v>
      </c>
      <c r="AA190" s="307">
        <v>1.0638972276360465</v>
      </c>
      <c r="AB190" s="307">
        <v>1.0412545134869799</v>
      </c>
      <c r="AC190" s="307">
        <v>1.0676537699455699</v>
      </c>
      <c r="AD190" s="307">
        <v>1.0496955401205521</v>
      </c>
      <c r="AE190" s="307">
        <v>1.0760945289032799</v>
      </c>
      <c r="AF190" s="307">
        <v>1.09559590364508</v>
      </c>
      <c r="AG190" s="307">
        <v>1.0711880037534554</v>
      </c>
      <c r="AH190" s="307">
        <v>1.044083466799377</v>
      </c>
      <c r="AI190" s="307">
        <v>1.0500449075220191</v>
      </c>
      <c r="AJ190" s="307">
        <v>1.0749227528967265</v>
      </c>
      <c r="AK190" s="307">
        <v>1.078544218675773</v>
      </c>
      <c r="AL190" s="307">
        <v>1.1136037495084596</v>
      </c>
      <c r="AM190" s="307">
        <v>1.0644143437582998</v>
      </c>
      <c r="AN190" s="307">
        <v>1.0813341244089889</v>
      </c>
      <c r="AO190" s="307">
        <v>1.0929266566858982</v>
      </c>
      <c r="AP190" s="307">
        <v>1.1201297966997448</v>
      </c>
      <c r="AQ190" s="307">
        <v>1.0852621212478673</v>
      </c>
      <c r="AR190" s="307">
        <v>1.1022324741717482</v>
      </c>
    </row>
    <row r="191" spans="1:44" s="308" customFormat="1" hidden="1" outlineLevel="1" x14ac:dyDescent="0.3">
      <c r="A191" s="306">
        <v>1954</v>
      </c>
      <c r="B191" s="307">
        <v>1.0125684202617695</v>
      </c>
      <c r="C191" s="307">
        <v>0.97323025929230855</v>
      </c>
      <c r="D191" s="307">
        <v>0.95808372363206917</v>
      </c>
      <c r="E191" s="307">
        <v>0.99227706193183929</v>
      </c>
      <c r="F191" s="307">
        <v>0.95212396679416966</v>
      </c>
      <c r="G191" s="307">
        <v>0.97947460577627499</v>
      </c>
      <c r="H191" s="307">
        <v>1.0021398352843698</v>
      </c>
      <c r="I191" s="307">
        <v>0.95092902794029144</v>
      </c>
      <c r="J191" s="307">
        <v>1.0250526870178229</v>
      </c>
      <c r="K191" s="307">
        <v>0.97129498240169454</v>
      </c>
      <c r="L191" s="307">
        <v>0.9966369567728306</v>
      </c>
      <c r="M191" s="307">
        <v>0.95787713065194269</v>
      </c>
      <c r="N191" s="307">
        <v>0.97092721731924669</v>
      </c>
      <c r="O191" s="307">
        <v>0.9779604435394883</v>
      </c>
      <c r="P191" s="307">
        <v>0.96807055313098589</v>
      </c>
      <c r="Q191" s="307">
        <v>1.013214565856227</v>
      </c>
      <c r="R191" s="307">
        <v>1.0315079933734637</v>
      </c>
      <c r="S191" s="307">
        <v>1.0145515585739366</v>
      </c>
      <c r="T191" s="307">
        <v>0.96753728568567277</v>
      </c>
      <c r="U191" s="307">
        <v>0.98972482114315752</v>
      </c>
      <c r="V191" s="307">
        <v>1.0080328371737146</v>
      </c>
      <c r="W191" s="307">
        <v>0.99933233750048844</v>
      </c>
      <c r="X191" s="307">
        <v>0.97010549614788866</v>
      </c>
      <c r="Y191" s="307">
        <v>0.99973163690687739</v>
      </c>
      <c r="Z191" s="307">
        <v>1.0215581938810676</v>
      </c>
      <c r="AA191" s="307">
        <v>0.9834571801127564</v>
      </c>
      <c r="AB191" s="307">
        <v>0.98319188862515949</v>
      </c>
      <c r="AC191" s="307">
        <v>0.98749886344939053</v>
      </c>
      <c r="AD191" s="307">
        <v>0.98606072631734498</v>
      </c>
      <c r="AE191" s="307">
        <v>0.98977857143849202</v>
      </c>
      <c r="AF191" s="307">
        <v>0.96850369719198404</v>
      </c>
      <c r="AG191" s="307">
        <v>0.99038065925219698</v>
      </c>
      <c r="AH191" s="307">
        <v>0.95738077335134053</v>
      </c>
      <c r="AI191" s="307">
        <v>1.0247229535411662</v>
      </c>
      <c r="AJ191" s="307">
        <v>0.96194524783535906</v>
      </c>
      <c r="AK191" s="307">
        <v>0.97142521472004273</v>
      </c>
      <c r="AL191" s="307">
        <v>0.92559149109498284</v>
      </c>
      <c r="AM191" s="307">
        <v>0.99950141913439527</v>
      </c>
      <c r="AN191" s="307">
        <v>0.99475974993385374</v>
      </c>
      <c r="AO191" s="307">
        <v>0.94444228731112545</v>
      </c>
      <c r="AP191" s="307">
        <v>0.91972100670506107</v>
      </c>
      <c r="AQ191" s="307">
        <v>0.93790904488441418</v>
      </c>
      <c r="AR191" s="307">
        <v>0.9702425564896684</v>
      </c>
    </row>
    <row r="192" spans="1:44" s="308" customFormat="1" hidden="1" outlineLevel="1" x14ac:dyDescent="0.3">
      <c r="A192" s="306">
        <v>1955</v>
      </c>
      <c r="B192" s="307">
        <v>1.0829484065501593</v>
      </c>
      <c r="C192" s="307">
        <v>1.0041306896618234</v>
      </c>
      <c r="D192" s="307">
        <v>1.1391163480921054</v>
      </c>
      <c r="E192" s="307">
        <v>1.0281044107166348</v>
      </c>
      <c r="F192" s="307">
        <v>1.0254080013472722</v>
      </c>
      <c r="G192" s="307">
        <v>1.0677806739727247</v>
      </c>
      <c r="H192" s="307">
        <v>1.0297767758317493</v>
      </c>
      <c r="I192" s="307">
        <v>1.0624385971792709</v>
      </c>
      <c r="J192" s="307">
        <v>1.0497624815605819</v>
      </c>
      <c r="K192" s="307">
        <v>1.0088433307597884</v>
      </c>
      <c r="L192" s="307">
        <v>1.025722262589609</v>
      </c>
      <c r="M192" s="307">
        <v>1.1374021509921364</v>
      </c>
      <c r="N192" s="307">
        <v>1.024589885443183</v>
      </c>
      <c r="O192" s="307">
        <v>0.95533691184502489</v>
      </c>
      <c r="P192" s="307">
        <v>0.91739110442364968</v>
      </c>
      <c r="Q192" s="307">
        <v>1.0227577177822427</v>
      </c>
      <c r="R192" s="307">
        <v>0.9956872749510538</v>
      </c>
      <c r="S192" s="307">
        <v>1.0132499862047692</v>
      </c>
      <c r="T192" s="307">
        <v>0.98970140512362337</v>
      </c>
      <c r="U192" s="307">
        <v>0.99249179418735689</v>
      </c>
      <c r="V192" s="307">
        <v>1.0057870941840505</v>
      </c>
      <c r="W192" s="307">
        <v>0.99980610865769481</v>
      </c>
      <c r="X192" s="307">
        <v>1.0002304635788581</v>
      </c>
      <c r="Y192" s="307">
        <v>1.0314600796020232</v>
      </c>
      <c r="Z192" s="307">
        <v>1.0461925547409483</v>
      </c>
      <c r="AA192" s="307">
        <v>1.0194234923150216</v>
      </c>
      <c r="AB192" s="307">
        <v>1.043874995458004</v>
      </c>
      <c r="AC192" s="307">
        <v>1.0400075534706168</v>
      </c>
      <c r="AD192" s="307">
        <v>1.0182786366559</v>
      </c>
      <c r="AE192" s="307">
        <v>0.95308281660712024</v>
      </c>
      <c r="AF192" s="307">
        <v>0.92434667458624842</v>
      </c>
      <c r="AG192" s="307">
        <v>0.98973595614109466</v>
      </c>
      <c r="AH192" s="307">
        <v>0.96617234719868261</v>
      </c>
      <c r="AI192" s="307">
        <v>0.99405771435271473</v>
      </c>
      <c r="AJ192" s="307">
        <v>0.99459226579212612</v>
      </c>
      <c r="AK192" s="307">
        <v>1.0019147223146034</v>
      </c>
      <c r="AL192" s="307">
        <v>0.98003550752147439</v>
      </c>
      <c r="AM192" s="307">
        <v>1.0118711862341438</v>
      </c>
      <c r="AN192" s="307">
        <v>1.0158997600697823</v>
      </c>
      <c r="AO192" s="307">
        <v>1.0022706804736041</v>
      </c>
      <c r="AP192" s="307">
        <v>0.98602829691568683</v>
      </c>
      <c r="AQ192" s="307">
        <v>1.0066615294168837</v>
      </c>
      <c r="AR192" s="307">
        <v>0.95308445592614088</v>
      </c>
    </row>
    <row r="193" spans="1:44" s="308" customFormat="1" hidden="1" outlineLevel="1" x14ac:dyDescent="0.3">
      <c r="A193" s="306">
        <v>1956</v>
      </c>
      <c r="B193" s="307">
        <v>1.0870685807153389</v>
      </c>
      <c r="C193" s="307">
        <v>1.0233523261288577</v>
      </c>
      <c r="D193" s="307">
        <v>1.1001542361923524</v>
      </c>
      <c r="E193" s="307">
        <v>1.0288388394350401</v>
      </c>
      <c r="F193" s="307">
        <v>1.0367686188222196</v>
      </c>
      <c r="G193" s="307">
        <v>1.0533908605213893</v>
      </c>
      <c r="H193" s="307">
        <v>1.0501771376017619</v>
      </c>
      <c r="I193" s="307">
        <v>1.0694076130923371</v>
      </c>
      <c r="J193" s="307">
        <v>1.0430278150066183</v>
      </c>
      <c r="K193" s="307">
        <v>1.0262543202366721</v>
      </c>
      <c r="L193" s="307">
        <v>1.0261404246677228</v>
      </c>
      <c r="M193" s="307">
        <v>1.0992500531213429</v>
      </c>
      <c r="N193" s="307">
        <v>1.0550931800373529</v>
      </c>
      <c r="O193" s="307">
        <v>1.0033879154010159</v>
      </c>
      <c r="P193" s="307">
        <v>0.99614285732493835</v>
      </c>
      <c r="Q193" s="307">
        <v>1.0529874525527068</v>
      </c>
      <c r="R193" s="307">
        <v>1.0587757109150735</v>
      </c>
      <c r="S193" s="307">
        <v>1.0246170515621642</v>
      </c>
      <c r="T193" s="307">
        <v>1.0025080210972088</v>
      </c>
      <c r="U193" s="307">
        <v>1.0587318061351798</v>
      </c>
      <c r="V193" s="307">
        <v>1.0249693550918499</v>
      </c>
      <c r="W193" s="307">
        <v>1.0204238791920226</v>
      </c>
      <c r="X193" s="307">
        <v>1.0412168577065293</v>
      </c>
      <c r="Y193" s="307">
        <v>1.0832577741052043</v>
      </c>
      <c r="Z193" s="307">
        <v>1.1118787384396096</v>
      </c>
      <c r="AA193" s="307">
        <v>1.0617447002854328</v>
      </c>
      <c r="AB193" s="307">
        <v>1.0805681146494717</v>
      </c>
      <c r="AC193" s="307">
        <v>1.0703225106950478</v>
      </c>
      <c r="AD193" s="307">
        <v>1.0483773842748436</v>
      </c>
      <c r="AE193" s="307">
        <v>1.0315468250561386</v>
      </c>
      <c r="AF193" s="307">
        <v>1.0395240810079076</v>
      </c>
      <c r="AG193" s="307">
        <v>1.0544794768506964</v>
      </c>
      <c r="AH193" s="307">
        <v>1.0615945524133452</v>
      </c>
      <c r="AI193" s="307">
        <v>1.0621788603509188</v>
      </c>
      <c r="AJ193" s="307">
        <v>1.0682770866351772</v>
      </c>
      <c r="AK193" s="307">
        <v>1.078489839437591</v>
      </c>
      <c r="AL193" s="307">
        <v>1.0830744209777303</v>
      </c>
      <c r="AM193" s="307">
        <v>1.0500372268368479</v>
      </c>
      <c r="AN193" s="307">
        <v>1.0608382990571346</v>
      </c>
      <c r="AO193" s="307">
        <v>1.0854474303848392</v>
      </c>
      <c r="AP193" s="307">
        <v>1.0898543195803154</v>
      </c>
      <c r="AQ193" s="307">
        <v>1.0751028882719424</v>
      </c>
      <c r="AR193" s="307">
        <v>1.0834788685451979</v>
      </c>
    </row>
    <row r="194" spans="1:44" s="308" customFormat="1" hidden="1" outlineLevel="1" x14ac:dyDescent="0.3">
      <c r="A194" s="306">
        <v>1957</v>
      </c>
      <c r="B194" s="307">
        <v>0.90757463011385675</v>
      </c>
      <c r="C194" s="307">
        <v>0.88472277771765462</v>
      </c>
      <c r="D194" s="307">
        <v>0.87371160970235717</v>
      </c>
      <c r="E194" s="307">
        <v>0.91833392705127626</v>
      </c>
      <c r="F194" s="307">
        <v>0.90943519816840868</v>
      </c>
      <c r="G194" s="307">
        <v>0.95261869260539167</v>
      </c>
      <c r="H194" s="307">
        <v>0.92015302975906799</v>
      </c>
      <c r="I194" s="307">
        <v>0.84746434615720267</v>
      </c>
      <c r="J194" s="307">
        <v>0.92518158000998385</v>
      </c>
      <c r="K194" s="307">
        <v>0.89055586205520343</v>
      </c>
      <c r="L194" s="307">
        <v>0.90295035096199039</v>
      </c>
      <c r="M194" s="307">
        <v>0.86929041656355188</v>
      </c>
      <c r="N194" s="307">
        <v>0.89290247339845186</v>
      </c>
      <c r="O194" s="307">
        <v>0.95506179585635054</v>
      </c>
      <c r="P194" s="307">
        <v>0.93098488271848889</v>
      </c>
      <c r="Q194" s="307">
        <v>0.93688597306111077</v>
      </c>
      <c r="R194" s="307">
        <v>0.98759007662503007</v>
      </c>
      <c r="S194" s="307">
        <v>0.9318294035557444</v>
      </c>
      <c r="T194" s="307">
        <v>0.90637166325884244</v>
      </c>
      <c r="U194" s="307">
        <v>0.90359590816186641</v>
      </c>
      <c r="V194" s="307">
        <v>0.93538272512301734</v>
      </c>
      <c r="W194" s="307">
        <v>0.92981136438099177</v>
      </c>
      <c r="X194" s="307">
        <v>0.92907207738283404</v>
      </c>
      <c r="Y194" s="307">
        <v>0.93047919471203777</v>
      </c>
      <c r="Z194" s="307">
        <v>0.95126531935847658</v>
      </c>
      <c r="AA194" s="307">
        <v>0.92296099839039569</v>
      </c>
      <c r="AB194" s="307">
        <v>0.91624357787380362</v>
      </c>
      <c r="AC194" s="307">
        <v>0.94921302038704236</v>
      </c>
      <c r="AD194" s="307">
        <v>0.92443381511243761</v>
      </c>
      <c r="AE194" s="307">
        <v>0.93292911694487701</v>
      </c>
      <c r="AF194" s="307">
        <v>0.92602674447792355</v>
      </c>
      <c r="AG194" s="307">
        <v>0.89581590898652985</v>
      </c>
      <c r="AH194" s="307">
        <v>0.83744545034647944</v>
      </c>
      <c r="AI194" s="307">
        <v>0.97499345207435739</v>
      </c>
      <c r="AJ194" s="307">
        <v>0.89721444592791588</v>
      </c>
      <c r="AK194" s="307">
        <v>0.95628217527635329</v>
      </c>
      <c r="AL194" s="307">
        <v>0.89778592443227645</v>
      </c>
      <c r="AM194" s="307">
        <v>0.96176097561938034</v>
      </c>
      <c r="AN194" s="307">
        <v>0.92979842507468358</v>
      </c>
      <c r="AO194" s="307">
        <v>0.89826689981483976</v>
      </c>
      <c r="AP194" s="307">
        <v>0.87898070319822053</v>
      </c>
      <c r="AQ194" s="307">
        <v>0.92506188704680559</v>
      </c>
      <c r="AR194" s="307">
        <v>0.88244050878377889</v>
      </c>
    </row>
    <row r="195" spans="1:44" s="308" customFormat="1" hidden="1" outlineLevel="1" x14ac:dyDescent="0.3">
      <c r="A195" s="306">
        <v>1958</v>
      </c>
      <c r="B195" s="307">
        <v>1.0357622284365566</v>
      </c>
      <c r="C195" s="307">
        <v>0.99718743113726949</v>
      </c>
      <c r="D195" s="307">
        <v>0.97870583788813859</v>
      </c>
      <c r="E195" s="307">
        <v>1.0132881096149013</v>
      </c>
      <c r="F195" s="307">
        <v>0.99548454433455569</v>
      </c>
      <c r="G195" s="307">
        <v>1.029339004654467</v>
      </c>
      <c r="H195" s="307">
        <v>1.0420483293740073</v>
      </c>
      <c r="I195" s="307">
        <v>1.0392815540229448</v>
      </c>
      <c r="J195" s="307">
        <v>1.0413235188171046</v>
      </c>
      <c r="K195" s="307">
        <v>0.99077306132827725</v>
      </c>
      <c r="L195" s="307">
        <v>1.0159458325277786</v>
      </c>
      <c r="M195" s="307">
        <v>0.98218460309972977</v>
      </c>
      <c r="N195" s="307">
        <v>1.0165137673401867</v>
      </c>
      <c r="O195" s="307">
        <v>0.91923736015190971</v>
      </c>
      <c r="P195" s="307">
        <v>0.92474556888417958</v>
      </c>
      <c r="Q195" s="307">
        <v>0.99928470417874382</v>
      </c>
      <c r="R195" s="307">
        <v>0.96534512449095389</v>
      </c>
      <c r="S195" s="307">
        <v>0.97826179266618885</v>
      </c>
      <c r="T195" s="307">
        <v>0.98917077242989704</v>
      </c>
      <c r="U195" s="307">
        <v>0.97368531267303182</v>
      </c>
      <c r="V195" s="307">
        <v>0.94338192342177352</v>
      </c>
      <c r="W195" s="307">
        <v>0.95144633282029611</v>
      </c>
      <c r="X195" s="307">
        <v>0.97194786782420595</v>
      </c>
      <c r="Y195" s="307">
        <v>1.0060712881659466</v>
      </c>
      <c r="Z195" s="307">
        <v>1.057333558790311</v>
      </c>
      <c r="AA195" s="307">
        <v>1.0147945060132886</v>
      </c>
      <c r="AB195" s="307">
        <v>1.0519565525622918</v>
      </c>
      <c r="AC195" s="307">
        <v>0.99084638951350956</v>
      </c>
      <c r="AD195" s="307">
        <v>1.0391957500038425</v>
      </c>
      <c r="AE195" s="307">
        <v>0.94680914676959882</v>
      </c>
      <c r="AF195" s="307">
        <v>0.93988710840153489</v>
      </c>
      <c r="AG195" s="307">
        <v>0.95064979686491524</v>
      </c>
      <c r="AH195" s="307">
        <v>0.99300346191857636</v>
      </c>
      <c r="AI195" s="307">
        <v>0.98280416242192381</v>
      </c>
      <c r="AJ195" s="307">
        <v>0.92678288700089584</v>
      </c>
      <c r="AK195" s="307">
        <v>0.98082188130940207</v>
      </c>
      <c r="AL195" s="307">
        <v>0.98268330106906887</v>
      </c>
      <c r="AM195" s="307">
        <v>0.95882090700328226</v>
      </c>
      <c r="AN195" s="307">
        <v>0.92627017936925804</v>
      </c>
      <c r="AO195" s="307">
        <v>0.95069008973115154</v>
      </c>
      <c r="AP195" s="307">
        <v>0.99885191201883849</v>
      </c>
      <c r="AQ195" s="307">
        <v>0.96725313870242191</v>
      </c>
      <c r="AR195" s="307">
        <v>0.9977356257574167</v>
      </c>
    </row>
    <row r="196" spans="1:44" s="308" customFormat="1" hidden="1" outlineLevel="1" x14ac:dyDescent="0.3">
      <c r="A196" s="306">
        <v>1959</v>
      </c>
      <c r="B196" s="307">
        <v>1.2079452090826588</v>
      </c>
      <c r="C196" s="307">
        <v>1.1211592216979023</v>
      </c>
      <c r="D196" s="307">
        <v>1.1631921192127677</v>
      </c>
      <c r="E196" s="307">
        <v>1.1398227270699368</v>
      </c>
      <c r="F196" s="307">
        <v>1.1358357011559999</v>
      </c>
      <c r="G196" s="307">
        <v>1.171280820118545</v>
      </c>
      <c r="H196" s="307">
        <v>1.1628781626519029</v>
      </c>
      <c r="I196" s="307">
        <v>1.1892569740993342</v>
      </c>
      <c r="J196" s="307">
        <v>1.1724701465107858</v>
      </c>
      <c r="K196" s="307">
        <v>1.1076391594783923</v>
      </c>
      <c r="L196" s="307">
        <v>1.1459257582352129</v>
      </c>
      <c r="M196" s="307">
        <v>1.168223959672559</v>
      </c>
      <c r="N196" s="307">
        <v>1.1708403934642739</v>
      </c>
      <c r="O196" s="307">
        <v>1.0907211891236612</v>
      </c>
      <c r="P196" s="307">
        <v>1.0937784419049563</v>
      </c>
      <c r="Q196" s="307">
        <v>1.1102585517019106</v>
      </c>
      <c r="R196" s="307">
        <v>1.0975278653760436</v>
      </c>
      <c r="S196" s="307">
        <v>1.1203742128256475</v>
      </c>
      <c r="T196" s="307">
        <v>1.1228595978242755</v>
      </c>
      <c r="U196" s="307">
        <v>1.095268154728263</v>
      </c>
      <c r="V196" s="307">
        <v>1.0829949912372105</v>
      </c>
      <c r="W196" s="307">
        <v>1.0983729110210911</v>
      </c>
      <c r="X196" s="307">
        <v>1.0842117392098862</v>
      </c>
      <c r="Y196" s="307">
        <v>1.1330435113963309</v>
      </c>
      <c r="Z196" s="307">
        <v>1.1956813055557827</v>
      </c>
      <c r="AA196" s="307">
        <v>1.1419489685985991</v>
      </c>
      <c r="AB196" s="307">
        <v>1.2048339042854317</v>
      </c>
      <c r="AC196" s="307">
        <v>1.1140358681682971</v>
      </c>
      <c r="AD196" s="307">
        <v>1.1678444030698321</v>
      </c>
      <c r="AE196" s="307">
        <v>1.0947578450068816</v>
      </c>
      <c r="AF196" s="307">
        <v>1.0942271597152331</v>
      </c>
      <c r="AG196" s="307">
        <v>1.0801679776548125</v>
      </c>
      <c r="AH196" s="307">
        <v>1.1181632857753416</v>
      </c>
      <c r="AI196" s="307">
        <v>1.034773259814028</v>
      </c>
      <c r="AJ196" s="307">
        <v>1.0488599184100538</v>
      </c>
      <c r="AK196" s="307">
        <v>1.0798235886504921</v>
      </c>
      <c r="AL196" s="307">
        <v>1.0898614503137729</v>
      </c>
      <c r="AM196" s="307">
        <v>1.0485068135075108</v>
      </c>
      <c r="AN196" s="307">
        <v>1.0522226576018434</v>
      </c>
      <c r="AO196" s="307">
        <v>1.0769666232221242</v>
      </c>
      <c r="AP196" s="307">
        <v>1.0865210420572244</v>
      </c>
      <c r="AQ196" s="307">
        <v>1.0867343315278357</v>
      </c>
      <c r="AR196" s="307">
        <v>1.1325084939065517</v>
      </c>
    </row>
    <row r="197" spans="1:44" s="308" customFormat="1" hidden="1" outlineLevel="1" x14ac:dyDescent="0.3">
      <c r="A197" s="306">
        <v>1960</v>
      </c>
      <c r="B197" s="307">
        <v>1.0428746550326013</v>
      </c>
      <c r="C197" s="307">
        <v>1.033947561406668</v>
      </c>
      <c r="D197" s="307">
        <v>0.98861649787116002</v>
      </c>
      <c r="E197" s="307">
        <v>1.0520105976954381</v>
      </c>
      <c r="F197" s="307">
        <v>1.0323799793098951</v>
      </c>
      <c r="G197" s="307">
        <v>1.0456199265201018</v>
      </c>
      <c r="H197" s="307">
        <v>1.0603529443903545</v>
      </c>
      <c r="I197" s="307">
        <v>1.0037003576904877</v>
      </c>
      <c r="J197" s="307">
        <v>1.0768444860141229</v>
      </c>
      <c r="K197" s="307">
        <v>1.0295496547297007</v>
      </c>
      <c r="L197" s="307">
        <v>1.0533494038383251</v>
      </c>
      <c r="M197" s="307">
        <v>0.99102903444867596</v>
      </c>
      <c r="N197" s="307">
        <v>1.0159401158023615</v>
      </c>
      <c r="O197" s="307">
        <v>1.0545435200332571</v>
      </c>
      <c r="P197" s="307">
        <v>1.0414032269560947</v>
      </c>
      <c r="Q197" s="307">
        <v>1.0691778884980128</v>
      </c>
      <c r="R197" s="307">
        <v>1.0600179963094634</v>
      </c>
      <c r="S197" s="307">
        <v>1.0622951613303571</v>
      </c>
      <c r="T197" s="307">
        <v>1.0305703270154243</v>
      </c>
      <c r="U197" s="307">
        <v>1.0595964814359657</v>
      </c>
      <c r="V197" s="307">
        <v>1.0294503688465322</v>
      </c>
      <c r="W197" s="307">
        <v>1.0293243315195781</v>
      </c>
      <c r="X197" s="307">
        <v>1.049963639635688</v>
      </c>
      <c r="Y197" s="307">
        <v>1.088349232254888</v>
      </c>
      <c r="Z197" s="307">
        <v>1.0467643071481738</v>
      </c>
      <c r="AA197" s="307">
        <v>1.0403552548879182</v>
      </c>
      <c r="AB197" s="307">
        <v>1.0427796159524101</v>
      </c>
      <c r="AC197" s="307">
        <v>1.0244386760528135</v>
      </c>
      <c r="AD197" s="307">
        <v>1.0370941944018348</v>
      </c>
      <c r="AE197" s="307">
        <v>0.98298307447188638</v>
      </c>
      <c r="AF197" s="307">
        <v>0.96595677525285872</v>
      </c>
      <c r="AG197" s="307">
        <v>1.0638625934816248</v>
      </c>
      <c r="AH197" s="307">
        <v>1.0656540496270086</v>
      </c>
      <c r="AI197" s="307">
        <v>1.0272249135456177</v>
      </c>
      <c r="AJ197" s="307">
        <v>1.0442006942854505</v>
      </c>
      <c r="AK197" s="307">
        <v>1.0774148862963244</v>
      </c>
      <c r="AL197" s="307">
        <v>1.0582226094718912</v>
      </c>
      <c r="AM197" s="307">
        <v>1.0605016904489102</v>
      </c>
      <c r="AN197" s="307">
        <v>1.0715242654887145</v>
      </c>
      <c r="AO197" s="307">
        <v>1.0571725801568002</v>
      </c>
      <c r="AP197" s="307">
        <v>1.0563643557587639</v>
      </c>
      <c r="AQ197" s="307">
        <v>1.0906475664739359</v>
      </c>
      <c r="AR197" s="307">
        <v>1.0677861181293793</v>
      </c>
    </row>
    <row r="198" spans="1:44" s="308" customFormat="1" hidden="1" outlineLevel="1" x14ac:dyDescent="0.3">
      <c r="A198" s="306">
        <v>1961</v>
      </c>
      <c r="B198" s="307">
        <v>1.0289187212236035</v>
      </c>
      <c r="C198" s="307">
        <v>1.0247330876360998</v>
      </c>
      <c r="D198" s="307">
        <v>1.0043405629126738</v>
      </c>
      <c r="E198" s="307">
        <v>1.0239213601900681</v>
      </c>
      <c r="F198" s="307">
        <v>1.0324927913924458</v>
      </c>
      <c r="G198" s="307">
        <v>1.031871350979362</v>
      </c>
      <c r="H198" s="307">
        <v>1.0221959598630037</v>
      </c>
      <c r="I198" s="307">
        <v>1.0349859759316704</v>
      </c>
      <c r="J198" s="307">
        <v>1.0245222364565774</v>
      </c>
      <c r="K198" s="307">
        <v>1.0235079599196397</v>
      </c>
      <c r="L198" s="307">
        <v>1.0248582875644143</v>
      </c>
      <c r="M198" s="307">
        <v>1.0038398552060936</v>
      </c>
      <c r="N198" s="307">
        <v>1.0426362867360122</v>
      </c>
      <c r="O198" s="307">
        <v>1.0631090286172633</v>
      </c>
      <c r="P198" s="307">
        <v>1.055697430437651</v>
      </c>
      <c r="Q198" s="307">
        <v>1.0650932447456396</v>
      </c>
      <c r="R198" s="307">
        <v>1.0414641511385745</v>
      </c>
      <c r="S198" s="307">
        <v>1.070172084483022</v>
      </c>
      <c r="T198" s="307">
        <v>1.0578366838930506</v>
      </c>
      <c r="U198" s="307">
        <v>1.035037998958837</v>
      </c>
      <c r="V198" s="307">
        <v>1.0439485300015843</v>
      </c>
      <c r="W198" s="307">
        <v>1.0574448121926729</v>
      </c>
      <c r="X198" s="307">
        <v>1.0539446992865698</v>
      </c>
      <c r="Y198" s="307">
        <v>1.0357944736423852</v>
      </c>
      <c r="Z198" s="307">
        <v>1.0361460481568459</v>
      </c>
      <c r="AA198" s="307">
        <v>1.0331440108126626</v>
      </c>
      <c r="AB198" s="307">
        <v>1.0342322713449956</v>
      </c>
      <c r="AC198" s="307">
        <v>1.0455325363244614</v>
      </c>
      <c r="AD198" s="307">
        <v>1.0398964479223045</v>
      </c>
      <c r="AE198" s="307">
        <v>1.0696820504871678</v>
      </c>
      <c r="AF198" s="307">
        <v>1.046681648202141</v>
      </c>
      <c r="AG198" s="307">
        <v>1.0647843699665276</v>
      </c>
      <c r="AH198" s="307">
        <v>1.0879332429150137</v>
      </c>
      <c r="AI198" s="307">
        <v>1.0225633336580939</v>
      </c>
      <c r="AJ198" s="307">
        <v>1.0803643936841902</v>
      </c>
      <c r="AK198" s="307">
        <v>1.086692093111703</v>
      </c>
      <c r="AL198" s="307">
        <v>1.1074047693714317</v>
      </c>
      <c r="AM198" s="307">
        <v>1.044882292850253</v>
      </c>
      <c r="AN198" s="307">
        <v>1.0648676503913299</v>
      </c>
      <c r="AO198" s="307">
        <v>1.1082561083638389</v>
      </c>
      <c r="AP198" s="307">
        <v>1.1089207141815038</v>
      </c>
      <c r="AQ198" s="307">
        <v>1.0972972112488697</v>
      </c>
      <c r="AR198" s="307">
        <v>1.0890816923561542</v>
      </c>
    </row>
    <row r="199" spans="1:44" s="308" customFormat="1" hidden="1" outlineLevel="1" x14ac:dyDescent="0.3">
      <c r="A199" s="306">
        <v>1962</v>
      </c>
      <c r="B199" s="307">
        <v>1.0431991400796825</v>
      </c>
      <c r="C199" s="307">
        <v>1.0080715613338538</v>
      </c>
      <c r="D199" s="307">
        <v>1.0734705455441653</v>
      </c>
      <c r="E199" s="307">
        <v>1.008956044565759</v>
      </c>
      <c r="F199" s="307">
        <v>1.0044351777340568</v>
      </c>
      <c r="G199" s="307">
        <v>1.0170685368398464</v>
      </c>
      <c r="H199" s="307">
        <v>1.0389164402569497</v>
      </c>
      <c r="I199" s="307">
        <v>1.0155879510459722</v>
      </c>
      <c r="J199" s="307">
        <v>1.0245615617233741</v>
      </c>
      <c r="K199" s="307">
        <v>1.0054624125336462</v>
      </c>
      <c r="L199" s="307">
        <v>1.0113690142495786</v>
      </c>
      <c r="M199" s="307">
        <v>1.0679261319171909</v>
      </c>
      <c r="N199" s="307">
        <v>1.0043844198819845</v>
      </c>
      <c r="O199" s="307">
        <v>1.042039677776863</v>
      </c>
      <c r="P199" s="307">
        <v>1.0207130355853054</v>
      </c>
      <c r="Q199" s="307">
        <v>1.055435510448103</v>
      </c>
      <c r="R199" s="307">
        <v>1.0217663309282474</v>
      </c>
      <c r="S199" s="307">
        <v>1.0518247347161664</v>
      </c>
      <c r="T199" s="307">
        <v>1.0384379771474042</v>
      </c>
      <c r="U199" s="307">
        <v>1.0083352576663607</v>
      </c>
      <c r="V199" s="307">
        <v>1.0266051920144033</v>
      </c>
      <c r="W199" s="307">
        <v>1.032589058845149</v>
      </c>
      <c r="X199" s="307">
        <v>1.0115541657438207</v>
      </c>
      <c r="Y199" s="307">
        <v>1.0159072565560654</v>
      </c>
      <c r="Z199" s="307">
        <v>1.0067579744254627</v>
      </c>
      <c r="AA199" s="307">
        <v>0.99035305551070041</v>
      </c>
      <c r="AB199" s="307">
        <v>1.0234780927091665</v>
      </c>
      <c r="AC199" s="307">
        <v>1.0141585435101992</v>
      </c>
      <c r="AD199" s="307">
        <v>1.0077513647447045</v>
      </c>
      <c r="AE199" s="307">
        <v>1.0145370987919899</v>
      </c>
      <c r="AF199" s="307">
        <v>0.97405651186243336</v>
      </c>
      <c r="AG199" s="307">
        <v>1.0352294134456335</v>
      </c>
      <c r="AH199" s="307">
        <v>1.0648013150052036</v>
      </c>
      <c r="AI199" s="307">
        <v>1.0249712688807342</v>
      </c>
      <c r="AJ199" s="307">
        <v>1.043365282766741</v>
      </c>
      <c r="AK199" s="307">
        <v>1.0565757910909686</v>
      </c>
      <c r="AL199" s="307">
        <v>1.0237357460930328</v>
      </c>
      <c r="AM199" s="307">
        <v>1.0323526310434945</v>
      </c>
      <c r="AN199" s="307">
        <v>1.0290980270221961</v>
      </c>
      <c r="AO199" s="307">
        <v>1.0423818239885767</v>
      </c>
      <c r="AP199" s="307">
        <v>1.0225816134455672</v>
      </c>
      <c r="AQ199" s="307">
        <v>1.0486430753583889</v>
      </c>
      <c r="AR199" s="307">
        <v>1.0191640954836914</v>
      </c>
    </row>
    <row r="200" spans="1:44" s="308" customFormat="1" hidden="1" outlineLevel="1" x14ac:dyDescent="0.3">
      <c r="A200" s="306">
        <v>1963</v>
      </c>
      <c r="B200" s="307">
        <v>0.84484090148204349</v>
      </c>
      <c r="C200" s="307">
        <v>0.79780694601193847</v>
      </c>
      <c r="D200" s="307">
        <v>0.84196847968215016</v>
      </c>
      <c r="E200" s="307">
        <v>0.82280497418629106</v>
      </c>
      <c r="F200" s="307">
        <v>0.78921616564127728</v>
      </c>
      <c r="G200" s="307">
        <v>0.85346592212462735</v>
      </c>
      <c r="H200" s="307">
        <v>0.82321913732749885</v>
      </c>
      <c r="I200" s="307">
        <v>0.83038697688816443</v>
      </c>
      <c r="J200" s="307">
        <v>0.833800409088162</v>
      </c>
      <c r="K200" s="307">
        <v>0.7979284677838212</v>
      </c>
      <c r="L200" s="307">
        <v>0.81818335225497729</v>
      </c>
      <c r="M200" s="307">
        <v>0.84008873776556414</v>
      </c>
      <c r="N200" s="307">
        <v>0.81104271474409628</v>
      </c>
      <c r="O200" s="307">
        <v>0.90589286122801804</v>
      </c>
      <c r="P200" s="307">
        <v>0.89583459769034191</v>
      </c>
      <c r="Q200" s="307">
        <v>0.84832465298010185</v>
      </c>
      <c r="R200" s="307">
        <v>0.91608269935514475</v>
      </c>
      <c r="S200" s="307">
        <v>0.85600076145573478</v>
      </c>
      <c r="T200" s="307">
        <v>0.81233742724562208</v>
      </c>
      <c r="U200" s="307">
        <v>0.89819967019863478</v>
      </c>
      <c r="V200" s="307">
        <v>0.87861460537393243</v>
      </c>
      <c r="W200" s="307">
        <v>0.84980853836871884</v>
      </c>
      <c r="X200" s="307">
        <v>0.86380195199090348</v>
      </c>
      <c r="Y200" s="307">
        <v>0.86899757873125838</v>
      </c>
      <c r="Z200" s="307">
        <v>0.82690100289543067</v>
      </c>
      <c r="AA200" s="307">
        <v>0.8385288689657967</v>
      </c>
      <c r="AB200" s="307">
        <v>0.83230162042251066</v>
      </c>
      <c r="AC200" s="307">
        <v>0.82257878010480412</v>
      </c>
      <c r="AD200" s="307">
        <v>0.82836392633687217</v>
      </c>
      <c r="AE200" s="307">
        <v>0.84495172157930398</v>
      </c>
      <c r="AF200" s="307">
        <v>0.77416403197841588</v>
      </c>
      <c r="AG200" s="307">
        <v>0.87700726680028207</v>
      </c>
      <c r="AH200" s="307">
        <v>0.85337117018469755</v>
      </c>
      <c r="AI200" s="307">
        <v>0.95349681821071874</v>
      </c>
      <c r="AJ200" s="307">
        <v>0.88566723482327192</v>
      </c>
      <c r="AK200" s="307">
        <v>0.95123309989136962</v>
      </c>
      <c r="AL200" s="307">
        <v>0.87411893332741364</v>
      </c>
      <c r="AM200" s="307">
        <v>0.95833913279835381</v>
      </c>
      <c r="AN200" s="307">
        <v>0.92169034352370016</v>
      </c>
      <c r="AO200" s="307">
        <v>0.88324944889258317</v>
      </c>
      <c r="AP200" s="307">
        <v>0.8575931044636077</v>
      </c>
      <c r="AQ200" s="307">
        <v>0.94248761823922145</v>
      </c>
      <c r="AR200" s="307">
        <v>0.82032153039661937</v>
      </c>
    </row>
    <row r="201" spans="1:44" s="308" customFormat="1" hidden="1" outlineLevel="1" x14ac:dyDescent="0.3">
      <c r="A201" s="306">
        <v>1964</v>
      </c>
      <c r="B201" s="307">
        <v>1.0319827319358263</v>
      </c>
      <c r="C201" s="307">
        <v>1.0118899320146784</v>
      </c>
      <c r="D201" s="307">
        <v>1.1094482153131473</v>
      </c>
      <c r="E201" s="307">
        <v>1.022048034763412</v>
      </c>
      <c r="F201" s="307">
        <v>1.0104706404458021</v>
      </c>
      <c r="G201" s="307">
        <v>1.0329364580173008</v>
      </c>
      <c r="H201" s="307">
        <v>0.96628408963467127</v>
      </c>
      <c r="I201" s="307">
        <v>1.043579469541297</v>
      </c>
      <c r="J201" s="307">
        <v>0.99324388921002038</v>
      </c>
      <c r="K201" s="307">
        <v>1.007094732635442</v>
      </c>
      <c r="L201" s="307">
        <v>1.012297857324491</v>
      </c>
      <c r="M201" s="307">
        <v>1.1047080468326771</v>
      </c>
      <c r="N201" s="307">
        <v>1.0293661142265746</v>
      </c>
      <c r="O201" s="307">
        <v>1.0152674482933948</v>
      </c>
      <c r="P201" s="307">
        <v>0.99328585985280271</v>
      </c>
      <c r="Q201" s="307">
        <v>1.0233488107947599</v>
      </c>
      <c r="R201" s="307">
        <v>1.011729737418176</v>
      </c>
      <c r="S201" s="307">
        <v>0.99842170247306994</v>
      </c>
      <c r="T201" s="307">
        <v>0.98730335352697574</v>
      </c>
      <c r="U201" s="307">
        <v>0.99113188141166586</v>
      </c>
      <c r="V201" s="307">
        <v>0.99972211470990302</v>
      </c>
      <c r="W201" s="307">
        <v>0.98754819797324611</v>
      </c>
      <c r="X201" s="307">
        <v>1.0141923045284116</v>
      </c>
      <c r="Y201" s="307">
        <v>1.0031040698756348</v>
      </c>
      <c r="Z201" s="307">
        <v>0.99448980134471299</v>
      </c>
      <c r="AA201" s="307">
        <v>0.99710252570685798</v>
      </c>
      <c r="AB201" s="307">
        <v>1.0146565857507308</v>
      </c>
      <c r="AC201" s="307">
        <v>0.98768595954574101</v>
      </c>
      <c r="AD201" s="307">
        <v>1.0192410681648321</v>
      </c>
      <c r="AE201" s="307">
        <v>0.98551500940840109</v>
      </c>
      <c r="AF201" s="307">
        <v>0.90022629653766773</v>
      </c>
      <c r="AG201" s="307">
        <v>0.98572651876409623</v>
      </c>
      <c r="AH201" s="307">
        <v>0.96071964975784474</v>
      </c>
      <c r="AI201" s="307">
        <v>0.98838566914111337</v>
      </c>
      <c r="AJ201" s="307">
        <v>0.97251294675519928</v>
      </c>
      <c r="AK201" s="307">
        <v>1.0104023814394907</v>
      </c>
      <c r="AL201" s="307">
        <v>0.99183805555648885</v>
      </c>
      <c r="AM201" s="307">
        <v>1.0125983374286698</v>
      </c>
      <c r="AN201" s="307">
        <v>1.0001310636373442</v>
      </c>
      <c r="AO201" s="307">
        <v>0.99534613962721097</v>
      </c>
      <c r="AP201" s="307">
        <v>0.98524738175595628</v>
      </c>
      <c r="AQ201" s="307">
        <v>1.0302153566128553</v>
      </c>
      <c r="AR201" s="307">
        <v>0.95636719130359094</v>
      </c>
    </row>
    <row r="202" spans="1:44" s="308" customFormat="1" hidden="1" outlineLevel="1" x14ac:dyDescent="0.3">
      <c r="A202" s="306">
        <v>1965</v>
      </c>
      <c r="B202" s="307">
        <v>0.98404342166963243</v>
      </c>
      <c r="C202" s="307">
        <v>0.95460462983043626</v>
      </c>
      <c r="D202" s="307">
        <v>1.0507773174367934</v>
      </c>
      <c r="E202" s="307">
        <v>0.96716811487796739</v>
      </c>
      <c r="F202" s="307">
        <v>0.97551543593195811</v>
      </c>
      <c r="G202" s="307">
        <v>1.0215680706531796</v>
      </c>
      <c r="H202" s="307">
        <v>0.92797469688619927</v>
      </c>
      <c r="I202" s="307">
        <v>0.9778757890300791</v>
      </c>
      <c r="J202" s="307">
        <v>0.96865334898378341</v>
      </c>
      <c r="K202" s="307">
        <v>0.95530142627479464</v>
      </c>
      <c r="L202" s="307">
        <v>0.96758405117845159</v>
      </c>
      <c r="M202" s="307">
        <v>1.0483732553195102</v>
      </c>
      <c r="N202" s="307">
        <v>0.98513943367743184</v>
      </c>
      <c r="O202" s="307">
        <v>0.94894496118695515</v>
      </c>
      <c r="P202" s="307">
        <v>0.94481828015615243</v>
      </c>
      <c r="Q202" s="307">
        <v>0.97731158009043151</v>
      </c>
      <c r="R202" s="307">
        <v>0.96200257242259524</v>
      </c>
      <c r="S202" s="307">
        <v>0.97498375855124886</v>
      </c>
      <c r="T202" s="307">
        <v>0.97981326896553211</v>
      </c>
      <c r="U202" s="307">
        <v>0.97807190643261643</v>
      </c>
      <c r="V202" s="307">
        <v>0.930030314866368</v>
      </c>
      <c r="W202" s="307">
        <v>0.94324555329153958</v>
      </c>
      <c r="X202" s="307">
        <v>0.95320035081250476</v>
      </c>
      <c r="Y202" s="307">
        <v>0.97424477309342994</v>
      </c>
      <c r="Z202" s="307">
        <v>0.94923968225859245</v>
      </c>
      <c r="AA202" s="307">
        <v>0.96586377891929442</v>
      </c>
      <c r="AB202" s="307">
        <v>0.96734122380620413</v>
      </c>
      <c r="AC202" s="307">
        <v>0.9496550290397815</v>
      </c>
      <c r="AD202" s="307">
        <v>0.93618373919907827</v>
      </c>
      <c r="AE202" s="307">
        <v>0.95736674234546049</v>
      </c>
      <c r="AF202" s="307">
        <v>0.91473882910030335</v>
      </c>
      <c r="AG202" s="307">
        <v>0.94685830208147959</v>
      </c>
      <c r="AH202" s="307">
        <v>0.91228192116996132</v>
      </c>
      <c r="AI202" s="307">
        <v>0.96169374191292323</v>
      </c>
      <c r="AJ202" s="307">
        <v>0.93326607393615602</v>
      </c>
      <c r="AK202" s="307">
        <v>0.97279392797697184</v>
      </c>
      <c r="AL202" s="307">
        <v>0.94395629156086747</v>
      </c>
      <c r="AM202" s="307">
        <v>0.94095024900325452</v>
      </c>
      <c r="AN202" s="307">
        <v>0.94556627054408082</v>
      </c>
      <c r="AO202" s="307">
        <v>0.95038852003735363</v>
      </c>
      <c r="AP202" s="307">
        <v>0.9293138008760522</v>
      </c>
      <c r="AQ202" s="307">
        <v>0.96623991397020259</v>
      </c>
      <c r="AR202" s="307">
        <v>0.93568760558037245</v>
      </c>
    </row>
    <row r="203" spans="1:44" s="308" customFormat="1" hidden="1" outlineLevel="1" x14ac:dyDescent="0.3">
      <c r="A203" s="306">
        <v>1966</v>
      </c>
      <c r="B203" s="307">
        <v>1.1482925543211597</v>
      </c>
      <c r="C203" s="307">
        <v>1.1004078671938402</v>
      </c>
      <c r="D203" s="307">
        <v>1.1548185508811954</v>
      </c>
      <c r="E203" s="307">
        <v>1.1109564852682836</v>
      </c>
      <c r="F203" s="307">
        <v>1.0931763557404384</v>
      </c>
      <c r="G203" s="307">
        <v>1.1402622947483705</v>
      </c>
      <c r="H203" s="307">
        <v>1.1260936096630079</v>
      </c>
      <c r="I203" s="307">
        <v>1.1149378257641636</v>
      </c>
      <c r="J203" s="307">
        <v>1.1201255119341638</v>
      </c>
      <c r="K203" s="307">
        <v>1.0878728082432014</v>
      </c>
      <c r="L203" s="307">
        <v>1.109040012443526</v>
      </c>
      <c r="M203" s="307">
        <v>1.1533354166823497</v>
      </c>
      <c r="N203" s="307">
        <v>1.103318186221101</v>
      </c>
      <c r="O203" s="307">
        <v>1.061259282882578</v>
      </c>
      <c r="P203" s="307">
        <v>1.0572549548660088</v>
      </c>
      <c r="Q203" s="307">
        <v>1.110665646752425</v>
      </c>
      <c r="R203" s="307">
        <v>1.0845240866074293</v>
      </c>
      <c r="S203" s="307">
        <v>1.0848846728930175</v>
      </c>
      <c r="T203" s="307">
        <v>1.0927870103548281</v>
      </c>
      <c r="U203" s="307">
        <v>1.0832904987426635</v>
      </c>
      <c r="V203" s="307">
        <v>1.0579309149845535</v>
      </c>
      <c r="W203" s="307">
        <v>1.0673155043568276</v>
      </c>
      <c r="X203" s="307">
        <v>1.0613616779693928</v>
      </c>
      <c r="Y203" s="307">
        <v>1.1097243863142348</v>
      </c>
      <c r="Z203" s="307">
        <v>1.0736856776369561</v>
      </c>
      <c r="AA203" s="307">
        <v>1.0866582556214059</v>
      </c>
      <c r="AB203" s="307">
        <v>1.1001333436527616</v>
      </c>
      <c r="AC203" s="307">
        <v>1.0907720754460704</v>
      </c>
      <c r="AD203" s="307">
        <v>1.1102323482608201</v>
      </c>
      <c r="AE203" s="307">
        <v>1.0747363234512486</v>
      </c>
      <c r="AF203" s="307">
        <v>1.0542557605136915</v>
      </c>
      <c r="AG203" s="307">
        <v>1.0657196490937688</v>
      </c>
      <c r="AH203" s="307">
        <v>1.0693051950499486</v>
      </c>
      <c r="AI203" s="307">
        <v>1.0384050473120059</v>
      </c>
      <c r="AJ203" s="307">
        <v>1.06144220822102</v>
      </c>
      <c r="AK203" s="307">
        <v>1.0822409402091691</v>
      </c>
      <c r="AL203" s="307">
        <v>1.0656597797008058</v>
      </c>
      <c r="AM203" s="307">
        <v>1.065745171606143</v>
      </c>
      <c r="AN203" s="307">
        <v>1.0511044270174956</v>
      </c>
      <c r="AO203" s="307">
        <v>1.0772991790813482</v>
      </c>
      <c r="AP203" s="307">
        <v>1.0532901620311426</v>
      </c>
      <c r="AQ203" s="307">
        <v>1.0919073365669314</v>
      </c>
      <c r="AR203" s="307">
        <v>1.0547187419355801</v>
      </c>
    </row>
    <row r="204" spans="1:44" s="308" customFormat="1" hidden="1" outlineLevel="1" x14ac:dyDescent="0.3">
      <c r="A204" s="306">
        <v>1967</v>
      </c>
      <c r="B204" s="307">
        <v>0.98899596957468516</v>
      </c>
      <c r="C204" s="307">
        <v>0.96918875028085028</v>
      </c>
      <c r="D204" s="307">
        <v>0.98933236785789513</v>
      </c>
      <c r="E204" s="307">
        <v>0.97679019547851875</v>
      </c>
      <c r="F204" s="307">
        <v>0.96306658816017898</v>
      </c>
      <c r="G204" s="307">
        <v>0.99621200208674043</v>
      </c>
      <c r="H204" s="307">
        <v>0.91575975184601388</v>
      </c>
      <c r="I204" s="307">
        <v>0.95030919677873993</v>
      </c>
      <c r="J204" s="307">
        <v>0.95778535136418574</v>
      </c>
      <c r="K204" s="307">
        <v>0.95845078142273876</v>
      </c>
      <c r="L204" s="307">
        <v>0.97504078038751452</v>
      </c>
      <c r="M204" s="307">
        <v>0.98757566624637394</v>
      </c>
      <c r="N204" s="307">
        <v>0.9588431419800878</v>
      </c>
      <c r="O204" s="307">
        <v>0.96194309040913706</v>
      </c>
      <c r="P204" s="307">
        <v>0.94285524640916873</v>
      </c>
      <c r="Q204" s="307">
        <v>0.93732926387243065</v>
      </c>
      <c r="R204" s="307">
        <v>0.97157442607289468</v>
      </c>
      <c r="S204" s="307">
        <v>0.88532952550763933</v>
      </c>
      <c r="T204" s="307">
        <v>0.90307561787281199</v>
      </c>
      <c r="U204" s="307">
        <v>0.95938069722510977</v>
      </c>
      <c r="V204" s="307">
        <v>0.94747675087446381</v>
      </c>
      <c r="W204" s="307">
        <v>0.91424779178846416</v>
      </c>
      <c r="X204" s="307">
        <v>0.93997033182997658</v>
      </c>
      <c r="Y204" s="307">
        <v>0.95183694803041541</v>
      </c>
      <c r="Z204" s="307">
        <v>0.94910899599408372</v>
      </c>
      <c r="AA204" s="307">
        <v>0.93720333615713158</v>
      </c>
      <c r="AB204" s="307">
        <v>0.95581564862111246</v>
      </c>
      <c r="AC204" s="307">
        <v>0.91468831824088637</v>
      </c>
      <c r="AD204" s="307">
        <v>0.94987336705378822</v>
      </c>
      <c r="AE204" s="307">
        <v>0.92295473008217477</v>
      </c>
      <c r="AF204" s="307">
        <v>0.8872098919480097</v>
      </c>
      <c r="AG204" s="307">
        <v>0.91017199911130819</v>
      </c>
      <c r="AH204" s="307">
        <v>0.91039629672456135</v>
      </c>
      <c r="AI204" s="307">
        <v>0.97770177895100974</v>
      </c>
      <c r="AJ204" s="307">
        <v>0.92367227363829385</v>
      </c>
      <c r="AK204" s="307">
        <v>0.95617700356308466</v>
      </c>
      <c r="AL204" s="307">
        <v>0.90803457817022304</v>
      </c>
      <c r="AM204" s="307">
        <v>0.97110939534270246</v>
      </c>
      <c r="AN204" s="307">
        <v>0.90881659662926839</v>
      </c>
      <c r="AO204" s="307">
        <v>0.92534532339165643</v>
      </c>
      <c r="AP204" s="307">
        <v>0.90229778030975527</v>
      </c>
      <c r="AQ204" s="307">
        <v>0.94012487935795397</v>
      </c>
      <c r="AR204" s="307">
        <v>0.86601018381209716</v>
      </c>
    </row>
    <row r="205" spans="1:44" s="308" customFormat="1" hidden="1" outlineLevel="1" x14ac:dyDescent="0.3">
      <c r="A205" s="306">
        <v>1968</v>
      </c>
      <c r="B205" s="307">
        <v>1.0360777082629997</v>
      </c>
      <c r="C205" s="307">
        <v>0.96871594935949035</v>
      </c>
      <c r="D205" s="307">
        <v>1.0097575464372892</v>
      </c>
      <c r="E205" s="307">
        <v>0.98634841271225182</v>
      </c>
      <c r="F205" s="307">
        <v>0.97632655967637672</v>
      </c>
      <c r="G205" s="307">
        <v>1.0039285938922149</v>
      </c>
      <c r="H205" s="307">
        <v>0.98663010666403528</v>
      </c>
      <c r="I205" s="307">
        <v>0.99750658035403705</v>
      </c>
      <c r="J205" s="307">
        <v>0.9964664126017847</v>
      </c>
      <c r="K205" s="307">
        <v>0.96910602160482062</v>
      </c>
      <c r="L205" s="307">
        <v>0.98162222152449596</v>
      </c>
      <c r="M205" s="307">
        <v>1.0044634547308084</v>
      </c>
      <c r="N205" s="307">
        <v>0.98757754625778582</v>
      </c>
      <c r="O205" s="307">
        <v>1.0231305240635042</v>
      </c>
      <c r="P205" s="307">
        <v>1.031698651671711</v>
      </c>
      <c r="Q205" s="307">
        <v>0.9819782341276001</v>
      </c>
      <c r="R205" s="307">
        <v>1.009978025639036</v>
      </c>
      <c r="S205" s="307">
        <v>1.0154192734867149</v>
      </c>
      <c r="T205" s="307">
        <v>0.95810835089715229</v>
      </c>
      <c r="U205" s="307">
        <v>0.92560016901574382</v>
      </c>
      <c r="V205" s="307">
        <v>1.0108445701533852</v>
      </c>
      <c r="W205" s="307">
        <v>1.0065711823951196</v>
      </c>
      <c r="X205" s="307">
        <v>0.96488019823303905</v>
      </c>
      <c r="Y205" s="307">
        <v>0.97771411614436055</v>
      </c>
      <c r="Z205" s="307">
        <v>1.0147625081266178</v>
      </c>
      <c r="AA205" s="307">
        <v>0.9826808509393874</v>
      </c>
      <c r="AB205" s="307">
        <v>1.0235052534548199</v>
      </c>
      <c r="AC205" s="307">
        <v>1.0066075702268893</v>
      </c>
      <c r="AD205" s="307">
        <v>0.96914469907403789</v>
      </c>
      <c r="AE205" s="307">
        <v>1.0145289885305075</v>
      </c>
      <c r="AF205" s="307">
        <v>0.97602880291466099</v>
      </c>
      <c r="AG205" s="307">
        <v>1.0123881882261929</v>
      </c>
      <c r="AH205" s="307">
        <v>1.0277854262107933</v>
      </c>
      <c r="AI205" s="307">
        <v>1.0334364387432562</v>
      </c>
      <c r="AJ205" s="307">
        <v>1.0176084929206053</v>
      </c>
      <c r="AK205" s="307">
        <v>1.0477156450704721</v>
      </c>
      <c r="AL205" s="307">
        <v>1.0460539724877607</v>
      </c>
      <c r="AM205" s="307">
        <v>1.0249269037234503</v>
      </c>
      <c r="AN205" s="307">
        <v>1.0188452728118831</v>
      </c>
      <c r="AO205" s="307">
        <v>1.0398957201882242</v>
      </c>
      <c r="AP205" s="307">
        <v>1.0470762259261688</v>
      </c>
      <c r="AQ205" s="307">
        <v>1.0389407889683409</v>
      </c>
      <c r="AR205" s="307">
        <v>1.0210988221962711</v>
      </c>
    </row>
    <row r="206" spans="1:44" s="308" customFormat="1" hidden="1" outlineLevel="1" x14ac:dyDescent="0.3">
      <c r="A206" s="306">
        <v>1969</v>
      </c>
      <c r="B206" s="307">
        <v>1.0676952253067968</v>
      </c>
      <c r="C206" s="307">
        <v>1.0041363218226109</v>
      </c>
      <c r="D206" s="307">
        <v>1.0978556461895959</v>
      </c>
      <c r="E206" s="307">
        <v>1.0247835156421083</v>
      </c>
      <c r="F206" s="307">
        <v>1.0229312537399806</v>
      </c>
      <c r="G206" s="307">
        <v>1.0742800005919833</v>
      </c>
      <c r="H206" s="307">
        <v>1.037989617098162</v>
      </c>
      <c r="I206" s="307">
        <v>1.0407783937065618</v>
      </c>
      <c r="J206" s="307">
        <v>1.0500820045007897</v>
      </c>
      <c r="K206" s="307">
        <v>1.0029972639315679</v>
      </c>
      <c r="L206" s="307">
        <v>1.0234246909753728</v>
      </c>
      <c r="M206" s="307">
        <v>1.0946545508303367</v>
      </c>
      <c r="N206" s="307">
        <v>1.0347257593082808</v>
      </c>
      <c r="O206" s="307">
        <v>1.0088702024296718</v>
      </c>
      <c r="P206" s="307">
        <v>1.0131373842237068</v>
      </c>
      <c r="Q206" s="307">
        <v>0.9830097506731913</v>
      </c>
      <c r="R206" s="307">
        <v>0.99645588318067646</v>
      </c>
      <c r="S206" s="307">
        <v>0.97283375382292059</v>
      </c>
      <c r="T206" s="307">
        <v>0.96934347773931784</v>
      </c>
      <c r="U206" s="307">
        <v>1.0030094898606436</v>
      </c>
      <c r="V206" s="307">
        <v>0.98059101918258051</v>
      </c>
      <c r="W206" s="307">
        <v>0.97071569400149138</v>
      </c>
      <c r="X206" s="307">
        <v>0.99736307003985802</v>
      </c>
      <c r="Y206" s="307">
        <v>1.0505887957160867</v>
      </c>
      <c r="Z206" s="307">
        <v>1.0414225060863826</v>
      </c>
      <c r="AA206" s="307">
        <v>1.0202274434930418</v>
      </c>
      <c r="AB206" s="307">
        <v>1.056373102416335</v>
      </c>
      <c r="AC206" s="307">
        <v>1.0034755942920084</v>
      </c>
      <c r="AD206" s="307">
        <v>1.0223321300855357</v>
      </c>
      <c r="AE206" s="307">
        <v>0.98803833518325246</v>
      </c>
      <c r="AF206" s="307">
        <v>0.97341416690651594</v>
      </c>
      <c r="AG206" s="307">
        <v>0.98188026807759121</v>
      </c>
      <c r="AH206" s="307">
        <v>1.0003417838048141</v>
      </c>
      <c r="AI206" s="307">
        <v>0.99562337018442926</v>
      </c>
      <c r="AJ206" s="307">
        <v>0.9483006456057923</v>
      </c>
      <c r="AK206" s="307">
        <v>0.96970735751293646</v>
      </c>
      <c r="AL206" s="307">
        <v>0.98346220425373687</v>
      </c>
      <c r="AM206" s="307">
        <v>0.95726959637220421</v>
      </c>
      <c r="AN206" s="307">
        <v>0.96458255189219166</v>
      </c>
      <c r="AO206" s="307">
        <v>0.95870983814656296</v>
      </c>
      <c r="AP206" s="307">
        <v>0.98781775622848844</v>
      </c>
      <c r="AQ206" s="307">
        <v>0.94427855278486761</v>
      </c>
      <c r="AR206" s="307">
        <v>0.99833384423385518</v>
      </c>
    </row>
    <row r="207" spans="1:44" s="308" customFormat="1" hidden="1" outlineLevel="1" x14ac:dyDescent="0.3">
      <c r="A207" s="306">
        <v>1970</v>
      </c>
      <c r="B207" s="307">
        <v>1.0582255117454888</v>
      </c>
      <c r="C207" s="307">
        <v>1.0210081384740586</v>
      </c>
      <c r="D207" s="307">
        <v>1.1025461733884852</v>
      </c>
      <c r="E207" s="307">
        <v>1.0266142654908856</v>
      </c>
      <c r="F207" s="307">
        <v>1.0166489846179945</v>
      </c>
      <c r="G207" s="307">
        <v>1.0425115529195867</v>
      </c>
      <c r="H207" s="307">
        <v>1.0295560571834503</v>
      </c>
      <c r="I207" s="307">
        <v>1.0431922516198211</v>
      </c>
      <c r="J207" s="307">
        <v>1.0407681138136504</v>
      </c>
      <c r="K207" s="307">
        <v>1.0210846673875253</v>
      </c>
      <c r="L207" s="307">
        <v>1.0291471559338983</v>
      </c>
      <c r="M207" s="307">
        <v>1.1006362408603247</v>
      </c>
      <c r="N207" s="307">
        <v>1.0386727577910833</v>
      </c>
      <c r="O207" s="307">
        <v>1.0072704383838615</v>
      </c>
      <c r="P207" s="307">
        <v>1.0043083404227198</v>
      </c>
      <c r="Q207" s="307">
        <v>1.026185161143828</v>
      </c>
      <c r="R207" s="307">
        <v>1.0139283144470963</v>
      </c>
      <c r="S207" s="307">
        <v>1.0181573961003707</v>
      </c>
      <c r="T207" s="307">
        <v>1.0163452890336091</v>
      </c>
      <c r="U207" s="307">
        <v>1.046546942885703</v>
      </c>
      <c r="V207" s="307">
        <v>1.0051165776713982</v>
      </c>
      <c r="W207" s="307">
        <v>1.0141545372341347</v>
      </c>
      <c r="X207" s="307">
        <v>1.0220898318931178</v>
      </c>
      <c r="Y207" s="307">
        <v>1.039130931170904</v>
      </c>
      <c r="Z207" s="307">
        <v>1.0269163307259224</v>
      </c>
      <c r="AA207" s="307">
        <v>1.0367585244503679</v>
      </c>
      <c r="AB207" s="307">
        <v>1.0586828976201448</v>
      </c>
      <c r="AC207" s="307">
        <v>1.0460742515937727</v>
      </c>
      <c r="AD207" s="307">
        <v>1.0395111025360517</v>
      </c>
      <c r="AE207" s="307">
        <v>0.98979631547635927</v>
      </c>
      <c r="AF207" s="307">
        <v>0.97055277503243831</v>
      </c>
      <c r="AG207" s="307">
        <v>0.99071771271924558</v>
      </c>
      <c r="AH207" s="307">
        <v>0.99213871694998546</v>
      </c>
      <c r="AI207" s="307">
        <v>1.0056292892617864</v>
      </c>
      <c r="AJ207" s="307">
        <v>0.97066663944616671</v>
      </c>
      <c r="AK207" s="307">
        <v>1.0008773164690155</v>
      </c>
      <c r="AL207" s="307">
        <v>0.9827439909471426</v>
      </c>
      <c r="AM207" s="307">
        <v>0.99786619656988162</v>
      </c>
      <c r="AN207" s="307">
        <v>0.98425685183332912</v>
      </c>
      <c r="AO207" s="307">
        <v>0.98262885226471353</v>
      </c>
      <c r="AP207" s="307">
        <v>0.98056703774201526</v>
      </c>
      <c r="AQ207" s="307">
        <v>0.98384576072148167</v>
      </c>
      <c r="AR207" s="307">
        <v>0.98471149877965036</v>
      </c>
    </row>
    <row r="208" spans="1:44" s="308" customFormat="1" hidden="1" outlineLevel="1" x14ac:dyDescent="0.3">
      <c r="A208" s="306">
        <v>1971</v>
      </c>
      <c r="B208" s="307">
        <v>1.0173431696419004</v>
      </c>
      <c r="C208" s="307">
        <v>1.0016242996921285</v>
      </c>
      <c r="D208" s="307">
        <v>0.99991431999949887</v>
      </c>
      <c r="E208" s="307">
        <v>0.99681136097590428</v>
      </c>
      <c r="F208" s="307">
        <v>1.0070680789641211</v>
      </c>
      <c r="G208" s="307">
        <v>1.0286108192305701</v>
      </c>
      <c r="H208" s="307">
        <v>0.99244936306455245</v>
      </c>
      <c r="I208" s="307">
        <v>1.0419946828682942</v>
      </c>
      <c r="J208" s="307">
        <v>0.97282484403525116</v>
      </c>
      <c r="K208" s="307">
        <v>0.99969440978270407</v>
      </c>
      <c r="L208" s="307">
        <v>0.99381966354340423</v>
      </c>
      <c r="M208" s="307">
        <v>0.99880751924149735</v>
      </c>
      <c r="N208" s="307">
        <v>1.0249136553834195</v>
      </c>
      <c r="O208" s="307">
        <v>1.0214035239609556</v>
      </c>
      <c r="P208" s="307">
        <v>1.0113771051360363</v>
      </c>
      <c r="Q208" s="307">
        <v>0.98907610869887197</v>
      </c>
      <c r="R208" s="307">
        <v>1.008324624214848</v>
      </c>
      <c r="S208" s="307">
        <v>0.98145305528985116</v>
      </c>
      <c r="T208" s="307">
        <v>0.97278238577365916</v>
      </c>
      <c r="U208" s="307">
        <v>1.001119965945432</v>
      </c>
      <c r="V208" s="307">
        <v>0.98604889012416552</v>
      </c>
      <c r="W208" s="307">
        <v>0.96611977797877735</v>
      </c>
      <c r="X208" s="307">
        <v>0.98989858603468428</v>
      </c>
      <c r="Y208" s="307">
        <v>1.0001499718264721</v>
      </c>
      <c r="Z208" s="307">
        <v>1.0307715755289275</v>
      </c>
      <c r="AA208" s="307">
        <v>0.99554079738853318</v>
      </c>
      <c r="AB208" s="307">
        <v>1.0448069847207391</v>
      </c>
      <c r="AC208" s="307">
        <v>1.0399695985342114</v>
      </c>
      <c r="AD208" s="307">
        <v>1.026849321140469</v>
      </c>
      <c r="AE208" s="307">
        <v>1.0105730473829906</v>
      </c>
      <c r="AF208" s="307">
        <v>0.97299683630057821</v>
      </c>
      <c r="AG208" s="307">
        <v>1.0245585131176373</v>
      </c>
      <c r="AH208" s="307">
        <v>1.028914398808676</v>
      </c>
      <c r="AI208" s="307">
        <v>1.0155215789468781</v>
      </c>
      <c r="AJ208" s="307">
        <v>1.0166027034518805</v>
      </c>
      <c r="AK208" s="307">
        <v>1.0376511325276989</v>
      </c>
      <c r="AL208" s="307">
        <v>1.0446124493833173</v>
      </c>
      <c r="AM208" s="307">
        <v>1.0224231033486588</v>
      </c>
      <c r="AN208" s="307">
        <v>1.0241535757404989</v>
      </c>
      <c r="AO208" s="307">
        <v>1.0338395719604432</v>
      </c>
      <c r="AP208" s="307">
        <v>1.0459925046319485</v>
      </c>
      <c r="AQ208" s="307">
        <v>1.0330489176504858</v>
      </c>
      <c r="AR208" s="307">
        <v>1.0302099192997975</v>
      </c>
    </row>
    <row r="209" spans="1:44" s="308" customFormat="1" hidden="1" outlineLevel="1" x14ac:dyDescent="0.3">
      <c r="A209" s="306">
        <v>1972</v>
      </c>
      <c r="B209" s="307">
        <v>0.97471890808368478</v>
      </c>
      <c r="C209" s="307">
        <v>0.98092240417765675</v>
      </c>
      <c r="D209" s="307">
        <v>0.92695808932436163</v>
      </c>
      <c r="E209" s="307">
        <v>1.0151082155692093</v>
      </c>
      <c r="F209" s="307">
        <v>0.99181627234831105</v>
      </c>
      <c r="G209" s="307">
        <v>1.0150687440339208</v>
      </c>
      <c r="H209" s="307">
        <v>0.98829671303009337</v>
      </c>
      <c r="I209" s="307">
        <v>0.98463435598267735</v>
      </c>
      <c r="J209" s="307">
        <v>1.0071365187836521</v>
      </c>
      <c r="K209" s="307">
        <v>0.98678823845169006</v>
      </c>
      <c r="L209" s="307">
        <v>0.99702796064783872</v>
      </c>
      <c r="M209" s="307">
        <v>0.92536095773381843</v>
      </c>
      <c r="N209" s="307">
        <v>0.98755220986679293</v>
      </c>
      <c r="O209" s="307">
        <v>1.0489880194771088</v>
      </c>
      <c r="P209" s="307">
        <v>1.0308415524300705</v>
      </c>
      <c r="Q209" s="307">
        <v>1.0447721086558666</v>
      </c>
      <c r="R209" s="307">
        <v>1.036486072256019</v>
      </c>
      <c r="S209" s="307">
        <v>1.0337859058071877</v>
      </c>
      <c r="T209" s="307">
        <v>1.0627858542095359</v>
      </c>
      <c r="U209" s="307">
        <v>1.0361654488473144</v>
      </c>
      <c r="V209" s="307">
        <v>1.0504205711615666</v>
      </c>
      <c r="W209" s="307">
        <v>1.0225389690105227</v>
      </c>
      <c r="X209" s="307">
        <v>1.0438187193756177</v>
      </c>
      <c r="Y209" s="307">
        <v>1.0301712553077003</v>
      </c>
      <c r="Z209" s="307">
        <v>0.98708969161691062</v>
      </c>
      <c r="AA209" s="307">
        <v>0.99579924635358985</v>
      </c>
      <c r="AB209" s="307">
        <v>1.0242492902355067</v>
      </c>
      <c r="AC209" s="307">
        <v>1.0822458224190155</v>
      </c>
      <c r="AD209" s="307">
        <v>1.0513870628370292</v>
      </c>
      <c r="AE209" s="307">
        <v>1.0613202023469852</v>
      </c>
      <c r="AF209" s="307">
        <v>1.1017788392438734</v>
      </c>
      <c r="AG209" s="307">
        <v>1.1026207386062294</v>
      </c>
      <c r="AH209" s="307">
        <v>1.1339208607585558</v>
      </c>
      <c r="AI209" s="307">
        <v>1.0324334027152493</v>
      </c>
      <c r="AJ209" s="307">
        <v>1.0651396080900268</v>
      </c>
      <c r="AK209" s="307">
        <v>1.0659249216687163</v>
      </c>
      <c r="AL209" s="307">
        <v>1.0929741721478352</v>
      </c>
      <c r="AM209" s="307">
        <v>1.0484893410380449</v>
      </c>
      <c r="AN209" s="307">
        <v>1.0655805088284442</v>
      </c>
      <c r="AO209" s="307">
        <v>1.0856697252872376</v>
      </c>
      <c r="AP209" s="307">
        <v>1.0855240507377666</v>
      </c>
      <c r="AQ209" s="307">
        <v>1.0660085619726998</v>
      </c>
      <c r="AR209" s="307">
        <v>1.1594988090872664</v>
      </c>
    </row>
    <row r="210" spans="1:44" s="308" customFormat="1" hidden="1" outlineLevel="1" x14ac:dyDescent="0.3">
      <c r="A210" s="306">
        <v>1973</v>
      </c>
      <c r="B210" s="307">
        <v>1.0006016470276091</v>
      </c>
      <c r="C210" s="307">
        <v>0.9625551924727016</v>
      </c>
      <c r="D210" s="307">
        <v>1.0170041677340205</v>
      </c>
      <c r="E210" s="307">
        <v>0.96954170334469625</v>
      </c>
      <c r="F210" s="307">
        <v>0.96496223733883246</v>
      </c>
      <c r="G210" s="307">
        <v>0.98012671212603331</v>
      </c>
      <c r="H210" s="307">
        <v>0.98061343287432223</v>
      </c>
      <c r="I210" s="307">
        <v>0.98998374123143307</v>
      </c>
      <c r="J210" s="307">
        <v>0.9876390880816982</v>
      </c>
      <c r="K210" s="307">
        <v>0.95868485644040224</v>
      </c>
      <c r="L210" s="307">
        <v>0.97175269112291429</v>
      </c>
      <c r="M210" s="307">
        <v>1.0181816342142511</v>
      </c>
      <c r="N210" s="307">
        <v>0.97019631748874902</v>
      </c>
      <c r="O210" s="307">
        <v>0.94998573066621128</v>
      </c>
      <c r="P210" s="307">
        <v>0.92413730490624113</v>
      </c>
      <c r="Q210" s="307">
        <v>0.92861633898614548</v>
      </c>
      <c r="R210" s="307">
        <v>0.95992911766361333</v>
      </c>
      <c r="S210" s="307">
        <v>0.9392821105288286</v>
      </c>
      <c r="T210" s="307">
        <v>0.94605686606463879</v>
      </c>
      <c r="U210" s="307">
        <v>0.94662068636543695</v>
      </c>
      <c r="V210" s="307">
        <v>0.95168611778865797</v>
      </c>
      <c r="W210" s="307">
        <v>0.94144558958317692</v>
      </c>
      <c r="X210" s="307">
        <v>0.94818545882614402</v>
      </c>
      <c r="Y210" s="307">
        <v>0.95232022193155763</v>
      </c>
      <c r="Z210" s="307">
        <v>0.98189491260269179</v>
      </c>
      <c r="AA210" s="307">
        <v>0.9479548446732301</v>
      </c>
      <c r="AB210" s="307">
        <v>0.99635109742680783</v>
      </c>
      <c r="AC210" s="307">
        <v>0.95906992930930324</v>
      </c>
      <c r="AD210" s="307">
        <v>0.94892416273452307</v>
      </c>
      <c r="AE210" s="307">
        <v>0.90637313144822174</v>
      </c>
      <c r="AF210" s="307">
        <v>0.88989609180433693</v>
      </c>
      <c r="AG210" s="307">
        <v>0.94290503530188807</v>
      </c>
      <c r="AH210" s="307">
        <v>0.96858642690266594</v>
      </c>
      <c r="AI210" s="307">
        <v>1.0250176940746192</v>
      </c>
      <c r="AJ210" s="307">
        <v>0.96384928524825497</v>
      </c>
      <c r="AK210" s="307">
        <v>0.99064308314841132</v>
      </c>
      <c r="AL210" s="307">
        <v>0.91741797702898986</v>
      </c>
      <c r="AM210" s="307">
        <v>0.98249632650127361</v>
      </c>
      <c r="AN210" s="307">
        <v>0.95998537729641753</v>
      </c>
      <c r="AO210" s="307">
        <v>0.94457753147822188</v>
      </c>
      <c r="AP210" s="307">
        <v>0.90774373481816506</v>
      </c>
      <c r="AQ210" s="307">
        <v>0.94965665899040497</v>
      </c>
      <c r="AR210" s="307">
        <v>0.89965833409098439</v>
      </c>
    </row>
    <row r="211" spans="1:44" s="308" customFormat="1" hidden="1" outlineLevel="1" x14ac:dyDescent="0.3">
      <c r="A211" s="306">
        <v>1974</v>
      </c>
      <c r="B211" s="307">
        <v>0.95838101418328836</v>
      </c>
      <c r="C211" s="307">
        <v>0.9583510539945661</v>
      </c>
      <c r="D211" s="307">
        <v>0.96573088075816227</v>
      </c>
      <c r="E211" s="307">
        <v>0.93291606247467795</v>
      </c>
      <c r="F211" s="307">
        <v>0.96641741494748301</v>
      </c>
      <c r="G211" s="307">
        <v>0.92777344067959666</v>
      </c>
      <c r="H211" s="307">
        <v>0.94085136603651609</v>
      </c>
      <c r="I211" s="307">
        <v>0.96533301035116037</v>
      </c>
      <c r="J211" s="307">
        <v>0.95988326739640251</v>
      </c>
      <c r="K211" s="307">
        <v>0.96074247897156217</v>
      </c>
      <c r="L211" s="307">
        <v>0.95199208955177816</v>
      </c>
      <c r="M211" s="307">
        <v>0.96821821846760336</v>
      </c>
      <c r="N211" s="307">
        <v>0.95862624729275692</v>
      </c>
      <c r="O211" s="307">
        <v>1.0088483791907694</v>
      </c>
      <c r="P211" s="307">
        <v>1.0028245449613848</v>
      </c>
      <c r="Q211" s="307">
        <v>0.99126884406845706</v>
      </c>
      <c r="R211" s="307">
        <v>1.000424046598728</v>
      </c>
      <c r="S211" s="307">
        <v>0.98959029291634937</v>
      </c>
      <c r="T211" s="307">
        <v>0.99784457607734545</v>
      </c>
      <c r="U211" s="307">
        <v>1.0474983484793454</v>
      </c>
      <c r="V211" s="307">
        <v>0.9876188648930625</v>
      </c>
      <c r="W211" s="307">
        <v>0.9968165571182358</v>
      </c>
      <c r="X211" s="307">
        <v>0.99979266836232594</v>
      </c>
      <c r="Y211" s="307">
        <v>1.0327435655543251</v>
      </c>
      <c r="Z211" s="307">
        <v>0.91727055480316344</v>
      </c>
      <c r="AA211" s="307">
        <v>0.9880250979692663</v>
      </c>
      <c r="AB211" s="307">
        <v>0.9495519407317814</v>
      </c>
      <c r="AC211" s="307">
        <v>0.9411467253503133</v>
      </c>
      <c r="AD211" s="307">
        <v>0.9296649779693863</v>
      </c>
      <c r="AE211" s="307">
        <v>0.96206452569475076</v>
      </c>
      <c r="AF211" s="307">
        <v>0.95579227802153433</v>
      </c>
      <c r="AG211" s="307">
        <v>0.99749418758895014</v>
      </c>
      <c r="AH211" s="307">
        <v>1.0162194622558882</v>
      </c>
      <c r="AI211" s="307">
        <v>1.0122437014024779</v>
      </c>
      <c r="AJ211" s="307">
        <v>1.0179961915215536</v>
      </c>
      <c r="AK211" s="307">
        <v>1.0185293881505686</v>
      </c>
      <c r="AL211" s="307">
        <v>0.98507801899733805</v>
      </c>
      <c r="AM211" s="307">
        <v>1.0216453234494767</v>
      </c>
      <c r="AN211" s="307">
        <v>0.99985477614057128</v>
      </c>
      <c r="AO211" s="307">
        <v>1.018716874611348</v>
      </c>
      <c r="AP211" s="307">
        <v>0.96344919547594454</v>
      </c>
      <c r="AQ211" s="307">
        <v>1.0157014902282471</v>
      </c>
      <c r="AR211" s="307">
        <v>0.97303984495983353</v>
      </c>
    </row>
    <row r="212" spans="1:44" s="308" customFormat="1" hidden="1" outlineLevel="1" x14ac:dyDescent="0.3">
      <c r="A212" s="306">
        <v>1975</v>
      </c>
      <c r="B212" s="307">
        <v>0.90123910805912322</v>
      </c>
      <c r="C212" s="307">
        <v>0.94900570181966692</v>
      </c>
      <c r="D212" s="307">
        <v>0.9278973840668292</v>
      </c>
      <c r="E212" s="307">
        <v>0.92342170860776229</v>
      </c>
      <c r="F212" s="307">
        <v>0.97760157286023275</v>
      </c>
      <c r="G212" s="307">
        <v>0.9263496751492909</v>
      </c>
      <c r="H212" s="307">
        <v>0.88423795482493894</v>
      </c>
      <c r="I212" s="307">
        <v>0.94406733536035792</v>
      </c>
      <c r="J212" s="307">
        <v>0.90904409043089329</v>
      </c>
      <c r="K212" s="307">
        <v>0.95059143728893492</v>
      </c>
      <c r="L212" s="307">
        <v>0.92980282487442589</v>
      </c>
      <c r="M212" s="307">
        <v>0.92757450653785189</v>
      </c>
      <c r="N212" s="307">
        <v>0.95802708915036927</v>
      </c>
      <c r="O212" s="307">
        <v>0.98607451094567322</v>
      </c>
      <c r="P212" s="307">
        <v>0.98998648857853</v>
      </c>
      <c r="Q212" s="307">
        <v>0.95171563290687522</v>
      </c>
      <c r="R212" s="307">
        <v>0.99156717734807709</v>
      </c>
      <c r="S212" s="307">
        <v>0.97664205816233607</v>
      </c>
      <c r="T212" s="307">
        <v>0.95513884870726118</v>
      </c>
      <c r="U212" s="307">
        <v>0.94346072748193865</v>
      </c>
      <c r="V212" s="307">
        <v>0.98488155703954838</v>
      </c>
      <c r="W212" s="307">
        <v>0.98293839194334587</v>
      </c>
      <c r="X212" s="307">
        <v>0.94005694003280849</v>
      </c>
      <c r="Y212" s="307">
        <v>0.95231835031138246</v>
      </c>
      <c r="Z212" s="307">
        <v>0.909984795556806</v>
      </c>
      <c r="AA212" s="307">
        <v>0.95675068091884019</v>
      </c>
      <c r="AB212" s="307">
        <v>0.92640968686029501</v>
      </c>
      <c r="AC212" s="307">
        <v>0.90041790779373743</v>
      </c>
      <c r="AD212" s="307">
        <v>0.9387975783017436</v>
      </c>
      <c r="AE212" s="307">
        <v>0.96318752957079445</v>
      </c>
      <c r="AF212" s="307">
        <v>0.93185445835679637</v>
      </c>
      <c r="AG212" s="307">
        <v>0.96894361396034301</v>
      </c>
      <c r="AH212" s="307">
        <v>0.98032053571257471</v>
      </c>
      <c r="AI212" s="307">
        <v>1.0130557587740097</v>
      </c>
      <c r="AJ212" s="307">
        <v>0.95871223235231184</v>
      </c>
      <c r="AK212" s="307">
        <v>0.99962038943083686</v>
      </c>
      <c r="AL212" s="307">
        <v>0.92659540051882927</v>
      </c>
      <c r="AM212" s="307">
        <v>1.0169762564673961</v>
      </c>
      <c r="AN212" s="307">
        <v>1.0029533372393999</v>
      </c>
      <c r="AO212" s="307">
        <v>0.95138344736694125</v>
      </c>
      <c r="AP212" s="307">
        <v>0.90780791448325937</v>
      </c>
      <c r="AQ212" s="307">
        <v>0.98076681921067377</v>
      </c>
      <c r="AR212" s="307">
        <v>0.93006300306906309</v>
      </c>
    </row>
    <row r="213" spans="1:44" s="308" customFormat="1" hidden="1" outlineLevel="1" x14ac:dyDescent="0.3">
      <c r="A213" s="306">
        <v>1976</v>
      </c>
      <c r="B213" s="307">
        <v>1.0502042834994996</v>
      </c>
      <c r="C213" s="307">
        <v>1.0774331291870012</v>
      </c>
      <c r="D213" s="307">
        <v>1.0887581597613061</v>
      </c>
      <c r="E213" s="307">
        <v>1.0797592305777797</v>
      </c>
      <c r="F213" s="307">
        <v>1.0837198119292126</v>
      </c>
      <c r="G213" s="307">
        <v>1.0944952974344935</v>
      </c>
      <c r="H213" s="307">
        <v>1.0593235322843</v>
      </c>
      <c r="I213" s="307">
        <v>1.0670735194694259</v>
      </c>
      <c r="J213" s="307">
        <v>1.0509746706971053</v>
      </c>
      <c r="K213" s="307">
        <v>1.0788894134398199</v>
      </c>
      <c r="L213" s="307">
        <v>1.0659497640786211</v>
      </c>
      <c r="M213" s="307">
        <v>1.081480142185381</v>
      </c>
      <c r="N213" s="307">
        <v>1.0740070349780502</v>
      </c>
      <c r="O213" s="307">
        <v>0.93418758140442204</v>
      </c>
      <c r="P213" s="307">
        <v>0.94148204439836802</v>
      </c>
      <c r="Q213" s="307">
        <v>0.97612587476324009</v>
      </c>
      <c r="R213" s="307">
        <v>0.94015979901332136</v>
      </c>
      <c r="S213" s="307">
        <v>0.97950551737450442</v>
      </c>
      <c r="T213" s="307">
        <v>1.0123757483055416</v>
      </c>
      <c r="U213" s="307">
        <v>1.0318410516633021</v>
      </c>
      <c r="V213" s="307">
        <v>0.98090102198424667</v>
      </c>
      <c r="W213" s="307">
        <v>0.98266672275024902</v>
      </c>
      <c r="X213" s="307">
        <v>1.0391269747972438</v>
      </c>
      <c r="Y213" s="307">
        <v>1.0665916678661094</v>
      </c>
      <c r="Z213" s="307">
        <v>1.0749598687159154</v>
      </c>
      <c r="AA213" s="307">
        <v>1.0750863455736979</v>
      </c>
      <c r="AB213" s="307">
        <v>1.0894005341445991</v>
      </c>
      <c r="AC213" s="307">
        <v>1.0076020214926693</v>
      </c>
      <c r="AD213" s="307">
        <v>1.0372047314402189</v>
      </c>
      <c r="AE213" s="307">
        <v>0.9812426944783863</v>
      </c>
      <c r="AF213" s="307">
        <v>0.98597721829333085</v>
      </c>
      <c r="AG213" s="307">
        <v>1.0145050373049305</v>
      </c>
      <c r="AH213" s="307">
        <v>1.0243384566832152</v>
      </c>
      <c r="AI213" s="307">
        <v>0.965378022772441</v>
      </c>
      <c r="AJ213" s="307">
        <v>0.98507380428318769</v>
      </c>
      <c r="AK213" s="307">
        <v>0.97428555820981266</v>
      </c>
      <c r="AL213" s="307">
        <v>0.9945953018589998</v>
      </c>
      <c r="AM213" s="307">
        <v>0.98966435430218047</v>
      </c>
      <c r="AN213" s="307">
        <v>0.99838961733695708</v>
      </c>
      <c r="AO213" s="307">
        <v>0.99727503559395636</v>
      </c>
      <c r="AP213" s="307">
        <v>0.97412173054745343</v>
      </c>
      <c r="AQ213" s="307">
        <v>0.97894443472128345</v>
      </c>
      <c r="AR213" s="307">
        <v>1.0428577842056317</v>
      </c>
    </row>
    <row r="214" spans="1:44" s="308" customFormat="1" hidden="1" outlineLevel="1" x14ac:dyDescent="0.3">
      <c r="A214" s="306">
        <v>1977</v>
      </c>
      <c r="B214" s="307">
        <v>0.98190175414855851</v>
      </c>
      <c r="C214" s="307">
        <v>0.99467361089972106</v>
      </c>
      <c r="D214" s="307">
        <v>1.0010949958000521</v>
      </c>
      <c r="E214" s="307">
        <v>0.97858901364388706</v>
      </c>
      <c r="F214" s="307">
        <v>0.9918776487760097</v>
      </c>
      <c r="G214" s="307">
        <v>1.0101670779715701</v>
      </c>
      <c r="H214" s="307">
        <v>1.0077317701904711</v>
      </c>
      <c r="I214" s="307">
        <v>0.97802590116857857</v>
      </c>
      <c r="J214" s="307">
        <v>0.97012833460142522</v>
      </c>
      <c r="K214" s="307">
        <v>0.99726338545836191</v>
      </c>
      <c r="L214" s="307">
        <v>0.98246112158845267</v>
      </c>
      <c r="M214" s="307">
        <v>1.0017221714599138</v>
      </c>
      <c r="N214" s="307">
        <v>0.98415925742778398</v>
      </c>
      <c r="O214" s="307">
        <v>1.0234173011938339</v>
      </c>
      <c r="P214" s="307">
        <v>1.0270537267492712</v>
      </c>
      <c r="Q214" s="307">
        <v>1.0511533223578733</v>
      </c>
      <c r="R214" s="307">
        <v>1.0151616625364905</v>
      </c>
      <c r="S214" s="307">
        <v>1.0426076740871</v>
      </c>
      <c r="T214" s="307">
        <v>1.0873684341938925</v>
      </c>
      <c r="U214" s="307">
        <v>1.027296868832503</v>
      </c>
      <c r="V214" s="307">
        <v>0.98985707547090329</v>
      </c>
      <c r="W214" s="307">
        <v>1.021817368667201</v>
      </c>
      <c r="X214" s="307">
        <v>1.0493004633717427</v>
      </c>
      <c r="Y214" s="307">
        <v>1.0365952810783321</v>
      </c>
      <c r="Z214" s="307">
        <v>1.0025270066119951</v>
      </c>
      <c r="AA214" s="307">
        <v>1.0413319357583695</v>
      </c>
      <c r="AB214" s="307">
        <v>1.0268605676554361</v>
      </c>
      <c r="AC214" s="307">
        <v>1.072884546536887</v>
      </c>
      <c r="AD214" s="307">
        <v>1.0466493431584241</v>
      </c>
      <c r="AE214" s="307">
        <v>1.0570184879019038</v>
      </c>
      <c r="AF214" s="307">
        <v>1.0348802623424416</v>
      </c>
      <c r="AG214" s="307">
        <v>0.96747425762161898</v>
      </c>
      <c r="AH214" s="307">
        <v>1.0167238968208996</v>
      </c>
      <c r="AI214" s="307">
        <v>1.0061609782281729</v>
      </c>
      <c r="AJ214" s="307">
        <v>1.0037939010475503</v>
      </c>
      <c r="AK214" s="307">
        <v>1.0072077564999078</v>
      </c>
      <c r="AL214" s="307">
        <v>0.98677605741530605</v>
      </c>
      <c r="AM214" s="307">
        <v>0.99456633702818997</v>
      </c>
      <c r="AN214" s="307">
        <v>0.98675390314968736</v>
      </c>
      <c r="AO214" s="307">
        <v>1.0117383607410104</v>
      </c>
      <c r="AP214" s="307">
        <v>0.96192120456450669</v>
      </c>
      <c r="AQ214" s="307">
        <v>1.0069828562119878</v>
      </c>
      <c r="AR214" s="307">
        <v>0.97276267374870717</v>
      </c>
    </row>
    <row r="215" spans="1:44" s="308" customFormat="1" hidden="1" outlineLevel="1" x14ac:dyDescent="0.3">
      <c r="A215" s="306">
        <v>1978</v>
      </c>
      <c r="B215" s="307">
        <v>0.92453678977413123</v>
      </c>
      <c r="C215" s="307">
        <v>0.96195967204334298</v>
      </c>
      <c r="D215" s="307">
        <v>0.9936426061211211</v>
      </c>
      <c r="E215" s="307">
        <v>0.96784932412402402</v>
      </c>
      <c r="F215" s="307">
        <v>0.96251261109409336</v>
      </c>
      <c r="G215" s="307">
        <v>0.9225239845640415</v>
      </c>
      <c r="H215" s="307">
        <v>0.93009954054907085</v>
      </c>
      <c r="I215" s="307">
        <v>0.95188880285399913</v>
      </c>
      <c r="J215" s="307">
        <v>0.93606244214748335</v>
      </c>
      <c r="K215" s="307">
        <v>0.95958025524206847</v>
      </c>
      <c r="L215" s="307">
        <v>0.95419256216618709</v>
      </c>
      <c r="M215" s="307">
        <v>0.99509390871232672</v>
      </c>
      <c r="N215" s="307">
        <v>0.95116417973590572</v>
      </c>
      <c r="O215" s="307">
        <v>0.90017403644171401</v>
      </c>
      <c r="P215" s="307">
        <v>0.88122704609893843</v>
      </c>
      <c r="Q215" s="307">
        <v>0.88448924552166031</v>
      </c>
      <c r="R215" s="307">
        <v>0.89995980114306218</v>
      </c>
      <c r="S215" s="307">
        <v>0.90961590178862139</v>
      </c>
      <c r="T215" s="307">
        <v>0.90091226919838951</v>
      </c>
      <c r="U215" s="307">
        <v>0.96538431731207641</v>
      </c>
      <c r="V215" s="307">
        <v>0.90215587694126798</v>
      </c>
      <c r="W215" s="307">
        <v>0.90297536483576213</v>
      </c>
      <c r="X215" s="307">
        <v>0.95525765396298312</v>
      </c>
      <c r="Y215" s="307">
        <v>0.98644278281189701</v>
      </c>
      <c r="Z215" s="307">
        <v>0.99424476459875932</v>
      </c>
      <c r="AA215" s="307">
        <v>0.98933578716793324</v>
      </c>
      <c r="AB215" s="307">
        <v>0.97627396178350412</v>
      </c>
      <c r="AC215" s="307">
        <v>0.94767883757583005</v>
      </c>
      <c r="AD215" s="307">
        <v>0.94444540710694391</v>
      </c>
      <c r="AE215" s="307">
        <v>0.89827155734392394</v>
      </c>
      <c r="AF215" s="307">
        <v>0.87509069174346077</v>
      </c>
      <c r="AG215" s="307">
        <v>0.8748096395550895</v>
      </c>
      <c r="AH215" s="307">
        <v>0.89577970468601587</v>
      </c>
      <c r="AI215" s="307">
        <v>0.94697890919702854</v>
      </c>
      <c r="AJ215" s="307">
        <v>0.87261886981934234</v>
      </c>
      <c r="AK215" s="307">
        <v>0.9106281657897729</v>
      </c>
      <c r="AL215" s="307">
        <v>0.873945730177069</v>
      </c>
      <c r="AM215" s="307">
        <v>0.90398469415619886</v>
      </c>
      <c r="AN215" s="307">
        <v>0.87551691493232719</v>
      </c>
      <c r="AO215" s="307">
        <v>0.88668647726667371</v>
      </c>
      <c r="AP215" s="307">
        <v>0.87600395346472515</v>
      </c>
      <c r="AQ215" s="307">
        <v>0.87875382254657541</v>
      </c>
      <c r="AR215" s="307">
        <v>0.85118456266243991</v>
      </c>
    </row>
    <row r="216" spans="1:44" s="308" customFormat="1" hidden="1" outlineLevel="1" x14ac:dyDescent="0.3">
      <c r="A216" s="306">
        <v>1979</v>
      </c>
      <c r="B216" s="307">
        <v>0.91958765394639552</v>
      </c>
      <c r="C216" s="307">
        <v>0.94014906459939263</v>
      </c>
      <c r="D216" s="307">
        <v>0.93440933635977164</v>
      </c>
      <c r="E216" s="307">
        <v>0.94459241470786892</v>
      </c>
      <c r="F216" s="307">
        <v>0.93690844645734306</v>
      </c>
      <c r="G216" s="307">
        <v>0.90615611518510586</v>
      </c>
      <c r="H216" s="307">
        <v>0.95151705677662735</v>
      </c>
      <c r="I216" s="307">
        <v>0.92026976797849169</v>
      </c>
      <c r="J216" s="307">
        <v>0.94463526806918685</v>
      </c>
      <c r="K216" s="307">
        <v>0.9433991279916174</v>
      </c>
      <c r="L216" s="307">
        <v>0.94262259037868312</v>
      </c>
      <c r="M216" s="307">
        <v>0.9369714310057482</v>
      </c>
      <c r="N216" s="307">
        <v>0.9317564896269398</v>
      </c>
      <c r="O216" s="307">
        <v>0.99860035375817635</v>
      </c>
      <c r="P216" s="307">
        <v>0.9795814881074294</v>
      </c>
      <c r="Q216" s="307">
        <v>0.97750320059052997</v>
      </c>
      <c r="R216" s="307">
        <v>0.99232684827270401</v>
      </c>
      <c r="S216" s="307">
        <v>0.98441292727010576</v>
      </c>
      <c r="T216" s="307">
        <v>0.9978139626527075</v>
      </c>
      <c r="U216" s="307">
        <v>0.94964740012406845</v>
      </c>
      <c r="V216" s="307">
        <v>0.98156257710025352</v>
      </c>
      <c r="W216" s="307">
        <v>0.98608235776539777</v>
      </c>
      <c r="X216" s="307">
        <v>0.98306675684427558</v>
      </c>
      <c r="Y216" s="307">
        <v>0.95485249328377719</v>
      </c>
      <c r="Z216" s="307">
        <v>0.94597252564587619</v>
      </c>
      <c r="AA216" s="307">
        <v>0.94759360894969835</v>
      </c>
      <c r="AB216" s="307">
        <v>0.94487656987799806</v>
      </c>
      <c r="AC216" s="307">
        <v>0.92520154267151111</v>
      </c>
      <c r="AD216" s="307">
        <v>0.95662792482986536</v>
      </c>
      <c r="AE216" s="307">
        <v>0.95918004237000065</v>
      </c>
      <c r="AF216" s="307">
        <v>0.93646373839517083</v>
      </c>
      <c r="AG216" s="307">
        <v>0.97063719920918345</v>
      </c>
      <c r="AH216" s="307">
        <v>1.0088210886357207</v>
      </c>
      <c r="AI216" s="307">
        <v>0.98737358124053765</v>
      </c>
      <c r="AJ216" s="307">
        <v>0.9802812252263291</v>
      </c>
      <c r="AK216" s="307">
        <v>0.97037109540723443</v>
      </c>
      <c r="AL216" s="307">
        <v>0.98177278320311856</v>
      </c>
      <c r="AM216" s="307">
        <v>0.97762462078041068</v>
      </c>
      <c r="AN216" s="307">
        <v>0.97297081290136977</v>
      </c>
      <c r="AO216" s="307">
        <v>0.97628083315862624</v>
      </c>
      <c r="AP216" s="307">
        <v>0.98543057439735093</v>
      </c>
      <c r="AQ216" s="307">
        <v>0.95052907221502614</v>
      </c>
      <c r="AR216" s="307">
        <v>0.93533279520615098</v>
      </c>
    </row>
    <row r="217" spans="1:44" s="308" customFormat="1" hidden="1" outlineLevel="1" x14ac:dyDescent="0.3">
      <c r="A217" s="306">
        <v>1980</v>
      </c>
      <c r="B217" s="307">
        <v>0.97486126207664314</v>
      </c>
      <c r="C217" s="307">
        <v>0.99865778432265984</v>
      </c>
      <c r="D217" s="307">
        <v>1.0145957422819996</v>
      </c>
      <c r="E217" s="307">
        <v>1.0039321263760912</v>
      </c>
      <c r="F217" s="307">
        <v>0.99783840323301665</v>
      </c>
      <c r="G217" s="307">
        <v>1.0129820037146939</v>
      </c>
      <c r="H217" s="307">
        <v>0.97095834481512233</v>
      </c>
      <c r="I217" s="307">
        <v>1.0219130407258041</v>
      </c>
      <c r="J217" s="307">
        <v>0.97124932026359856</v>
      </c>
      <c r="K217" s="307">
        <v>0.99392401233807992</v>
      </c>
      <c r="L217" s="307">
        <v>0.99437135372579377</v>
      </c>
      <c r="M217" s="307">
        <v>1.0154312627022746</v>
      </c>
      <c r="N217" s="307">
        <v>1.0125242025162184</v>
      </c>
      <c r="O217" s="307">
        <v>0.97562570626223444</v>
      </c>
      <c r="P217" s="307">
        <v>0.95865167759381587</v>
      </c>
      <c r="Q217" s="307">
        <v>1.0075779538999261</v>
      </c>
      <c r="R217" s="307">
        <v>0.97015339457859262</v>
      </c>
      <c r="S217" s="307">
        <v>0.98967706440762715</v>
      </c>
      <c r="T217" s="307">
        <v>1.009630744562996</v>
      </c>
      <c r="U217" s="307">
        <v>1.0063893174285128</v>
      </c>
      <c r="V217" s="307">
        <v>0.9586952647445488</v>
      </c>
      <c r="W217" s="307">
        <v>0.9631941343417334</v>
      </c>
      <c r="X217" s="307">
        <v>1.0027504648482959</v>
      </c>
      <c r="Y217" s="307">
        <v>0.99929522679016736</v>
      </c>
      <c r="Z217" s="307">
        <v>1.009126662969682</v>
      </c>
      <c r="AA217" s="307">
        <v>1.0045767834316681</v>
      </c>
      <c r="AB217" s="307">
        <v>1.0054914341520402</v>
      </c>
      <c r="AC217" s="307">
        <v>0.9542565760388444</v>
      </c>
      <c r="AD217" s="307">
        <v>0.99517812668115235</v>
      </c>
      <c r="AE217" s="307">
        <v>0.98224364321882418</v>
      </c>
      <c r="AF217" s="307">
        <v>0.9822521563870934</v>
      </c>
      <c r="AG217" s="307">
        <v>0.96967852605631033</v>
      </c>
      <c r="AH217" s="307">
        <v>0.99733919710831753</v>
      </c>
      <c r="AI217" s="307">
        <v>0.95812761872751839</v>
      </c>
      <c r="AJ217" s="307">
        <v>0.9576579897562697</v>
      </c>
      <c r="AK217" s="307">
        <v>0.97943879812825019</v>
      </c>
      <c r="AL217" s="307">
        <v>0.9914271595462133</v>
      </c>
      <c r="AM217" s="307">
        <v>0.9480404289526706</v>
      </c>
      <c r="AN217" s="307">
        <v>0.95591536146795975</v>
      </c>
      <c r="AO217" s="307">
        <v>0.98746808008008291</v>
      </c>
      <c r="AP217" s="307">
        <v>0.9862849859301408</v>
      </c>
      <c r="AQ217" s="307">
        <v>0.96960365316976216</v>
      </c>
      <c r="AR217" s="307">
        <v>0.98443048150176482</v>
      </c>
    </row>
    <row r="218" spans="1:44" s="308" customFormat="1" hidden="1" outlineLevel="1" x14ac:dyDescent="0.3">
      <c r="A218" s="306">
        <v>1981</v>
      </c>
      <c r="B218" s="307">
        <v>0.95549854597829387</v>
      </c>
      <c r="C218" s="307">
        <v>0.93667728794053517</v>
      </c>
      <c r="D218" s="307">
        <v>0.90543766699824624</v>
      </c>
      <c r="E218" s="307">
        <v>0.94704051043588522</v>
      </c>
      <c r="F218" s="307">
        <v>0.9391654186941919</v>
      </c>
      <c r="G218" s="307">
        <v>0.90903625156320544</v>
      </c>
      <c r="H218" s="307">
        <v>0.95577356494686638</v>
      </c>
      <c r="I218" s="307">
        <v>0.98102953811230975</v>
      </c>
      <c r="J218" s="307">
        <v>0.95371139758547296</v>
      </c>
      <c r="K218" s="307">
        <v>0.93256105834504044</v>
      </c>
      <c r="L218" s="307">
        <v>0.94302631490560784</v>
      </c>
      <c r="M218" s="307">
        <v>0.91024209088372632</v>
      </c>
      <c r="N218" s="307">
        <v>0.96632183929374682</v>
      </c>
      <c r="O218" s="307">
        <v>0.97370049243714829</v>
      </c>
      <c r="P218" s="307">
        <v>0.9716556241524722</v>
      </c>
      <c r="Q218" s="307">
        <v>0.93434170699532326</v>
      </c>
      <c r="R218" s="307">
        <v>0.9537623772166417</v>
      </c>
      <c r="S218" s="307">
        <v>0.93296707421916469</v>
      </c>
      <c r="T218" s="307">
        <v>0.95599602459712674</v>
      </c>
      <c r="U218" s="307">
        <v>0.94640114135400066</v>
      </c>
      <c r="V218" s="307">
        <v>0.98111776287446639</v>
      </c>
      <c r="W218" s="307">
        <v>0.95900139150881059</v>
      </c>
      <c r="X218" s="307">
        <v>0.95803678412326643</v>
      </c>
      <c r="Y218" s="307">
        <v>0.95665458946884308</v>
      </c>
      <c r="Z218" s="307">
        <v>0.95701551499685722</v>
      </c>
      <c r="AA218" s="307">
        <v>0.9704608499396945</v>
      </c>
      <c r="AB218" s="307">
        <v>0.96525292930346407</v>
      </c>
      <c r="AC218" s="307">
        <v>0.88833255336695671</v>
      </c>
      <c r="AD218" s="307">
        <v>0.95882700445766234</v>
      </c>
      <c r="AE218" s="307">
        <v>0.94727348939945999</v>
      </c>
      <c r="AF218" s="307">
        <v>0.93531991837185602</v>
      </c>
      <c r="AG218" s="307">
        <v>0.96675168533510747</v>
      </c>
      <c r="AH218" s="307">
        <v>0.97929965623576587</v>
      </c>
      <c r="AI218" s="307">
        <v>1.0256479067828661</v>
      </c>
      <c r="AJ218" s="307">
        <v>1.0043046758322884</v>
      </c>
      <c r="AK218" s="307">
        <v>1.016147662717187</v>
      </c>
      <c r="AL218" s="307">
        <v>0.952962454996508</v>
      </c>
      <c r="AM218" s="307">
        <v>1.0276493769193609</v>
      </c>
      <c r="AN218" s="307">
        <v>1.0096675208720511</v>
      </c>
      <c r="AO218" s="307">
        <v>0.98804894090943018</v>
      </c>
      <c r="AP218" s="307">
        <v>0.9335449604696987</v>
      </c>
      <c r="AQ218" s="307">
        <v>0.99993182806372072</v>
      </c>
      <c r="AR218" s="307">
        <v>0.92141486104888271</v>
      </c>
    </row>
    <row r="219" spans="1:44" s="308" customFormat="1" hidden="1" outlineLevel="1" x14ac:dyDescent="0.3">
      <c r="A219" s="306">
        <v>1982</v>
      </c>
      <c r="B219" s="307">
        <v>0.88255652494253833</v>
      </c>
      <c r="C219" s="307">
        <v>0.83779009913615088</v>
      </c>
      <c r="D219" s="307">
        <v>0.8929695475866255</v>
      </c>
      <c r="E219" s="307">
        <v>0.85770630415222837</v>
      </c>
      <c r="F219" s="307">
        <v>0.82146743731032923</v>
      </c>
      <c r="G219" s="307">
        <v>0.85763940276308115</v>
      </c>
      <c r="H219" s="307">
        <v>0.86013460269017361</v>
      </c>
      <c r="I219" s="307">
        <v>0.8751450638099606</v>
      </c>
      <c r="J219" s="307">
        <v>0.86350792228412832</v>
      </c>
      <c r="K219" s="307">
        <v>0.83311849738506238</v>
      </c>
      <c r="L219" s="307">
        <v>0.84929384395330776</v>
      </c>
      <c r="M219" s="307">
        <v>0.89632907507388293</v>
      </c>
      <c r="N219" s="307">
        <v>0.84950127309917534</v>
      </c>
      <c r="O219" s="307">
        <v>0.8433246756606122</v>
      </c>
      <c r="P219" s="307">
        <v>0.84531182303792951</v>
      </c>
      <c r="Q219" s="307">
        <v>0.82139520764519403</v>
      </c>
      <c r="R219" s="307">
        <v>0.83671049368912165</v>
      </c>
      <c r="S219" s="307">
        <v>0.78477100839344982</v>
      </c>
      <c r="T219" s="307">
        <v>0.79872465775656787</v>
      </c>
      <c r="U219" s="307">
        <v>0.79706510920287488</v>
      </c>
      <c r="V219" s="307">
        <v>0.85120197018911936</v>
      </c>
      <c r="W219" s="307">
        <v>0.81269902987691334</v>
      </c>
      <c r="X219" s="307">
        <v>0.83322921409875861</v>
      </c>
      <c r="Y219" s="307">
        <v>0.81838835140017341</v>
      </c>
      <c r="Z219" s="307">
        <v>0.84423326872589055</v>
      </c>
      <c r="AA219" s="307">
        <v>0.85342765828128586</v>
      </c>
      <c r="AB219" s="307">
        <v>0.85467861934725897</v>
      </c>
      <c r="AC219" s="307">
        <v>0.76098112879446</v>
      </c>
      <c r="AD219" s="307">
        <v>0.82648366634392878</v>
      </c>
      <c r="AE219" s="307">
        <v>0.79377161551577624</v>
      </c>
      <c r="AF219" s="307">
        <v>0.77740648084769304</v>
      </c>
      <c r="AG219" s="307">
        <v>0.82525156594316063</v>
      </c>
      <c r="AH219" s="307">
        <v>0.82354947911509313</v>
      </c>
      <c r="AI219" s="307">
        <v>0.93592442251344032</v>
      </c>
      <c r="AJ219" s="307">
        <v>0.81063730501838438</v>
      </c>
      <c r="AK219" s="307">
        <v>0.85658813289219782</v>
      </c>
      <c r="AL219" s="307">
        <v>0.80659905588309411</v>
      </c>
      <c r="AM219" s="307">
        <v>0.88333055184621045</v>
      </c>
      <c r="AN219" s="307">
        <v>0.85794783660813745</v>
      </c>
      <c r="AO219" s="307">
        <v>0.81076291252657517</v>
      </c>
      <c r="AP219" s="307">
        <v>0.81204362409577213</v>
      </c>
      <c r="AQ219" s="307">
        <v>0.80732198971778324</v>
      </c>
      <c r="AR219" s="307">
        <v>0.77449330949339634</v>
      </c>
    </row>
    <row r="220" spans="1:44" s="308" customFormat="1" hidden="1" outlineLevel="1" x14ac:dyDescent="0.3">
      <c r="A220" s="306">
        <v>1983</v>
      </c>
      <c r="B220" s="307">
        <v>0.85441844019322644</v>
      </c>
      <c r="C220" s="307">
        <v>0.85420145200816855</v>
      </c>
      <c r="D220" s="307">
        <v>0.83600376678785882</v>
      </c>
      <c r="E220" s="307">
        <v>0.8623151104575808</v>
      </c>
      <c r="F220" s="307">
        <v>0.8340866887982672</v>
      </c>
      <c r="G220" s="307">
        <v>0.85640040069854018</v>
      </c>
      <c r="H220" s="307">
        <v>0.8468955553205193</v>
      </c>
      <c r="I220" s="307">
        <v>0.85560355486724504</v>
      </c>
      <c r="J220" s="307">
        <v>0.84527556592249131</v>
      </c>
      <c r="K220" s="307">
        <v>0.85168896087116763</v>
      </c>
      <c r="L220" s="307">
        <v>0.8521040875279926</v>
      </c>
      <c r="M220" s="307">
        <v>0.8359311260945298</v>
      </c>
      <c r="N220" s="307">
        <v>0.85111294503211454</v>
      </c>
      <c r="O220" s="307">
        <v>0.80912560212492701</v>
      </c>
      <c r="P220" s="307">
        <v>0.81115687906459111</v>
      </c>
      <c r="Q220" s="307">
        <v>0.83020179387679927</v>
      </c>
      <c r="R220" s="307">
        <v>0.81265126864093618</v>
      </c>
      <c r="S220" s="307">
        <v>0.83653502357907628</v>
      </c>
      <c r="T220" s="307">
        <v>0.85927801169063711</v>
      </c>
      <c r="U220" s="307">
        <v>0.8109221763478337</v>
      </c>
      <c r="V220" s="307">
        <v>0.79967405157222293</v>
      </c>
      <c r="W220" s="307">
        <v>0.82506713422475519</v>
      </c>
      <c r="X220" s="307">
        <v>0.83628032861380053</v>
      </c>
      <c r="Y220" s="307">
        <v>0.80616960918753122</v>
      </c>
      <c r="Z220" s="307">
        <v>0.85550495903976198</v>
      </c>
      <c r="AA220" s="307">
        <v>0.86468622567414199</v>
      </c>
      <c r="AB220" s="307">
        <v>0.86000067911025369</v>
      </c>
      <c r="AC220" s="307">
        <v>0.79524282726394757</v>
      </c>
      <c r="AD220" s="307">
        <v>0.82577767726730844</v>
      </c>
      <c r="AE220" s="307">
        <v>0.79577941941129648</v>
      </c>
      <c r="AF220" s="307">
        <v>0.7522046692492862</v>
      </c>
      <c r="AG220" s="307">
        <v>0.75523455093888814</v>
      </c>
      <c r="AH220" s="307">
        <v>0.7373872512724261</v>
      </c>
      <c r="AI220" s="307">
        <v>0.88496701533610533</v>
      </c>
      <c r="AJ220" s="307">
        <v>0.73805586384607091</v>
      </c>
      <c r="AK220" s="307">
        <v>0.8061222952700382</v>
      </c>
      <c r="AL220" s="307">
        <v>0.73534362213318794</v>
      </c>
      <c r="AM220" s="307">
        <v>0.80683885682363199</v>
      </c>
      <c r="AN220" s="307">
        <v>0.77626163851652785</v>
      </c>
      <c r="AO220" s="307">
        <v>0.75184289079723809</v>
      </c>
      <c r="AP220" s="307">
        <v>0.71742119759357947</v>
      </c>
      <c r="AQ220" s="307">
        <v>0.75402904251629588</v>
      </c>
      <c r="AR220" s="307">
        <v>0.72818449104733707</v>
      </c>
    </row>
    <row r="221" spans="1:44" s="308" customFormat="1" hidden="1" outlineLevel="1" x14ac:dyDescent="0.3">
      <c r="A221" s="306">
        <v>1984</v>
      </c>
      <c r="B221" s="307">
        <v>0.99115499622621017</v>
      </c>
      <c r="C221" s="307">
        <v>1.0620416754648263</v>
      </c>
      <c r="D221" s="307">
        <v>1.0085251930430081</v>
      </c>
      <c r="E221" s="307">
        <v>1.0414092788036804</v>
      </c>
      <c r="F221" s="307">
        <v>1.0513366237371138</v>
      </c>
      <c r="G221" s="307">
        <v>1.0474784296169131</v>
      </c>
      <c r="H221" s="307">
        <v>1.0221775335281753</v>
      </c>
      <c r="I221" s="307">
        <v>1.0120428513902162</v>
      </c>
      <c r="J221" s="307">
        <v>1.0143414645927635</v>
      </c>
      <c r="K221" s="307">
        <v>1.0556158689556634</v>
      </c>
      <c r="L221" s="307">
        <v>1.0473190770379368</v>
      </c>
      <c r="M221" s="307">
        <v>1.0079578871595132</v>
      </c>
      <c r="N221" s="307">
        <v>1.0611576580591473</v>
      </c>
      <c r="O221" s="307">
        <v>1.050158229408257</v>
      </c>
      <c r="P221" s="307">
        <v>1.0468683866366639</v>
      </c>
      <c r="Q221" s="307">
        <v>1.0376575929307346</v>
      </c>
      <c r="R221" s="307">
        <v>1.0405167968090396</v>
      </c>
      <c r="S221" s="307">
        <v>1.0373435369495785</v>
      </c>
      <c r="T221" s="307">
        <v>1.0508568230755744</v>
      </c>
      <c r="U221" s="307">
        <v>1.0603537100492162</v>
      </c>
      <c r="V221" s="307">
        <v>1.0358838691367536</v>
      </c>
      <c r="W221" s="307">
        <v>1.0335680418861453</v>
      </c>
      <c r="X221" s="307">
        <v>1.0551095260051782</v>
      </c>
      <c r="Y221" s="307">
        <v>1.0675009927732524</v>
      </c>
      <c r="Z221" s="307">
        <v>1.0082445306842487</v>
      </c>
      <c r="AA221" s="307">
        <v>1.0618652007280094</v>
      </c>
      <c r="AB221" s="307">
        <v>1.0297284982994557</v>
      </c>
      <c r="AC221" s="307">
        <v>1.0612673457198039</v>
      </c>
      <c r="AD221" s="307">
        <v>1.0496622895542014</v>
      </c>
      <c r="AE221" s="307">
        <v>1.1098318632509998</v>
      </c>
      <c r="AF221" s="307">
        <v>1.1250116995793968</v>
      </c>
      <c r="AG221" s="307">
        <v>1.07445191013089</v>
      </c>
      <c r="AH221" s="307">
        <v>1.1760891883241544</v>
      </c>
      <c r="AI221" s="307">
        <v>1.0104553679943982</v>
      </c>
      <c r="AJ221" s="307">
        <v>1.0813214562770563</v>
      </c>
      <c r="AK221" s="307">
        <v>1.0396072573131341</v>
      </c>
      <c r="AL221" s="307">
        <v>1.1150986013583191</v>
      </c>
      <c r="AM221" s="307">
        <v>1.0132460098487031</v>
      </c>
      <c r="AN221" s="307">
        <v>1.0851547880930645</v>
      </c>
      <c r="AO221" s="307">
        <v>1.1245820032637983</v>
      </c>
      <c r="AP221" s="307">
        <v>1.1149668587849093</v>
      </c>
      <c r="AQ221" s="307">
        <v>1.066705209977254</v>
      </c>
      <c r="AR221" s="307">
        <v>1.1006996890786327</v>
      </c>
    </row>
    <row r="222" spans="1:44" s="308" customFormat="1" hidden="1" outlineLevel="1" x14ac:dyDescent="0.3">
      <c r="A222" s="306">
        <v>1985</v>
      </c>
      <c r="B222" s="307">
        <v>1.0119905725557614</v>
      </c>
      <c r="C222" s="307">
        <v>1.0182267919675381</v>
      </c>
      <c r="D222" s="307">
        <v>0.97472219535389693</v>
      </c>
      <c r="E222" s="307">
        <v>1.0104568336859781</v>
      </c>
      <c r="F222" s="307">
        <v>1.0196059969567237</v>
      </c>
      <c r="G222" s="307">
        <v>1.0510541461014218</v>
      </c>
      <c r="H222" s="307">
        <v>0.98809643090521593</v>
      </c>
      <c r="I222" s="307">
        <v>0.9917958201290813</v>
      </c>
      <c r="J222" s="307">
        <v>0.97566102565642654</v>
      </c>
      <c r="K222" s="307">
        <v>1.0192686698644799</v>
      </c>
      <c r="L222" s="307">
        <v>0.99211967948491264</v>
      </c>
      <c r="M222" s="307">
        <v>0.97895792534406278</v>
      </c>
      <c r="N222" s="307">
        <v>1.0143250264565902</v>
      </c>
      <c r="O222" s="307">
        <v>0.99969924249406272</v>
      </c>
      <c r="P222" s="307">
        <v>1.0183260602779405</v>
      </c>
      <c r="Q222" s="307">
        <v>0.97787046407546352</v>
      </c>
      <c r="R222" s="307">
        <v>1.0013177770982891</v>
      </c>
      <c r="S222" s="307">
        <v>0.98909858779910831</v>
      </c>
      <c r="T222" s="307">
        <v>1.0068857408204506</v>
      </c>
      <c r="U222" s="307">
        <v>1.0385940481771585</v>
      </c>
      <c r="V222" s="307">
        <v>1.0194478752128873</v>
      </c>
      <c r="W222" s="307">
        <v>0.99670192293532311</v>
      </c>
      <c r="X222" s="307">
        <v>1.0194453867475717</v>
      </c>
      <c r="Y222" s="307">
        <v>1.023647212126878</v>
      </c>
      <c r="Z222" s="307">
        <v>0.95355232898737796</v>
      </c>
      <c r="AA222" s="307">
        <v>1.0261004026795644</v>
      </c>
      <c r="AB222" s="307">
        <v>0.97304350693405406</v>
      </c>
      <c r="AC222" s="307">
        <v>0.96746980575868147</v>
      </c>
      <c r="AD222" s="307">
        <v>0.92975936614081278</v>
      </c>
      <c r="AE222" s="307">
        <v>1.039018913047453</v>
      </c>
      <c r="AF222" s="307">
        <v>1.0501589613131166</v>
      </c>
      <c r="AG222" s="307">
        <v>1.054386864614999</v>
      </c>
      <c r="AH222" s="307">
        <v>1.1212019035121961</v>
      </c>
      <c r="AI222" s="307">
        <v>1.0280935624177912</v>
      </c>
      <c r="AJ222" s="307">
        <v>1.0502532436147163</v>
      </c>
      <c r="AK222" s="307">
        <v>1.0518383826646043</v>
      </c>
      <c r="AL222" s="307">
        <v>1.0558585213029319</v>
      </c>
      <c r="AM222" s="307">
        <v>1.0570891785123684</v>
      </c>
      <c r="AN222" s="307">
        <v>1.085579870315053</v>
      </c>
      <c r="AO222" s="307">
        <v>1.0577066656290399</v>
      </c>
      <c r="AP222" s="307">
        <v>1.0427613057780454</v>
      </c>
      <c r="AQ222" s="307">
        <v>1.0681405074864296</v>
      </c>
      <c r="AR222" s="307">
        <v>1.0359391875251955</v>
      </c>
    </row>
    <row r="223" spans="1:44" s="308" customFormat="1" hidden="1" outlineLevel="1" x14ac:dyDescent="0.3">
      <c r="A223" s="306">
        <v>1986</v>
      </c>
      <c r="B223" s="307">
        <v>0.99276859113254878</v>
      </c>
      <c r="C223" s="307">
        <v>1.0226732833592256</v>
      </c>
      <c r="D223" s="307">
        <v>1.0336974859146544</v>
      </c>
      <c r="E223" s="307">
        <v>0.9922664180373697</v>
      </c>
      <c r="F223" s="307">
        <v>1.0266026132070374</v>
      </c>
      <c r="G223" s="307">
        <v>1.0245025492270923</v>
      </c>
      <c r="H223" s="307">
        <v>1.0380462857448587</v>
      </c>
      <c r="I223" s="307">
        <v>1.0342787977914945</v>
      </c>
      <c r="J223" s="307">
        <v>1.0024843341523906</v>
      </c>
      <c r="K223" s="307">
        <v>1.0213372171793995</v>
      </c>
      <c r="L223" s="307">
        <v>1.0082159225890241</v>
      </c>
      <c r="M223" s="307">
        <v>1.0358943811382813</v>
      </c>
      <c r="N223" s="307">
        <v>1.0242036930196363</v>
      </c>
      <c r="O223" s="307">
        <v>0.97187532962676593</v>
      </c>
      <c r="P223" s="307">
        <v>0.98375639086509858</v>
      </c>
      <c r="Q223" s="307">
        <v>0.993597351004889</v>
      </c>
      <c r="R223" s="307">
        <v>0.96576517782574745</v>
      </c>
      <c r="S223" s="307">
        <v>0.99166316743020833</v>
      </c>
      <c r="T223" s="307">
        <v>1.0101511727818429</v>
      </c>
      <c r="U223" s="307">
        <v>1.0166214180128335</v>
      </c>
      <c r="V223" s="307">
        <v>0.97284914547037105</v>
      </c>
      <c r="W223" s="307">
        <v>0.9871812191080479</v>
      </c>
      <c r="X223" s="307">
        <v>1.0117958116541339</v>
      </c>
      <c r="Y223" s="307">
        <v>1.0508232556792232</v>
      </c>
      <c r="Z223" s="307">
        <v>0.9837735276550037</v>
      </c>
      <c r="AA223" s="307">
        <v>1.005962605990639</v>
      </c>
      <c r="AB223" s="307">
        <v>1.0037188931861842</v>
      </c>
      <c r="AC223" s="307">
        <v>0.97672639495893654</v>
      </c>
      <c r="AD223" s="307">
        <v>0.98339585390261419</v>
      </c>
      <c r="AE223" s="307">
        <v>0.98983031235405317</v>
      </c>
      <c r="AF223" s="307">
        <v>0.95541092550076956</v>
      </c>
      <c r="AG223" s="307">
        <v>0.93954517552399153</v>
      </c>
      <c r="AH223" s="307">
        <v>0.98883587158383912</v>
      </c>
      <c r="AI223" s="307">
        <v>1.0176137217399392</v>
      </c>
      <c r="AJ223" s="307">
        <v>0.92540193858707509</v>
      </c>
      <c r="AK223" s="307">
        <v>0.98611246414485521</v>
      </c>
      <c r="AL223" s="307">
        <v>0.94218644898055859</v>
      </c>
      <c r="AM223" s="307">
        <v>0.98509391993411788</v>
      </c>
      <c r="AN223" s="307">
        <v>0.94760383575015161</v>
      </c>
      <c r="AO223" s="307">
        <v>0.95391448846198146</v>
      </c>
      <c r="AP223" s="307">
        <v>0.94401737744865954</v>
      </c>
      <c r="AQ223" s="307">
        <v>0.95062346315292345</v>
      </c>
      <c r="AR223" s="307">
        <v>0.91010708901342141</v>
      </c>
    </row>
    <row r="224" spans="1:44" s="308" customFormat="1" hidden="1" outlineLevel="1" x14ac:dyDescent="0.3">
      <c r="A224" s="306">
        <v>1987</v>
      </c>
      <c r="B224" s="307">
        <v>1.0705239716321984</v>
      </c>
      <c r="C224" s="307">
        <v>0.98140167136925216</v>
      </c>
      <c r="D224" s="307">
        <v>1.1110525677234451</v>
      </c>
      <c r="E224" s="307">
        <v>0.96468808746654222</v>
      </c>
      <c r="F224" s="307">
        <v>0.9758342667503086</v>
      </c>
      <c r="G224" s="307">
        <v>1.0078521004299279</v>
      </c>
      <c r="H224" s="307">
        <v>1.027866265062847</v>
      </c>
      <c r="I224" s="307">
        <v>1.0149283629537418</v>
      </c>
      <c r="J224" s="307">
        <v>1.0041306878917908</v>
      </c>
      <c r="K224" s="307">
        <v>0.97819085792395288</v>
      </c>
      <c r="L224" s="307">
        <v>0.9818689372186854</v>
      </c>
      <c r="M224" s="307">
        <v>1.1134922908473253</v>
      </c>
      <c r="N224" s="307">
        <v>0.97186630834656118</v>
      </c>
      <c r="O224" s="307">
        <v>0.92892239697015233</v>
      </c>
      <c r="P224" s="307">
        <v>0.93762048975054602</v>
      </c>
      <c r="Q224" s="307">
        <v>0.96089826752359697</v>
      </c>
      <c r="R224" s="307">
        <v>0.94339510342173261</v>
      </c>
      <c r="S224" s="307">
        <v>0.92542759575480271</v>
      </c>
      <c r="T224" s="307">
        <v>0.97195582330843178</v>
      </c>
      <c r="U224" s="307">
        <v>0.94967486491917752</v>
      </c>
      <c r="V224" s="307">
        <v>0.96236797416113917</v>
      </c>
      <c r="W224" s="307">
        <v>0.9724044863618525</v>
      </c>
      <c r="X224" s="307">
        <v>0.95570631681106677</v>
      </c>
      <c r="Y224" s="307">
        <v>0.97362578695230784</v>
      </c>
      <c r="Z224" s="307">
        <v>0.96738873724223151</v>
      </c>
      <c r="AA224" s="307">
        <v>0.94143130733937963</v>
      </c>
      <c r="AB224" s="307">
        <v>0.97160503562633593</v>
      </c>
      <c r="AC224" s="307">
        <v>0.88413949632741129</v>
      </c>
      <c r="AD224" s="307">
        <v>0.92493120168497989</v>
      </c>
      <c r="AE224" s="307">
        <v>0.93309359298912264</v>
      </c>
      <c r="AF224" s="307">
        <v>0.91428467622381748</v>
      </c>
      <c r="AG224" s="307">
        <v>0.93298312145602691</v>
      </c>
      <c r="AH224" s="307">
        <v>0.99972925611872887</v>
      </c>
      <c r="AI224" s="307">
        <v>0.99395224155009232</v>
      </c>
      <c r="AJ224" s="307">
        <v>0.94405408709706085</v>
      </c>
      <c r="AK224" s="307">
        <v>0.96243719933902583</v>
      </c>
      <c r="AL224" s="307">
        <v>0.92335507360528857</v>
      </c>
      <c r="AM224" s="307">
        <v>0.96968952517497298</v>
      </c>
      <c r="AN224" s="307">
        <v>0.96912941897996241</v>
      </c>
      <c r="AO224" s="307">
        <v>0.92507631870782581</v>
      </c>
      <c r="AP224" s="307">
        <v>0.93058794274415679</v>
      </c>
      <c r="AQ224" s="307">
        <v>0.93008440777355561</v>
      </c>
      <c r="AR224" s="307">
        <v>0.888771604321276</v>
      </c>
    </row>
    <row r="225" spans="1:44" s="308" customFormat="1" hidden="1" outlineLevel="1" x14ac:dyDescent="0.3">
      <c r="A225" s="306">
        <v>1988</v>
      </c>
      <c r="B225" s="307">
        <v>1.11497767404413</v>
      </c>
      <c r="C225" s="307">
        <v>1.1047539154991937</v>
      </c>
      <c r="D225" s="307">
        <v>1.1339317050983309</v>
      </c>
      <c r="E225" s="307">
        <v>1.1133939371018302</v>
      </c>
      <c r="F225" s="307">
        <v>1.0752067302247494</v>
      </c>
      <c r="G225" s="307">
        <v>1.1077330563345891</v>
      </c>
      <c r="H225" s="307">
        <v>1.1201240209998913</v>
      </c>
      <c r="I225" s="307">
        <v>1.0756120194229328</v>
      </c>
      <c r="J225" s="307">
        <v>1.11664640200216</v>
      </c>
      <c r="K225" s="307">
        <v>1.0968925950383104</v>
      </c>
      <c r="L225" s="307">
        <v>1.1080980897259898</v>
      </c>
      <c r="M225" s="307">
        <v>1.1336002884458458</v>
      </c>
      <c r="N225" s="307">
        <v>1.0638503946203579</v>
      </c>
      <c r="O225" s="307">
        <v>1.0131401422454265</v>
      </c>
      <c r="P225" s="307">
        <v>1.010943947454777</v>
      </c>
      <c r="Q225" s="307">
        <v>1.0286377357883629</v>
      </c>
      <c r="R225" s="307">
        <v>1.002649435542635</v>
      </c>
      <c r="S225" s="307">
        <v>1.0080340554512912</v>
      </c>
      <c r="T225" s="307">
        <v>1.0825111041513213</v>
      </c>
      <c r="U225" s="307">
        <v>1.0741643821124047</v>
      </c>
      <c r="V225" s="307">
        <v>1.0282643495462873</v>
      </c>
      <c r="W225" s="307">
        <v>1.0281968716200527</v>
      </c>
      <c r="X225" s="307">
        <v>1.0820162135394678</v>
      </c>
      <c r="Y225" s="307">
        <v>1.0961579446923921</v>
      </c>
      <c r="Z225" s="307">
        <v>1.0682785334429106</v>
      </c>
      <c r="AA225" s="307">
        <v>1.0706062284053603</v>
      </c>
      <c r="AB225" s="307">
        <v>1.0782913216149539</v>
      </c>
      <c r="AC225" s="307">
        <v>1.0712196758579209</v>
      </c>
      <c r="AD225" s="307">
        <v>1.081113437383409</v>
      </c>
      <c r="AE225" s="307">
        <v>1.0403413963606902</v>
      </c>
      <c r="AF225" s="307">
        <v>1.0270809699783925</v>
      </c>
      <c r="AG225" s="307">
        <v>1.0038051479732522</v>
      </c>
      <c r="AH225" s="307">
        <v>1.0322412648683943</v>
      </c>
      <c r="AI225" s="307">
        <v>1.0379136632678319</v>
      </c>
      <c r="AJ225" s="307">
        <v>1.0354026252234529</v>
      </c>
      <c r="AK225" s="307">
        <v>1.0380624259605109</v>
      </c>
      <c r="AL225" s="307">
        <v>1.0426377120319728</v>
      </c>
      <c r="AM225" s="307">
        <v>1.0320865220956719</v>
      </c>
      <c r="AN225" s="307">
        <v>1.0260084899597501</v>
      </c>
      <c r="AO225" s="307">
        <v>1.0490414129082957</v>
      </c>
      <c r="AP225" s="307">
        <v>1.0396779409337478</v>
      </c>
      <c r="AQ225" s="307">
        <v>1.0326504184995249</v>
      </c>
      <c r="AR225" s="307">
        <v>0.984684451610224</v>
      </c>
    </row>
    <row r="226" spans="1:44" s="308" customFormat="1" hidden="1" outlineLevel="1" x14ac:dyDescent="0.3">
      <c r="A226" s="306">
        <v>1989</v>
      </c>
      <c r="B226" s="307">
        <v>1.0175505008889685</v>
      </c>
      <c r="C226" s="307">
        <v>0.97360497881438679</v>
      </c>
      <c r="D226" s="307">
        <v>1.0042140794200487</v>
      </c>
      <c r="E226" s="307">
        <v>0.95469347055955378</v>
      </c>
      <c r="F226" s="307">
        <v>0.96254263672693829</v>
      </c>
      <c r="G226" s="307">
        <v>1.0105909470989132</v>
      </c>
      <c r="H226" s="307">
        <v>0.97439773300131394</v>
      </c>
      <c r="I226" s="307">
        <v>0.98513641799940355</v>
      </c>
      <c r="J226" s="307">
        <v>0.97771307797957874</v>
      </c>
      <c r="K226" s="307">
        <v>0.97821467430090525</v>
      </c>
      <c r="L226" s="307">
        <v>0.96610649967231277</v>
      </c>
      <c r="M226" s="307">
        <v>1.0071782757603485</v>
      </c>
      <c r="N226" s="307">
        <v>0.97056335631074386</v>
      </c>
      <c r="O226" s="307">
        <v>1.0423493349715927</v>
      </c>
      <c r="P226" s="307">
        <v>1.0726274444902744</v>
      </c>
      <c r="Q226" s="307">
        <v>0.99208839517179559</v>
      </c>
      <c r="R226" s="307">
        <v>1.021176468798537</v>
      </c>
      <c r="S226" s="307">
        <v>0.99563537347537112</v>
      </c>
      <c r="T226" s="307">
        <v>1.0225700187100133</v>
      </c>
      <c r="U226" s="307">
        <v>1.0415374919845626</v>
      </c>
      <c r="V226" s="307">
        <v>1.0638540601884288</v>
      </c>
      <c r="W226" s="307">
        <v>1.0452510660705421</v>
      </c>
      <c r="X226" s="307">
        <v>1.029502090399808</v>
      </c>
      <c r="Y226" s="307">
        <v>1.0375497297446008</v>
      </c>
      <c r="Z226" s="307">
        <v>0.98940937281193919</v>
      </c>
      <c r="AA226" s="307">
        <v>1.024116369917911</v>
      </c>
      <c r="AB226" s="307">
        <v>0.99013741734394811</v>
      </c>
      <c r="AC226" s="307">
        <v>1.0536859407773083</v>
      </c>
      <c r="AD226" s="307">
        <v>1.0253684394501754</v>
      </c>
      <c r="AE226" s="307">
        <v>1.0945982525105022</v>
      </c>
      <c r="AF226" s="307">
        <v>1.1150246960523231</v>
      </c>
      <c r="AG226" s="307">
        <v>1.0896960969040899</v>
      </c>
      <c r="AH226" s="307">
        <v>1.1320952880470858</v>
      </c>
      <c r="AI226" s="307">
        <v>1.096160154023849</v>
      </c>
      <c r="AJ226" s="307">
        <v>1.0813248476381374</v>
      </c>
      <c r="AK226" s="307">
        <v>1.108225077535925</v>
      </c>
      <c r="AL226" s="307">
        <v>1.0993081625657943</v>
      </c>
      <c r="AM226" s="307">
        <v>1.0865878751702027</v>
      </c>
      <c r="AN226" s="307">
        <v>1.0846286893385615</v>
      </c>
      <c r="AO226" s="307">
        <v>1.0857584937773781</v>
      </c>
      <c r="AP226" s="307">
        <v>1.0934974457580524</v>
      </c>
      <c r="AQ226" s="307">
        <v>1.0902663171116369</v>
      </c>
      <c r="AR226" s="307">
        <v>1.0952669202557483</v>
      </c>
    </row>
    <row r="227" spans="1:44" s="308" customFormat="1" hidden="1" outlineLevel="1" x14ac:dyDescent="0.3">
      <c r="A227" s="306">
        <v>1990</v>
      </c>
      <c r="B227" s="307">
        <v>1.0050439295346896</v>
      </c>
      <c r="C227" s="307">
        <v>1.0383818546985839</v>
      </c>
      <c r="D227" s="307">
        <v>1.0364577152564545</v>
      </c>
      <c r="E227" s="307">
        <v>1.0459116461643365</v>
      </c>
      <c r="F227" s="307">
        <v>1.051333116237489</v>
      </c>
      <c r="G227" s="307">
        <v>1.0461090062824205</v>
      </c>
      <c r="H227" s="307">
        <v>0.99884938636069098</v>
      </c>
      <c r="I227" s="307">
        <v>1.0457095506119276</v>
      </c>
      <c r="J227" s="307">
        <v>0.9994760035134036</v>
      </c>
      <c r="K227" s="307">
        <v>1.0429875229193653</v>
      </c>
      <c r="L227" s="307">
        <v>1.0190041558707554</v>
      </c>
      <c r="M227" s="307">
        <v>1.0362173787516027</v>
      </c>
      <c r="N227" s="307">
        <v>1.0461571600113093</v>
      </c>
      <c r="O227" s="307">
        <v>1.0154927957486044</v>
      </c>
      <c r="P227" s="307">
        <v>1.0377352108467075</v>
      </c>
      <c r="Q227" s="307">
        <v>0.97589377546877909</v>
      </c>
      <c r="R227" s="307">
        <v>1.0036772256171302</v>
      </c>
      <c r="S227" s="307">
        <v>0.98453826386861809</v>
      </c>
      <c r="T227" s="307">
        <v>1.015794247390124</v>
      </c>
      <c r="U227" s="307">
        <v>1.0345644386835737</v>
      </c>
      <c r="V227" s="307">
        <v>1.0299087344552642</v>
      </c>
      <c r="W227" s="307">
        <v>1.0269953230978723</v>
      </c>
      <c r="X227" s="307">
        <v>1.0411227346975676</v>
      </c>
      <c r="Y227" s="307">
        <v>1.0493815265485635</v>
      </c>
      <c r="Z227" s="307">
        <v>1.0214438433996225</v>
      </c>
      <c r="AA227" s="307">
        <v>1.0193885364537059</v>
      </c>
      <c r="AB227" s="307">
        <v>1.0253351423203192</v>
      </c>
      <c r="AC227" s="307">
        <v>1.0205042830699844</v>
      </c>
      <c r="AD227" s="307">
        <v>1.0019394025307062</v>
      </c>
      <c r="AE227" s="307">
        <v>1.0567839142265003</v>
      </c>
      <c r="AF227" s="307">
        <v>1.0833155539693791</v>
      </c>
      <c r="AG227" s="307">
        <v>1.0475949841652004</v>
      </c>
      <c r="AH227" s="307">
        <v>1.0863478771392634</v>
      </c>
      <c r="AI227" s="307">
        <v>1.0606311152833274</v>
      </c>
      <c r="AJ227" s="307">
        <v>1.0231428266450073</v>
      </c>
      <c r="AK227" s="307">
        <v>1.0311918127619464</v>
      </c>
      <c r="AL227" s="307">
        <v>1.0479459853513002</v>
      </c>
      <c r="AM227" s="307">
        <v>1.0374903610953883</v>
      </c>
      <c r="AN227" s="307">
        <v>1.0466840889654143</v>
      </c>
      <c r="AO227" s="307">
        <v>1.033766137489895</v>
      </c>
      <c r="AP227" s="307">
        <v>1.0635018368063014</v>
      </c>
      <c r="AQ227" s="307">
        <v>1.015493177639275</v>
      </c>
      <c r="AR227" s="307">
        <v>1.0758259999417876</v>
      </c>
    </row>
    <row r="228" spans="1:44" s="308" customFormat="1" hidden="1" outlineLevel="1" x14ac:dyDescent="0.3">
      <c r="A228" s="306">
        <v>1991</v>
      </c>
      <c r="B228" s="307">
        <v>0.96888926994848457</v>
      </c>
      <c r="C228" s="307">
        <v>0.98062138816329392</v>
      </c>
      <c r="D228" s="307">
        <v>1.0029559769457017</v>
      </c>
      <c r="E228" s="307">
        <v>1.0235275360946914</v>
      </c>
      <c r="F228" s="307">
        <v>1.0278223311179322</v>
      </c>
      <c r="G228" s="307">
        <v>0.96563908272223431</v>
      </c>
      <c r="H228" s="307">
        <v>0.99637272449889103</v>
      </c>
      <c r="I228" s="307">
        <v>0.95130223336429776</v>
      </c>
      <c r="J228" s="307">
        <v>0.95725031004876637</v>
      </c>
      <c r="K228" s="307">
        <v>0.99959613870699904</v>
      </c>
      <c r="L228" s="307">
        <v>0.97171721566063518</v>
      </c>
      <c r="M228" s="307">
        <v>1.0074538185435835</v>
      </c>
      <c r="N228" s="307">
        <v>0.99053927418338594</v>
      </c>
      <c r="O228" s="307">
        <v>0.96360437708442281</v>
      </c>
      <c r="P228" s="307">
        <v>0.99363607244616137</v>
      </c>
      <c r="Q228" s="307">
        <v>0.98926818959735607</v>
      </c>
      <c r="R228" s="307">
        <v>0.96230644079244598</v>
      </c>
      <c r="S228" s="307">
        <v>0.97274698233164281</v>
      </c>
      <c r="T228" s="307">
        <v>1.0042938042010954</v>
      </c>
      <c r="U228" s="307">
        <v>1.0097012207004625</v>
      </c>
      <c r="V228" s="307">
        <v>0.95081478810312603</v>
      </c>
      <c r="W228" s="307">
        <v>0.99181095608594227</v>
      </c>
      <c r="X228" s="307">
        <v>1.0049036319850475</v>
      </c>
      <c r="Y228" s="307">
        <v>1.0184043603869231</v>
      </c>
      <c r="Z228" s="307">
        <v>0.91896947624177583</v>
      </c>
      <c r="AA228" s="307">
        <v>0.93087267711665955</v>
      </c>
      <c r="AB228" s="307">
        <v>0.92454423398437435</v>
      </c>
      <c r="AC228" s="307">
        <v>0.93242733969473279</v>
      </c>
      <c r="AD228" s="307">
        <v>0.95421369581825333</v>
      </c>
      <c r="AE228" s="307">
        <v>0.94634707520937245</v>
      </c>
      <c r="AF228" s="307">
        <v>0.91312794825476162</v>
      </c>
      <c r="AG228" s="307">
        <v>0.90549406414781608</v>
      </c>
      <c r="AH228" s="307">
        <v>0.91606518040754703</v>
      </c>
      <c r="AI228" s="307">
        <v>0.97148967319659774</v>
      </c>
      <c r="AJ228" s="307">
        <v>0.90352041498485125</v>
      </c>
      <c r="AK228" s="307">
        <v>0.96407475502638584</v>
      </c>
      <c r="AL228" s="307">
        <v>0.91291805248879609</v>
      </c>
      <c r="AM228" s="307">
        <v>0.93359800281743388</v>
      </c>
      <c r="AN228" s="307">
        <v>0.93047583804025102</v>
      </c>
      <c r="AO228" s="307">
        <v>0.94360514691502206</v>
      </c>
      <c r="AP228" s="307">
        <v>0.89424141864063855</v>
      </c>
      <c r="AQ228" s="307">
        <v>0.94639278453352416</v>
      </c>
      <c r="AR228" s="307">
        <v>0.89484580428813887</v>
      </c>
    </row>
    <row r="229" spans="1:44" s="308" customFormat="1" hidden="1" outlineLevel="1" x14ac:dyDescent="0.3">
      <c r="A229" s="306">
        <v>1992</v>
      </c>
      <c r="B229" s="307">
        <v>1.0091208277737305</v>
      </c>
      <c r="C229" s="307">
        <v>0.9901134021598037</v>
      </c>
      <c r="D229" s="307">
        <v>0.97976875301497346</v>
      </c>
      <c r="E229" s="307">
        <v>0.97148953603263988</v>
      </c>
      <c r="F229" s="307">
        <v>0.9960678473656156</v>
      </c>
      <c r="G229" s="307">
        <v>0.9878541723706703</v>
      </c>
      <c r="H229" s="307">
        <v>1.0158875131596539</v>
      </c>
      <c r="I229" s="307">
        <v>0.98577502860525068</v>
      </c>
      <c r="J229" s="307">
        <v>1.0048408691706734</v>
      </c>
      <c r="K229" s="307">
        <v>1.0011803015439207</v>
      </c>
      <c r="L229" s="307">
        <v>0.98601287466053766</v>
      </c>
      <c r="M229" s="307">
        <v>0.98437853429049182</v>
      </c>
      <c r="N229" s="307">
        <v>0.988190007509676</v>
      </c>
      <c r="O229" s="307">
        <v>0.93878991071545781</v>
      </c>
      <c r="P229" s="307">
        <v>0.95619097331942804</v>
      </c>
      <c r="Q229" s="307">
        <v>0.98453276567118453</v>
      </c>
      <c r="R229" s="307">
        <v>0.94602267109044236</v>
      </c>
      <c r="S229" s="307">
        <v>0.98811517756462641</v>
      </c>
      <c r="T229" s="307">
        <v>1.0165493785311959</v>
      </c>
      <c r="U229" s="307">
        <v>1.0260672859237878</v>
      </c>
      <c r="V229" s="307">
        <v>0.94357521080542806</v>
      </c>
      <c r="W229" s="307">
        <v>1.0018508426610602</v>
      </c>
      <c r="X229" s="307">
        <v>1.0255112357453831</v>
      </c>
      <c r="Y229" s="307">
        <v>1.036520170321261</v>
      </c>
      <c r="Z229" s="307">
        <v>0.99305225243511785</v>
      </c>
      <c r="AA229" s="307">
        <v>0.96858108716966462</v>
      </c>
      <c r="AB229" s="307">
        <v>0.99065259583401155</v>
      </c>
      <c r="AC229" s="307">
        <v>0.98965328392348795</v>
      </c>
      <c r="AD229" s="307">
        <v>0.99464380168181399</v>
      </c>
      <c r="AE229" s="307">
        <v>0.98276072090486843</v>
      </c>
      <c r="AF229" s="307">
        <v>0.97380475088103147</v>
      </c>
      <c r="AG229" s="307">
        <v>0.90419166118103811</v>
      </c>
      <c r="AH229" s="307">
        <v>0.93581019052370873</v>
      </c>
      <c r="AI229" s="307">
        <v>0.93242859460553684</v>
      </c>
      <c r="AJ229" s="307">
        <v>0.91909837663489558</v>
      </c>
      <c r="AK229" s="307">
        <v>0.9066615690559241</v>
      </c>
      <c r="AL229" s="307">
        <v>0.89524033463331165</v>
      </c>
      <c r="AM229" s="307">
        <v>0.89820372011602079</v>
      </c>
      <c r="AN229" s="307">
        <v>0.89149561373107578</v>
      </c>
      <c r="AO229" s="307">
        <v>0.89434569609878856</v>
      </c>
      <c r="AP229" s="307">
        <v>0.8891102521483143</v>
      </c>
      <c r="AQ229" s="307">
        <v>0.87384656972530783</v>
      </c>
      <c r="AR229" s="307">
        <v>0.91482365054141257</v>
      </c>
    </row>
    <row r="230" spans="1:44" s="308" customFormat="1" hidden="1" outlineLevel="1" x14ac:dyDescent="0.3">
      <c r="A230" s="306">
        <v>1993</v>
      </c>
      <c r="B230" s="307">
        <v>0.8965161223416277</v>
      </c>
      <c r="C230" s="307">
        <v>0.9489790511566758</v>
      </c>
      <c r="D230" s="307">
        <v>0.85533470225609687</v>
      </c>
      <c r="E230" s="307">
        <v>0.94617835498384473</v>
      </c>
      <c r="F230" s="307">
        <v>0.93564081846081693</v>
      </c>
      <c r="G230" s="307">
        <v>0.9282407835635903</v>
      </c>
      <c r="H230" s="307">
        <v>0.94603256972995375</v>
      </c>
      <c r="I230" s="307">
        <v>0.90202203424777039</v>
      </c>
      <c r="J230" s="307">
        <v>0.9380427794889532</v>
      </c>
      <c r="K230" s="307">
        <v>0.94519104526154374</v>
      </c>
      <c r="L230" s="307">
        <v>0.94197748810803572</v>
      </c>
      <c r="M230" s="307">
        <v>0.85834119650474872</v>
      </c>
      <c r="N230" s="307">
        <v>0.93970429512922171</v>
      </c>
      <c r="O230" s="307">
        <v>0.93754556044525972</v>
      </c>
      <c r="P230" s="307">
        <v>0.96964650980109923</v>
      </c>
      <c r="Q230" s="307">
        <v>0.93631034548515646</v>
      </c>
      <c r="R230" s="307">
        <v>0.92052453993796357</v>
      </c>
      <c r="S230" s="307">
        <v>0.90131476245637621</v>
      </c>
      <c r="T230" s="307">
        <v>0.95361838195023785</v>
      </c>
      <c r="U230" s="307">
        <v>0.91096470215923286</v>
      </c>
      <c r="V230" s="307">
        <v>0.95258174316899058</v>
      </c>
      <c r="W230" s="307">
        <v>0.93737202927360175</v>
      </c>
      <c r="X230" s="307">
        <v>0.92372152634608129</v>
      </c>
      <c r="Y230" s="307">
        <v>0.94845217346097965</v>
      </c>
      <c r="Z230" s="307">
        <v>0.99996228867101289</v>
      </c>
      <c r="AA230" s="307">
        <v>0.94954012633635532</v>
      </c>
      <c r="AB230" s="307">
        <v>0.97976190058972956</v>
      </c>
      <c r="AC230" s="307">
        <v>0.96374151095776373</v>
      </c>
      <c r="AD230" s="307">
        <v>0.96368051936135857</v>
      </c>
      <c r="AE230" s="307">
        <v>0.9805704723826244</v>
      </c>
      <c r="AF230" s="307">
        <v>0.99280744662370746</v>
      </c>
      <c r="AG230" s="307">
        <v>0.94635033415293479</v>
      </c>
      <c r="AH230" s="307">
        <v>0.95939851161138612</v>
      </c>
      <c r="AI230" s="307">
        <v>0.99752544824870815</v>
      </c>
      <c r="AJ230" s="307">
        <v>1.005261773456342</v>
      </c>
      <c r="AK230" s="307">
        <v>0.99237273826397165</v>
      </c>
      <c r="AL230" s="307">
        <v>0.95918875279627447</v>
      </c>
      <c r="AM230" s="307">
        <v>0.98111622101089302</v>
      </c>
      <c r="AN230" s="307">
        <v>0.96378140279770363</v>
      </c>
      <c r="AO230" s="307">
        <v>0.99568469677044846</v>
      </c>
      <c r="AP230" s="307">
        <v>0.94496847889097346</v>
      </c>
      <c r="AQ230" s="307">
        <v>0.98130795795767889</v>
      </c>
      <c r="AR230" s="307">
        <v>0.92835867487686641</v>
      </c>
    </row>
    <row r="231" spans="1:44" s="308" customFormat="1" hidden="1" outlineLevel="1" x14ac:dyDescent="0.3">
      <c r="A231" s="306">
        <v>1994</v>
      </c>
      <c r="B231" s="307">
        <v>1.0213839731885945</v>
      </c>
      <c r="C231" s="307">
        <v>1.0112526985786729</v>
      </c>
      <c r="D231" s="307">
        <v>1.0366098005168858</v>
      </c>
      <c r="E231" s="307">
        <v>0.99744999464408257</v>
      </c>
      <c r="F231" s="307">
        <v>1.0057777135172909</v>
      </c>
      <c r="G231" s="307">
        <v>1.036979517385803</v>
      </c>
      <c r="H231" s="307">
        <v>1.0099182957202939</v>
      </c>
      <c r="I231" s="307">
        <v>1.019291432159775</v>
      </c>
      <c r="J231" s="307">
        <v>1.0089087367743117</v>
      </c>
      <c r="K231" s="307">
        <v>1.0116035240254226</v>
      </c>
      <c r="L231" s="307">
        <v>1.003895067773616</v>
      </c>
      <c r="M231" s="307">
        <v>1.0404488461875396</v>
      </c>
      <c r="N231" s="307">
        <v>0.99257576165921513</v>
      </c>
      <c r="O231" s="307">
        <v>0.97005398648964325</v>
      </c>
      <c r="P231" s="307">
        <v>0.99651150216005269</v>
      </c>
      <c r="Q231" s="307">
        <v>0.93455529214344357</v>
      </c>
      <c r="R231" s="307">
        <v>0.97643631999050728</v>
      </c>
      <c r="S231" s="307">
        <v>0.94798818348703695</v>
      </c>
      <c r="T231" s="307">
        <v>0.96222075427353093</v>
      </c>
      <c r="U231" s="307">
        <v>0.99792484147056959</v>
      </c>
      <c r="V231" s="307">
        <v>0.97623961813323967</v>
      </c>
      <c r="W231" s="307">
        <v>0.9563309865208347</v>
      </c>
      <c r="X231" s="307">
        <v>0.9795548780426645</v>
      </c>
      <c r="Y231" s="307">
        <v>0.98057120658172914</v>
      </c>
      <c r="Z231" s="307">
        <v>0.91749925576605351</v>
      </c>
      <c r="AA231" s="307">
        <v>0.95073943509666103</v>
      </c>
      <c r="AB231" s="307">
        <v>0.93399201839336499</v>
      </c>
      <c r="AC231" s="307">
        <v>0.91476639043788033</v>
      </c>
      <c r="AD231" s="307">
        <v>0.9426483184256842</v>
      </c>
      <c r="AE231" s="307">
        <v>0.91316032217959986</v>
      </c>
      <c r="AF231" s="307">
        <v>0.90372485545160974</v>
      </c>
      <c r="AG231" s="307">
        <v>0.97804384025935842</v>
      </c>
      <c r="AH231" s="307">
        <v>0.98783901280060227</v>
      </c>
      <c r="AI231" s="307">
        <v>1.0165562276259932</v>
      </c>
      <c r="AJ231" s="307">
        <v>0.93836570110137296</v>
      </c>
      <c r="AK231" s="307">
        <v>0.97570953838921048</v>
      </c>
      <c r="AL231" s="307">
        <v>0.93905569738045092</v>
      </c>
      <c r="AM231" s="307">
        <v>1.0049115289386783</v>
      </c>
      <c r="AN231" s="307">
        <v>1.0124521558035637</v>
      </c>
      <c r="AO231" s="307">
        <v>0.90864044690246637</v>
      </c>
      <c r="AP231" s="307">
        <v>0.96215747739309387</v>
      </c>
      <c r="AQ231" s="307">
        <v>0.91885741370827556</v>
      </c>
      <c r="AR231" s="307">
        <v>0.95996641622723244</v>
      </c>
    </row>
    <row r="232" spans="1:44" s="308" customFormat="1" hidden="1" outlineLevel="1" x14ac:dyDescent="0.3">
      <c r="A232" s="306">
        <v>1995</v>
      </c>
      <c r="B232" s="307">
        <v>0.92847885108058448</v>
      </c>
      <c r="C232" s="307">
        <v>0.91644024294257742</v>
      </c>
      <c r="D232" s="307">
        <v>0.92590550042364039</v>
      </c>
      <c r="E232" s="307">
        <v>0.89717386484563943</v>
      </c>
      <c r="F232" s="307">
        <v>0.92870568251023489</v>
      </c>
      <c r="G232" s="307">
        <v>0.93635950761808218</v>
      </c>
      <c r="H232" s="307">
        <v>0.91434173178694989</v>
      </c>
      <c r="I232" s="307">
        <v>0.9258681654456199</v>
      </c>
      <c r="J232" s="307">
        <v>0.91475444348949553</v>
      </c>
      <c r="K232" s="307">
        <v>0.92525583324020622</v>
      </c>
      <c r="L232" s="307">
        <v>0.90315876696936137</v>
      </c>
      <c r="M232" s="307">
        <v>0.9273141427358671</v>
      </c>
      <c r="N232" s="307">
        <v>0.93251296255420801</v>
      </c>
      <c r="O232" s="307">
        <v>0.91302247785654722</v>
      </c>
      <c r="P232" s="307">
        <v>0.94044983886004818</v>
      </c>
      <c r="Q232" s="307">
        <v>0.92728378905233044</v>
      </c>
      <c r="R232" s="307">
        <v>0.90651978300984071</v>
      </c>
      <c r="S232" s="307">
        <v>0.90154615309978381</v>
      </c>
      <c r="T232" s="307">
        <v>0.93147467146204599</v>
      </c>
      <c r="U232" s="307">
        <v>0.93390473826090836</v>
      </c>
      <c r="V232" s="307">
        <v>0.92201900571148798</v>
      </c>
      <c r="W232" s="307">
        <v>0.90705195557329055</v>
      </c>
      <c r="X232" s="307">
        <v>0.94014281471323435</v>
      </c>
      <c r="Y232" s="307">
        <v>0.92859848065783224</v>
      </c>
      <c r="Z232" s="307">
        <v>0.92019465997154448</v>
      </c>
      <c r="AA232" s="307">
        <v>0.90688674945524905</v>
      </c>
      <c r="AB232" s="307">
        <v>0.91014253247886201</v>
      </c>
      <c r="AC232" s="307">
        <v>0.92439610803578354</v>
      </c>
      <c r="AD232" s="307">
        <v>0.93928016091452871</v>
      </c>
      <c r="AE232" s="307">
        <v>0.92795651275336255</v>
      </c>
      <c r="AF232" s="307">
        <v>0.94277575939236158</v>
      </c>
      <c r="AG232" s="307">
        <v>0.93782560967244566</v>
      </c>
      <c r="AH232" s="307">
        <v>0.96674884384440984</v>
      </c>
      <c r="AI232" s="307">
        <v>1.0069289376197641</v>
      </c>
      <c r="AJ232" s="307">
        <v>0.9638459222804423</v>
      </c>
      <c r="AK232" s="307">
        <v>0.96552977718851107</v>
      </c>
      <c r="AL232" s="307">
        <v>0.91096867316433139</v>
      </c>
      <c r="AM232" s="307">
        <v>0.97726925718394042</v>
      </c>
      <c r="AN232" s="307">
        <v>0.95641904752012352</v>
      </c>
      <c r="AO232" s="307">
        <v>0.93185728476795815</v>
      </c>
      <c r="AP232" s="307">
        <v>0.91199827800844968</v>
      </c>
      <c r="AQ232" s="307">
        <v>0.91748304345556375</v>
      </c>
      <c r="AR232" s="307">
        <v>0.89343803552669354</v>
      </c>
    </row>
    <row r="233" spans="1:44" s="308" customFormat="1" hidden="1" outlineLevel="1" x14ac:dyDescent="0.3">
      <c r="A233" s="306">
        <v>1996</v>
      </c>
      <c r="B233" s="307">
        <v>0.98551975964041949</v>
      </c>
      <c r="C233" s="307">
        <v>0.99503484011356214</v>
      </c>
      <c r="D233" s="307">
        <v>1.0361667897988165</v>
      </c>
      <c r="E233" s="307">
        <v>0.98619939818967706</v>
      </c>
      <c r="F233" s="307">
        <v>0.96440405568113985</v>
      </c>
      <c r="G233" s="307">
        <v>0.95528146020023852</v>
      </c>
      <c r="H233" s="307">
        <v>0.96654336240013028</v>
      </c>
      <c r="I233" s="307">
        <v>0.96793260350973576</v>
      </c>
      <c r="J233" s="307">
        <v>0.98824618990122071</v>
      </c>
      <c r="K233" s="307">
        <v>0.98773058635875499</v>
      </c>
      <c r="L233" s="307">
        <v>0.99112441115676142</v>
      </c>
      <c r="M233" s="307">
        <v>1.0378913935718568</v>
      </c>
      <c r="N233" s="307">
        <v>0.96456289966523201</v>
      </c>
      <c r="O233" s="307">
        <v>0.94175935176803649</v>
      </c>
      <c r="P233" s="307">
        <v>0.97236526546006719</v>
      </c>
      <c r="Q233" s="307">
        <v>0.96102711230022886</v>
      </c>
      <c r="R233" s="307">
        <v>0.93929288042874715</v>
      </c>
      <c r="S233" s="307">
        <v>0.94007269522713766</v>
      </c>
      <c r="T233" s="307">
        <v>0.98761969224823576</v>
      </c>
      <c r="U233" s="307">
        <v>0.98140163059920416</v>
      </c>
      <c r="V233" s="307">
        <v>0.95871469207260296</v>
      </c>
      <c r="W233" s="307">
        <v>0.96110988339039172</v>
      </c>
      <c r="X233" s="307">
        <v>0.97636367362450172</v>
      </c>
      <c r="Y233" s="307">
        <v>0.9905642304322978</v>
      </c>
      <c r="Z233" s="307">
        <v>1.0200389660561544</v>
      </c>
      <c r="AA233" s="307">
        <v>0.9818667186453115</v>
      </c>
      <c r="AB233" s="307">
        <v>0.99903074470906128</v>
      </c>
      <c r="AC233" s="307">
        <v>0.98641427563659057</v>
      </c>
      <c r="AD233" s="307">
        <v>0.99339920286861805</v>
      </c>
      <c r="AE233" s="307">
        <v>0.9319656764292803</v>
      </c>
      <c r="AF233" s="307">
        <v>0.9644746357893409</v>
      </c>
      <c r="AG233" s="307">
        <v>0.96422826572018294</v>
      </c>
      <c r="AH233" s="307">
        <v>0.97525216936888837</v>
      </c>
      <c r="AI233" s="307">
        <v>1.0632893110787487</v>
      </c>
      <c r="AJ233" s="307">
        <v>0.96687769432685866</v>
      </c>
      <c r="AK233" s="307">
        <v>1.0022830514615824</v>
      </c>
      <c r="AL233" s="307">
        <v>0.91871973440162535</v>
      </c>
      <c r="AM233" s="307">
        <v>1.0203945908807537</v>
      </c>
      <c r="AN233" s="307">
        <v>0.97143069359511769</v>
      </c>
      <c r="AO233" s="307">
        <v>0.94996704230848117</v>
      </c>
      <c r="AP233" s="307">
        <v>0.90521866961650366</v>
      </c>
      <c r="AQ233" s="307">
        <v>0.95365488244578311</v>
      </c>
      <c r="AR233" s="307">
        <v>0.91943199839387368</v>
      </c>
    </row>
    <row r="234" spans="1:44" s="308" customFormat="1" hidden="1" outlineLevel="1" x14ac:dyDescent="0.3">
      <c r="A234" s="306">
        <v>1997</v>
      </c>
      <c r="B234" s="307">
        <v>1.0581266988120066</v>
      </c>
      <c r="C234" s="307">
        <v>1.1077665683866691</v>
      </c>
      <c r="D234" s="307">
        <v>1.0026840726686577</v>
      </c>
      <c r="E234" s="307">
        <v>1.1118612162982027</v>
      </c>
      <c r="F234" s="307">
        <v>1.0973805400979173</v>
      </c>
      <c r="G234" s="307">
        <v>1.1294590662207062</v>
      </c>
      <c r="H234" s="307">
        <v>1.1005977434292429</v>
      </c>
      <c r="I234" s="307">
        <v>1.0888617179658677</v>
      </c>
      <c r="J234" s="307">
        <v>1.0810328317863025</v>
      </c>
      <c r="K234" s="307">
        <v>1.1065336750290196</v>
      </c>
      <c r="L234" s="307">
        <v>1.1009355754634151</v>
      </c>
      <c r="M234" s="307">
        <v>0.99703611083741228</v>
      </c>
      <c r="N234" s="307">
        <v>1.1016386139922303</v>
      </c>
      <c r="O234" s="307">
        <v>1.0077428773903168</v>
      </c>
      <c r="P234" s="307">
        <v>1.0469605478454425</v>
      </c>
      <c r="Q234" s="307">
        <v>1.0613154839132972</v>
      </c>
      <c r="R234" s="307">
        <v>1.0113633079133557</v>
      </c>
      <c r="S234" s="307">
        <v>1.0413639493787843</v>
      </c>
      <c r="T234" s="307">
        <v>1.0896542365668671</v>
      </c>
      <c r="U234" s="307">
        <v>1.0832077343594728</v>
      </c>
      <c r="V234" s="307">
        <v>1.0200651595039225</v>
      </c>
      <c r="W234" s="307">
        <v>1.0460579426090044</v>
      </c>
      <c r="X234" s="307">
        <v>1.0870731447634181</v>
      </c>
      <c r="Y234" s="307">
        <v>1.1094875541143587</v>
      </c>
      <c r="Z234" s="307">
        <v>1.0914100022609419</v>
      </c>
      <c r="AA234" s="307">
        <v>1.0878163740100584</v>
      </c>
      <c r="AB234" s="307">
        <v>1.1053892623197654</v>
      </c>
      <c r="AC234" s="307">
        <v>1.1381542263466491</v>
      </c>
      <c r="AD234" s="307">
        <v>1.1720303023825867</v>
      </c>
      <c r="AE234" s="307">
        <v>1.0871190378048048</v>
      </c>
      <c r="AF234" s="307">
        <v>1.1782387336297782</v>
      </c>
      <c r="AG234" s="307">
        <v>1.0491229357007068</v>
      </c>
      <c r="AH234" s="307">
        <v>1.0992469895874128</v>
      </c>
      <c r="AI234" s="307">
        <v>0.99844744656068352</v>
      </c>
      <c r="AJ234" s="307">
        <v>1.045323091083239</v>
      </c>
      <c r="AK234" s="307">
        <v>1.0226573591523775</v>
      </c>
      <c r="AL234" s="307">
        <v>1.0750137252678216</v>
      </c>
      <c r="AM234" s="307">
        <v>1.0084792563906926</v>
      </c>
      <c r="AN234" s="307">
        <v>1.0463435060038859</v>
      </c>
      <c r="AO234" s="307">
        <v>1.0555940843239129</v>
      </c>
      <c r="AP234" s="307">
        <v>1.0713583071860417</v>
      </c>
      <c r="AQ234" s="307">
        <v>1.0517660723872106</v>
      </c>
      <c r="AR234" s="307">
        <v>1.1008098440567313</v>
      </c>
    </row>
    <row r="235" spans="1:44" s="308" customFormat="1" hidden="1" outlineLevel="1" x14ac:dyDescent="0.3">
      <c r="A235" s="306">
        <v>1998</v>
      </c>
      <c r="B235" s="307">
        <v>0.77940244589495355</v>
      </c>
      <c r="C235" s="307">
        <v>0.80661439811385272</v>
      </c>
      <c r="D235" s="307">
        <v>0.79998671614396599</v>
      </c>
      <c r="E235" s="307">
        <v>0.81140536320931056</v>
      </c>
      <c r="F235" s="307">
        <v>0.81365355062011313</v>
      </c>
      <c r="G235" s="307">
        <v>0.79304826881951185</v>
      </c>
      <c r="H235" s="307">
        <v>0.79966850367234643</v>
      </c>
      <c r="I235" s="307">
        <v>0.7993058172057449</v>
      </c>
      <c r="J235" s="307">
        <v>0.7873019408916706</v>
      </c>
      <c r="K235" s="307">
        <v>0.80333326191528154</v>
      </c>
      <c r="L235" s="307">
        <v>0.80138244331991748</v>
      </c>
      <c r="M235" s="307">
        <v>0.80250076145383531</v>
      </c>
      <c r="N235" s="307">
        <v>0.81148919867551483</v>
      </c>
      <c r="O235" s="307">
        <v>0.78235799932351413</v>
      </c>
      <c r="P235" s="307">
        <v>0.82790257069965745</v>
      </c>
      <c r="Q235" s="307">
        <v>0.77920586236016975</v>
      </c>
      <c r="R235" s="307">
        <v>0.76686545514841997</v>
      </c>
      <c r="S235" s="307">
        <v>0.77024160424281862</v>
      </c>
      <c r="T235" s="307">
        <v>0.7462634524018239</v>
      </c>
      <c r="U235" s="307">
        <v>0.82472232894465103</v>
      </c>
      <c r="V235" s="307">
        <v>0.80500097426875039</v>
      </c>
      <c r="W235" s="307">
        <v>0.79525176044370682</v>
      </c>
      <c r="X235" s="307">
        <v>0.8186888587174842</v>
      </c>
      <c r="Y235" s="307">
        <v>0.79281647081875317</v>
      </c>
      <c r="Z235" s="307">
        <v>0.79274288050948183</v>
      </c>
      <c r="AA235" s="307">
        <v>0.79007829765779791</v>
      </c>
      <c r="AB235" s="307">
        <v>0.79675962116687027</v>
      </c>
      <c r="AC235" s="307">
        <v>0.76571597528877755</v>
      </c>
      <c r="AD235" s="307">
        <v>0.79283638669784939</v>
      </c>
      <c r="AE235" s="307">
        <v>0.76577395139841375</v>
      </c>
      <c r="AF235" s="307">
        <v>0.77116769578086208</v>
      </c>
      <c r="AG235" s="307">
        <v>0.79628322226569725</v>
      </c>
      <c r="AH235" s="307">
        <v>0.70548777020884601</v>
      </c>
      <c r="AI235" s="307">
        <v>0.92357162794789371</v>
      </c>
      <c r="AJ235" s="307">
        <v>0.79645199620556029</v>
      </c>
      <c r="AK235" s="307">
        <v>0.86952395720877207</v>
      </c>
      <c r="AL235" s="307">
        <v>0.79378087628056992</v>
      </c>
      <c r="AM235" s="307">
        <v>0.87820042816018473</v>
      </c>
      <c r="AN235" s="307">
        <v>0.80802243273483276</v>
      </c>
      <c r="AO235" s="307">
        <v>0.81052320305856418</v>
      </c>
      <c r="AP235" s="307">
        <v>0.76975912357745846</v>
      </c>
      <c r="AQ235" s="307">
        <v>0.86338169040808133</v>
      </c>
      <c r="AR235" s="307">
        <v>0.77066891675082871</v>
      </c>
    </row>
    <row r="236" spans="1:44" s="308" customFormat="1" hidden="1" outlineLevel="1" x14ac:dyDescent="0.3">
      <c r="A236" s="306">
        <v>1999</v>
      </c>
      <c r="B236" s="307">
        <v>0.99961053864853233</v>
      </c>
      <c r="C236" s="307">
        <v>1.024062430705766</v>
      </c>
      <c r="D236" s="307">
        <v>1.0003227762727083</v>
      </c>
      <c r="E236" s="307">
        <v>1.0205046700653146</v>
      </c>
      <c r="F236" s="307">
        <v>1.0002331959737809</v>
      </c>
      <c r="G236" s="307">
        <v>0.99407091957170035</v>
      </c>
      <c r="H236" s="307">
        <v>0.97533183493116027</v>
      </c>
      <c r="I236" s="307">
        <v>0.95443447686127225</v>
      </c>
      <c r="J236" s="307">
        <v>0.98859944204859029</v>
      </c>
      <c r="K236" s="307">
        <v>1.0186501796590735</v>
      </c>
      <c r="L236" s="307">
        <v>1.0108476644448683</v>
      </c>
      <c r="M236" s="307">
        <v>1.001579912572728</v>
      </c>
      <c r="N236" s="307">
        <v>0.97539203925317275</v>
      </c>
      <c r="O236" s="307">
        <v>1.0008312804140906</v>
      </c>
      <c r="P236" s="307">
        <v>1.0449882979775809</v>
      </c>
      <c r="Q236" s="307">
        <v>0.98027236946413587</v>
      </c>
      <c r="R236" s="307">
        <v>0.97559621332091973</v>
      </c>
      <c r="S236" s="307">
        <v>0.97948623482088704</v>
      </c>
      <c r="T236" s="307">
        <v>0.99975281287978413</v>
      </c>
      <c r="U236" s="307">
        <v>0.9880725004634654</v>
      </c>
      <c r="V236" s="307">
        <v>1.0176521792520727</v>
      </c>
      <c r="W236" s="307">
        <v>1.0081417651214157</v>
      </c>
      <c r="X236" s="307">
        <v>1.0026433216567554</v>
      </c>
      <c r="Y236" s="307">
        <v>0.98055746312342562</v>
      </c>
      <c r="Z236" s="307">
        <v>0.92926101957183227</v>
      </c>
      <c r="AA236" s="307">
        <v>0.96455516448080625</v>
      </c>
      <c r="AB236" s="307">
        <v>0.93584216369987649</v>
      </c>
      <c r="AC236" s="307">
        <v>0.98226467489498104</v>
      </c>
      <c r="AD236" s="307">
        <v>0.9458335655156298</v>
      </c>
      <c r="AE236" s="307">
        <v>0.93063543615571231</v>
      </c>
      <c r="AF236" s="307">
        <v>0.92317287565441908</v>
      </c>
      <c r="AG236" s="307">
        <v>1.0211640641282291</v>
      </c>
      <c r="AH236" s="307">
        <v>0.9410467017223989</v>
      </c>
      <c r="AI236" s="307">
        <v>1.0410750843312464</v>
      </c>
      <c r="AJ236" s="307">
        <v>1.0557076228021822</v>
      </c>
      <c r="AK236" s="307">
        <v>1.072989281753332</v>
      </c>
      <c r="AL236" s="307">
        <v>1.0413034248519362</v>
      </c>
      <c r="AM236" s="307">
        <v>1.0428658118775724</v>
      </c>
      <c r="AN236" s="307">
        <v>1.0416140567534837</v>
      </c>
      <c r="AO236" s="307">
        <v>1.0607698815184936</v>
      </c>
      <c r="AP236" s="307">
        <v>1.0193506617450789</v>
      </c>
      <c r="AQ236" s="307">
        <v>1.0928105431211632</v>
      </c>
      <c r="AR236" s="307">
        <v>0.98078165188742628</v>
      </c>
    </row>
    <row r="237" spans="1:44" s="308" customFormat="1" hidden="1" outlineLevel="1" x14ac:dyDescent="0.3">
      <c r="A237" s="306">
        <v>2000</v>
      </c>
      <c r="B237" s="307">
        <v>0.96981988044186407</v>
      </c>
      <c r="C237" s="307">
        <v>0.97857365558329268</v>
      </c>
      <c r="D237" s="307">
        <v>0.95014135688046975</v>
      </c>
      <c r="E237" s="307">
        <v>0.98787048962140989</v>
      </c>
      <c r="F237" s="307">
        <v>0.96241645880332538</v>
      </c>
      <c r="G237" s="307">
        <v>0.99699452970645064</v>
      </c>
      <c r="H237" s="307">
        <v>0.94598466257235925</v>
      </c>
      <c r="I237" s="307">
        <v>0.94701041339944636</v>
      </c>
      <c r="J237" s="307">
        <v>0.95054375507148947</v>
      </c>
      <c r="K237" s="307">
        <v>0.97469959422235486</v>
      </c>
      <c r="L237" s="307">
        <v>0.97186811841597798</v>
      </c>
      <c r="M237" s="307">
        <v>0.95356729116987116</v>
      </c>
      <c r="N237" s="307">
        <v>0.96954776048992097</v>
      </c>
      <c r="O237" s="307">
        <v>0.97945240066890404</v>
      </c>
      <c r="P237" s="307">
        <v>0.99331350821543629</v>
      </c>
      <c r="Q237" s="307">
        <v>0.93197630070047055</v>
      </c>
      <c r="R237" s="307">
        <v>0.92948865684856163</v>
      </c>
      <c r="S237" s="307">
        <v>0.92965047499699016</v>
      </c>
      <c r="T237" s="307">
        <v>0.94795489839219804</v>
      </c>
      <c r="U237" s="307">
        <v>0.94754553603791236</v>
      </c>
      <c r="V237" s="307">
        <v>1.0105820163773616</v>
      </c>
      <c r="W237" s="307">
        <v>0.97275181382272202</v>
      </c>
      <c r="X237" s="307">
        <v>0.9717594449686604</v>
      </c>
      <c r="Y237" s="307">
        <v>0.95660063429246023</v>
      </c>
      <c r="Z237" s="307">
        <v>0.95405873826234888</v>
      </c>
      <c r="AA237" s="307">
        <v>0.94033515893576314</v>
      </c>
      <c r="AB237" s="307">
        <v>0.94308696638839939</v>
      </c>
      <c r="AC237" s="307">
        <v>0.99176755341648914</v>
      </c>
      <c r="AD237" s="307">
        <v>0.97227723396174803</v>
      </c>
      <c r="AE237" s="307">
        <v>0.97980117296224989</v>
      </c>
      <c r="AF237" s="307">
        <v>1.0070640189870188</v>
      </c>
      <c r="AG237" s="307">
        <v>1.0184481581653375</v>
      </c>
      <c r="AH237" s="307">
        <v>0.93081388626073835</v>
      </c>
      <c r="AI237" s="307">
        <v>1.0441499292658676</v>
      </c>
      <c r="AJ237" s="307">
        <v>1.0751743036979904</v>
      </c>
      <c r="AK237" s="307">
        <v>1.0679662149451954</v>
      </c>
      <c r="AL237" s="307">
        <v>1.0206345273816715</v>
      </c>
      <c r="AM237" s="307">
        <v>1.0523848151091417</v>
      </c>
      <c r="AN237" s="307">
        <v>1.0378291527651446</v>
      </c>
      <c r="AO237" s="307">
        <v>1.0598836511813805</v>
      </c>
      <c r="AP237" s="307">
        <v>0.98581695102614508</v>
      </c>
      <c r="AQ237" s="307">
        <v>1.0963215069333432</v>
      </c>
      <c r="AR237" s="307">
        <v>0.97787820534488934</v>
      </c>
    </row>
    <row r="238" spans="1:44" s="308" customFormat="1" hidden="1" outlineLevel="1" x14ac:dyDescent="0.3">
      <c r="A238" s="306">
        <v>2001</v>
      </c>
      <c r="B238" s="307">
        <v>1.0474611370584501</v>
      </c>
      <c r="C238" s="307">
        <v>1.0179226010786051</v>
      </c>
      <c r="D238" s="307">
        <v>1.0605598756544656</v>
      </c>
      <c r="E238" s="307">
        <v>1.0218883763463675</v>
      </c>
      <c r="F238" s="307">
        <v>1.0062517692945372</v>
      </c>
      <c r="G238" s="307">
        <v>1.0058957813806526</v>
      </c>
      <c r="H238" s="307">
        <v>1.0166559791908067</v>
      </c>
      <c r="I238" s="307">
        <v>1.041603896202123</v>
      </c>
      <c r="J238" s="307">
        <v>1.030842631397247</v>
      </c>
      <c r="K238" s="307">
        <v>1.0157978817965034</v>
      </c>
      <c r="L238" s="307">
        <v>1.0226430421322152</v>
      </c>
      <c r="M238" s="307">
        <v>1.0599991956366117</v>
      </c>
      <c r="N238" s="307">
        <v>1.0306323213196151</v>
      </c>
      <c r="O238" s="307">
        <v>0.96762002714490536</v>
      </c>
      <c r="P238" s="307">
        <v>0.99081593945753699</v>
      </c>
      <c r="Q238" s="307">
        <v>0.96675663043053062</v>
      </c>
      <c r="R238" s="307">
        <v>0.94105352951288257</v>
      </c>
      <c r="S238" s="307">
        <v>0.95443819767202187</v>
      </c>
      <c r="T238" s="307">
        <v>0.98507877800327726</v>
      </c>
      <c r="U238" s="307">
        <v>0.98414628644042335</v>
      </c>
      <c r="V238" s="307">
        <v>0.98005827430870385</v>
      </c>
      <c r="W238" s="307">
        <v>0.97827866768863803</v>
      </c>
      <c r="X238" s="307">
        <v>1.0053758940353612</v>
      </c>
      <c r="Y238" s="307">
        <v>0.99817489051756947</v>
      </c>
      <c r="Z238" s="307">
        <v>0.96818919061234676</v>
      </c>
      <c r="AA238" s="307">
        <v>0.98847552393769156</v>
      </c>
      <c r="AB238" s="307">
        <v>0.99039102249494093</v>
      </c>
      <c r="AC238" s="307">
        <v>0.9505787311311531</v>
      </c>
      <c r="AD238" s="307">
        <v>0.98461821005041406</v>
      </c>
      <c r="AE238" s="307">
        <v>0.91688892475901629</v>
      </c>
      <c r="AF238" s="307">
        <v>0.916326302566012</v>
      </c>
      <c r="AG238" s="307">
        <v>0.95232440272022945</v>
      </c>
      <c r="AH238" s="307">
        <v>0.9276071236688801</v>
      </c>
      <c r="AI238" s="307">
        <v>1.0026671331140675</v>
      </c>
      <c r="AJ238" s="307">
        <v>1.018389574313004</v>
      </c>
      <c r="AK238" s="307">
        <v>1.0041550282596869</v>
      </c>
      <c r="AL238" s="307">
        <v>0.9130113614773131</v>
      </c>
      <c r="AM238" s="307">
        <v>0.98318241651528593</v>
      </c>
      <c r="AN238" s="307">
        <v>0.9546507569171</v>
      </c>
      <c r="AO238" s="307">
        <v>0.97495224349731513</v>
      </c>
      <c r="AP238" s="307">
        <v>0.8846812891613256</v>
      </c>
      <c r="AQ238" s="307">
        <v>1.0056139290767001</v>
      </c>
      <c r="AR238" s="307">
        <v>0.88996096738489305</v>
      </c>
    </row>
    <row r="239" spans="1:44" s="308" customFormat="1" hidden="1" outlineLevel="1" x14ac:dyDescent="0.3">
      <c r="A239" s="306">
        <v>2002</v>
      </c>
      <c r="B239" s="307">
        <v>1.0483606039193041</v>
      </c>
      <c r="C239" s="307">
        <v>1.025525045463068</v>
      </c>
      <c r="D239" s="307">
        <v>1.0954261109593566</v>
      </c>
      <c r="E239" s="307">
        <v>1.0320532955648698</v>
      </c>
      <c r="F239" s="307">
        <v>1.0277248880491447</v>
      </c>
      <c r="G239" s="307">
        <v>1.04898914266052</v>
      </c>
      <c r="H239" s="307">
        <v>1.0110482017615492</v>
      </c>
      <c r="I239" s="307">
        <v>1.0442838158902583</v>
      </c>
      <c r="J239" s="307">
        <v>1.0234209364767335</v>
      </c>
      <c r="K239" s="307">
        <v>1.0229049261886809</v>
      </c>
      <c r="L239" s="307">
        <v>1.022629404305013</v>
      </c>
      <c r="M239" s="307">
        <v>1.0937236628322993</v>
      </c>
      <c r="N239" s="307">
        <v>1.0338072477661018</v>
      </c>
      <c r="O239" s="307">
        <v>1.0457266725389287</v>
      </c>
      <c r="P239" s="307">
        <v>1.074784016775693</v>
      </c>
      <c r="Q239" s="307">
        <v>1.0474946043839677</v>
      </c>
      <c r="R239" s="307">
        <v>1.0069929657705021</v>
      </c>
      <c r="S239" s="307">
        <v>1.0422702293987971</v>
      </c>
      <c r="T239" s="307">
        <v>1.0484791804286855</v>
      </c>
      <c r="U239" s="307">
        <v>1.0261660065955001</v>
      </c>
      <c r="V239" s="307">
        <v>1.0628567759795466</v>
      </c>
      <c r="W239" s="307">
        <v>1.0631165717916833</v>
      </c>
      <c r="X239" s="307">
        <v>1.0396533891294368</v>
      </c>
      <c r="Y239" s="307">
        <v>1.0346868746178108</v>
      </c>
      <c r="Z239" s="307">
        <v>0.97442945974263495</v>
      </c>
      <c r="AA239" s="307">
        <v>1.0089924117653561</v>
      </c>
      <c r="AB239" s="307">
        <v>0.98750900694971488</v>
      </c>
      <c r="AC239" s="307">
        <v>1.0197985315461724</v>
      </c>
      <c r="AD239" s="307">
        <v>0.99874629403546666</v>
      </c>
      <c r="AE239" s="307">
        <v>1.0281763546027491</v>
      </c>
      <c r="AF239" s="307">
        <v>1.0999516306131589</v>
      </c>
      <c r="AG239" s="307">
        <v>1.0700414866326149</v>
      </c>
      <c r="AH239" s="307">
        <v>1.0758628443950971</v>
      </c>
      <c r="AI239" s="307">
        <v>1.0614573308619115</v>
      </c>
      <c r="AJ239" s="307">
        <v>1.1109612053261109</v>
      </c>
      <c r="AK239" s="307">
        <v>1.0898612937608536</v>
      </c>
      <c r="AL239" s="307">
        <v>1.0517812497072427</v>
      </c>
      <c r="AM239" s="307">
        <v>1.054162551061302</v>
      </c>
      <c r="AN239" s="307">
        <v>1.0640917850875313</v>
      </c>
      <c r="AO239" s="307">
        <v>1.0904347217381616</v>
      </c>
      <c r="AP239" s="307">
        <v>1.0264933182529077</v>
      </c>
      <c r="AQ239" s="307">
        <v>1.1145947714333297</v>
      </c>
      <c r="AR239" s="307">
        <v>1.059161564807005</v>
      </c>
    </row>
    <row r="240" spans="1:44" s="308" customFormat="1" hidden="1" outlineLevel="1" x14ac:dyDescent="0.3">
      <c r="A240" s="306">
        <v>2003</v>
      </c>
      <c r="B240" s="307">
        <v>0.93949746931084022</v>
      </c>
      <c r="C240" s="307">
        <v>0.95087414817635674</v>
      </c>
      <c r="D240" s="307">
        <v>0.96629846207161363</v>
      </c>
      <c r="E240" s="307">
        <v>0.95757796596082512</v>
      </c>
      <c r="F240" s="307">
        <v>0.92378400044266817</v>
      </c>
      <c r="G240" s="307">
        <v>0.91295975810091845</v>
      </c>
      <c r="H240" s="307">
        <v>0.92818830798043495</v>
      </c>
      <c r="I240" s="307">
        <v>0.92355626793826961</v>
      </c>
      <c r="J240" s="307">
        <v>0.9419350261050492</v>
      </c>
      <c r="K240" s="307">
        <v>0.96469932344978093</v>
      </c>
      <c r="L240" s="307">
        <v>0.94850395335280724</v>
      </c>
      <c r="M240" s="307">
        <v>0.96772773873674967</v>
      </c>
      <c r="N240" s="307">
        <v>0.93490795580899799</v>
      </c>
      <c r="O240" s="307">
        <v>0.96778691620629431</v>
      </c>
      <c r="P240" s="307">
        <v>0.96084511436274578</v>
      </c>
      <c r="Q240" s="307">
        <v>0.96962092400029898</v>
      </c>
      <c r="R240" s="307">
        <v>0.94982102571357707</v>
      </c>
      <c r="S240" s="307">
        <v>0.9666633366653864</v>
      </c>
      <c r="T240" s="307">
        <v>0.96679235901948013</v>
      </c>
      <c r="U240" s="307">
        <v>0.98501406396699087</v>
      </c>
      <c r="V240" s="307">
        <v>0.98242248454921233</v>
      </c>
      <c r="W240" s="307">
        <v>0.98929673858368194</v>
      </c>
      <c r="X240" s="307">
        <v>0.99715546312579806</v>
      </c>
      <c r="Y240" s="307">
        <v>0.977775180675721</v>
      </c>
      <c r="Z240" s="307">
        <v>0.9045613155796971</v>
      </c>
      <c r="AA240" s="307">
        <v>0.96595957906929319</v>
      </c>
      <c r="AB240" s="307">
        <v>0.91719861583633144</v>
      </c>
      <c r="AC240" s="307">
        <v>1.0102150565924781</v>
      </c>
      <c r="AD240" s="307">
        <v>0.93145433874303585</v>
      </c>
      <c r="AE240" s="307">
        <v>0.95761578352392418</v>
      </c>
      <c r="AF240" s="307">
        <v>0.95852435693077254</v>
      </c>
      <c r="AG240" s="307">
        <v>0.92852594001197297</v>
      </c>
      <c r="AH240" s="307">
        <v>0.97382293810135601</v>
      </c>
      <c r="AI240" s="307">
        <v>0.98830317544808888</v>
      </c>
      <c r="AJ240" s="307">
        <v>0.99253504637158507</v>
      </c>
      <c r="AK240" s="307">
        <v>0.99403410495581401</v>
      </c>
      <c r="AL240" s="307">
        <v>0.95816464893362496</v>
      </c>
      <c r="AM240" s="307">
        <v>0.97127731891360602</v>
      </c>
      <c r="AN240" s="307">
        <v>0.95144088235806912</v>
      </c>
      <c r="AO240" s="307">
        <v>1.009169256277755</v>
      </c>
      <c r="AP240" s="307">
        <v>0.91145935657066601</v>
      </c>
      <c r="AQ240" s="307">
        <v>1.0264595398817313</v>
      </c>
      <c r="AR240" s="307">
        <v>0.88699114633946752</v>
      </c>
    </row>
    <row r="241" spans="1:44" s="308" customFormat="1" hidden="1" outlineLevel="1" x14ac:dyDescent="0.3">
      <c r="A241" s="306">
        <v>2004</v>
      </c>
      <c r="B241" s="307">
        <v>1.065669246994311</v>
      </c>
      <c r="C241" s="307">
        <v>1.0300054226611886</v>
      </c>
      <c r="D241" s="307">
        <v>1.0757186481072654</v>
      </c>
      <c r="E241" s="307">
        <v>1.0498711749070408</v>
      </c>
      <c r="F241" s="307">
        <v>1.0101223709173845</v>
      </c>
      <c r="G241" s="307">
        <v>1.0543146778502137</v>
      </c>
      <c r="H241" s="307">
        <v>1.0668738020023427</v>
      </c>
      <c r="I241" s="307">
        <v>1.0509477685083097</v>
      </c>
      <c r="J241" s="307">
        <v>1.0659391095727293</v>
      </c>
      <c r="K241" s="307">
        <v>1.0245217323565752</v>
      </c>
      <c r="L241" s="307">
        <v>1.0449755436063211</v>
      </c>
      <c r="M241" s="307">
        <v>1.0754015444623044</v>
      </c>
      <c r="N241" s="307">
        <v>1.0392075887775636</v>
      </c>
      <c r="O241" s="307">
        <v>0.97247856777409014</v>
      </c>
      <c r="P241" s="307">
        <v>0.98324028809593844</v>
      </c>
      <c r="Q241" s="307">
        <v>0.96628583804282198</v>
      </c>
      <c r="R241" s="307">
        <v>0.94763138598965235</v>
      </c>
      <c r="S241" s="307">
        <v>0.97993937483089344</v>
      </c>
      <c r="T241" s="307">
        <v>1.0043856444750094</v>
      </c>
      <c r="U241" s="307">
        <v>0.98994364992289841</v>
      </c>
      <c r="V241" s="307">
        <v>1.0033516714267168</v>
      </c>
      <c r="W241" s="307">
        <v>1.0114145022630121</v>
      </c>
      <c r="X241" s="307">
        <v>1.0007631072860572</v>
      </c>
      <c r="Y241" s="307">
        <v>1.0063534024652572</v>
      </c>
      <c r="Z241" s="307">
        <v>1.0234204731503158</v>
      </c>
      <c r="AA241" s="307">
        <v>1.0127575564754701</v>
      </c>
      <c r="AB241" s="307">
        <v>1.0354485397213653</v>
      </c>
      <c r="AC241" s="307">
        <v>1.0084727637096338</v>
      </c>
      <c r="AD241" s="307">
        <v>1.0282902488744978</v>
      </c>
      <c r="AE241" s="307">
        <v>1.0058075044847743</v>
      </c>
      <c r="AF241" s="307">
        <v>1.0520246748710933</v>
      </c>
      <c r="AG241" s="307">
        <v>0.97045007447970622</v>
      </c>
      <c r="AH241" s="307">
        <v>0.97978007010720525</v>
      </c>
      <c r="AI241" s="307">
        <v>0.95792139205033944</v>
      </c>
      <c r="AJ241" s="307">
        <v>0.98069796897716366</v>
      </c>
      <c r="AK241" s="307">
        <v>0.99002905823789056</v>
      </c>
      <c r="AL241" s="307">
        <v>0.96858553661443958</v>
      </c>
      <c r="AM241" s="307">
        <v>0.95891386865999506</v>
      </c>
      <c r="AN241" s="307">
        <v>0.93120029907204127</v>
      </c>
      <c r="AO241" s="307">
        <v>0.97483835461220891</v>
      </c>
      <c r="AP241" s="307">
        <v>0.93199952191323843</v>
      </c>
      <c r="AQ241" s="307">
        <v>0.9969271340392335</v>
      </c>
      <c r="AR241" s="307">
        <v>0.99151273362707648</v>
      </c>
    </row>
    <row r="242" spans="1:44" s="308" customFormat="1" hidden="1" outlineLevel="1" x14ac:dyDescent="0.3">
      <c r="A242" s="306">
        <v>2005</v>
      </c>
      <c r="B242" s="307">
        <v>0.83848949038544784</v>
      </c>
      <c r="C242" s="307">
        <v>0.92841667864735311</v>
      </c>
      <c r="D242" s="307">
        <v>0.89113274714917146</v>
      </c>
      <c r="E242" s="307">
        <v>0.94148439752273505</v>
      </c>
      <c r="F242" s="307">
        <v>0.91448776710857604</v>
      </c>
      <c r="G242" s="307">
        <v>0.90284124124050069</v>
      </c>
      <c r="H242" s="307">
        <v>0.86883309242743079</v>
      </c>
      <c r="I242" s="307">
        <v>0.87890268299781327</v>
      </c>
      <c r="J242" s="307">
        <v>0.89568302140996048</v>
      </c>
      <c r="K242" s="307">
        <v>0.92821815335985058</v>
      </c>
      <c r="L242" s="307">
        <v>0.91962724153672193</v>
      </c>
      <c r="M242" s="307">
        <v>0.88376525681136819</v>
      </c>
      <c r="N242" s="307">
        <v>0.91430486225765684</v>
      </c>
      <c r="O242" s="307">
        <v>0.92739900235748118</v>
      </c>
      <c r="P242" s="307">
        <v>0.958190871549923</v>
      </c>
      <c r="Q242" s="307">
        <v>0.8833733028419346</v>
      </c>
      <c r="R242" s="307">
        <v>0.92435864378108079</v>
      </c>
      <c r="S242" s="307">
        <v>0.92575539916629668</v>
      </c>
      <c r="T242" s="307">
        <v>0.92428051667210354</v>
      </c>
      <c r="U242" s="307">
        <v>0.93432116030748413</v>
      </c>
      <c r="V242" s="307">
        <v>0.93251667301828334</v>
      </c>
      <c r="W242" s="307">
        <v>0.94440771384633371</v>
      </c>
      <c r="X242" s="307">
        <v>0.93680634602190216</v>
      </c>
      <c r="Y242" s="307">
        <v>0.93354809756476154</v>
      </c>
      <c r="Z242" s="307">
        <v>0.86225163744502109</v>
      </c>
      <c r="AA242" s="307">
        <v>0.89627201361777309</v>
      </c>
      <c r="AB242" s="307">
        <v>0.87911806836819506</v>
      </c>
      <c r="AC242" s="307">
        <v>0.93371940636125339</v>
      </c>
      <c r="AD242" s="307">
        <v>0.89894647320424237</v>
      </c>
      <c r="AE242" s="307">
        <v>0.90501106291160538</v>
      </c>
      <c r="AF242" s="307">
        <v>0.91662033001075927</v>
      </c>
      <c r="AG242" s="307">
        <v>0.90671786218187722</v>
      </c>
      <c r="AH242" s="307">
        <v>0.93985767739058612</v>
      </c>
      <c r="AI242" s="307">
        <v>0.94784809382542956</v>
      </c>
      <c r="AJ242" s="307">
        <v>0.98147262431454407</v>
      </c>
      <c r="AK242" s="307">
        <v>0.96760145621172544</v>
      </c>
      <c r="AL242" s="307">
        <v>0.94239206690591981</v>
      </c>
      <c r="AM242" s="307">
        <v>0.92508501606132698</v>
      </c>
      <c r="AN242" s="307">
        <v>0.90049259011889549</v>
      </c>
      <c r="AO242" s="307">
        <v>0.98194658255885547</v>
      </c>
      <c r="AP242" s="307">
        <v>0.89703500914706025</v>
      </c>
      <c r="AQ242" s="307">
        <v>0.9999247759891422</v>
      </c>
      <c r="AR242" s="307">
        <v>0.88940531059787153</v>
      </c>
    </row>
    <row r="243" spans="1:44" s="308" customFormat="1" hidden="1" outlineLevel="1" x14ac:dyDescent="0.3">
      <c r="A243" s="306">
        <v>2006</v>
      </c>
      <c r="B243" s="307">
        <v>0.95911768963915678</v>
      </c>
      <c r="C243" s="307">
        <v>0.93671582432997624</v>
      </c>
      <c r="D243" s="307">
        <v>1.0383841517600247</v>
      </c>
      <c r="E243" s="307">
        <v>0.93682237174503447</v>
      </c>
      <c r="F243" s="307">
        <v>0.93363009115939311</v>
      </c>
      <c r="G243" s="307">
        <v>0.92268701115148122</v>
      </c>
      <c r="H243" s="307">
        <v>0.95702997302641024</v>
      </c>
      <c r="I243" s="307">
        <v>0.95820631129755163</v>
      </c>
      <c r="J243" s="307">
        <v>0.94310314794850236</v>
      </c>
      <c r="K243" s="307">
        <v>0.93830774134436257</v>
      </c>
      <c r="L243" s="307">
        <v>0.93838953598132335</v>
      </c>
      <c r="M243" s="307">
        <v>1.0380780005994021</v>
      </c>
      <c r="N243" s="307">
        <v>0.93875709278137021</v>
      </c>
      <c r="O243" s="307">
        <v>0.94691298224193587</v>
      </c>
      <c r="P243" s="307">
        <v>0.97371081910823432</v>
      </c>
      <c r="Q243" s="307">
        <v>0.89501444613494296</v>
      </c>
      <c r="R243" s="307">
        <v>0.94291248895196955</v>
      </c>
      <c r="S243" s="307">
        <v>0.94095005141672461</v>
      </c>
      <c r="T243" s="307">
        <v>0.91806599147057866</v>
      </c>
      <c r="U243" s="307">
        <v>0.95760583952298728</v>
      </c>
      <c r="V243" s="307">
        <v>0.98781918051178108</v>
      </c>
      <c r="W243" s="307">
        <v>0.95640699528809758</v>
      </c>
      <c r="X243" s="307">
        <v>0.95143505012142882</v>
      </c>
      <c r="Y243" s="307">
        <v>0.93342237278862161</v>
      </c>
      <c r="Z243" s="307">
        <v>0.92568348308090787</v>
      </c>
      <c r="AA243" s="307">
        <v>0.92973441859128547</v>
      </c>
      <c r="AB243" s="307">
        <v>0.93723136794558926</v>
      </c>
      <c r="AC243" s="307">
        <v>0.91977781626762489</v>
      </c>
      <c r="AD243" s="307">
        <v>0.94055065901245594</v>
      </c>
      <c r="AE243" s="307">
        <v>0.89248913213663816</v>
      </c>
      <c r="AF243" s="307">
        <v>0.91467810958287532</v>
      </c>
      <c r="AG243" s="307">
        <v>0.9877763967848503</v>
      </c>
      <c r="AH243" s="307">
        <v>0.90000734675468308</v>
      </c>
      <c r="AI243" s="307">
        <v>1.0387123393149333</v>
      </c>
      <c r="AJ243" s="307">
        <v>1.0366467954219036</v>
      </c>
      <c r="AK243" s="307">
        <v>1.0235599267691728</v>
      </c>
      <c r="AL243" s="307">
        <v>0.96278243642653549</v>
      </c>
      <c r="AM243" s="307">
        <v>1.0409115551368169</v>
      </c>
      <c r="AN243" s="307">
        <v>1.0009938485436563</v>
      </c>
      <c r="AO243" s="307">
        <v>1.0228599477955649</v>
      </c>
      <c r="AP243" s="307">
        <v>0.94154359220296746</v>
      </c>
      <c r="AQ243" s="307">
        <v>1.0633589609502097</v>
      </c>
      <c r="AR243" s="307">
        <v>0.91552353276929943</v>
      </c>
    </row>
    <row r="244" spans="1:44" s="308" customFormat="1" hidden="1" outlineLevel="1" x14ac:dyDescent="0.3">
      <c r="A244" s="306">
        <v>2007</v>
      </c>
      <c r="B244" s="307">
        <v>1.0115652185120438</v>
      </c>
      <c r="C244" s="307">
        <v>1.0021617232146163</v>
      </c>
      <c r="D244" s="307">
        <v>1.0795271927905243</v>
      </c>
      <c r="E244" s="307">
        <v>0.99268152992168557</v>
      </c>
      <c r="F244" s="307">
        <v>1.0301407831677669</v>
      </c>
      <c r="G244" s="307">
        <v>1.014188400461747</v>
      </c>
      <c r="H244" s="307">
        <v>0.98203359000664725</v>
      </c>
      <c r="I244" s="307">
        <v>1.064645471364051</v>
      </c>
      <c r="J244" s="307">
        <v>0.98519156775655914</v>
      </c>
      <c r="K244" s="307">
        <v>1.0109646776284904</v>
      </c>
      <c r="L244" s="307">
        <v>0.99699192288470784</v>
      </c>
      <c r="M244" s="307">
        <v>1.0797559816086704</v>
      </c>
      <c r="N244" s="307">
        <v>1.0392248201363266</v>
      </c>
      <c r="O244" s="307">
        <v>1.0432269960786797</v>
      </c>
      <c r="P244" s="307">
        <v>1.0793275643684765</v>
      </c>
      <c r="Q244" s="307">
        <v>1.026932694279737</v>
      </c>
      <c r="R244" s="307">
        <v>1.0435733551175388</v>
      </c>
      <c r="S244" s="307">
        <v>1.0576866310158239</v>
      </c>
      <c r="T244" s="307">
        <v>1.0510405036234027</v>
      </c>
      <c r="U244" s="307">
        <v>1.0454312856610459</v>
      </c>
      <c r="V244" s="307">
        <v>1.0812683935863461</v>
      </c>
      <c r="W244" s="307">
        <v>1.0674394509570437</v>
      </c>
      <c r="X244" s="307">
        <v>1.048592985356271</v>
      </c>
      <c r="Y244" s="307">
        <v>1.016764359882276</v>
      </c>
      <c r="Z244" s="307">
        <v>1.0279454850589278</v>
      </c>
      <c r="AA244" s="307">
        <v>1.0316935064658139</v>
      </c>
      <c r="AB244" s="307">
        <v>1.0327299526302407</v>
      </c>
      <c r="AC244" s="307">
        <v>1.019761945862637</v>
      </c>
      <c r="AD244" s="307">
        <v>1.0481446729078001</v>
      </c>
      <c r="AE244" s="307">
        <v>1.05214525567078</v>
      </c>
      <c r="AF244" s="307">
        <v>1.1138457795483985</v>
      </c>
      <c r="AG244" s="307">
        <v>1.1332013277937987</v>
      </c>
      <c r="AH244" s="307">
        <v>1.0890021637789664</v>
      </c>
      <c r="AI244" s="307">
        <v>1.0377493035696814</v>
      </c>
      <c r="AJ244" s="307">
        <v>1.12943963594118</v>
      </c>
      <c r="AK244" s="307">
        <v>1.0911179293427642</v>
      </c>
      <c r="AL244" s="307">
        <v>1.0789909739285324</v>
      </c>
      <c r="AM244" s="307">
        <v>1.0799407746804139</v>
      </c>
      <c r="AN244" s="307">
        <v>1.1048862825016172</v>
      </c>
      <c r="AO244" s="307">
        <v>1.1250519398583092</v>
      </c>
      <c r="AP244" s="307">
        <v>1.0470005345676678</v>
      </c>
      <c r="AQ244" s="307">
        <v>1.1492857192331276</v>
      </c>
      <c r="AR244" s="307">
        <v>1.1249635156849296</v>
      </c>
    </row>
    <row r="245" spans="1:44" s="308" customFormat="1" hidden="1" outlineLevel="1" x14ac:dyDescent="0.3">
      <c r="A245" s="306">
        <v>2008</v>
      </c>
      <c r="B245" s="307">
        <v>1.1245249215811108</v>
      </c>
      <c r="C245" s="307">
        <v>1.0927489455940047</v>
      </c>
      <c r="D245" s="307">
        <v>1.207003053112166</v>
      </c>
      <c r="E245" s="307">
        <v>1.0902647544193105</v>
      </c>
      <c r="F245" s="307">
        <v>1.105421036007902</v>
      </c>
      <c r="G245" s="307">
        <v>1.1125477748836385</v>
      </c>
      <c r="H245" s="307">
        <v>1.0994908856634218</v>
      </c>
      <c r="I245" s="307">
        <v>1.1781243561683723</v>
      </c>
      <c r="J245" s="307">
        <v>1.0769198686116415</v>
      </c>
      <c r="K245" s="307">
        <v>1.0978604014418953</v>
      </c>
      <c r="L245" s="307">
        <v>1.0885205012223915</v>
      </c>
      <c r="M245" s="307">
        <v>1.2033375196158509</v>
      </c>
      <c r="N245" s="307">
        <v>1.1419989540742959</v>
      </c>
      <c r="O245" s="307">
        <v>1.0588574717761785</v>
      </c>
      <c r="P245" s="307">
        <v>1.0979994252670151</v>
      </c>
      <c r="Q245" s="307">
        <v>1.0222413208407455</v>
      </c>
      <c r="R245" s="307">
        <v>1.0575244882156878</v>
      </c>
      <c r="S245" s="307">
        <v>1.0402455612689814</v>
      </c>
      <c r="T245" s="307">
        <v>1.0513364333949038</v>
      </c>
      <c r="U245" s="307">
        <v>1.0875589106118944</v>
      </c>
      <c r="V245" s="307">
        <v>1.0485394785660356</v>
      </c>
      <c r="W245" s="307">
        <v>1.0531855481644832</v>
      </c>
      <c r="X245" s="307">
        <v>1.1048425807096316</v>
      </c>
      <c r="Y245" s="307">
        <v>1.1143514388313567</v>
      </c>
      <c r="Z245" s="307">
        <v>1.1714063319233006</v>
      </c>
      <c r="AA245" s="307">
        <v>1.1188756718263937</v>
      </c>
      <c r="AB245" s="307">
        <v>1.1710346040136734</v>
      </c>
      <c r="AC245" s="307">
        <v>1.0711437890171234</v>
      </c>
      <c r="AD245" s="307">
        <v>1.1367860796539433</v>
      </c>
      <c r="AE245" s="307">
        <v>1.055072082992375</v>
      </c>
      <c r="AF245" s="307">
        <v>1.1070047056545786</v>
      </c>
      <c r="AG245" s="307">
        <v>1.0774329071990434</v>
      </c>
      <c r="AH245" s="307">
        <v>1.0602253728797431</v>
      </c>
      <c r="AI245" s="307">
        <v>0.99661190090115748</v>
      </c>
      <c r="AJ245" s="307">
        <v>1.046320394877561</v>
      </c>
      <c r="AK245" s="307">
        <v>1.0196239761653036</v>
      </c>
      <c r="AL245" s="307">
        <v>1.0344452466336753</v>
      </c>
      <c r="AM245" s="307">
        <v>1.0127441834108797</v>
      </c>
      <c r="AN245" s="307">
        <v>1.0424913262653857</v>
      </c>
      <c r="AO245" s="307">
        <v>1.0465569189184571</v>
      </c>
      <c r="AP245" s="307">
        <v>1.0235010518739402</v>
      </c>
      <c r="AQ245" s="307">
        <v>1.0705236485032787</v>
      </c>
      <c r="AR245" s="307">
        <v>1.0947274286028967</v>
      </c>
    </row>
    <row r="246" spans="1:44" s="308" customFormat="1" hidden="1" outlineLevel="1" x14ac:dyDescent="0.3">
      <c r="A246" s="306">
        <v>2009</v>
      </c>
      <c r="B246" s="307">
        <v>1.0081478279272973</v>
      </c>
      <c r="C246" s="307">
        <v>0.9871158325379138</v>
      </c>
      <c r="D246" s="307">
        <v>1.0279754267784085</v>
      </c>
      <c r="E246" s="307">
        <v>1.0007708897186092</v>
      </c>
      <c r="F246" s="307">
        <v>1.0200007115529062</v>
      </c>
      <c r="G246" s="307">
        <v>1.030817112380586</v>
      </c>
      <c r="H246" s="307">
        <v>0.9699894723297211</v>
      </c>
      <c r="I246" s="307">
        <v>1.0438870920399401</v>
      </c>
      <c r="J246" s="307">
        <v>0.97780543603716052</v>
      </c>
      <c r="K246" s="307">
        <v>0.99548077140882607</v>
      </c>
      <c r="L246" s="307">
        <v>0.99030233043330929</v>
      </c>
      <c r="M246" s="307">
        <v>1.0222079381351028</v>
      </c>
      <c r="N246" s="307">
        <v>1.030302070231534</v>
      </c>
      <c r="O246" s="307">
        <v>1.0319970444518516</v>
      </c>
      <c r="P246" s="307">
        <v>1.0227497982993119</v>
      </c>
      <c r="Q246" s="307">
        <v>0.98827760918990781</v>
      </c>
      <c r="R246" s="307">
        <v>1.0219718889431464</v>
      </c>
      <c r="S246" s="307">
        <v>1.0180899071627101</v>
      </c>
      <c r="T246" s="307">
        <v>1.0396931275575643</v>
      </c>
      <c r="U246" s="307">
        <v>0.98725158460430706</v>
      </c>
      <c r="V246" s="307">
        <v>1.0400088133266954</v>
      </c>
      <c r="W246" s="307">
        <v>1.0369193170191353</v>
      </c>
      <c r="X246" s="307">
        <v>1.0278120011249321</v>
      </c>
      <c r="Y246" s="307">
        <v>1.0137453918541059</v>
      </c>
      <c r="Z246" s="307">
        <v>1.0293666981854594</v>
      </c>
      <c r="AA246" s="307">
        <v>1.0114921827159684</v>
      </c>
      <c r="AB246" s="307">
        <v>1.0181052047178445</v>
      </c>
      <c r="AC246" s="307">
        <v>1.0168594207955612</v>
      </c>
      <c r="AD246" s="307">
        <v>1.023178052854639</v>
      </c>
      <c r="AE246" s="307">
        <v>0.98943398689615769</v>
      </c>
      <c r="AF246" s="307">
        <v>1.1003514002176511</v>
      </c>
      <c r="AG246" s="307">
        <v>1.0796311271614909</v>
      </c>
      <c r="AH246" s="307">
        <v>1.0451643980101157</v>
      </c>
      <c r="AI246" s="307">
        <v>1.0306749778967073</v>
      </c>
      <c r="AJ246" s="307">
        <v>1.0760803520928948</v>
      </c>
      <c r="AK246" s="307">
        <v>1.0708395746431547</v>
      </c>
      <c r="AL246" s="307">
        <v>1.0830371026888945</v>
      </c>
      <c r="AM246" s="307">
        <v>1.0669959730766487</v>
      </c>
      <c r="AN246" s="307">
        <v>1.0547584204020535</v>
      </c>
      <c r="AO246" s="307">
        <v>1.1235975264597515</v>
      </c>
      <c r="AP246" s="307">
        <v>1.0404766807808019</v>
      </c>
      <c r="AQ246" s="307">
        <v>1.138748728165659</v>
      </c>
      <c r="AR246" s="307">
        <v>1.0854510439462162</v>
      </c>
    </row>
    <row r="247" spans="1:44" s="308" customFormat="1" hidden="1" outlineLevel="1" x14ac:dyDescent="0.3">
      <c r="A247" s="306">
        <v>2010</v>
      </c>
      <c r="B247" s="307">
        <v>0.8810050282805868</v>
      </c>
      <c r="C247" s="307">
        <v>0.89974820678860223</v>
      </c>
      <c r="D247" s="307">
        <v>0.90883937846162732</v>
      </c>
      <c r="E247" s="307">
        <v>0.89893010743312929</v>
      </c>
      <c r="F247" s="307">
        <v>0.88237756088881791</v>
      </c>
      <c r="G247" s="307">
        <v>0.87377903491960152</v>
      </c>
      <c r="H247" s="307">
        <v>0.7919668340348599</v>
      </c>
      <c r="I247" s="307">
        <v>0.8862897342949162</v>
      </c>
      <c r="J247" s="307">
        <v>0.8347158032124038</v>
      </c>
      <c r="K247" s="307">
        <v>0.90000312005997174</v>
      </c>
      <c r="L247" s="307">
        <v>0.87670205562900771</v>
      </c>
      <c r="M247" s="307">
        <v>0.90672772570028792</v>
      </c>
      <c r="N247" s="307">
        <v>0.88030581164990795</v>
      </c>
      <c r="O247" s="307">
        <v>0.9016678738610775</v>
      </c>
      <c r="P247" s="307">
        <v>0.92189778753292173</v>
      </c>
      <c r="Q247" s="307">
        <v>0.88242727949489186</v>
      </c>
      <c r="R247" s="307">
        <v>0.90401733761106962</v>
      </c>
      <c r="S247" s="307">
        <v>0.88493423315848474</v>
      </c>
      <c r="T247" s="307">
        <v>0.91805578699569934</v>
      </c>
      <c r="U247" s="307">
        <v>0.88352076817499814</v>
      </c>
      <c r="V247" s="307">
        <v>0.91864248209286192</v>
      </c>
      <c r="W247" s="307">
        <v>0.90075608854843203</v>
      </c>
      <c r="X247" s="307">
        <v>0.90020051588886629</v>
      </c>
      <c r="Y247" s="307">
        <v>0.8947516524209046</v>
      </c>
      <c r="Z247" s="307">
        <v>0.9071913766529337</v>
      </c>
      <c r="AA247" s="307">
        <v>0.89841963844504935</v>
      </c>
      <c r="AB247" s="307">
        <v>0.88982129933536713</v>
      </c>
      <c r="AC247" s="307">
        <v>0.84312473584504388</v>
      </c>
      <c r="AD247" s="307">
        <v>0.87220142902167308</v>
      </c>
      <c r="AE247" s="307">
        <v>0.86481609231002943</v>
      </c>
      <c r="AF247" s="307">
        <v>0.90988802940699598</v>
      </c>
      <c r="AG247" s="307">
        <v>0.92752930637389708</v>
      </c>
      <c r="AH247" s="307">
        <v>0.89699274971140053</v>
      </c>
      <c r="AI247" s="307">
        <v>0.92807344426803973</v>
      </c>
      <c r="AJ247" s="307">
        <v>0.90076718449486792</v>
      </c>
      <c r="AK247" s="307">
        <v>0.92493822689711258</v>
      </c>
      <c r="AL247" s="307">
        <v>0.87621439981168137</v>
      </c>
      <c r="AM247" s="307">
        <v>0.94052498773543625</v>
      </c>
      <c r="AN247" s="307">
        <v>0.91096981154483736</v>
      </c>
      <c r="AO247" s="307">
        <v>0.90668772280750065</v>
      </c>
      <c r="AP247" s="307">
        <v>0.87010126376551589</v>
      </c>
      <c r="AQ247" s="307">
        <v>0.9399393369977983</v>
      </c>
      <c r="AR247" s="307">
        <v>0.90599298248761195</v>
      </c>
    </row>
    <row r="248" spans="1:44" s="308" customFormat="1" hidden="1" outlineLevel="1" x14ac:dyDescent="0.3">
      <c r="A248" s="306">
        <v>2011</v>
      </c>
      <c r="B248" s="307">
        <v>0.87969400554360688</v>
      </c>
      <c r="C248" s="307">
        <v>0.91570429086488947</v>
      </c>
      <c r="D248" s="307">
        <v>0.89733450464252229</v>
      </c>
      <c r="E248" s="307">
        <v>0.88163377891997041</v>
      </c>
      <c r="F248" s="307">
        <v>0.91468088257858948</v>
      </c>
      <c r="G248" s="307">
        <v>0.90660172119077409</v>
      </c>
      <c r="H248" s="307">
        <v>0.87829192428303371</v>
      </c>
      <c r="I248" s="307">
        <v>0.8831388589965723</v>
      </c>
      <c r="J248" s="307">
        <v>0.85715911354915186</v>
      </c>
      <c r="K248" s="307">
        <v>0.9185557539331497</v>
      </c>
      <c r="L248" s="307">
        <v>0.8892404590634353</v>
      </c>
      <c r="M248" s="307">
        <v>0.89459549097034685</v>
      </c>
      <c r="N248" s="307">
        <v>0.91601327066020921</v>
      </c>
      <c r="O248" s="307">
        <v>0.93547815093689679</v>
      </c>
      <c r="P248" s="307">
        <v>0.9695727808340765</v>
      </c>
      <c r="Q248" s="307">
        <v>0.96138875211920238</v>
      </c>
      <c r="R248" s="307">
        <v>0.91383049849625075</v>
      </c>
      <c r="S248" s="307">
        <v>0.93989915224458198</v>
      </c>
      <c r="T248" s="307">
        <v>0.91758638115124924</v>
      </c>
      <c r="U248" s="307">
        <v>0.90942475715144777</v>
      </c>
      <c r="V248" s="307">
        <v>0.97923335772194553</v>
      </c>
      <c r="W248" s="307">
        <v>0.94164655928419594</v>
      </c>
      <c r="X248" s="307">
        <v>0.92143133961101531</v>
      </c>
      <c r="Y248" s="307">
        <v>0.9013959691657758</v>
      </c>
      <c r="Z248" s="307">
        <v>0.90314010245316545</v>
      </c>
      <c r="AA248" s="307">
        <v>0.92144712311971988</v>
      </c>
      <c r="AB248" s="307">
        <v>0.90090937330125642</v>
      </c>
      <c r="AC248" s="307">
        <v>0.91829754910009198</v>
      </c>
      <c r="AD248" s="307">
        <v>0.9600088648269931</v>
      </c>
      <c r="AE248" s="307">
        <v>0.95533764395680976</v>
      </c>
      <c r="AF248" s="307">
        <v>1.0015286383071489</v>
      </c>
      <c r="AG248" s="307">
        <v>1.0085687039396856</v>
      </c>
      <c r="AH248" s="307">
        <v>0.98225420154511855</v>
      </c>
      <c r="AI248" s="307">
        <v>0.98546301377392753</v>
      </c>
      <c r="AJ248" s="307">
        <v>1.0058935002504286</v>
      </c>
      <c r="AK248" s="307">
        <v>0.98926436715478738</v>
      </c>
      <c r="AL248" s="307">
        <v>0.97288320303540132</v>
      </c>
      <c r="AM248" s="307">
        <v>1.010916133430644</v>
      </c>
      <c r="AN248" s="307">
        <v>1.0035584986697419</v>
      </c>
      <c r="AO248" s="307">
        <v>0.98466026182326094</v>
      </c>
      <c r="AP248" s="307">
        <v>0.99028690723883872</v>
      </c>
      <c r="AQ248" s="307">
        <v>1.0143586040098249</v>
      </c>
      <c r="AR248" s="307">
        <v>0.98176066599605061</v>
      </c>
    </row>
    <row r="249" spans="1:44" s="308" customFormat="1" hidden="1" outlineLevel="1" x14ac:dyDescent="0.3">
      <c r="A249" s="306">
        <v>2012</v>
      </c>
      <c r="B249" s="307">
        <v>0.96234971174422956</v>
      </c>
      <c r="C249" s="307">
        <v>0.97997390888645208</v>
      </c>
      <c r="D249" s="307">
        <v>0.96488686149552683</v>
      </c>
      <c r="E249" s="307">
        <v>0.97769492650843759</v>
      </c>
      <c r="F249" s="307">
        <v>0.98216290756819979</v>
      </c>
      <c r="G249" s="307">
        <v>0.96799753402052713</v>
      </c>
      <c r="H249" s="307">
        <v>0.92500256859230667</v>
      </c>
      <c r="I249" s="307">
        <v>0.95937223917707914</v>
      </c>
      <c r="J249" s="307">
        <v>0.93361639253209572</v>
      </c>
      <c r="K249" s="307">
        <v>0.97938088882829022</v>
      </c>
      <c r="L249" s="307">
        <v>0.96418002587491414</v>
      </c>
      <c r="M249" s="307">
        <v>0.96295363701427561</v>
      </c>
      <c r="N249" s="307">
        <v>0.97827633825711902</v>
      </c>
      <c r="O249" s="307">
        <v>0.99473489573832885</v>
      </c>
      <c r="P249" s="307">
        <v>1.0249893156726313</v>
      </c>
      <c r="Q249" s="307">
        <v>0.96896558488069517</v>
      </c>
      <c r="R249" s="307">
        <v>0.95793609864959195</v>
      </c>
      <c r="S249" s="307">
        <v>1.0050163358101847</v>
      </c>
      <c r="T249" s="307">
        <v>0.98608902101633311</v>
      </c>
      <c r="U249" s="307">
        <v>0.99724572560414382</v>
      </c>
      <c r="V249" s="307">
        <v>1.0634683776412985</v>
      </c>
      <c r="W249" s="307">
        <v>1.0185942489114521</v>
      </c>
      <c r="X249" s="307">
        <v>0.99540317904283493</v>
      </c>
      <c r="Y249" s="307">
        <v>1.0035054922208642</v>
      </c>
      <c r="Z249" s="307">
        <v>0.95794665463148121</v>
      </c>
      <c r="AA249" s="307">
        <v>0.97124886195566218</v>
      </c>
      <c r="AB249" s="307">
        <v>0.94815260735135276</v>
      </c>
      <c r="AC249" s="307">
        <v>0.95756027753114947</v>
      </c>
      <c r="AD249" s="307">
        <v>0.98232531615287455</v>
      </c>
      <c r="AE249" s="307">
        <v>1.0040181980022971</v>
      </c>
      <c r="AF249" s="307">
        <v>0.99191681592639092</v>
      </c>
      <c r="AG249" s="307">
        <v>1.0950879375613611</v>
      </c>
      <c r="AH249" s="307">
        <v>1.1067294356350825</v>
      </c>
      <c r="AI249" s="307">
        <v>1.0232849305648895</v>
      </c>
      <c r="AJ249" s="307">
        <v>1.097675324631429</v>
      </c>
      <c r="AK249" s="307">
        <v>1.0280517602829313</v>
      </c>
      <c r="AL249" s="307">
        <v>1.0210843814457786</v>
      </c>
      <c r="AM249" s="307">
        <v>1.078570415315959</v>
      </c>
      <c r="AN249" s="307">
        <v>1.1279041583086771</v>
      </c>
      <c r="AO249" s="307">
        <v>1.0466770831854628</v>
      </c>
      <c r="AP249" s="307">
        <v>1.0575160005732096</v>
      </c>
      <c r="AQ249" s="307">
        <v>1.0606922947846174</v>
      </c>
      <c r="AR249" s="307">
        <v>1.0271677989305616</v>
      </c>
    </row>
    <row r="250" spans="1:44" s="308" customFormat="1" hidden="1" outlineLevel="1" x14ac:dyDescent="0.3">
      <c r="A250" s="306">
        <v>2013</v>
      </c>
      <c r="B250" s="307">
        <v>1.0627479614534578</v>
      </c>
      <c r="C250" s="307">
        <v>1.1205312827443754</v>
      </c>
      <c r="D250" s="307">
        <v>1.1128729422810792</v>
      </c>
      <c r="E250" s="307">
        <v>1.1375342897589653</v>
      </c>
      <c r="F250" s="307">
        <v>1.1221896569275243</v>
      </c>
      <c r="G250" s="307">
        <v>1.1256007703179691</v>
      </c>
      <c r="H250" s="307">
        <v>1.0628574257584711</v>
      </c>
      <c r="I250" s="307">
        <v>1.1654964845128957</v>
      </c>
      <c r="J250" s="307">
        <v>1.0761313528804639</v>
      </c>
      <c r="K250" s="307">
        <v>1.1224526355695528</v>
      </c>
      <c r="L250" s="307">
        <v>1.1103099862234169</v>
      </c>
      <c r="M250" s="307">
        <v>1.1141741435354526</v>
      </c>
      <c r="N250" s="307">
        <v>1.1616568802354093</v>
      </c>
      <c r="O250" s="307">
        <v>1.0554825370598522</v>
      </c>
      <c r="P250" s="307">
        <v>1.1216479914395963</v>
      </c>
      <c r="Q250" s="307">
        <v>1.086857778060127</v>
      </c>
      <c r="R250" s="307">
        <v>1.03006908726917</v>
      </c>
      <c r="S250" s="307">
        <v>1.0685523499791691</v>
      </c>
      <c r="T250" s="307">
        <v>1.0952666977505101</v>
      </c>
      <c r="U250" s="307">
        <v>1.1065710527825594</v>
      </c>
      <c r="V250" s="307">
        <v>1.0942216325578171</v>
      </c>
      <c r="W250" s="307">
        <v>1.0732116099739242</v>
      </c>
      <c r="X250" s="307">
        <v>1.1277687486468808</v>
      </c>
      <c r="Y250" s="307">
        <v>1.1104637791854968</v>
      </c>
      <c r="Z250" s="307">
        <v>1.1607390655827816</v>
      </c>
      <c r="AA250" s="307">
        <v>1.1301449962474561</v>
      </c>
      <c r="AB250" s="307">
        <v>1.1447381406074593</v>
      </c>
      <c r="AC250" s="307">
        <v>1.1822460490393736</v>
      </c>
      <c r="AD250" s="307">
        <v>1.1830719652991573</v>
      </c>
      <c r="AE250" s="307">
        <v>1.167501085000771</v>
      </c>
      <c r="AF250" s="307">
        <v>1.1842851066628559</v>
      </c>
      <c r="AG250" s="307">
        <v>1.1173144008601641</v>
      </c>
      <c r="AH250" s="307">
        <v>1.1158092578052881</v>
      </c>
      <c r="AI250" s="307">
        <v>1.013969731429845</v>
      </c>
      <c r="AJ250" s="307">
        <v>1.1093390396674763</v>
      </c>
      <c r="AK250" s="307">
        <v>1.0225729700136297</v>
      </c>
      <c r="AL250" s="307">
        <v>1.0789161875300048</v>
      </c>
      <c r="AM250" s="307">
        <v>1.0570732009753445</v>
      </c>
      <c r="AN250" s="307">
        <v>1.1099504264771676</v>
      </c>
      <c r="AO250" s="307">
        <v>1.0543020495750377</v>
      </c>
      <c r="AP250" s="307">
        <v>1.124953502911715</v>
      </c>
      <c r="AQ250" s="307">
        <v>1.0588215078881915</v>
      </c>
      <c r="AR250" s="307">
        <v>1.1427211073212979</v>
      </c>
    </row>
    <row r="251" spans="1:44" s="308" customFormat="1" hidden="1" outlineLevel="1" x14ac:dyDescent="0.3">
      <c r="A251" s="306">
        <v>2014</v>
      </c>
      <c r="B251" s="307">
        <v>1.0007234281732529</v>
      </c>
      <c r="C251" s="307">
        <v>1.054744860774776</v>
      </c>
      <c r="D251" s="307">
        <v>1.0632352685431654</v>
      </c>
      <c r="E251" s="307">
        <v>1.0454752464910815</v>
      </c>
      <c r="F251" s="307">
        <v>1.0775131362778732</v>
      </c>
      <c r="G251" s="307">
        <v>1.045304741784385</v>
      </c>
      <c r="H251" s="307">
        <v>1.0101293785487808</v>
      </c>
      <c r="I251" s="307">
        <v>1.0689724665040519</v>
      </c>
      <c r="J251" s="307">
        <v>1.0106446438451124</v>
      </c>
      <c r="K251" s="307">
        <v>1.0589935150289058</v>
      </c>
      <c r="L251" s="307">
        <v>1.0423601557078042</v>
      </c>
      <c r="M251" s="307">
        <v>1.0614092024117965</v>
      </c>
      <c r="N251" s="307">
        <v>1.0817695223295416</v>
      </c>
      <c r="O251" s="307">
        <v>1.0230300235936207</v>
      </c>
      <c r="P251" s="307">
        <v>1.0541399060092931</v>
      </c>
      <c r="Q251" s="307">
        <v>1.0289414536026091</v>
      </c>
      <c r="R251" s="307">
        <v>0.98495357165132469</v>
      </c>
      <c r="S251" s="307">
        <v>1.0226405898163917</v>
      </c>
      <c r="T251" s="307">
        <v>1.029947854047784</v>
      </c>
      <c r="U251" s="307">
        <v>1.0444525559152558</v>
      </c>
      <c r="V251" s="307">
        <v>1.0741730569945018</v>
      </c>
      <c r="W251" s="307">
        <v>1.0550003039885185</v>
      </c>
      <c r="X251" s="307">
        <v>1.0706790182419486</v>
      </c>
      <c r="Y251" s="307">
        <v>1.0363503774020022</v>
      </c>
      <c r="Z251" s="307">
        <v>1.0118057313921094</v>
      </c>
      <c r="AA251" s="307">
        <v>1.0521750773695528</v>
      </c>
      <c r="AB251" s="307">
        <v>1.0163682417010094</v>
      </c>
      <c r="AC251" s="307">
        <v>1.0405755432052881</v>
      </c>
      <c r="AD251" s="307">
        <v>1.0514927228985635</v>
      </c>
      <c r="AE251" s="307">
        <v>1.1028494377909417</v>
      </c>
      <c r="AF251" s="307">
        <v>1.1386122308139273</v>
      </c>
      <c r="AG251" s="307">
        <v>1.0931041517931359</v>
      </c>
      <c r="AH251" s="307">
        <v>1.0965326512137799</v>
      </c>
      <c r="AI251" s="307">
        <v>1.0387895387028105</v>
      </c>
      <c r="AJ251" s="307">
        <v>1.1090904830216444</v>
      </c>
      <c r="AK251" s="307">
        <v>1.0254838221388898</v>
      </c>
      <c r="AL251" s="307">
        <v>1.0709897711679119</v>
      </c>
      <c r="AM251" s="307">
        <v>1.0609943726128908</v>
      </c>
      <c r="AN251" s="307">
        <v>1.0738034983617728</v>
      </c>
      <c r="AO251" s="307">
        <v>1.0589599128984788</v>
      </c>
      <c r="AP251" s="307">
        <v>1.1133243329263811</v>
      </c>
      <c r="AQ251" s="307">
        <v>1.0519763847212564</v>
      </c>
      <c r="AR251" s="307">
        <v>1.1169356148577503</v>
      </c>
    </row>
    <row r="252" spans="1:44" s="308" customFormat="1" hidden="1" outlineLevel="1" x14ac:dyDescent="0.3">
      <c r="A252" s="306">
        <v>2015</v>
      </c>
      <c r="B252" s="307">
        <v>1.0696980155613005</v>
      </c>
      <c r="C252" s="307">
        <v>1.0734288610147493</v>
      </c>
      <c r="D252" s="307">
        <v>1.1138229908446171</v>
      </c>
      <c r="E252" s="307">
        <v>1.0549802442524663</v>
      </c>
      <c r="F252" s="307">
        <v>1.0538659603865537</v>
      </c>
      <c r="G252" s="307">
        <v>1.065835223362612</v>
      </c>
      <c r="H252" s="307">
        <v>1.0292692731365816</v>
      </c>
      <c r="I252" s="307">
        <v>1.1079766416100878</v>
      </c>
      <c r="J252" s="307">
        <v>1.0295045841171655</v>
      </c>
      <c r="K252" s="307">
        <v>1.0701141906749831</v>
      </c>
      <c r="L252" s="307">
        <v>1.0590930355330579</v>
      </c>
      <c r="M252" s="307">
        <v>1.110883324207127</v>
      </c>
      <c r="N252" s="307">
        <v>1.0868937348676115</v>
      </c>
      <c r="O252" s="307">
        <v>1.0170487546893567</v>
      </c>
      <c r="P252" s="307">
        <v>1.0519925498447524</v>
      </c>
      <c r="Q252" s="307">
        <v>0.99336514305754453</v>
      </c>
      <c r="R252" s="307">
        <v>0.99070919606849839</v>
      </c>
      <c r="S252" s="307">
        <v>0.98738244052716895</v>
      </c>
      <c r="T252" s="307">
        <v>0.995068958910162</v>
      </c>
      <c r="U252" s="307">
        <v>1.0456523541175553</v>
      </c>
      <c r="V252" s="307">
        <v>1.0247228415968463</v>
      </c>
      <c r="W252" s="307">
        <v>1.0035475584919309</v>
      </c>
      <c r="X252" s="307">
        <v>1.0647304382098286</v>
      </c>
      <c r="Y252" s="307">
        <v>1.0443913115473438</v>
      </c>
      <c r="Z252" s="307">
        <v>1.1121564467516902</v>
      </c>
      <c r="AA252" s="307">
        <v>1.0533383313840221</v>
      </c>
      <c r="AB252" s="307">
        <v>1.1096185324112897</v>
      </c>
      <c r="AC252" s="307">
        <v>1.0769986289111984</v>
      </c>
      <c r="AD252" s="307">
        <v>1.1040001632220307</v>
      </c>
      <c r="AE252" s="307">
        <v>1.0675245038066532</v>
      </c>
      <c r="AF252" s="307">
        <v>1.0863980961209174</v>
      </c>
      <c r="AG252" s="307">
        <v>1.0458855051833365</v>
      </c>
      <c r="AH252" s="307">
        <v>1.0426782562254164</v>
      </c>
      <c r="AI252" s="307">
        <v>0.97845891104950411</v>
      </c>
      <c r="AJ252" s="307">
        <v>1.0417495420325229</v>
      </c>
      <c r="AK252" s="307">
        <v>0.98550648992584244</v>
      </c>
      <c r="AL252" s="307">
        <v>1.0453980305646837</v>
      </c>
      <c r="AM252" s="307">
        <v>1.0152504286174009</v>
      </c>
      <c r="AN252" s="307">
        <v>1.0302592721098616</v>
      </c>
      <c r="AO252" s="307">
        <v>1.0257415850551552</v>
      </c>
      <c r="AP252" s="307">
        <v>1.0894083229672407</v>
      </c>
      <c r="AQ252" s="307">
        <v>1.0273345390664261</v>
      </c>
      <c r="AR252" s="307">
        <v>1.0872101579835411</v>
      </c>
    </row>
    <row r="253" spans="1:44" collapsed="1" x14ac:dyDescent="0.3">
      <c r="A253" s="141"/>
      <c r="B253" s="404" t="s">
        <v>992</v>
      </c>
      <c r="C253" s="70"/>
      <c r="D253" s="70"/>
      <c r="E253" s="70"/>
      <c r="F253" s="70"/>
      <c r="G253" s="507"/>
      <c r="H253" s="70"/>
      <c r="I253" s="70"/>
      <c r="J253" s="70"/>
      <c r="K253" s="70"/>
      <c r="L253" s="70"/>
      <c r="M253" s="70"/>
      <c r="N253" s="70"/>
      <c r="O253" s="70"/>
    </row>
    <row r="254" spans="1:44" ht="15.6" x14ac:dyDescent="0.3">
      <c r="A254" s="79"/>
      <c r="B254" s="404" t="s">
        <v>992</v>
      </c>
      <c r="C254" s="70"/>
      <c r="D254" s="70"/>
      <c r="E254" s="70"/>
      <c r="F254" s="70"/>
      <c r="G254" s="507"/>
      <c r="H254" s="70"/>
      <c r="I254" s="70"/>
      <c r="J254" s="70"/>
      <c r="K254" s="70"/>
      <c r="L254" s="70"/>
      <c r="M254" s="70"/>
      <c r="N254" s="70"/>
      <c r="O254" s="70"/>
    </row>
    <row r="255" spans="1:44" ht="25.8" x14ac:dyDescent="0.5">
      <c r="A255" s="207" t="s">
        <v>438</v>
      </c>
      <c r="B255" s="411" t="s">
        <v>992</v>
      </c>
      <c r="C255" s="410"/>
      <c r="D255" s="410"/>
      <c r="E255" s="410"/>
      <c r="F255" s="410"/>
      <c r="G255" s="515"/>
      <c r="H255" s="166"/>
      <c r="I255" s="166"/>
      <c r="J255" s="70"/>
      <c r="K255" s="70"/>
      <c r="L255" s="70"/>
      <c r="M255" s="70"/>
      <c r="N255" s="70"/>
      <c r="O255" s="70"/>
    </row>
    <row r="256" spans="1:44" ht="33.75" customHeight="1" x14ac:dyDescent="0.3">
      <c r="A256" s="557" t="s">
        <v>1003</v>
      </c>
      <c r="B256" s="557"/>
      <c r="C256" s="557"/>
      <c r="D256" s="557"/>
      <c r="E256" s="557"/>
      <c r="F256" s="557"/>
      <c r="G256" s="557"/>
      <c r="H256" s="558"/>
      <c r="I256" s="310"/>
      <c r="J256" s="70"/>
      <c r="K256" s="70"/>
      <c r="L256" s="70"/>
      <c r="M256" s="70"/>
      <c r="N256" s="70"/>
      <c r="O256" s="70"/>
      <c r="P256" s="70"/>
    </row>
    <row r="257" spans="1:16" x14ac:dyDescent="0.3">
      <c r="A257" s="63"/>
      <c r="B257" s="63"/>
      <c r="C257" s="129" t="s">
        <v>990</v>
      </c>
      <c r="D257" s="147">
        <f>SUM(D259:D301)</f>
        <v>2468299.3101933133</v>
      </c>
      <c r="E257" s="147">
        <f>SUM(E259:E301)</f>
        <v>2525866.9887068043</v>
      </c>
      <c r="F257" s="147">
        <f>SUM(F259:F301)</f>
        <v>2576014.411786438</v>
      </c>
      <c r="G257" s="147">
        <f>SUM(G259:G301)</f>
        <v>2626669.0327745997</v>
      </c>
      <c r="H257" s="516">
        <f>SUM(H259:H301)</f>
        <v>2671598.1017804234</v>
      </c>
      <c r="I257" s="66"/>
      <c r="J257" s="78"/>
      <c r="K257" s="70"/>
      <c r="L257" s="70"/>
      <c r="M257" s="70"/>
      <c r="N257" s="70"/>
      <c r="O257" s="70"/>
      <c r="P257" s="70"/>
    </row>
    <row r="258" spans="1:16" x14ac:dyDescent="0.3">
      <c r="A258" s="122" t="s">
        <v>5</v>
      </c>
      <c r="B258" s="505" t="s">
        <v>847</v>
      </c>
      <c r="C258" s="122" t="s">
        <v>193</v>
      </c>
      <c r="D258" s="464">
        <v>2025</v>
      </c>
      <c r="E258" s="464">
        <v>2030</v>
      </c>
      <c r="F258" s="464">
        <v>2035</v>
      </c>
      <c r="G258" s="464">
        <v>2040</v>
      </c>
      <c r="H258" s="517">
        <v>2045</v>
      </c>
      <c r="I258" s="123" t="s">
        <v>153</v>
      </c>
      <c r="J258" s="70"/>
      <c r="K258" s="70"/>
      <c r="L258" s="70"/>
      <c r="M258" s="70"/>
      <c r="N258" s="70"/>
      <c r="O258" s="70"/>
      <c r="P258" s="70"/>
    </row>
    <row r="259" spans="1:16" hidden="1" outlineLevel="1" x14ac:dyDescent="0.3">
      <c r="A259" s="63" t="s">
        <v>1004</v>
      </c>
      <c r="B259" s="63" t="s">
        <v>855</v>
      </c>
      <c r="C259" s="63" t="str">
        <f t="shared" ref="C259:C301" si="2">C113</f>
        <v>Butte County</v>
      </c>
      <c r="D259" s="471" t="s">
        <v>204</v>
      </c>
      <c r="E259" s="471" t="s">
        <v>204</v>
      </c>
      <c r="F259" s="471" t="s">
        <v>204</v>
      </c>
      <c r="G259" s="471" t="s">
        <v>204</v>
      </c>
      <c r="H259" s="518" t="s">
        <v>204</v>
      </c>
      <c r="I259" s="66"/>
      <c r="J259" s="181"/>
      <c r="K259" s="70"/>
      <c r="L259" s="70"/>
      <c r="M259" s="70"/>
      <c r="N259" s="70"/>
      <c r="O259" s="70"/>
      <c r="P259" s="70"/>
    </row>
    <row r="260" spans="1:16" hidden="1" outlineLevel="1" x14ac:dyDescent="0.3">
      <c r="A260" s="63" t="s">
        <v>1004</v>
      </c>
      <c r="B260" s="63" t="s">
        <v>855</v>
      </c>
      <c r="C260" s="63" t="str">
        <f t="shared" si="2"/>
        <v>City of Folsom</v>
      </c>
      <c r="D260" s="471">
        <f>IFERROR(SUMIFS(uwmp_table_4_2_w!I$2:I$9900,uwmp_table_4_2_w!$G$2:$G$9900,"Single Family",uwmp_table_4_2_w!$B$2:$B$9900,'Contractor Assumptions'!$F7),0) + IFERROR(SUMIFS(uwmp_table_4_2_r!I$2:I$9900,uwmp_table_4_2_r!$G$2:$G$9900,"Single Family",uwmp_table_4_2_r!$B$2:$B$9900,'Contractor Assumptions'!$F7),0)*IFERROR(VLOOKUP(VLOOKUP('Contractor Assumptions'!$F7,uwmp_table_4_2_r!$B$2:$N$9900,13,FALSE),$A$11:$C$13,2,FALSE), VLOOKUP(VLOOKUP('Contractor Assumptions'!$F7,uwmp_table_4_2_w!$B$2:$N$9900,14,FALSE),$A$11:$C$13,2,FALSE))</f>
        <v>9710</v>
      </c>
      <c r="E260" s="471">
        <f>IFERROR(SUMIFS(uwmp_table_4_2_w!J$2:J$9900,uwmp_table_4_2_w!$G$2:$G$9900,"Single Family",uwmp_table_4_2_w!$B$2:$B$9900,'Contractor Assumptions'!$F7),0) + IFERROR(SUMIFS(uwmp_table_4_2_r!J$2:J$9900,uwmp_table_4_2_r!$G$2:$G$9900,"Single Family",uwmp_table_4_2_r!$B$2:$B$9900,'Contractor Assumptions'!$F7),0)*IFERROR(VLOOKUP(VLOOKUP('Contractor Assumptions'!$F7,uwmp_table_4_2_r!$B$2:$N$9900,13,FALSE),$A$11:$C$13,2,FALSE), VLOOKUP(VLOOKUP('Contractor Assumptions'!$F7,uwmp_table_4_2_w!$B$2:$N$9900,14,FALSE),$A$11:$C$13,2,FALSE))</f>
        <v>10587</v>
      </c>
      <c r="F260" s="471">
        <f>IFERROR(SUMIFS(uwmp_table_4_2_w!K$2:K$9900,uwmp_table_4_2_w!$G$2:$G$9900,"Single Family",uwmp_table_4_2_w!$B$2:$B$9900,'Contractor Assumptions'!$F7),0) + IFERROR(SUMIFS(uwmp_table_4_2_r!K$2:K$9900,uwmp_table_4_2_r!$G$2:$G$9900,"Single Family",uwmp_table_4_2_r!$B$2:$B$9900,'Contractor Assumptions'!$F7),0)*IFERROR(VLOOKUP(VLOOKUP('Contractor Assumptions'!$F7,uwmp_table_4_2_r!$B$2:$N$9900,13,FALSE),$A$11:$C$13,2,FALSE), VLOOKUP(VLOOKUP('Contractor Assumptions'!$F7,uwmp_table_4_2_w!$B$2:$N$9900,14,FALSE),$A$11:$C$13,2,FALSE))</f>
        <v>11156</v>
      </c>
      <c r="G260" s="471">
        <f>IFERROR(SUMIFS(uwmp_table_4_2_w!L$2:L$9900,uwmp_table_4_2_w!$G$2:$G$9900,"Single Family",uwmp_table_4_2_w!$B$2:$B$9900,'Contractor Assumptions'!$F7),0) + IFERROR(SUMIFS(uwmp_table_4_2_r!L$2:L$9900,uwmp_table_4_2_r!$G$2:$G$9900,"Single Family",uwmp_table_4_2_r!$B$2:$B$9900,'Contractor Assumptions'!$F7),0)*IFERROR(VLOOKUP(VLOOKUP('Contractor Assumptions'!$F7,uwmp_table_4_2_r!$B$2:$N$9900,13,FALSE),$A$11:$C$13,2,FALSE), VLOOKUP(VLOOKUP('Contractor Assumptions'!$F7,uwmp_table_4_2_w!$B$2:$N$9900,14,FALSE),$A$11:$C$13,2,FALSE))</f>
        <v>11494</v>
      </c>
      <c r="H260" s="518">
        <f>IFERROR(SUMIFS(uwmp_table_4_2_w!M$2:M$9900,uwmp_table_4_2_w!$G$2:$G$9900,"Single Family",uwmp_table_4_2_w!$B$2:$B$9900,'Contractor Assumptions'!$F7),0) + IFERROR(SUMIFS(uwmp_table_4_2_r!M$2:M$9900,uwmp_table_4_2_r!$G$2:$G$9900,"Single Family",uwmp_table_4_2_r!$B$2:$B$9900,'Contractor Assumptions'!$F7),0)*IFERROR(VLOOKUP(VLOOKUP('Contractor Assumptions'!$F7,uwmp_table_4_2_r!$B$2:$N$9900,13,FALSE),$A$11:$C$13,2,FALSE), VLOOKUP(VLOOKUP('Contractor Assumptions'!$F7,uwmp_table_4_2_w!$B$2:$N$9900,14,FALSE),$A$11:$C$13,2,FALSE))</f>
        <v>11498</v>
      </c>
      <c r="I260" s="66" t="s">
        <v>1005</v>
      </c>
      <c r="J260" s="181"/>
      <c r="K260" s="70"/>
      <c r="L260" s="70"/>
      <c r="M260" s="70"/>
      <c r="N260" s="70"/>
      <c r="O260" s="70"/>
      <c r="P260" s="70"/>
    </row>
    <row r="261" spans="1:16" hidden="1" outlineLevel="1" x14ac:dyDescent="0.3">
      <c r="A261" s="63" t="s">
        <v>1004</v>
      </c>
      <c r="B261" s="63" t="s">
        <v>855</v>
      </c>
      <c r="C261" s="63" t="str">
        <f t="shared" si="2"/>
        <v>City of Redding</v>
      </c>
      <c r="D261" s="471">
        <f>IFERROR(SUMIFS(uwmp_table_4_2_w!I$2:I$9900,uwmp_table_4_2_w!$G$2:$G$9900,"Single Family",uwmp_table_4_2_w!$B$2:$B$9900,'Contractor Assumptions'!$F8),0) + IFERROR(SUMIFS(uwmp_table_4_2_r!I$2:I$9900,uwmp_table_4_2_r!$G$2:$G$9900,"Single Family",uwmp_table_4_2_r!$B$2:$B$9900,'Contractor Assumptions'!$F8),0)*IFERROR(VLOOKUP(VLOOKUP('Contractor Assumptions'!$F8,uwmp_table_4_2_r!$B$2:$N$9900,13,FALSE),$A$11:$C$13,2,FALSE), VLOOKUP(VLOOKUP('Contractor Assumptions'!$F8,uwmp_table_4_2_w!$B$2:$N$9900,14,FALSE),$A$11:$C$13,2,FALSE))</f>
        <v>4803</v>
      </c>
      <c r="E261" s="471">
        <f>IFERROR(SUMIFS(uwmp_table_4_2_w!J$2:J$9900,uwmp_table_4_2_w!$G$2:$G$9900,"Single Family",uwmp_table_4_2_w!$B$2:$B$9900,'Contractor Assumptions'!$F8),0) + IFERROR(SUMIFS(uwmp_table_4_2_r!J$2:J$9900,uwmp_table_4_2_r!$G$2:$G$9900,"Single Family",uwmp_table_4_2_r!$B$2:$B$9900,'Contractor Assumptions'!$F8),0)*IFERROR(VLOOKUP(VLOOKUP('Contractor Assumptions'!$F8,uwmp_table_4_2_r!$B$2:$N$9900,13,FALSE),$A$11:$C$13,2,FALSE), VLOOKUP(VLOOKUP('Contractor Assumptions'!$F8,uwmp_table_4_2_w!$B$2:$N$9900,14,FALSE),$A$11:$C$13,2,FALSE))</f>
        <v>4904</v>
      </c>
      <c r="F261" s="471">
        <f>IFERROR(SUMIFS(uwmp_table_4_2_w!K$2:K$9900,uwmp_table_4_2_w!$G$2:$G$9900,"Single Family",uwmp_table_4_2_w!$B$2:$B$9900,'Contractor Assumptions'!$F8),0) + IFERROR(SUMIFS(uwmp_table_4_2_r!K$2:K$9900,uwmp_table_4_2_r!$G$2:$G$9900,"Single Family",uwmp_table_4_2_r!$B$2:$B$9900,'Contractor Assumptions'!$F8),0)*IFERROR(VLOOKUP(VLOOKUP('Contractor Assumptions'!$F8,uwmp_table_4_2_r!$B$2:$N$9900,13,FALSE),$A$11:$C$13,2,FALSE), VLOOKUP(VLOOKUP('Contractor Assumptions'!$F8,uwmp_table_4_2_w!$B$2:$N$9900,14,FALSE),$A$11:$C$13,2,FALSE))</f>
        <v>5007</v>
      </c>
      <c r="G261" s="471">
        <f>IFERROR(SUMIFS(uwmp_table_4_2_w!L$2:L$9900,uwmp_table_4_2_w!$G$2:$G$9900,"Single Family",uwmp_table_4_2_w!$B$2:$B$9900,'Contractor Assumptions'!$F8),0) + IFERROR(SUMIFS(uwmp_table_4_2_r!L$2:L$9900,uwmp_table_4_2_r!$G$2:$G$9900,"Single Family",uwmp_table_4_2_r!$B$2:$B$9900,'Contractor Assumptions'!$F8),0)*IFERROR(VLOOKUP(VLOOKUP('Contractor Assumptions'!$F8,uwmp_table_4_2_r!$B$2:$N$9900,13,FALSE),$A$11:$C$13,2,FALSE), VLOOKUP(VLOOKUP('Contractor Assumptions'!$F8,uwmp_table_4_2_w!$B$2:$N$9900,14,FALSE),$A$11:$C$13,2,FALSE))</f>
        <v>5112</v>
      </c>
      <c r="H261" s="518">
        <f>IFERROR(SUMIFS(uwmp_table_4_2_w!M$2:M$9900,uwmp_table_4_2_w!$G$2:$G$9900,"Single Family",uwmp_table_4_2_w!$B$2:$B$9900,'Contractor Assumptions'!$F8),0) + IFERROR(SUMIFS(uwmp_table_4_2_r!M$2:M$9900,uwmp_table_4_2_r!$G$2:$G$9900,"Single Family",uwmp_table_4_2_r!$B$2:$B$9900,'Contractor Assumptions'!$F8),0)*IFERROR(VLOOKUP(VLOOKUP('Contractor Assumptions'!$F8,uwmp_table_4_2_r!$B$2:$N$9900,13,FALSE),$A$11:$C$13,2,FALSE), VLOOKUP(VLOOKUP('Contractor Assumptions'!$F8,uwmp_table_4_2_w!$B$2:$N$9900,14,FALSE),$A$11:$C$13,2,FALSE))</f>
        <v>5219</v>
      </c>
      <c r="I261" s="66"/>
      <c r="J261" s="70"/>
      <c r="K261" s="70"/>
      <c r="L261" s="70"/>
      <c r="M261" s="70"/>
      <c r="N261" s="70"/>
      <c r="O261" s="70"/>
      <c r="P261" s="70"/>
    </row>
    <row r="262" spans="1:16" hidden="1" outlineLevel="1" x14ac:dyDescent="0.3">
      <c r="A262" s="63" t="s">
        <v>1004</v>
      </c>
      <c r="B262" s="63" t="s">
        <v>855</v>
      </c>
      <c r="C262" s="63" t="str">
        <f t="shared" si="2"/>
        <v>City of Roseville</v>
      </c>
      <c r="D262" s="471">
        <f>IFERROR(SUMIFS(uwmp_table_4_2_w!I$2:I$9900,uwmp_table_4_2_w!$G$2:$G$9900,"Single Family",uwmp_table_4_2_w!$B$2:$B$9900,'Contractor Assumptions'!$F9),0) + IFERROR(SUMIFS(uwmp_table_4_2_r!I$2:I$9900,uwmp_table_4_2_r!$G$2:$G$9900,"Single Family",uwmp_table_4_2_r!$B$2:$B$9900,'Contractor Assumptions'!$F9),0)*IFERROR(VLOOKUP(VLOOKUP('Contractor Assumptions'!$F9,uwmp_table_4_2_r!$B$2:$N$9900,13,FALSE),$A$11:$C$13,2,FALSE), VLOOKUP(VLOOKUP('Contractor Assumptions'!$F9,uwmp_table_4_2_w!$B$2:$N$9900,14,FALSE),$A$11:$C$13,2,FALSE))</f>
        <v>22564</v>
      </c>
      <c r="E262" s="471">
        <f>IFERROR(SUMIFS(uwmp_table_4_2_w!J$2:J$9900,uwmp_table_4_2_w!$G$2:$G$9900,"Single Family",uwmp_table_4_2_w!$B$2:$B$9900,'Contractor Assumptions'!$F9),0) + IFERROR(SUMIFS(uwmp_table_4_2_r!J$2:J$9900,uwmp_table_4_2_r!$G$2:$G$9900,"Single Family",uwmp_table_4_2_r!$B$2:$B$9900,'Contractor Assumptions'!$F9),0)*IFERROR(VLOOKUP(VLOOKUP('Contractor Assumptions'!$F9,uwmp_table_4_2_r!$B$2:$N$9900,13,FALSE),$A$11:$C$13,2,FALSE), VLOOKUP(VLOOKUP('Contractor Assumptions'!$F9,uwmp_table_4_2_w!$B$2:$N$9900,14,FALSE),$A$11:$C$13,2,FALSE))</f>
        <v>24508</v>
      </c>
      <c r="F262" s="471">
        <f>IFERROR(SUMIFS(uwmp_table_4_2_w!K$2:K$9900,uwmp_table_4_2_w!$G$2:$G$9900,"Single Family",uwmp_table_4_2_w!$B$2:$B$9900,'Contractor Assumptions'!$F9),0) + IFERROR(SUMIFS(uwmp_table_4_2_r!K$2:K$9900,uwmp_table_4_2_r!$G$2:$G$9900,"Single Family",uwmp_table_4_2_r!$B$2:$B$9900,'Contractor Assumptions'!$F9),0)*IFERROR(VLOOKUP(VLOOKUP('Contractor Assumptions'!$F9,uwmp_table_4_2_r!$B$2:$N$9900,13,FALSE),$A$11:$C$13,2,FALSE), VLOOKUP(VLOOKUP('Contractor Assumptions'!$F9,uwmp_table_4_2_w!$B$2:$N$9900,14,FALSE),$A$11:$C$13,2,FALSE))</f>
        <v>26281</v>
      </c>
      <c r="G262" s="471">
        <f>IFERROR(SUMIFS(uwmp_table_4_2_w!L$2:L$9900,uwmp_table_4_2_w!$G$2:$G$9900,"Single Family",uwmp_table_4_2_w!$B$2:$B$9900,'Contractor Assumptions'!$F9),0) + IFERROR(SUMIFS(uwmp_table_4_2_r!L$2:L$9900,uwmp_table_4_2_r!$G$2:$G$9900,"Single Family",uwmp_table_4_2_r!$B$2:$B$9900,'Contractor Assumptions'!$F9),0)*IFERROR(VLOOKUP(VLOOKUP('Contractor Assumptions'!$F9,uwmp_table_4_2_r!$B$2:$N$9900,13,FALSE),$A$11:$C$13,2,FALSE), VLOOKUP(VLOOKUP('Contractor Assumptions'!$F9,uwmp_table_4_2_w!$B$2:$N$9900,14,FALSE),$A$11:$C$13,2,FALSE))</f>
        <v>26281</v>
      </c>
      <c r="H262" s="518">
        <f>IFERROR(SUMIFS(uwmp_table_4_2_w!M$2:M$9900,uwmp_table_4_2_w!$G$2:$G$9900,"Single Family",uwmp_table_4_2_w!$B$2:$B$9900,'Contractor Assumptions'!$F9),0) + IFERROR(SUMIFS(uwmp_table_4_2_r!M$2:M$9900,uwmp_table_4_2_r!$G$2:$G$9900,"Single Family",uwmp_table_4_2_r!$B$2:$B$9900,'Contractor Assumptions'!$F9),0)*IFERROR(VLOOKUP(VLOOKUP('Contractor Assumptions'!$F9,uwmp_table_4_2_r!$B$2:$N$9900,13,FALSE),$A$11:$C$13,2,FALSE), VLOOKUP(VLOOKUP('Contractor Assumptions'!$F9,uwmp_table_4_2_w!$B$2:$N$9900,14,FALSE),$A$11:$C$13,2,FALSE))</f>
        <v>26281</v>
      </c>
      <c r="I262" s="66" t="s">
        <v>1006</v>
      </c>
      <c r="J262" s="70"/>
      <c r="K262" s="70"/>
      <c r="L262" s="70"/>
      <c r="M262" s="70"/>
      <c r="N262" s="70"/>
      <c r="O262" s="70"/>
      <c r="P262" s="70"/>
    </row>
    <row r="263" spans="1:16" hidden="1" outlineLevel="1" x14ac:dyDescent="0.3">
      <c r="A263" s="63" t="s">
        <v>1004</v>
      </c>
      <c r="B263" s="63" t="s">
        <v>855</v>
      </c>
      <c r="C263" s="63" t="str">
        <f t="shared" si="2"/>
        <v>City of West Sacramento</v>
      </c>
      <c r="D263" s="471">
        <f>IFERROR(SUMIFS(uwmp_table_4_2_w!I$2:I$9900,uwmp_table_4_2_w!$G$2:$G$9900,"Single Family",uwmp_table_4_2_w!$B$2:$B$9900,'Contractor Assumptions'!$F10),0) + IFERROR(SUMIFS(uwmp_table_4_2_r!I$2:I$9900,uwmp_table_4_2_r!$G$2:$G$9900,"Single Family",uwmp_table_4_2_r!$B$2:$B$9900,'Contractor Assumptions'!$F10),0)*IFERROR(VLOOKUP(VLOOKUP('Contractor Assumptions'!$F10,uwmp_table_4_2_r!$B$2:$N$9900,13,FALSE),$A$11:$C$13,2,FALSE), VLOOKUP(VLOOKUP('Contractor Assumptions'!$F10,uwmp_table_4_2_w!$B$2:$N$9900,14,FALSE),$A$11:$C$13,2,FALSE))</f>
        <v>5870</v>
      </c>
      <c r="E263" s="471">
        <f>IFERROR(SUMIFS(uwmp_table_4_2_w!J$2:J$9900,uwmp_table_4_2_w!$G$2:$G$9900,"Single Family",uwmp_table_4_2_w!$B$2:$B$9900,'Contractor Assumptions'!$F10),0) + IFERROR(SUMIFS(uwmp_table_4_2_r!J$2:J$9900,uwmp_table_4_2_r!$G$2:$G$9900,"Single Family",uwmp_table_4_2_r!$B$2:$B$9900,'Contractor Assumptions'!$F10),0)*IFERROR(VLOOKUP(VLOOKUP('Contractor Assumptions'!$F10,uwmp_table_4_2_r!$B$2:$N$9900,13,FALSE),$A$11:$C$13,2,FALSE), VLOOKUP(VLOOKUP('Contractor Assumptions'!$F10,uwmp_table_4_2_w!$B$2:$N$9900,14,FALSE),$A$11:$C$13,2,FALSE))</f>
        <v>6640</v>
      </c>
      <c r="F263" s="471">
        <f>IFERROR(SUMIFS(uwmp_table_4_2_w!K$2:K$9900,uwmp_table_4_2_w!$G$2:$G$9900,"Single Family",uwmp_table_4_2_w!$B$2:$B$9900,'Contractor Assumptions'!$F10),0) + IFERROR(SUMIFS(uwmp_table_4_2_r!K$2:K$9900,uwmp_table_4_2_r!$G$2:$G$9900,"Single Family",uwmp_table_4_2_r!$B$2:$B$9900,'Contractor Assumptions'!$F10),0)*IFERROR(VLOOKUP(VLOOKUP('Contractor Assumptions'!$F10,uwmp_table_4_2_r!$B$2:$N$9900,13,FALSE),$A$11:$C$13,2,FALSE), VLOOKUP(VLOOKUP('Contractor Assumptions'!$F10,uwmp_table_4_2_w!$B$2:$N$9900,14,FALSE),$A$11:$C$13,2,FALSE))</f>
        <v>7230</v>
      </c>
      <c r="G263" s="471">
        <f>IFERROR(SUMIFS(uwmp_table_4_2_w!L$2:L$9900,uwmp_table_4_2_w!$G$2:$G$9900,"Single Family",uwmp_table_4_2_w!$B$2:$B$9900,'Contractor Assumptions'!$F10),0) + IFERROR(SUMIFS(uwmp_table_4_2_r!L$2:L$9900,uwmp_table_4_2_r!$G$2:$G$9900,"Single Family",uwmp_table_4_2_r!$B$2:$B$9900,'Contractor Assumptions'!$F10),0)*IFERROR(VLOOKUP(VLOOKUP('Contractor Assumptions'!$F10,uwmp_table_4_2_r!$B$2:$N$9900,13,FALSE),$A$11:$C$13,2,FALSE), VLOOKUP(VLOOKUP('Contractor Assumptions'!$F10,uwmp_table_4_2_w!$B$2:$N$9900,14,FALSE),$A$11:$C$13,2,FALSE))</f>
        <v>7530</v>
      </c>
      <c r="H263" s="518">
        <f>IFERROR(SUMIFS(uwmp_table_4_2_w!M$2:M$9900,uwmp_table_4_2_w!$G$2:$G$9900,"Single Family",uwmp_table_4_2_w!$B$2:$B$9900,'Contractor Assumptions'!$F10),0) + IFERROR(SUMIFS(uwmp_table_4_2_r!M$2:M$9900,uwmp_table_4_2_r!$G$2:$G$9900,"Single Family",uwmp_table_4_2_r!$B$2:$B$9900,'Contractor Assumptions'!$F10),0)*IFERROR(VLOOKUP(VLOOKUP('Contractor Assumptions'!$F10,uwmp_table_4_2_r!$B$2:$N$9900,13,FALSE),$A$11:$C$13,2,FALSE), VLOOKUP(VLOOKUP('Contractor Assumptions'!$F10,uwmp_table_4_2_w!$B$2:$N$9900,14,FALSE),$A$11:$C$13,2,FALSE))</f>
        <v>8640</v>
      </c>
      <c r="I263" s="66"/>
      <c r="J263" s="70"/>
      <c r="K263" s="70"/>
      <c r="L263" s="70"/>
      <c r="M263" s="70"/>
      <c r="N263" s="70"/>
      <c r="O263" s="70"/>
      <c r="P263" s="70"/>
    </row>
    <row r="264" spans="1:16" hidden="1" outlineLevel="1" x14ac:dyDescent="0.3">
      <c r="A264" s="63" t="s">
        <v>1004</v>
      </c>
      <c r="B264" s="63" t="s">
        <v>855</v>
      </c>
      <c r="C264" s="63" t="str">
        <f t="shared" si="2"/>
        <v>Yuba City</v>
      </c>
      <c r="D264" s="471">
        <f>7050+200</f>
        <v>7250</v>
      </c>
      <c r="E264" s="471">
        <f>7050+470</f>
        <v>7520</v>
      </c>
      <c r="F264" s="471">
        <f>7050+810</f>
        <v>7860</v>
      </c>
      <c r="G264" s="471">
        <f>7050+1220</f>
        <v>8270</v>
      </c>
      <c r="H264" s="518">
        <f>7050+1630</f>
        <v>8680</v>
      </c>
      <c r="I264" s="66" t="s">
        <v>1007</v>
      </c>
      <c r="J264" s="70"/>
      <c r="K264" s="70"/>
      <c r="L264" s="70"/>
      <c r="M264" s="70"/>
      <c r="N264" s="70"/>
      <c r="O264" s="70"/>
      <c r="P264" s="70"/>
    </row>
    <row r="265" spans="1:16" hidden="1" outlineLevel="1" x14ac:dyDescent="0.3">
      <c r="A265" s="63" t="s">
        <v>1004</v>
      </c>
      <c r="B265" s="63" t="s">
        <v>855</v>
      </c>
      <c r="C265" s="63" t="str">
        <f t="shared" si="2"/>
        <v>El Dorado Irrigation District</v>
      </c>
      <c r="D265" s="471">
        <f>14400 +840 + 2450</f>
        <v>17690</v>
      </c>
      <c r="E265" s="471">
        <f>14400 +840 + 2450</f>
        <v>17690</v>
      </c>
      <c r="F265" s="471">
        <f>14400 +840 + 2450</f>
        <v>17690</v>
      </c>
      <c r="G265" s="471">
        <f>14400 +840 + 2450</f>
        <v>17690</v>
      </c>
      <c r="H265" s="518">
        <f>14400 +840 + 2450</f>
        <v>17690</v>
      </c>
      <c r="I265" s="66" t="s">
        <v>1008</v>
      </c>
      <c r="J265" s="70"/>
      <c r="K265" s="70"/>
      <c r="L265" s="70"/>
      <c r="M265" s="70"/>
      <c r="N265" s="70"/>
      <c r="O265" s="70"/>
      <c r="P265" s="70"/>
    </row>
    <row r="266" spans="1:16" hidden="1" outlineLevel="1" x14ac:dyDescent="0.3">
      <c r="A266" s="63" t="s">
        <v>1004</v>
      </c>
      <c r="B266" s="63" t="s">
        <v>855</v>
      </c>
      <c r="C266" s="63" t="str">
        <f t="shared" si="2"/>
        <v>Napa County Flood Control &amp; Water Conservation District</v>
      </c>
      <c r="D266" s="471" t="s">
        <v>204</v>
      </c>
      <c r="E266" s="471" t="s">
        <v>204</v>
      </c>
      <c r="F266" s="471" t="s">
        <v>204</v>
      </c>
      <c r="G266" s="471" t="s">
        <v>204</v>
      </c>
      <c r="H266" s="518" t="s">
        <v>204</v>
      </c>
      <c r="I266" s="66"/>
      <c r="J266" s="70"/>
      <c r="K266" s="70"/>
      <c r="L266" s="70"/>
      <c r="M266" s="70"/>
      <c r="N266" s="70"/>
      <c r="O266" s="70"/>
      <c r="P266" s="70"/>
    </row>
    <row r="267" spans="1:16" hidden="1" outlineLevel="1" x14ac:dyDescent="0.3">
      <c r="A267" s="63" t="s">
        <v>1004</v>
      </c>
      <c r="B267" s="63" t="s">
        <v>855</v>
      </c>
      <c r="C267" s="63" t="str">
        <f t="shared" si="2"/>
        <v>Placer County Water Agency</v>
      </c>
      <c r="D267" s="471">
        <f>IFERROR(SUMIFS(uwmp_table_4_2_w!I$2:I$9900,uwmp_table_4_2_w!$G$2:$G$9900,"Single Family",uwmp_table_4_2_w!$B$2:$B$9900,'Contractor Assumptions'!$F14),0) + IFERROR(SUMIFS(uwmp_table_4_2_r!I$2:I$9900,uwmp_table_4_2_r!$G$2:$G$9900,"Single Family",uwmp_table_4_2_r!$B$2:$B$9900,'Contractor Assumptions'!$F14),0)*IFERROR(VLOOKUP(VLOOKUP('Contractor Assumptions'!$F14,uwmp_table_4_2_r!$B$2:$N$9900,13,FALSE),$A$11:$C$13,2,FALSE), VLOOKUP(VLOOKUP('Contractor Assumptions'!$F14,uwmp_table_4_2_w!$B$2:$N$9900,14,FALSE),$A$11:$C$13,2,FALSE))</f>
        <v>19159</v>
      </c>
      <c r="E267" s="471">
        <f>IFERROR(SUMIFS(uwmp_table_4_2_w!J$2:J$9900,uwmp_table_4_2_w!$G$2:$G$9900,"Single Family",uwmp_table_4_2_w!$B$2:$B$9900,'Contractor Assumptions'!$F14),0) + IFERROR(SUMIFS(uwmp_table_4_2_r!J$2:J$9900,uwmp_table_4_2_r!$G$2:$G$9900,"Single Family",uwmp_table_4_2_r!$B$2:$B$9900,'Contractor Assumptions'!$F14),0)*IFERROR(VLOOKUP(VLOOKUP('Contractor Assumptions'!$F14,uwmp_table_4_2_r!$B$2:$N$9900,13,FALSE),$A$11:$C$13,2,FALSE), VLOOKUP(VLOOKUP('Contractor Assumptions'!$F14,uwmp_table_4_2_w!$B$2:$N$9900,14,FALSE),$A$11:$C$13,2,FALSE))</f>
        <v>22100</v>
      </c>
      <c r="F267" s="471">
        <f>IFERROR(SUMIFS(uwmp_table_4_2_w!K$2:K$9900,uwmp_table_4_2_w!$G$2:$G$9900,"Single Family",uwmp_table_4_2_w!$B$2:$B$9900,'Contractor Assumptions'!$F14),0) + IFERROR(SUMIFS(uwmp_table_4_2_r!K$2:K$9900,uwmp_table_4_2_r!$G$2:$G$9900,"Single Family",uwmp_table_4_2_r!$B$2:$B$9900,'Contractor Assumptions'!$F14),0)*IFERROR(VLOOKUP(VLOOKUP('Contractor Assumptions'!$F14,uwmp_table_4_2_r!$B$2:$N$9900,13,FALSE),$A$11:$C$13,2,FALSE), VLOOKUP(VLOOKUP('Contractor Assumptions'!$F14,uwmp_table_4_2_w!$B$2:$N$9900,14,FALSE),$A$11:$C$13,2,FALSE))</f>
        <v>25493</v>
      </c>
      <c r="G267" s="471">
        <f>IFERROR(SUMIFS(uwmp_table_4_2_w!L$2:L$9900,uwmp_table_4_2_w!$G$2:$G$9900,"Single Family",uwmp_table_4_2_w!$B$2:$B$9900,'Contractor Assumptions'!$F14),0) + IFERROR(SUMIFS(uwmp_table_4_2_r!L$2:L$9900,uwmp_table_4_2_r!$G$2:$G$9900,"Single Family",uwmp_table_4_2_r!$B$2:$B$9900,'Contractor Assumptions'!$F14),0)*IFERROR(VLOOKUP(VLOOKUP('Contractor Assumptions'!$F14,uwmp_table_4_2_r!$B$2:$N$9900,13,FALSE),$A$11:$C$13,2,FALSE), VLOOKUP(VLOOKUP('Contractor Assumptions'!$F14,uwmp_table_4_2_w!$B$2:$N$9900,14,FALSE),$A$11:$C$13,2,FALSE))</f>
        <v>29408</v>
      </c>
      <c r="H267" s="518">
        <f>119+30915</f>
        <v>31034</v>
      </c>
      <c r="I267" s="66" t="s">
        <v>1009</v>
      </c>
      <c r="J267" s="70"/>
      <c r="K267" s="70"/>
      <c r="L267" s="70"/>
      <c r="M267" s="70"/>
      <c r="N267" s="70"/>
      <c r="O267" s="70"/>
      <c r="P267" s="70"/>
    </row>
    <row r="268" spans="1:16" hidden="1" outlineLevel="1" x14ac:dyDescent="0.3">
      <c r="A268" s="63" t="s">
        <v>1004</v>
      </c>
      <c r="B268" s="63" t="s">
        <v>855</v>
      </c>
      <c r="C268" s="63" t="str">
        <f t="shared" si="2"/>
        <v>Sacramento County Water Agency</v>
      </c>
      <c r="D268" s="471">
        <f>22988+ 3255 + 2221+22+36+6</f>
        <v>28528</v>
      </c>
      <c r="E268" s="471">
        <f>22957+ 6510 + 2170+22+36+6</f>
        <v>31701</v>
      </c>
      <c r="F268" s="471">
        <f>22925+ 9765 +2102+22+36+6</f>
        <v>34856</v>
      </c>
      <c r="G268" s="471">
        <f>22894+12365+2034+22+36+6</f>
        <v>37357</v>
      </c>
      <c r="H268" s="518">
        <f>22862+14965+2017+22+36+6</f>
        <v>39908</v>
      </c>
      <c r="I268" s="66" t="s">
        <v>1010</v>
      </c>
      <c r="J268" s="70"/>
      <c r="K268" s="70"/>
      <c r="L268" s="70"/>
      <c r="M268" s="70"/>
      <c r="N268" s="70"/>
      <c r="O268" s="70"/>
      <c r="P268" s="70"/>
    </row>
    <row r="269" spans="1:16" hidden="1" outlineLevel="1" x14ac:dyDescent="0.3">
      <c r="A269" s="63" t="s">
        <v>1004</v>
      </c>
      <c r="B269" s="63" t="s">
        <v>855</v>
      </c>
      <c r="C269" s="63" t="str">
        <f t="shared" si="2"/>
        <v>San Juan Water District</v>
      </c>
      <c r="D269" s="471">
        <v>35935</v>
      </c>
      <c r="E269" s="471">
        <v>36261</v>
      </c>
      <c r="F269" s="471">
        <v>35534</v>
      </c>
      <c r="G269" s="471">
        <v>35994</v>
      </c>
      <c r="H269" s="518">
        <v>36433</v>
      </c>
      <c r="I269" s="66" t="s">
        <v>1011</v>
      </c>
      <c r="J269" s="70"/>
      <c r="K269" s="70"/>
      <c r="L269" s="70"/>
      <c r="M269" s="70"/>
      <c r="N269" s="70"/>
      <c r="O269" s="70"/>
      <c r="P269" s="70"/>
    </row>
    <row r="270" spans="1:16" hidden="1" outlineLevel="1" x14ac:dyDescent="0.3">
      <c r="A270" s="63" t="s">
        <v>1004</v>
      </c>
      <c r="B270" s="63" t="s">
        <v>855</v>
      </c>
      <c r="C270" s="63" t="str">
        <f t="shared" si="2"/>
        <v>Shasta Contractors</v>
      </c>
      <c r="D270" s="471" t="s">
        <v>204</v>
      </c>
      <c r="E270" s="471" t="s">
        <v>204</v>
      </c>
      <c r="F270" s="471" t="s">
        <v>204</v>
      </c>
      <c r="G270" s="471" t="s">
        <v>204</v>
      </c>
      <c r="H270" s="518" t="s">
        <v>204</v>
      </c>
      <c r="I270" s="66"/>
      <c r="J270" s="70"/>
      <c r="K270" s="70"/>
      <c r="L270" s="70"/>
      <c r="M270" s="70"/>
      <c r="N270" s="70"/>
      <c r="O270" s="70"/>
      <c r="P270" s="70"/>
    </row>
    <row r="271" spans="1:16" hidden="1" outlineLevel="1" x14ac:dyDescent="0.3">
      <c r="A271" s="63" t="s">
        <v>1004</v>
      </c>
      <c r="B271" s="63" t="s">
        <v>855</v>
      </c>
      <c r="C271" s="63" t="str">
        <f t="shared" si="2"/>
        <v>Solano County Water Agency</v>
      </c>
      <c r="D271" s="471" t="s">
        <v>204</v>
      </c>
      <c r="E271" s="471" t="s">
        <v>204</v>
      </c>
      <c r="F271" s="471" t="s">
        <v>204</v>
      </c>
      <c r="G271" s="471" t="s">
        <v>204</v>
      </c>
      <c r="H271" s="518" t="s">
        <v>204</v>
      </c>
      <c r="I271" s="66"/>
      <c r="J271" s="70"/>
      <c r="K271" s="70"/>
      <c r="L271" s="70"/>
      <c r="M271" s="70"/>
      <c r="N271" s="70"/>
      <c r="O271" s="70"/>
      <c r="P271" s="70"/>
    </row>
    <row r="272" spans="1:16" hidden="1" outlineLevel="1" x14ac:dyDescent="0.3">
      <c r="A272" s="63" t="s">
        <v>1004</v>
      </c>
      <c r="B272" s="63" t="s">
        <v>894</v>
      </c>
      <c r="C272" s="63" t="str">
        <f t="shared" si="2"/>
        <v>City of Avenal</v>
      </c>
      <c r="D272" s="471" t="s">
        <v>204</v>
      </c>
      <c r="E272" s="471" t="s">
        <v>204</v>
      </c>
      <c r="F272" s="471" t="s">
        <v>204</v>
      </c>
      <c r="G272" s="471" t="s">
        <v>204</v>
      </c>
      <c r="H272" s="518" t="s">
        <v>204</v>
      </c>
      <c r="I272" s="66"/>
      <c r="J272" s="70"/>
      <c r="K272" s="70"/>
      <c r="L272" s="70"/>
      <c r="M272" s="70"/>
      <c r="N272" s="70"/>
      <c r="O272" s="70"/>
      <c r="P272" s="70"/>
    </row>
    <row r="273" spans="1:16" hidden="1" outlineLevel="1" x14ac:dyDescent="0.3">
      <c r="A273" s="63" t="s">
        <v>1004</v>
      </c>
      <c r="B273" s="63" t="s">
        <v>894</v>
      </c>
      <c r="C273" s="63" t="str">
        <f t="shared" si="2"/>
        <v>City of Coalinga</v>
      </c>
      <c r="D273" s="471">
        <f>IFERROR(SUMIFS(uwmp_table_4_2_w!I$2:I$9900,uwmp_table_4_2_w!$G$2:$G$9900,"Single Family",uwmp_table_4_2_w!$B$2:$B$9900,'Contractor Assumptions'!$F20),0) + IFERROR(SUMIFS(uwmp_table_4_2_r!I$2:I$9900,uwmp_table_4_2_r!$G$2:$G$9900,"Single Family",uwmp_table_4_2_r!$B$2:$B$9900,'Contractor Assumptions'!$F20),0)*IFERROR(VLOOKUP(VLOOKUP('Contractor Assumptions'!$F20,uwmp_table_4_2_r!$B$2:$N$9900,13,FALSE),$A$11:$C$13,2,FALSE), VLOOKUP(VLOOKUP('Contractor Assumptions'!$F20,uwmp_table_4_2_w!$B$2:$N$9900,14,FALSE),$A$11:$C$13,2,FALSE))</f>
        <v>1890.4349155999998</v>
      </c>
      <c r="E273" s="471">
        <f>IFERROR(SUMIFS(uwmp_table_4_2_w!J$2:J$9900,uwmp_table_4_2_w!$G$2:$G$9900,"Single Family",uwmp_table_4_2_w!$B$2:$B$9900,'Contractor Assumptions'!$F20),0) + IFERROR(SUMIFS(uwmp_table_4_2_r!J$2:J$9900,uwmp_table_4_2_r!$G$2:$G$9900,"Single Family",uwmp_table_4_2_r!$B$2:$B$9900,'Contractor Assumptions'!$F20),0)*IFERROR(VLOOKUP(VLOOKUP('Contractor Assumptions'!$F20,uwmp_table_4_2_r!$B$2:$N$9900,13,FALSE),$A$11:$C$13,2,FALSE), VLOOKUP(VLOOKUP('Contractor Assumptions'!$F20,uwmp_table_4_2_w!$B$2:$N$9900,14,FALSE),$A$11:$C$13,2,FALSE))</f>
        <v>2148.2214949999998</v>
      </c>
      <c r="F273" s="471">
        <f>IFERROR(SUMIFS(uwmp_table_4_2_w!K$2:K$9900,uwmp_table_4_2_w!$G$2:$G$9900,"Single Family",uwmp_table_4_2_w!$B$2:$B$9900,'Contractor Assumptions'!$F20),0) + IFERROR(SUMIFS(uwmp_table_4_2_r!K$2:K$9900,uwmp_table_4_2_r!$G$2:$G$9900,"Single Family",uwmp_table_4_2_r!$B$2:$B$9900,'Contractor Assumptions'!$F20),0)*IFERROR(VLOOKUP(VLOOKUP('Contractor Assumptions'!$F20,uwmp_table_4_2_r!$B$2:$N$9900,13,FALSE),$A$11:$C$13,2,FALSE), VLOOKUP(VLOOKUP('Contractor Assumptions'!$F20,uwmp_table_4_2_w!$B$2:$N$9900,14,FALSE),$A$11:$C$13,2,FALSE))</f>
        <v>2439.7658407499998</v>
      </c>
      <c r="G273" s="471">
        <f>IFERROR(SUMIFS(uwmp_table_4_2_w!L$2:L$9900,uwmp_table_4_2_w!$G$2:$G$9900,"Single Family",uwmp_table_4_2_w!$B$2:$B$9900,'Contractor Assumptions'!$F20),0) + IFERROR(SUMIFS(uwmp_table_4_2_r!L$2:L$9900,uwmp_table_4_2_r!$G$2:$G$9900,"Single Family",uwmp_table_4_2_r!$B$2:$B$9900,'Contractor Assumptions'!$F20),0)*IFERROR(VLOOKUP(VLOOKUP('Contractor Assumptions'!$F20,uwmp_table_4_2_r!$B$2:$N$9900,13,FALSE),$A$11:$C$13,2,FALSE), VLOOKUP(VLOOKUP('Contractor Assumptions'!$F20,uwmp_table_4_2_w!$B$2:$N$9900,14,FALSE),$A$11:$C$13,2,FALSE))</f>
        <v>2768.1368407</v>
      </c>
      <c r="H273" s="518">
        <f>IFERROR(SUMIFS(uwmp_table_4_2_w!M$2:M$9900,uwmp_table_4_2_w!$G$2:$G$9900,"Single Family",uwmp_table_4_2_w!$B$2:$B$9900,'Contractor Assumptions'!$F20),0) + IFERROR(SUMIFS(uwmp_table_4_2_r!M$2:M$9900,uwmp_table_4_2_r!$G$2:$G$9900,"Single Family",uwmp_table_4_2_r!$B$2:$B$9900,'Contractor Assumptions'!$F20),0)*IFERROR(VLOOKUP(VLOOKUP('Contractor Assumptions'!$F20,uwmp_table_4_2_r!$B$2:$N$9900,13,FALSE),$A$11:$C$13,2,FALSE), VLOOKUP(VLOOKUP('Contractor Assumptions'!$F20,uwmp_table_4_2_w!$B$2:$N$9900,14,FALSE),$A$11:$C$13,2,FALSE))</f>
        <v>0</v>
      </c>
      <c r="I273" s="66"/>
      <c r="J273" s="70"/>
      <c r="K273" s="70"/>
      <c r="L273" s="70"/>
      <c r="M273" s="70"/>
      <c r="N273" s="70"/>
      <c r="O273" s="70"/>
      <c r="P273" s="70"/>
    </row>
    <row r="274" spans="1:16" hidden="1" outlineLevel="1" x14ac:dyDescent="0.3">
      <c r="A274" s="63" t="s">
        <v>1004</v>
      </c>
      <c r="B274" s="63" t="s">
        <v>894</v>
      </c>
      <c r="C274" s="63" t="str">
        <f t="shared" si="2"/>
        <v>City of Fresno</v>
      </c>
      <c r="D274" s="471">
        <f>IFERROR(SUMIFS(uwmp_table_4_2_w!I$2:I$9900,uwmp_table_4_2_w!$G$2:$G$9900,"Single Family",uwmp_table_4_2_w!$B$2:$B$9900,'Contractor Assumptions'!$F21),0) + IFERROR(SUMIFS(uwmp_table_4_2_r!I$2:I$9900,uwmp_table_4_2_r!$G$2:$G$9900,"Single Family",uwmp_table_4_2_r!$B$2:$B$9900,'Contractor Assumptions'!$F21),0)*IFERROR(VLOOKUP(VLOOKUP('Contractor Assumptions'!$F21,uwmp_table_4_2_r!$B$2:$N$9900,13,FALSE),$A$11:$C$13,2,FALSE), VLOOKUP(VLOOKUP('Contractor Assumptions'!$F21,uwmp_table_4_2_w!$B$2:$N$9900,14,FALSE),$A$11:$C$13,2,FALSE))</f>
        <v>76255</v>
      </c>
      <c r="E274" s="471">
        <f>IFERROR(SUMIFS(uwmp_table_4_2_w!J$2:J$9900,uwmp_table_4_2_w!$G$2:$G$9900,"Single Family",uwmp_table_4_2_w!$B$2:$B$9900,'Contractor Assumptions'!$F21),0) + IFERROR(SUMIFS(uwmp_table_4_2_r!J$2:J$9900,uwmp_table_4_2_r!$G$2:$G$9900,"Single Family",uwmp_table_4_2_r!$B$2:$B$9900,'Contractor Assumptions'!$F21),0)*IFERROR(VLOOKUP(VLOOKUP('Contractor Assumptions'!$F21,uwmp_table_4_2_r!$B$2:$N$9900,13,FALSE),$A$11:$C$13,2,FALSE), VLOOKUP(VLOOKUP('Contractor Assumptions'!$F21,uwmp_table_4_2_w!$B$2:$N$9900,14,FALSE),$A$11:$C$13,2,FALSE))</f>
        <v>80429</v>
      </c>
      <c r="F274" s="471">
        <f>IFERROR(SUMIFS(uwmp_table_4_2_w!K$2:K$9900,uwmp_table_4_2_w!$G$2:$G$9900,"Single Family",uwmp_table_4_2_w!$B$2:$B$9900,'Contractor Assumptions'!$F21),0) + IFERROR(SUMIFS(uwmp_table_4_2_r!K$2:K$9900,uwmp_table_4_2_r!$G$2:$G$9900,"Single Family",uwmp_table_4_2_r!$B$2:$B$9900,'Contractor Assumptions'!$F21),0)*IFERROR(VLOOKUP(VLOOKUP('Contractor Assumptions'!$F21,uwmp_table_4_2_r!$B$2:$N$9900,13,FALSE),$A$11:$C$13,2,FALSE), VLOOKUP(VLOOKUP('Contractor Assumptions'!$F21,uwmp_table_4_2_w!$B$2:$N$9900,14,FALSE),$A$11:$C$13,2,FALSE))</f>
        <v>82934</v>
      </c>
      <c r="G274" s="471">
        <f>IFERROR(SUMIFS(uwmp_table_4_2_w!L$2:L$9900,uwmp_table_4_2_w!$G$2:$G$9900,"Single Family",uwmp_table_4_2_w!$B$2:$B$9900,'Contractor Assumptions'!$F21),0) + IFERROR(SUMIFS(uwmp_table_4_2_r!L$2:L$9900,uwmp_table_4_2_r!$G$2:$G$9900,"Single Family",uwmp_table_4_2_r!$B$2:$B$9900,'Contractor Assumptions'!$F21),0)*IFERROR(VLOOKUP(VLOOKUP('Contractor Assumptions'!$F21,uwmp_table_4_2_r!$B$2:$N$9900,13,FALSE),$A$11:$C$13,2,FALSE), VLOOKUP(VLOOKUP('Contractor Assumptions'!$F21,uwmp_table_4_2_w!$B$2:$N$9900,14,FALSE),$A$11:$C$13,2,FALSE))</f>
        <v>85437</v>
      </c>
      <c r="H274" s="518">
        <f>IFERROR(SUMIFS(uwmp_table_4_2_w!M$2:M$9900,uwmp_table_4_2_w!$G$2:$G$9900,"Single Family",uwmp_table_4_2_w!$B$2:$B$9900,'Contractor Assumptions'!$F21),0) + IFERROR(SUMIFS(uwmp_table_4_2_r!M$2:M$9900,uwmp_table_4_2_r!$G$2:$G$9900,"Single Family",uwmp_table_4_2_r!$B$2:$B$9900,'Contractor Assumptions'!$F21),0)*IFERROR(VLOOKUP(VLOOKUP('Contractor Assumptions'!$F21,uwmp_table_4_2_r!$B$2:$N$9900,13,FALSE),$A$11:$C$13,2,FALSE), VLOOKUP(VLOOKUP('Contractor Assumptions'!$F21,uwmp_table_4_2_w!$B$2:$N$9900,14,FALSE),$A$11:$C$13,2,FALSE))</f>
        <v>87936</v>
      </c>
      <c r="I274" s="66"/>
      <c r="J274" s="70"/>
      <c r="K274" s="70"/>
      <c r="L274" s="70"/>
      <c r="M274" s="70"/>
      <c r="N274" s="70"/>
      <c r="O274" s="70"/>
      <c r="P274" s="70"/>
    </row>
    <row r="275" spans="1:16" hidden="1" outlineLevel="1" x14ac:dyDescent="0.3">
      <c r="A275" s="63" t="s">
        <v>1004</v>
      </c>
      <c r="B275" s="63" t="s">
        <v>894</v>
      </c>
      <c r="C275" s="63" t="str">
        <f t="shared" si="2"/>
        <v>City of Huron</v>
      </c>
      <c r="D275" s="471" t="s">
        <v>204</v>
      </c>
      <c r="E275" s="471" t="s">
        <v>204</v>
      </c>
      <c r="F275" s="471" t="s">
        <v>204</v>
      </c>
      <c r="G275" s="471" t="s">
        <v>204</v>
      </c>
      <c r="H275" s="518" t="s">
        <v>204</v>
      </c>
      <c r="I275" s="66"/>
      <c r="J275" s="70"/>
      <c r="K275" s="70"/>
      <c r="L275" s="70"/>
      <c r="M275" s="70"/>
      <c r="N275" s="70"/>
      <c r="O275" s="70"/>
      <c r="P275" s="70"/>
    </row>
    <row r="276" spans="1:16" hidden="1" outlineLevel="1" x14ac:dyDescent="0.3">
      <c r="A276" s="63" t="s">
        <v>1004</v>
      </c>
      <c r="B276" s="63" t="s">
        <v>894</v>
      </c>
      <c r="C276" s="63" t="str">
        <f t="shared" si="2"/>
        <v>City of Lindsay</v>
      </c>
      <c r="D276" s="471" t="s">
        <v>204</v>
      </c>
      <c r="E276" s="471" t="s">
        <v>204</v>
      </c>
      <c r="F276" s="471" t="s">
        <v>204</v>
      </c>
      <c r="G276" s="471" t="s">
        <v>204</v>
      </c>
      <c r="H276" s="518" t="s">
        <v>204</v>
      </c>
      <c r="I276" s="66"/>
      <c r="J276" s="70"/>
      <c r="K276" s="70"/>
      <c r="L276" s="70"/>
      <c r="M276" s="70"/>
      <c r="N276" s="70"/>
      <c r="O276" s="70"/>
      <c r="P276" s="70"/>
    </row>
    <row r="277" spans="1:16" hidden="1" outlineLevel="1" x14ac:dyDescent="0.3">
      <c r="A277" s="63" t="s">
        <v>1004</v>
      </c>
      <c r="B277" s="63" t="s">
        <v>894</v>
      </c>
      <c r="C277" s="63" t="str">
        <f t="shared" si="2"/>
        <v>City of Orange Cove</v>
      </c>
      <c r="D277" s="471" t="s">
        <v>204</v>
      </c>
      <c r="E277" s="471" t="s">
        <v>204</v>
      </c>
      <c r="F277" s="471" t="s">
        <v>204</v>
      </c>
      <c r="G277" s="471" t="s">
        <v>204</v>
      </c>
      <c r="H277" s="518" t="s">
        <v>204</v>
      </c>
      <c r="I277" s="66"/>
      <c r="J277" s="70"/>
      <c r="K277" s="70"/>
      <c r="L277" s="70"/>
      <c r="M277" s="70"/>
      <c r="N277" s="70"/>
      <c r="O277" s="70"/>
      <c r="P277" s="70"/>
    </row>
    <row r="278" spans="1:16" hidden="1" outlineLevel="1" x14ac:dyDescent="0.3">
      <c r="A278" s="63" t="s">
        <v>1004</v>
      </c>
      <c r="B278" s="63" t="s">
        <v>894</v>
      </c>
      <c r="C278" s="63" t="str">
        <f t="shared" si="2"/>
        <v>City of Tracy</v>
      </c>
      <c r="D278" s="471">
        <f>IFERROR(SUMIFS(uwmp_table_4_2_w!I$2:I$9900,uwmp_table_4_2_w!$G$2:$G$9900,"Single Family",uwmp_table_4_2_w!$B$2:$B$9900,'Contractor Assumptions'!$F25),0) + IFERROR(SUMIFS(uwmp_table_4_2_r!I$2:I$9900,uwmp_table_4_2_r!$G$2:$G$9900,"Single Family",uwmp_table_4_2_r!$B$2:$B$9900,'Contractor Assumptions'!$F25),0)*IFERROR(VLOOKUP(VLOOKUP('Contractor Assumptions'!$F25,uwmp_table_4_2_r!$B$2:$N$9900,13,FALSE),$A$11:$C$13,2,FALSE), VLOOKUP(VLOOKUP('Contractor Assumptions'!$F25,uwmp_table_4_2_w!$B$2:$N$9900,14,FALSE),$A$11:$C$13,2,FALSE))</f>
        <v>10753.08</v>
      </c>
      <c r="E278" s="471">
        <f>IFERROR(SUMIFS(uwmp_table_4_2_w!J$2:J$9900,uwmp_table_4_2_w!$G$2:$G$9900,"Single Family",uwmp_table_4_2_w!$B$2:$B$9900,'Contractor Assumptions'!$F25),0) + IFERROR(SUMIFS(uwmp_table_4_2_r!J$2:J$9900,uwmp_table_4_2_r!$G$2:$G$9900,"Single Family",uwmp_table_4_2_r!$B$2:$B$9900,'Contractor Assumptions'!$F25),0)*IFERROR(VLOOKUP(VLOOKUP('Contractor Assumptions'!$F25,uwmp_table_4_2_r!$B$2:$N$9900,13,FALSE),$A$11:$C$13,2,FALSE), VLOOKUP(VLOOKUP('Contractor Assumptions'!$F25,uwmp_table_4_2_w!$B$2:$N$9900,14,FALSE),$A$11:$C$13,2,FALSE))</f>
        <v>11869.87</v>
      </c>
      <c r="F278" s="471">
        <f>IFERROR(SUMIFS(uwmp_table_4_2_w!K$2:K$9900,uwmp_table_4_2_w!$G$2:$G$9900,"Single Family",uwmp_table_4_2_w!$B$2:$B$9900,'Contractor Assumptions'!$F25),0) + IFERROR(SUMIFS(uwmp_table_4_2_r!K$2:K$9900,uwmp_table_4_2_r!$G$2:$G$9900,"Single Family",uwmp_table_4_2_r!$B$2:$B$9900,'Contractor Assumptions'!$F25),0)*IFERROR(VLOOKUP(VLOOKUP('Contractor Assumptions'!$F25,uwmp_table_4_2_r!$B$2:$N$9900,13,FALSE),$A$11:$C$13,2,FALSE), VLOOKUP(VLOOKUP('Contractor Assumptions'!$F25,uwmp_table_4_2_w!$B$2:$N$9900,14,FALSE),$A$11:$C$13,2,FALSE))</f>
        <v>13013.63</v>
      </c>
      <c r="G278" s="471">
        <f>IFERROR(SUMIFS(uwmp_table_4_2_w!L$2:L$9900,uwmp_table_4_2_w!$G$2:$G$9900,"Single Family",uwmp_table_4_2_w!$B$2:$B$9900,'Contractor Assumptions'!$F25),0) + IFERROR(SUMIFS(uwmp_table_4_2_r!L$2:L$9900,uwmp_table_4_2_r!$G$2:$G$9900,"Single Family",uwmp_table_4_2_r!$B$2:$B$9900,'Contractor Assumptions'!$F25),0)*IFERROR(VLOOKUP(VLOOKUP('Contractor Assumptions'!$F25,uwmp_table_4_2_r!$B$2:$N$9900,13,FALSE),$A$11:$C$13,2,FALSE), VLOOKUP(VLOOKUP('Contractor Assumptions'!$F25,uwmp_table_4_2_w!$B$2:$N$9900,14,FALSE),$A$11:$C$13,2,FALSE))</f>
        <v>14173.55</v>
      </c>
      <c r="H278" s="518">
        <f>IFERROR(SUMIFS(uwmp_table_4_2_w!M$2:M$9900,uwmp_table_4_2_w!$G$2:$G$9900,"Single Family",uwmp_table_4_2_w!$B$2:$B$9900,'Contractor Assumptions'!$F25),0) + IFERROR(SUMIFS(uwmp_table_4_2_r!M$2:M$9900,uwmp_table_4_2_r!$G$2:$G$9900,"Single Family",uwmp_table_4_2_r!$B$2:$B$9900,'Contractor Assumptions'!$F25),0)*IFERROR(VLOOKUP(VLOOKUP('Contractor Assumptions'!$F25,uwmp_table_4_2_r!$B$2:$N$9900,13,FALSE),$A$11:$C$13,2,FALSE), VLOOKUP(VLOOKUP('Contractor Assumptions'!$F25,uwmp_table_4_2_w!$B$2:$N$9900,14,FALSE),$A$11:$C$13,2,FALSE))</f>
        <v>16221.23</v>
      </c>
      <c r="I278" s="66"/>
      <c r="J278" s="70"/>
      <c r="K278" s="70"/>
      <c r="L278" s="70"/>
      <c r="M278" s="70"/>
      <c r="N278" s="70"/>
      <c r="O278" s="70"/>
      <c r="P278" s="70"/>
    </row>
    <row r="279" spans="1:16" hidden="1" outlineLevel="1" x14ac:dyDescent="0.3">
      <c r="A279" s="63" t="s">
        <v>1004</v>
      </c>
      <c r="B279" s="63" t="s">
        <v>894</v>
      </c>
      <c r="C279" s="63" t="str">
        <f t="shared" si="2"/>
        <v>Kern County Water Agency</v>
      </c>
      <c r="D279" s="471" t="s">
        <v>204</v>
      </c>
      <c r="E279" s="471" t="s">
        <v>204</v>
      </c>
      <c r="F279" s="471" t="s">
        <v>204</v>
      </c>
      <c r="G279" s="471" t="s">
        <v>204</v>
      </c>
      <c r="H279" s="518" t="s">
        <v>204</v>
      </c>
      <c r="I279" s="66"/>
      <c r="J279" s="70"/>
      <c r="K279" s="70"/>
      <c r="L279" s="70"/>
      <c r="M279" s="70"/>
      <c r="N279" s="70"/>
      <c r="O279" s="70"/>
      <c r="P279" s="70"/>
    </row>
    <row r="280" spans="1:16" hidden="1" outlineLevel="1" x14ac:dyDescent="0.3">
      <c r="A280" s="63" t="s">
        <v>1004</v>
      </c>
      <c r="B280" s="63" t="s">
        <v>894</v>
      </c>
      <c r="C280" s="63" t="str">
        <f t="shared" si="2"/>
        <v>Other Friant-Kern M&amp;I Contractors</v>
      </c>
      <c r="D280" s="471" t="s">
        <v>204</v>
      </c>
      <c r="E280" s="471" t="s">
        <v>204</v>
      </c>
      <c r="F280" s="471" t="s">
        <v>204</v>
      </c>
      <c r="G280" s="471" t="s">
        <v>204</v>
      </c>
      <c r="H280" s="518" t="s">
        <v>204</v>
      </c>
      <c r="I280" s="66"/>
      <c r="J280" s="70"/>
      <c r="K280" s="70"/>
      <c r="L280" s="70"/>
      <c r="M280" s="70"/>
      <c r="N280" s="70"/>
      <c r="O280" s="70"/>
      <c r="P280" s="70"/>
    </row>
    <row r="281" spans="1:16" hidden="1" outlineLevel="1" x14ac:dyDescent="0.3">
      <c r="A281" s="63" t="s">
        <v>1004</v>
      </c>
      <c r="B281" s="63" t="s">
        <v>894</v>
      </c>
      <c r="C281" s="63" t="str">
        <f t="shared" si="2"/>
        <v>Stockton-East Water District</v>
      </c>
      <c r="D281" s="471">
        <f>'Wholesaler Demands by Use Type'!B28</f>
        <v>27991</v>
      </c>
      <c r="E281" s="471">
        <f>'Wholesaler Demands by Use Type'!C28</f>
        <v>28287</v>
      </c>
      <c r="F281" s="471">
        <f>'Wholesaler Demands by Use Type'!D28</f>
        <v>31563</v>
      </c>
      <c r="G281" s="471">
        <f>'Wholesaler Demands by Use Type'!E28</f>
        <v>34790</v>
      </c>
      <c r="H281" s="518">
        <f>'Wholesaler Demands by Use Type'!F28</f>
        <v>34913</v>
      </c>
      <c r="I281" s="66"/>
      <c r="J281" s="70"/>
      <c r="K281" s="70"/>
      <c r="L281" s="70"/>
      <c r="M281" s="70"/>
      <c r="N281" s="70"/>
      <c r="O281" s="70"/>
      <c r="P281" s="70"/>
    </row>
    <row r="282" spans="1:16" hidden="1" outlineLevel="1" x14ac:dyDescent="0.3">
      <c r="A282" s="63" t="s">
        <v>1004</v>
      </c>
      <c r="B282" s="63" t="s">
        <v>915</v>
      </c>
      <c r="C282" s="63" t="str">
        <f t="shared" si="2"/>
        <v>Alameda County Flood Control and Water Conservation District, Zone 7</v>
      </c>
      <c r="D282" s="471">
        <v>24471.892354700001</v>
      </c>
      <c r="E282" s="471">
        <v>25512.7190089</v>
      </c>
      <c r="F282" s="471">
        <v>26124.2701117</v>
      </c>
      <c r="G282" s="471">
        <v>26543.476775249997</v>
      </c>
      <c r="H282" s="518">
        <v>26716.476775249997</v>
      </c>
      <c r="I282" s="66" t="s">
        <v>1012</v>
      </c>
      <c r="J282" s="70"/>
      <c r="K282" s="70"/>
      <c r="L282" s="70"/>
      <c r="M282" s="70"/>
      <c r="N282" s="70"/>
      <c r="O282" s="70"/>
      <c r="P282" s="70"/>
    </row>
    <row r="283" spans="1:16" hidden="1" outlineLevel="1" x14ac:dyDescent="0.3">
      <c r="A283" s="63" t="s">
        <v>1004</v>
      </c>
      <c r="B283" s="63" t="s">
        <v>915</v>
      </c>
      <c r="C283" s="63" t="str">
        <f t="shared" si="2"/>
        <v>Alameda County Water District</v>
      </c>
      <c r="D283" s="471">
        <f>IFERROR(SUMIFS(uwmp_table_4_2_w!I$2:I$9900,uwmp_table_4_2_w!$G$2:$G$9900,"Single Family",uwmp_table_4_2_w!$B$2:$B$9900,'Contractor Assumptions'!$F30),0) + IFERROR(SUMIFS(uwmp_table_4_2_r!I$2:I$9900,uwmp_table_4_2_r!$G$2:$G$9900,"Single Family",uwmp_table_4_2_r!$B$2:$B$9900,'Contractor Assumptions'!$F30),0)*IFERROR(VLOOKUP(VLOOKUP('Contractor Assumptions'!$F30,uwmp_table_4_2_r!$B$2:$N$9900,13,FALSE),$A$11:$C$13,2,FALSE), VLOOKUP(VLOOKUP('Contractor Assumptions'!$F30,uwmp_table_4_2_w!$B$2:$N$9900,14,FALSE),$A$11:$C$13,2,FALSE))</f>
        <v>18300</v>
      </c>
      <c r="E283" s="471">
        <f>IFERROR(SUMIFS(uwmp_table_4_2_w!J$2:J$9900,uwmp_table_4_2_w!$G$2:$G$9900,"Single Family",uwmp_table_4_2_w!$B$2:$B$9900,'Contractor Assumptions'!$F30),0) + IFERROR(SUMIFS(uwmp_table_4_2_r!J$2:J$9900,uwmp_table_4_2_r!$G$2:$G$9900,"Single Family",uwmp_table_4_2_r!$B$2:$B$9900,'Contractor Assumptions'!$F30),0)*IFERROR(VLOOKUP(VLOOKUP('Contractor Assumptions'!$F30,uwmp_table_4_2_r!$B$2:$N$9900,13,FALSE),$A$11:$C$13,2,FALSE), VLOOKUP(VLOOKUP('Contractor Assumptions'!$F30,uwmp_table_4_2_w!$B$2:$N$9900,14,FALSE),$A$11:$C$13,2,FALSE))</f>
        <v>17700</v>
      </c>
      <c r="F283" s="471">
        <f>IFERROR(SUMIFS(uwmp_table_4_2_w!K$2:K$9900,uwmp_table_4_2_w!$G$2:$G$9900,"Single Family",uwmp_table_4_2_w!$B$2:$B$9900,'Contractor Assumptions'!$F30),0) + IFERROR(SUMIFS(uwmp_table_4_2_r!K$2:K$9900,uwmp_table_4_2_r!$G$2:$G$9900,"Single Family",uwmp_table_4_2_r!$B$2:$B$9900,'Contractor Assumptions'!$F30),0)*IFERROR(VLOOKUP(VLOOKUP('Contractor Assumptions'!$F30,uwmp_table_4_2_r!$B$2:$N$9900,13,FALSE),$A$11:$C$13,2,FALSE), VLOOKUP(VLOOKUP('Contractor Assumptions'!$F30,uwmp_table_4_2_w!$B$2:$N$9900,14,FALSE),$A$11:$C$13,2,FALSE))</f>
        <v>17100</v>
      </c>
      <c r="G283" s="471">
        <f>IFERROR(SUMIFS(uwmp_table_4_2_w!L$2:L$9900,uwmp_table_4_2_w!$G$2:$G$9900,"Single Family",uwmp_table_4_2_w!$B$2:$B$9900,'Contractor Assumptions'!$F30),0) + IFERROR(SUMIFS(uwmp_table_4_2_r!L$2:L$9900,uwmp_table_4_2_r!$G$2:$G$9900,"Single Family",uwmp_table_4_2_r!$B$2:$B$9900,'Contractor Assumptions'!$F30),0)*IFERROR(VLOOKUP(VLOOKUP('Contractor Assumptions'!$F30,uwmp_table_4_2_r!$B$2:$N$9900,13,FALSE),$A$11:$C$13,2,FALSE), VLOOKUP(VLOOKUP('Contractor Assumptions'!$F30,uwmp_table_4_2_w!$B$2:$N$9900,14,FALSE),$A$11:$C$13,2,FALSE))</f>
        <v>16700</v>
      </c>
      <c r="H283" s="518">
        <f>IFERROR(SUMIFS(uwmp_table_4_2_w!M$2:M$9900,uwmp_table_4_2_w!$G$2:$G$9900,"Single Family",uwmp_table_4_2_w!$B$2:$B$9900,'Contractor Assumptions'!$F30),0) + IFERROR(SUMIFS(uwmp_table_4_2_r!M$2:M$9900,uwmp_table_4_2_r!$G$2:$G$9900,"Single Family",uwmp_table_4_2_r!$B$2:$B$9900,'Contractor Assumptions'!$F30),0)*IFERROR(VLOOKUP(VLOOKUP('Contractor Assumptions'!$F30,uwmp_table_4_2_r!$B$2:$N$9900,13,FALSE),$A$11:$C$13,2,FALSE), VLOOKUP(VLOOKUP('Contractor Assumptions'!$F30,uwmp_table_4_2_w!$B$2:$N$9900,14,FALSE),$A$11:$C$13,2,FALSE))</f>
        <v>16400</v>
      </c>
      <c r="I283" s="66"/>
      <c r="J283" s="70"/>
      <c r="K283" s="70"/>
      <c r="L283" s="70"/>
      <c r="M283" s="70"/>
      <c r="N283" s="70"/>
      <c r="O283" s="70"/>
      <c r="P283" s="70"/>
    </row>
    <row r="284" spans="1:16" hidden="1" outlineLevel="1" x14ac:dyDescent="0.3">
      <c r="A284" s="63" t="s">
        <v>1004</v>
      </c>
      <c r="B284" s="63" t="s">
        <v>915</v>
      </c>
      <c r="C284" s="63" t="str">
        <f t="shared" si="2"/>
        <v>Contra Costa Water District</v>
      </c>
      <c r="D284" s="471">
        <f>IFERROR(SUMIFS(uwmp_table_4_2_w!I$2:I$9900,uwmp_table_4_2_w!$G$2:$G$9900,"Single Family",uwmp_table_4_2_w!$B$2:$B$9900,'Contractor Assumptions'!$F31),0) + IFERROR(SUMIFS(uwmp_table_4_2_r!I$2:I$9900,uwmp_table_4_2_r!$G$2:$G$9900,"Single Family",uwmp_table_4_2_r!$B$2:$B$9900,'Contractor Assumptions'!$F31),0)*IFERROR(VLOOKUP(VLOOKUP('Contractor Assumptions'!$F31,uwmp_table_4_2_r!$B$2:$N$9900,13,FALSE),$A$11:$C$13,2,FALSE), VLOOKUP(VLOOKUP('Contractor Assumptions'!$F31,uwmp_table_4_2_w!$B$2:$N$9900,14,FALSE),$A$11:$C$13,2,FALSE))</f>
        <v>20900</v>
      </c>
      <c r="E284" s="471">
        <f>IFERROR(SUMIFS(uwmp_table_4_2_w!J$2:J$9900,uwmp_table_4_2_w!$G$2:$G$9900,"Single Family",uwmp_table_4_2_w!$B$2:$B$9900,'Contractor Assumptions'!$F31),0) + IFERROR(SUMIFS(uwmp_table_4_2_r!J$2:J$9900,uwmp_table_4_2_r!$G$2:$G$9900,"Single Family",uwmp_table_4_2_r!$B$2:$B$9900,'Contractor Assumptions'!$F31),0)*IFERROR(VLOOKUP(VLOOKUP('Contractor Assumptions'!$F31,uwmp_table_4_2_r!$B$2:$N$9900,13,FALSE),$A$11:$C$13,2,FALSE), VLOOKUP(VLOOKUP('Contractor Assumptions'!$F31,uwmp_table_4_2_w!$B$2:$N$9900,14,FALSE),$A$11:$C$13,2,FALSE))</f>
        <v>21500</v>
      </c>
      <c r="F284" s="471">
        <f>IFERROR(SUMIFS(uwmp_table_4_2_w!K$2:K$9900,uwmp_table_4_2_w!$G$2:$G$9900,"Single Family",uwmp_table_4_2_w!$B$2:$B$9900,'Contractor Assumptions'!$F31),0) + IFERROR(SUMIFS(uwmp_table_4_2_r!K$2:K$9900,uwmp_table_4_2_r!$G$2:$G$9900,"Single Family",uwmp_table_4_2_r!$B$2:$B$9900,'Contractor Assumptions'!$F31),0)*IFERROR(VLOOKUP(VLOOKUP('Contractor Assumptions'!$F31,uwmp_table_4_2_r!$B$2:$N$9900,13,FALSE),$A$11:$C$13,2,FALSE), VLOOKUP(VLOOKUP('Contractor Assumptions'!$F31,uwmp_table_4_2_w!$B$2:$N$9900,14,FALSE),$A$11:$C$13,2,FALSE))</f>
        <v>22200</v>
      </c>
      <c r="G284" s="471">
        <f>IFERROR(SUMIFS(uwmp_table_4_2_w!L$2:L$9900,uwmp_table_4_2_w!$G$2:$G$9900,"Single Family",uwmp_table_4_2_w!$B$2:$B$9900,'Contractor Assumptions'!$F31),0) + IFERROR(SUMIFS(uwmp_table_4_2_r!L$2:L$9900,uwmp_table_4_2_r!$G$2:$G$9900,"Single Family",uwmp_table_4_2_r!$B$2:$B$9900,'Contractor Assumptions'!$F31),0)*IFERROR(VLOOKUP(VLOOKUP('Contractor Assumptions'!$F31,uwmp_table_4_2_r!$B$2:$N$9900,13,FALSE),$A$11:$C$13,2,FALSE), VLOOKUP(VLOOKUP('Contractor Assumptions'!$F31,uwmp_table_4_2_w!$B$2:$N$9900,14,FALSE),$A$11:$C$13,2,FALSE))</f>
        <v>23000</v>
      </c>
      <c r="H284" s="518">
        <f>IFERROR(SUMIFS(uwmp_table_4_2_w!M$2:M$9900,uwmp_table_4_2_w!$G$2:$G$9900,"Single Family",uwmp_table_4_2_w!$B$2:$B$9900,'Contractor Assumptions'!$F31),0) + IFERROR(SUMIFS(uwmp_table_4_2_r!M$2:M$9900,uwmp_table_4_2_r!$G$2:$G$9900,"Single Family",uwmp_table_4_2_r!$B$2:$B$9900,'Contractor Assumptions'!$F31),0)*IFERROR(VLOOKUP(VLOOKUP('Contractor Assumptions'!$F31,uwmp_table_4_2_r!$B$2:$N$9900,13,FALSE),$A$11:$C$13,2,FALSE), VLOOKUP(VLOOKUP('Contractor Assumptions'!$F31,uwmp_table_4_2_w!$B$2:$N$9900,14,FALSE),$A$11:$C$13,2,FALSE))</f>
        <v>23400</v>
      </c>
      <c r="I284" s="66"/>
      <c r="J284" s="70"/>
      <c r="K284" s="70"/>
      <c r="L284" s="70"/>
      <c r="M284" s="70"/>
      <c r="N284" s="70"/>
      <c r="O284" s="70"/>
      <c r="P284" s="70"/>
    </row>
    <row r="285" spans="1:16" hidden="1" outlineLevel="1" x14ac:dyDescent="0.3">
      <c r="A285" s="63" t="s">
        <v>1004</v>
      </c>
      <c r="B285" s="63" t="s">
        <v>915</v>
      </c>
      <c r="C285" s="63" t="str">
        <f t="shared" si="2"/>
        <v>East Bay Municipal Utilities District</v>
      </c>
      <c r="D285" s="471">
        <v>0</v>
      </c>
      <c r="E285" s="471">
        <v>0</v>
      </c>
      <c r="F285" s="471">
        <v>0</v>
      </c>
      <c r="G285" s="471">
        <v>0</v>
      </c>
      <c r="H285" s="518">
        <v>0</v>
      </c>
      <c r="I285" s="66"/>
      <c r="J285" s="70"/>
      <c r="K285" s="70"/>
      <c r="L285" s="70"/>
      <c r="M285" s="70"/>
      <c r="N285" s="70"/>
      <c r="O285" s="70"/>
      <c r="P285" s="70"/>
    </row>
    <row r="286" spans="1:16" hidden="1" outlineLevel="1" x14ac:dyDescent="0.3">
      <c r="A286" s="63" t="s">
        <v>1004</v>
      </c>
      <c r="B286" s="63" t="s">
        <v>915</v>
      </c>
      <c r="C286" s="63" t="str">
        <f t="shared" si="2"/>
        <v>San Benito County Water District, Zone 6</v>
      </c>
      <c r="D286" s="471">
        <v>4778</v>
      </c>
      <c r="E286" s="471">
        <v>5833</v>
      </c>
      <c r="F286" s="471">
        <v>7163</v>
      </c>
      <c r="G286" s="471">
        <v>8492</v>
      </c>
      <c r="H286" s="518">
        <v>8492</v>
      </c>
      <c r="I286" s="66" t="s">
        <v>1013</v>
      </c>
      <c r="J286" s="71"/>
      <c r="K286" s="71"/>
      <c r="L286" s="71"/>
      <c r="M286" s="71"/>
      <c r="N286" s="71"/>
      <c r="O286" s="71"/>
      <c r="P286" s="70"/>
    </row>
    <row r="287" spans="1:16" hidden="1" outlineLevel="1" x14ac:dyDescent="0.3">
      <c r="A287" s="63" t="s">
        <v>1004</v>
      </c>
      <c r="B287" s="63" t="s">
        <v>915</v>
      </c>
      <c r="C287" s="63" t="str">
        <f t="shared" si="2"/>
        <v>Santa Clara Valley Water District</v>
      </c>
      <c r="D287" s="471">
        <v>0</v>
      </c>
      <c r="E287" s="471">
        <v>0</v>
      </c>
      <c r="F287" s="471">
        <v>0</v>
      </c>
      <c r="G287" s="471">
        <v>0</v>
      </c>
      <c r="H287" s="518">
        <v>0</v>
      </c>
      <c r="I287" s="66"/>
      <c r="J287" s="70"/>
      <c r="K287" s="70"/>
      <c r="L287" s="70"/>
      <c r="M287" s="70"/>
      <c r="N287" s="70"/>
      <c r="O287" s="70"/>
      <c r="P287" s="70"/>
    </row>
    <row r="288" spans="1:16" hidden="1" outlineLevel="1" x14ac:dyDescent="0.3">
      <c r="A288" s="63" t="s">
        <v>1004</v>
      </c>
      <c r="B288" s="63" t="s">
        <v>934</v>
      </c>
      <c r="C288" s="63" t="str">
        <f t="shared" si="2"/>
        <v>San Luis Obispo County Flood Control &amp; Water Conservation District</v>
      </c>
      <c r="D288" s="471">
        <v>2391</v>
      </c>
      <c r="E288" s="471">
        <v>2458</v>
      </c>
      <c r="F288" s="471">
        <v>2522</v>
      </c>
      <c r="G288" s="471">
        <v>2586</v>
      </c>
      <c r="H288" s="518">
        <v>2653</v>
      </c>
      <c r="I288" s="66" t="s">
        <v>1014</v>
      </c>
      <c r="J288" s="70"/>
      <c r="K288" s="70"/>
      <c r="L288" s="70"/>
      <c r="M288" s="70"/>
      <c r="N288" s="70"/>
      <c r="O288" s="70"/>
      <c r="P288" s="70"/>
    </row>
    <row r="289" spans="1:16" hidden="1" outlineLevel="1" x14ac:dyDescent="0.3">
      <c r="A289" s="63" t="s">
        <v>1004</v>
      </c>
      <c r="B289" s="63" t="s">
        <v>934</v>
      </c>
      <c r="C289" s="63" t="str">
        <f t="shared" si="2"/>
        <v>Santa Barbara County Flood Control &amp; Water Conservation District</v>
      </c>
      <c r="D289" s="471" t="s">
        <v>204</v>
      </c>
      <c r="E289" s="471" t="s">
        <v>204</v>
      </c>
      <c r="F289" s="471" t="s">
        <v>204</v>
      </c>
      <c r="G289" s="471" t="s">
        <v>204</v>
      </c>
      <c r="H289" s="518" t="s">
        <v>204</v>
      </c>
      <c r="I289" s="66"/>
      <c r="J289" s="70"/>
      <c r="K289" s="70"/>
      <c r="L289" s="70"/>
      <c r="M289" s="70"/>
      <c r="N289" s="70"/>
      <c r="O289" s="70"/>
      <c r="P289" s="70"/>
    </row>
    <row r="290" spans="1:16" hidden="1" outlineLevel="1" x14ac:dyDescent="0.3">
      <c r="A290" s="63" t="s">
        <v>1004</v>
      </c>
      <c r="B290" s="63" t="s">
        <v>940</v>
      </c>
      <c r="C290" s="63" t="str">
        <f t="shared" si="2"/>
        <v>Antelope Valley-East Kern Water Agency</v>
      </c>
      <c r="D290" s="471">
        <v>19716.270228013182</v>
      </c>
      <c r="E290" s="471">
        <v>22990.369807904535</v>
      </c>
      <c r="F290" s="471">
        <v>23709.605663988106</v>
      </c>
      <c r="G290" s="471">
        <v>25515.174783649549</v>
      </c>
      <c r="H290" s="518">
        <v>26615.701565173451</v>
      </c>
      <c r="I290" s="66" t="s">
        <v>1015</v>
      </c>
      <c r="J290" s="70"/>
      <c r="K290" s="70"/>
      <c r="L290" s="70"/>
      <c r="M290" s="70"/>
      <c r="N290" s="70"/>
      <c r="O290" s="70"/>
      <c r="P290" s="70"/>
    </row>
    <row r="291" spans="1:16" hidden="1" outlineLevel="1" x14ac:dyDescent="0.3">
      <c r="A291" s="63" t="s">
        <v>1004</v>
      </c>
      <c r="B291" s="63" t="s">
        <v>940</v>
      </c>
      <c r="C291" s="63" t="str">
        <f t="shared" si="2"/>
        <v>Santa Clarita Water Division</v>
      </c>
      <c r="D291" s="471">
        <f>IFERROR(SUMIFS(uwmp_table_4_2_w!I$2:I$9900,uwmp_table_4_2_w!$G$2:$G$9900,"Single Family",uwmp_table_4_2_w!$B$2:$B$9900,'Contractor Assumptions'!$F38),0) + IFERROR(SUMIFS(uwmp_table_4_2_r!I$2:I$9900,uwmp_table_4_2_r!$G$2:$G$9900,"Single Family",uwmp_table_4_2_r!$B$2:$B$9900,'Contractor Assumptions'!$F38),0)*IFERROR(VLOOKUP(VLOOKUP('Contractor Assumptions'!$F38,uwmp_table_4_2_r!$B$2:$N$9900,13,FALSE),$A$11:$C$13,2,FALSE), VLOOKUP(VLOOKUP('Contractor Assumptions'!$F38,uwmp_table_4_2_w!$B$2:$N$9900,14,FALSE),$A$11:$C$13,2,FALSE))</f>
        <v>100352.63269499999</v>
      </c>
      <c r="E291" s="471">
        <f>IFERROR(SUMIFS(uwmp_table_4_2_w!J$2:J$9900,uwmp_table_4_2_w!$G$2:$G$9900,"Single Family",uwmp_table_4_2_w!$B$2:$B$9900,'Contractor Assumptions'!$F38),0) + IFERROR(SUMIFS(uwmp_table_4_2_r!J$2:J$9900,uwmp_table_4_2_r!$G$2:$G$9900,"Single Family",uwmp_table_4_2_r!$B$2:$B$9900,'Contractor Assumptions'!$F38),0)*IFERROR(VLOOKUP(VLOOKUP('Contractor Assumptions'!$F38,uwmp_table_4_2_r!$B$2:$N$9900,13,FALSE),$A$11:$C$13,2,FALSE), VLOOKUP(VLOOKUP('Contractor Assumptions'!$F38,uwmp_table_4_2_w!$B$2:$N$9900,14,FALSE),$A$11:$C$13,2,FALSE))</f>
        <v>106490.40839499999</v>
      </c>
      <c r="F291" s="471">
        <f>IFERROR(SUMIFS(uwmp_table_4_2_w!K$2:K$9900,uwmp_table_4_2_w!$G$2:$G$9900,"Single Family",uwmp_table_4_2_w!$B$2:$B$9900,'Contractor Assumptions'!$F38),0) + IFERROR(SUMIFS(uwmp_table_4_2_r!K$2:K$9900,uwmp_table_4_2_r!$G$2:$G$9900,"Single Family",uwmp_table_4_2_r!$B$2:$B$9900,'Contractor Assumptions'!$F38),0)*IFERROR(VLOOKUP(VLOOKUP('Contractor Assumptions'!$F38,uwmp_table_4_2_r!$B$2:$N$9900,13,FALSE),$A$11:$C$13,2,FALSE), VLOOKUP(VLOOKUP('Contractor Assumptions'!$F38,uwmp_table_4_2_w!$B$2:$N$9900,14,FALSE),$A$11:$C$13,2,FALSE))</f>
        <v>111093.74016999999</v>
      </c>
      <c r="G291" s="471">
        <f>IFERROR(SUMIFS(uwmp_table_4_2_w!L$2:L$9900,uwmp_table_4_2_w!$G$2:$G$9900,"Single Family",uwmp_table_4_2_w!$B$2:$B$9900,'Contractor Assumptions'!$F38),0) + IFERROR(SUMIFS(uwmp_table_4_2_r!L$2:L$9900,uwmp_table_4_2_r!$G$2:$G$9900,"Single Family",uwmp_table_4_2_r!$B$2:$B$9900,'Contractor Assumptions'!$F38),0)*IFERROR(VLOOKUP(VLOOKUP('Contractor Assumptions'!$F38,uwmp_table_4_2_r!$B$2:$N$9900,13,FALSE),$A$11:$C$13,2,FALSE), VLOOKUP(VLOOKUP('Contractor Assumptions'!$F38,uwmp_table_4_2_w!$B$2:$N$9900,14,FALSE),$A$11:$C$13,2,FALSE))</f>
        <v>115083.294375</v>
      </c>
      <c r="H291" s="518">
        <f>IFERROR(SUMIFS(uwmp_table_4_2_w!M$2:M$9900,uwmp_table_4_2_w!$G$2:$G$9900,"Single Family",uwmp_table_4_2_w!$B$2:$B$9900,'Contractor Assumptions'!$F38),0) + IFERROR(SUMIFS(uwmp_table_4_2_r!M$2:M$9900,uwmp_table_4_2_r!$G$2:$G$9900,"Single Family",uwmp_table_4_2_r!$B$2:$B$9900,'Contractor Assumptions'!$F38),0)*IFERROR(VLOOKUP(VLOOKUP('Contractor Assumptions'!$F38,uwmp_table_4_2_r!$B$2:$N$9900,13,FALSE),$A$11:$C$13,2,FALSE), VLOOKUP(VLOOKUP('Contractor Assumptions'!$F38,uwmp_table_4_2_w!$B$2:$N$9900,14,FALSE),$A$11:$C$13,2,FALSE))</f>
        <v>117845.29343999999</v>
      </c>
      <c r="I291" s="66"/>
      <c r="J291" s="70"/>
      <c r="K291" s="70"/>
      <c r="L291" s="70"/>
      <c r="M291" s="70"/>
      <c r="N291" s="70"/>
      <c r="O291" s="70"/>
      <c r="P291" s="70"/>
    </row>
    <row r="292" spans="1:16" hidden="1" outlineLevel="1" x14ac:dyDescent="0.3">
      <c r="A292" s="63" t="s">
        <v>1004</v>
      </c>
      <c r="B292" s="63" t="s">
        <v>940</v>
      </c>
      <c r="C292" s="63" t="str">
        <f t="shared" si="2"/>
        <v>Coachella Valley Water District</v>
      </c>
      <c r="D292" s="471" t="s">
        <v>204</v>
      </c>
      <c r="E292" s="471" t="s">
        <v>204</v>
      </c>
      <c r="F292" s="471" t="s">
        <v>204</v>
      </c>
      <c r="G292" s="471" t="s">
        <v>204</v>
      </c>
      <c r="H292" s="518" t="s">
        <v>204</v>
      </c>
      <c r="I292" s="66"/>
      <c r="J292" s="70"/>
      <c r="K292" s="70"/>
      <c r="L292" s="70"/>
      <c r="M292" s="70"/>
      <c r="N292" s="70"/>
      <c r="O292" s="70"/>
      <c r="P292" s="70"/>
    </row>
    <row r="293" spans="1:16" hidden="1" outlineLevel="1" x14ac:dyDescent="0.3">
      <c r="A293" s="63" t="s">
        <v>1004</v>
      </c>
      <c r="B293" s="63" t="s">
        <v>940</v>
      </c>
      <c r="C293" s="63" t="str">
        <f t="shared" si="2"/>
        <v>Crestline-Lake Arrowhead Water Agency</v>
      </c>
      <c r="D293" s="471" t="s">
        <v>204</v>
      </c>
      <c r="E293" s="471" t="s">
        <v>204</v>
      </c>
      <c r="F293" s="471" t="s">
        <v>204</v>
      </c>
      <c r="G293" s="471" t="s">
        <v>204</v>
      </c>
      <c r="H293" s="518" t="s">
        <v>204</v>
      </c>
      <c r="I293" s="66"/>
      <c r="J293" s="70"/>
      <c r="K293" s="70"/>
      <c r="L293" s="70"/>
      <c r="M293" s="70"/>
      <c r="N293" s="70"/>
      <c r="O293" s="70"/>
      <c r="P293" s="70"/>
    </row>
    <row r="294" spans="1:16" hidden="1" outlineLevel="1" x14ac:dyDescent="0.3">
      <c r="A294" s="63" t="s">
        <v>1004</v>
      </c>
      <c r="B294" s="63" t="s">
        <v>940</v>
      </c>
      <c r="C294" s="63" t="str">
        <f t="shared" si="2"/>
        <v>Desert Water Agency</v>
      </c>
      <c r="D294" s="471" t="s">
        <v>204</v>
      </c>
      <c r="E294" s="471" t="s">
        <v>204</v>
      </c>
      <c r="F294" s="471" t="s">
        <v>204</v>
      </c>
      <c r="G294" s="471" t="s">
        <v>204</v>
      </c>
      <c r="H294" s="518" t="s">
        <v>204</v>
      </c>
      <c r="I294" s="66"/>
      <c r="J294" s="70"/>
      <c r="K294" s="70"/>
      <c r="L294" s="70"/>
      <c r="M294" s="70"/>
      <c r="N294" s="70"/>
      <c r="O294" s="70"/>
      <c r="P294" s="70"/>
    </row>
    <row r="295" spans="1:16" hidden="1" outlineLevel="1" x14ac:dyDescent="0.3">
      <c r="A295" s="63" t="s">
        <v>1004</v>
      </c>
      <c r="B295" s="63" t="s">
        <v>940</v>
      </c>
      <c r="C295" s="63" t="str">
        <f t="shared" si="2"/>
        <v>Metropolitan Water District of Southern California</v>
      </c>
      <c r="D295" s="471">
        <f>'Met 2020 UWMP Demand Data'!M11</f>
        <v>1912000</v>
      </c>
      <c r="E295" s="471">
        <f>'Met 2020 UWMP Demand Data'!N11</f>
        <v>1936000</v>
      </c>
      <c r="F295" s="471">
        <f>'Met 2020 UWMP Demand Data'!O11</f>
        <v>1959000</v>
      </c>
      <c r="G295" s="471">
        <f>'Met 2020 UWMP Demand Data'!P11</f>
        <v>1983000</v>
      </c>
      <c r="H295" s="518">
        <f>'Met 2020 UWMP Demand Data'!Q11</f>
        <v>2012000</v>
      </c>
      <c r="I295" s="66" t="s">
        <v>1016</v>
      </c>
      <c r="J295" s="70"/>
      <c r="K295" s="70"/>
      <c r="L295" s="70"/>
      <c r="M295" s="70"/>
      <c r="N295" s="70"/>
      <c r="O295" s="70"/>
      <c r="P295" s="70"/>
    </row>
    <row r="296" spans="1:16" hidden="1" outlineLevel="1" x14ac:dyDescent="0.3">
      <c r="A296" s="63" t="s">
        <v>1004</v>
      </c>
      <c r="B296" s="63" t="s">
        <v>940</v>
      </c>
      <c r="C296" s="63" t="str">
        <f t="shared" si="2"/>
        <v>Mojave Water Agency</v>
      </c>
      <c r="D296" s="471">
        <v>66450</v>
      </c>
      <c r="E296" s="471">
        <v>68492</v>
      </c>
      <c r="F296" s="471">
        <v>69503</v>
      </c>
      <c r="G296" s="471">
        <v>70495</v>
      </c>
      <c r="H296" s="518">
        <v>71775</v>
      </c>
      <c r="I296" s="66" t="s">
        <v>1017</v>
      </c>
      <c r="J296" s="70"/>
      <c r="K296" s="70"/>
      <c r="L296" s="70"/>
      <c r="M296" s="70"/>
      <c r="N296" s="70"/>
      <c r="O296" s="70"/>
      <c r="P296" s="70"/>
    </row>
    <row r="297" spans="1:16" hidden="1" outlineLevel="1" x14ac:dyDescent="0.3">
      <c r="A297" s="63" t="s">
        <v>1004</v>
      </c>
      <c r="B297" s="63" t="s">
        <v>940</v>
      </c>
      <c r="C297" s="63" t="str">
        <f t="shared" si="2"/>
        <v>Palmdale Water District &amp; Littlerock Creek Irrigation District</v>
      </c>
      <c r="D297" s="471">
        <f>IFERROR(SUMIFS(uwmp_table_4_2_w!I$2:I$9900,uwmp_table_4_2_w!$G$2:$G$9900,"Single Family",uwmp_table_4_2_w!$B$2:$B$9900,'Contractor Assumptions'!$F44),0) + IFERROR(SUMIFS(uwmp_table_4_2_r!I$2:I$9900,uwmp_table_4_2_r!$G$2:$G$9900,"Single Family",uwmp_table_4_2_r!$B$2:$B$9900,'Contractor Assumptions'!$F44),0)*IFERROR(VLOOKUP(VLOOKUP('Contractor Assumptions'!$F44,uwmp_table_4_2_r!$B$2:$N$9900,13,FALSE),$A$11:$C$13,2,FALSE), VLOOKUP(VLOOKUP('Contractor Assumptions'!$F44,uwmp_table_4_2_w!$B$2:$N$9900,14,FALSE),$A$11:$C$13,2,FALSE))</f>
        <v>11460</v>
      </c>
      <c r="E297" s="471">
        <f>IFERROR(SUMIFS(uwmp_table_4_2_w!J$2:J$9900,uwmp_table_4_2_w!$G$2:$G$9900,"Single Family",uwmp_table_4_2_w!$B$2:$B$9900,'Contractor Assumptions'!$F44),0) + IFERROR(SUMIFS(uwmp_table_4_2_r!J$2:J$9900,uwmp_table_4_2_r!$G$2:$G$9900,"Single Family",uwmp_table_4_2_r!$B$2:$B$9900,'Contractor Assumptions'!$F44),0)*IFERROR(VLOOKUP(VLOOKUP('Contractor Assumptions'!$F44,uwmp_table_4_2_r!$B$2:$N$9900,13,FALSE),$A$11:$C$13,2,FALSE), VLOOKUP(VLOOKUP('Contractor Assumptions'!$F44,uwmp_table_4_2_w!$B$2:$N$9900,14,FALSE),$A$11:$C$13,2,FALSE))</f>
        <v>11730</v>
      </c>
      <c r="F297" s="471">
        <f>IFERROR(SUMIFS(uwmp_table_4_2_w!K$2:K$9900,uwmp_table_4_2_w!$G$2:$G$9900,"Single Family",uwmp_table_4_2_w!$B$2:$B$9900,'Contractor Assumptions'!$F44),0) + IFERROR(SUMIFS(uwmp_table_4_2_r!K$2:K$9900,uwmp_table_4_2_r!$G$2:$G$9900,"Single Family",uwmp_table_4_2_r!$B$2:$B$9900,'Contractor Assumptions'!$F44),0)*IFERROR(VLOOKUP(VLOOKUP('Contractor Assumptions'!$F44,uwmp_table_4_2_r!$B$2:$N$9900,13,FALSE),$A$11:$C$13,2,FALSE), VLOOKUP(VLOOKUP('Contractor Assumptions'!$F44,uwmp_table_4_2_w!$B$2:$N$9900,14,FALSE),$A$11:$C$13,2,FALSE))</f>
        <v>12310</v>
      </c>
      <c r="G297" s="471">
        <f>IFERROR(SUMIFS(uwmp_table_4_2_w!L$2:L$9900,uwmp_table_4_2_w!$G$2:$G$9900,"Single Family",uwmp_table_4_2_w!$B$2:$B$9900,'Contractor Assumptions'!$F44),0) + IFERROR(SUMIFS(uwmp_table_4_2_r!L$2:L$9900,uwmp_table_4_2_r!$G$2:$G$9900,"Single Family",uwmp_table_4_2_r!$B$2:$B$9900,'Contractor Assumptions'!$F44),0)*IFERROR(VLOOKUP(VLOOKUP('Contractor Assumptions'!$F44,uwmp_table_4_2_r!$B$2:$N$9900,13,FALSE),$A$11:$C$13,2,FALSE), VLOOKUP(VLOOKUP('Contractor Assumptions'!$F44,uwmp_table_4_2_w!$B$2:$N$9900,14,FALSE),$A$11:$C$13,2,FALSE))</f>
        <v>12970</v>
      </c>
      <c r="H297" s="518">
        <f>IFERROR(SUMIFS(uwmp_table_4_2_w!M$2:M$9900,uwmp_table_4_2_w!$G$2:$G$9900,"Single Family",uwmp_table_4_2_w!$B$2:$B$9900,'Contractor Assumptions'!$F44),0) + IFERROR(SUMIFS(uwmp_table_4_2_r!M$2:M$9900,uwmp_table_4_2_r!$G$2:$G$9900,"Single Family",uwmp_table_4_2_r!$B$2:$B$9900,'Contractor Assumptions'!$F44),0)*IFERROR(VLOOKUP(VLOOKUP('Contractor Assumptions'!$F44,uwmp_table_4_2_r!$B$2:$N$9900,13,FALSE),$A$11:$C$13,2,FALSE), VLOOKUP(VLOOKUP('Contractor Assumptions'!$F44,uwmp_table_4_2_w!$B$2:$N$9900,14,FALSE),$A$11:$C$13,2,FALSE))</f>
        <v>13660</v>
      </c>
      <c r="I297" s="66"/>
      <c r="J297" s="70"/>
      <c r="K297" s="70"/>
      <c r="L297" s="70"/>
      <c r="M297" s="70"/>
      <c r="N297" s="70"/>
      <c r="O297" s="70"/>
      <c r="P297" s="70"/>
    </row>
    <row r="298" spans="1:16" hidden="1" outlineLevel="1" x14ac:dyDescent="0.3">
      <c r="A298" s="63" t="s">
        <v>1004</v>
      </c>
      <c r="B298" s="63" t="s">
        <v>940</v>
      </c>
      <c r="C298" s="63" t="str">
        <f t="shared" si="2"/>
        <v>San Bernardino Valley Municipal Water District</v>
      </c>
      <c r="D298" s="471">
        <f>IFERROR(SUMIFS(uwmp_table_4_2_w!I$2:I$9900,uwmp_table_4_2_w!$G$2:$G$9900,"Single Family",uwmp_table_4_2_w!$B$2:$B$9900,'Contractor Assumptions'!$F45),0) + IFERROR(SUMIFS(uwmp_table_4_2_r!I$2:I$9900,uwmp_table_4_2_r!$G$2:$G$9900,"Single Family",uwmp_table_4_2_r!$B$2:$B$9900,'Contractor Assumptions'!$F45),0)</f>
        <v>0</v>
      </c>
      <c r="E298" s="471">
        <f>IFERROR(SUMIFS(uwmp_table_4_2_w!J$2:J$9900,uwmp_table_4_2_w!$G$2:$G$9900,"Single Family",uwmp_table_4_2_w!$B$2:$B$9900,'Contractor Assumptions'!$F45),0) + IFERROR(SUMIFS(uwmp_table_4_2_r!J$2:J$9900,uwmp_table_4_2_r!$G$2:$G$9900,"Single Family",uwmp_table_4_2_r!$B$2:$B$9900,'Contractor Assumptions'!$F45),0)</f>
        <v>0</v>
      </c>
      <c r="F298" s="471">
        <f>IFERROR(SUMIFS(uwmp_table_4_2_w!K$2:K$9900,uwmp_table_4_2_w!$G$2:$G$9900,"Single Family",uwmp_table_4_2_w!$B$2:$B$9900,'Contractor Assumptions'!$F45),0) + IFERROR(SUMIFS(uwmp_table_4_2_r!K$2:K$9900,uwmp_table_4_2_r!$G$2:$G$9900,"Single Family",uwmp_table_4_2_r!$B$2:$B$9900,'Contractor Assumptions'!$F45),0)</f>
        <v>0</v>
      </c>
      <c r="G298" s="471">
        <f>IFERROR(SUMIFS(uwmp_table_4_2_w!L$2:L$9900,uwmp_table_4_2_w!$G$2:$G$9900,"Single Family",uwmp_table_4_2_w!$B$2:$B$9900,'Contractor Assumptions'!$F45),0) + IFERROR(SUMIFS(uwmp_table_4_2_r!L$2:L$9900,uwmp_table_4_2_r!$G$2:$G$9900,"Single Family",uwmp_table_4_2_r!$B$2:$B$9900,'Contractor Assumptions'!$F45),0)</f>
        <v>0</v>
      </c>
      <c r="H298" s="518">
        <f>IFERROR(SUMIFS(uwmp_table_4_2_w!M$2:M$9900,uwmp_table_4_2_w!$G$2:$G$9900,"Single Family",uwmp_table_4_2_w!$B$2:$B$9900,'Contractor Assumptions'!$F45),0) + IFERROR(SUMIFS(uwmp_table_4_2_r!M$2:M$9900,uwmp_table_4_2_r!$G$2:$G$9900,"Single Family",uwmp_table_4_2_r!$B$2:$B$9900,'Contractor Assumptions'!$F45),0)</f>
        <v>0</v>
      </c>
      <c r="I298" s="66"/>
      <c r="J298" s="70"/>
      <c r="K298" s="70"/>
      <c r="L298" s="70"/>
      <c r="M298" s="70"/>
      <c r="N298" s="70"/>
      <c r="O298" s="70"/>
      <c r="P298" s="70"/>
    </row>
    <row r="299" spans="1:16" hidden="1" outlineLevel="1" x14ac:dyDescent="0.3">
      <c r="A299" s="63" t="s">
        <v>1004</v>
      </c>
      <c r="B299" s="63" t="s">
        <v>940</v>
      </c>
      <c r="C299" s="63" t="str">
        <f t="shared" si="2"/>
        <v>San Gabriel Valley Municipal Water District</v>
      </c>
      <c r="D299" s="471" t="s">
        <v>204</v>
      </c>
      <c r="E299" s="471" t="s">
        <v>204</v>
      </c>
      <c r="F299" s="471" t="s">
        <v>204</v>
      </c>
      <c r="G299" s="471" t="s">
        <v>204</v>
      </c>
      <c r="H299" s="518" t="s">
        <v>204</v>
      </c>
      <c r="I299" s="66"/>
      <c r="J299" s="70"/>
      <c r="K299" s="70"/>
      <c r="L299" s="70"/>
      <c r="M299" s="70"/>
      <c r="N299" s="70"/>
      <c r="O299" s="70"/>
      <c r="P299" s="70"/>
    </row>
    <row r="300" spans="1:16" hidden="1" outlineLevel="1" x14ac:dyDescent="0.3">
      <c r="A300" s="63" t="s">
        <v>1004</v>
      </c>
      <c r="B300" s="63" t="s">
        <v>940</v>
      </c>
      <c r="C300" s="63" t="str">
        <f t="shared" si="2"/>
        <v>San Gorgonio Pass Water Agency</v>
      </c>
      <c r="D300" s="471">
        <v>19081</v>
      </c>
      <c r="E300" s="471">
        <v>22515.4</v>
      </c>
      <c r="F300" s="471">
        <v>24231.4</v>
      </c>
      <c r="G300" s="471">
        <v>25979.4</v>
      </c>
      <c r="H300" s="518">
        <v>27587.4</v>
      </c>
      <c r="I300" s="66" t="s">
        <v>1018</v>
      </c>
      <c r="J300" s="70"/>
      <c r="K300" s="70"/>
      <c r="L300" s="70"/>
      <c r="M300" s="70"/>
      <c r="N300" s="70"/>
      <c r="O300" s="70"/>
      <c r="P300" s="70"/>
    </row>
    <row r="301" spans="1:16" hidden="1" outlineLevel="1" x14ac:dyDescent="0.3">
      <c r="A301" s="63" t="s">
        <v>1004</v>
      </c>
      <c r="B301" s="63" t="s">
        <v>940</v>
      </c>
      <c r="C301" s="63" t="str">
        <f t="shared" si="2"/>
        <v>Ventura County Watershed Protection District</v>
      </c>
      <c r="D301" s="471" t="s">
        <v>204</v>
      </c>
      <c r="E301" s="471" t="s">
        <v>204</v>
      </c>
      <c r="F301" s="471" t="s">
        <v>204</v>
      </c>
      <c r="G301" s="471" t="s">
        <v>204</v>
      </c>
      <c r="H301" s="518" t="s">
        <v>204</v>
      </c>
      <c r="I301" s="66"/>
      <c r="J301" s="70"/>
      <c r="K301" s="70"/>
      <c r="L301" s="70"/>
      <c r="M301" s="70"/>
      <c r="N301" s="70"/>
      <c r="O301" s="70"/>
      <c r="P301" s="70"/>
    </row>
    <row r="302" spans="1:16" collapsed="1" x14ac:dyDescent="0.3">
      <c r="A302" s="120"/>
      <c r="B302" s="120"/>
      <c r="C302" s="407" t="s">
        <v>992</v>
      </c>
      <c r="D302" s="121"/>
      <c r="E302" s="121"/>
      <c r="F302" s="121"/>
      <c r="G302" s="121"/>
      <c r="H302" s="519"/>
      <c r="I302" s="121"/>
      <c r="J302" s="70"/>
      <c r="K302" s="70"/>
      <c r="L302" s="70"/>
      <c r="M302" s="70"/>
      <c r="N302" s="70"/>
      <c r="O302" s="70"/>
      <c r="P302" s="70"/>
    </row>
    <row r="303" spans="1:16" x14ac:dyDescent="0.3">
      <c r="A303" s="63"/>
      <c r="B303" s="63"/>
      <c r="C303" s="129" t="s">
        <v>990</v>
      </c>
      <c r="D303" s="147">
        <f>SUM(D305:D347)</f>
        <v>742359.0953387653</v>
      </c>
      <c r="E303" s="147">
        <f>SUM(E305:E347)</f>
        <v>779515.88176380505</v>
      </c>
      <c r="F303" s="147">
        <f>SUM(F305:F347)</f>
        <v>834625.39508630103</v>
      </c>
      <c r="G303" s="147">
        <f>SUM(G305:G347)</f>
        <v>871650.75747781515</v>
      </c>
      <c r="H303" s="516">
        <f>SUM(H305:H347)</f>
        <v>908460.40649185795</v>
      </c>
      <c r="I303" s="66"/>
      <c r="J303" s="70"/>
      <c r="K303" s="70"/>
      <c r="L303" s="70"/>
      <c r="M303" s="70"/>
      <c r="N303" s="70"/>
      <c r="O303" s="70"/>
      <c r="P303" s="70"/>
    </row>
    <row r="304" spans="1:16" x14ac:dyDescent="0.3">
      <c r="A304" s="122" t="s">
        <v>5</v>
      </c>
      <c r="B304" s="122"/>
      <c r="C304" s="122" t="s">
        <v>193</v>
      </c>
      <c r="D304" s="123">
        <v>2025</v>
      </c>
      <c r="E304" s="123">
        <v>2030</v>
      </c>
      <c r="F304" s="123">
        <v>2035</v>
      </c>
      <c r="G304" s="123">
        <v>2040</v>
      </c>
      <c r="H304" s="505">
        <v>2045</v>
      </c>
      <c r="I304" s="123" t="s">
        <v>153</v>
      </c>
      <c r="J304" s="70"/>
      <c r="K304" s="70"/>
      <c r="L304" s="70"/>
      <c r="M304" s="70"/>
      <c r="N304" s="70"/>
      <c r="O304" s="70"/>
      <c r="P304" s="70"/>
    </row>
    <row r="305" spans="1:16" hidden="1" outlineLevel="1" x14ac:dyDescent="0.3">
      <c r="A305" s="63" t="s">
        <v>439</v>
      </c>
      <c r="B305" s="63" t="s">
        <v>855</v>
      </c>
      <c r="C305" s="63" t="str">
        <f t="shared" ref="C305:C347" si="3">C259</f>
        <v>Butte County</v>
      </c>
      <c r="D305" s="471" t="s">
        <v>204</v>
      </c>
      <c r="E305" s="471" t="s">
        <v>204</v>
      </c>
      <c r="F305" s="471" t="s">
        <v>204</v>
      </c>
      <c r="G305" s="471" t="s">
        <v>204</v>
      </c>
      <c r="H305" s="518" t="s">
        <v>204</v>
      </c>
      <c r="I305" s="66"/>
      <c r="J305" s="70"/>
      <c r="K305" s="70"/>
      <c r="L305" s="70"/>
      <c r="M305" s="70"/>
      <c r="N305" s="70"/>
      <c r="O305" s="70"/>
      <c r="P305" s="70"/>
    </row>
    <row r="306" spans="1:16" hidden="1" outlineLevel="1" x14ac:dyDescent="0.3">
      <c r="A306" s="63" t="s">
        <v>439</v>
      </c>
      <c r="B306" s="63" t="s">
        <v>855</v>
      </c>
      <c r="C306" s="63" t="str">
        <f t="shared" si="3"/>
        <v>City of Folsom</v>
      </c>
      <c r="D306" s="472">
        <f>IFERROR(SUMIFS(uwmp_table_4_2_w!I$2:I$9900,uwmp_table_4_2_w!$G$2:$G$9900,"Multi-Family",uwmp_table_4_2_w!$B$2:$B$9900,'Contractor Assumptions'!$F7),0) + IFERROR(SUMIFS(uwmp_table_4_2_r!I$2:I$9900,uwmp_table_4_2_r!$G$2:$G$9900,"Multi-Family",uwmp_table_4_2_r!$B$2:$B$9900,'Contractor Assumptions'!$F7),0)*IFERROR(VLOOKUP(VLOOKUP('Contractor Assumptions'!$F7,uwmp_table_4_2_r!$B$2:$N$9900,13,FALSE),$A$11:$C$13,2,FALSE), VLOOKUP(VLOOKUP('Contractor Assumptions'!$F7,uwmp_table_4_2_w!$B$2:$N$9900,14,FALSE),$A$11:$C$13,2,FALSE))</f>
        <v>2056</v>
      </c>
      <c r="E306" s="472">
        <f>IFERROR(SUMIFS(uwmp_table_4_2_w!J$2:J$9900,uwmp_table_4_2_w!$G$2:$G$9900,"Multi-Family",uwmp_table_4_2_w!$B$2:$B$9900,'Contractor Assumptions'!$F7),0) + IFERROR(SUMIFS(uwmp_table_4_2_r!J$2:J$9900,uwmp_table_4_2_r!$G$2:$G$9900,"Multi-Family",uwmp_table_4_2_r!$B$2:$B$9900,'Contractor Assumptions'!$F7),0)*IFERROR(VLOOKUP(VLOOKUP('Contractor Assumptions'!$F7,uwmp_table_4_2_r!$B$2:$N$9900,13,FALSE),$A$11:$C$13,2,FALSE), VLOOKUP(VLOOKUP('Contractor Assumptions'!$F7,uwmp_table_4_2_w!$B$2:$N$9900,14,FALSE),$A$11:$C$13,2,FALSE))</f>
        <v>2458</v>
      </c>
      <c r="F306" s="472">
        <f>IFERROR(SUMIFS(uwmp_table_4_2_w!K$2:K$9900,uwmp_table_4_2_w!$G$2:$G$9900,"Multi-Family",uwmp_table_4_2_w!$B$2:$B$9900,'Contractor Assumptions'!$F7),0) + IFERROR(SUMIFS(uwmp_table_4_2_r!K$2:K$9900,uwmp_table_4_2_r!$G$2:$G$9900,"Multi-Family",uwmp_table_4_2_r!$B$2:$B$9900,'Contractor Assumptions'!$F7),0)*IFERROR(VLOOKUP(VLOOKUP('Contractor Assumptions'!$F7,uwmp_table_4_2_r!$B$2:$N$9900,13,FALSE),$A$11:$C$13,2,FALSE), VLOOKUP(VLOOKUP('Contractor Assumptions'!$F7,uwmp_table_4_2_w!$B$2:$N$9900,14,FALSE),$A$11:$C$13,2,FALSE))</f>
        <v>2780</v>
      </c>
      <c r="G306" s="472">
        <f>IFERROR(SUMIFS(uwmp_table_4_2_w!L$2:L$9900,uwmp_table_4_2_w!$G$2:$G$9900,"Multi-Family",uwmp_table_4_2_w!$B$2:$B$9900,'Contractor Assumptions'!$F7),0) + IFERROR(SUMIFS(uwmp_table_4_2_r!L$2:L$9900,uwmp_table_4_2_r!$G$2:$G$9900,"Multi-Family",uwmp_table_4_2_r!$B$2:$B$9900,'Contractor Assumptions'!$F7),0)*IFERROR(VLOOKUP(VLOOKUP('Contractor Assumptions'!$F7,uwmp_table_4_2_r!$B$2:$N$9900,13,FALSE),$A$11:$C$13,2,FALSE), VLOOKUP(VLOOKUP('Contractor Assumptions'!$F7,uwmp_table_4_2_w!$B$2:$N$9900,14,FALSE),$A$11:$C$13,2,FALSE))</f>
        <v>2970</v>
      </c>
      <c r="H306" s="520">
        <f>IFERROR(SUMIFS(uwmp_table_4_2_w!M$2:M$9900,uwmp_table_4_2_w!$G$2:$G$9900,"Multi-Family",uwmp_table_4_2_w!$B$2:$B$9900,'Contractor Assumptions'!$F7),0) + IFERROR(SUMIFS(uwmp_table_4_2_r!M$2:M$9900,uwmp_table_4_2_r!$G$2:$G$9900,"Multi-Family",uwmp_table_4_2_r!$B$2:$B$9900,'Contractor Assumptions'!$F7),0)*IFERROR(VLOOKUP(VLOOKUP('Contractor Assumptions'!$F7,uwmp_table_4_2_r!$B$2:$N$9900,13,FALSE),$A$11:$C$13,2,FALSE), VLOOKUP(VLOOKUP('Contractor Assumptions'!$F7,uwmp_table_4_2_w!$B$2:$N$9900,14,FALSE),$A$11:$C$13,2,FALSE))</f>
        <v>3136</v>
      </c>
      <c r="I306" s="66" t="s">
        <v>1005</v>
      </c>
      <c r="J306" s="70"/>
      <c r="K306" s="70"/>
      <c r="L306" s="70"/>
      <c r="M306" s="70"/>
      <c r="N306" s="70"/>
      <c r="O306" s="70"/>
      <c r="P306" s="70"/>
    </row>
    <row r="307" spans="1:16" hidden="1" outlineLevel="1" x14ac:dyDescent="0.3">
      <c r="A307" s="63" t="s">
        <v>439</v>
      </c>
      <c r="B307" s="63" t="s">
        <v>855</v>
      </c>
      <c r="C307" s="63" t="str">
        <f t="shared" si="3"/>
        <v>City of Redding</v>
      </c>
      <c r="D307" s="472">
        <f>IFERROR(SUMIFS(uwmp_table_4_2_w!I$2:I$9900,uwmp_table_4_2_w!$G$2:$G$9900,"Multi-Family",uwmp_table_4_2_w!$B$2:$B$9900,'Contractor Assumptions'!$F8),0) + IFERROR(SUMIFS(uwmp_table_4_2_r!I$2:I$9900,uwmp_table_4_2_r!$G$2:$G$9900,"Multi-Family",uwmp_table_4_2_r!$B$2:$B$9900,'Contractor Assumptions'!$F8),0)*IFERROR(VLOOKUP(VLOOKUP('Contractor Assumptions'!$F8,uwmp_table_4_2_r!$B$2:$N$9900,13,FALSE),$A$11:$C$13,2,FALSE), VLOOKUP(VLOOKUP('Contractor Assumptions'!$F8,uwmp_table_4_2_w!$B$2:$N$9900,14,FALSE),$A$11:$C$13,2,FALSE))</f>
        <v>824</v>
      </c>
      <c r="E307" s="472">
        <f>IFERROR(SUMIFS(uwmp_table_4_2_w!J$2:J$9900,uwmp_table_4_2_w!$G$2:$G$9900,"Multi-Family",uwmp_table_4_2_w!$B$2:$B$9900,'Contractor Assumptions'!$F8),0) + IFERROR(SUMIFS(uwmp_table_4_2_r!J$2:J$9900,uwmp_table_4_2_r!$G$2:$G$9900,"Multi-Family",uwmp_table_4_2_r!$B$2:$B$9900,'Contractor Assumptions'!$F8),0)*IFERROR(VLOOKUP(VLOOKUP('Contractor Assumptions'!$F8,uwmp_table_4_2_r!$B$2:$N$9900,13,FALSE),$A$11:$C$13,2,FALSE), VLOOKUP(VLOOKUP('Contractor Assumptions'!$F8,uwmp_table_4_2_w!$B$2:$N$9900,14,FALSE),$A$11:$C$13,2,FALSE))</f>
        <v>841</v>
      </c>
      <c r="F307" s="472">
        <f>IFERROR(SUMIFS(uwmp_table_4_2_w!K$2:K$9900,uwmp_table_4_2_w!$G$2:$G$9900,"Multi-Family",uwmp_table_4_2_w!$B$2:$B$9900,'Contractor Assumptions'!$F8),0) + IFERROR(SUMIFS(uwmp_table_4_2_r!K$2:K$9900,uwmp_table_4_2_r!$G$2:$G$9900,"Multi-Family",uwmp_table_4_2_r!$B$2:$B$9900,'Contractor Assumptions'!$F8),0)*IFERROR(VLOOKUP(VLOOKUP('Contractor Assumptions'!$F8,uwmp_table_4_2_r!$B$2:$N$9900,13,FALSE),$A$11:$C$13,2,FALSE), VLOOKUP(VLOOKUP('Contractor Assumptions'!$F8,uwmp_table_4_2_w!$B$2:$N$9900,14,FALSE),$A$11:$C$13,2,FALSE))</f>
        <v>859</v>
      </c>
      <c r="G307" s="472">
        <f>IFERROR(SUMIFS(uwmp_table_4_2_w!L$2:L$9900,uwmp_table_4_2_w!$G$2:$G$9900,"Multi-Family",uwmp_table_4_2_w!$B$2:$B$9900,'Contractor Assumptions'!$F8),0) + IFERROR(SUMIFS(uwmp_table_4_2_r!L$2:L$9900,uwmp_table_4_2_r!$G$2:$G$9900,"Multi-Family",uwmp_table_4_2_r!$B$2:$B$9900,'Contractor Assumptions'!$F8),0)*IFERROR(VLOOKUP(VLOOKUP('Contractor Assumptions'!$F8,uwmp_table_4_2_r!$B$2:$N$9900,13,FALSE),$A$11:$C$13,2,FALSE), VLOOKUP(VLOOKUP('Contractor Assumptions'!$F8,uwmp_table_4_2_w!$B$2:$N$9900,14,FALSE),$A$11:$C$13,2,FALSE))</f>
        <v>877</v>
      </c>
      <c r="H307" s="520">
        <f>IFERROR(SUMIFS(uwmp_table_4_2_w!M$2:M$9900,uwmp_table_4_2_w!$G$2:$G$9900,"Multi-Family",uwmp_table_4_2_w!$B$2:$B$9900,'Contractor Assumptions'!$F8),0) + IFERROR(SUMIFS(uwmp_table_4_2_r!M$2:M$9900,uwmp_table_4_2_r!$G$2:$G$9900,"Multi-Family",uwmp_table_4_2_r!$B$2:$B$9900,'Contractor Assumptions'!$F8),0)*IFERROR(VLOOKUP(VLOOKUP('Contractor Assumptions'!$F8,uwmp_table_4_2_r!$B$2:$N$9900,13,FALSE),$A$11:$C$13,2,FALSE), VLOOKUP(VLOOKUP('Contractor Assumptions'!$F8,uwmp_table_4_2_w!$B$2:$N$9900,14,FALSE),$A$11:$C$13,2,FALSE))</f>
        <v>895</v>
      </c>
      <c r="I307" s="66"/>
      <c r="J307" s="70"/>
      <c r="K307" s="70"/>
      <c r="L307" s="70"/>
      <c r="M307" s="70"/>
      <c r="N307" s="70"/>
      <c r="O307" s="70"/>
      <c r="P307" s="70"/>
    </row>
    <row r="308" spans="1:16" hidden="1" outlineLevel="1" x14ac:dyDescent="0.3">
      <c r="A308" s="63" t="s">
        <v>439</v>
      </c>
      <c r="B308" s="63" t="s">
        <v>855</v>
      </c>
      <c r="C308" s="63" t="str">
        <f t="shared" si="3"/>
        <v>City of Roseville</v>
      </c>
      <c r="D308" s="472">
        <f>IFERROR(SUMIFS(uwmp_table_4_2_w!I$2:I$9900,uwmp_table_4_2_w!$G$2:$G$9900,"Multi-Family",uwmp_table_4_2_w!$B$2:$B$9900,'Contractor Assumptions'!$F9),0) + IFERROR(SUMIFS(uwmp_table_4_2_r!I$2:I$9900,uwmp_table_4_2_r!$G$2:$G$9900,"Multi-Family",uwmp_table_4_2_r!$B$2:$B$9900,'Contractor Assumptions'!$F9),0)*IFERROR(VLOOKUP(VLOOKUP('Contractor Assumptions'!$F9,uwmp_table_4_2_r!$B$2:$N$9900,13,FALSE),$A$11:$C$13,2,FALSE), VLOOKUP(VLOOKUP('Contractor Assumptions'!$F9,uwmp_table_4_2_w!$B$2:$N$9900,14,FALSE),$A$11:$C$13,2,FALSE))</f>
        <v>1752</v>
      </c>
      <c r="E308" s="472">
        <f>IFERROR(SUMIFS(uwmp_table_4_2_w!J$2:J$9900,uwmp_table_4_2_w!$G$2:$G$9900,"Multi-Family",uwmp_table_4_2_w!$B$2:$B$9900,'Contractor Assumptions'!$F9),0) + IFERROR(SUMIFS(uwmp_table_4_2_r!J$2:J$9900,uwmp_table_4_2_r!$G$2:$G$9900,"Multi-Family",uwmp_table_4_2_r!$B$2:$B$9900,'Contractor Assumptions'!$F9),0)*IFERROR(VLOOKUP(VLOOKUP('Contractor Assumptions'!$F9,uwmp_table_4_2_r!$B$2:$N$9900,13,FALSE),$A$11:$C$13,2,FALSE), VLOOKUP(VLOOKUP('Contractor Assumptions'!$F9,uwmp_table_4_2_w!$B$2:$N$9900,14,FALSE),$A$11:$C$13,2,FALSE))</f>
        <v>2029</v>
      </c>
      <c r="F308" s="472">
        <f>IFERROR(SUMIFS(uwmp_table_4_2_w!K$2:K$9900,uwmp_table_4_2_w!$G$2:$G$9900,"Multi-Family",uwmp_table_4_2_w!$B$2:$B$9900,'Contractor Assumptions'!$F9),0) + IFERROR(SUMIFS(uwmp_table_4_2_r!K$2:K$9900,uwmp_table_4_2_r!$G$2:$G$9900,"Multi-Family",uwmp_table_4_2_r!$B$2:$B$9900,'Contractor Assumptions'!$F9),0)*IFERROR(VLOOKUP(VLOOKUP('Contractor Assumptions'!$F9,uwmp_table_4_2_r!$B$2:$N$9900,13,FALSE),$A$11:$C$13,2,FALSE), VLOOKUP(VLOOKUP('Contractor Assumptions'!$F9,uwmp_table_4_2_w!$B$2:$N$9900,14,FALSE),$A$11:$C$13,2,FALSE))</f>
        <v>2725</v>
      </c>
      <c r="G308" s="472">
        <f>IFERROR(SUMIFS(uwmp_table_4_2_w!L$2:L$9900,uwmp_table_4_2_w!$G$2:$G$9900,"Multi-Family",uwmp_table_4_2_w!$B$2:$B$9900,'Contractor Assumptions'!$F9),0) + IFERROR(SUMIFS(uwmp_table_4_2_r!L$2:L$9900,uwmp_table_4_2_r!$G$2:$G$9900,"Multi-Family",uwmp_table_4_2_r!$B$2:$B$9900,'Contractor Assumptions'!$F9),0)*IFERROR(VLOOKUP(VLOOKUP('Contractor Assumptions'!$F9,uwmp_table_4_2_r!$B$2:$N$9900,13,FALSE),$A$11:$C$13,2,FALSE), VLOOKUP(VLOOKUP('Contractor Assumptions'!$F9,uwmp_table_4_2_w!$B$2:$N$9900,14,FALSE),$A$11:$C$13,2,FALSE))</f>
        <v>2725</v>
      </c>
      <c r="H308" s="520">
        <f>IFERROR(SUMIFS(uwmp_table_4_2_w!M$2:M$9900,uwmp_table_4_2_w!$G$2:$G$9900,"Multi-Family",uwmp_table_4_2_w!$B$2:$B$9900,'Contractor Assumptions'!$F9),0) + IFERROR(SUMIFS(uwmp_table_4_2_r!M$2:M$9900,uwmp_table_4_2_r!$G$2:$G$9900,"Multi-Family",uwmp_table_4_2_r!$B$2:$B$9900,'Contractor Assumptions'!$F9),0)*IFERROR(VLOOKUP(VLOOKUP('Contractor Assumptions'!$F9,uwmp_table_4_2_r!$B$2:$N$9900,13,FALSE),$A$11:$C$13,2,FALSE), VLOOKUP(VLOOKUP('Contractor Assumptions'!$F9,uwmp_table_4_2_w!$B$2:$N$9900,14,FALSE),$A$11:$C$13,2,FALSE))</f>
        <v>2725</v>
      </c>
      <c r="I308" s="66" t="s">
        <v>1006</v>
      </c>
      <c r="J308" s="70"/>
      <c r="K308" s="70"/>
      <c r="L308" s="70"/>
      <c r="M308" s="70"/>
      <c r="N308" s="70"/>
      <c r="O308" s="70"/>
      <c r="P308" s="70"/>
    </row>
    <row r="309" spans="1:16" hidden="1" outlineLevel="1" x14ac:dyDescent="0.3">
      <c r="A309" s="63" t="s">
        <v>439</v>
      </c>
      <c r="B309" s="63" t="s">
        <v>855</v>
      </c>
      <c r="C309" s="63" t="str">
        <f t="shared" si="3"/>
        <v>City of West Sacramento</v>
      </c>
      <c r="D309" s="472">
        <f>IFERROR(SUMIFS(uwmp_table_4_2_w!I$2:I$9900,uwmp_table_4_2_w!$G$2:$G$9900,"Multi-Family",uwmp_table_4_2_w!$B$2:$B$9900,'Contractor Assumptions'!$F10),0) + IFERROR(SUMIFS(uwmp_table_4_2_r!I$2:I$9900,uwmp_table_4_2_r!$G$2:$G$9900,"Multi-Family",uwmp_table_4_2_r!$B$2:$B$9900,'Contractor Assumptions'!$F10),0)*IFERROR(VLOOKUP(VLOOKUP('Contractor Assumptions'!$F10,uwmp_table_4_2_r!$B$2:$N$9900,13,FALSE),$A$11:$C$13,2,FALSE), VLOOKUP(VLOOKUP('Contractor Assumptions'!$F10,uwmp_table_4_2_w!$B$2:$N$9900,14,FALSE),$A$11:$C$13,2,FALSE))</f>
        <v>1368</v>
      </c>
      <c r="E309" s="472">
        <f>IFERROR(SUMIFS(uwmp_table_4_2_w!J$2:J$9900,uwmp_table_4_2_w!$G$2:$G$9900,"Multi-Family",uwmp_table_4_2_w!$B$2:$B$9900,'Contractor Assumptions'!$F10),0) + IFERROR(SUMIFS(uwmp_table_4_2_r!J$2:J$9900,uwmp_table_4_2_r!$G$2:$G$9900,"Multi-Family",uwmp_table_4_2_r!$B$2:$B$9900,'Contractor Assumptions'!$F10),0)*IFERROR(VLOOKUP(VLOOKUP('Contractor Assumptions'!$F10,uwmp_table_4_2_r!$B$2:$N$9900,13,FALSE),$A$11:$C$13,2,FALSE), VLOOKUP(VLOOKUP('Contractor Assumptions'!$F10,uwmp_table_4_2_w!$B$2:$N$9900,14,FALSE),$A$11:$C$13,2,FALSE))</f>
        <v>1490</v>
      </c>
      <c r="F309" s="472">
        <f>IFERROR(SUMIFS(uwmp_table_4_2_w!K$2:K$9900,uwmp_table_4_2_w!$G$2:$G$9900,"Multi-Family",uwmp_table_4_2_w!$B$2:$B$9900,'Contractor Assumptions'!$F10),0) + IFERROR(SUMIFS(uwmp_table_4_2_r!K$2:K$9900,uwmp_table_4_2_r!$G$2:$G$9900,"Multi-Family",uwmp_table_4_2_r!$B$2:$B$9900,'Contractor Assumptions'!$F10),0)*IFERROR(VLOOKUP(VLOOKUP('Contractor Assumptions'!$F10,uwmp_table_4_2_r!$B$2:$N$9900,13,FALSE),$A$11:$C$13,2,FALSE), VLOOKUP(VLOOKUP('Contractor Assumptions'!$F10,uwmp_table_4_2_w!$B$2:$N$9900,14,FALSE),$A$11:$C$13,2,FALSE))</f>
        <v>1550</v>
      </c>
      <c r="G309" s="472">
        <f>IFERROR(SUMIFS(uwmp_table_4_2_w!L$2:L$9900,uwmp_table_4_2_w!$G$2:$G$9900,"Multi-Family",uwmp_table_4_2_w!$B$2:$B$9900,'Contractor Assumptions'!$F10),0) + IFERROR(SUMIFS(uwmp_table_4_2_r!L$2:L$9900,uwmp_table_4_2_r!$G$2:$G$9900,"Multi-Family",uwmp_table_4_2_r!$B$2:$B$9900,'Contractor Assumptions'!$F10),0)*IFERROR(VLOOKUP(VLOOKUP('Contractor Assumptions'!$F10,uwmp_table_4_2_r!$B$2:$N$9900,13,FALSE),$A$11:$C$13,2,FALSE), VLOOKUP(VLOOKUP('Contractor Assumptions'!$F10,uwmp_table_4_2_w!$B$2:$N$9900,14,FALSE),$A$11:$C$13,2,FALSE))</f>
        <v>1610</v>
      </c>
      <c r="H309" s="520">
        <f>IFERROR(SUMIFS(uwmp_table_4_2_w!M$2:M$9900,uwmp_table_4_2_w!$G$2:$G$9900,"Multi-Family",uwmp_table_4_2_w!$B$2:$B$9900,'Contractor Assumptions'!$F10),0) + IFERROR(SUMIFS(uwmp_table_4_2_r!M$2:M$9900,uwmp_table_4_2_r!$G$2:$G$9900,"Multi-Family",uwmp_table_4_2_r!$B$2:$B$9900,'Contractor Assumptions'!$F10),0)*IFERROR(VLOOKUP(VLOOKUP('Contractor Assumptions'!$F10,uwmp_table_4_2_r!$B$2:$N$9900,13,FALSE),$A$11:$C$13,2,FALSE), VLOOKUP(VLOOKUP('Contractor Assumptions'!$F10,uwmp_table_4_2_w!$B$2:$N$9900,14,FALSE),$A$11:$C$13,2,FALSE))</f>
        <v>1760</v>
      </c>
      <c r="I309" s="66"/>
      <c r="J309" s="70"/>
      <c r="K309" s="70"/>
      <c r="L309" s="70"/>
      <c r="M309" s="70"/>
      <c r="N309" s="70"/>
      <c r="O309" s="70"/>
      <c r="P309" s="70"/>
    </row>
    <row r="310" spans="1:16" hidden="1" outlineLevel="1" x14ac:dyDescent="0.3">
      <c r="A310" s="63" t="s">
        <v>439</v>
      </c>
      <c r="B310" s="63" t="s">
        <v>855</v>
      </c>
      <c r="C310" s="63" t="str">
        <f t="shared" si="3"/>
        <v>Yuba City</v>
      </c>
      <c r="D310" s="472">
        <f>1620 + 30</f>
        <v>1650</v>
      </c>
      <c r="E310" s="472">
        <f>1620 + 70</f>
        <v>1690</v>
      </c>
      <c r="F310" s="472">
        <f>1620 + 120</f>
        <v>1740</v>
      </c>
      <c r="G310" s="472">
        <f>1620 + 180</f>
        <v>1800</v>
      </c>
      <c r="H310" s="520">
        <f>1620 + 240</f>
        <v>1860</v>
      </c>
      <c r="I310" s="66" t="str">
        <f>I264</f>
        <v>2020 UWMP Table 4-9 (Yuba City, 2021)</v>
      </c>
      <c r="J310" s="70"/>
      <c r="K310" s="70"/>
      <c r="L310" s="70"/>
      <c r="M310" s="70"/>
      <c r="N310" s="70"/>
      <c r="O310" s="70"/>
      <c r="P310" s="70"/>
    </row>
    <row r="311" spans="1:16" hidden="1" outlineLevel="1" x14ac:dyDescent="0.3">
      <c r="A311" s="63" t="s">
        <v>439</v>
      </c>
      <c r="B311" s="63" t="s">
        <v>855</v>
      </c>
      <c r="C311" s="63" t="str">
        <f t="shared" si="3"/>
        <v>El Dorado Irrigation District</v>
      </c>
      <c r="D311" s="472">
        <v>1520</v>
      </c>
      <c r="E311" s="472">
        <v>1520</v>
      </c>
      <c r="F311" s="472">
        <v>1520</v>
      </c>
      <c r="G311" s="472">
        <v>1520</v>
      </c>
      <c r="H311" s="520">
        <v>1520</v>
      </c>
      <c r="I311" s="66" t="str">
        <f>I265</f>
        <v>2020 UWMP Table 4-11 (El Dorado Irrigation District, 2021)</v>
      </c>
      <c r="J311" s="70"/>
      <c r="K311" s="70"/>
      <c r="L311" s="70"/>
      <c r="M311" s="70"/>
      <c r="N311" s="70"/>
      <c r="O311" s="70"/>
      <c r="P311" s="70"/>
    </row>
    <row r="312" spans="1:16" hidden="1" outlineLevel="1" x14ac:dyDescent="0.3">
      <c r="A312" s="63" t="s">
        <v>439</v>
      </c>
      <c r="B312" s="63" t="s">
        <v>855</v>
      </c>
      <c r="C312" s="63" t="str">
        <f t="shared" si="3"/>
        <v>Napa County Flood Control &amp; Water Conservation District</v>
      </c>
      <c r="D312" s="471" t="s">
        <v>204</v>
      </c>
      <c r="E312" s="471" t="s">
        <v>204</v>
      </c>
      <c r="F312" s="471" t="s">
        <v>204</v>
      </c>
      <c r="G312" s="471" t="s">
        <v>204</v>
      </c>
      <c r="H312" s="518" t="s">
        <v>204</v>
      </c>
      <c r="I312" s="66"/>
      <c r="J312" s="70"/>
      <c r="K312" s="70"/>
      <c r="L312" s="70"/>
      <c r="M312" s="70"/>
      <c r="N312" s="70"/>
      <c r="O312" s="70"/>
      <c r="P312" s="70"/>
    </row>
    <row r="313" spans="1:16" hidden="1" outlineLevel="1" x14ac:dyDescent="0.3">
      <c r="A313" s="63" t="s">
        <v>439</v>
      </c>
      <c r="B313" s="63" t="s">
        <v>855</v>
      </c>
      <c r="C313" s="63" t="str">
        <f t="shared" si="3"/>
        <v>Placer County Water Agency</v>
      </c>
      <c r="D313" s="472">
        <f>IFERROR(SUMIFS(uwmp_table_4_2_w!I$2:I$9900,uwmp_table_4_2_w!$G$2:$G$9900,"Multi-Family",uwmp_table_4_2_w!$B$2:$B$9900,'Contractor Assumptions'!$F14),0) + IFERROR(SUMIFS(uwmp_table_4_2_r!I$2:I$9900,uwmp_table_4_2_r!$G$2:$G$9900,"Multi-Family",uwmp_table_4_2_r!$B$2:$B$9900,'Contractor Assumptions'!$F14),0)*IFERROR(VLOOKUP(VLOOKUP('Contractor Assumptions'!$F14,uwmp_table_4_2_r!$B$2:$N$9900,13,FALSE),$A$11:$C$13,2,FALSE), VLOOKUP(VLOOKUP('Contractor Assumptions'!$F14,uwmp_table_4_2_w!$B$2:$N$9900,14,FALSE),$A$11:$C$13,2,FALSE))</f>
        <v>2521</v>
      </c>
      <c r="E313" s="472">
        <f>IFERROR(SUMIFS(uwmp_table_4_2_w!J$2:J$9900,uwmp_table_4_2_w!$G$2:$G$9900,"Multi-Family",uwmp_table_4_2_w!$B$2:$B$9900,'Contractor Assumptions'!$F14),0) + IFERROR(SUMIFS(uwmp_table_4_2_r!J$2:J$9900,uwmp_table_4_2_r!$G$2:$G$9900,"Multi-Family",uwmp_table_4_2_r!$B$2:$B$9900,'Contractor Assumptions'!$F14),0)*IFERROR(VLOOKUP(VLOOKUP('Contractor Assumptions'!$F14,uwmp_table_4_2_r!$B$2:$N$9900,13,FALSE),$A$11:$C$13,2,FALSE), VLOOKUP(VLOOKUP('Contractor Assumptions'!$F14,uwmp_table_4_2_w!$B$2:$N$9900,14,FALSE),$A$11:$C$13,2,FALSE))</f>
        <v>2877</v>
      </c>
      <c r="F313" s="472">
        <f>IFERROR(SUMIFS(uwmp_table_4_2_w!K$2:K$9900,uwmp_table_4_2_w!$G$2:$G$9900,"Multi-Family",uwmp_table_4_2_w!$B$2:$B$9900,'Contractor Assumptions'!$F14),0) + IFERROR(SUMIFS(uwmp_table_4_2_r!K$2:K$9900,uwmp_table_4_2_r!$G$2:$G$9900,"Multi-Family",uwmp_table_4_2_r!$B$2:$B$9900,'Contractor Assumptions'!$F14),0)*IFERROR(VLOOKUP(VLOOKUP('Contractor Assumptions'!$F14,uwmp_table_4_2_r!$B$2:$N$9900,13,FALSE),$A$11:$C$13,2,FALSE), VLOOKUP(VLOOKUP('Contractor Assumptions'!$F14,uwmp_table_4_2_w!$B$2:$N$9900,14,FALSE),$A$11:$C$13,2,FALSE))</f>
        <v>3285</v>
      </c>
      <c r="G313" s="472">
        <f>IFERROR(SUMIFS(uwmp_table_4_2_w!L$2:L$9900,uwmp_table_4_2_w!$G$2:$G$9900,"Multi-Family",uwmp_table_4_2_w!$B$2:$B$9900,'Contractor Assumptions'!$F14),0) + IFERROR(SUMIFS(uwmp_table_4_2_r!L$2:L$9900,uwmp_table_4_2_r!$G$2:$G$9900,"Multi-Family",uwmp_table_4_2_r!$B$2:$B$9900,'Contractor Assumptions'!$F14),0)*IFERROR(VLOOKUP(VLOOKUP('Contractor Assumptions'!$F14,uwmp_table_4_2_r!$B$2:$N$9900,13,FALSE),$A$11:$C$13,2,FALSE), VLOOKUP(VLOOKUP('Contractor Assumptions'!$F14,uwmp_table_4_2_w!$B$2:$N$9900,14,FALSE),$A$11:$C$13,2,FALSE))</f>
        <v>3755</v>
      </c>
      <c r="H313" s="520">
        <f>3572+408</f>
        <v>3980</v>
      </c>
      <c r="I313" s="66" t="s">
        <v>1009</v>
      </c>
      <c r="J313" s="70"/>
      <c r="K313" s="70"/>
      <c r="L313" s="70"/>
      <c r="M313" s="70"/>
      <c r="N313" s="70"/>
      <c r="O313" s="70"/>
      <c r="P313" s="70"/>
    </row>
    <row r="314" spans="1:16" hidden="1" outlineLevel="1" x14ac:dyDescent="0.3">
      <c r="A314" s="63" t="s">
        <v>439</v>
      </c>
      <c r="B314" s="63" t="s">
        <v>855</v>
      </c>
      <c r="C314" s="63" t="str">
        <f t="shared" si="3"/>
        <v>Sacramento County Water Agency</v>
      </c>
      <c r="D314" s="472">
        <f>1002 + 213 + 5 + 14+737</f>
        <v>1971</v>
      </c>
      <c r="E314" s="472">
        <f>1002 + 213 + 5 + 14+1474</f>
        <v>2708</v>
      </c>
      <c r="F314" s="472">
        <f>1002 + 213 + 5 + 14+2211</f>
        <v>3445</v>
      </c>
      <c r="G314" s="472">
        <f>1002 + 213 + 5 + 14+2918</f>
        <v>4152</v>
      </c>
      <c r="H314" s="520">
        <f>1002 + 213 + 5 + 14+3626</f>
        <v>4860</v>
      </c>
      <c r="I314" s="66" t="s">
        <v>1010</v>
      </c>
      <c r="J314" s="70"/>
      <c r="K314" s="70"/>
      <c r="L314" s="70"/>
      <c r="M314" s="70"/>
      <c r="N314" s="70"/>
      <c r="O314" s="70"/>
      <c r="P314" s="70"/>
    </row>
    <row r="315" spans="1:16" hidden="1" outlineLevel="1" x14ac:dyDescent="0.3">
      <c r="A315" s="63" t="s">
        <v>439</v>
      </c>
      <c r="B315" s="63" t="s">
        <v>855</v>
      </c>
      <c r="C315" s="63" t="str">
        <f t="shared" si="3"/>
        <v>San Juan Water District</v>
      </c>
      <c r="D315" s="472">
        <v>3421</v>
      </c>
      <c r="E315" s="472">
        <v>3465</v>
      </c>
      <c r="F315" s="472">
        <v>3552</v>
      </c>
      <c r="G315" s="472">
        <v>3632</v>
      </c>
      <c r="H315" s="520">
        <v>3719</v>
      </c>
      <c r="I315" s="66" t="s">
        <v>1011</v>
      </c>
      <c r="J315" s="70"/>
      <c r="K315" s="70"/>
      <c r="L315" s="70"/>
      <c r="M315" s="70"/>
      <c r="N315" s="70"/>
      <c r="O315" s="70"/>
      <c r="P315" s="70"/>
    </row>
    <row r="316" spans="1:16" hidden="1" outlineLevel="1" x14ac:dyDescent="0.3">
      <c r="A316" s="63" t="s">
        <v>439</v>
      </c>
      <c r="B316" s="63" t="s">
        <v>855</v>
      </c>
      <c r="C316" s="63" t="str">
        <f t="shared" si="3"/>
        <v>Shasta Contractors</v>
      </c>
      <c r="D316" s="471" t="s">
        <v>204</v>
      </c>
      <c r="E316" s="471" t="s">
        <v>204</v>
      </c>
      <c r="F316" s="471" t="s">
        <v>204</v>
      </c>
      <c r="G316" s="471" t="s">
        <v>204</v>
      </c>
      <c r="H316" s="518" t="s">
        <v>204</v>
      </c>
      <c r="I316" s="66"/>
      <c r="J316" s="70"/>
      <c r="K316" s="70"/>
      <c r="L316" s="70"/>
      <c r="M316" s="70"/>
      <c r="N316" s="70"/>
      <c r="O316" s="70"/>
      <c r="P316" s="70"/>
    </row>
    <row r="317" spans="1:16" hidden="1" outlineLevel="1" x14ac:dyDescent="0.3">
      <c r="A317" s="63" t="s">
        <v>439</v>
      </c>
      <c r="B317" s="63" t="s">
        <v>855</v>
      </c>
      <c r="C317" s="63" t="str">
        <f t="shared" si="3"/>
        <v>Solano County Water Agency</v>
      </c>
      <c r="D317" s="471" t="s">
        <v>204</v>
      </c>
      <c r="E317" s="471" t="s">
        <v>204</v>
      </c>
      <c r="F317" s="471" t="s">
        <v>204</v>
      </c>
      <c r="G317" s="471" t="s">
        <v>204</v>
      </c>
      <c r="H317" s="518" t="s">
        <v>204</v>
      </c>
      <c r="I317" s="66"/>
      <c r="J317" s="70"/>
      <c r="K317" s="70"/>
      <c r="L317" s="70"/>
      <c r="M317" s="70"/>
      <c r="N317" s="70"/>
      <c r="O317" s="70"/>
      <c r="P317" s="70"/>
    </row>
    <row r="318" spans="1:16" hidden="1" outlineLevel="1" x14ac:dyDescent="0.3">
      <c r="A318" s="63" t="s">
        <v>439</v>
      </c>
      <c r="B318" s="63" t="s">
        <v>894</v>
      </c>
      <c r="C318" s="63" t="str">
        <f t="shared" si="3"/>
        <v>City of Avenal</v>
      </c>
      <c r="D318" s="471" t="s">
        <v>204</v>
      </c>
      <c r="E318" s="471" t="s">
        <v>204</v>
      </c>
      <c r="F318" s="471" t="s">
        <v>204</v>
      </c>
      <c r="G318" s="471" t="s">
        <v>204</v>
      </c>
      <c r="H318" s="518" t="s">
        <v>204</v>
      </c>
      <c r="I318" s="66"/>
      <c r="J318" s="70"/>
      <c r="K318" s="70"/>
      <c r="L318" s="70"/>
      <c r="M318" s="70"/>
      <c r="N318" s="70"/>
      <c r="O318" s="70"/>
      <c r="P318" s="70"/>
    </row>
    <row r="319" spans="1:16" hidden="1" outlineLevel="1" x14ac:dyDescent="0.3">
      <c r="A319" s="63" t="s">
        <v>439</v>
      </c>
      <c r="B319" s="63" t="s">
        <v>894</v>
      </c>
      <c r="C319" s="63" t="str">
        <f t="shared" si="3"/>
        <v>City of Coalinga</v>
      </c>
      <c r="D319" s="472">
        <f>IFERROR(SUMIFS(uwmp_table_4_2_w!I$2:I$9900,uwmp_table_4_2_w!$G$2:$G$9900,"Multi-Family",uwmp_table_4_2_w!$B$2:$B$9900,'Contractor Assumptions'!$F20),0) + IFERROR(SUMIFS(uwmp_table_4_2_r!I$2:I$9900,uwmp_table_4_2_r!$G$2:$G$9900,"Multi-Family",uwmp_table_4_2_r!$B$2:$B$9900,'Contractor Assumptions'!$F20),0)*IFERROR(VLOOKUP(VLOOKUP('Contractor Assumptions'!$F20,uwmp_table_4_2_r!$B$2:$N$9900,13,FALSE),$A$11:$C$13,2,FALSE), VLOOKUP(VLOOKUP('Contractor Assumptions'!$F20,uwmp_table_4_2_w!$B$2:$N$9900,14,FALSE),$A$11:$C$13,2,FALSE))</f>
        <v>156.51328035</v>
      </c>
      <c r="E319" s="472">
        <f>IFERROR(SUMIFS(uwmp_table_4_2_w!J$2:J$9900,uwmp_table_4_2_w!$G$2:$G$9900,"Multi-Family",uwmp_table_4_2_w!$B$2:$B$9900,'Contractor Assumptions'!$F20),0) + IFERROR(SUMIFS(uwmp_table_4_2_r!J$2:J$9900,uwmp_table_4_2_r!$G$2:$G$9900,"Multi-Family",uwmp_table_4_2_r!$B$2:$B$9900,'Contractor Assumptions'!$F20),0)*IFERROR(VLOOKUP(VLOOKUP('Contractor Assumptions'!$F20,uwmp_table_4_2_r!$B$2:$N$9900,13,FALSE),$A$11:$C$13,2,FALSE), VLOOKUP(VLOOKUP('Contractor Assumptions'!$F20,uwmp_table_4_2_w!$B$2:$N$9900,14,FALSE),$A$11:$C$13,2,FALSE))</f>
        <v>174.92660745000001</v>
      </c>
      <c r="F319" s="472">
        <f>IFERROR(SUMIFS(uwmp_table_4_2_w!K$2:K$9900,uwmp_table_4_2_w!$G$2:$G$9900,"Multi-Family",uwmp_table_4_2_w!$B$2:$B$9900,'Contractor Assumptions'!$F20),0) + IFERROR(SUMIFS(uwmp_table_4_2_r!K$2:K$9900,uwmp_table_4_2_r!$G$2:$G$9900,"Multi-Family",uwmp_table_4_2_r!$B$2:$B$9900,'Contractor Assumptions'!$F20),0)*IFERROR(VLOOKUP(VLOOKUP('Contractor Assumptions'!$F20,uwmp_table_4_2_r!$B$2:$N$9900,13,FALSE),$A$11:$C$13,2,FALSE), VLOOKUP(VLOOKUP('Contractor Assumptions'!$F20,uwmp_table_4_2_w!$B$2:$N$9900,14,FALSE),$A$11:$C$13,2,FALSE))</f>
        <v>199.47771025</v>
      </c>
      <c r="G319" s="472">
        <f>IFERROR(SUMIFS(uwmp_table_4_2_w!L$2:L$9900,uwmp_table_4_2_w!$G$2:$G$9900,"Multi-Family",uwmp_table_4_2_w!$B$2:$B$9900,'Contractor Assumptions'!$F20),0) + IFERROR(SUMIFS(uwmp_table_4_2_r!L$2:L$9900,uwmp_table_4_2_r!$G$2:$G$9900,"Multi-Family",uwmp_table_4_2_r!$B$2:$B$9900,'Contractor Assumptions'!$F20),0)*IFERROR(VLOOKUP(VLOOKUP('Contractor Assumptions'!$F20,uwmp_table_4_2_r!$B$2:$N$9900,13,FALSE),$A$11:$C$13,2,FALSE), VLOOKUP(VLOOKUP('Contractor Assumptions'!$F20,uwmp_table_4_2_w!$B$2:$N$9900,14,FALSE),$A$11:$C$13,2,FALSE))</f>
        <v>227.09770089999998</v>
      </c>
      <c r="H319" s="520">
        <f>IFERROR(SUMIFS(uwmp_table_4_2_w!M$2:M$9900,uwmp_table_4_2_w!$G$2:$G$9900,"Multi-Family",uwmp_table_4_2_w!$B$2:$B$9900,'Contractor Assumptions'!$F20),0) + IFERROR(SUMIFS(uwmp_table_4_2_r!M$2:M$9900,uwmp_table_4_2_r!$G$2:$G$9900,"Multi-Family",uwmp_table_4_2_r!$B$2:$B$9900,'Contractor Assumptions'!$F20),0)*IFERROR(VLOOKUP(VLOOKUP('Contractor Assumptions'!$F20,uwmp_table_4_2_r!$B$2:$N$9900,13,FALSE),$A$11:$C$13,2,FALSE), VLOOKUP(VLOOKUP('Contractor Assumptions'!$F20,uwmp_table_4_2_w!$B$2:$N$9900,14,FALSE),$A$11:$C$13,2,FALSE))</f>
        <v>0</v>
      </c>
      <c r="I319" s="66"/>
      <c r="J319" s="70"/>
      <c r="K319" s="70"/>
      <c r="L319" s="70"/>
      <c r="M319" s="70"/>
      <c r="N319" s="70"/>
      <c r="O319" s="70"/>
      <c r="P319" s="70"/>
    </row>
    <row r="320" spans="1:16" hidden="1" outlineLevel="1" x14ac:dyDescent="0.3">
      <c r="A320" s="63" t="s">
        <v>439</v>
      </c>
      <c r="B320" s="63" t="s">
        <v>894</v>
      </c>
      <c r="C320" s="63" t="str">
        <f t="shared" si="3"/>
        <v>City of Fresno</v>
      </c>
      <c r="D320" s="472">
        <f>IFERROR(SUMIFS(uwmp_table_4_2_w!I$2:I$9900,uwmp_table_4_2_w!$G$2:$G$9900,"Multi-Family",uwmp_table_4_2_w!$B$2:$B$9900,'Contractor Assumptions'!$F21),0) + IFERROR(SUMIFS(uwmp_table_4_2_r!I$2:I$9900,uwmp_table_4_2_r!$G$2:$G$9900,"Multi-Family",uwmp_table_4_2_r!$B$2:$B$9900,'Contractor Assumptions'!$F21),0)*IFERROR(VLOOKUP(VLOOKUP('Contractor Assumptions'!$F21,uwmp_table_4_2_r!$B$2:$N$9900,13,FALSE),$A$11:$C$13,2,FALSE), VLOOKUP(VLOOKUP('Contractor Assumptions'!$F21,uwmp_table_4_2_w!$B$2:$N$9900,14,FALSE),$A$11:$C$13,2,FALSE))</f>
        <v>19000</v>
      </c>
      <c r="E320" s="472">
        <f>IFERROR(SUMIFS(uwmp_table_4_2_w!J$2:J$9900,uwmp_table_4_2_w!$G$2:$G$9900,"Multi-Family",uwmp_table_4_2_w!$B$2:$B$9900,'Contractor Assumptions'!$F21),0) + IFERROR(SUMIFS(uwmp_table_4_2_r!J$2:J$9900,uwmp_table_4_2_r!$G$2:$G$9900,"Multi-Family",uwmp_table_4_2_r!$B$2:$B$9900,'Contractor Assumptions'!$F21),0)*IFERROR(VLOOKUP(VLOOKUP('Contractor Assumptions'!$F21,uwmp_table_4_2_r!$B$2:$N$9900,13,FALSE),$A$11:$C$13,2,FALSE), VLOOKUP(VLOOKUP('Contractor Assumptions'!$F21,uwmp_table_4_2_w!$B$2:$N$9900,14,FALSE),$A$11:$C$13,2,FALSE))</f>
        <v>20654</v>
      </c>
      <c r="F320" s="472">
        <f>IFERROR(SUMIFS(uwmp_table_4_2_w!K$2:K$9900,uwmp_table_4_2_w!$G$2:$G$9900,"Multi-Family",uwmp_table_4_2_w!$B$2:$B$9900,'Contractor Assumptions'!$F21),0) + IFERROR(SUMIFS(uwmp_table_4_2_r!K$2:K$9900,uwmp_table_4_2_r!$G$2:$G$9900,"Multi-Family",uwmp_table_4_2_r!$B$2:$B$9900,'Contractor Assumptions'!$F21),0)*IFERROR(VLOOKUP(VLOOKUP('Contractor Assumptions'!$F21,uwmp_table_4_2_r!$B$2:$N$9900,13,FALSE),$A$11:$C$13,2,FALSE), VLOOKUP(VLOOKUP('Contractor Assumptions'!$F21,uwmp_table_4_2_w!$B$2:$N$9900,14,FALSE),$A$11:$C$13,2,FALSE))</f>
        <v>21737</v>
      </c>
      <c r="G320" s="472">
        <f>IFERROR(SUMIFS(uwmp_table_4_2_w!L$2:L$9900,uwmp_table_4_2_w!$G$2:$G$9900,"Multi-Family",uwmp_table_4_2_w!$B$2:$B$9900,'Contractor Assumptions'!$F21),0) + IFERROR(SUMIFS(uwmp_table_4_2_r!L$2:L$9900,uwmp_table_4_2_r!$G$2:$G$9900,"Multi-Family",uwmp_table_4_2_r!$B$2:$B$9900,'Contractor Assumptions'!$F21),0)*IFERROR(VLOOKUP(VLOOKUP('Contractor Assumptions'!$F21,uwmp_table_4_2_r!$B$2:$N$9900,13,FALSE),$A$11:$C$13,2,FALSE), VLOOKUP(VLOOKUP('Contractor Assumptions'!$F21,uwmp_table_4_2_w!$B$2:$N$9900,14,FALSE),$A$11:$C$13,2,FALSE))</f>
        <v>22831</v>
      </c>
      <c r="H320" s="520">
        <f>IFERROR(SUMIFS(uwmp_table_4_2_w!M$2:M$9900,uwmp_table_4_2_w!$G$2:$G$9900,"Multi-Family",uwmp_table_4_2_w!$B$2:$B$9900,'Contractor Assumptions'!$F21),0) + IFERROR(SUMIFS(uwmp_table_4_2_r!M$2:M$9900,uwmp_table_4_2_r!$G$2:$G$9900,"Multi-Family",uwmp_table_4_2_r!$B$2:$B$9900,'Contractor Assumptions'!$F21),0)*IFERROR(VLOOKUP(VLOOKUP('Contractor Assumptions'!$F21,uwmp_table_4_2_r!$B$2:$N$9900,13,FALSE),$A$11:$C$13,2,FALSE), VLOOKUP(VLOOKUP('Contractor Assumptions'!$F21,uwmp_table_4_2_w!$B$2:$N$9900,14,FALSE),$A$11:$C$13,2,FALSE))</f>
        <v>23935</v>
      </c>
      <c r="I320" s="66"/>
      <c r="J320" s="70"/>
      <c r="K320" s="70"/>
      <c r="L320" s="70"/>
      <c r="M320" s="70"/>
      <c r="N320" s="70"/>
      <c r="O320" s="70"/>
      <c r="P320" s="70"/>
    </row>
    <row r="321" spans="1:16" hidden="1" outlineLevel="1" x14ac:dyDescent="0.3">
      <c r="A321" s="63" t="s">
        <v>439</v>
      </c>
      <c r="B321" s="63" t="s">
        <v>894</v>
      </c>
      <c r="C321" s="63" t="str">
        <f t="shared" si="3"/>
        <v>City of Huron</v>
      </c>
      <c r="D321" s="471" t="s">
        <v>204</v>
      </c>
      <c r="E321" s="471" t="s">
        <v>204</v>
      </c>
      <c r="F321" s="471" t="s">
        <v>204</v>
      </c>
      <c r="G321" s="471" t="s">
        <v>204</v>
      </c>
      <c r="H321" s="518" t="s">
        <v>204</v>
      </c>
      <c r="I321" s="66"/>
      <c r="J321" s="70"/>
      <c r="K321" s="70"/>
      <c r="L321" s="70"/>
      <c r="M321" s="70"/>
      <c r="N321" s="70"/>
      <c r="O321" s="70"/>
      <c r="P321" s="70"/>
    </row>
    <row r="322" spans="1:16" hidden="1" outlineLevel="1" x14ac:dyDescent="0.3">
      <c r="A322" s="63" t="s">
        <v>439</v>
      </c>
      <c r="B322" s="63" t="s">
        <v>894</v>
      </c>
      <c r="C322" s="63" t="str">
        <f t="shared" si="3"/>
        <v>City of Lindsay</v>
      </c>
      <c r="D322" s="471" t="s">
        <v>204</v>
      </c>
      <c r="E322" s="471" t="s">
        <v>204</v>
      </c>
      <c r="F322" s="471" t="s">
        <v>204</v>
      </c>
      <c r="G322" s="471" t="s">
        <v>204</v>
      </c>
      <c r="H322" s="518" t="s">
        <v>204</v>
      </c>
      <c r="I322" s="66"/>
      <c r="J322" s="70"/>
      <c r="K322" s="70"/>
      <c r="L322" s="70"/>
      <c r="M322" s="70"/>
      <c r="N322" s="70"/>
      <c r="O322" s="70"/>
      <c r="P322" s="70"/>
    </row>
    <row r="323" spans="1:16" hidden="1" outlineLevel="1" x14ac:dyDescent="0.3">
      <c r="A323" s="63" t="s">
        <v>439</v>
      </c>
      <c r="B323" s="63" t="s">
        <v>894</v>
      </c>
      <c r="C323" s="63" t="str">
        <f t="shared" si="3"/>
        <v>City of Orange Cove</v>
      </c>
      <c r="D323" s="471" t="s">
        <v>204</v>
      </c>
      <c r="E323" s="471" t="s">
        <v>204</v>
      </c>
      <c r="F323" s="471" t="s">
        <v>204</v>
      </c>
      <c r="G323" s="471" t="s">
        <v>204</v>
      </c>
      <c r="H323" s="518" t="s">
        <v>204</v>
      </c>
      <c r="I323" s="66"/>
      <c r="J323" s="70"/>
      <c r="K323" s="70"/>
      <c r="L323" s="70"/>
      <c r="M323" s="70"/>
      <c r="N323" s="70"/>
      <c r="O323" s="70"/>
      <c r="P323" s="70"/>
    </row>
    <row r="324" spans="1:16" hidden="1" outlineLevel="1" x14ac:dyDescent="0.3">
      <c r="A324" s="63" t="s">
        <v>439</v>
      </c>
      <c r="B324" s="63" t="s">
        <v>894</v>
      </c>
      <c r="C324" s="63" t="str">
        <f t="shared" si="3"/>
        <v>City of Tracy</v>
      </c>
      <c r="D324" s="472">
        <f>IFERROR(SUMIFS(uwmp_table_4_2_w!I$2:I$9900,uwmp_table_4_2_w!$G$2:$G$9900,"Multi-Family",uwmp_table_4_2_w!$B$2:$B$9900,'Contractor Assumptions'!$F25),0) + IFERROR(SUMIFS(uwmp_table_4_2_r!I$2:I$9900,uwmp_table_4_2_r!$G$2:$G$9900,"Multi-Family",uwmp_table_4_2_r!$B$2:$B$9900,'Contractor Assumptions'!$F25),0)*IFERROR(VLOOKUP(VLOOKUP('Contractor Assumptions'!$F25,uwmp_table_4_2_r!$B$2:$N$9900,13,FALSE),$A$11:$C$13,2,FALSE), VLOOKUP(VLOOKUP('Contractor Assumptions'!$F25,uwmp_table_4_2_w!$B$2:$N$9900,14,FALSE),$A$11:$C$13,2,FALSE))</f>
        <v>1409.02</v>
      </c>
      <c r="E324" s="472">
        <f>IFERROR(SUMIFS(uwmp_table_4_2_w!J$2:J$9900,uwmp_table_4_2_w!$G$2:$G$9900,"Multi-Family",uwmp_table_4_2_w!$B$2:$B$9900,'Contractor Assumptions'!$F25),0) + IFERROR(SUMIFS(uwmp_table_4_2_r!J$2:J$9900,uwmp_table_4_2_r!$G$2:$G$9900,"Multi-Family",uwmp_table_4_2_r!$B$2:$B$9900,'Contractor Assumptions'!$F25),0)*IFERROR(VLOOKUP(VLOOKUP('Contractor Assumptions'!$F25,uwmp_table_4_2_r!$B$2:$N$9900,13,FALSE),$A$11:$C$13,2,FALSE), VLOOKUP(VLOOKUP('Contractor Assumptions'!$F25,uwmp_table_4_2_w!$B$2:$N$9900,14,FALSE),$A$11:$C$13,2,FALSE))</f>
        <v>1509.26</v>
      </c>
      <c r="F324" s="472">
        <f>IFERROR(SUMIFS(uwmp_table_4_2_w!K$2:K$9900,uwmp_table_4_2_w!$G$2:$G$9900,"Multi-Family",uwmp_table_4_2_w!$B$2:$B$9900,'Contractor Assumptions'!$F25),0) + IFERROR(SUMIFS(uwmp_table_4_2_r!K$2:K$9900,uwmp_table_4_2_r!$G$2:$G$9900,"Multi-Family",uwmp_table_4_2_r!$B$2:$B$9900,'Contractor Assumptions'!$F25),0)*IFERROR(VLOOKUP(VLOOKUP('Contractor Assumptions'!$F25,uwmp_table_4_2_r!$B$2:$N$9900,13,FALSE),$A$11:$C$13,2,FALSE), VLOOKUP(VLOOKUP('Contractor Assumptions'!$F25,uwmp_table_4_2_w!$B$2:$N$9900,14,FALSE),$A$11:$C$13,2,FALSE))</f>
        <v>1613.61</v>
      </c>
      <c r="G324" s="472">
        <f>IFERROR(SUMIFS(uwmp_table_4_2_w!L$2:L$9900,uwmp_table_4_2_w!$G$2:$G$9900,"Multi-Family",uwmp_table_4_2_w!$B$2:$B$9900,'Contractor Assumptions'!$F25),0) + IFERROR(SUMIFS(uwmp_table_4_2_r!L$2:L$9900,uwmp_table_4_2_r!$G$2:$G$9900,"Multi-Family",uwmp_table_4_2_r!$B$2:$B$9900,'Contractor Assumptions'!$F25),0)*IFERROR(VLOOKUP(VLOOKUP('Contractor Assumptions'!$F25,uwmp_table_4_2_r!$B$2:$N$9900,13,FALSE),$A$11:$C$13,2,FALSE), VLOOKUP(VLOOKUP('Contractor Assumptions'!$F25,uwmp_table_4_2_w!$B$2:$N$9900,14,FALSE),$A$11:$C$13,2,FALSE))</f>
        <v>1720.34</v>
      </c>
      <c r="H324" s="520">
        <f>IFERROR(SUMIFS(uwmp_table_4_2_w!M$2:M$9900,uwmp_table_4_2_w!$G$2:$G$9900,"Multi-Family",uwmp_table_4_2_w!$B$2:$B$9900,'Contractor Assumptions'!$F25),0) + IFERROR(SUMIFS(uwmp_table_4_2_r!M$2:M$9900,uwmp_table_4_2_r!$G$2:$G$9900,"Multi-Family",uwmp_table_4_2_r!$B$2:$B$9900,'Contractor Assumptions'!$F25),0)*IFERROR(VLOOKUP(VLOOKUP('Contractor Assumptions'!$F25,uwmp_table_4_2_r!$B$2:$N$9900,13,FALSE),$A$11:$C$13,2,FALSE), VLOOKUP(VLOOKUP('Contractor Assumptions'!$F25,uwmp_table_4_2_w!$B$2:$N$9900,14,FALSE),$A$11:$C$13,2,FALSE))</f>
        <v>2479.4899999999998</v>
      </c>
      <c r="I324" s="66"/>
      <c r="J324" s="70"/>
      <c r="K324" s="70"/>
      <c r="L324" s="70"/>
      <c r="M324" s="70"/>
      <c r="N324" s="70"/>
      <c r="O324" s="70"/>
      <c r="P324" s="70"/>
    </row>
    <row r="325" spans="1:16" hidden="1" outlineLevel="1" x14ac:dyDescent="0.3">
      <c r="A325" s="63" t="s">
        <v>439</v>
      </c>
      <c r="B325" s="63" t="s">
        <v>894</v>
      </c>
      <c r="C325" s="63" t="str">
        <f t="shared" si="3"/>
        <v>Kern County Water Agency</v>
      </c>
      <c r="D325" s="471" t="s">
        <v>204</v>
      </c>
      <c r="E325" s="471" t="s">
        <v>204</v>
      </c>
      <c r="F325" s="471" t="s">
        <v>204</v>
      </c>
      <c r="G325" s="471" t="s">
        <v>204</v>
      </c>
      <c r="H325" s="518" t="s">
        <v>204</v>
      </c>
      <c r="I325" s="66"/>
      <c r="J325" s="70"/>
      <c r="K325" s="70"/>
      <c r="L325" s="70"/>
      <c r="M325" s="70"/>
      <c r="N325" s="70"/>
      <c r="O325" s="70"/>
      <c r="P325" s="70"/>
    </row>
    <row r="326" spans="1:16" hidden="1" outlineLevel="1" x14ac:dyDescent="0.3">
      <c r="A326" s="63" t="s">
        <v>439</v>
      </c>
      <c r="B326" s="63" t="s">
        <v>894</v>
      </c>
      <c r="C326" s="63" t="str">
        <f t="shared" si="3"/>
        <v>Other Friant-Kern M&amp;I Contractors</v>
      </c>
      <c r="D326" s="471" t="s">
        <v>204</v>
      </c>
      <c r="E326" s="471" t="s">
        <v>204</v>
      </c>
      <c r="F326" s="471" t="s">
        <v>204</v>
      </c>
      <c r="G326" s="471" t="s">
        <v>204</v>
      </c>
      <c r="H326" s="518" t="s">
        <v>204</v>
      </c>
      <c r="I326" s="66"/>
      <c r="J326" s="70"/>
      <c r="K326" s="70"/>
      <c r="L326" s="70"/>
      <c r="M326" s="70"/>
      <c r="N326" s="70"/>
      <c r="O326" s="70"/>
      <c r="P326" s="70"/>
    </row>
    <row r="327" spans="1:16" hidden="1" outlineLevel="1" x14ac:dyDescent="0.3">
      <c r="A327" s="63" t="s">
        <v>439</v>
      </c>
      <c r="B327" s="63" t="s">
        <v>894</v>
      </c>
      <c r="C327" s="63" t="str">
        <f t="shared" si="3"/>
        <v>Stockton-East Water District</v>
      </c>
      <c r="D327" s="472">
        <f>'Wholesaler Demands by Use Type'!B29</f>
        <v>4405</v>
      </c>
      <c r="E327" s="472">
        <f>'Wholesaler Demands by Use Type'!C29</f>
        <v>4419</v>
      </c>
      <c r="F327" s="472">
        <f>'Wholesaler Demands by Use Type'!D29</f>
        <v>4917</v>
      </c>
      <c r="G327" s="472">
        <f>'Wholesaler Demands by Use Type'!E29</f>
        <v>5420</v>
      </c>
      <c r="H327" s="520">
        <f>'Wholesaler Demands by Use Type'!F29</f>
        <v>5412</v>
      </c>
      <c r="I327" s="66"/>
      <c r="J327" s="70"/>
      <c r="K327" s="70"/>
      <c r="L327" s="70"/>
      <c r="M327" s="70"/>
      <c r="N327" s="70"/>
      <c r="O327" s="70"/>
      <c r="P327" s="70"/>
    </row>
    <row r="328" spans="1:16" hidden="1" outlineLevel="1" x14ac:dyDescent="0.3">
      <c r="A328" s="63" t="s">
        <v>439</v>
      </c>
      <c r="B328" s="63" t="s">
        <v>915</v>
      </c>
      <c r="C328" s="63" t="str">
        <f t="shared" si="3"/>
        <v>Alameda County Flood Control and Water Conservation District, Zone 7</v>
      </c>
      <c r="D328" s="472">
        <v>4560.7109344999999</v>
      </c>
      <c r="E328" s="472">
        <v>5126.8797756000004</v>
      </c>
      <c r="F328" s="472">
        <v>5515.3241681</v>
      </c>
      <c r="G328" s="472">
        <v>5804.0441119999996</v>
      </c>
      <c r="H328" s="520">
        <v>5886.0441119999996</v>
      </c>
      <c r="I328" s="66" t="s">
        <v>1012</v>
      </c>
      <c r="J328" s="70"/>
      <c r="K328" s="70"/>
      <c r="L328" s="70"/>
      <c r="M328" s="70"/>
      <c r="N328" s="70"/>
      <c r="O328" s="70"/>
      <c r="P328" s="70"/>
    </row>
    <row r="329" spans="1:16" hidden="1" outlineLevel="1" x14ac:dyDescent="0.3">
      <c r="A329" s="63" t="s">
        <v>439</v>
      </c>
      <c r="B329" s="63" t="s">
        <v>915</v>
      </c>
      <c r="C329" s="63" t="str">
        <f t="shared" si="3"/>
        <v>Alameda County Water District</v>
      </c>
      <c r="D329" s="472">
        <f>IFERROR(SUMIFS(uwmp_table_4_2_w!I$2:I$9900,uwmp_table_4_2_w!$G$2:$G$9900,"Multi-Family",uwmp_table_4_2_w!$B$2:$B$9900,'Contractor Assumptions'!$F30),0) + IFERROR(SUMIFS(uwmp_table_4_2_r!I$2:I$9900,uwmp_table_4_2_r!$G$2:$G$9900,"Multi-Family",uwmp_table_4_2_r!$B$2:$B$9900,'Contractor Assumptions'!$F30),0)*IFERROR(VLOOKUP(VLOOKUP('Contractor Assumptions'!$F30,uwmp_table_4_2_r!$B$2:$N$9900,13,FALSE),$A$11:$C$13,2,FALSE), VLOOKUP(VLOOKUP('Contractor Assumptions'!$F30,uwmp_table_4_2_w!$B$2:$N$9900,14,FALSE),$A$11:$C$13,2,FALSE))</f>
        <v>9800</v>
      </c>
      <c r="E329" s="472">
        <f>IFERROR(SUMIFS(uwmp_table_4_2_w!J$2:J$9900,uwmp_table_4_2_w!$G$2:$G$9900,"Multi-Family",uwmp_table_4_2_w!$B$2:$B$9900,'Contractor Assumptions'!$F30),0) + IFERROR(SUMIFS(uwmp_table_4_2_r!J$2:J$9900,uwmp_table_4_2_r!$G$2:$G$9900,"Multi-Family",uwmp_table_4_2_r!$B$2:$B$9900,'Contractor Assumptions'!$F30),0)*IFERROR(VLOOKUP(VLOOKUP('Contractor Assumptions'!$F30,uwmp_table_4_2_r!$B$2:$N$9900,13,FALSE),$A$11:$C$13,2,FALSE), VLOOKUP(VLOOKUP('Contractor Assumptions'!$F30,uwmp_table_4_2_w!$B$2:$N$9900,14,FALSE),$A$11:$C$13,2,FALSE))</f>
        <v>10000</v>
      </c>
      <c r="F329" s="472">
        <f>IFERROR(SUMIFS(uwmp_table_4_2_w!K$2:K$9900,uwmp_table_4_2_w!$G$2:$G$9900,"Multi-Family",uwmp_table_4_2_w!$B$2:$B$9900,'Contractor Assumptions'!$F30),0) + IFERROR(SUMIFS(uwmp_table_4_2_r!K$2:K$9900,uwmp_table_4_2_r!$G$2:$G$9900,"Multi-Family",uwmp_table_4_2_r!$B$2:$B$9900,'Contractor Assumptions'!$F30),0)*IFERROR(VLOOKUP(VLOOKUP('Contractor Assumptions'!$F30,uwmp_table_4_2_r!$B$2:$N$9900,13,FALSE),$A$11:$C$13,2,FALSE), VLOOKUP(VLOOKUP('Contractor Assumptions'!$F30,uwmp_table_4_2_w!$B$2:$N$9900,14,FALSE),$A$11:$C$13,2,FALSE))</f>
        <v>10200</v>
      </c>
      <c r="G329" s="472">
        <f>IFERROR(SUMIFS(uwmp_table_4_2_w!L$2:L$9900,uwmp_table_4_2_w!$G$2:$G$9900,"Multi-Family",uwmp_table_4_2_w!$B$2:$B$9900,'Contractor Assumptions'!$F30),0) + IFERROR(SUMIFS(uwmp_table_4_2_r!L$2:L$9900,uwmp_table_4_2_r!$G$2:$G$9900,"Multi-Family",uwmp_table_4_2_r!$B$2:$B$9900,'Contractor Assumptions'!$F30),0)*IFERROR(VLOOKUP(VLOOKUP('Contractor Assumptions'!$F30,uwmp_table_4_2_r!$B$2:$N$9900,13,FALSE),$A$11:$C$13,2,FALSE), VLOOKUP(VLOOKUP('Contractor Assumptions'!$F30,uwmp_table_4_2_w!$B$2:$N$9900,14,FALSE),$A$11:$C$13,2,FALSE))</f>
        <v>10500</v>
      </c>
      <c r="H329" s="520">
        <f>IFERROR(SUMIFS(uwmp_table_4_2_w!M$2:M$9900,uwmp_table_4_2_w!$G$2:$G$9900,"Multi-Family",uwmp_table_4_2_w!$B$2:$B$9900,'Contractor Assumptions'!$F30),0) + IFERROR(SUMIFS(uwmp_table_4_2_r!M$2:M$9900,uwmp_table_4_2_r!$G$2:$G$9900,"Multi-Family",uwmp_table_4_2_r!$B$2:$B$9900,'Contractor Assumptions'!$F30),0)*IFERROR(VLOOKUP(VLOOKUP('Contractor Assumptions'!$F30,uwmp_table_4_2_r!$B$2:$N$9900,13,FALSE),$A$11:$C$13,2,FALSE), VLOOKUP(VLOOKUP('Contractor Assumptions'!$F30,uwmp_table_4_2_w!$B$2:$N$9900,14,FALSE),$A$11:$C$13,2,FALSE))</f>
        <v>14100</v>
      </c>
      <c r="I329" s="66"/>
      <c r="J329" s="70"/>
      <c r="K329" s="70"/>
      <c r="L329" s="70"/>
      <c r="M329" s="70"/>
      <c r="N329" s="70"/>
      <c r="O329" s="70"/>
      <c r="P329" s="70"/>
    </row>
    <row r="330" spans="1:16" hidden="1" outlineLevel="1" x14ac:dyDescent="0.3">
      <c r="A330" s="63" t="s">
        <v>439</v>
      </c>
      <c r="B330" s="63" t="s">
        <v>915</v>
      </c>
      <c r="C330" s="63" t="str">
        <f t="shared" si="3"/>
        <v>Contra Costa Water District</v>
      </c>
      <c r="D330" s="472">
        <f>IFERROR(SUMIFS(uwmp_table_4_2_w!I$2:I$9900,uwmp_table_4_2_w!$G$2:$G$9900,"Multi-Family",uwmp_table_4_2_w!$B$2:$B$9900,'Contractor Assumptions'!$F31),0) + IFERROR(SUMIFS(uwmp_table_4_2_r!I$2:I$9900,uwmp_table_4_2_r!$G$2:$G$9900,"Multi-Family",uwmp_table_4_2_r!$B$2:$B$9900,'Contractor Assumptions'!$F31),0)*IFERROR(VLOOKUP(VLOOKUP('Contractor Assumptions'!$F31,uwmp_table_4_2_r!$B$2:$N$9900,13,FALSE),$A$11:$C$13,2,FALSE), VLOOKUP(VLOOKUP('Contractor Assumptions'!$F31,uwmp_table_4_2_w!$B$2:$N$9900,14,FALSE),$A$11:$C$13,2,FALSE))</f>
        <v>8400</v>
      </c>
      <c r="E330" s="472">
        <f>IFERROR(SUMIFS(uwmp_table_4_2_w!J$2:J$9900,uwmp_table_4_2_w!$G$2:$G$9900,"Multi-Family",uwmp_table_4_2_w!$B$2:$B$9900,'Contractor Assumptions'!$F31),0) + IFERROR(SUMIFS(uwmp_table_4_2_r!J$2:J$9900,uwmp_table_4_2_r!$G$2:$G$9900,"Multi-Family",uwmp_table_4_2_r!$B$2:$B$9900,'Contractor Assumptions'!$F31),0)*IFERROR(VLOOKUP(VLOOKUP('Contractor Assumptions'!$F31,uwmp_table_4_2_r!$B$2:$N$9900,13,FALSE),$A$11:$C$13,2,FALSE), VLOOKUP(VLOOKUP('Contractor Assumptions'!$F31,uwmp_table_4_2_w!$B$2:$N$9900,14,FALSE),$A$11:$C$13,2,FALSE))</f>
        <v>8700</v>
      </c>
      <c r="F330" s="472">
        <f>IFERROR(SUMIFS(uwmp_table_4_2_w!K$2:K$9900,uwmp_table_4_2_w!$G$2:$G$9900,"Multi-Family",uwmp_table_4_2_w!$B$2:$B$9900,'Contractor Assumptions'!$F31),0) + IFERROR(SUMIFS(uwmp_table_4_2_r!K$2:K$9900,uwmp_table_4_2_r!$G$2:$G$9900,"Multi-Family",uwmp_table_4_2_r!$B$2:$B$9900,'Contractor Assumptions'!$F31),0)*IFERROR(VLOOKUP(VLOOKUP('Contractor Assumptions'!$F31,uwmp_table_4_2_r!$B$2:$N$9900,13,FALSE),$A$11:$C$13,2,FALSE), VLOOKUP(VLOOKUP('Contractor Assumptions'!$F31,uwmp_table_4_2_w!$B$2:$N$9900,14,FALSE),$A$11:$C$13,2,FALSE))</f>
        <v>9000</v>
      </c>
      <c r="G330" s="472">
        <f>IFERROR(SUMIFS(uwmp_table_4_2_w!L$2:L$9900,uwmp_table_4_2_w!$G$2:$G$9900,"Multi-Family",uwmp_table_4_2_w!$B$2:$B$9900,'Contractor Assumptions'!$F31),0) + IFERROR(SUMIFS(uwmp_table_4_2_r!L$2:L$9900,uwmp_table_4_2_r!$G$2:$G$9900,"Multi-Family",uwmp_table_4_2_r!$B$2:$B$9900,'Contractor Assumptions'!$F31),0)*IFERROR(VLOOKUP(VLOOKUP('Contractor Assumptions'!$F31,uwmp_table_4_2_r!$B$2:$N$9900,13,FALSE),$A$11:$C$13,2,FALSE), VLOOKUP(VLOOKUP('Contractor Assumptions'!$F31,uwmp_table_4_2_w!$B$2:$N$9900,14,FALSE),$A$11:$C$13,2,FALSE))</f>
        <v>9300</v>
      </c>
      <c r="H330" s="520">
        <f>IFERROR(SUMIFS(uwmp_table_4_2_w!M$2:M$9900,uwmp_table_4_2_w!$G$2:$G$9900,"Multi-Family",uwmp_table_4_2_w!$B$2:$B$9900,'Contractor Assumptions'!$F31),0) + IFERROR(SUMIFS(uwmp_table_4_2_r!M$2:M$9900,uwmp_table_4_2_r!$G$2:$G$9900,"Multi-Family",uwmp_table_4_2_r!$B$2:$B$9900,'Contractor Assumptions'!$F31),0)*IFERROR(VLOOKUP(VLOOKUP('Contractor Assumptions'!$F31,uwmp_table_4_2_r!$B$2:$N$9900,13,FALSE),$A$11:$C$13,2,FALSE), VLOOKUP(VLOOKUP('Contractor Assumptions'!$F31,uwmp_table_4_2_w!$B$2:$N$9900,14,FALSE),$A$11:$C$13,2,FALSE))</f>
        <v>9500</v>
      </c>
      <c r="I330" s="66"/>
      <c r="J330" s="70"/>
      <c r="K330" s="70"/>
      <c r="L330" s="70"/>
      <c r="M330" s="70"/>
      <c r="N330" s="70"/>
      <c r="O330" s="70"/>
      <c r="P330" s="70"/>
    </row>
    <row r="331" spans="1:16" hidden="1" outlineLevel="1" x14ac:dyDescent="0.3">
      <c r="A331" s="63" t="s">
        <v>439</v>
      </c>
      <c r="B331" s="63" t="s">
        <v>915</v>
      </c>
      <c r="C331" s="63" t="str">
        <f t="shared" si="3"/>
        <v>East Bay Municipal Utilities District</v>
      </c>
      <c r="D331" s="472">
        <f>IFERROR(SUMIFS(uwmp_table_4_2_w!I$2:I$9900,uwmp_table_4_2_w!$G$2:$G$9900,"Multi-Family",uwmp_table_4_2_w!$B$2:$B$9900,'Contractor Assumptions'!$F32),0) + IFERROR(SUMIFS(uwmp_table_4_2_r!I$2:I$9900,uwmp_table_4_2_r!$G$2:$G$9900,"Multi-Family",uwmp_table_4_2_r!$B$2:$B$9900,'Contractor Assumptions'!$F32),0)*IFERROR(VLOOKUP(VLOOKUP('Contractor Assumptions'!$F32,uwmp_table_4_2_r!$B$2:$N$9900,13,FALSE),$A$11:$C$13,2,FALSE), VLOOKUP(VLOOKUP('Contractor Assumptions'!$F32,uwmp_table_4_2_w!$B$2:$N$9900,14,FALSE),$A$11:$C$13,2,FALSE))</f>
        <v>0</v>
      </c>
      <c r="E331" s="472">
        <f>IFERROR(SUMIFS(uwmp_table_4_2_w!J$2:J$9900,uwmp_table_4_2_w!$G$2:$G$9900,"Multi-Family",uwmp_table_4_2_w!$B$2:$B$9900,'Contractor Assumptions'!$F32),0) + IFERROR(SUMIFS(uwmp_table_4_2_r!J$2:J$9900,uwmp_table_4_2_r!$G$2:$G$9900,"Multi-Family",uwmp_table_4_2_r!$B$2:$B$9900,'Contractor Assumptions'!$F32),0)*IFERROR(VLOOKUP(VLOOKUP('Contractor Assumptions'!$F32,uwmp_table_4_2_r!$B$2:$N$9900,13,FALSE),$A$11:$C$13,2,FALSE), VLOOKUP(VLOOKUP('Contractor Assumptions'!$F32,uwmp_table_4_2_w!$B$2:$N$9900,14,FALSE),$A$11:$C$13,2,FALSE))</f>
        <v>0</v>
      </c>
      <c r="F331" s="472">
        <f>IFERROR(SUMIFS(uwmp_table_4_2_w!K$2:K$9900,uwmp_table_4_2_w!$G$2:$G$9900,"Multi-Family",uwmp_table_4_2_w!$B$2:$B$9900,'Contractor Assumptions'!$F32),0) + IFERROR(SUMIFS(uwmp_table_4_2_r!K$2:K$9900,uwmp_table_4_2_r!$G$2:$G$9900,"Multi-Family",uwmp_table_4_2_r!$B$2:$B$9900,'Contractor Assumptions'!$F32),0)*IFERROR(VLOOKUP(VLOOKUP('Contractor Assumptions'!$F32,uwmp_table_4_2_r!$B$2:$N$9900,13,FALSE),$A$11:$C$13,2,FALSE), VLOOKUP(VLOOKUP('Contractor Assumptions'!$F32,uwmp_table_4_2_w!$B$2:$N$9900,14,FALSE),$A$11:$C$13,2,FALSE))</f>
        <v>0</v>
      </c>
      <c r="G331" s="472">
        <f>IFERROR(SUMIFS(uwmp_table_4_2_w!L$2:L$9900,uwmp_table_4_2_w!$G$2:$G$9900,"Multi-Family",uwmp_table_4_2_w!$B$2:$B$9900,'Contractor Assumptions'!$F32),0) + IFERROR(SUMIFS(uwmp_table_4_2_r!L$2:L$9900,uwmp_table_4_2_r!$G$2:$G$9900,"Multi-Family",uwmp_table_4_2_r!$B$2:$B$9900,'Contractor Assumptions'!$F32),0)*IFERROR(VLOOKUP(VLOOKUP('Contractor Assumptions'!$F32,uwmp_table_4_2_r!$B$2:$N$9900,13,FALSE),$A$11:$C$13,2,FALSE), VLOOKUP(VLOOKUP('Contractor Assumptions'!$F32,uwmp_table_4_2_w!$B$2:$N$9900,14,FALSE),$A$11:$C$13,2,FALSE))</f>
        <v>0</v>
      </c>
      <c r="H331" s="520">
        <f>IFERROR(SUMIFS(uwmp_table_4_2_w!M$2:M$9900,uwmp_table_4_2_w!$G$2:$G$9900,"Multi-Family",uwmp_table_4_2_w!$B$2:$B$9900,'Contractor Assumptions'!$F32),0) + IFERROR(SUMIFS(uwmp_table_4_2_r!M$2:M$9900,uwmp_table_4_2_r!$G$2:$G$9900,"Multi-Family",uwmp_table_4_2_r!$B$2:$B$9900,'Contractor Assumptions'!$F32),0)*IFERROR(VLOOKUP(VLOOKUP('Contractor Assumptions'!$F32,uwmp_table_4_2_r!$B$2:$N$9900,13,FALSE),$A$11:$C$13,2,FALSE), VLOOKUP(VLOOKUP('Contractor Assumptions'!$F32,uwmp_table_4_2_w!$B$2:$N$9900,14,FALSE),$A$11:$C$13,2,FALSE))</f>
        <v>0</v>
      </c>
      <c r="I331" s="66"/>
      <c r="J331" s="70"/>
      <c r="K331" s="70"/>
      <c r="L331" s="70"/>
      <c r="M331" s="70"/>
      <c r="N331" s="70"/>
      <c r="O331" s="70"/>
      <c r="P331" s="70"/>
    </row>
    <row r="332" spans="1:16" hidden="1" outlineLevel="1" x14ac:dyDescent="0.3">
      <c r="A332" s="63" t="s">
        <v>439</v>
      </c>
      <c r="B332" s="63" t="s">
        <v>915</v>
      </c>
      <c r="C332" s="63" t="str">
        <f t="shared" si="3"/>
        <v>San Benito County Water District, Zone 6</v>
      </c>
      <c r="D332" s="472">
        <v>590</v>
      </c>
      <c r="E332" s="472">
        <v>634</v>
      </c>
      <c r="F332" s="472">
        <v>634</v>
      </c>
      <c r="G332" s="472">
        <v>634</v>
      </c>
      <c r="H332" s="520">
        <v>634</v>
      </c>
      <c r="I332" s="66" t="s">
        <v>1013</v>
      </c>
      <c r="J332" s="71"/>
      <c r="K332" s="71"/>
      <c r="L332" s="71"/>
      <c r="M332" s="71"/>
      <c r="N332" s="71"/>
      <c r="O332" s="71"/>
      <c r="P332" s="70"/>
    </row>
    <row r="333" spans="1:16" hidden="1" outlineLevel="1" x14ac:dyDescent="0.3">
      <c r="A333" s="63" t="s">
        <v>439</v>
      </c>
      <c r="B333" s="63" t="s">
        <v>915</v>
      </c>
      <c r="C333" s="63" t="str">
        <f t="shared" si="3"/>
        <v>Santa Clara Valley Water District</v>
      </c>
      <c r="D333" s="472">
        <f>IFERROR(SUMIFS(uwmp_table_4_2_w!I$2:I$9900,uwmp_table_4_2_w!$G$2:$G$9900,"Multi-Family",uwmp_table_4_2_w!$B$2:$B$9900,'Contractor Assumptions'!$F34),0) + IFERROR(SUMIFS(uwmp_table_4_2_r!I$2:I$9900,uwmp_table_4_2_r!$G$2:$G$9900,"Multi-Family",uwmp_table_4_2_r!$B$2:$B$9900,'Contractor Assumptions'!$F34),0)</f>
        <v>0</v>
      </c>
      <c r="E333" s="472">
        <f>IFERROR(SUMIFS(uwmp_table_4_2_w!J$2:J$9900,uwmp_table_4_2_w!$G$2:$G$9900,"Multi-Family",uwmp_table_4_2_w!$B$2:$B$9900,'Contractor Assumptions'!$F34),0) + IFERROR(SUMIFS(uwmp_table_4_2_r!J$2:J$9900,uwmp_table_4_2_r!$G$2:$G$9900,"Multi-Family",uwmp_table_4_2_r!$B$2:$B$9900,'Contractor Assumptions'!$F34),0)</f>
        <v>0</v>
      </c>
      <c r="F333" s="472">
        <f>IFERROR(SUMIFS(uwmp_table_4_2_w!K$2:K$9900,uwmp_table_4_2_w!$G$2:$G$9900,"Multi-Family",uwmp_table_4_2_w!$B$2:$B$9900,'Contractor Assumptions'!$F34),0) + IFERROR(SUMIFS(uwmp_table_4_2_r!K$2:K$9900,uwmp_table_4_2_r!$G$2:$G$9900,"Multi-Family",uwmp_table_4_2_r!$B$2:$B$9900,'Contractor Assumptions'!$F34),0)</f>
        <v>0</v>
      </c>
      <c r="G333" s="472">
        <f>IFERROR(SUMIFS(uwmp_table_4_2_w!L$2:L$9900,uwmp_table_4_2_w!$G$2:$G$9900,"Multi-Family",uwmp_table_4_2_w!$B$2:$B$9900,'Contractor Assumptions'!$F34),0) + IFERROR(SUMIFS(uwmp_table_4_2_r!L$2:L$9900,uwmp_table_4_2_r!$G$2:$G$9900,"Multi-Family",uwmp_table_4_2_r!$B$2:$B$9900,'Contractor Assumptions'!$F34),0)</f>
        <v>0</v>
      </c>
      <c r="H333" s="520">
        <f>IFERROR(SUMIFS(uwmp_table_4_2_w!M$2:M$9900,uwmp_table_4_2_w!$G$2:$G$9900,"Multi-Family",uwmp_table_4_2_w!$B$2:$B$9900,'Contractor Assumptions'!$F34),0) + IFERROR(SUMIFS(uwmp_table_4_2_r!M$2:M$9900,uwmp_table_4_2_r!$G$2:$G$9900,"Multi-Family",uwmp_table_4_2_r!$B$2:$B$9900,'Contractor Assumptions'!$F34),0)</f>
        <v>0</v>
      </c>
      <c r="I333" s="66"/>
      <c r="J333" s="70"/>
      <c r="K333" s="70"/>
      <c r="L333" s="70"/>
      <c r="M333" s="70"/>
      <c r="N333" s="70"/>
      <c r="O333" s="70"/>
      <c r="P333" s="70"/>
    </row>
    <row r="334" spans="1:16" hidden="1" outlineLevel="1" x14ac:dyDescent="0.3">
      <c r="A334" s="63" t="s">
        <v>439</v>
      </c>
      <c r="B334" s="63" t="s">
        <v>934</v>
      </c>
      <c r="C334" s="63" t="str">
        <f t="shared" si="3"/>
        <v>San Luis Obispo County Flood Control &amp; Water Conservation District</v>
      </c>
      <c r="D334" s="472">
        <v>656</v>
      </c>
      <c r="E334" s="472">
        <v>675</v>
      </c>
      <c r="F334" s="472">
        <v>693</v>
      </c>
      <c r="G334" s="472">
        <v>712</v>
      </c>
      <c r="H334" s="520">
        <v>731</v>
      </c>
      <c r="I334" s="66" t="s">
        <v>1014</v>
      </c>
      <c r="J334" s="70"/>
      <c r="K334" s="70"/>
      <c r="L334" s="70"/>
      <c r="M334" s="70"/>
      <c r="N334" s="70"/>
      <c r="O334" s="70"/>
      <c r="P334" s="70"/>
    </row>
    <row r="335" spans="1:16" hidden="1" outlineLevel="1" x14ac:dyDescent="0.3">
      <c r="A335" s="63" t="s">
        <v>439</v>
      </c>
      <c r="B335" s="63" t="s">
        <v>934</v>
      </c>
      <c r="C335" s="63" t="str">
        <f t="shared" si="3"/>
        <v>Santa Barbara County Flood Control &amp; Water Conservation District</v>
      </c>
      <c r="D335" s="472" t="s">
        <v>204</v>
      </c>
      <c r="E335" s="472" t="s">
        <v>204</v>
      </c>
      <c r="F335" s="472" t="s">
        <v>204</v>
      </c>
      <c r="G335" s="472" t="s">
        <v>204</v>
      </c>
      <c r="H335" s="520" t="s">
        <v>204</v>
      </c>
      <c r="I335" s="66"/>
      <c r="J335" s="70"/>
      <c r="K335" s="70"/>
      <c r="L335" s="70"/>
      <c r="M335" s="70"/>
      <c r="N335" s="70"/>
      <c r="O335" s="70"/>
      <c r="P335" s="70"/>
    </row>
    <row r="336" spans="1:16" hidden="1" outlineLevel="1" x14ac:dyDescent="0.3">
      <c r="A336" s="63" t="s">
        <v>439</v>
      </c>
      <c r="B336" s="63" t="s">
        <v>940</v>
      </c>
      <c r="C336" s="63" t="str">
        <f t="shared" si="3"/>
        <v>Antelope Valley-East Kern Water Agency</v>
      </c>
      <c r="D336" s="472">
        <v>1091.0819689153354</v>
      </c>
      <c r="E336" s="472">
        <v>1272.7135157550547</v>
      </c>
      <c r="F336" s="472">
        <v>1310.6607829510936</v>
      </c>
      <c r="G336" s="472">
        <v>1411.5093149151637</v>
      </c>
      <c r="H336" s="520">
        <v>1472.328459858006</v>
      </c>
      <c r="I336" s="66" t="s">
        <v>1015</v>
      </c>
      <c r="J336" s="70"/>
      <c r="K336" s="70"/>
      <c r="L336" s="70"/>
      <c r="M336" s="70"/>
      <c r="N336" s="70"/>
      <c r="O336" s="70"/>
      <c r="P336" s="70"/>
    </row>
    <row r="337" spans="1:16" hidden="1" outlineLevel="1" x14ac:dyDescent="0.3">
      <c r="A337" s="63" t="s">
        <v>439</v>
      </c>
      <c r="B337" s="63" t="s">
        <v>940</v>
      </c>
      <c r="C337" s="63" t="str">
        <f t="shared" si="3"/>
        <v>Santa Clarita Water Division</v>
      </c>
      <c r="D337" s="472">
        <f>IFERROR(SUMIFS(uwmp_table_4_2_w!I$2:I$9900,uwmp_table_4_2_w!$G$2:$G$9900,"Multi-Family",uwmp_table_4_2_w!$B$2:$B$9900,'Contractor Assumptions'!$F38),0) + IFERROR(SUMIFS(uwmp_table_4_2_r!I$2:I$9900,uwmp_table_4_2_r!$G$2:$G$9900,"Multi-Family",uwmp_table_4_2_r!$B$2:$B$9900,'Contractor Assumptions'!$F38),0)*IFERROR(VLOOKUP(VLOOKUP('Contractor Assumptions'!$F38,uwmp_table_4_2_r!$B$2:$N$9900,13,FALSE),$A$11:$C$13,2,FALSE), VLOOKUP(VLOOKUP('Contractor Assumptions'!$F38,uwmp_table_4_2_w!$B$2:$N$9900,14,FALSE),$A$11:$C$13,2,FALSE))</f>
        <v>25471.769154999998</v>
      </c>
      <c r="E337" s="472">
        <f>IFERROR(SUMIFS(uwmp_table_4_2_w!J$2:J$9900,uwmp_table_4_2_w!$G$2:$G$9900,"Multi-Family",uwmp_table_4_2_w!$B$2:$B$9900,'Contractor Assumptions'!$F38),0) + IFERROR(SUMIFS(uwmp_table_4_2_r!J$2:J$9900,uwmp_table_4_2_r!$G$2:$G$9900,"Multi-Family",uwmp_table_4_2_r!$B$2:$B$9900,'Contractor Assumptions'!$F38),0)*IFERROR(VLOOKUP(VLOOKUP('Contractor Assumptions'!$F38,uwmp_table_4_2_r!$B$2:$N$9900,13,FALSE),$A$11:$C$13,2,FALSE), VLOOKUP(VLOOKUP('Contractor Assumptions'!$F38,uwmp_table_4_2_w!$B$2:$N$9900,14,FALSE),$A$11:$C$13,2,FALSE))</f>
        <v>27313.101865000001</v>
      </c>
      <c r="F337" s="472">
        <f>IFERROR(SUMIFS(uwmp_table_4_2_w!K$2:K$9900,uwmp_table_4_2_w!$G$2:$G$9900,"Multi-Family",uwmp_table_4_2_w!$B$2:$B$9900,'Contractor Assumptions'!$F38),0) + IFERROR(SUMIFS(uwmp_table_4_2_r!K$2:K$9900,uwmp_table_4_2_r!$G$2:$G$9900,"Multi-Family",uwmp_table_4_2_r!$B$2:$B$9900,'Contractor Assumptions'!$F38),0)*IFERROR(VLOOKUP(VLOOKUP('Contractor Assumptions'!$F38,uwmp_table_4_2_r!$B$2:$N$9900,13,FALSE),$A$11:$C$13,2,FALSE), VLOOKUP(VLOOKUP('Contractor Assumptions'!$F38,uwmp_table_4_2_w!$B$2:$N$9900,14,FALSE),$A$11:$C$13,2,FALSE))</f>
        <v>32223.322424999998</v>
      </c>
      <c r="G337" s="472">
        <f>IFERROR(SUMIFS(uwmp_table_4_2_w!L$2:L$9900,uwmp_table_4_2_w!$G$2:$G$9900,"Multi-Family",uwmp_table_4_2_w!$B$2:$B$9900,'Contractor Assumptions'!$F38),0) + IFERROR(SUMIFS(uwmp_table_4_2_r!L$2:L$9900,uwmp_table_4_2_r!$G$2:$G$9900,"Multi-Family",uwmp_table_4_2_r!$B$2:$B$9900,'Contractor Assumptions'!$F38),0)*IFERROR(VLOOKUP(VLOOKUP('Contractor Assumptions'!$F38,uwmp_table_4_2_r!$B$2:$N$9900,13,FALSE),$A$11:$C$13,2,FALSE), VLOOKUP(VLOOKUP('Contractor Assumptions'!$F38,uwmp_table_4_2_w!$B$2:$N$9900,14,FALSE),$A$11:$C$13,2,FALSE))</f>
        <v>33757.766349999998</v>
      </c>
      <c r="H337" s="520">
        <f>IFERROR(SUMIFS(uwmp_table_4_2_w!M$2:M$9900,uwmp_table_4_2_w!$G$2:$G$9900,"Multi-Family",uwmp_table_4_2_w!$B$2:$B$9900,'Contractor Assumptions'!$F38),0) + IFERROR(SUMIFS(uwmp_table_4_2_r!M$2:M$9900,uwmp_table_4_2_r!$G$2:$G$9900,"Multi-Family",uwmp_table_4_2_r!$B$2:$B$9900,'Contractor Assumptions'!$F38),0)*IFERROR(VLOOKUP(VLOOKUP('Contractor Assumptions'!$F38,uwmp_table_4_2_r!$B$2:$N$9900,13,FALSE),$A$11:$C$13,2,FALSE), VLOOKUP(VLOOKUP('Contractor Assumptions'!$F38,uwmp_table_4_2_w!$B$2:$N$9900,14,FALSE),$A$11:$C$13,2,FALSE))</f>
        <v>34371.543919999996</v>
      </c>
      <c r="I337" s="66"/>
      <c r="J337" s="70"/>
      <c r="K337" s="70"/>
      <c r="L337" s="70"/>
      <c r="M337" s="70"/>
      <c r="N337" s="70"/>
      <c r="O337" s="70"/>
      <c r="P337" s="70"/>
    </row>
    <row r="338" spans="1:16" hidden="1" outlineLevel="1" x14ac:dyDescent="0.3">
      <c r="A338" s="63" t="s">
        <v>439</v>
      </c>
      <c r="B338" s="63" t="s">
        <v>940</v>
      </c>
      <c r="C338" s="63" t="str">
        <f t="shared" si="3"/>
        <v>Coachella Valley Water District</v>
      </c>
      <c r="D338" s="471" t="s">
        <v>204</v>
      </c>
      <c r="E338" s="471" t="s">
        <v>204</v>
      </c>
      <c r="F338" s="471" t="s">
        <v>204</v>
      </c>
      <c r="G338" s="471" t="s">
        <v>204</v>
      </c>
      <c r="H338" s="518" t="s">
        <v>204</v>
      </c>
      <c r="I338" s="66"/>
      <c r="J338" s="70"/>
      <c r="K338" s="70"/>
      <c r="L338" s="70"/>
      <c r="M338" s="70"/>
      <c r="N338" s="70"/>
      <c r="O338" s="70"/>
      <c r="P338" s="70"/>
    </row>
    <row r="339" spans="1:16" hidden="1" outlineLevel="1" x14ac:dyDescent="0.3">
      <c r="A339" s="63" t="s">
        <v>439</v>
      </c>
      <c r="B339" s="63" t="s">
        <v>940</v>
      </c>
      <c r="C339" s="63" t="str">
        <f t="shared" si="3"/>
        <v>Crestline-Lake Arrowhead Water Agency</v>
      </c>
      <c r="D339" s="471" t="s">
        <v>204</v>
      </c>
      <c r="E339" s="471" t="s">
        <v>204</v>
      </c>
      <c r="F339" s="471" t="s">
        <v>204</v>
      </c>
      <c r="G339" s="471" t="s">
        <v>204</v>
      </c>
      <c r="H339" s="518" t="s">
        <v>204</v>
      </c>
      <c r="I339" s="66"/>
      <c r="J339" s="70"/>
      <c r="K339" s="70"/>
      <c r="L339" s="70"/>
      <c r="M339" s="70"/>
      <c r="N339" s="70"/>
      <c r="O339" s="70"/>
      <c r="P339" s="70"/>
    </row>
    <row r="340" spans="1:16" hidden="1" outlineLevel="1" x14ac:dyDescent="0.3">
      <c r="A340" s="63" t="s">
        <v>439</v>
      </c>
      <c r="B340" s="63" t="s">
        <v>940</v>
      </c>
      <c r="C340" s="63" t="str">
        <f t="shared" si="3"/>
        <v>Desert Water Agency</v>
      </c>
      <c r="D340" s="471" t="s">
        <v>204</v>
      </c>
      <c r="E340" s="471" t="s">
        <v>204</v>
      </c>
      <c r="F340" s="471" t="s">
        <v>204</v>
      </c>
      <c r="G340" s="471" t="s">
        <v>204</v>
      </c>
      <c r="H340" s="518" t="s">
        <v>204</v>
      </c>
      <c r="I340" s="66"/>
      <c r="J340" s="70"/>
      <c r="K340" s="70"/>
      <c r="L340" s="70"/>
      <c r="M340" s="70"/>
      <c r="N340" s="70"/>
      <c r="O340" s="70"/>
      <c r="P340" s="70"/>
    </row>
    <row r="341" spans="1:16" hidden="1" outlineLevel="1" x14ac:dyDescent="0.3">
      <c r="A341" s="63" t="s">
        <v>439</v>
      </c>
      <c r="B341" s="63" t="s">
        <v>940</v>
      </c>
      <c r="C341" s="63" t="str">
        <f t="shared" si="3"/>
        <v>Metropolitan Water District of Southern California</v>
      </c>
      <c r="D341" s="472">
        <f>'Met 2020 UWMP Demand Data'!M21</f>
        <v>641000</v>
      </c>
      <c r="E341" s="472">
        <f>'Met 2020 UWMP Demand Data'!N21</f>
        <v>671000</v>
      </c>
      <c r="F341" s="472">
        <f>'Met 2020 UWMP Demand Data'!O21</f>
        <v>716000</v>
      </c>
      <c r="G341" s="472">
        <f>'Met 2020 UWMP Demand Data'!P21</f>
        <v>747000</v>
      </c>
      <c r="H341" s="520">
        <f>'Met 2020 UWMP Demand Data'!Q21</f>
        <v>776000</v>
      </c>
      <c r="I341" s="66" t="s">
        <v>1019</v>
      </c>
      <c r="J341" s="70"/>
      <c r="K341" s="70"/>
      <c r="L341" s="70"/>
      <c r="M341" s="70"/>
      <c r="N341" s="70"/>
      <c r="O341" s="70"/>
      <c r="P341" s="70"/>
    </row>
    <row r="342" spans="1:16" hidden="1" outlineLevel="1" x14ac:dyDescent="0.3">
      <c r="A342" s="63" t="s">
        <v>439</v>
      </c>
      <c r="B342" s="63" t="s">
        <v>940</v>
      </c>
      <c r="C342" s="63" t="str">
        <f t="shared" si="3"/>
        <v>Mojave Water Agency</v>
      </c>
      <c r="D342" s="472">
        <v>5760</v>
      </c>
      <c r="E342" s="472">
        <v>5987</v>
      </c>
      <c r="F342" s="472">
        <v>6104</v>
      </c>
      <c r="G342" s="472">
        <v>6218</v>
      </c>
      <c r="H342" s="520">
        <v>6345</v>
      </c>
      <c r="I342" s="66" t="s">
        <v>1017</v>
      </c>
      <c r="J342" s="70"/>
      <c r="K342" s="70"/>
      <c r="L342" s="70"/>
      <c r="M342" s="70"/>
      <c r="N342" s="70"/>
      <c r="O342" s="70"/>
      <c r="P342" s="70"/>
    </row>
    <row r="343" spans="1:16" hidden="1" outlineLevel="1" x14ac:dyDescent="0.3">
      <c r="A343" s="63" t="s">
        <v>439</v>
      </c>
      <c r="B343" s="63" t="s">
        <v>940</v>
      </c>
      <c r="C343" s="63" t="str">
        <f t="shared" si="3"/>
        <v>Palmdale Water District &amp; Littlerock Creek Irrigation District</v>
      </c>
      <c r="D343" s="472">
        <f>IFERROR(SUMIFS(uwmp_table_4_2_w!I$2:I$9900,uwmp_table_4_2_w!$G$2:$G$9900,"Multi-Family",uwmp_table_4_2_w!$B$2:$B$9900,'Contractor Assumptions'!$F44),0) + IFERROR(SUMIFS(uwmp_table_4_2_r!I$2:I$9900,uwmp_table_4_2_r!$G$2:$G$9900,"Multi-Family",uwmp_table_4_2_r!$B$2:$B$9900,'Contractor Assumptions'!$F44),0)*IFERROR(VLOOKUP(VLOOKUP('Contractor Assumptions'!$F44,uwmp_table_4_2_r!$B$2:$N$9900,13,FALSE),$A$11:$C$13,2,FALSE), VLOOKUP(VLOOKUP('Contractor Assumptions'!$F44,uwmp_table_4_2_w!$B$2:$N$9900,14,FALSE),$A$11:$C$13,2,FALSE))</f>
        <v>1450</v>
      </c>
      <c r="E343" s="472">
        <f>IFERROR(SUMIFS(uwmp_table_4_2_w!J$2:J$9900,uwmp_table_4_2_w!$G$2:$G$9900,"Multi-Family",uwmp_table_4_2_w!$B$2:$B$9900,'Contractor Assumptions'!$F44),0) + IFERROR(SUMIFS(uwmp_table_4_2_r!J$2:J$9900,uwmp_table_4_2_r!$G$2:$G$9900,"Multi-Family",uwmp_table_4_2_r!$B$2:$B$9900,'Contractor Assumptions'!$F44),0)*IFERROR(VLOOKUP(VLOOKUP('Contractor Assumptions'!$F44,uwmp_table_4_2_r!$B$2:$N$9900,13,FALSE),$A$11:$C$13,2,FALSE), VLOOKUP(VLOOKUP('Contractor Assumptions'!$F44,uwmp_table_4_2_w!$B$2:$N$9900,14,FALSE),$A$11:$C$13,2,FALSE))</f>
        <v>1480</v>
      </c>
      <c r="F343" s="472">
        <f>IFERROR(SUMIFS(uwmp_table_4_2_w!K$2:K$9900,uwmp_table_4_2_w!$G$2:$G$9900,"Multi-Family",uwmp_table_4_2_w!$B$2:$B$9900,'Contractor Assumptions'!$F44),0) + IFERROR(SUMIFS(uwmp_table_4_2_r!K$2:K$9900,uwmp_table_4_2_r!$G$2:$G$9900,"Multi-Family",uwmp_table_4_2_r!$B$2:$B$9900,'Contractor Assumptions'!$F44),0)*IFERROR(VLOOKUP(VLOOKUP('Contractor Assumptions'!$F44,uwmp_table_4_2_r!$B$2:$N$9900,13,FALSE),$A$11:$C$13,2,FALSE), VLOOKUP(VLOOKUP('Contractor Assumptions'!$F44,uwmp_table_4_2_w!$B$2:$N$9900,14,FALSE),$A$11:$C$13,2,FALSE))</f>
        <v>1560</v>
      </c>
      <c r="G343" s="472">
        <f>IFERROR(SUMIFS(uwmp_table_4_2_w!L$2:L$9900,uwmp_table_4_2_w!$G$2:$G$9900,"Multi-Family",uwmp_table_4_2_w!$B$2:$B$9900,'Contractor Assumptions'!$F44),0) + IFERROR(SUMIFS(uwmp_table_4_2_r!L$2:L$9900,uwmp_table_4_2_r!$G$2:$G$9900,"Multi-Family",uwmp_table_4_2_r!$B$2:$B$9900,'Contractor Assumptions'!$F44),0)*IFERROR(VLOOKUP(VLOOKUP('Contractor Assumptions'!$F44,uwmp_table_4_2_r!$B$2:$N$9900,13,FALSE),$A$11:$C$13,2,FALSE), VLOOKUP(VLOOKUP('Contractor Assumptions'!$F44,uwmp_table_4_2_w!$B$2:$N$9900,14,FALSE),$A$11:$C$13,2,FALSE))</f>
        <v>1640</v>
      </c>
      <c r="H343" s="520">
        <f>IFERROR(SUMIFS(uwmp_table_4_2_w!M$2:M$9900,uwmp_table_4_2_w!$G$2:$G$9900,"Multi-Family",uwmp_table_4_2_w!$B$2:$B$9900,'Contractor Assumptions'!$F44),0) + IFERROR(SUMIFS(uwmp_table_4_2_r!M$2:M$9900,uwmp_table_4_2_r!$G$2:$G$9900,"Multi-Family",uwmp_table_4_2_r!$B$2:$B$9900,'Contractor Assumptions'!$F44),0)*IFERROR(VLOOKUP(VLOOKUP('Contractor Assumptions'!$F44,uwmp_table_4_2_r!$B$2:$N$9900,13,FALSE),$A$11:$C$13,2,FALSE), VLOOKUP(VLOOKUP('Contractor Assumptions'!$F44,uwmp_table_4_2_w!$B$2:$N$9900,14,FALSE),$A$11:$C$13,2,FALSE))</f>
        <v>1730</v>
      </c>
      <c r="I343" s="66"/>
      <c r="J343" s="70"/>
      <c r="K343" s="70"/>
      <c r="L343" s="70"/>
      <c r="M343" s="70"/>
      <c r="N343" s="70"/>
      <c r="O343" s="70"/>
      <c r="P343" s="70"/>
    </row>
    <row r="344" spans="1:16" hidden="1" outlineLevel="1" x14ac:dyDescent="0.3">
      <c r="A344" s="63" t="s">
        <v>439</v>
      </c>
      <c r="B344" s="63" t="s">
        <v>940</v>
      </c>
      <c r="C344" s="63" t="str">
        <f t="shared" si="3"/>
        <v>San Bernardino Valley Municipal Water District</v>
      </c>
      <c r="D344" s="472">
        <f>IFERROR(SUMIFS(uwmp_table_4_2_w!I$2:I$9900,uwmp_table_4_2_w!$G$2:$G$9900,"Multi-Family",uwmp_table_4_2_w!$B$2:$B$9900,'Contractor Assumptions'!$F45),0) + IFERROR(SUMIFS(uwmp_table_4_2_r!I$2:I$9900,uwmp_table_4_2_r!$G$2:$G$9900,"Multi-Family",uwmp_table_4_2_r!$B$2:$B$9900,'Contractor Assumptions'!$F45),0)</f>
        <v>0</v>
      </c>
      <c r="E344" s="472">
        <f>IFERROR(SUMIFS(uwmp_table_4_2_w!J$2:J$9900,uwmp_table_4_2_w!$G$2:$G$9900,"Multi-Family",uwmp_table_4_2_w!$B$2:$B$9900,'Contractor Assumptions'!$F45),0) + IFERROR(SUMIFS(uwmp_table_4_2_r!J$2:J$9900,uwmp_table_4_2_r!$G$2:$G$9900,"Multi-Family",uwmp_table_4_2_r!$B$2:$B$9900,'Contractor Assumptions'!$F45),0)</f>
        <v>0</v>
      </c>
      <c r="F344" s="472">
        <f>IFERROR(SUMIFS(uwmp_table_4_2_w!K$2:K$9900,uwmp_table_4_2_w!$G$2:$G$9900,"Multi-Family",uwmp_table_4_2_w!$B$2:$B$9900,'Contractor Assumptions'!$F45),0) + IFERROR(SUMIFS(uwmp_table_4_2_r!K$2:K$9900,uwmp_table_4_2_r!$G$2:$G$9900,"Multi-Family",uwmp_table_4_2_r!$B$2:$B$9900,'Contractor Assumptions'!$F45),0)</f>
        <v>0</v>
      </c>
      <c r="G344" s="472">
        <f>IFERROR(SUMIFS(uwmp_table_4_2_w!L$2:L$9900,uwmp_table_4_2_w!$G$2:$G$9900,"Multi-Family",uwmp_table_4_2_w!$B$2:$B$9900,'Contractor Assumptions'!$F45),0) + IFERROR(SUMIFS(uwmp_table_4_2_r!L$2:L$9900,uwmp_table_4_2_r!$G$2:$G$9900,"Multi-Family",uwmp_table_4_2_r!$B$2:$B$9900,'Contractor Assumptions'!$F45),0)</f>
        <v>0</v>
      </c>
      <c r="H344" s="520">
        <f>IFERROR(SUMIFS(uwmp_table_4_2_w!M$2:M$9900,uwmp_table_4_2_w!$G$2:$G$9900,"Multi-Family",uwmp_table_4_2_w!$B$2:$B$9900,'Contractor Assumptions'!$F45),0) + IFERROR(SUMIFS(uwmp_table_4_2_r!M$2:M$9900,uwmp_table_4_2_r!$G$2:$G$9900,"Multi-Family",uwmp_table_4_2_r!$B$2:$B$9900,'Contractor Assumptions'!$F45),0)</f>
        <v>0</v>
      </c>
      <c r="I344" s="66"/>
      <c r="J344" s="70"/>
      <c r="K344" s="70"/>
      <c r="L344" s="70"/>
      <c r="M344" s="70"/>
      <c r="N344" s="70"/>
      <c r="O344" s="70"/>
      <c r="P344" s="70"/>
    </row>
    <row r="345" spans="1:16" hidden="1" outlineLevel="1" x14ac:dyDescent="0.3">
      <c r="A345" s="63" t="s">
        <v>439</v>
      </c>
      <c r="B345" s="63" t="s">
        <v>940</v>
      </c>
      <c r="C345" s="63" t="str">
        <f t="shared" si="3"/>
        <v>San Gabriel Valley Municipal Water District</v>
      </c>
      <c r="D345" s="471" t="s">
        <v>204</v>
      </c>
      <c r="E345" s="471" t="s">
        <v>204</v>
      </c>
      <c r="F345" s="471" t="s">
        <v>204</v>
      </c>
      <c r="G345" s="471" t="s">
        <v>204</v>
      </c>
      <c r="H345" s="518" t="s">
        <v>204</v>
      </c>
      <c r="I345" s="66"/>
      <c r="J345" s="70"/>
      <c r="K345" s="70"/>
      <c r="L345" s="70"/>
      <c r="M345" s="70"/>
      <c r="N345" s="70"/>
      <c r="O345" s="70"/>
      <c r="P345" s="70"/>
    </row>
    <row r="346" spans="1:16" hidden="1" outlineLevel="1" x14ac:dyDescent="0.3">
      <c r="A346" s="63" t="s">
        <v>439</v>
      </c>
      <c r="B346" s="63" t="s">
        <v>940</v>
      </c>
      <c r="C346" s="63" t="str">
        <f t="shared" si="3"/>
        <v>San Gorgonio Pass Water Agency</v>
      </c>
      <c r="D346" s="472">
        <v>1526</v>
      </c>
      <c r="E346" s="472">
        <v>1492</v>
      </c>
      <c r="F346" s="472">
        <v>1462</v>
      </c>
      <c r="G346" s="472">
        <v>1434</v>
      </c>
      <c r="H346" s="520">
        <v>1409</v>
      </c>
      <c r="I346" s="66" t="s">
        <v>1018</v>
      </c>
      <c r="J346" s="70"/>
      <c r="K346" s="70"/>
      <c r="L346" s="70"/>
      <c r="M346" s="70"/>
      <c r="N346" s="70"/>
      <c r="O346" s="70"/>
      <c r="P346" s="70"/>
    </row>
    <row r="347" spans="1:16" hidden="1" outlineLevel="1" x14ac:dyDescent="0.3">
      <c r="A347" s="63" t="s">
        <v>439</v>
      </c>
      <c r="B347" s="63" t="s">
        <v>940</v>
      </c>
      <c r="C347" s="63" t="str">
        <f t="shared" si="3"/>
        <v>Ventura County Watershed Protection District</v>
      </c>
      <c r="D347" s="472" t="s">
        <v>204</v>
      </c>
      <c r="E347" s="472" t="s">
        <v>204</v>
      </c>
      <c r="F347" s="472" t="s">
        <v>204</v>
      </c>
      <c r="G347" s="472" t="s">
        <v>204</v>
      </c>
      <c r="H347" s="520" t="s">
        <v>204</v>
      </c>
      <c r="I347" s="66"/>
      <c r="J347" s="70"/>
      <c r="K347" s="70"/>
      <c r="L347" s="70"/>
      <c r="M347" s="70"/>
      <c r="N347" s="70"/>
      <c r="O347" s="70"/>
      <c r="P347" s="70"/>
    </row>
    <row r="348" spans="1:16" collapsed="1" x14ac:dyDescent="0.3">
      <c r="A348" s="120"/>
      <c r="B348" s="120"/>
      <c r="C348" s="407" t="s">
        <v>992</v>
      </c>
      <c r="D348" s="121"/>
      <c r="E348" s="121"/>
      <c r="F348" s="121"/>
      <c r="G348" s="121"/>
      <c r="H348" s="519"/>
      <c r="I348" s="121"/>
      <c r="J348" s="70"/>
      <c r="K348" s="70"/>
      <c r="L348" s="70"/>
      <c r="M348" s="70"/>
      <c r="N348" s="70"/>
      <c r="O348" s="70"/>
      <c r="P348" s="70"/>
    </row>
    <row r="349" spans="1:16" x14ac:dyDescent="0.3">
      <c r="A349" s="63"/>
      <c r="B349" s="63"/>
      <c r="C349" s="129" t="s">
        <v>990</v>
      </c>
      <c r="D349" s="66">
        <f>SUM(D351:D393)</f>
        <v>337379.25184912945</v>
      </c>
      <c r="E349" s="66">
        <f>SUM(E351:E393)</f>
        <v>343050.96410760481</v>
      </c>
      <c r="F349" s="66">
        <f>SUM(F351:F393)</f>
        <v>350100.91936384322</v>
      </c>
      <c r="G349" s="66">
        <f>SUM(G351:G393)</f>
        <v>352706.98222188925</v>
      </c>
      <c r="H349" s="521">
        <f>SUM(H351:H393)</f>
        <v>352486.86398119753</v>
      </c>
      <c r="I349" s="66"/>
      <c r="J349" s="70"/>
      <c r="K349" s="70"/>
      <c r="L349" s="70"/>
      <c r="M349" s="70"/>
      <c r="N349" s="70"/>
      <c r="O349" s="70"/>
      <c r="P349" s="70"/>
    </row>
    <row r="350" spans="1:16" x14ac:dyDescent="0.3">
      <c r="A350" s="122" t="s">
        <v>5</v>
      </c>
      <c r="B350" s="122"/>
      <c r="C350" s="122" t="s">
        <v>193</v>
      </c>
      <c r="D350" s="123">
        <v>2025</v>
      </c>
      <c r="E350" s="123">
        <v>2030</v>
      </c>
      <c r="F350" s="123">
        <v>2035</v>
      </c>
      <c r="G350" s="123">
        <v>2040</v>
      </c>
      <c r="H350" s="505">
        <v>2045</v>
      </c>
      <c r="I350" s="123" t="s">
        <v>153</v>
      </c>
      <c r="J350" s="70"/>
      <c r="K350" s="70"/>
      <c r="L350" s="70"/>
      <c r="M350" s="70"/>
      <c r="N350" s="70"/>
      <c r="O350" s="70"/>
      <c r="P350" s="70"/>
    </row>
    <row r="351" spans="1:16" hidden="1" outlineLevel="1" x14ac:dyDescent="0.3">
      <c r="A351" s="63" t="s">
        <v>443</v>
      </c>
      <c r="B351" s="63" t="s">
        <v>855</v>
      </c>
      <c r="C351" s="63" t="str">
        <f t="shared" ref="C351:C393" si="4">C305</f>
        <v>Butte County</v>
      </c>
      <c r="D351" s="471" t="s">
        <v>204</v>
      </c>
      <c r="E351" s="471" t="s">
        <v>204</v>
      </c>
      <c r="F351" s="471" t="s">
        <v>204</v>
      </c>
      <c r="G351" s="471" t="s">
        <v>204</v>
      </c>
      <c r="H351" s="518" t="s">
        <v>204</v>
      </c>
      <c r="I351" s="66"/>
      <c r="J351" s="70"/>
      <c r="K351" s="70"/>
      <c r="L351" s="70"/>
      <c r="M351" s="70"/>
      <c r="N351" s="70"/>
      <c r="O351" s="70"/>
      <c r="P351" s="70"/>
    </row>
    <row r="352" spans="1:16" hidden="1" outlineLevel="1" x14ac:dyDescent="0.3">
      <c r="A352" s="63" t="s">
        <v>443</v>
      </c>
      <c r="B352" s="63" t="s">
        <v>855</v>
      </c>
      <c r="C352" s="63" t="str">
        <f t="shared" si="4"/>
        <v>City of Folsom</v>
      </c>
      <c r="D352" s="472">
        <f>IFERROR(SUMIFS(uwmp_table_4_2_w!I$2:I$9900,uwmp_table_4_2_w!$G$2:$G$9900,"Industrial",uwmp_table_4_2_w!$B$2:$B$9900,'Contractor Assumptions'!$F7),0) + IFERROR(SUMIFS(uwmp_table_4_2_r!I$2:I$9900,uwmp_table_4_2_r!$G$2:$G$9900,"Industrial",uwmp_table_4_2_r!$B$2:$B$9900,'Contractor Assumptions'!$F7),0)*IFERROR(VLOOKUP(VLOOKUP('Contractor Assumptions'!$F7,uwmp_table_4_2_r!$B$2:$N$9900,13,FALSE),$A$11:$C$13,2,FALSE), VLOOKUP(VLOOKUP('Contractor Assumptions'!$F7,uwmp_table_4_2_w!$B$2:$N$9900,14,FALSE),$A$11:$C$13,2,FALSE))</f>
        <v>0</v>
      </c>
      <c r="E352" s="472">
        <f>IFERROR(SUMIFS(uwmp_table_4_2_w!J$2:J$9900,uwmp_table_4_2_w!$G$2:$G$9900,"Industrial",uwmp_table_4_2_w!$B$2:$B$9900,'Contractor Assumptions'!$F7),0) + IFERROR(SUMIFS(uwmp_table_4_2_r!J$2:J$9900,uwmp_table_4_2_r!$G$2:$G$9900,"Industrial",uwmp_table_4_2_r!$B$2:$B$9900,'Contractor Assumptions'!$F7),0)*IFERROR(VLOOKUP(VLOOKUP('Contractor Assumptions'!$F7,uwmp_table_4_2_r!$B$2:$N$9900,13,FALSE),$A$11:$C$13,2,FALSE), VLOOKUP(VLOOKUP('Contractor Assumptions'!$F7,uwmp_table_4_2_w!$B$2:$N$9900,14,FALSE),$A$11:$C$13,2,FALSE))</f>
        <v>0</v>
      </c>
      <c r="F352" s="472">
        <f>IFERROR(SUMIFS(uwmp_table_4_2_w!K$2:K$9900,uwmp_table_4_2_w!$G$2:$G$9900,"Industrial",uwmp_table_4_2_w!$B$2:$B$9900,'Contractor Assumptions'!$F7),0) + IFERROR(SUMIFS(uwmp_table_4_2_r!K$2:K$9900,uwmp_table_4_2_r!$G$2:$G$9900,"Industrial",uwmp_table_4_2_r!$B$2:$B$9900,'Contractor Assumptions'!$F7),0)*IFERROR(VLOOKUP(VLOOKUP('Contractor Assumptions'!$F7,uwmp_table_4_2_r!$B$2:$N$9900,13,FALSE),$A$11:$C$13,2,FALSE), VLOOKUP(VLOOKUP('Contractor Assumptions'!$F7,uwmp_table_4_2_w!$B$2:$N$9900,14,FALSE),$A$11:$C$13,2,FALSE))</f>
        <v>0</v>
      </c>
      <c r="G352" s="472">
        <f>IFERROR(SUMIFS(uwmp_table_4_2_w!L$2:L$9900,uwmp_table_4_2_w!$G$2:$G$9900,"Industrial",uwmp_table_4_2_w!$B$2:$B$9900,'Contractor Assumptions'!$F7),0) + IFERROR(SUMIFS(uwmp_table_4_2_r!L$2:L$9900,uwmp_table_4_2_r!$G$2:$G$9900,"Industrial",uwmp_table_4_2_r!$B$2:$B$9900,'Contractor Assumptions'!$F7),0)*IFERROR(VLOOKUP(VLOOKUP('Contractor Assumptions'!$F7,uwmp_table_4_2_r!$B$2:$N$9900,13,FALSE),$A$11:$C$13,2,FALSE), VLOOKUP(VLOOKUP('Contractor Assumptions'!$F7,uwmp_table_4_2_w!$B$2:$N$9900,14,FALSE),$A$11:$C$13,2,FALSE))</f>
        <v>0</v>
      </c>
      <c r="H352" s="520">
        <f>IFERROR(SUMIFS(uwmp_table_4_2_w!M$2:M$9900,uwmp_table_4_2_w!$G$2:$G$9900,"Industrial",uwmp_table_4_2_w!$B$2:$B$9900,'Contractor Assumptions'!$F7),0) + IFERROR(SUMIFS(uwmp_table_4_2_r!M$2:M$9900,uwmp_table_4_2_r!$G$2:$G$9900,"Industrial",uwmp_table_4_2_r!$B$2:$B$9900,'Contractor Assumptions'!$F7),0)*IFERROR(VLOOKUP(VLOOKUP('Contractor Assumptions'!$F7,uwmp_table_4_2_r!$B$2:$N$9900,13,FALSE),$A$11:$C$13,2,FALSE), VLOOKUP(VLOOKUP('Contractor Assumptions'!$F7,uwmp_table_4_2_w!$B$2:$N$9900,14,FALSE),$A$11:$C$13,2,FALSE))</f>
        <v>0</v>
      </c>
      <c r="I352" s="66" t="s">
        <v>1020</v>
      </c>
      <c r="J352" s="70"/>
      <c r="K352" s="70"/>
      <c r="L352" s="70"/>
      <c r="M352" s="70"/>
      <c r="N352" s="70"/>
      <c r="O352" s="70"/>
      <c r="P352" s="70"/>
    </row>
    <row r="353" spans="1:16" hidden="1" outlineLevel="1" x14ac:dyDescent="0.3">
      <c r="A353" s="63" t="s">
        <v>443</v>
      </c>
      <c r="B353" s="63" t="s">
        <v>855</v>
      </c>
      <c r="C353" s="63" t="str">
        <f t="shared" si="4"/>
        <v>City of Redding</v>
      </c>
      <c r="D353" s="472">
        <f>IFERROR(SUMIFS(uwmp_table_4_2_w!I$2:I$9900,uwmp_table_4_2_w!$G$2:$G$9900,"Industrial",uwmp_table_4_2_w!$B$2:$B$9900,'Contractor Assumptions'!$F8),0) + IFERROR(SUMIFS(uwmp_table_4_2_r!I$2:I$9900,uwmp_table_4_2_r!$G$2:$G$9900,"Industrial",uwmp_table_4_2_r!$B$2:$B$9900,'Contractor Assumptions'!$F8),0)*IFERROR(VLOOKUP(VLOOKUP('Contractor Assumptions'!$F8,uwmp_table_4_2_r!$B$2:$N$9900,13,FALSE),$A$11:$C$13,2,FALSE), VLOOKUP(VLOOKUP('Contractor Assumptions'!$F8,uwmp_table_4_2_w!$B$2:$N$9900,14,FALSE),$A$11:$C$13,2,FALSE))</f>
        <v>0</v>
      </c>
      <c r="E353" s="472">
        <f>IFERROR(SUMIFS(uwmp_table_4_2_w!J$2:J$9900,uwmp_table_4_2_w!$G$2:$G$9900,"Industrial",uwmp_table_4_2_w!$B$2:$B$9900,'Contractor Assumptions'!$F8),0) + IFERROR(SUMIFS(uwmp_table_4_2_r!J$2:J$9900,uwmp_table_4_2_r!$G$2:$G$9900,"Industrial",uwmp_table_4_2_r!$B$2:$B$9900,'Contractor Assumptions'!$F8),0)*IFERROR(VLOOKUP(VLOOKUP('Contractor Assumptions'!$F8,uwmp_table_4_2_r!$B$2:$N$9900,13,FALSE),$A$11:$C$13,2,FALSE), VLOOKUP(VLOOKUP('Contractor Assumptions'!$F8,uwmp_table_4_2_w!$B$2:$N$9900,14,FALSE),$A$11:$C$13,2,FALSE))</f>
        <v>0</v>
      </c>
      <c r="F353" s="472">
        <f>IFERROR(SUMIFS(uwmp_table_4_2_w!K$2:K$9900,uwmp_table_4_2_w!$G$2:$G$9900,"Industrial",uwmp_table_4_2_w!$B$2:$B$9900,'Contractor Assumptions'!$F8),0) + IFERROR(SUMIFS(uwmp_table_4_2_r!K$2:K$9900,uwmp_table_4_2_r!$G$2:$G$9900,"Industrial",uwmp_table_4_2_r!$B$2:$B$9900,'Contractor Assumptions'!$F8),0)*IFERROR(VLOOKUP(VLOOKUP('Contractor Assumptions'!$F8,uwmp_table_4_2_r!$B$2:$N$9900,13,FALSE),$A$11:$C$13,2,FALSE), VLOOKUP(VLOOKUP('Contractor Assumptions'!$F8,uwmp_table_4_2_w!$B$2:$N$9900,14,FALSE),$A$11:$C$13,2,FALSE))</f>
        <v>0</v>
      </c>
      <c r="G353" s="472">
        <f>IFERROR(SUMIFS(uwmp_table_4_2_w!L$2:L$9900,uwmp_table_4_2_w!$G$2:$G$9900,"Industrial",uwmp_table_4_2_w!$B$2:$B$9900,'Contractor Assumptions'!$F8),0) + IFERROR(SUMIFS(uwmp_table_4_2_r!L$2:L$9900,uwmp_table_4_2_r!$G$2:$G$9900,"Industrial",uwmp_table_4_2_r!$B$2:$B$9900,'Contractor Assumptions'!$F8),0)*IFERROR(VLOOKUP(VLOOKUP('Contractor Assumptions'!$F8,uwmp_table_4_2_r!$B$2:$N$9900,13,FALSE),$A$11:$C$13,2,FALSE), VLOOKUP(VLOOKUP('Contractor Assumptions'!$F8,uwmp_table_4_2_w!$B$2:$N$9900,14,FALSE),$A$11:$C$13,2,FALSE))</f>
        <v>0</v>
      </c>
      <c r="H353" s="520">
        <f>IFERROR(SUMIFS(uwmp_table_4_2_w!M$2:M$9900,uwmp_table_4_2_w!$G$2:$G$9900,"Industrial",uwmp_table_4_2_w!$B$2:$B$9900,'Contractor Assumptions'!$F8),0) + IFERROR(SUMIFS(uwmp_table_4_2_r!M$2:M$9900,uwmp_table_4_2_r!$G$2:$G$9900,"Industrial",uwmp_table_4_2_r!$B$2:$B$9900,'Contractor Assumptions'!$F8),0)*IFERROR(VLOOKUP(VLOOKUP('Contractor Assumptions'!$F8,uwmp_table_4_2_r!$B$2:$N$9900,13,FALSE),$A$11:$C$13,2,FALSE), VLOOKUP(VLOOKUP('Contractor Assumptions'!$F8,uwmp_table_4_2_w!$B$2:$N$9900,14,FALSE),$A$11:$C$13,2,FALSE))</f>
        <v>0</v>
      </c>
      <c r="I353" s="66"/>
      <c r="J353" s="70"/>
      <c r="K353" s="70"/>
      <c r="L353" s="70"/>
      <c r="M353" s="70"/>
      <c r="N353" s="70"/>
      <c r="O353" s="70"/>
      <c r="P353" s="70"/>
    </row>
    <row r="354" spans="1:16" hidden="1" outlineLevel="1" x14ac:dyDescent="0.3">
      <c r="A354" s="63" t="s">
        <v>443</v>
      </c>
      <c r="B354" s="63" t="s">
        <v>855</v>
      </c>
      <c r="C354" s="63" t="str">
        <f t="shared" si="4"/>
        <v>City of Roseville</v>
      </c>
      <c r="D354" s="472">
        <f>IFERROR(SUMIFS(uwmp_table_4_2_w!I$2:I$9900,uwmp_table_4_2_w!$G$2:$G$9900,"Industrial",uwmp_table_4_2_w!$B$2:$B$9900,'Contractor Assumptions'!$F9),0) + IFERROR(SUMIFS(uwmp_table_4_2_r!I$2:I$9900,uwmp_table_4_2_r!$G$2:$G$9900,"Industrial",uwmp_table_4_2_r!$B$2:$B$9900,'Contractor Assumptions'!$F9),0)*IFERROR(VLOOKUP(VLOOKUP('Contractor Assumptions'!$F9,uwmp_table_4_2_r!$B$2:$N$9900,13,FALSE),$A$11:$C$13,2,FALSE), VLOOKUP(VLOOKUP('Contractor Assumptions'!$F9,uwmp_table_4_2_w!$B$2:$N$9900,14,FALSE),$A$11:$C$13,2,FALSE))</f>
        <v>4175</v>
      </c>
      <c r="E354" s="472">
        <f>IFERROR(SUMIFS(uwmp_table_4_2_w!J$2:J$9900,uwmp_table_4_2_w!$G$2:$G$9900,"Industrial",uwmp_table_4_2_w!$B$2:$B$9900,'Contractor Assumptions'!$F9),0) + IFERROR(SUMIFS(uwmp_table_4_2_r!J$2:J$9900,uwmp_table_4_2_r!$G$2:$G$9900,"Industrial",uwmp_table_4_2_r!$B$2:$B$9900,'Contractor Assumptions'!$F9),0)*IFERROR(VLOOKUP(VLOOKUP('Contractor Assumptions'!$F9,uwmp_table_4_2_r!$B$2:$N$9900,13,FALSE),$A$11:$C$13,2,FALSE), VLOOKUP(VLOOKUP('Contractor Assumptions'!$F9,uwmp_table_4_2_w!$B$2:$N$9900,14,FALSE),$A$11:$C$13,2,FALSE))</f>
        <v>4726</v>
      </c>
      <c r="F354" s="472">
        <f>IFERROR(SUMIFS(uwmp_table_4_2_w!K$2:K$9900,uwmp_table_4_2_w!$G$2:$G$9900,"Industrial",uwmp_table_4_2_w!$B$2:$B$9900,'Contractor Assumptions'!$F9),0) + IFERROR(SUMIFS(uwmp_table_4_2_r!K$2:K$9900,uwmp_table_4_2_r!$G$2:$G$9900,"Industrial",uwmp_table_4_2_r!$B$2:$B$9900,'Contractor Assumptions'!$F9),0)*IFERROR(VLOOKUP(VLOOKUP('Contractor Assumptions'!$F9,uwmp_table_4_2_r!$B$2:$N$9900,13,FALSE),$A$11:$C$13,2,FALSE), VLOOKUP(VLOOKUP('Contractor Assumptions'!$F9,uwmp_table_4_2_w!$B$2:$N$9900,14,FALSE),$A$11:$C$13,2,FALSE))</f>
        <v>5123</v>
      </c>
      <c r="G354" s="472">
        <f>IFERROR(SUMIFS(uwmp_table_4_2_w!L$2:L$9900,uwmp_table_4_2_w!$G$2:$G$9900,"Industrial",uwmp_table_4_2_w!$B$2:$B$9900,'Contractor Assumptions'!$F9),0) + IFERROR(SUMIFS(uwmp_table_4_2_r!L$2:L$9900,uwmp_table_4_2_r!$G$2:$G$9900,"Industrial",uwmp_table_4_2_r!$B$2:$B$9900,'Contractor Assumptions'!$F9),0)*IFERROR(VLOOKUP(VLOOKUP('Contractor Assumptions'!$F9,uwmp_table_4_2_r!$B$2:$N$9900,13,FALSE),$A$11:$C$13,2,FALSE), VLOOKUP(VLOOKUP('Contractor Assumptions'!$F9,uwmp_table_4_2_w!$B$2:$N$9900,14,FALSE),$A$11:$C$13,2,FALSE))</f>
        <v>5123</v>
      </c>
      <c r="H354" s="520">
        <f>IFERROR(SUMIFS(uwmp_table_4_2_w!M$2:M$9900,uwmp_table_4_2_w!$G$2:$G$9900,"Industrial",uwmp_table_4_2_w!$B$2:$B$9900,'Contractor Assumptions'!$F9),0) + IFERROR(SUMIFS(uwmp_table_4_2_r!M$2:M$9900,uwmp_table_4_2_r!$G$2:$G$9900,"Industrial",uwmp_table_4_2_r!$B$2:$B$9900,'Contractor Assumptions'!$F9),0)*IFERROR(VLOOKUP(VLOOKUP('Contractor Assumptions'!$F9,uwmp_table_4_2_r!$B$2:$N$9900,13,FALSE),$A$11:$C$13,2,FALSE), VLOOKUP(VLOOKUP('Contractor Assumptions'!$F9,uwmp_table_4_2_w!$B$2:$N$9900,14,FALSE),$A$11:$C$13,2,FALSE))</f>
        <v>5123</v>
      </c>
      <c r="I354" s="66" t="s">
        <v>1006</v>
      </c>
      <c r="J354" s="70"/>
      <c r="K354" s="70"/>
      <c r="L354" s="70"/>
      <c r="M354" s="70"/>
      <c r="N354" s="70"/>
      <c r="O354" s="70"/>
      <c r="P354" s="70"/>
    </row>
    <row r="355" spans="1:16" hidden="1" outlineLevel="1" x14ac:dyDescent="0.3">
      <c r="A355" s="63" t="s">
        <v>443</v>
      </c>
      <c r="B355" s="63" t="s">
        <v>855</v>
      </c>
      <c r="C355" s="63" t="str">
        <f t="shared" si="4"/>
        <v>City of West Sacramento</v>
      </c>
      <c r="D355" s="472">
        <f>IFERROR(SUMIFS(uwmp_table_4_2_w!I$2:I$9900,uwmp_table_4_2_w!$G$2:$G$9900,"Industrial",uwmp_table_4_2_w!$B$2:$B$9900,'Contractor Assumptions'!$F10),0) + IFERROR(SUMIFS(uwmp_table_4_2_r!I$2:I$9900,uwmp_table_4_2_r!$G$2:$G$9900,"Industrial",uwmp_table_4_2_r!$B$2:$B$9900,'Contractor Assumptions'!$F10),0)*IFERROR(VLOOKUP(VLOOKUP('Contractor Assumptions'!$F10,uwmp_table_4_2_r!$B$2:$N$9900,13,FALSE),$A$11:$C$13,2,FALSE), VLOOKUP(VLOOKUP('Contractor Assumptions'!$F10,uwmp_table_4_2_w!$B$2:$N$9900,14,FALSE),$A$11:$C$13,2,FALSE))</f>
        <v>0</v>
      </c>
      <c r="E355" s="472">
        <f>IFERROR(SUMIFS(uwmp_table_4_2_w!J$2:J$9900,uwmp_table_4_2_w!$G$2:$G$9900,"Industrial",uwmp_table_4_2_w!$B$2:$B$9900,'Contractor Assumptions'!$F10),0) + IFERROR(SUMIFS(uwmp_table_4_2_r!J$2:J$9900,uwmp_table_4_2_r!$G$2:$G$9900,"Industrial",uwmp_table_4_2_r!$B$2:$B$9900,'Contractor Assumptions'!$F10),0)*IFERROR(VLOOKUP(VLOOKUP('Contractor Assumptions'!$F10,uwmp_table_4_2_r!$B$2:$N$9900,13,FALSE),$A$11:$C$13,2,FALSE), VLOOKUP(VLOOKUP('Contractor Assumptions'!$F10,uwmp_table_4_2_w!$B$2:$N$9900,14,FALSE),$A$11:$C$13,2,FALSE))</f>
        <v>0</v>
      </c>
      <c r="F355" s="472">
        <f>IFERROR(SUMIFS(uwmp_table_4_2_w!K$2:K$9900,uwmp_table_4_2_w!$G$2:$G$9900,"Industrial",uwmp_table_4_2_w!$B$2:$B$9900,'Contractor Assumptions'!$F10),0) + IFERROR(SUMIFS(uwmp_table_4_2_r!K$2:K$9900,uwmp_table_4_2_r!$G$2:$G$9900,"Industrial",uwmp_table_4_2_r!$B$2:$B$9900,'Contractor Assumptions'!$F10),0)*IFERROR(VLOOKUP(VLOOKUP('Contractor Assumptions'!$F10,uwmp_table_4_2_r!$B$2:$N$9900,13,FALSE),$A$11:$C$13,2,FALSE), VLOOKUP(VLOOKUP('Contractor Assumptions'!$F10,uwmp_table_4_2_w!$B$2:$N$9900,14,FALSE),$A$11:$C$13,2,FALSE))</f>
        <v>0</v>
      </c>
      <c r="G355" s="472">
        <f>IFERROR(SUMIFS(uwmp_table_4_2_w!L$2:L$9900,uwmp_table_4_2_w!$G$2:$G$9900,"Industrial",uwmp_table_4_2_w!$B$2:$B$9900,'Contractor Assumptions'!$F10),0) + IFERROR(SUMIFS(uwmp_table_4_2_r!L$2:L$9900,uwmp_table_4_2_r!$G$2:$G$9900,"Industrial",uwmp_table_4_2_r!$B$2:$B$9900,'Contractor Assumptions'!$F10),0)*IFERROR(VLOOKUP(VLOOKUP('Contractor Assumptions'!$F10,uwmp_table_4_2_r!$B$2:$N$9900,13,FALSE),$A$11:$C$13,2,FALSE), VLOOKUP(VLOOKUP('Contractor Assumptions'!$F10,uwmp_table_4_2_w!$B$2:$N$9900,14,FALSE),$A$11:$C$13,2,FALSE))</f>
        <v>0</v>
      </c>
      <c r="H355" s="520">
        <f>IFERROR(SUMIFS(uwmp_table_4_2_w!M$2:M$9900,uwmp_table_4_2_w!$G$2:$G$9900,"Industrial",uwmp_table_4_2_w!$B$2:$B$9900,'Contractor Assumptions'!$F10),0) + IFERROR(SUMIFS(uwmp_table_4_2_r!M$2:M$9900,uwmp_table_4_2_r!$G$2:$G$9900,"Industrial",uwmp_table_4_2_r!$B$2:$B$9900,'Contractor Assumptions'!$F10),0)*IFERROR(VLOOKUP(VLOOKUP('Contractor Assumptions'!$F10,uwmp_table_4_2_r!$B$2:$N$9900,13,FALSE),$A$11:$C$13,2,FALSE), VLOOKUP(VLOOKUP('Contractor Assumptions'!$F10,uwmp_table_4_2_w!$B$2:$N$9900,14,FALSE),$A$11:$C$13,2,FALSE))</f>
        <v>0</v>
      </c>
      <c r="I355" s="66"/>
      <c r="J355" s="70"/>
      <c r="K355" s="70"/>
      <c r="L355" s="70"/>
      <c r="M355" s="70"/>
      <c r="N355" s="70"/>
      <c r="O355" s="70"/>
      <c r="P355" s="70"/>
    </row>
    <row r="356" spans="1:16" hidden="1" outlineLevel="1" x14ac:dyDescent="0.3">
      <c r="A356" s="63" t="s">
        <v>443</v>
      </c>
      <c r="B356" s="63" t="s">
        <v>855</v>
      </c>
      <c r="C356" s="63" t="str">
        <f t="shared" si="4"/>
        <v>Yuba City</v>
      </c>
      <c r="D356" s="472">
        <v>1750</v>
      </c>
      <c r="E356" s="472">
        <v>1750</v>
      </c>
      <c r="F356" s="472">
        <v>1750</v>
      </c>
      <c r="G356" s="472">
        <v>1750</v>
      </c>
      <c r="H356" s="520">
        <v>1750</v>
      </c>
      <c r="I356" s="66" t="str">
        <f>I310</f>
        <v>2020 UWMP Table 4-9 (Yuba City, 2021)</v>
      </c>
      <c r="J356" s="70"/>
      <c r="K356" s="70"/>
      <c r="L356" s="70"/>
      <c r="M356" s="70"/>
      <c r="N356" s="70"/>
      <c r="O356" s="70"/>
      <c r="P356" s="70"/>
    </row>
    <row r="357" spans="1:16" hidden="1" outlineLevel="1" x14ac:dyDescent="0.3">
      <c r="A357" s="63" t="s">
        <v>443</v>
      </c>
      <c r="B357" s="63" t="s">
        <v>855</v>
      </c>
      <c r="C357" s="63" t="str">
        <f t="shared" si="4"/>
        <v>El Dorado Irrigation District</v>
      </c>
      <c r="D357" s="472">
        <v>0</v>
      </c>
      <c r="E357" s="472">
        <v>0</v>
      </c>
      <c r="F357" s="472">
        <v>0</v>
      </c>
      <c r="G357" s="472">
        <v>0</v>
      </c>
      <c r="H357" s="520">
        <v>0</v>
      </c>
      <c r="I357" s="66" t="str">
        <f>I311</f>
        <v>2020 UWMP Table 4-11 (El Dorado Irrigation District, 2021)</v>
      </c>
      <c r="J357" s="70"/>
      <c r="K357" s="70"/>
      <c r="L357" s="70"/>
      <c r="M357" s="70"/>
      <c r="N357" s="70"/>
      <c r="O357" s="70"/>
      <c r="P357" s="70"/>
    </row>
    <row r="358" spans="1:16" hidden="1" outlineLevel="1" x14ac:dyDescent="0.3">
      <c r="A358" s="63" t="s">
        <v>443</v>
      </c>
      <c r="B358" s="63" t="s">
        <v>855</v>
      </c>
      <c r="C358" s="63" t="str">
        <f t="shared" si="4"/>
        <v>Napa County Flood Control &amp; Water Conservation District</v>
      </c>
      <c r="D358" s="471" t="s">
        <v>204</v>
      </c>
      <c r="E358" s="471" t="s">
        <v>204</v>
      </c>
      <c r="F358" s="471" t="s">
        <v>204</v>
      </c>
      <c r="G358" s="471" t="s">
        <v>204</v>
      </c>
      <c r="H358" s="518" t="s">
        <v>204</v>
      </c>
      <c r="I358" s="66"/>
      <c r="J358" s="70"/>
      <c r="K358" s="70"/>
      <c r="L358" s="70"/>
      <c r="M358" s="70"/>
      <c r="N358" s="70"/>
      <c r="O358" s="70"/>
      <c r="P358" s="70"/>
    </row>
    <row r="359" spans="1:16" hidden="1" outlineLevel="1" x14ac:dyDescent="0.3">
      <c r="A359" s="63" t="s">
        <v>443</v>
      </c>
      <c r="B359" s="63" t="s">
        <v>855</v>
      </c>
      <c r="C359" s="63" t="str">
        <f t="shared" si="4"/>
        <v>Placer County Water Agency</v>
      </c>
      <c r="D359" s="472">
        <f>IFERROR(SUMIFS(uwmp_table_4_2_w!I$2:I$9900,uwmp_table_4_2_w!$G$2:$G$9900,"Industrial",uwmp_table_4_2_w!$B$2:$B$9900,'Contractor Assumptions'!$F14),0) + IFERROR(SUMIFS(uwmp_table_4_2_r!I$2:I$9900,uwmp_table_4_2_r!$G$2:$G$9900,"Industrial",uwmp_table_4_2_r!$B$2:$B$9900,'Contractor Assumptions'!$F14),0)*IFERROR(VLOOKUP(VLOOKUP('Contractor Assumptions'!$F14,uwmp_table_4_2_r!$B$2:$N$9900,13,FALSE),$A$11:$C$13,2,FALSE), VLOOKUP(VLOOKUP('Contractor Assumptions'!$F14,uwmp_table_4_2_w!$B$2:$N$9900,14,FALSE),$A$11:$C$13,2,FALSE))</f>
        <v>898</v>
      </c>
      <c r="E359" s="472">
        <f>IFERROR(SUMIFS(uwmp_table_4_2_w!J$2:J$9900,uwmp_table_4_2_w!$G$2:$G$9900,"Industrial",uwmp_table_4_2_w!$B$2:$B$9900,'Contractor Assumptions'!$F14),0) + IFERROR(SUMIFS(uwmp_table_4_2_r!J$2:J$9900,uwmp_table_4_2_r!$G$2:$G$9900,"Industrial",uwmp_table_4_2_r!$B$2:$B$9900,'Contractor Assumptions'!$F14),0)*IFERROR(VLOOKUP(VLOOKUP('Contractor Assumptions'!$F14,uwmp_table_4_2_r!$B$2:$N$9900,13,FALSE),$A$11:$C$13,2,FALSE), VLOOKUP(VLOOKUP('Contractor Assumptions'!$F14,uwmp_table_4_2_w!$B$2:$N$9900,14,FALSE),$A$11:$C$13,2,FALSE))</f>
        <v>1347</v>
      </c>
      <c r="F359" s="472">
        <f>IFERROR(SUMIFS(uwmp_table_4_2_w!K$2:K$9900,uwmp_table_4_2_w!$G$2:$G$9900,"Industrial",uwmp_table_4_2_w!$B$2:$B$9900,'Contractor Assumptions'!$F14),0) + IFERROR(SUMIFS(uwmp_table_4_2_r!K$2:K$9900,uwmp_table_4_2_r!$G$2:$G$9900,"Industrial",uwmp_table_4_2_r!$B$2:$B$9900,'Contractor Assumptions'!$F14),0)*IFERROR(VLOOKUP(VLOOKUP('Contractor Assumptions'!$F14,uwmp_table_4_2_r!$B$2:$N$9900,13,FALSE),$A$11:$C$13,2,FALSE), VLOOKUP(VLOOKUP('Contractor Assumptions'!$F14,uwmp_table_4_2_w!$B$2:$N$9900,14,FALSE),$A$11:$C$13,2,FALSE))</f>
        <v>1796</v>
      </c>
      <c r="G359" s="472">
        <f>IFERROR(SUMIFS(uwmp_table_4_2_w!L$2:L$9900,uwmp_table_4_2_w!$G$2:$G$9900,"Industrial",uwmp_table_4_2_w!$B$2:$B$9900,'Contractor Assumptions'!$F14),0) + IFERROR(SUMIFS(uwmp_table_4_2_r!L$2:L$9900,uwmp_table_4_2_r!$G$2:$G$9900,"Industrial",uwmp_table_4_2_r!$B$2:$B$9900,'Contractor Assumptions'!$F14),0)*IFERROR(VLOOKUP(VLOOKUP('Contractor Assumptions'!$F14,uwmp_table_4_2_r!$B$2:$N$9900,13,FALSE),$A$11:$C$13,2,FALSE), VLOOKUP(VLOOKUP('Contractor Assumptions'!$F14,uwmp_table_4_2_w!$B$2:$N$9900,14,FALSE),$A$11:$C$13,2,FALSE))</f>
        <v>2245</v>
      </c>
      <c r="H359" s="520">
        <f>2694</f>
        <v>2694</v>
      </c>
      <c r="I359" s="66" t="s">
        <v>1009</v>
      </c>
      <c r="J359" s="70"/>
      <c r="K359" s="70"/>
      <c r="L359" s="70"/>
      <c r="M359" s="70"/>
      <c r="N359" s="70"/>
      <c r="O359" s="70"/>
      <c r="P359" s="70"/>
    </row>
    <row r="360" spans="1:16" hidden="1" outlineLevel="1" x14ac:dyDescent="0.3">
      <c r="A360" s="63" t="s">
        <v>443</v>
      </c>
      <c r="B360" s="63" t="s">
        <v>855</v>
      </c>
      <c r="C360" s="63" t="str">
        <f t="shared" si="4"/>
        <v>Sacramento County Water Agency</v>
      </c>
      <c r="D360" s="472">
        <f>515 +35</f>
        <v>550</v>
      </c>
      <c r="E360" s="472">
        <f t="shared" ref="E360:H360" si="5">515 +35</f>
        <v>550</v>
      </c>
      <c r="F360" s="472">
        <f t="shared" si="5"/>
        <v>550</v>
      </c>
      <c r="G360" s="472">
        <f t="shared" si="5"/>
        <v>550</v>
      </c>
      <c r="H360" s="520">
        <f t="shared" si="5"/>
        <v>550</v>
      </c>
      <c r="I360" s="66" t="s">
        <v>1010</v>
      </c>
      <c r="J360" s="70"/>
      <c r="K360" s="70"/>
      <c r="L360" s="70"/>
      <c r="M360" s="70"/>
      <c r="N360" s="70"/>
      <c r="O360" s="70"/>
      <c r="P360" s="70"/>
    </row>
    <row r="361" spans="1:16" hidden="1" outlineLevel="1" x14ac:dyDescent="0.3">
      <c r="A361" s="63" t="s">
        <v>443</v>
      </c>
      <c r="B361" s="63" t="s">
        <v>855</v>
      </c>
      <c r="C361" s="63" t="str">
        <f t="shared" si="4"/>
        <v>San Juan Water District</v>
      </c>
      <c r="D361" s="472">
        <v>502</v>
      </c>
      <c r="E361" s="472">
        <v>502</v>
      </c>
      <c r="F361" s="472">
        <v>502</v>
      </c>
      <c r="G361" s="472">
        <v>502</v>
      </c>
      <c r="H361" s="520">
        <v>502</v>
      </c>
      <c r="I361" s="66" t="s">
        <v>1011</v>
      </c>
      <c r="J361" s="70"/>
      <c r="K361" s="70"/>
      <c r="L361" s="70"/>
      <c r="M361" s="70"/>
      <c r="N361" s="70"/>
      <c r="O361" s="70"/>
      <c r="P361" s="70"/>
    </row>
    <row r="362" spans="1:16" hidden="1" outlineLevel="1" x14ac:dyDescent="0.3">
      <c r="A362" s="63" t="s">
        <v>443</v>
      </c>
      <c r="B362" s="63" t="s">
        <v>855</v>
      </c>
      <c r="C362" s="63" t="str">
        <f t="shared" si="4"/>
        <v>Shasta Contractors</v>
      </c>
      <c r="D362" s="471" t="s">
        <v>204</v>
      </c>
      <c r="E362" s="471" t="s">
        <v>204</v>
      </c>
      <c r="F362" s="471" t="s">
        <v>204</v>
      </c>
      <c r="G362" s="471" t="s">
        <v>204</v>
      </c>
      <c r="H362" s="518" t="s">
        <v>204</v>
      </c>
      <c r="I362" s="66"/>
      <c r="J362" s="70"/>
      <c r="K362" s="70"/>
      <c r="L362" s="70"/>
      <c r="M362" s="70"/>
      <c r="N362" s="70"/>
      <c r="O362" s="70"/>
      <c r="P362" s="70"/>
    </row>
    <row r="363" spans="1:16" hidden="1" outlineLevel="1" x14ac:dyDescent="0.3">
      <c r="A363" s="63" t="s">
        <v>443</v>
      </c>
      <c r="B363" s="63" t="s">
        <v>855</v>
      </c>
      <c r="C363" s="63" t="str">
        <f t="shared" si="4"/>
        <v>Solano County Water Agency</v>
      </c>
      <c r="D363" s="471" t="s">
        <v>204</v>
      </c>
      <c r="E363" s="471" t="s">
        <v>204</v>
      </c>
      <c r="F363" s="471" t="s">
        <v>204</v>
      </c>
      <c r="G363" s="471" t="s">
        <v>204</v>
      </c>
      <c r="H363" s="518" t="s">
        <v>204</v>
      </c>
      <c r="I363" s="66"/>
      <c r="J363" s="70"/>
      <c r="K363" s="70"/>
      <c r="L363" s="70"/>
      <c r="M363" s="70"/>
      <c r="N363" s="70"/>
      <c r="O363" s="70"/>
      <c r="P363" s="70"/>
    </row>
    <row r="364" spans="1:16" hidden="1" outlineLevel="1" x14ac:dyDescent="0.3">
      <c r="A364" s="63" t="s">
        <v>443</v>
      </c>
      <c r="B364" s="63" t="s">
        <v>894</v>
      </c>
      <c r="C364" s="63" t="str">
        <f t="shared" si="4"/>
        <v>City of Avenal</v>
      </c>
      <c r="D364" s="471" t="s">
        <v>204</v>
      </c>
      <c r="E364" s="471" t="s">
        <v>204</v>
      </c>
      <c r="F364" s="471" t="s">
        <v>204</v>
      </c>
      <c r="G364" s="471" t="s">
        <v>204</v>
      </c>
      <c r="H364" s="518" t="s">
        <v>204</v>
      </c>
      <c r="I364" s="66"/>
      <c r="J364" s="70"/>
      <c r="K364" s="70"/>
      <c r="L364" s="70"/>
      <c r="M364" s="70"/>
      <c r="N364" s="70"/>
      <c r="O364" s="70"/>
      <c r="P364" s="70"/>
    </row>
    <row r="365" spans="1:16" hidden="1" outlineLevel="1" x14ac:dyDescent="0.3">
      <c r="A365" s="63" t="s">
        <v>443</v>
      </c>
      <c r="B365" s="63" t="s">
        <v>894</v>
      </c>
      <c r="C365" s="63" t="str">
        <f t="shared" si="4"/>
        <v>City of Coalinga</v>
      </c>
      <c r="D365" s="472">
        <f>IFERROR(SUMIFS(uwmp_table_4_2_w!I$2:I$9900,uwmp_table_4_2_w!$G$2:$G$9900,"Industrial",uwmp_table_4_2_w!$B$2:$B$9900,'Contractor Assumptions'!$F20),0) + IFERROR(SUMIFS(uwmp_table_4_2_r!I$2:I$9900,uwmp_table_4_2_r!$G$2:$G$9900,"Industrial",uwmp_table_4_2_r!$B$2:$B$9900,'Contractor Assumptions'!$F20),0)*IFERROR(VLOOKUP(VLOOKUP('Contractor Assumptions'!$F20,uwmp_table_4_2_r!$B$2:$N$9900,13,FALSE),$A$11:$C$13,2,FALSE), VLOOKUP(VLOOKUP('Contractor Assumptions'!$F20,uwmp_table_4_2_w!$B$2:$N$9900,14,FALSE),$A$11:$C$13,2,FALSE))</f>
        <v>0</v>
      </c>
      <c r="E365" s="472">
        <f>IFERROR(SUMIFS(uwmp_table_4_2_w!J$2:J$9900,uwmp_table_4_2_w!$G$2:$G$9900,"Industrial",uwmp_table_4_2_w!$B$2:$B$9900,'Contractor Assumptions'!$F20),0) + IFERROR(SUMIFS(uwmp_table_4_2_r!J$2:J$9900,uwmp_table_4_2_r!$G$2:$G$9900,"Industrial",uwmp_table_4_2_r!$B$2:$B$9900,'Contractor Assumptions'!$F20),0)*IFERROR(VLOOKUP(VLOOKUP('Contractor Assumptions'!$F20,uwmp_table_4_2_r!$B$2:$N$9900,13,FALSE),$A$11:$C$13,2,FALSE), VLOOKUP(VLOOKUP('Contractor Assumptions'!$F20,uwmp_table_4_2_w!$B$2:$N$9900,14,FALSE),$A$11:$C$13,2,FALSE))</f>
        <v>0</v>
      </c>
      <c r="F365" s="472">
        <f>IFERROR(SUMIFS(uwmp_table_4_2_w!K$2:K$9900,uwmp_table_4_2_w!$G$2:$G$9900,"Industrial",uwmp_table_4_2_w!$B$2:$B$9900,'Contractor Assumptions'!$F20),0) + IFERROR(SUMIFS(uwmp_table_4_2_r!K$2:K$9900,uwmp_table_4_2_r!$G$2:$G$9900,"Industrial",uwmp_table_4_2_r!$B$2:$B$9900,'Contractor Assumptions'!$F20),0)*IFERROR(VLOOKUP(VLOOKUP('Contractor Assumptions'!$F20,uwmp_table_4_2_r!$B$2:$N$9900,13,FALSE),$A$11:$C$13,2,FALSE), VLOOKUP(VLOOKUP('Contractor Assumptions'!$F20,uwmp_table_4_2_w!$B$2:$N$9900,14,FALSE),$A$11:$C$13,2,FALSE))</f>
        <v>0</v>
      </c>
      <c r="G365" s="472">
        <f>IFERROR(SUMIFS(uwmp_table_4_2_w!L$2:L$9900,uwmp_table_4_2_w!$G$2:$G$9900,"Industrial",uwmp_table_4_2_w!$B$2:$B$9900,'Contractor Assumptions'!$F20),0) + IFERROR(SUMIFS(uwmp_table_4_2_r!L$2:L$9900,uwmp_table_4_2_r!$G$2:$G$9900,"Industrial",uwmp_table_4_2_r!$B$2:$B$9900,'Contractor Assumptions'!$F20),0)*IFERROR(VLOOKUP(VLOOKUP('Contractor Assumptions'!$F20,uwmp_table_4_2_r!$B$2:$N$9900,13,FALSE),$A$11:$C$13,2,FALSE), VLOOKUP(VLOOKUP('Contractor Assumptions'!$F20,uwmp_table_4_2_w!$B$2:$N$9900,14,FALSE),$A$11:$C$13,2,FALSE))</f>
        <v>0</v>
      </c>
      <c r="H365" s="520">
        <f>IFERROR(SUMIFS(uwmp_table_4_2_w!M$2:M$9900,uwmp_table_4_2_w!$G$2:$G$9900,"Industrial",uwmp_table_4_2_w!$B$2:$B$9900,'Contractor Assumptions'!$F20),0) + IFERROR(SUMIFS(uwmp_table_4_2_r!M$2:M$9900,uwmp_table_4_2_r!$G$2:$G$9900,"Industrial",uwmp_table_4_2_r!$B$2:$B$9900,'Contractor Assumptions'!$F20),0)*IFERROR(VLOOKUP(VLOOKUP('Contractor Assumptions'!$F20,uwmp_table_4_2_r!$B$2:$N$9900,13,FALSE),$A$11:$C$13,2,FALSE), VLOOKUP(VLOOKUP('Contractor Assumptions'!$F20,uwmp_table_4_2_w!$B$2:$N$9900,14,FALSE),$A$11:$C$13,2,FALSE))</f>
        <v>0</v>
      </c>
      <c r="I365" s="66"/>
      <c r="J365" s="70"/>
      <c r="K365" s="70"/>
      <c r="L365" s="70"/>
      <c r="M365" s="70"/>
      <c r="N365" s="70"/>
      <c r="O365" s="70"/>
      <c r="P365" s="70"/>
    </row>
    <row r="366" spans="1:16" hidden="1" outlineLevel="1" x14ac:dyDescent="0.3">
      <c r="A366" s="63" t="s">
        <v>443</v>
      </c>
      <c r="B366" s="63" t="s">
        <v>894</v>
      </c>
      <c r="C366" s="63" t="str">
        <f t="shared" si="4"/>
        <v>City of Fresno</v>
      </c>
      <c r="D366" s="472">
        <f>IFERROR(SUMIFS(uwmp_table_4_2_w!I$2:I$9900,uwmp_table_4_2_w!$G$2:$G$9900,"Industrial",uwmp_table_4_2_w!$B$2:$B$9900,'Contractor Assumptions'!$F21),0) + IFERROR(SUMIFS(uwmp_table_4_2_r!I$2:I$9900,uwmp_table_4_2_r!$G$2:$G$9900,"Industrial",uwmp_table_4_2_r!$B$2:$B$9900,'Contractor Assumptions'!$F21),0)*IFERROR(VLOOKUP(VLOOKUP('Contractor Assumptions'!$F21,uwmp_table_4_2_r!$B$2:$N$9900,13,FALSE),$A$11:$C$13,2,FALSE), VLOOKUP(VLOOKUP('Contractor Assumptions'!$F21,uwmp_table_4_2_w!$B$2:$N$9900,14,FALSE),$A$11:$C$13,2,FALSE))</f>
        <v>7410</v>
      </c>
      <c r="E366" s="472">
        <f>IFERROR(SUMIFS(uwmp_table_4_2_w!J$2:J$9900,uwmp_table_4_2_w!$G$2:$G$9900,"Industrial",uwmp_table_4_2_w!$B$2:$B$9900,'Contractor Assumptions'!$F21),0) + IFERROR(SUMIFS(uwmp_table_4_2_r!J$2:J$9900,uwmp_table_4_2_r!$G$2:$G$9900,"Industrial",uwmp_table_4_2_r!$B$2:$B$9900,'Contractor Assumptions'!$F21),0)*IFERROR(VLOOKUP(VLOOKUP('Contractor Assumptions'!$F21,uwmp_table_4_2_r!$B$2:$N$9900,13,FALSE),$A$11:$C$13,2,FALSE), VLOOKUP(VLOOKUP('Contractor Assumptions'!$F21,uwmp_table_4_2_w!$B$2:$N$9900,14,FALSE),$A$11:$C$13,2,FALSE))</f>
        <v>9003</v>
      </c>
      <c r="F366" s="472">
        <f>IFERROR(SUMIFS(uwmp_table_4_2_w!K$2:K$9900,uwmp_table_4_2_w!$G$2:$G$9900,"Industrial",uwmp_table_4_2_w!$B$2:$B$9900,'Contractor Assumptions'!$F21),0) + IFERROR(SUMIFS(uwmp_table_4_2_r!K$2:K$9900,uwmp_table_4_2_r!$G$2:$G$9900,"Industrial",uwmp_table_4_2_r!$B$2:$B$9900,'Contractor Assumptions'!$F21),0)*IFERROR(VLOOKUP(VLOOKUP('Contractor Assumptions'!$F21,uwmp_table_4_2_r!$B$2:$N$9900,13,FALSE),$A$11:$C$13,2,FALSE), VLOOKUP(VLOOKUP('Contractor Assumptions'!$F21,uwmp_table_4_2_w!$B$2:$N$9900,14,FALSE),$A$11:$C$13,2,FALSE))</f>
        <v>9922</v>
      </c>
      <c r="G366" s="472">
        <f>IFERROR(SUMIFS(uwmp_table_4_2_w!L$2:L$9900,uwmp_table_4_2_w!$G$2:$G$9900,"Industrial",uwmp_table_4_2_w!$B$2:$B$9900,'Contractor Assumptions'!$F21),0) + IFERROR(SUMIFS(uwmp_table_4_2_r!L$2:L$9900,uwmp_table_4_2_r!$G$2:$G$9900,"Industrial",uwmp_table_4_2_r!$B$2:$B$9900,'Contractor Assumptions'!$F21),0)*IFERROR(VLOOKUP(VLOOKUP('Contractor Assumptions'!$F21,uwmp_table_4_2_r!$B$2:$N$9900,13,FALSE),$A$11:$C$13,2,FALSE), VLOOKUP(VLOOKUP('Contractor Assumptions'!$F21,uwmp_table_4_2_w!$B$2:$N$9900,14,FALSE),$A$11:$C$13,2,FALSE))</f>
        <v>10841</v>
      </c>
      <c r="H366" s="520">
        <f>IFERROR(SUMIFS(uwmp_table_4_2_w!M$2:M$9900,uwmp_table_4_2_w!$G$2:$G$9900,"Industrial",uwmp_table_4_2_w!$B$2:$B$9900,'Contractor Assumptions'!$F21),0) + IFERROR(SUMIFS(uwmp_table_4_2_r!M$2:M$9900,uwmp_table_4_2_r!$G$2:$G$9900,"Industrial",uwmp_table_4_2_r!$B$2:$B$9900,'Contractor Assumptions'!$F21),0)*IFERROR(VLOOKUP(VLOOKUP('Contractor Assumptions'!$F21,uwmp_table_4_2_r!$B$2:$N$9900,13,FALSE),$A$11:$C$13,2,FALSE), VLOOKUP(VLOOKUP('Contractor Assumptions'!$F21,uwmp_table_4_2_w!$B$2:$N$9900,14,FALSE),$A$11:$C$13,2,FALSE))</f>
        <v>11758</v>
      </c>
      <c r="I366" s="66"/>
      <c r="J366" s="70"/>
      <c r="K366" s="70"/>
      <c r="L366" s="70"/>
      <c r="M366" s="70"/>
      <c r="N366" s="70"/>
      <c r="O366" s="70"/>
      <c r="P366" s="70"/>
    </row>
    <row r="367" spans="1:16" hidden="1" outlineLevel="1" x14ac:dyDescent="0.3">
      <c r="A367" s="63" t="s">
        <v>443</v>
      </c>
      <c r="B367" s="63" t="s">
        <v>894</v>
      </c>
      <c r="C367" s="63" t="str">
        <f t="shared" si="4"/>
        <v>City of Huron</v>
      </c>
      <c r="D367" s="471" t="s">
        <v>204</v>
      </c>
      <c r="E367" s="471" t="s">
        <v>204</v>
      </c>
      <c r="F367" s="471" t="s">
        <v>204</v>
      </c>
      <c r="G367" s="471" t="s">
        <v>204</v>
      </c>
      <c r="H367" s="518" t="s">
        <v>204</v>
      </c>
      <c r="I367" s="66"/>
      <c r="J367" s="70"/>
      <c r="K367" s="70"/>
      <c r="L367" s="70"/>
      <c r="M367" s="70"/>
      <c r="N367" s="70"/>
      <c r="O367" s="70"/>
      <c r="P367" s="70"/>
    </row>
    <row r="368" spans="1:16" hidden="1" outlineLevel="1" x14ac:dyDescent="0.3">
      <c r="A368" s="63" t="s">
        <v>443</v>
      </c>
      <c r="B368" s="63" t="s">
        <v>894</v>
      </c>
      <c r="C368" s="63" t="str">
        <f t="shared" si="4"/>
        <v>City of Lindsay</v>
      </c>
      <c r="D368" s="471" t="s">
        <v>204</v>
      </c>
      <c r="E368" s="471" t="s">
        <v>204</v>
      </c>
      <c r="F368" s="471" t="s">
        <v>204</v>
      </c>
      <c r="G368" s="471" t="s">
        <v>204</v>
      </c>
      <c r="H368" s="518" t="s">
        <v>204</v>
      </c>
      <c r="I368" s="66"/>
      <c r="J368" s="70"/>
      <c r="K368" s="70"/>
      <c r="L368" s="70"/>
      <c r="M368" s="70"/>
      <c r="N368" s="70"/>
      <c r="O368" s="70"/>
      <c r="P368" s="70"/>
    </row>
    <row r="369" spans="1:16" hidden="1" outlineLevel="1" x14ac:dyDescent="0.3">
      <c r="A369" s="63" t="s">
        <v>443</v>
      </c>
      <c r="B369" s="63" t="s">
        <v>894</v>
      </c>
      <c r="C369" s="63" t="str">
        <f t="shared" si="4"/>
        <v>City of Orange Cove</v>
      </c>
      <c r="D369" s="471" t="s">
        <v>204</v>
      </c>
      <c r="E369" s="471" t="s">
        <v>204</v>
      </c>
      <c r="F369" s="471" t="s">
        <v>204</v>
      </c>
      <c r="G369" s="471" t="s">
        <v>204</v>
      </c>
      <c r="H369" s="518" t="s">
        <v>204</v>
      </c>
      <c r="I369" s="66"/>
      <c r="J369" s="70"/>
      <c r="K369" s="70"/>
      <c r="L369" s="70"/>
      <c r="M369" s="70"/>
      <c r="N369" s="70"/>
      <c r="O369" s="70"/>
      <c r="P369" s="70"/>
    </row>
    <row r="370" spans="1:16" hidden="1" outlineLevel="1" x14ac:dyDescent="0.3">
      <c r="A370" s="63" t="s">
        <v>443</v>
      </c>
      <c r="B370" s="63" t="s">
        <v>894</v>
      </c>
      <c r="C370" s="63" t="str">
        <f t="shared" si="4"/>
        <v>City of Tracy</v>
      </c>
      <c r="D370" s="472">
        <f>IFERROR(SUMIFS(uwmp_table_4_2_w!I$2:I$9900,uwmp_table_4_2_w!$G$2:$G$9900,"Industrial",uwmp_table_4_2_w!$B$2:$B$9900,'Contractor Assumptions'!$F25),0) + IFERROR(SUMIFS(uwmp_table_4_2_r!I$2:I$9900,uwmp_table_4_2_r!$G$2:$G$9900,"Industrial",uwmp_table_4_2_r!$B$2:$B$9900,'Contractor Assumptions'!$F25),0)*IFERROR(VLOOKUP(VLOOKUP('Contractor Assumptions'!$F25,uwmp_table_4_2_r!$B$2:$N$9900,13,FALSE),$A$11:$C$13,2,FALSE), VLOOKUP(VLOOKUP('Contractor Assumptions'!$F25,uwmp_table_4_2_w!$B$2:$N$9900,14,FALSE),$A$11:$C$13,2,FALSE))</f>
        <v>1724.2</v>
      </c>
      <c r="E370" s="472">
        <f>IFERROR(SUMIFS(uwmp_table_4_2_w!J$2:J$9900,uwmp_table_4_2_w!$G$2:$G$9900,"Industrial",uwmp_table_4_2_w!$B$2:$B$9900,'Contractor Assumptions'!$F25),0) + IFERROR(SUMIFS(uwmp_table_4_2_r!J$2:J$9900,uwmp_table_4_2_r!$G$2:$G$9900,"Industrial",uwmp_table_4_2_r!$B$2:$B$9900,'Contractor Assumptions'!$F25),0)*IFERROR(VLOOKUP(VLOOKUP('Contractor Assumptions'!$F25,uwmp_table_4_2_r!$B$2:$N$9900,13,FALSE),$A$11:$C$13,2,FALSE), VLOOKUP(VLOOKUP('Contractor Assumptions'!$F25,uwmp_table_4_2_w!$B$2:$N$9900,14,FALSE),$A$11:$C$13,2,FALSE))</f>
        <v>2521.46</v>
      </c>
      <c r="F370" s="472">
        <f>IFERROR(SUMIFS(uwmp_table_4_2_w!K$2:K$9900,uwmp_table_4_2_w!$G$2:$G$9900,"Industrial",uwmp_table_4_2_w!$B$2:$B$9900,'Contractor Assumptions'!$F25),0) + IFERROR(SUMIFS(uwmp_table_4_2_r!K$2:K$9900,uwmp_table_4_2_r!$G$2:$G$9900,"Industrial",uwmp_table_4_2_r!$B$2:$B$9900,'Contractor Assumptions'!$F25),0)*IFERROR(VLOOKUP(VLOOKUP('Contractor Assumptions'!$F25,uwmp_table_4_2_r!$B$2:$N$9900,13,FALSE),$A$11:$C$13,2,FALSE), VLOOKUP(VLOOKUP('Contractor Assumptions'!$F25,uwmp_table_4_2_w!$B$2:$N$9900,14,FALSE),$A$11:$C$13,2,FALSE))</f>
        <v>3315.37</v>
      </c>
      <c r="G370" s="472">
        <f>IFERROR(SUMIFS(uwmp_table_4_2_w!L$2:L$9900,uwmp_table_4_2_w!$G$2:$G$9900,"Industrial",uwmp_table_4_2_w!$B$2:$B$9900,'Contractor Assumptions'!$F25),0) + IFERROR(SUMIFS(uwmp_table_4_2_r!L$2:L$9900,uwmp_table_4_2_r!$G$2:$G$9900,"Industrial",uwmp_table_4_2_r!$B$2:$B$9900,'Contractor Assumptions'!$F25),0)*IFERROR(VLOOKUP(VLOOKUP('Contractor Assumptions'!$F25,uwmp_table_4_2_r!$B$2:$N$9900,13,FALSE),$A$11:$C$13,2,FALSE), VLOOKUP(VLOOKUP('Contractor Assumptions'!$F25,uwmp_table_4_2_w!$B$2:$N$9900,14,FALSE),$A$11:$C$13,2,FALSE))</f>
        <v>4108.2700000000004</v>
      </c>
      <c r="H370" s="520">
        <f>IFERROR(SUMIFS(uwmp_table_4_2_w!M$2:M$9900,uwmp_table_4_2_w!$G$2:$G$9900,"Industrial",uwmp_table_4_2_w!$B$2:$B$9900,'Contractor Assumptions'!$F25),0) + IFERROR(SUMIFS(uwmp_table_4_2_r!M$2:M$9900,uwmp_table_4_2_r!$G$2:$G$9900,"Industrial",uwmp_table_4_2_r!$B$2:$B$9900,'Contractor Assumptions'!$F25),0)*IFERROR(VLOOKUP(VLOOKUP('Contractor Assumptions'!$F25,uwmp_table_4_2_r!$B$2:$N$9900,13,FALSE),$A$11:$C$13,2,FALSE), VLOOKUP(VLOOKUP('Contractor Assumptions'!$F25,uwmp_table_4_2_w!$B$2:$N$9900,14,FALSE),$A$11:$C$13,2,FALSE))</f>
        <v>5138.22</v>
      </c>
      <c r="I370" s="66"/>
      <c r="J370" s="70"/>
      <c r="K370" s="70"/>
      <c r="L370" s="70"/>
      <c r="M370" s="70"/>
      <c r="N370" s="70"/>
      <c r="O370" s="70"/>
      <c r="P370" s="70"/>
    </row>
    <row r="371" spans="1:16" hidden="1" outlineLevel="1" x14ac:dyDescent="0.3">
      <c r="A371" s="63" t="s">
        <v>443</v>
      </c>
      <c r="B371" s="63" t="s">
        <v>894</v>
      </c>
      <c r="C371" s="63" t="str">
        <f t="shared" si="4"/>
        <v>Kern County Water Agency</v>
      </c>
      <c r="D371" s="471" t="s">
        <v>204</v>
      </c>
      <c r="E371" s="471" t="s">
        <v>204</v>
      </c>
      <c r="F371" s="471" t="s">
        <v>204</v>
      </c>
      <c r="G371" s="471" t="s">
        <v>204</v>
      </c>
      <c r="H371" s="518" t="s">
        <v>204</v>
      </c>
      <c r="I371" s="66"/>
      <c r="J371" s="70"/>
      <c r="K371" s="70"/>
      <c r="L371" s="70"/>
      <c r="M371" s="70"/>
      <c r="N371" s="70"/>
      <c r="O371" s="70"/>
      <c r="P371" s="70"/>
    </row>
    <row r="372" spans="1:16" hidden="1" outlineLevel="1" x14ac:dyDescent="0.3">
      <c r="A372" s="63" t="s">
        <v>443</v>
      </c>
      <c r="B372" s="63" t="s">
        <v>894</v>
      </c>
      <c r="C372" s="63" t="str">
        <f t="shared" si="4"/>
        <v>Other Friant-Kern M&amp;I Contractors</v>
      </c>
      <c r="D372" s="471" t="s">
        <v>204</v>
      </c>
      <c r="E372" s="471" t="s">
        <v>204</v>
      </c>
      <c r="F372" s="471" t="s">
        <v>204</v>
      </c>
      <c r="G372" s="471" t="s">
        <v>204</v>
      </c>
      <c r="H372" s="518" t="s">
        <v>204</v>
      </c>
      <c r="I372" s="66"/>
      <c r="J372" s="70"/>
      <c r="K372" s="70"/>
      <c r="L372" s="70"/>
      <c r="M372" s="70"/>
      <c r="N372" s="70"/>
      <c r="O372" s="70"/>
      <c r="P372" s="70"/>
    </row>
    <row r="373" spans="1:16" hidden="1" outlineLevel="1" x14ac:dyDescent="0.3">
      <c r="A373" s="63" t="s">
        <v>443</v>
      </c>
      <c r="B373" s="63" t="s">
        <v>894</v>
      </c>
      <c r="C373" s="63" t="str">
        <f t="shared" si="4"/>
        <v>Stockton-East Water District</v>
      </c>
      <c r="D373" s="471">
        <f>'Wholesaler Demands by Use Type'!B30</f>
        <v>4958</v>
      </c>
      <c r="E373" s="471">
        <f>'Wholesaler Demands by Use Type'!C30</f>
        <v>7358</v>
      </c>
      <c r="F373" s="471">
        <f>'Wholesaler Demands by Use Type'!D30</f>
        <v>7637</v>
      </c>
      <c r="G373" s="471">
        <f>'Wholesaler Demands by Use Type'!E30</f>
        <v>7916</v>
      </c>
      <c r="H373" s="518">
        <f>'Wholesaler Demands by Use Type'!F30</f>
        <v>7916</v>
      </c>
      <c r="I373" s="66"/>
      <c r="J373" s="70"/>
      <c r="K373" s="70"/>
      <c r="L373" s="70"/>
      <c r="M373" s="70"/>
      <c r="N373" s="70"/>
      <c r="O373" s="70"/>
      <c r="P373" s="70"/>
    </row>
    <row r="374" spans="1:16" hidden="1" outlineLevel="1" x14ac:dyDescent="0.3">
      <c r="A374" s="63" t="s">
        <v>443</v>
      </c>
      <c r="B374" s="63" t="s">
        <v>915</v>
      </c>
      <c r="C374" s="63" t="str">
        <f t="shared" si="4"/>
        <v>Alameda County Flood Control and Water Conservation District, Zone 7</v>
      </c>
      <c r="D374" s="471">
        <v>66</v>
      </c>
      <c r="E374" s="471">
        <v>68</v>
      </c>
      <c r="F374" s="471">
        <v>70</v>
      </c>
      <c r="G374" s="471">
        <v>72</v>
      </c>
      <c r="H374" s="518">
        <v>72</v>
      </c>
      <c r="I374" s="66" t="s">
        <v>1012</v>
      </c>
      <c r="J374" s="70"/>
      <c r="K374" s="70"/>
      <c r="L374" s="70"/>
      <c r="M374" s="70"/>
      <c r="N374" s="70"/>
      <c r="O374" s="70"/>
      <c r="P374" s="70"/>
    </row>
    <row r="375" spans="1:16" hidden="1" outlineLevel="1" x14ac:dyDescent="0.3">
      <c r="A375" s="63" t="s">
        <v>443</v>
      </c>
      <c r="B375" s="63" t="s">
        <v>915</v>
      </c>
      <c r="C375" s="63" t="str">
        <f t="shared" si="4"/>
        <v>Alameda County Water District</v>
      </c>
      <c r="D375" s="472">
        <f>IFERROR(SUMIFS(uwmp_table_4_2_w!I$2:I$9900,uwmp_table_4_2_w!$G$2:$G$9900,"Industrial",uwmp_table_4_2_w!$B$2:$B$9900,'Contractor Assumptions'!$F30),0) + IFERROR(SUMIFS(uwmp_table_4_2_r!I$2:I$9900,uwmp_table_4_2_r!$G$2:$G$9900,"Industrial",uwmp_table_4_2_r!$B$2:$B$9900,'Contractor Assumptions'!$F30),0)*IFERROR(VLOOKUP(VLOOKUP('Contractor Assumptions'!$F30,uwmp_table_4_2_r!$B$2:$N$9900,13,FALSE),$A$11:$C$13,2,FALSE), VLOOKUP(VLOOKUP('Contractor Assumptions'!$F30,uwmp_table_4_2_w!$B$2:$N$9900,14,FALSE),$A$11:$C$13,2,FALSE))</f>
        <v>3200</v>
      </c>
      <c r="E375" s="472">
        <f>IFERROR(SUMIFS(uwmp_table_4_2_w!J$2:J$9900,uwmp_table_4_2_w!$G$2:$G$9900,"Industrial",uwmp_table_4_2_w!$B$2:$B$9900,'Contractor Assumptions'!$F30),0) + IFERROR(SUMIFS(uwmp_table_4_2_r!J$2:J$9900,uwmp_table_4_2_r!$G$2:$G$9900,"Industrial",uwmp_table_4_2_r!$B$2:$B$9900,'Contractor Assumptions'!$F30),0)*IFERROR(VLOOKUP(VLOOKUP('Contractor Assumptions'!$F30,uwmp_table_4_2_r!$B$2:$N$9900,13,FALSE),$A$11:$C$13,2,FALSE), VLOOKUP(VLOOKUP('Contractor Assumptions'!$F30,uwmp_table_4_2_w!$B$2:$N$9900,14,FALSE),$A$11:$C$13,2,FALSE))</f>
        <v>3000</v>
      </c>
      <c r="F375" s="472">
        <f>IFERROR(SUMIFS(uwmp_table_4_2_w!K$2:K$9900,uwmp_table_4_2_w!$G$2:$G$9900,"Industrial",uwmp_table_4_2_w!$B$2:$B$9900,'Contractor Assumptions'!$F30),0) + IFERROR(SUMIFS(uwmp_table_4_2_r!K$2:K$9900,uwmp_table_4_2_r!$G$2:$G$9900,"Industrial",uwmp_table_4_2_r!$B$2:$B$9900,'Contractor Assumptions'!$F30),0)*IFERROR(VLOOKUP(VLOOKUP('Contractor Assumptions'!$F30,uwmp_table_4_2_r!$B$2:$N$9900,13,FALSE),$A$11:$C$13,2,FALSE), VLOOKUP(VLOOKUP('Contractor Assumptions'!$F30,uwmp_table_4_2_w!$B$2:$N$9900,14,FALSE),$A$11:$C$13,2,FALSE))</f>
        <v>3000</v>
      </c>
      <c r="G375" s="472">
        <f>IFERROR(SUMIFS(uwmp_table_4_2_w!L$2:L$9900,uwmp_table_4_2_w!$G$2:$G$9900,"Industrial",uwmp_table_4_2_w!$B$2:$B$9900,'Contractor Assumptions'!$F30),0) + IFERROR(SUMIFS(uwmp_table_4_2_r!L$2:L$9900,uwmp_table_4_2_r!$G$2:$G$9900,"Industrial",uwmp_table_4_2_r!$B$2:$B$9900,'Contractor Assumptions'!$F30),0)*IFERROR(VLOOKUP(VLOOKUP('Contractor Assumptions'!$F30,uwmp_table_4_2_r!$B$2:$N$9900,13,FALSE),$A$11:$C$13,2,FALSE), VLOOKUP(VLOOKUP('Contractor Assumptions'!$F30,uwmp_table_4_2_w!$B$2:$N$9900,14,FALSE),$A$11:$C$13,2,FALSE))</f>
        <v>3100</v>
      </c>
      <c r="H375" s="520">
        <f>IFERROR(SUMIFS(uwmp_table_4_2_w!M$2:M$9900,uwmp_table_4_2_w!$G$2:$G$9900,"Industrial",uwmp_table_4_2_w!$B$2:$B$9900,'Contractor Assumptions'!$F30),0) + IFERROR(SUMIFS(uwmp_table_4_2_r!M$2:M$9900,uwmp_table_4_2_r!$G$2:$G$9900,"Industrial",uwmp_table_4_2_r!$B$2:$B$9900,'Contractor Assumptions'!$F30),0)*IFERROR(VLOOKUP(VLOOKUP('Contractor Assumptions'!$F30,uwmp_table_4_2_r!$B$2:$N$9900,13,FALSE),$A$11:$C$13,2,FALSE), VLOOKUP(VLOOKUP('Contractor Assumptions'!$F30,uwmp_table_4_2_w!$B$2:$N$9900,14,FALSE),$A$11:$C$13,2,FALSE))</f>
        <v>4100</v>
      </c>
      <c r="I375" s="66"/>
      <c r="J375" s="70"/>
      <c r="K375" s="70"/>
      <c r="L375" s="70"/>
      <c r="M375" s="70"/>
      <c r="N375" s="70"/>
      <c r="O375" s="70"/>
      <c r="P375" s="70"/>
    </row>
    <row r="376" spans="1:16" hidden="1" outlineLevel="1" x14ac:dyDescent="0.3">
      <c r="A376" s="63" t="s">
        <v>443</v>
      </c>
      <c r="B376" s="63" t="s">
        <v>915</v>
      </c>
      <c r="C376" s="63" t="str">
        <f t="shared" si="4"/>
        <v>Contra Costa Water District</v>
      </c>
      <c r="D376" s="472">
        <f>IFERROR(SUMIFS(uwmp_table_4_2_w!I$2:I$9900,uwmp_table_4_2_w!$G$2:$G$9900,"Industrial",uwmp_table_4_2_w!$B$2:$B$9900,'Contractor Assumptions'!$F31),0) + IFERROR(SUMIFS(uwmp_table_4_2_r!I$2:I$9900,uwmp_table_4_2_r!$G$2:$G$9900,"Industrial",uwmp_table_4_2_r!$B$2:$B$9900,'Contractor Assumptions'!$F31),0)*IFERROR(VLOOKUP(VLOOKUP('Contractor Assumptions'!$F31,uwmp_table_4_2_r!$B$2:$N$9900,13,FALSE),$A$11:$C$13,2,FALSE), VLOOKUP(VLOOKUP('Contractor Assumptions'!$F31,uwmp_table_4_2_w!$B$2:$N$9900,14,FALSE),$A$11:$C$13,2,FALSE))</f>
        <v>39100</v>
      </c>
      <c r="E376" s="472">
        <f>IFERROR(SUMIFS(uwmp_table_4_2_w!J$2:J$9900,uwmp_table_4_2_w!$G$2:$G$9900,"Industrial",uwmp_table_4_2_w!$B$2:$B$9900,'Contractor Assumptions'!$F31),0) + IFERROR(SUMIFS(uwmp_table_4_2_r!J$2:J$9900,uwmp_table_4_2_r!$G$2:$G$9900,"Industrial",uwmp_table_4_2_r!$B$2:$B$9900,'Contractor Assumptions'!$F31),0)*IFERROR(VLOOKUP(VLOOKUP('Contractor Assumptions'!$F31,uwmp_table_4_2_r!$B$2:$N$9900,13,FALSE),$A$11:$C$13,2,FALSE), VLOOKUP(VLOOKUP('Contractor Assumptions'!$F31,uwmp_table_4_2_w!$B$2:$N$9900,14,FALSE),$A$11:$C$13,2,FALSE))</f>
        <v>40700</v>
      </c>
      <c r="F376" s="472">
        <f>IFERROR(SUMIFS(uwmp_table_4_2_w!K$2:K$9900,uwmp_table_4_2_w!$G$2:$G$9900,"Industrial",uwmp_table_4_2_w!$B$2:$B$9900,'Contractor Assumptions'!$F31),0) + IFERROR(SUMIFS(uwmp_table_4_2_r!K$2:K$9900,uwmp_table_4_2_r!$G$2:$G$9900,"Industrial",uwmp_table_4_2_r!$B$2:$B$9900,'Contractor Assumptions'!$F31),0)*IFERROR(VLOOKUP(VLOOKUP('Contractor Assumptions'!$F31,uwmp_table_4_2_r!$B$2:$N$9900,13,FALSE),$A$11:$C$13,2,FALSE), VLOOKUP(VLOOKUP('Contractor Assumptions'!$F31,uwmp_table_4_2_w!$B$2:$N$9900,14,FALSE),$A$11:$C$13,2,FALSE))</f>
        <v>42300</v>
      </c>
      <c r="G376" s="472">
        <f>IFERROR(SUMIFS(uwmp_table_4_2_w!L$2:L$9900,uwmp_table_4_2_w!$G$2:$G$9900,"Industrial",uwmp_table_4_2_w!$B$2:$B$9900,'Contractor Assumptions'!$F31),0) + IFERROR(SUMIFS(uwmp_table_4_2_r!L$2:L$9900,uwmp_table_4_2_r!$G$2:$G$9900,"Industrial",uwmp_table_4_2_r!$B$2:$B$9900,'Contractor Assumptions'!$F31),0)*IFERROR(VLOOKUP(VLOOKUP('Contractor Assumptions'!$F31,uwmp_table_4_2_r!$B$2:$N$9900,13,FALSE),$A$11:$C$13,2,FALSE), VLOOKUP(VLOOKUP('Contractor Assumptions'!$F31,uwmp_table_4_2_w!$B$2:$N$9900,14,FALSE),$A$11:$C$13,2,FALSE))</f>
        <v>43900</v>
      </c>
      <c r="H376" s="520">
        <f>IFERROR(SUMIFS(uwmp_table_4_2_w!M$2:M$9900,uwmp_table_4_2_w!$G$2:$G$9900,"Industrial",uwmp_table_4_2_w!$B$2:$B$9900,'Contractor Assumptions'!$F31),0) + IFERROR(SUMIFS(uwmp_table_4_2_r!M$2:M$9900,uwmp_table_4_2_r!$G$2:$G$9900,"Industrial",uwmp_table_4_2_r!$B$2:$B$9900,'Contractor Assumptions'!$F31),0)*IFERROR(VLOOKUP(VLOOKUP('Contractor Assumptions'!$F31,uwmp_table_4_2_r!$B$2:$N$9900,13,FALSE),$A$11:$C$13,2,FALSE), VLOOKUP(VLOOKUP('Contractor Assumptions'!$F31,uwmp_table_4_2_w!$B$2:$N$9900,14,FALSE),$A$11:$C$13,2,FALSE))</f>
        <v>44400</v>
      </c>
      <c r="I376" s="66"/>
      <c r="J376" s="70"/>
      <c r="K376" s="70"/>
      <c r="L376" s="70"/>
      <c r="M376" s="70"/>
      <c r="N376" s="70"/>
      <c r="O376" s="70"/>
      <c r="P376" s="70"/>
    </row>
    <row r="377" spans="1:16" hidden="1" outlineLevel="1" x14ac:dyDescent="0.3">
      <c r="A377" s="63" t="s">
        <v>443</v>
      </c>
      <c r="B377" s="63" t="s">
        <v>915</v>
      </c>
      <c r="C377" s="63" t="str">
        <f t="shared" si="4"/>
        <v>East Bay Municipal Utilities District</v>
      </c>
      <c r="D377" s="472">
        <f>IFERROR(SUMIFS(uwmp_table_4_2_w!I$2:I$9900,uwmp_table_4_2_w!$G$2:$G$9900,"Industrial",uwmp_table_4_2_w!$B$2:$B$9900,'Contractor Assumptions'!$F32),0) + IFERROR(SUMIFS(uwmp_table_4_2_r!I$2:I$9900,uwmp_table_4_2_r!$G$2:$G$9900,"Industrial",uwmp_table_4_2_r!$B$2:$B$9900,'Contractor Assumptions'!$F32),0)*IFERROR(VLOOKUP(VLOOKUP('Contractor Assumptions'!$F32,uwmp_table_4_2_r!$B$2:$N$9900,13,FALSE),$A$11:$C$13,2,FALSE), VLOOKUP(VLOOKUP('Contractor Assumptions'!$F32,uwmp_table_4_2_w!$B$2:$N$9900,14,FALSE),$A$11:$C$13,2,FALSE))</f>
        <v>0</v>
      </c>
      <c r="E377" s="472">
        <f>IFERROR(SUMIFS(uwmp_table_4_2_w!J$2:J$9900,uwmp_table_4_2_w!$G$2:$G$9900,"Industrial",uwmp_table_4_2_w!$B$2:$B$9900,'Contractor Assumptions'!$F32),0) + IFERROR(SUMIFS(uwmp_table_4_2_r!J$2:J$9900,uwmp_table_4_2_r!$G$2:$G$9900,"Industrial",uwmp_table_4_2_r!$B$2:$B$9900,'Contractor Assumptions'!$F32),0)*IFERROR(VLOOKUP(VLOOKUP('Contractor Assumptions'!$F32,uwmp_table_4_2_r!$B$2:$N$9900,13,FALSE),$A$11:$C$13,2,FALSE), VLOOKUP(VLOOKUP('Contractor Assumptions'!$F32,uwmp_table_4_2_w!$B$2:$N$9900,14,FALSE),$A$11:$C$13,2,FALSE))</f>
        <v>0</v>
      </c>
      <c r="F377" s="472">
        <f>IFERROR(SUMIFS(uwmp_table_4_2_w!K$2:K$9900,uwmp_table_4_2_w!$G$2:$G$9900,"Industrial",uwmp_table_4_2_w!$B$2:$B$9900,'Contractor Assumptions'!$F32),0) + IFERROR(SUMIFS(uwmp_table_4_2_r!K$2:K$9900,uwmp_table_4_2_r!$G$2:$G$9900,"Industrial",uwmp_table_4_2_r!$B$2:$B$9900,'Contractor Assumptions'!$F32),0)*IFERROR(VLOOKUP(VLOOKUP('Contractor Assumptions'!$F32,uwmp_table_4_2_r!$B$2:$N$9900,13,FALSE),$A$11:$C$13,2,FALSE), VLOOKUP(VLOOKUP('Contractor Assumptions'!$F32,uwmp_table_4_2_w!$B$2:$N$9900,14,FALSE),$A$11:$C$13,2,FALSE))</f>
        <v>0</v>
      </c>
      <c r="G377" s="472">
        <f>IFERROR(SUMIFS(uwmp_table_4_2_w!L$2:L$9900,uwmp_table_4_2_w!$G$2:$G$9900,"Industrial",uwmp_table_4_2_w!$B$2:$B$9900,'Contractor Assumptions'!$F32),0) + IFERROR(SUMIFS(uwmp_table_4_2_r!L$2:L$9900,uwmp_table_4_2_r!$G$2:$G$9900,"Industrial",uwmp_table_4_2_r!$B$2:$B$9900,'Contractor Assumptions'!$F32),0)*IFERROR(VLOOKUP(VLOOKUP('Contractor Assumptions'!$F32,uwmp_table_4_2_r!$B$2:$N$9900,13,FALSE),$A$11:$C$13,2,FALSE), VLOOKUP(VLOOKUP('Contractor Assumptions'!$F32,uwmp_table_4_2_w!$B$2:$N$9900,14,FALSE),$A$11:$C$13,2,FALSE))</f>
        <v>0</v>
      </c>
      <c r="H377" s="520">
        <f>IFERROR(SUMIFS(uwmp_table_4_2_w!M$2:M$9900,uwmp_table_4_2_w!$G$2:$G$9900,"Industrial",uwmp_table_4_2_w!$B$2:$B$9900,'Contractor Assumptions'!$F32),0) + IFERROR(SUMIFS(uwmp_table_4_2_r!M$2:M$9900,uwmp_table_4_2_r!$G$2:$G$9900,"Industrial",uwmp_table_4_2_r!$B$2:$B$9900,'Contractor Assumptions'!$F32),0)*IFERROR(VLOOKUP(VLOOKUP('Contractor Assumptions'!$F32,uwmp_table_4_2_r!$B$2:$N$9900,13,FALSE),$A$11:$C$13,2,FALSE), VLOOKUP(VLOOKUP('Contractor Assumptions'!$F32,uwmp_table_4_2_w!$B$2:$N$9900,14,FALSE),$A$11:$C$13,2,FALSE))</f>
        <v>0</v>
      </c>
      <c r="I377" s="66"/>
      <c r="J377" s="70"/>
      <c r="K377" s="70"/>
      <c r="L377" s="70"/>
      <c r="M377" s="70"/>
      <c r="N377" s="70"/>
      <c r="O377" s="70"/>
      <c r="P377" s="70"/>
    </row>
    <row r="378" spans="1:16" hidden="1" outlineLevel="1" x14ac:dyDescent="0.3">
      <c r="A378" s="63" t="s">
        <v>443</v>
      </c>
      <c r="B378" s="63" t="s">
        <v>915</v>
      </c>
      <c r="C378" s="63" t="str">
        <f t="shared" si="4"/>
        <v>San Benito County Water District, Zone 6</v>
      </c>
      <c r="D378" s="472">
        <v>158</v>
      </c>
      <c r="E378" s="472">
        <v>158</v>
      </c>
      <c r="F378" s="472">
        <v>158</v>
      </c>
      <c r="G378" s="472">
        <v>158</v>
      </c>
      <c r="H378" s="520">
        <v>158</v>
      </c>
      <c r="I378" s="66" t="s">
        <v>1013</v>
      </c>
      <c r="J378" s="71"/>
      <c r="K378" s="71"/>
      <c r="L378" s="71"/>
      <c r="M378" s="71"/>
      <c r="N378" s="71"/>
      <c r="O378" s="71"/>
      <c r="P378" s="70"/>
    </row>
    <row r="379" spans="1:16" hidden="1" outlineLevel="1" x14ac:dyDescent="0.3">
      <c r="A379" s="63" t="s">
        <v>443</v>
      </c>
      <c r="B379" s="63" t="s">
        <v>915</v>
      </c>
      <c r="C379" s="63" t="str">
        <f t="shared" si="4"/>
        <v>Santa Clara Valley Water District</v>
      </c>
      <c r="D379" s="472">
        <f>IFERROR(SUMIFS(uwmp_table_4_2_w!I$2:I$9900,uwmp_table_4_2_w!$G$2:$G$9900,"Industrial",uwmp_table_4_2_w!$B$2:$B$9900,'Contractor Assumptions'!$F34),0) + IFERROR(SUMIFS(uwmp_table_4_2_r!I$2:I$9900,uwmp_table_4_2_r!$G$2:$G$9900,"Industrial",uwmp_table_4_2_r!$B$2:$B$9900,'Contractor Assumptions'!$F34),0)</f>
        <v>0</v>
      </c>
      <c r="E379" s="472">
        <f>IFERROR(SUMIFS(uwmp_table_4_2_w!J$2:J$9900,uwmp_table_4_2_w!$G$2:$G$9900,"Industrial",uwmp_table_4_2_w!$B$2:$B$9900,'Contractor Assumptions'!$F34),0) + IFERROR(SUMIFS(uwmp_table_4_2_r!J$2:J$9900,uwmp_table_4_2_r!$G$2:$G$9900,"Industrial",uwmp_table_4_2_r!$B$2:$B$9900,'Contractor Assumptions'!$F34),0)</f>
        <v>0</v>
      </c>
      <c r="F379" s="472">
        <f>IFERROR(SUMIFS(uwmp_table_4_2_w!K$2:K$9900,uwmp_table_4_2_w!$G$2:$G$9900,"Industrial",uwmp_table_4_2_w!$B$2:$B$9900,'Contractor Assumptions'!$F34),0) + IFERROR(SUMIFS(uwmp_table_4_2_r!K$2:K$9900,uwmp_table_4_2_r!$G$2:$G$9900,"Industrial",uwmp_table_4_2_r!$B$2:$B$9900,'Contractor Assumptions'!$F34),0)</f>
        <v>0</v>
      </c>
      <c r="G379" s="472">
        <f>IFERROR(SUMIFS(uwmp_table_4_2_w!L$2:L$9900,uwmp_table_4_2_w!$G$2:$G$9900,"Industrial",uwmp_table_4_2_w!$B$2:$B$9900,'Contractor Assumptions'!$F34),0) + IFERROR(SUMIFS(uwmp_table_4_2_r!L$2:L$9900,uwmp_table_4_2_r!$G$2:$G$9900,"Industrial",uwmp_table_4_2_r!$B$2:$B$9900,'Contractor Assumptions'!$F34),0)</f>
        <v>0</v>
      </c>
      <c r="H379" s="520">
        <f>IFERROR(SUMIFS(uwmp_table_4_2_w!M$2:M$9900,uwmp_table_4_2_w!$G$2:$G$9900,"Industrial",uwmp_table_4_2_w!$B$2:$B$9900,'Contractor Assumptions'!$F34),0) + IFERROR(SUMIFS(uwmp_table_4_2_r!M$2:M$9900,uwmp_table_4_2_r!$G$2:$G$9900,"Industrial",uwmp_table_4_2_r!$B$2:$B$9900,'Contractor Assumptions'!$F34),0)</f>
        <v>0</v>
      </c>
      <c r="I379" s="66"/>
      <c r="J379" s="70"/>
      <c r="K379" s="70"/>
      <c r="L379" s="70"/>
      <c r="M379" s="70"/>
      <c r="N379" s="70"/>
      <c r="O379" s="70"/>
      <c r="P379" s="70"/>
    </row>
    <row r="380" spans="1:16" hidden="1" outlineLevel="1" x14ac:dyDescent="0.3">
      <c r="A380" s="63" t="s">
        <v>443</v>
      </c>
      <c r="B380" s="63" t="s">
        <v>934</v>
      </c>
      <c r="C380" s="63" t="str">
        <f t="shared" si="4"/>
        <v>San Luis Obispo County Flood Control &amp; Water Conservation District</v>
      </c>
      <c r="D380" s="472">
        <v>15</v>
      </c>
      <c r="E380" s="472">
        <v>16</v>
      </c>
      <c r="F380" s="472">
        <v>17</v>
      </c>
      <c r="G380" s="472">
        <v>18</v>
      </c>
      <c r="H380" s="520">
        <v>19</v>
      </c>
      <c r="I380" s="66" t="s">
        <v>1014</v>
      </c>
      <c r="J380" s="70"/>
      <c r="K380" s="70"/>
      <c r="L380" s="70"/>
      <c r="M380" s="70"/>
      <c r="N380" s="70"/>
      <c r="O380" s="70"/>
      <c r="P380" s="70"/>
    </row>
    <row r="381" spans="1:16" hidden="1" outlineLevel="1" x14ac:dyDescent="0.3">
      <c r="A381" s="63" t="s">
        <v>443</v>
      </c>
      <c r="B381" s="63" t="s">
        <v>934</v>
      </c>
      <c r="C381" s="63" t="str">
        <f t="shared" si="4"/>
        <v>Santa Barbara County Flood Control &amp; Water Conservation District</v>
      </c>
      <c r="D381" s="471" t="s">
        <v>204</v>
      </c>
      <c r="E381" s="471" t="s">
        <v>204</v>
      </c>
      <c r="F381" s="471" t="s">
        <v>204</v>
      </c>
      <c r="G381" s="471" t="s">
        <v>204</v>
      </c>
      <c r="H381" s="518" t="s">
        <v>204</v>
      </c>
      <c r="I381" s="66"/>
      <c r="J381" s="70"/>
      <c r="K381" s="70"/>
      <c r="L381" s="70"/>
      <c r="M381" s="70"/>
      <c r="N381" s="70"/>
      <c r="O381" s="70"/>
      <c r="P381" s="70"/>
    </row>
    <row r="382" spans="1:16" hidden="1" outlineLevel="1" x14ac:dyDescent="0.3">
      <c r="A382" s="63" t="s">
        <v>443</v>
      </c>
      <c r="B382" s="63" t="s">
        <v>940</v>
      </c>
      <c r="C382" s="63" t="str">
        <f t="shared" si="4"/>
        <v>Antelope Valley-East Kern Water Agency</v>
      </c>
      <c r="D382" s="472">
        <v>2585.5537191294434</v>
      </c>
      <c r="E382" s="472">
        <v>2999.0059776048224</v>
      </c>
      <c r="F382" s="472">
        <v>3075.3848788432169</v>
      </c>
      <c r="G382" s="472">
        <v>3296.5701668892634</v>
      </c>
      <c r="H382" s="520">
        <v>3438.7243561975283</v>
      </c>
      <c r="I382" s="66" t="s">
        <v>1021</v>
      </c>
      <c r="J382" s="70"/>
      <c r="K382" s="70"/>
      <c r="L382" s="70"/>
      <c r="M382" s="70"/>
      <c r="N382" s="70"/>
      <c r="O382" s="70"/>
      <c r="P382" s="70"/>
    </row>
    <row r="383" spans="1:16" hidden="1" outlineLevel="1" x14ac:dyDescent="0.3">
      <c r="A383" s="63" t="s">
        <v>443</v>
      </c>
      <c r="B383" s="63" t="s">
        <v>940</v>
      </c>
      <c r="C383" s="63" t="str">
        <f t="shared" si="4"/>
        <v>Santa Clarita Water Division</v>
      </c>
      <c r="D383" s="472">
        <f>IFERROR(SUMIFS(uwmp_table_4_2_w!I$2:I$9900,uwmp_table_4_2_w!$G$2:$G$9900,"Industrial",uwmp_table_4_2_w!$B$2:$B$9900,'Contractor Assumptions'!$F38),0) + IFERROR(SUMIFS(uwmp_table_4_2_r!I$2:I$9900,uwmp_table_4_2_r!$G$2:$G$9900,"Industrial",uwmp_table_4_2_r!$B$2:$B$9900,'Contractor Assumptions'!$F38),0)*IFERROR(VLOOKUP(VLOOKUP('Contractor Assumptions'!$F38,uwmp_table_4_2_r!$B$2:$N$9900,13,FALSE),$A$11:$C$13,2,FALSE), VLOOKUP(VLOOKUP('Contractor Assumptions'!$F38,uwmp_table_4_2_w!$B$2:$N$9900,14,FALSE),$A$11:$C$13,2,FALSE))</f>
        <v>5523.9981299999999</v>
      </c>
      <c r="E383" s="472">
        <f>IFERROR(SUMIFS(uwmp_table_4_2_w!J$2:J$9900,uwmp_table_4_2_w!$G$2:$G$9900,"Industrial",uwmp_table_4_2_w!$B$2:$B$9900,'Contractor Assumptions'!$F38),0) + IFERROR(SUMIFS(uwmp_table_4_2_r!J$2:J$9900,uwmp_table_4_2_r!$G$2:$G$9900,"Industrial",uwmp_table_4_2_r!$B$2:$B$9900,'Contractor Assumptions'!$F38),0)*IFERROR(VLOOKUP(VLOOKUP('Contractor Assumptions'!$F38,uwmp_table_4_2_r!$B$2:$N$9900,13,FALSE),$A$11:$C$13,2,FALSE), VLOOKUP(VLOOKUP('Contractor Assumptions'!$F38,uwmp_table_4_2_w!$B$2:$N$9900,14,FALSE),$A$11:$C$13,2,FALSE))</f>
        <v>5523.9981299999999</v>
      </c>
      <c r="F383" s="472">
        <f>IFERROR(SUMIFS(uwmp_table_4_2_w!K$2:K$9900,uwmp_table_4_2_w!$G$2:$G$9900,"Industrial",uwmp_table_4_2_w!$B$2:$B$9900,'Contractor Assumptions'!$F38),0) + IFERROR(SUMIFS(uwmp_table_4_2_r!K$2:K$9900,uwmp_table_4_2_r!$G$2:$G$9900,"Industrial",uwmp_table_4_2_r!$B$2:$B$9900,'Contractor Assumptions'!$F38),0)*IFERROR(VLOOKUP(VLOOKUP('Contractor Assumptions'!$F38,uwmp_table_4_2_r!$B$2:$N$9900,13,FALSE),$A$11:$C$13,2,FALSE), VLOOKUP(VLOOKUP('Contractor Assumptions'!$F38,uwmp_table_4_2_w!$B$2:$N$9900,14,FALSE),$A$11:$C$13,2,FALSE))</f>
        <v>6444.6644849999993</v>
      </c>
      <c r="G383" s="472">
        <f>IFERROR(SUMIFS(uwmp_table_4_2_w!L$2:L$9900,uwmp_table_4_2_w!$G$2:$G$9900,"Industrial",uwmp_table_4_2_w!$B$2:$B$9900,'Contractor Assumptions'!$F38),0) + IFERROR(SUMIFS(uwmp_table_4_2_r!L$2:L$9900,uwmp_table_4_2_r!$G$2:$G$9900,"Industrial",uwmp_table_4_2_r!$B$2:$B$9900,'Contractor Assumptions'!$F38),0)*IFERROR(VLOOKUP(VLOOKUP('Contractor Assumptions'!$F38,uwmp_table_4_2_r!$B$2:$N$9900,13,FALSE),$A$11:$C$13,2,FALSE), VLOOKUP(VLOOKUP('Contractor Assumptions'!$F38,uwmp_table_4_2_w!$B$2:$N$9900,14,FALSE),$A$11:$C$13,2,FALSE))</f>
        <v>7058.4420549999995</v>
      </c>
      <c r="H383" s="520">
        <f>IFERROR(SUMIFS(uwmp_table_4_2_w!M$2:M$9900,uwmp_table_4_2_w!$G$2:$G$9900,"Industrial",uwmp_table_4_2_w!$B$2:$B$9900,'Contractor Assumptions'!$F38),0) + IFERROR(SUMIFS(uwmp_table_4_2_r!M$2:M$9900,uwmp_table_4_2_r!$G$2:$G$9900,"Industrial",uwmp_table_4_2_r!$B$2:$B$9900,'Contractor Assumptions'!$F38),0)*IFERROR(VLOOKUP(VLOOKUP('Contractor Assumptions'!$F38,uwmp_table_4_2_r!$B$2:$N$9900,13,FALSE),$A$11:$C$13,2,FALSE), VLOOKUP(VLOOKUP('Contractor Assumptions'!$F38,uwmp_table_4_2_w!$B$2:$N$9900,14,FALSE),$A$11:$C$13,2,FALSE))</f>
        <v>7672.2196249999997</v>
      </c>
      <c r="I383" s="66"/>
      <c r="J383" s="70"/>
      <c r="K383" s="70"/>
      <c r="L383" s="70"/>
      <c r="M383" s="70"/>
      <c r="N383" s="70"/>
      <c r="O383" s="70"/>
      <c r="P383" s="70"/>
    </row>
    <row r="384" spans="1:16" hidden="1" outlineLevel="1" x14ac:dyDescent="0.3">
      <c r="A384" s="63" t="s">
        <v>443</v>
      </c>
      <c r="B384" s="63" t="s">
        <v>940</v>
      </c>
      <c r="C384" s="63" t="str">
        <f t="shared" si="4"/>
        <v>Coachella Valley Water District</v>
      </c>
      <c r="D384" s="471" t="s">
        <v>204</v>
      </c>
      <c r="E384" s="471" t="s">
        <v>204</v>
      </c>
      <c r="F384" s="471" t="s">
        <v>204</v>
      </c>
      <c r="G384" s="471" t="s">
        <v>204</v>
      </c>
      <c r="H384" s="518" t="s">
        <v>204</v>
      </c>
      <c r="I384" s="66"/>
      <c r="J384" s="70"/>
      <c r="K384" s="70"/>
      <c r="L384" s="70"/>
      <c r="M384" s="70"/>
      <c r="N384" s="70"/>
      <c r="O384" s="70"/>
      <c r="P384" s="70"/>
    </row>
    <row r="385" spans="1:16" hidden="1" outlineLevel="1" x14ac:dyDescent="0.3">
      <c r="A385" s="63" t="s">
        <v>443</v>
      </c>
      <c r="B385" s="63" t="s">
        <v>940</v>
      </c>
      <c r="C385" s="63" t="str">
        <f t="shared" si="4"/>
        <v>Crestline-Lake Arrowhead Water Agency</v>
      </c>
      <c r="D385" s="471" t="s">
        <v>204</v>
      </c>
      <c r="E385" s="471" t="s">
        <v>204</v>
      </c>
      <c r="F385" s="471" t="s">
        <v>204</v>
      </c>
      <c r="G385" s="471" t="s">
        <v>204</v>
      </c>
      <c r="H385" s="518" t="s">
        <v>204</v>
      </c>
      <c r="I385" s="66"/>
      <c r="J385" s="70"/>
      <c r="K385" s="70"/>
      <c r="L385" s="70"/>
      <c r="M385" s="70"/>
      <c r="N385" s="70"/>
      <c r="O385" s="70"/>
      <c r="P385" s="70"/>
    </row>
    <row r="386" spans="1:16" hidden="1" outlineLevel="1" x14ac:dyDescent="0.3">
      <c r="A386" s="63" t="s">
        <v>443</v>
      </c>
      <c r="B386" s="63" t="s">
        <v>940</v>
      </c>
      <c r="C386" s="63" t="str">
        <f t="shared" si="4"/>
        <v>Desert Water Agency</v>
      </c>
      <c r="D386" s="471" t="s">
        <v>204</v>
      </c>
      <c r="E386" s="471" t="s">
        <v>204</v>
      </c>
      <c r="F386" s="471" t="s">
        <v>204</v>
      </c>
      <c r="G386" s="471" t="s">
        <v>204</v>
      </c>
      <c r="H386" s="518" t="s">
        <v>204</v>
      </c>
      <c r="I386" s="66"/>
      <c r="J386" s="70"/>
      <c r="K386" s="70"/>
      <c r="L386" s="70"/>
      <c r="M386" s="70"/>
      <c r="N386" s="70"/>
      <c r="O386" s="70"/>
      <c r="P386" s="70"/>
    </row>
    <row r="387" spans="1:16" hidden="1" outlineLevel="1" x14ac:dyDescent="0.3">
      <c r="A387" s="63" t="s">
        <v>443</v>
      </c>
      <c r="B387" s="63" t="s">
        <v>940</v>
      </c>
      <c r="C387" s="63" t="str">
        <f t="shared" si="4"/>
        <v>Metropolitan Water District of Southern California</v>
      </c>
      <c r="D387" s="472">
        <f>'Met 2020 UWMP Demand Data'!L31/2</f>
        <v>263000</v>
      </c>
      <c r="E387" s="472">
        <f>'Met 2020 UWMP Demand Data'!M31/2</f>
        <v>261000</v>
      </c>
      <c r="F387" s="472">
        <f>'Met 2020 UWMP Demand Data'!N31/2</f>
        <v>262500</v>
      </c>
      <c r="G387" s="472">
        <f>'Met 2020 UWMP Demand Data'!O31/2</f>
        <v>260000</v>
      </c>
      <c r="H387" s="520">
        <f>'Met 2020 UWMP Demand Data'!P31/2</f>
        <v>255000</v>
      </c>
      <c r="I387" s="66" t="s">
        <v>1022</v>
      </c>
      <c r="J387" s="70"/>
      <c r="K387" s="70"/>
      <c r="L387" s="70"/>
      <c r="M387" s="70"/>
      <c r="N387" s="70"/>
      <c r="O387" s="70"/>
      <c r="P387" s="70"/>
    </row>
    <row r="388" spans="1:16" hidden="1" outlineLevel="1" x14ac:dyDescent="0.3">
      <c r="A388" s="63" t="s">
        <v>443</v>
      </c>
      <c r="B388" s="63" t="s">
        <v>940</v>
      </c>
      <c r="C388" s="63" t="str">
        <f t="shared" si="4"/>
        <v>Mojave Water Agency</v>
      </c>
      <c r="D388" s="472">
        <v>183.5</v>
      </c>
      <c r="E388" s="472">
        <v>185.5</v>
      </c>
      <c r="F388" s="472">
        <v>188.5</v>
      </c>
      <c r="G388" s="472">
        <v>189.7</v>
      </c>
      <c r="H388" s="520">
        <v>192.7</v>
      </c>
      <c r="I388" s="66" t="s">
        <v>1017</v>
      </c>
      <c r="J388" s="70"/>
      <c r="K388" s="70"/>
      <c r="L388" s="70"/>
      <c r="M388" s="70"/>
      <c r="N388" s="70"/>
      <c r="O388" s="70"/>
      <c r="P388" s="70"/>
    </row>
    <row r="389" spans="1:16" hidden="1" outlineLevel="1" x14ac:dyDescent="0.3">
      <c r="A389" s="63" t="s">
        <v>443</v>
      </c>
      <c r="B389" s="63" t="s">
        <v>940</v>
      </c>
      <c r="C389" s="63" t="str">
        <f t="shared" si="4"/>
        <v>Palmdale Water District &amp; Littlerock Creek Irrigation District</v>
      </c>
      <c r="D389" s="472">
        <f>IFERROR(SUMIFS(uwmp_table_4_2_w!I$2:I$9900,uwmp_table_4_2_w!$G$2:$G$9900,"Industrial",uwmp_table_4_2_w!$B$2:$B$9900,'Contractor Assumptions'!$F44),0) + IFERROR(SUMIFS(uwmp_table_4_2_r!I$2:I$9900,uwmp_table_4_2_r!$G$2:$G$9900,"Industrial",uwmp_table_4_2_r!$B$2:$B$9900,'Contractor Assumptions'!$F44),0)*IFERROR(VLOOKUP(VLOOKUP('Contractor Assumptions'!$F44,uwmp_table_4_2_r!$B$2:$N$9900,13,FALSE),$A$11:$C$13,2,FALSE), VLOOKUP(VLOOKUP('Contractor Assumptions'!$F44,uwmp_table_4_2_w!$B$2:$N$9900,14,FALSE),$A$11:$C$13,2,FALSE))</f>
        <v>1350</v>
      </c>
      <c r="E389" s="472">
        <f>IFERROR(SUMIFS(uwmp_table_4_2_w!J$2:J$9900,uwmp_table_4_2_w!$G$2:$G$9900,"Industrial",uwmp_table_4_2_w!$B$2:$B$9900,'Contractor Assumptions'!$F44),0) + IFERROR(SUMIFS(uwmp_table_4_2_r!J$2:J$9900,uwmp_table_4_2_r!$G$2:$G$9900,"Industrial",uwmp_table_4_2_r!$B$2:$B$9900,'Contractor Assumptions'!$F44),0)*IFERROR(VLOOKUP(VLOOKUP('Contractor Assumptions'!$F44,uwmp_table_4_2_r!$B$2:$N$9900,13,FALSE),$A$11:$C$13,2,FALSE), VLOOKUP(VLOOKUP('Contractor Assumptions'!$F44,uwmp_table_4_2_w!$B$2:$N$9900,14,FALSE),$A$11:$C$13,2,FALSE))</f>
        <v>1390</v>
      </c>
      <c r="F389" s="472">
        <f>IFERROR(SUMIFS(uwmp_table_4_2_w!K$2:K$9900,uwmp_table_4_2_w!$G$2:$G$9900,"Industrial",uwmp_table_4_2_w!$B$2:$B$9900,'Contractor Assumptions'!$F44),0) + IFERROR(SUMIFS(uwmp_table_4_2_r!K$2:K$9900,uwmp_table_4_2_r!$G$2:$G$9900,"Industrial",uwmp_table_4_2_r!$B$2:$B$9900,'Contractor Assumptions'!$F44),0)*IFERROR(VLOOKUP(VLOOKUP('Contractor Assumptions'!$F44,uwmp_table_4_2_r!$B$2:$N$9900,13,FALSE),$A$11:$C$13,2,FALSE), VLOOKUP(VLOOKUP('Contractor Assumptions'!$F44,uwmp_table_4_2_w!$B$2:$N$9900,14,FALSE),$A$11:$C$13,2,FALSE))</f>
        <v>1480</v>
      </c>
      <c r="G389" s="472">
        <f>IFERROR(SUMIFS(uwmp_table_4_2_w!L$2:L$9900,uwmp_table_4_2_w!$G$2:$G$9900,"Industrial",uwmp_table_4_2_w!$B$2:$B$9900,'Contractor Assumptions'!$F44),0) + IFERROR(SUMIFS(uwmp_table_4_2_r!L$2:L$9900,uwmp_table_4_2_r!$G$2:$G$9900,"Industrial",uwmp_table_4_2_r!$B$2:$B$9900,'Contractor Assumptions'!$F44),0)*IFERROR(VLOOKUP(VLOOKUP('Contractor Assumptions'!$F44,uwmp_table_4_2_r!$B$2:$N$9900,13,FALSE),$A$11:$C$13,2,FALSE), VLOOKUP(VLOOKUP('Contractor Assumptions'!$F44,uwmp_table_4_2_w!$B$2:$N$9900,14,FALSE),$A$11:$C$13,2,FALSE))</f>
        <v>1590</v>
      </c>
      <c r="H389" s="520">
        <f>IFERROR(SUMIFS(uwmp_table_4_2_w!M$2:M$9900,uwmp_table_4_2_w!$G$2:$G$9900,"Industrial",uwmp_table_4_2_w!$B$2:$B$9900,'Contractor Assumptions'!$F44),0) + IFERROR(SUMIFS(uwmp_table_4_2_r!M$2:M$9900,uwmp_table_4_2_r!$G$2:$G$9900,"Industrial",uwmp_table_4_2_r!$B$2:$B$9900,'Contractor Assumptions'!$F44),0)*IFERROR(VLOOKUP(VLOOKUP('Contractor Assumptions'!$F44,uwmp_table_4_2_r!$B$2:$N$9900,13,FALSE),$A$11:$C$13,2,FALSE), VLOOKUP(VLOOKUP('Contractor Assumptions'!$F44,uwmp_table_4_2_w!$B$2:$N$9900,14,FALSE),$A$11:$C$13,2,FALSE))</f>
        <v>1700</v>
      </c>
      <c r="I389" s="66"/>
      <c r="J389" s="70"/>
      <c r="K389" s="70"/>
      <c r="L389" s="70"/>
      <c r="M389" s="70"/>
      <c r="N389" s="70"/>
      <c r="O389" s="70"/>
      <c r="P389" s="70"/>
    </row>
    <row r="390" spans="1:16" hidden="1" outlineLevel="1" x14ac:dyDescent="0.3">
      <c r="A390" s="63" t="s">
        <v>443</v>
      </c>
      <c r="B390" s="63" t="s">
        <v>940</v>
      </c>
      <c r="C390" s="63" t="str">
        <f t="shared" si="4"/>
        <v>San Bernardino Valley Municipal Water District</v>
      </c>
      <c r="D390" s="472">
        <f>IFERROR(SUMIFS(uwmp_table_4_2_w!I$2:I$9900,uwmp_table_4_2_w!$G$2:$G$9900,"Industrial",uwmp_table_4_2_w!$B$2:$B$9900,'Contractor Assumptions'!$F45),0) + IFERROR(SUMIFS(uwmp_table_4_2_r!I$2:I$9900,uwmp_table_4_2_r!$G$2:$G$9900,"Industrial",uwmp_table_4_2_r!$B$2:$B$9900,'Contractor Assumptions'!$F45),0)</f>
        <v>0</v>
      </c>
      <c r="E390" s="472">
        <f>IFERROR(SUMIFS(uwmp_table_4_2_w!J$2:J$9900,uwmp_table_4_2_w!$G$2:$G$9900,"Industrial",uwmp_table_4_2_w!$B$2:$B$9900,'Contractor Assumptions'!$F45),0) + IFERROR(SUMIFS(uwmp_table_4_2_r!J$2:J$9900,uwmp_table_4_2_r!$G$2:$G$9900,"Industrial",uwmp_table_4_2_r!$B$2:$B$9900,'Contractor Assumptions'!$F45),0)</f>
        <v>0</v>
      </c>
      <c r="F390" s="472">
        <f>IFERROR(SUMIFS(uwmp_table_4_2_w!K$2:K$9900,uwmp_table_4_2_w!$G$2:$G$9900,"Industrial",uwmp_table_4_2_w!$B$2:$B$9900,'Contractor Assumptions'!$F45),0) + IFERROR(SUMIFS(uwmp_table_4_2_r!K$2:K$9900,uwmp_table_4_2_r!$G$2:$G$9900,"Industrial",uwmp_table_4_2_r!$B$2:$B$9900,'Contractor Assumptions'!$F45),0)</f>
        <v>0</v>
      </c>
      <c r="G390" s="472">
        <f>IFERROR(SUMIFS(uwmp_table_4_2_w!L$2:L$9900,uwmp_table_4_2_w!$G$2:$G$9900,"Industrial",uwmp_table_4_2_w!$B$2:$B$9900,'Contractor Assumptions'!$F45),0) + IFERROR(SUMIFS(uwmp_table_4_2_r!L$2:L$9900,uwmp_table_4_2_r!$G$2:$G$9900,"Industrial",uwmp_table_4_2_r!$B$2:$B$9900,'Contractor Assumptions'!$F45),0)</f>
        <v>0</v>
      </c>
      <c r="H390" s="520">
        <f>IFERROR(SUMIFS(uwmp_table_4_2_w!M$2:M$9900,uwmp_table_4_2_w!$G$2:$G$9900,"Industrial",uwmp_table_4_2_w!$B$2:$B$9900,'Contractor Assumptions'!$F45),0) + IFERROR(SUMIFS(uwmp_table_4_2_r!M$2:M$9900,uwmp_table_4_2_r!$G$2:$G$9900,"Industrial",uwmp_table_4_2_r!$B$2:$B$9900,'Contractor Assumptions'!$F45),0)</f>
        <v>0</v>
      </c>
      <c r="I390" s="66"/>
      <c r="J390" s="70"/>
      <c r="K390" s="70"/>
      <c r="L390" s="70"/>
      <c r="M390" s="70"/>
      <c r="N390" s="70"/>
      <c r="O390" s="70"/>
      <c r="P390" s="70"/>
    </row>
    <row r="391" spans="1:16" hidden="1" outlineLevel="1" x14ac:dyDescent="0.3">
      <c r="A391" s="63" t="s">
        <v>443</v>
      </c>
      <c r="B391" s="63" t="s">
        <v>940</v>
      </c>
      <c r="C391" s="63" t="str">
        <f t="shared" si="4"/>
        <v>San Gabriel Valley Municipal Water District</v>
      </c>
      <c r="D391" s="471" t="s">
        <v>204</v>
      </c>
      <c r="E391" s="471" t="s">
        <v>204</v>
      </c>
      <c r="F391" s="471" t="s">
        <v>204</v>
      </c>
      <c r="G391" s="471" t="s">
        <v>204</v>
      </c>
      <c r="H391" s="518" t="s">
        <v>204</v>
      </c>
      <c r="I391" s="66"/>
      <c r="J391" s="70"/>
      <c r="K391" s="70"/>
      <c r="L391" s="70"/>
      <c r="M391" s="70"/>
      <c r="N391" s="70"/>
      <c r="O391" s="70"/>
      <c r="P391" s="70"/>
    </row>
    <row r="392" spans="1:16" hidden="1" outlineLevel="1" x14ac:dyDescent="0.3">
      <c r="A392" s="63" t="s">
        <v>443</v>
      </c>
      <c r="B392" s="63" t="s">
        <v>940</v>
      </c>
      <c r="C392" s="63" t="str">
        <f t="shared" si="4"/>
        <v>San Gorgonio Pass Water Agency</v>
      </c>
      <c r="D392" s="472">
        <v>230</v>
      </c>
      <c r="E392" s="472">
        <v>253</v>
      </c>
      <c r="F392" s="472">
        <v>272</v>
      </c>
      <c r="G392" s="472">
        <v>289</v>
      </c>
      <c r="H392" s="520">
        <v>303</v>
      </c>
      <c r="I392" s="66" t="s">
        <v>1018</v>
      </c>
      <c r="J392" s="70"/>
      <c r="K392" s="70"/>
      <c r="L392" s="70"/>
      <c r="M392" s="70"/>
      <c r="N392" s="70"/>
      <c r="O392" s="70"/>
      <c r="P392" s="70"/>
    </row>
    <row r="393" spans="1:16" hidden="1" outlineLevel="1" x14ac:dyDescent="0.3">
      <c r="A393" s="63" t="s">
        <v>443</v>
      </c>
      <c r="B393" s="63" t="s">
        <v>940</v>
      </c>
      <c r="C393" s="63" t="str">
        <f t="shared" si="4"/>
        <v>Ventura County Watershed Protection District</v>
      </c>
      <c r="D393" s="471" t="s">
        <v>204</v>
      </c>
      <c r="E393" s="471" t="s">
        <v>204</v>
      </c>
      <c r="F393" s="471" t="s">
        <v>204</v>
      </c>
      <c r="G393" s="471" t="s">
        <v>204</v>
      </c>
      <c r="H393" s="518" t="s">
        <v>204</v>
      </c>
      <c r="I393" s="66"/>
      <c r="J393" s="70"/>
      <c r="K393" s="70"/>
      <c r="L393" s="70"/>
      <c r="M393" s="70"/>
      <c r="N393" s="70"/>
      <c r="O393" s="70"/>
      <c r="P393" s="70"/>
    </row>
    <row r="394" spans="1:16" collapsed="1" x14ac:dyDescent="0.3">
      <c r="A394" s="120"/>
      <c r="B394" s="120"/>
      <c r="C394" s="407" t="s">
        <v>992</v>
      </c>
      <c r="D394" s="121"/>
      <c r="E394" s="121"/>
      <c r="F394" s="121"/>
      <c r="G394" s="121"/>
      <c r="H394" s="519"/>
      <c r="I394" s="121"/>
      <c r="J394" s="70"/>
      <c r="K394" s="70"/>
      <c r="L394" s="70"/>
      <c r="M394" s="70"/>
      <c r="N394" s="70"/>
      <c r="O394" s="70"/>
      <c r="P394" s="70"/>
    </row>
    <row r="395" spans="1:16" x14ac:dyDescent="0.3">
      <c r="A395" s="63"/>
      <c r="B395" s="63"/>
      <c r="C395" s="129" t="s">
        <v>990</v>
      </c>
      <c r="D395" s="66">
        <f>SUM(D397:D439)</f>
        <v>404470.59876248043</v>
      </c>
      <c r="E395" s="66">
        <f>SUM(E397:E439)</f>
        <v>412882.58236690552</v>
      </c>
      <c r="F395" s="66">
        <f>SUM(F397:F439)</f>
        <v>423075.27342390211</v>
      </c>
      <c r="G395" s="66">
        <f>SUM(G397:G439)</f>
        <v>428124.66063606943</v>
      </c>
      <c r="H395" s="521">
        <f>SUM(H397:H439)</f>
        <v>429985.33952435991</v>
      </c>
      <c r="I395" s="66"/>
      <c r="J395" s="70"/>
      <c r="K395" s="70"/>
      <c r="L395" s="70"/>
      <c r="M395" s="70"/>
      <c r="N395" s="70"/>
      <c r="O395" s="70"/>
      <c r="P395" s="70"/>
    </row>
    <row r="396" spans="1:16" x14ac:dyDescent="0.3">
      <c r="A396" s="122" t="s">
        <v>5</v>
      </c>
      <c r="B396" s="122"/>
      <c r="C396" s="122" t="s">
        <v>193</v>
      </c>
      <c r="D396" s="123">
        <v>2025</v>
      </c>
      <c r="E396" s="123">
        <v>2030</v>
      </c>
      <c r="F396" s="123">
        <v>2035</v>
      </c>
      <c r="G396" s="123">
        <v>2040</v>
      </c>
      <c r="H396" s="505">
        <v>2045</v>
      </c>
      <c r="I396" s="123" t="s">
        <v>153</v>
      </c>
      <c r="J396" s="70"/>
      <c r="K396" s="70"/>
      <c r="L396" s="70"/>
      <c r="M396" s="70"/>
      <c r="N396" s="70"/>
      <c r="O396" s="70"/>
      <c r="P396" s="70"/>
    </row>
    <row r="397" spans="1:16" hidden="1" outlineLevel="1" x14ac:dyDescent="0.3">
      <c r="A397" s="63" t="s">
        <v>447</v>
      </c>
      <c r="B397" s="63" t="s">
        <v>855</v>
      </c>
      <c r="C397" s="63" t="str">
        <f t="shared" ref="C397:C439" si="6">C351</f>
        <v>Butte County</v>
      </c>
      <c r="D397" s="471" t="s">
        <v>204</v>
      </c>
      <c r="E397" s="471" t="s">
        <v>204</v>
      </c>
      <c r="F397" s="471" t="s">
        <v>204</v>
      </c>
      <c r="G397" s="471" t="s">
        <v>204</v>
      </c>
      <c r="H397" s="518" t="s">
        <v>204</v>
      </c>
      <c r="I397" s="66"/>
      <c r="J397" s="70"/>
      <c r="K397" s="70"/>
      <c r="L397" s="70"/>
      <c r="M397" s="70"/>
      <c r="N397" s="70"/>
      <c r="O397" s="70"/>
      <c r="P397" s="70"/>
    </row>
    <row r="398" spans="1:16" hidden="1" outlineLevel="1" x14ac:dyDescent="0.3">
      <c r="A398" s="63" t="s">
        <v>447</v>
      </c>
      <c r="B398" s="63" t="s">
        <v>855</v>
      </c>
      <c r="C398" s="63" t="str">
        <f t="shared" si="6"/>
        <v>City of Folsom</v>
      </c>
      <c r="D398" s="471">
        <f>(IFERROR(SUMIFS(uwmp_table_4_2_w!I$2:I$9900,uwmp_table_4_2_w!$G$2:$G$9900,"Commercial",uwmp_table_4_2_w!$B$2:$B$9900,'Contractor Assumptions'!$F7),0) + IFERROR(SUMIFS(uwmp_table_4_2_r!I$2:I$9900,uwmp_table_4_2_r!$G$2:$G$9900,"Commercial",uwmp_table_4_2_r!$B$2:$B$9900,'Contractor Assumptions'!$F7),0) + IFERROR(SUMIFS(uwmp_table_4_2_w!I$2:I$9900,uwmp_table_4_2_w!$G$2:$G$9900,"Institutional/Governmental",uwmp_table_4_2_w!$B$2:$B$9900,'Contractor Assumptions'!$F7),0) + IFERROR(SUMIFS(uwmp_table_4_2_r!I$2:I$9900,uwmp_table_4_2_r!$G$2:$G$9900,"Institutional/Governmental",uwmp_table_4_2_r!$B$2:$B$9900,'Contractor Assumptions'!$F7),0))*IFERROR(VLOOKUP(VLOOKUP('Contractor Assumptions'!$F7,uwmp_table_4_2_r!$B$2:$N$9900,13,FALSE),$A$11:$C$13,2,FALSE), VLOOKUP(VLOOKUP('Contractor Assumptions'!$F7,uwmp_table_4_2_w!$B$2:$N$9900,14,FALSE),$A$11:$C$13,2,FALSE))</f>
        <v>6420</v>
      </c>
      <c r="E398" s="471">
        <f>(IFERROR(SUMIFS(uwmp_table_4_2_w!J$2:J$9900,uwmp_table_4_2_w!$G$2:$G$9900,"Commercial",uwmp_table_4_2_w!$B$2:$B$9900,'Contractor Assumptions'!$F7),0) + IFERROR(SUMIFS(uwmp_table_4_2_r!J$2:J$9900,uwmp_table_4_2_r!$G$2:$G$9900,"Commercial",uwmp_table_4_2_r!$B$2:$B$9900,'Contractor Assumptions'!$F7),0) + IFERROR(SUMIFS(uwmp_table_4_2_w!J$2:J$9900,uwmp_table_4_2_w!$G$2:$G$9900,"Institutional/Governmental",uwmp_table_4_2_w!$B$2:$B$9900,'Contractor Assumptions'!$F7),0) + IFERROR(SUMIFS(uwmp_table_4_2_r!J$2:J$9900,uwmp_table_4_2_r!$G$2:$G$9900,"Institutional/Governmental",uwmp_table_4_2_r!$B$2:$B$9900,'Contractor Assumptions'!$F7),0))*IFERROR(VLOOKUP(VLOOKUP('Contractor Assumptions'!$F7,uwmp_table_4_2_r!$B$2:$N$9900,13,FALSE),$A$11:$C$13,2,FALSE), VLOOKUP(VLOOKUP('Contractor Assumptions'!$F7,uwmp_table_4_2_w!$B$2:$N$9900,14,FALSE),$A$11:$C$13,2,FALSE))</f>
        <v>7129</v>
      </c>
      <c r="F398" s="471">
        <f>(IFERROR(SUMIFS(uwmp_table_4_2_w!K$2:K$9900,uwmp_table_4_2_w!$G$2:$G$9900,"Commercial",uwmp_table_4_2_w!$B$2:$B$9900,'Contractor Assumptions'!$F7),0) + IFERROR(SUMIFS(uwmp_table_4_2_r!K$2:K$9900,uwmp_table_4_2_r!$G$2:$G$9900,"Commercial",uwmp_table_4_2_r!$B$2:$B$9900,'Contractor Assumptions'!$F7),0) + IFERROR(SUMIFS(uwmp_table_4_2_w!K$2:K$9900,uwmp_table_4_2_w!$G$2:$G$9900,"Institutional/Governmental",uwmp_table_4_2_w!$B$2:$B$9900,'Contractor Assumptions'!$F7),0) + IFERROR(SUMIFS(uwmp_table_4_2_r!K$2:K$9900,uwmp_table_4_2_r!$G$2:$G$9900,"Institutional/Governmental",uwmp_table_4_2_r!$B$2:$B$9900,'Contractor Assumptions'!$F7),0))*IFERROR(VLOOKUP(VLOOKUP('Contractor Assumptions'!$F7,uwmp_table_4_2_r!$B$2:$N$9900,13,FALSE),$A$11:$C$13,2,FALSE), VLOOKUP(VLOOKUP('Contractor Assumptions'!$F7,uwmp_table_4_2_w!$B$2:$N$9900,14,FALSE),$A$11:$C$13,2,FALSE))</f>
        <v>7550</v>
      </c>
      <c r="G398" s="471">
        <f>(IFERROR(SUMIFS(uwmp_table_4_2_w!L$2:L$9900,uwmp_table_4_2_w!$G$2:$G$9900,"Commercial",uwmp_table_4_2_w!$B$2:$B$9900,'Contractor Assumptions'!$F7),0) + IFERROR(SUMIFS(uwmp_table_4_2_r!L$2:L$9900,uwmp_table_4_2_r!$G$2:$G$9900,"Commercial",uwmp_table_4_2_r!$B$2:$B$9900,'Contractor Assumptions'!$F7),0) + IFERROR(SUMIFS(uwmp_table_4_2_w!L$2:L$9900,uwmp_table_4_2_w!$G$2:$G$9900,"Institutional/Governmental",uwmp_table_4_2_w!$B$2:$B$9900,'Contractor Assumptions'!$F7),0) + IFERROR(SUMIFS(uwmp_table_4_2_r!L$2:L$9900,uwmp_table_4_2_r!$G$2:$G$9900,"Institutional/Governmental",uwmp_table_4_2_r!$B$2:$B$9900,'Contractor Assumptions'!$F7),0))*IFERROR(VLOOKUP(VLOOKUP('Contractor Assumptions'!$F7,uwmp_table_4_2_r!$B$2:$N$9900,13,FALSE),$A$11:$C$13,2,FALSE), VLOOKUP(VLOOKUP('Contractor Assumptions'!$F7,uwmp_table_4_2_w!$B$2:$N$9900,14,FALSE),$A$11:$C$13,2,FALSE))</f>
        <v>7853</v>
      </c>
      <c r="H398" s="518">
        <f>(IFERROR(SUMIFS(uwmp_table_4_2_w!M$2:M$9900,uwmp_table_4_2_w!$G$2:$G$9900,"Commercial",uwmp_table_4_2_w!$B$2:$B$9900,'Contractor Assumptions'!$F7),0) + IFERROR(SUMIFS(uwmp_table_4_2_r!M$2:M$9900,uwmp_table_4_2_r!$G$2:$G$9900,"Commercial",uwmp_table_4_2_r!$B$2:$B$9900,'Contractor Assumptions'!$F7),0) + IFERROR(SUMIFS(uwmp_table_4_2_w!M$2:M$9900,uwmp_table_4_2_w!$G$2:$G$9900,"Institutional/Governmental",uwmp_table_4_2_w!$B$2:$B$9900,'Contractor Assumptions'!$F7),0) + IFERROR(SUMIFS(uwmp_table_4_2_r!M$2:M$9900,uwmp_table_4_2_r!$G$2:$G$9900,"Institutional/Governmental",uwmp_table_4_2_r!$B$2:$B$9900,'Contractor Assumptions'!$F7),0))*IFERROR(VLOOKUP(VLOOKUP('Contractor Assumptions'!$F7,uwmp_table_4_2_r!$B$2:$N$9900,13,FALSE),$A$11:$C$13,2,FALSE), VLOOKUP(VLOOKUP('Contractor Assumptions'!$F7,uwmp_table_4_2_w!$B$2:$N$9900,14,FALSE),$A$11:$C$13,2,FALSE))</f>
        <v>8018</v>
      </c>
      <c r="I398" s="66" t="s">
        <v>1020</v>
      </c>
      <c r="J398" s="70"/>
      <c r="K398" s="70"/>
      <c r="L398" s="70"/>
      <c r="M398" s="70"/>
      <c r="N398" s="70"/>
      <c r="O398" s="70"/>
      <c r="P398" s="70"/>
    </row>
    <row r="399" spans="1:16" hidden="1" outlineLevel="1" x14ac:dyDescent="0.3">
      <c r="A399" s="63" t="s">
        <v>447</v>
      </c>
      <c r="B399" s="63" t="s">
        <v>855</v>
      </c>
      <c r="C399" s="63" t="str">
        <f t="shared" si="6"/>
        <v>City of Redding</v>
      </c>
      <c r="D399" s="471">
        <f>(IFERROR(SUMIFS(uwmp_table_4_2_w!I$2:I$9900,uwmp_table_4_2_w!$G$2:$G$9900,"Commercial",uwmp_table_4_2_w!$B$2:$B$9900,'Contractor Assumptions'!$F8),0) + IFERROR(SUMIFS(uwmp_table_4_2_r!I$2:I$9900,uwmp_table_4_2_r!$G$2:$G$9900,"Commercial",uwmp_table_4_2_r!$B$2:$B$9900,'Contractor Assumptions'!$F8),0) + IFERROR(SUMIFS(uwmp_table_4_2_w!I$2:I$9900,uwmp_table_4_2_w!$G$2:$G$9900,"Institutional/Governmental",uwmp_table_4_2_w!$B$2:$B$9900,'Contractor Assumptions'!$F8),0) + IFERROR(SUMIFS(uwmp_table_4_2_r!I$2:I$9900,uwmp_table_4_2_r!$G$2:$G$9900,"Institutional/Governmental",uwmp_table_4_2_r!$B$2:$B$9900,'Contractor Assumptions'!$F8),0))*IFERROR(VLOOKUP(VLOOKUP('Contractor Assumptions'!$F8,uwmp_table_4_2_r!$B$2:$N$9900,13,FALSE),$A$11:$C$13,2,FALSE), VLOOKUP(VLOOKUP('Contractor Assumptions'!$F8,uwmp_table_4_2_w!$B$2:$N$9900,14,FALSE),$A$11:$C$13,2,FALSE))</f>
        <v>2231</v>
      </c>
      <c r="E399" s="471">
        <f>(IFERROR(SUMIFS(uwmp_table_4_2_w!J$2:J$9900,uwmp_table_4_2_w!$G$2:$G$9900,"Commercial",uwmp_table_4_2_w!$B$2:$B$9900,'Contractor Assumptions'!$F8),0) + IFERROR(SUMIFS(uwmp_table_4_2_r!J$2:J$9900,uwmp_table_4_2_r!$G$2:$G$9900,"Commercial",uwmp_table_4_2_r!$B$2:$B$9900,'Contractor Assumptions'!$F8),0) + IFERROR(SUMIFS(uwmp_table_4_2_w!J$2:J$9900,uwmp_table_4_2_w!$G$2:$G$9900,"Institutional/Governmental",uwmp_table_4_2_w!$B$2:$B$9900,'Contractor Assumptions'!$F8),0) + IFERROR(SUMIFS(uwmp_table_4_2_r!J$2:J$9900,uwmp_table_4_2_r!$G$2:$G$9900,"Institutional/Governmental",uwmp_table_4_2_r!$B$2:$B$9900,'Contractor Assumptions'!$F8),0))*IFERROR(VLOOKUP(VLOOKUP('Contractor Assumptions'!$F8,uwmp_table_4_2_r!$B$2:$N$9900,13,FALSE),$A$11:$C$13,2,FALSE), VLOOKUP(VLOOKUP('Contractor Assumptions'!$F8,uwmp_table_4_2_w!$B$2:$N$9900,14,FALSE),$A$11:$C$13,2,FALSE))</f>
        <v>2278</v>
      </c>
      <c r="F399" s="471">
        <f>(IFERROR(SUMIFS(uwmp_table_4_2_w!K$2:K$9900,uwmp_table_4_2_w!$G$2:$G$9900,"Commercial",uwmp_table_4_2_w!$B$2:$B$9900,'Contractor Assumptions'!$F8),0) + IFERROR(SUMIFS(uwmp_table_4_2_r!K$2:K$9900,uwmp_table_4_2_r!$G$2:$G$9900,"Commercial",uwmp_table_4_2_r!$B$2:$B$9900,'Contractor Assumptions'!$F8),0) + IFERROR(SUMIFS(uwmp_table_4_2_w!K$2:K$9900,uwmp_table_4_2_w!$G$2:$G$9900,"Institutional/Governmental",uwmp_table_4_2_w!$B$2:$B$9900,'Contractor Assumptions'!$F8),0) + IFERROR(SUMIFS(uwmp_table_4_2_r!K$2:K$9900,uwmp_table_4_2_r!$G$2:$G$9900,"Institutional/Governmental",uwmp_table_4_2_r!$B$2:$B$9900,'Contractor Assumptions'!$F8),0))*IFERROR(VLOOKUP(VLOOKUP('Contractor Assumptions'!$F8,uwmp_table_4_2_r!$B$2:$N$9900,13,FALSE),$A$11:$C$13,2,FALSE), VLOOKUP(VLOOKUP('Contractor Assumptions'!$F8,uwmp_table_4_2_w!$B$2:$N$9900,14,FALSE),$A$11:$C$13,2,FALSE))</f>
        <v>2326</v>
      </c>
      <c r="G399" s="471">
        <f>(IFERROR(SUMIFS(uwmp_table_4_2_w!L$2:L$9900,uwmp_table_4_2_w!$G$2:$G$9900,"Commercial",uwmp_table_4_2_w!$B$2:$B$9900,'Contractor Assumptions'!$F8),0) + IFERROR(SUMIFS(uwmp_table_4_2_r!L$2:L$9900,uwmp_table_4_2_r!$G$2:$G$9900,"Commercial",uwmp_table_4_2_r!$B$2:$B$9900,'Contractor Assumptions'!$F8),0) + IFERROR(SUMIFS(uwmp_table_4_2_w!L$2:L$9900,uwmp_table_4_2_w!$G$2:$G$9900,"Institutional/Governmental",uwmp_table_4_2_w!$B$2:$B$9900,'Contractor Assumptions'!$F8),0) + IFERROR(SUMIFS(uwmp_table_4_2_r!L$2:L$9900,uwmp_table_4_2_r!$G$2:$G$9900,"Institutional/Governmental",uwmp_table_4_2_r!$B$2:$B$9900,'Contractor Assumptions'!$F8),0))*IFERROR(VLOOKUP(VLOOKUP('Contractor Assumptions'!$F8,uwmp_table_4_2_r!$B$2:$N$9900,13,FALSE),$A$11:$C$13,2,FALSE), VLOOKUP(VLOOKUP('Contractor Assumptions'!$F8,uwmp_table_4_2_w!$B$2:$N$9900,14,FALSE),$A$11:$C$13,2,FALSE))</f>
        <v>2374</v>
      </c>
      <c r="H399" s="518">
        <f>(IFERROR(SUMIFS(uwmp_table_4_2_w!M$2:M$9900,uwmp_table_4_2_w!$G$2:$G$9900,"Commercial",uwmp_table_4_2_w!$B$2:$B$9900,'Contractor Assumptions'!$F8),0) + IFERROR(SUMIFS(uwmp_table_4_2_r!M$2:M$9900,uwmp_table_4_2_r!$G$2:$G$9900,"Commercial",uwmp_table_4_2_r!$B$2:$B$9900,'Contractor Assumptions'!$F8),0) + IFERROR(SUMIFS(uwmp_table_4_2_w!M$2:M$9900,uwmp_table_4_2_w!$G$2:$G$9900,"Institutional/Governmental",uwmp_table_4_2_w!$B$2:$B$9900,'Contractor Assumptions'!$F8),0) + IFERROR(SUMIFS(uwmp_table_4_2_r!M$2:M$9900,uwmp_table_4_2_r!$G$2:$G$9900,"Institutional/Governmental",uwmp_table_4_2_r!$B$2:$B$9900,'Contractor Assumptions'!$F8),0))*IFERROR(VLOOKUP(VLOOKUP('Contractor Assumptions'!$F8,uwmp_table_4_2_r!$B$2:$N$9900,13,FALSE),$A$11:$C$13,2,FALSE), VLOOKUP(VLOOKUP('Contractor Assumptions'!$F8,uwmp_table_4_2_w!$B$2:$N$9900,14,FALSE),$A$11:$C$13,2,FALSE))</f>
        <v>2425</v>
      </c>
      <c r="I399" s="63"/>
      <c r="J399" s="70"/>
      <c r="K399" s="70"/>
      <c r="L399" s="70"/>
      <c r="M399" s="70"/>
      <c r="N399" s="70"/>
      <c r="O399" s="70"/>
      <c r="P399" s="70"/>
    </row>
    <row r="400" spans="1:16" hidden="1" outlineLevel="1" x14ac:dyDescent="0.3">
      <c r="A400" s="63" t="s">
        <v>447</v>
      </c>
      <c r="B400" s="63" t="s">
        <v>855</v>
      </c>
      <c r="C400" s="63" t="str">
        <f t="shared" si="6"/>
        <v>City of Roseville</v>
      </c>
      <c r="D400" s="471">
        <f>(IFERROR(SUMIFS(uwmp_table_4_2_w!I$2:I$9900,uwmp_table_4_2_w!$G$2:$G$9900,"Commercial",uwmp_table_4_2_w!$B$2:$B$9900,'Contractor Assumptions'!$F9),0) + IFERROR(SUMIFS(uwmp_table_4_2_r!I$2:I$9900,uwmp_table_4_2_r!$G$2:$G$9900,"Commercial",uwmp_table_4_2_r!$B$2:$B$9900,'Contractor Assumptions'!$F9),0) + IFERROR(SUMIFS(uwmp_table_4_2_w!I$2:I$9900,uwmp_table_4_2_w!$G$2:$G$9900,"Institutional/Governmental",uwmp_table_4_2_w!$B$2:$B$9900,'Contractor Assumptions'!$F9),0) + IFERROR(SUMIFS(uwmp_table_4_2_r!I$2:I$9900,uwmp_table_4_2_r!$G$2:$G$9900,"Institutional/Governmental",uwmp_table_4_2_r!$B$2:$B$9900,'Contractor Assumptions'!$F9),0))*IFERROR(VLOOKUP(VLOOKUP('Contractor Assumptions'!$F9,uwmp_table_4_2_r!$B$2:$N$9900,13,FALSE),$A$11:$C$13,2,FALSE), VLOOKUP(VLOOKUP('Contractor Assumptions'!$F9,uwmp_table_4_2_w!$B$2:$N$9900,14,FALSE),$A$11:$C$13,2,FALSE))</f>
        <v>15039</v>
      </c>
      <c r="E400" s="471">
        <f>(IFERROR(SUMIFS(uwmp_table_4_2_w!J$2:J$9900,uwmp_table_4_2_w!$G$2:$G$9900,"Commercial",uwmp_table_4_2_w!$B$2:$B$9900,'Contractor Assumptions'!$F9),0) + IFERROR(SUMIFS(uwmp_table_4_2_r!J$2:J$9900,uwmp_table_4_2_r!$G$2:$G$9900,"Commercial",uwmp_table_4_2_r!$B$2:$B$9900,'Contractor Assumptions'!$F9),0) + IFERROR(SUMIFS(uwmp_table_4_2_w!J$2:J$9900,uwmp_table_4_2_w!$G$2:$G$9900,"Institutional/Governmental",uwmp_table_4_2_w!$B$2:$B$9900,'Contractor Assumptions'!$F9),0) + IFERROR(SUMIFS(uwmp_table_4_2_r!J$2:J$9900,uwmp_table_4_2_r!$G$2:$G$9900,"Institutional/Governmental",uwmp_table_4_2_r!$B$2:$B$9900,'Contractor Assumptions'!$F9),0))*IFERROR(VLOOKUP(VLOOKUP('Contractor Assumptions'!$F9,uwmp_table_4_2_r!$B$2:$N$9900,13,FALSE),$A$11:$C$13,2,FALSE), VLOOKUP(VLOOKUP('Contractor Assumptions'!$F9,uwmp_table_4_2_w!$B$2:$N$9900,14,FALSE),$A$11:$C$13,2,FALSE))</f>
        <v>16002</v>
      </c>
      <c r="F400" s="471">
        <f>(IFERROR(SUMIFS(uwmp_table_4_2_w!K$2:K$9900,uwmp_table_4_2_w!$G$2:$G$9900,"Commercial",uwmp_table_4_2_w!$B$2:$B$9900,'Contractor Assumptions'!$F9),0) + IFERROR(SUMIFS(uwmp_table_4_2_r!K$2:K$9900,uwmp_table_4_2_r!$G$2:$G$9900,"Commercial",uwmp_table_4_2_r!$B$2:$B$9900,'Contractor Assumptions'!$F9),0) + IFERROR(SUMIFS(uwmp_table_4_2_w!K$2:K$9900,uwmp_table_4_2_w!$G$2:$G$9900,"Institutional/Governmental",uwmp_table_4_2_w!$B$2:$B$9900,'Contractor Assumptions'!$F9),0) + IFERROR(SUMIFS(uwmp_table_4_2_r!K$2:K$9900,uwmp_table_4_2_r!$G$2:$G$9900,"Institutional/Governmental",uwmp_table_4_2_r!$B$2:$B$9900,'Contractor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G400" s="471">
        <f>(IFERROR(SUMIFS(uwmp_table_4_2_w!L$2:L$9900,uwmp_table_4_2_w!$G$2:$G$9900,"Commercial",uwmp_table_4_2_w!$B$2:$B$9900,'Contractor Assumptions'!$F9),0) + IFERROR(SUMIFS(uwmp_table_4_2_r!L$2:L$9900,uwmp_table_4_2_r!$G$2:$G$9900,"Commercial",uwmp_table_4_2_r!$B$2:$B$9900,'Contractor Assumptions'!$F9),0) + IFERROR(SUMIFS(uwmp_table_4_2_w!L$2:L$9900,uwmp_table_4_2_w!$G$2:$G$9900,"Institutional/Governmental",uwmp_table_4_2_w!$B$2:$B$9900,'Contractor Assumptions'!$F9),0) + IFERROR(SUMIFS(uwmp_table_4_2_r!L$2:L$9900,uwmp_table_4_2_r!$G$2:$G$9900,"Institutional/Governmental",uwmp_table_4_2_r!$B$2:$B$9900,'Contractor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H400" s="518">
        <f>(IFERROR(SUMIFS(uwmp_table_4_2_w!M$2:M$9900,uwmp_table_4_2_w!$G$2:$G$9900,"Commercial",uwmp_table_4_2_w!$B$2:$B$9900,'Contractor Assumptions'!$F9),0) + IFERROR(SUMIFS(uwmp_table_4_2_r!M$2:M$9900,uwmp_table_4_2_r!$G$2:$G$9900,"Commercial",uwmp_table_4_2_r!$B$2:$B$9900,'Contractor Assumptions'!$F9),0) + IFERROR(SUMIFS(uwmp_table_4_2_w!M$2:M$9900,uwmp_table_4_2_w!$G$2:$G$9900,"Institutional/Governmental",uwmp_table_4_2_w!$B$2:$B$9900,'Contractor Assumptions'!$F9),0) + IFERROR(SUMIFS(uwmp_table_4_2_r!M$2:M$9900,uwmp_table_4_2_r!$G$2:$G$9900,"Institutional/Governmental",uwmp_table_4_2_r!$B$2:$B$9900,'Contractor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I400" s="66" t="s">
        <v>1006</v>
      </c>
      <c r="J400" s="70"/>
      <c r="K400" s="70"/>
      <c r="L400" s="70"/>
      <c r="M400" s="70"/>
      <c r="N400" s="70"/>
      <c r="O400" s="70"/>
      <c r="P400" s="70"/>
    </row>
    <row r="401" spans="1:16" hidden="1" outlineLevel="1" x14ac:dyDescent="0.3">
      <c r="A401" s="63" t="s">
        <v>447</v>
      </c>
      <c r="B401" s="63" t="s">
        <v>855</v>
      </c>
      <c r="C401" s="63" t="str">
        <f t="shared" si="6"/>
        <v>City of West Sacramento</v>
      </c>
      <c r="D401" s="471">
        <f>(IFERROR(SUMIFS(uwmp_table_4_2_w!I$2:I$9900,uwmp_table_4_2_w!$G$2:$G$9900,"Commercial",uwmp_table_4_2_w!$B$2:$B$9900,'Contractor Assumptions'!$F10),0) + IFERROR(SUMIFS(uwmp_table_4_2_r!I$2:I$9900,uwmp_table_4_2_r!$G$2:$G$9900,"Commercial",uwmp_table_4_2_r!$B$2:$B$9900,'Contractor Assumptions'!$F10),0) + IFERROR(SUMIFS(uwmp_table_4_2_w!I$2:I$9900,uwmp_table_4_2_w!$G$2:$G$9900,"Institutional/Governmental",uwmp_table_4_2_w!$B$2:$B$9900,'Contractor Assumptions'!$F10),0) + IFERROR(SUMIFS(uwmp_table_4_2_r!I$2:I$9900,uwmp_table_4_2_r!$G$2:$G$9900,"Institutional/Governmental",uwmp_table_4_2_r!$B$2:$B$9900,'Contractor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E401" s="471">
        <f>(IFERROR(SUMIFS(uwmp_table_4_2_w!J$2:J$9900,uwmp_table_4_2_w!$G$2:$G$9900,"Commercial",uwmp_table_4_2_w!$B$2:$B$9900,'Contractor Assumptions'!$F10),0) + IFERROR(SUMIFS(uwmp_table_4_2_r!J$2:J$9900,uwmp_table_4_2_r!$G$2:$G$9900,"Commercial",uwmp_table_4_2_r!$B$2:$B$9900,'Contractor Assumptions'!$F10),0) + IFERROR(SUMIFS(uwmp_table_4_2_w!J$2:J$9900,uwmp_table_4_2_w!$G$2:$G$9900,"Institutional/Governmental",uwmp_table_4_2_w!$B$2:$B$9900,'Contractor Assumptions'!$F10),0) + IFERROR(SUMIFS(uwmp_table_4_2_r!J$2:J$9900,uwmp_table_4_2_r!$G$2:$G$9900,"Institutional/Governmental",uwmp_table_4_2_r!$B$2:$B$9900,'Contractor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F401" s="471">
        <f>(IFERROR(SUMIFS(uwmp_table_4_2_w!K$2:K$9900,uwmp_table_4_2_w!$G$2:$G$9900,"Commercial",uwmp_table_4_2_w!$B$2:$B$9900,'Contractor Assumptions'!$F10),0) + IFERROR(SUMIFS(uwmp_table_4_2_r!K$2:K$9900,uwmp_table_4_2_r!$G$2:$G$9900,"Commercial",uwmp_table_4_2_r!$B$2:$B$9900,'Contractor Assumptions'!$F10),0) + IFERROR(SUMIFS(uwmp_table_4_2_w!K$2:K$9900,uwmp_table_4_2_w!$G$2:$G$9900,"Institutional/Governmental",uwmp_table_4_2_w!$B$2:$B$9900,'Contractor Assumptions'!$F10),0) + IFERROR(SUMIFS(uwmp_table_4_2_r!K$2:K$9900,uwmp_table_4_2_r!$G$2:$G$9900,"Institutional/Governmental",uwmp_table_4_2_r!$B$2:$B$9900,'Contractor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G401" s="471">
        <f>(IFERROR(SUMIFS(uwmp_table_4_2_w!L$2:L$9900,uwmp_table_4_2_w!$G$2:$G$9900,"Commercial",uwmp_table_4_2_w!$B$2:$B$9900,'Contractor Assumptions'!$F10),0) + IFERROR(SUMIFS(uwmp_table_4_2_r!L$2:L$9900,uwmp_table_4_2_r!$G$2:$G$9900,"Commercial",uwmp_table_4_2_r!$B$2:$B$9900,'Contractor Assumptions'!$F10),0) + IFERROR(SUMIFS(uwmp_table_4_2_w!L$2:L$9900,uwmp_table_4_2_w!$G$2:$G$9900,"Institutional/Governmental",uwmp_table_4_2_w!$B$2:$B$9900,'Contractor Assumptions'!$F10),0) + IFERROR(SUMIFS(uwmp_table_4_2_r!L$2:L$9900,uwmp_table_4_2_r!$G$2:$G$9900,"Institutional/Governmental",uwmp_table_4_2_r!$B$2:$B$9900,'Contractor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H401" s="518">
        <f>(IFERROR(SUMIFS(uwmp_table_4_2_w!M$2:M$9900,uwmp_table_4_2_w!$G$2:$G$9900,"Commercial",uwmp_table_4_2_w!$B$2:$B$9900,'Contractor Assumptions'!$F10),0) + IFERROR(SUMIFS(uwmp_table_4_2_r!M$2:M$9900,uwmp_table_4_2_r!$G$2:$G$9900,"Commercial",uwmp_table_4_2_r!$B$2:$B$9900,'Contractor Assumptions'!$F10),0) + IFERROR(SUMIFS(uwmp_table_4_2_w!M$2:M$9900,uwmp_table_4_2_w!$G$2:$G$9900,"Institutional/Governmental",uwmp_table_4_2_w!$B$2:$B$9900,'Contractor Assumptions'!$F10),0) + IFERROR(SUMIFS(uwmp_table_4_2_r!M$2:M$9900,uwmp_table_4_2_r!$G$2:$G$9900,"Institutional/Governmental",uwmp_table_4_2_r!$B$2:$B$9900,'Contractor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I401" s="63"/>
      <c r="J401" s="70"/>
      <c r="K401" s="70"/>
      <c r="L401" s="70"/>
      <c r="M401" s="70"/>
      <c r="N401" s="70"/>
      <c r="O401" s="70"/>
      <c r="P401" s="70"/>
    </row>
    <row r="402" spans="1:16" hidden="1" outlineLevel="1" x14ac:dyDescent="0.3">
      <c r="A402" s="63" t="s">
        <v>447</v>
      </c>
      <c r="B402" s="63" t="s">
        <v>855</v>
      </c>
      <c r="C402" s="63" t="str">
        <f t="shared" si="6"/>
        <v>Yuba City</v>
      </c>
      <c r="D402" s="471">
        <f>1540+80</f>
        <v>1620</v>
      </c>
      <c r="E402" s="471">
        <f>1540+180</f>
        <v>1720</v>
      </c>
      <c r="F402" s="471">
        <f>1540+290</f>
        <v>1830</v>
      </c>
      <c r="G402" s="471">
        <f>1540+440</f>
        <v>1980</v>
      </c>
      <c r="H402" s="518">
        <f>1540+590</f>
        <v>2130</v>
      </c>
      <c r="I402" s="66" t="str">
        <f>I356</f>
        <v>2020 UWMP Table 4-9 (Yuba City, 2021)</v>
      </c>
      <c r="J402" s="70"/>
      <c r="K402" s="70"/>
      <c r="L402" s="70"/>
      <c r="M402" s="70"/>
      <c r="N402" s="70"/>
      <c r="O402" s="70"/>
      <c r="P402" s="70"/>
    </row>
    <row r="403" spans="1:16" hidden="1" outlineLevel="1" x14ac:dyDescent="0.3">
      <c r="A403" s="63" t="s">
        <v>447</v>
      </c>
      <c r="B403" s="63" t="s">
        <v>855</v>
      </c>
      <c r="C403" s="63" t="str">
        <f t="shared" si="6"/>
        <v>El Dorado Irrigation District</v>
      </c>
      <c r="D403" s="471">
        <f>2320+990</f>
        <v>3310</v>
      </c>
      <c r="E403" s="471">
        <f t="shared" ref="E403:H403" si="7">2320+990</f>
        <v>3310</v>
      </c>
      <c r="F403" s="471">
        <f t="shared" si="7"/>
        <v>3310</v>
      </c>
      <c r="G403" s="471">
        <f t="shared" si="7"/>
        <v>3310</v>
      </c>
      <c r="H403" s="518">
        <f t="shared" si="7"/>
        <v>3310</v>
      </c>
      <c r="I403" s="66" t="str">
        <f>I357</f>
        <v>2020 UWMP Table 4-11 (El Dorado Irrigation District, 2021)</v>
      </c>
      <c r="J403" s="70"/>
      <c r="K403" s="70"/>
      <c r="L403" s="70"/>
      <c r="M403" s="70"/>
      <c r="N403" s="70"/>
      <c r="O403" s="70"/>
      <c r="P403" s="70"/>
    </row>
    <row r="404" spans="1:16" hidden="1" outlineLevel="1" x14ac:dyDescent="0.3">
      <c r="A404" s="63" t="s">
        <v>447</v>
      </c>
      <c r="B404" s="63" t="s">
        <v>855</v>
      </c>
      <c r="C404" s="63" t="str">
        <f t="shared" si="6"/>
        <v>Napa County Flood Control &amp; Water Conservation District</v>
      </c>
      <c r="D404" s="471" t="s">
        <v>204</v>
      </c>
      <c r="E404" s="471" t="s">
        <v>204</v>
      </c>
      <c r="F404" s="471" t="s">
        <v>204</v>
      </c>
      <c r="G404" s="471" t="s">
        <v>204</v>
      </c>
      <c r="H404" s="518" t="s">
        <v>204</v>
      </c>
      <c r="I404" s="63"/>
      <c r="J404" s="70"/>
      <c r="K404" s="70"/>
      <c r="L404" s="70"/>
      <c r="M404" s="70"/>
      <c r="N404" s="70"/>
      <c r="O404" s="70"/>
      <c r="P404" s="70"/>
    </row>
    <row r="405" spans="1:16" hidden="1" outlineLevel="1" x14ac:dyDescent="0.3">
      <c r="A405" s="63" t="s">
        <v>447</v>
      </c>
      <c r="B405" s="63" t="s">
        <v>855</v>
      </c>
      <c r="C405" s="63" t="str">
        <f t="shared" si="6"/>
        <v>Placer County Water Agency</v>
      </c>
      <c r="D405" s="471">
        <f>(IFERROR(SUMIFS(uwmp_table_4_2_w!I$2:I$9900,uwmp_table_4_2_w!$G$2:$G$9900,"Commercial",uwmp_table_4_2_w!$B$2:$B$9900,'Contractor Assumptions'!$F14),0) + IFERROR(SUMIFS(uwmp_table_4_2_r!I$2:I$9900,uwmp_table_4_2_r!$G$2:$G$9900,"Commercial",uwmp_table_4_2_r!$B$2:$B$9900,'Contractor Assumptions'!$F14),0) + IFERROR(SUMIFS(uwmp_table_4_2_w!I$2:I$9900,uwmp_table_4_2_w!$G$2:$G$9900,"Institutional/Governmental",uwmp_table_4_2_w!$B$2:$B$9900,'Contractor Assumptions'!$F14),0) + IFERROR(SUMIFS(uwmp_table_4_2_r!I$2:I$9900,uwmp_table_4_2_r!$G$2:$G$9900,"Institutional/Governmental",uwmp_table_4_2_r!$B$2:$B$9900,'Contractor Assumptions'!$F14),0))*IFERROR(VLOOKUP(VLOOKUP('Contractor Assumptions'!$F14,uwmp_table_4_2_r!$B$2:$N$9900,13,FALSE),$A$11:$C$13,2,FALSE), VLOOKUP(VLOOKUP('Contractor Assumptions'!$F14,uwmp_table_4_2_w!$B$2:$N$9900,14,FALSE),$A$11:$C$13,2,FALSE))</f>
        <v>4338</v>
      </c>
      <c r="E405" s="471">
        <f>(IFERROR(SUMIFS(uwmp_table_4_2_w!J$2:J$9900,uwmp_table_4_2_w!$G$2:$G$9900,"Commercial",uwmp_table_4_2_w!$B$2:$B$9900,'Contractor Assumptions'!$F14),0) + IFERROR(SUMIFS(uwmp_table_4_2_r!J$2:J$9900,uwmp_table_4_2_r!$G$2:$G$9900,"Commercial",uwmp_table_4_2_r!$B$2:$B$9900,'Contractor Assumptions'!$F14),0) + IFERROR(SUMIFS(uwmp_table_4_2_w!J$2:J$9900,uwmp_table_4_2_w!$G$2:$G$9900,"Institutional/Governmental",uwmp_table_4_2_w!$B$2:$B$9900,'Contractor Assumptions'!$F14),0) + IFERROR(SUMIFS(uwmp_table_4_2_r!J$2:J$9900,uwmp_table_4_2_r!$G$2:$G$9900,"Institutional/Governmental",uwmp_table_4_2_r!$B$2:$B$9900,'Contractor Assumptions'!$F14),0))*IFERROR(VLOOKUP(VLOOKUP('Contractor Assumptions'!$F14,uwmp_table_4_2_r!$B$2:$N$9900,13,FALSE),$A$11:$C$13,2,FALSE), VLOOKUP(VLOOKUP('Contractor Assumptions'!$F14,uwmp_table_4_2_w!$B$2:$N$9900,14,FALSE),$A$11:$C$13,2,FALSE))</f>
        <v>4993</v>
      </c>
      <c r="F405" s="471">
        <f>(IFERROR(SUMIFS(uwmp_table_4_2_w!K$2:K$9900,uwmp_table_4_2_w!$G$2:$G$9900,"Commercial",uwmp_table_4_2_w!$B$2:$B$9900,'Contractor Assumptions'!$F14),0) + IFERROR(SUMIFS(uwmp_table_4_2_r!K$2:K$9900,uwmp_table_4_2_r!$G$2:$G$9900,"Commercial",uwmp_table_4_2_r!$B$2:$B$9900,'Contractor Assumptions'!$F14),0) + IFERROR(SUMIFS(uwmp_table_4_2_w!K$2:K$9900,uwmp_table_4_2_w!$G$2:$G$9900,"Institutional/Governmental",uwmp_table_4_2_w!$B$2:$B$9900,'Contractor Assumptions'!$F14),0) + IFERROR(SUMIFS(uwmp_table_4_2_r!K$2:K$9900,uwmp_table_4_2_r!$G$2:$G$9900,"Institutional/Governmental",uwmp_table_4_2_r!$B$2:$B$9900,'Contractor Assumptions'!$F14),0))*IFERROR(VLOOKUP(VLOOKUP('Contractor Assumptions'!$F14,uwmp_table_4_2_r!$B$2:$N$9900,13,FALSE),$A$11:$C$13,2,FALSE), VLOOKUP(VLOOKUP('Contractor Assumptions'!$F14,uwmp_table_4_2_w!$B$2:$N$9900,14,FALSE),$A$11:$C$13,2,FALSE))</f>
        <v>5747</v>
      </c>
      <c r="G405" s="471">
        <f>(IFERROR(SUMIFS(uwmp_table_4_2_w!L$2:L$9900,uwmp_table_4_2_w!$G$2:$G$9900,"Commercial",uwmp_table_4_2_w!$B$2:$B$9900,'Contractor Assumptions'!$F14),0) + IFERROR(SUMIFS(uwmp_table_4_2_r!L$2:L$9900,uwmp_table_4_2_r!$G$2:$G$9900,"Commercial",uwmp_table_4_2_r!$B$2:$B$9900,'Contractor Assumptions'!$F14),0) + IFERROR(SUMIFS(uwmp_table_4_2_w!L$2:L$9900,uwmp_table_4_2_w!$G$2:$G$9900,"Institutional/Governmental",uwmp_table_4_2_w!$B$2:$B$9900,'Contractor Assumptions'!$F14),0) + IFERROR(SUMIFS(uwmp_table_4_2_r!L$2:L$9900,uwmp_table_4_2_r!$G$2:$G$9900,"Institutional/Governmental",uwmp_table_4_2_r!$B$2:$B$9900,'Contractor Assumptions'!$F14),0))*IFERROR(VLOOKUP(VLOOKUP('Contractor Assumptions'!$F14,uwmp_table_4_2_r!$B$2:$N$9900,13,FALSE),$A$11:$C$13,2,FALSE), VLOOKUP(VLOOKUP('Contractor Assumptions'!$F14,uwmp_table_4_2_w!$B$2:$N$9900,14,FALSE),$A$11:$C$13,2,FALSE))</f>
        <v>6618</v>
      </c>
      <c r="H405" s="518">
        <f>102+62+5173+1652</f>
        <v>6989</v>
      </c>
      <c r="I405" s="66" t="s">
        <v>1009</v>
      </c>
      <c r="J405" s="70"/>
      <c r="K405" s="70"/>
      <c r="L405" s="70"/>
      <c r="M405" s="70"/>
      <c r="N405" s="70"/>
      <c r="O405" s="70"/>
      <c r="P405" s="70"/>
    </row>
    <row r="406" spans="1:16" hidden="1" outlineLevel="1" x14ac:dyDescent="0.3">
      <c r="A406" s="63" t="s">
        <v>447</v>
      </c>
      <c r="B406" s="63" t="s">
        <v>855</v>
      </c>
      <c r="C406" s="63" t="str">
        <f t="shared" si="6"/>
        <v>Sacramento County Water Agency</v>
      </c>
      <c r="D406" s="471">
        <f>1462+607+767+491+978+ 1029 + 5+9+1</f>
        <v>5349</v>
      </c>
      <c r="E406" s="471">
        <f>1462+607 + 1534 +491+978+ 2059 + 5+9+1</f>
        <v>7146</v>
      </c>
      <c r="F406" s="471">
        <f>1462+607 + 2301 +491+978+ 3088 + 5+9+1</f>
        <v>8942</v>
      </c>
      <c r="G406" s="471">
        <f>1462+607 + 2999 +491+978+ 4118 + 5+9+1</f>
        <v>10670</v>
      </c>
      <c r="H406" s="518">
        <f>1462+607 + 3697 +491+978+ 5147 + 5+9+1</f>
        <v>12397</v>
      </c>
      <c r="I406" s="66" t="s">
        <v>1010</v>
      </c>
      <c r="J406" s="70"/>
      <c r="K406" s="70"/>
      <c r="L406" s="70"/>
      <c r="M406" s="70"/>
      <c r="N406" s="70"/>
      <c r="O406" s="70"/>
      <c r="P406" s="70"/>
    </row>
    <row r="407" spans="1:16" hidden="1" outlineLevel="1" x14ac:dyDescent="0.3">
      <c r="A407" s="63" t="s">
        <v>447</v>
      </c>
      <c r="B407" s="63" t="s">
        <v>855</v>
      </c>
      <c r="C407" s="63" t="str">
        <f t="shared" si="6"/>
        <v>San Juan Water District</v>
      </c>
      <c r="D407" s="471">
        <v>2461</v>
      </c>
      <c r="E407" s="471">
        <v>2495</v>
      </c>
      <c r="F407" s="471">
        <v>2539</v>
      </c>
      <c r="G407" s="471">
        <v>2575</v>
      </c>
      <c r="H407" s="518">
        <v>2602</v>
      </c>
      <c r="I407" s="66" t="s">
        <v>1011</v>
      </c>
      <c r="J407" s="70"/>
      <c r="K407" s="70"/>
      <c r="L407" s="70"/>
      <c r="M407" s="70"/>
      <c r="N407" s="70"/>
      <c r="O407" s="70"/>
      <c r="P407" s="70"/>
    </row>
    <row r="408" spans="1:16" hidden="1" outlineLevel="1" x14ac:dyDescent="0.3">
      <c r="A408" s="63" t="s">
        <v>447</v>
      </c>
      <c r="B408" s="63" t="s">
        <v>855</v>
      </c>
      <c r="C408" s="63" t="str">
        <f t="shared" si="6"/>
        <v>Shasta Contractors</v>
      </c>
      <c r="D408" s="471" t="s">
        <v>204</v>
      </c>
      <c r="E408" s="471" t="s">
        <v>204</v>
      </c>
      <c r="F408" s="471" t="s">
        <v>204</v>
      </c>
      <c r="G408" s="471" t="s">
        <v>204</v>
      </c>
      <c r="H408" s="518" t="s">
        <v>204</v>
      </c>
      <c r="I408" s="63"/>
      <c r="J408" s="70"/>
      <c r="K408" s="70"/>
      <c r="L408" s="70"/>
      <c r="M408" s="70"/>
      <c r="N408" s="70"/>
      <c r="O408" s="70"/>
      <c r="P408" s="70"/>
    </row>
    <row r="409" spans="1:16" hidden="1" outlineLevel="1" x14ac:dyDescent="0.3">
      <c r="A409" s="63" t="s">
        <v>447</v>
      </c>
      <c r="B409" s="63" t="s">
        <v>855</v>
      </c>
      <c r="C409" s="63" t="str">
        <f t="shared" si="6"/>
        <v>Solano County Water Agency</v>
      </c>
      <c r="D409" s="471" t="s">
        <v>204</v>
      </c>
      <c r="E409" s="471" t="s">
        <v>204</v>
      </c>
      <c r="F409" s="471" t="s">
        <v>204</v>
      </c>
      <c r="G409" s="471" t="s">
        <v>204</v>
      </c>
      <c r="H409" s="518" t="s">
        <v>204</v>
      </c>
      <c r="I409" s="63"/>
      <c r="J409" s="70"/>
      <c r="K409" s="70"/>
      <c r="L409" s="70"/>
      <c r="M409" s="70"/>
      <c r="N409" s="70"/>
      <c r="O409" s="70"/>
      <c r="P409" s="70"/>
    </row>
    <row r="410" spans="1:16" hidden="1" outlineLevel="1" x14ac:dyDescent="0.3">
      <c r="A410" s="63" t="s">
        <v>447</v>
      </c>
      <c r="B410" s="63" t="s">
        <v>894</v>
      </c>
      <c r="C410" s="63" t="str">
        <f t="shared" si="6"/>
        <v>City of Avenal</v>
      </c>
      <c r="D410" s="471" t="s">
        <v>204</v>
      </c>
      <c r="E410" s="471" t="s">
        <v>204</v>
      </c>
      <c r="F410" s="471" t="s">
        <v>204</v>
      </c>
      <c r="G410" s="471" t="s">
        <v>204</v>
      </c>
      <c r="H410" s="518" t="s">
        <v>204</v>
      </c>
      <c r="I410" s="63"/>
      <c r="J410" s="70"/>
      <c r="K410" s="70"/>
      <c r="L410" s="70"/>
      <c r="M410" s="70"/>
      <c r="N410" s="70"/>
      <c r="O410" s="70"/>
      <c r="P410" s="70"/>
    </row>
    <row r="411" spans="1:16" hidden="1" outlineLevel="1" x14ac:dyDescent="0.3">
      <c r="A411" s="63" t="s">
        <v>447</v>
      </c>
      <c r="B411" s="63" t="s">
        <v>894</v>
      </c>
      <c r="C411" s="63" t="str">
        <f t="shared" si="6"/>
        <v>City of Coalinga</v>
      </c>
      <c r="D411" s="471">
        <f>(IFERROR(SUMIFS(uwmp_table_4_2_w!I$2:I$9900,uwmp_table_4_2_w!$G$2:$G$9900,"Commercial",uwmp_table_4_2_w!$B$2:$B$9900,'Contractor Assumptions'!$F20),0) + IFERROR(SUMIFS(uwmp_table_4_2_r!I$2:I$9900,uwmp_table_4_2_r!$G$2:$G$9900,"Commercial",uwmp_table_4_2_r!$B$2:$B$9900,'Contractor Assumptions'!$F20),0) + IFERROR(SUMIFS(uwmp_table_4_2_w!I$2:I$9900,uwmp_table_4_2_w!$G$2:$G$9900,"Institutional/Governmental",uwmp_table_4_2_w!$B$2:$B$9900,'Contractor Assumptions'!$F20),0) + IFERROR(SUMIFS(uwmp_table_4_2_r!I$2:I$9900,uwmp_table_4_2_r!$G$2:$G$9900,"Institutional/Governmental",uwmp_table_4_2_r!$B$2:$B$9900,'Contractor Assumptions'!$F20),0))*IFERROR(VLOOKUP(VLOOKUP('Contractor Assumptions'!$F20,uwmp_table_4_2_r!$B$2:$N$9900,13,FALSE),$A$11:$C$13,2,FALSE), VLOOKUP(VLOOKUP('Contractor Assumptions'!$F20,uwmp_table_4_2_w!$B$2:$N$9900,14,FALSE),$A$11:$C$13,2,FALSE))</f>
        <v>2059.2237473499999</v>
      </c>
      <c r="E411" s="471">
        <f>(IFERROR(SUMIFS(uwmp_table_4_2_w!J$2:J$9900,uwmp_table_4_2_w!$G$2:$G$9900,"Commercial",uwmp_table_4_2_w!$B$2:$B$9900,'Contractor Assumptions'!$F20),0) + IFERROR(SUMIFS(uwmp_table_4_2_r!J$2:J$9900,uwmp_table_4_2_r!$G$2:$G$9900,"Commercial",uwmp_table_4_2_r!$B$2:$B$9900,'Contractor Assumptions'!$F20),0) + IFERROR(SUMIFS(uwmp_table_4_2_w!J$2:J$9900,uwmp_table_4_2_w!$G$2:$G$9900,"Institutional/Governmental",uwmp_table_4_2_w!$B$2:$B$9900,'Contractor Assumptions'!$F20),0) + IFERROR(SUMIFS(uwmp_table_4_2_r!J$2:J$9900,uwmp_table_4_2_r!$G$2:$G$9900,"Institutional/Governmental",uwmp_table_4_2_r!$B$2:$B$9900,'Contractor Assumptions'!$F20),0))*IFERROR(VLOOKUP(VLOOKUP('Contractor Assumptions'!$F20,uwmp_table_4_2_r!$B$2:$N$9900,13,FALSE),$A$11:$C$13,2,FALSE), VLOOKUP(VLOOKUP('Contractor Assumptions'!$F20,uwmp_table_4_2_w!$B$2:$N$9900,14,FALSE),$A$11:$C$13,2,FALSE))</f>
        <v>2338.4925416999999</v>
      </c>
      <c r="F411" s="471">
        <f>(IFERROR(SUMIFS(uwmp_table_4_2_w!K$2:K$9900,uwmp_table_4_2_w!$G$2:$G$9900,"Commercial",uwmp_table_4_2_w!$B$2:$B$9900,'Contractor Assumptions'!$F20),0) + IFERROR(SUMIFS(uwmp_table_4_2_r!K$2:K$9900,uwmp_table_4_2_r!$G$2:$G$9900,"Commercial",uwmp_table_4_2_r!$B$2:$B$9900,'Contractor Assumptions'!$F20),0) + IFERROR(SUMIFS(uwmp_table_4_2_w!K$2:K$9900,uwmp_table_4_2_w!$G$2:$G$9900,"Institutional/Governmental",uwmp_table_4_2_w!$B$2:$B$9900,'Contractor Assumptions'!$F20),0) + IFERROR(SUMIFS(uwmp_table_4_2_r!K$2:K$9900,uwmp_table_4_2_r!$G$2:$G$9900,"Institutional/Governmental",uwmp_table_4_2_r!$B$2:$B$9900,'Contractor Assumptions'!$F20),0))*IFERROR(VLOOKUP(VLOOKUP('Contractor Assumptions'!$F20,uwmp_table_4_2_r!$B$2:$N$9900,13,FALSE),$A$11:$C$13,2,FALSE), VLOOKUP(VLOOKUP('Contractor Assumptions'!$F20,uwmp_table_4_2_w!$B$2:$N$9900,14,FALSE),$A$11:$C$13,2,FALSE))</f>
        <v>2654.5879902500001</v>
      </c>
      <c r="G411" s="471">
        <f>(IFERROR(SUMIFS(uwmp_table_4_2_w!L$2:L$9900,uwmp_table_4_2_w!$G$2:$G$9900,"Commercial",uwmp_table_4_2_w!$B$2:$B$9900,'Contractor Assumptions'!$F20),0) + IFERROR(SUMIFS(uwmp_table_4_2_r!L$2:L$9900,uwmp_table_4_2_r!$G$2:$G$9900,"Commercial",uwmp_table_4_2_r!$B$2:$B$9900,'Contractor Assumptions'!$F20),0) + IFERROR(SUMIFS(uwmp_table_4_2_w!L$2:L$9900,uwmp_table_4_2_w!$G$2:$G$9900,"Institutional/Governmental",uwmp_table_4_2_w!$B$2:$B$9900,'Contractor Assumptions'!$F20),0) + IFERROR(SUMIFS(uwmp_table_4_2_r!L$2:L$9900,uwmp_table_4_2_r!$G$2:$G$9900,"Institutional/Governmental",uwmp_table_4_2_r!$B$2:$B$9900,'Contractor Assumptions'!$F20),0))*IFERROR(VLOOKUP(VLOOKUP('Contractor Assumptions'!$F20,uwmp_table_4_2_r!$B$2:$N$9900,13,FALSE),$A$11:$C$13,2,FALSE), VLOOKUP(VLOOKUP('Contractor Assumptions'!$F20,uwmp_table_4_2_w!$B$2:$N$9900,14,FALSE),$A$11:$C$13,2,FALSE))</f>
        <v>3013.6478686999999</v>
      </c>
      <c r="H411" s="518">
        <f>(IFERROR(SUMIFS(uwmp_table_4_2_w!M$2:M$9900,uwmp_table_4_2_w!$G$2:$G$9900,"Commercial",uwmp_table_4_2_w!$B$2:$B$9900,'Contractor Assumptions'!$F20),0) + IFERROR(SUMIFS(uwmp_table_4_2_r!M$2:M$9900,uwmp_table_4_2_r!$G$2:$G$9900,"Commercial",uwmp_table_4_2_r!$B$2:$B$9900,'Contractor Assumptions'!$F20),0) + IFERROR(SUMIFS(uwmp_table_4_2_w!M$2:M$9900,uwmp_table_4_2_w!$G$2:$G$9900,"Institutional/Governmental",uwmp_table_4_2_w!$B$2:$B$9900,'Contractor Assumptions'!$F20),0) + IFERROR(SUMIFS(uwmp_table_4_2_r!M$2:M$9900,uwmp_table_4_2_r!$G$2:$G$9900,"Institutional/Governmental",uwmp_table_4_2_r!$B$2:$B$9900,'Contractor Assumptions'!$F20),0))*IFERROR(VLOOKUP(VLOOKUP('Contractor Assumptions'!$F20,uwmp_table_4_2_r!$B$2:$N$9900,13,FALSE),$A$11:$C$13,2,FALSE), VLOOKUP(VLOOKUP('Contractor Assumptions'!$F20,uwmp_table_4_2_w!$B$2:$N$9900,14,FALSE),$A$11:$C$13,2,FALSE))</f>
        <v>0</v>
      </c>
      <c r="I411" s="63"/>
      <c r="J411" s="70"/>
      <c r="K411" s="70"/>
      <c r="L411" s="70"/>
      <c r="M411" s="70"/>
      <c r="N411" s="70"/>
      <c r="O411" s="70"/>
      <c r="P411" s="70"/>
    </row>
    <row r="412" spans="1:16" hidden="1" outlineLevel="1" x14ac:dyDescent="0.3">
      <c r="A412" s="63" t="s">
        <v>447</v>
      </c>
      <c r="B412" s="63" t="s">
        <v>894</v>
      </c>
      <c r="C412" s="63" t="str">
        <f t="shared" si="6"/>
        <v>City of Fresno</v>
      </c>
      <c r="D412" s="471">
        <f>(IFERROR(SUMIFS(uwmp_table_4_2_w!I$2:I$9900,uwmp_table_4_2_w!$G$2:$G$9900,"Commercial",uwmp_table_4_2_w!$B$2:$B$9900,'Contractor Assumptions'!$F21),0) + IFERROR(SUMIFS(uwmp_table_4_2_r!I$2:I$9900,uwmp_table_4_2_r!$G$2:$G$9900,"Commercial",uwmp_table_4_2_r!$B$2:$B$9900,'Contractor Assumptions'!$F21),0) + IFERROR(SUMIFS(uwmp_table_4_2_w!I$2:I$9900,uwmp_table_4_2_w!$G$2:$G$9900,"Institutional/Governmental",uwmp_table_4_2_w!$B$2:$B$9900,'Contractor Assumptions'!$F21),0) + IFERROR(SUMIFS(uwmp_table_4_2_r!I$2:I$9900,uwmp_table_4_2_r!$G$2:$G$9900,"Institutional/Governmental",uwmp_table_4_2_r!$B$2:$B$9900,'Contractor Assumptions'!$F21),0))*IFERROR(VLOOKUP(VLOOKUP('Contractor Assumptions'!$F21,uwmp_table_4_2_r!$B$2:$N$9900,13,FALSE),$A$11:$C$13,2,FALSE), VLOOKUP(VLOOKUP('Contractor Assumptions'!$F21,uwmp_table_4_2_w!$B$2:$N$9900,14,FALSE),$A$11:$C$13,2,FALSE))</f>
        <v>19052</v>
      </c>
      <c r="E412" s="471">
        <f>(IFERROR(SUMIFS(uwmp_table_4_2_w!J$2:J$9900,uwmp_table_4_2_w!$G$2:$G$9900,"Commercial",uwmp_table_4_2_w!$B$2:$B$9900,'Contractor Assumptions'!$F21),0) + IFERROR(SUMIFS(uwmp_table_4_2_r!J$2:J$9900,uwmp_table_4_2_r!$G$2:$G$9900,"Commercial",uwmp_table_4_2_r!$B$2:$B$9900,'Contractor Assumptions'!$F21),0) + IFERROR(SUMIFS(uwmp_table_4_2_w!J$2:J$9900,uwmp_table_4_2_w!$G$2:$G$9900,"Institutional/Governmental",uwmp_table_4_2_w!$B$2:$B$9900,'Contractor Assumptions'!$F21),0) + IFERROR(SUMIFS(uwmp_table_4_2_r!J$2:J$9900,uwmp_table_4_2_r!$G$2:$G$9900,"Institutional/Governmental",uwmp_table_4_2_r!$B$2:$B$9900,'Contractor Assumptions'!$F21),0))*IFERROR(VLOOKUP(VLOOKUP('Contractor Assumptions'!$F21,uwmp_table_4_2_r!$B$2:$N$9900,13,FALSE),$A$11:$C$13,2,FALSE), VLOOKUP(VLOOKUP('Contractor Assumptions'!$F21,uwmp_table_4_2_w!$B$2:$N$9900,14,FALSE),$A$11:$C$13,2,FALSE))</f>
        <v>21135</v>
      </c>
      <c r="F412" s="471">
        <f>(IFERROR(SUMIFS(uwmp_table_4_2_w!K$2:K$9900,uwmp_table_4_2_w!$G$2:$G$9900,"Commercial",uwmp_table_4_2_w!$B$2:$B$9900,'Contractor Assumptions'!$F21),0) + IFERROR(SUMIFS(uwmp_table_4_2_r!K$2:K$9900,uwmp_table_4_2_r!$G$2:$G$9900,"Commercial",uwmp_table_4_2_r!$B$2:$B$9900,'Contractor Assumptions'!$F21),0) + IFERROR(SUMIFS(uwmp_table_4_2_w!K$2:K$9900,uwmp_table_4_2_w!$G$2:$G$9900,"Institutional/Governmental",uwmp_table_4_2_w!$B$2:$B$9900,'Contractor Assumptions'!$F21),0) + IFERROR(SUMIFS(uwmp_table_4_2_r!K$2:K$9900,uwmp_table_4_2_r!$G$2:$G$9900,"Institutional/Governmental",uwmp_table_4_2_r!$B$2:$B$9900,'Contractor Assumptions'!$F21),0))*IFERROR(VLOOKUP(VLOOKUP('Contractor Assumptions'!$F21,uwmp_table_4_2_r!$B$2:$N$9900,13,FALSE),$A$11:$C$13,2,FALSE), VLOOKUP(VLOOKUP('Contractor Assumptions'!$F21,uwmp_table_4_2_w!$B$2:$N$9900,14,FALSE),$A$11:$C$13,2,FALSE))</f>
        <v>22587</v>
      </c>
      <c r="G412" s="471">
        <f>(IFERROR(SUMIFS(uwmp_table_4_2_w!L$2:L$9900,uwmp_table_4_2_w!$G$2:$G$9900,"Commercial",uwmp_table_4_2_w!$B$2:$B$9900,'Contractor Assumptions'!$F21),0) + IFERROR(SUMIFS(uwmp_table_4_2_r!L$2:L$9900,uwmp_table_4_2_r!$G$2:$G$9900,"Commercial",uwmp_table_4_2_r!$B$2:$B$9900,'Contractor Assumptions'!$F21),0) + IFERROR(SUMIFS(uwmp_table_4_2_w!L$2:L$9900,uwmp_table_4_2_w!$G$2:$G$9900,"Institutional/Governmental",uwmp_table_4_2_w!$B$2:$B$9900,'Contractor Assumptions'!$F21),0) + IFERROR(SUMIFS(uwmp_table_4_2_r!L$2:L$9900,uwmp_table_4_2_r!$G$2:$G$9900,"Institutional/Governmental",uwmp_table_4_2_r!$B$2:$B$9900,'Contractor Assumptions'!$F21),0))*IFERROR(VLOOKUP(VLOOKUP('Contractor Assumptions'!$F21,uwmp_table_4_2_r!$B$2:$N$9900,13,FALSE),$A$11:$C$13,2,FALSE), VLOOKUP(VLOOKUP('Contractor Assumptions'!$F21,uwmp_table_4_2_w!$B$2:$N$9900,14,FALSE),$A$11:$C$13,2,FALSE))</f>
        <v>24041</v>
      </c>
      <c r="H412" s="518">
        <f>(IFERROR(SUMIFS(uwmp_table_4_2_w!M$2:M$9900,uwmp_table_4_2_w!$G$2:$G$9900,"Commercial",uwmp_table_4_2_w!$B$2:$B$9900,'Contractor Assumptions'!$F21),0) + IFERROR(SUMIFS(uwmp_table_4_2_r!M$2:M$9900,uwmp_table_4_2_r!$G$2:$G$9900,"Commercial",uwmp_table_4_2_r!$B$2:$B$9900,'Contractor Assumptions'!$F21),0) + IFERROR(SUMIFS(uwmp_table_4_2_w!M$2:M$9900,uwmp_table_4_2_w!$G$2:$G$9900,"Institutional/Governmental",uwmp_table_4_2_w!$B$2:$B$9900,'Contractor Assumptions'!$F21),0) + IFERROR(SUMIFS(uwmp_table_4_2_r!M$2:M$9900,uwmp_table_4_2_r!$G$2:$G$9900,"Institutional/Governmental",uwmp_table_4_2_r!$B$2:$B$9900,'Contractor Assumptions'!$F21),0))*IFERROR(VLOOKUP(VLOOKUP('Contractor Assumptions'!$F21,uwmp_table_4_2_r!$B$2:$N$9900,13,FALSE),$A$11:$C$13,2,FALSE), VLOOKUP(VLOOKUP('Contractor Assumptions'!$F21,uwmp_table_4_2_w!$B$2:$N$9900,14,FALSE),$A$11:$C$13,2,FALSE))</f>
        <v>25496</v>
      </c>
      <c r="I412" s="63"/>
      <c r="J412" s="70"/>
      <c r="K412" s="70"/>
      <c r="L412" s="70"/>
      <c r="M412" s="70"/>
      <c r="N412" s="70"/>
      <c r="O412" s="70"/>
      <c r="P412" s="70"/>
    </row>
    <row r="413" spans="1:16" hidden="1" outlineLevel="1" x14ac:dyDescent="0.3">
      <c r="A413" s="63" t="s">
        <v>447</v>
      </c>
      <c r="B413" s="63" t="s">
        <v>894</v>
      </c>
      <c r="C413" s="63" t="str">
        <f t="shared" si="6"/>
        <v>City of Huron</v>
      </c>
      <c r="D413" s="471" t="s">
        <v>204</v>
      </c>
      <c r="E413" s="471" t="s">
        <v>204</v>
      </c>
      <c r="F413" s="471" t="s">
        <v>204</v>
      </c>
      <c r="G413" s="471" t="s">
        <v>204</v>
      </c>
      <c r="H413" s="518" t="s">
        <v>204</v>
      </c>
      <c r="I413" s="63"/>
      <c r="J413" s="70"/>
      <c r="K413" s="70"/>
      <c r="L413" s="70"/>
      <c r="M413" s="70"/>
      <c r="N413" s="70"/>
      <c r="O413" s="70"/>
      <c r="P413" s="70"/>
    </row>
    <row r="414" spans="1:16" hidden="1" outlineLevel="1" x14ac:dyDescent="0.3">
      <c r="A414" s="63" t="s">
        <v>447</v>
      </c>
      <c r="B414" s="63" t="s">
        <v>894</v>
      </c>
      <c r="C414" s="63" t="str">
        <f t="shared" si="6"/>
        <v>City of Lindsay</v>
      </c>
      <c r="D414" s="471" t="s">
        <v>204</v>
      </c>
      <c r="E414" s="471" t="s">
        <v>204</v>
      </c>
      <c r="F414" s="471" t="s">
        <v>204</v>
      </c>
      <c r="G414" s="471" t="s">
        <v>204</v>
      </c>
      <c r="H414" s="518" t="s">
        <v>204</v>
      </c>
      <c r="I414" s="63"/>
      <c r="J414" s="70"/>
      <c r="K414" s="70"/>
      <c r="L414" s="70"/>
      <c r="M414" s="70"/>
      <c r="N414" s="70"/>
      <c r="O414" s="70"/>
      <c r="P414" s="70"/>
    </row>
    <row r="415" spans="1:16" hidden="1" outlineLevel="1" x14ac:dyDescent="0.3">
      <c r="A415" s="63" t="s">
        <v>447</v>
      </c>
      <c r="B415" s="63" t="s">
        <v>894</v>
      </c>
      <c r="C415" s="63" t="str">
        <f t="shared" si="6"/>
        <v>City of Orange Cove</v>
      </c>
      <c r="D415" s="471" t="s">
        <v>204</v>
      </c>
      <c r="E415" s="471" t="s">
        <v>204</v>
      </c>
      <c r="F415" s="471" t="s">
        <v>204</v>
      </c>
      <c r="G415" s="471" t="s">
        <v>204</v>
      </c>
      <c r="H415" s="518" t="s">
        <v>204</v>
      </c>
      <c r="I415" s="63"/>
      <c r="J415" s="70"/>
      <c r="K415" s="70"/>
      <c r="L415" s="70"/>
      <c r="M415" s="70"/>
      <c r="N415" s="70"/>
      <c r="O415" s="70"/>
      <c r="P415" s="70"/>
    </row>
    <row r="416" spans="1:16" hidden="1" outlineLevel="1" x14ac:dyDescent="0.3">
      <c r="A416" s="63" t="s">
        <v>447</v>
      </c>
      <c r="B416" s="63" t="s">
        <v>894</v>
      </c>
      <c r="C416" s="63" t="str">
        <f t="shared" si="6"/>
        <v>City of Tracy</v>
      </c>
      <c r="D416" s="471">
        <f>(IFERROR(SUMIFS(uwmp_table_4_2_w!I$2:I$9900,uwmp_table_4_2_w!$G$2:$G$9900,"Commercial",uwmp_table_4_2_w!$B$2:$B$9900,'Contractor Assumptions'!$F25),0) + IFERROR(SUMIFS(uwmp_table_4_2_r!I$2:I$9900,uwmp_table_4_2_r!$G$2:$G$9900,"Commercial",uwmp_table_4_2_r!$B$2:$B$9900,'Contractor Assumptions'!$F25),0) + IFERROR(SUMIFS(uwmp_table_4_2_w!I$2:I$9900,uwmp_table_4_2_w!$G$2:$G$9900,"Institutional/Governmental",uwmp_table_4_2_w!$B$2:$B$9900,'Contractor Assumptions'!$F25),0) + IFERROR(SUMIFS(uwmp_table_4_2_r!I$2:I$9900,uwmp_table_4_2_r!$G$2:$G$9900,"Institutional/Governmental",uwmp_table_4_2_r!$B$2:$B$9900,'Contractor Assumptions'!$F25),0))*IFERROR(VLOOKUP(VLOOKUP('Contractor Assumptions'!$F25,uwmp_table_4_2_r!$B$2:$N$9900,13,FALSE),$A$11:$C$13,2,FALSE), VLOOKUP(VLOOKUP('Contractor Assumptions'!$F25,uwmp_table_4_2_w!$B$2:$N$9900,14,FALSE),$A$11:$C$13,2,FALSE))</f>
        <v>2502.87</v>
      </c>
      <c r="E416" s="471">
        <f>(IFERROR(SUMIFS(uwmp_table_4_2_w!J$2:J$9900,uwmp_table_4_2_w!$G$2:$G$9900,"Commercial",uwmp_table_4_2_w!$B$2:$B$9900,'Contractor Assumptions'!$F25),0) + IFERROR(SUMIFS(uwmp_table_4_2_r!J$2:J$9900,uwmp_table_4_2_r!$G$2:$G$9900,"Commercial",uwmp_table_4_2_r!$B$2:$B$9900,'Contractor Assumptions'!$F25),0) + IFERROR(SUMIFS(uwmp_table_4_2_w!J$2:J$9900,uwmp_table_4_2_w!$G$2:$G$9900,"Institutional/Governmental",uwmp_table_4_2_w!$B$2:$B$9900,'Contractor Assumptions'!$F25),0) + IFERROR(SUMIFS(uwmp_table_4_2_r!J$2:J$9900,uwmp_table_4_2_r!$G$2:$G$9900,"Institutional/Governmental",uwmp_table_4_2_r!$B$2:$B$9900,'Contractor Assumptions'!$F25),0))*IFERROR(VLOOKUP(VLOOKUP('Contractor Assumptions'!$F25,uwmp_table_4_2_r!$B$2:$N$9900,13,FALSE),$A$11:$C$13,2,FALSE), VLOOKUP(VLOOKUP('Contractor Assumptions'!$F25,uwmp_table_4_2_w!$B$2:$N$9900,14,FALSE),$A$11:$C$13,2,FALSE))</f>
        <v>2853.76</v>
      </c>
      <c r="F416" s="471">
        <f>(IFERROR(SUMIFS(uwmp_table_4_2_w!K$2:K$9900,uwmp_table_4_2_w!$G$2:$G$9900,"Commercial",uwmp_table_4_2_w!$B$2:$B$9900,'Contractor Assumptions'!$F25),0) + IFERROR(SUMIFS(uwmp_table_4_2_r!K$2:K$9900,uwmp_table_4_2_r!$G$2:$G$9900,"Commercial",uwmp_table_4_2_r!$B$2:$B$9900,'Contractor Assumptions'!$F25),0) + IFERROR(SUMIFS(uwmp_table_4_2_w!K$2:K$9900,uwmp_table_4_2_w!$G$2:$G$9900,"Institutional/Governmental",uwmp_table_4_2_w!$B$2:$B$9900,'Contractor Assumptions'!$F25),0) + IFERROR(SUMIFS(uwmp_table_4_2_r!K$2:K$9900,uwmp_table_4_2_r!$G$2:$G$9900,"Institutional/Governmental",uwmp_table_4_2_r!$B$2:$B$9900,'Contractor Assumptions'!$F25),0))*IFERROR(VLOOKUP(VLOOKUP('Contractor Assumptions'!$F25,uwmp_table_4_2_r!$B$2:$N$9900,13,FALSE),$A$11:$C$13,2,FALSE), VLOOKUP(VLOOKUP('Contractor Assumptions'!$F25,uwmp_table_4_2_w!$B$2:$N$9900,14,FALSE),$A$11:$C$13,2,FALSE))</f>
        <v>3209.8</v>
      </c>
      <c r="G416" s="471">
        <f>(IFERROR(SUMIFS(uwmp_table_4_2_w!L$2:L$9900,uwmp_table_4_2_w!$G$2:$G$9900,"Commercial",uwmp_table_4_2_w!$B$2:$B$9900,'Contractor Assumptions'!$F25),0) + IFERROR(SUMIFS(uwmp_table_4_2_r!L$2:L$9900,uwmp_table_4_2_r!$G$2:$G$9900,"Commercial",uwmp_table_4_2_r!$B$2:$B$9900,'Contractor Assumptions'!$F25),0) + IFERROR(SUMIFS(uwmp_table_4_2_w!L$2:L$9900,uwmp_table_4_2_w!$G$2:$G$9900,"Institutional/Governmental",uwmp_table_4_2_w!$B$2:$B$9900,'Contractor Assumptions'!$F25),0) + IFERROR(SUMIFS(uwmp_table_4_2_r!L$2:L$9900,uwmp_table_4_2_r!$G$2:$G$9900,"Institutional/Governmental",uwmp_table_4_2_r!$B$2:$B$9900,'Contractor Assumptions'!$F25),0))*IFERROR(VLOOKUP(VLOOKUP('Contractor Assumptions'!$F25,uwmp_table_4_2_r!$B$2:$N$9900,13,FALSE),$A$11:$C$13,2,FALSE), VLOOKUP(VLOOKUP('Contractor Assumptions'!$F25,uwmp_table_4_2_w!$B$2:$N$9900,14,FALSE),$A$11:$C$13,2,FALSE))</f>
        <v>3569.06</v>
      </c>
      <c r="H416" s="518">
        <f>(IFERROR(SUMIFS(uwmp_table_4_2_w!M$2:M$9900,uwmp_table_4_2_w!$G$2:$G$9900,"Commercial",uwmp_table_4_2_w!$B$2:$B$9900,'Contractor Assumptions'!$F25),0) + IFERROR(SUMIFS(uwmp_table_4_2_r!M$2:M$9900,uwmp_table_4_2_r!$G$2:$G$9900,"Commercial",uwmp_table_4_2_r!$B$2:$B$9900,'Contractor Assumptions'!$F25),0) + IFERROR(SUMIFS(uwmp_table_4_2_w!M$2:M$9900,uwmp_table_4_2_w!$G$2:$G$9900,"Institutional/Governmental",uwmp_table_4_2_w!$B$2:$B$9900,'Contractor Assumptions'!$F25),0) + IFERROR(SUMIFS(uwmp_table_4_2_r!M$2:M$9900,uwmp_table_4_2_r!$G$2:$G$9900,"Institutional/Governmental",uwmp_table_4_2_r!$B$2:$B$9900,'Contractor Assumptions'!$F25),0))*IFERROR(VLOOKUP(VLOOKUP('Contractor Assumptions'!$F25,uwmp_table_4_2_r!$B$2:$N$9900,13,FALSE),$A$11:$C$13,2,FALSE), VLOOKUP(VLOOKUP('Contractor Assumptions'!$F25,uwmp_table_4_2_w!$B$2:$N$9900,14,FALSE),$A$11:$C$13,2,FALSE))</f>
        <v>4152.3999999999996</v>
      </c>
      <c r="I416" s="63"/>
      <c r="J416" s="70"/>
      <c r="K416" s="70"/>
      <c r="L416" s="70"/>
      <c r="M416" s="70"/>
      <c r="N416" s="70"/>
      <c r="O416" s="70"/>
      <c r="P416" s="70"/>
    </row>
    <row r="417" spans="1:16" hidden="1" outlineLevel="1" x14ac:dyDescent="0.3">
      <c r="A417" s="63" t="s">
        <v>447</v>
      </c>
      <c r="B417" s="63" t="s">
        <v>894</v>
      </c>
      <c r="C417" s="63" t="str">
        <f t="shared" si="6"/>
        <v>Kern County Water Agency</v>
      </c>
      <c r="D417" s="471" t="s">
        <v>204</v>
      </c>
      <c r="E417" s="471" t="s">
        <v>204</v>
      </c>
      <c r="F417" s="471" t="s">
        <v>204</v>
      </c>
      <c r="G417" s="471" t="s">
        <v>204</v>
      </c>
      <c r="H417" s="518" t="s">
        <v>204</v>
      </c>
      <c r="I417" s="63"/>
      <c r="J417" s="70"/>
      <c r="K417" s="70"/>
      <c r="L417" s="70"/>
      <c r="M417" s="70"/>
      <c r="N417" s="70"/>
      <c r="O417" s="70"/>
      <c r="P417" s="70"/>
    </row>
    <row r="418" spans="1:16" hidden="1" outlineLevel="1" x14ac:dyDescent="0.3">
      <c r="A418" s="63" t="s">
        <v>447</v>
      </c>
      <c r="B418" s="63" t="s">
        <v>894</v>
      </c>
      <c r="C418" s="63" t="str">
        <f t="shared" si="6"/>
        <v>Other Friant-Kern M&amp;I Contractors</v>
      </c>
      <c r="D418" s="471" t="s">
        <v>204</v>
      </c>
      <c r="E418" s="471" t="s">
        <v>204</v>
      </c>
      <c r="F418" s="471" t="s">
        <v>204</v>
      </c>
      <c r="G418" s="471" t="s">
        <v>204</v>
      </c>
      <c r="H418" s="518" t="s">
        <v>204</v>
      </c>
      <c r="I418" s="63"/>
      <c r="J418" s="70"/>
      <c r="K418" s="70"/>
      <c r="L418" s="70"/>
      <c r="M418" s="70"/>
      <c r="N418" s="70"/>
      <c r="O418" s="70"/>
      <c r="P418" s="70"/>
    </row>
    <row r="419" spans="1:16" hidden="1" outlineLevel="1" x14ac:dyDescent="0.3">
      <c r="A419" s="63" t="s">
        <v>447</v>
      </c>
      <c r="B419" s="63" t="s">
        <v>894</v>
      </c>
      <c r="C419" s="63" t="str">
        <f t="shared" si="6"/>
        <v>Stockton-East Water District</v>
      </c>
      <c r="D419" s="471">
        <f>'Wholesaler Demands by Use Type'!B31</f>
        <v>11755</v>
      </c>
      <c r="E419" s="471">
        <f>'Wholesaler Demands by Use Type'!C31</f>
        <v>11660</v>
      </c>
      <c r="F419" s="471">
        <f>'Wholesaler Demands by Use Type'!D31</f>
        <v>11828</v>
      </c>
      <c r="G419" s="471">
        <f>'Wholesaler Demands by Use Type'!E31</f>
        <v>12011</v>
      </c>
      <c r="H419" s="518">
        <f>'Wholesaler Demands by Use Type'!F31</f>
        <v>11912</v>
      </c>
      <c r="I419" s="63"/>
      <c r="J419" s="70"/>
      <c r="K419" s="70"/>
      <c r="L419" s="70"/>
      <c r="M419" s="70"/>
      <c r="N419" s="70"/>
      <c r="O419" s="70"/>
      <c r="P419" s="70"/>
    </row>
    <row r="420" spans="1:16" hidden="1" outlineLevel="1" x14ac:dyDescent="0.3">
      <c r="A420" s="63" t="s">
        <v>447</v>
      </c>
      <c r="B420" s="63" t="s">
        <v>915</v>
      </c>
      <c r="C420" s="63" t="str">
        <f t="shared" si="6"/>
        <v>Alameda County Flood Control and Water Conservation District, Zone 7</v>
      </c>
      <c r="D420" s="471">
        <v>6870.5947472999997</v>
      </c>
      <c r="E420" s="471">
        <v>6962.11253235</v>
      </c>
      <c r="F420" s="471">
        <v>6982.6303173999995</v>
      </c>
      <c r="G420" s="471">
        <v>6985.0792145999994</v>
      </c>
      <c r="H420" s="518">
        <v>6976.0792145999994</v>
      </c>
      <c r="I420" s="66" t="s">
        <v>1012</v>
      </c>
      <c r="J420" s="70"/>
      <c r="K420" s="70"/>
      <c r="L420" s="70"/>
      <c r="M420" s="70"/>
      <c r="N420" s="70"/>
      <c r="O420" s="70"/>
      <c r="P420" s="70"/>
    </row>
    <row r="421" spans="1:16" hidden="1" outlineLevel="1" x14ac:dyDescent="0.3">
      <c r="A421" s="63" t="s">
        <v>447</v>
      </c>
      <c r="B421" s="63" t="s">
        <v>915</v>
      </c>
      <c r="C421" s="63" t="str">
        <f t="shared" si="6"/>
        <v>Alameda County Water District</v>
      </c>
      <c r="D421" s="471">
        <f>(IFERROR(SUMIFS(uwmp_table_4_2_w!I$2:I$9900,uwmp_table_4_2_w!$G$2:$G$9900,"Commercial",uwmp_table_4_2_w!$B$2:$B$9900,'Contractor Assumptions'!$F30),0) + IFERROR(SUMIFS(uwmp_table_4_2_r!I$2:I$9900,uwmp_table_4_2_r!$G$2:$G$9900,"Commercial",uwmp_table_4_2_r!$B$2:$B$9900,'Contractor Assumptions'!$F30),0) + IFERROR(SUMIFS(uwmp_table_4_2_w!I$2:I$9900,uwmp_table_4_2_w!$G$2:$G$9900,"Institutional/Governmental",uwmp_table_4_2_w!$B$2:$B$9900,'Contractor Assumptions'!$F30),0) + IFERROR(SUMIFS(uwmp_table_4_2_r!I$2:I$9900,uwmp_table_4_2_r!$G$2:$G$9900,"Institutional/Governmental",uwmp_table_4_2_r!$B$2:$B$9900,'Contractor Assumptions'!$F30),0))*IFERROR(VLOOKUP(VLOOKUP('Contractor Assumptions'!$F30,uwmp_table_4_2_r!$B$2:$N$9900,13,FALSE),$A$11:$C$13,2,FALSE), VLOOKUP(VLOOKUP('Contractor Assumptions'!$F30,uwmp_table_4_2_w!$B$2:$N$9900,14,FALSE),$A$11:$C$13,2,FALSE))</f>
        <v>9300</v>
      </c>
      <c r="E421" s="471">
        <f>(IFERROR(SUMIFS(uwmp_table_4_2_w!J$2:J$9900,uwmp_table_4_2_w!$G$2:$G$9900,"Commercial",uwmp_table_4_2_w!$B$2:$B$9900,'Contractor Assumptions'!$F30),0) + IFERROR(SUMIFS(uwmp_table_4_2_r!J$2:J$9900,uwmp_table_4_2_r!$G$2:$G$9900,"Commercial",uwmp_table_4_2_r!$B$2:$B$9900,'Contractor Assumptions'!$F30),0) + IFERROR(SUMIFS(uwmp_table_4_2_w!J$2:J$9900,uwmp_table_4_2_w!$G$2:$G$9900,"Institutional/Governmental",uwmp_table_4_2_w!$B$2:$B$9900,'Contractor Assumptions'!$F30),0) + IFERROR(SUMIFS(uwmp_table_4_2_r!J$2:J$9900,uwmp_table_4_2_r!$G$2:$G$9900,"Institutional/Governmental",uwmp_table_4_2_r!$B$2:$B$9900,'Contractor Assumptions'!$F30),0))*IFERROR(VLOOKUP(VLOOKUP('Contractor Assumptions'!$F30,uwmp_table_4_2_r!$B$2:$N$9900,13,FALSE),$A$11:$C$13,2,FALSE), VLOOKUP(VLOOKUP('Contractor Assumptions'!$F30,uwmp_table_4_2_w!$B$2:$N$9900,14,FALSE),$A$11:$C$13,2,FALSE))</f>
        <v>9500</v>
      </c>
      <c r="F421" s="471">
        <f>(IFERROR(SUMIFS(uwmp_table_4_2_w!K$2:K$9900,uwmp_table_4_2_w!$G$2:$G$9900,"Commercial",uwmp_table_4_2_w!$B$2:$B$9900,'Contractor Assumptions'!$F30),0) + IFERROR(SUMIFS(uwmp_table_4_2_r!K$2:K$9900,uwmp_table_4_2_r!$G$2:$G$9900,"Commercial",uwmp_table_4_2_r!$B$2:$B$9900,'Contractor Assumptions'!$F30),0) + IFERROR(SUMIFS(uwmp_table_4_2_w!K$2:K$9900,uwmp_table_4_2_w!$G$2:$G$9900,"Institutional/Governmental",uwmp_table_4_2_w!$B$2:$B$9900,'Contractor Assumptions'!$F30),0) + IFERROR(SUMIFS(uwmp_table_4_2_r!K$2:K$9900,uwmp_table_4_2_r!$G$2:$G$9900,"Institutional/Governmental",uwmp_table_4_2_r!$B$2:$B$9900,'Contractor Assumptions'!$F30),0))*IFERROR(VLOOKUP(VLOOKUP('Contractor Assumptions'!$F30,uwmp_table_4_2_r!$B$2:$N$9900,13,FALSE),$A$11:$C$13,2,FALSE), VLOOKUP(VLOOKUP('Contractor Assumptions'!$F30,uwmp_table_4_2_w!$B$2:$N$9900,14,FALSE),$A$11:$C$13,2,FALSE))</f>
        <v>9700</v>
      </c>
      <c r="G421" s="471">
        <f>(IFERROR(SUMIFS(uwmp_table_4_2_w!L$2:L$9900,uwmp_table_4_2_w!$G$2:$G$9900,"Commercial",uwmp_table_4_2_w!$B$2:$B$9900,'Contractor Assumptions'!$F30),0) + IFERROR(SUMIFS(uwmp_table_4_2_r!L$2:L$9900,uwmp_table_4_2_r!$G$2:$G$9900,"Commercial",uwmp_table_4_2_r!$B$2:$B$9900,'Contractor Assumptions'!$F30),0) + IFERROR(SUMIFS(uwmp_table_4_2_w!L$2:L$9900,uwmp_table_4_2_w!$G$2:$G$9900,"Institutional/Governmental",uwmp_table_4_2_w!$B$2:$B$9900,'Contractor Assumptions'!$F30),0) + IFERROR(SUMIFS(uwmp_table_4_2_r!L$2:L$9900,uwmp_table_4_2_r!$G$2:$G$9900,"Institutional/Governmental",uwmp_table_4_2_r!$B$2:$B$9900,'Contractor Assumptions'!$F30),0))*IFERROR(VLOOKUP(VLOOKUP('Contractor Assumptions'!$F30,uwmp_table_4_2_r!$B$2:$N$9900,13,FALSE),$A$11:$C$13,2,FALSE), VLOOKUP(VLOOKUP('Contractor Assumptions'!$F30,uwmp_table_4_2_w!$B$2:$N$9900,14,FALSE),$A$11:$C$13,2,FALSE))</f>
        <v>9800</v>
      </c>
      <c r="H421" s="518">
        <f>(IFERROR(SUMIFS(uwmp_table_4_2_w!M$2:M$9900,uwmp_table_4_2_w!$G$2:$G$9900,"Commercial",uwmp_table_4_2_w!$B$2:$B$9900,'Contractor Assumptions'!$F30),0) + IFERROR(SUMIFS(uwmp_table_4_2_r!M$2:M$9900,uwmp_table_4_2_r!$G$2:$G$9900,"Commercial",uwmp_table_4_2_r!$B$2:$B$9900,'Contractor Assumptions'!$F30),0) + IFERROR(SUMIFS(uwmp_table_4_2_w!M$2:M$9900,uwmp_table_4_2_w!$G$2:$G$9900,"Institutional/Governmental",uwmp_table_4_2_w!$B$2:$B$9900,'Contractor Assumptions'!$F30),0) + IFERROR(SUMIFS(uwmp_table_4_2_r!M$2:M$9900,uwmp_table_4_2_r!$G$2:$G$9900,"Institutional/Governmental",uwmp_table_4_2_r!$B$2:$B$9900,'Contractor Assumptions'!$F30),0))*IFERROR(VLOOKUP(VLOOKUP('Contractor Assumptions'!$F30,uwmp_table_4_2_r!$B$2:$N$9900,13,FALSE),$A$11:$C$13,2,FALSE), VLOOKUP(VLOOKUP('Contractor Assumptions'!$F30,uwmp_table_4_2_w!$B$2:$N$9900,14,FALSE),$A$11:$C$13,2,FALSE))</f>
        <v>12700</v>
      </c>
      <c r="I421" s="63"/>
      <c r="J421" s="70"/>
      <c r="K421" s="70"/>
      <c r="L421" s="70"/>
      <c r="M421" s="70"/>
      <c r="N421" s="70"/>
      <c r="O421" s="70"/>
      <c r="P421" s="70"/>
    </row>
    <row r="422" spans="1:16" hidden="1" outlineLevel="1" x14ac:dyDescent="0.3">
      <c r="A422" s="63" t="s">
        <v>447</v>
      </c>
      <c r="B422" s="63" t="s">
        <v>915</v>
      </c>
      <c r="C422" s="63" t="str">
        <f t="shared" si="6"/>
        <v>Contra Costa Water District</v>
      </c>
      <c r="D422" s="471">
        <f>(IFERROR(SUMIFS(uwmp_table_4_2_w!I$2:I$9900,uwmp_table_4_2_w!$G$2:$G$9900,"Commercial",uwmp_table_4_2_w!$B$2:$B$9900,'Contractor Assumptions'!$F31),0) + IFERROR(SUMIFS(uwmp_table_4_2_r!I$2:I$9900,uwmp_table_4_2_r!$G$2:$G$9900,"Commercial",uwmp_table_4_2_r!$B$2:$B$9900,'Contractor Assumptions'!$F31),0) + IFERROR(SUMIFS(uwmp_table_4_2_w!I$2:I$9900,uwmp_table_4_2_w!$G$2:$G$9900,"Institutional/Governmental",uwmp_table_4_2_w!$B$2:$B$9900,'Contractor Assumptions'!$F31),0) + IFERROR(SUMIFS(uwmp_table_4_2_r!I$2:I$9900,uwmp_table_4_2_r!$G$2:$G$9900,"Institutional/Governmental",uwmp_table_4_2_r!$B$2:$B$9900,'Contractor Assumptions'!$F31),0))*IFERROR(VLOOKUP(VLOOKUP('Contractor Assumptions'!$F31,uwmp_table_4_2_r!$B$2:$N$9900,13,FALSE),$A$11:$C$13,2,FALSE), VLOOKUP(VLOOKUP('Contractor Assumptions'!$F31,uwmp_table_4_2_w!$B$2:$N$9900,14,FALSE),$A$11:$C$13,2,FALSE))</f>
        <v>7100</v>
      </c>
      <c r="E422" s="471">
        <f>(IFERROR(SUMIFS(uwmp_table_4_2_w!J$2:J$9900,uwmp_table_4_2_w!$G$2:$G$9900,"Commercial",uwmp_table_4_2_w!$B$2:$B$9900,'Contractor Assumptions'!$F31),0) + IFERROR(SUMIFS(uwmp_table_4_2_r!J$2:J$9900,uwmp_table_4_2_r!$G$2:$G$9900,"Commercial",uwmp_table_4_2_r!$B$2:$B$9900,'Contractor Assumptions'!$F31),0) + IFERROR(SUMIFS(uwmp_table_4_2_w!J$2:J$9900,uwmp_table_4_2_w!$G$2:$G$9900,"Institutional/Governmental",uwmp_table_4_2_w!$B$2:$B$9900,'Contractor Assumptions'!$F31),0) + IFERROR(SUMIFS(uwmp_table_4_2_r!J$2:J$9900,uwmp_table_4_2_r!$G$2:$G$9900,"Institutional/Governmental",uwmp_table_4_2_r!$B$2:$B$9900,'Contractor Assumptions'!$F31),0))*IFERROR(VLOOKUP(VLOOKUP('Contractor Assumptions'!$F31,uwmp_table_4_2_r!$B$2:$N$9900,13,FALSE),$A$11:$C$13,2,FALSE), VLOOKUP(VLOOKUP('Contractor Assumptions'!$F31,uwmp_table_4_2_w!$B$2:$N$9900,14,FALSE),$A$11:$C$13,2,FALSE))</f>
        <v>7200</v>
      </c>
      <c r="F422" s="471">
        <f>(IFERROR(SUMIFS(uwmp_table_4_2_w!K$2:K$9900,uwmp_table_4_2_w!$G$2:$G$9900,"Commercial",uwmp_table_4_2_w!$B$2:$B$9900,'Contractor Assumptions'!$F31),0) + IFERROR(SUMIFS(uwmp_table_4_2_r!K$2:K$9900,uwmp_table_4_2_r!$G$2:$G$9900,"Commercial",uwmp_table_4_2_r!$B$2:$B$9900,'Contractor Assumptions'!$F31),0) + IFERROR(SUMIFS(uwmp_table_4_2_w!K$2:K$9900,uwmp_table_4_2_w!$G$2:$G$9900,"Institutional/Governmental",uwmp_table_4_2_w!$B$2:$B$9900,'Contractor Assumptions'!$F31),0) + IFERROR(SUMIFS(uwmp_table_4_2_r!K$2:K$9900,uwmp_table_4_2_r!$G$2:$G$9900,"Institutional/Governmental",uwmp_table_4_2_r!$B$2:$B$9900,'Contractor Assumptions'!$F31),0))*IFERROR(VLOOKUP(VLOOKUP('Contractor Assumptions'!$F31,uwmp_table_4_2_r!$B$2:$N$9900,13,FALSE),$A$11:$C$13,2,FALSE), VLOOKUP(VLOOKUP('Contractor Assumptions'!$F31,uwmp_table_4_2_w!$B$2:$N$9900,14,FALSE),$A$11:$C$13,2,FALSE))</f>
        <v>7500</v>
      </c>
      <c r="G422" s="471">
        <f>(IFERROR(SUMIFS(uwmp_table_4_2_w!L$2:L$9900,uwmp_table_4_2_w!$G$2:$G$9900,"Commercial",uwmp_table_4_2_w!$B$2:$B$9900,'Contractor Assumptions'!$F31),0) + IFERROR(SUMIFS(uwmp_table_4_2_r!L$2:L$9900,uwmp_table_4_2_r!$G$2:$G$9900,"Commercial",uwmp_table_4_2_r!$B$2:$B$9900,'Contractor Assumptions'!$F31),0) + IFERROR(SUMIFS(uwmp_table_4_2_w!L$2:L$9900,uwmp_table_4_2_w!$G$2:$G$9900,"Institutional/Governmental",uwmp_table_4_2_w!$B$2:$B$9900,'Contractor Assumptions'!$F31),0) + IFERROR(SUMIFS(uwmp_table_4_2_r!L$2:L$9900,uwmp_table_4_2_r!$G$2:$G$9900,"Institutional/Governmental",uwmp_table_4_2_r!$B$2:$B$9900,'Contractor Assumptions'!$F31),0))*IFERROR(VLOOKUP(VLOOKUP('Contractor Assumptions'!$F31,uwmp_table_4_2_r!$B$2:$N$9900,13,FALSE),$A$11:$C$13,2,FALSE), VLOOKUP(VLOOKUP('Contractor Assumptions'!$F31,uwmp_table_4_2_w!$B$2:$N$9900,14,FALSE),$A$11:$C$13,2,FALSE))</f>
        <v>7700</v>
      </c>
      <c r="H422" s="518">
        <f>(IFERROR(SUMIFS(uwmp_table_4_2_w!M$2:M$9900,uwmp_table_4_2_w!$G$2:$G$9900,"Commercial",uwmp_table_4_2_w!$B$2:$B$9900,'Contractor Assumptions'!$F31),0) + IFERROR(SUMIFS(uwmp_table_4_2_r!M$2:M$9900,uwmp_table_4_2_r!$G$2:$G$9900,"Commercial",uwmp_table_4_2_r!$B$2:$B$9900,'Contractor Assumptions'!$F31),0) + IFERROR(SUMIFS(uwmp_table_4_2_w!M$2:M$9900,uwmp_table_4_2_w!$G$2:$G$9900,"Institutional/Governmental",uwmp_table_4_2_w!$B$2:$B$9900,'Contractor Assumptions'!$F31),0) + IFERROR(SUMIFS(uwmp_table_4_2_r!M$2:M$9900,uwmp_table_4_2_r!$G$2:$G$9900,"Institutional/Governmental",uwmp_table_4_2_r!$B$2:$B$9900,'Contractor Assumptions'!$F31),0))*IFERROR(VLOOKUP(VLOOKUP('Contractor Assumptions'!$F31,uwmp_table_4_2_r!$B$2:$N$9900,13,FALSE),$A$11:$C$13,2,FALSE), VLOOKUP(VLOOKUP('Contractor Assumptions'!$F31,uwmp_table_4_2_w!$B$2:$N$9900,14,FALSE),$A$11:$C$13,2,FALSE))</f>
        <v>7900</v>
      </c>
      <c r="I422" s="63"/>
      <c r="J422" s="70"/>
      <c r="K422" s="70"/>
      <c r="L422" s="70"/>
      <c r="M422" s="70"/>
      <c r="N422" s="70"/>
      <c r="O422" s="70"/>
      <c r="P422" s="70"/>
    </row>
    <row r="423" spans="1:16" hidden="1" outlineLevel="1" x14ac:dyDescent="0.3">
      <c r="A423" s="63" t="s">
        <v>447</v>
      </c>
      <c r="B423" s="63" t="s">
        <v>915</v>
      </c>
      <c r="C423" s="63" t="str">
        <f t="shared" si="6"/>
        <v>East Bay Municipal Utilities District</v>
      </c>
      <c r="D423" s="471">
        <f>(IFERROR(SUMIFS(uwmp_table_4_2_w!I$2:I$9900,uwmp_table_4_2_w!$G$2:$G$9900,"Commercial",uwmp_table_4_2_w!$B$2:$B$9900,'Contractor Assumptions'!$F32),0) + IFERROR(SUMIFS(uwmp_table_4_2_r!I$2:I$9900,uwmp_table_4_2_r!$G$2:$G$9900,"Commercial",uwmp_table_4_2_r!$B$2:$B$9900,'Contractor Assumptions'!$F32),0) + IFERROR(SUMIFS(uwmp_table_4_2_w!I$2:I$9900,uwmp_table_4_2_w!$G$2:$G$9900,"Institutional/Governmental",uwmp_table_4_2_w!$B$2:$B$9900,'Contractor Assumptions'!$F32),0) + IFERROR(SUMIFS(uwmp_table_4_2_r!I$2:I$9900,uwmp_table_4_2_r!$G$2:$G$9900,"Institutional/Governmental",uwmp_table_4_2_r!$B$2:$B$9900,'Contractor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E423" s="471">
        <f>(IFERROR(SUMIFS(uwmp_table_4_2_w!J$2:J$9900,uwmp_table_4_2_w!$G$2:$G$9900,"Commercial",uwmp_table_4_2_w!$B$2:$B$9900,'Contractor Assumptions'!$F32),0) + IFERROR(SUMIFS(uwmp_table_4_2_r!J$2:J$9900,uwmp_table_4_2_r!$G$2:$G$9900,"Commercial",uwmp_table_4_2_r!$B$2:$B$9900,'Contractor Assumptions'!$F32),0) + IFERROR(SUMIFS(uwmp_table_4_2_w!J$2:J$9900,uwmp_table_4_2_w!$G$2:$G$9900,"Institutional/Governmental",uwmp_table_4_2_w!$B$2:$B$9900,'Contractor Assumptions'!$F32),0) + IFERROR(SUMIFS(uwmp_table_4_2_r!J$2:J$9900,uwmp_table_4_2_r!$G$2:$G$9900,"Institutional/Governmental",uwmp_table_4_2_r!$B$2:$B$9900,'Contractor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F423" s="471">
        <f>(IFERROR(SUMIFS(uwmp_table_4_2_w!K$2:K$9900,uwmp_table_4_2_w!$G$2:$G$9900,"Commercial",uwmp_table_4_2_w!$B$2:$B$9900,'Contractor Assumptions'!$F32),0) + IFERROR(SUMIFS(uwmp_table_4_2_r!K$2:K$9900,uwmp_table_4_2_r!$G$2:$G$9900,"Commercial",uwmp_table_4_2_r!$B$2:$B$9900,'Contractor Assumptions'!$F32),0) + IFERROR(SUMIFS(uwmp_table_4_2_w!K$2:K$9900,uwmp_table_4_2_w!$G$2:$G$9900,"Institutional/Governmental",uwmp_table_4_2_w!$B$2:$B$9900,'Contractor Assumptions'!$F32),0) + IFERROR(SUMIFS(uwmp_table_4_2_r!K$2:K$9900,uwmp_table_4_2_r!$G$2:$G$9900,"Institutional/Governmental",uwmp_table_4_2_r!$B$2:$B$9900,'Contractor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G423" s="471">
        <f>(IFERROR(SUMIFS(uwmp_table_4_2_w!L$2:L$9900,uwmp_table_4_2_w!$G$2:$G$9900,"Commercial",uwmp_table_4_2_w!$B$2:$B$9900,'Contractor Assumptions'!$F32),0) + IFERROR(SUMIFS(uwmp_table_4_2_r!L$2:L$9900,uwmp_table_4_2_r!$G$2:$G$9900,"Commercial",uwmp_table_4_2_r!$B$2:$B$9900,'Contractor Assumptions'!$F32),0) + IFERROR(SUMIFS(uwmp_table_4_2_w!L$2:L$9900,uwmp_table_4_2_w!$G$2:$G$9900,"Institutional/Governmental",uwmp_table_4_2_w!$B$2:$B$9900,'Contractor Assumptions'!$F32),0) + IFERROR(SUMIFS(uwmp_table_4_2_r!L$2:L$9900,uwmp_table_4_2_r!$G$2:$G$9900,"Institutional/Governmental",uwmp_table_4_2_r!$B$2:$B$9900,'Contractor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H423" s="518">
        <f>(IFERROR(SUMIFS(uwmp_table_4_2_w!M$2:M$9900,uwmp_table_4_2_w!$G$2:$G$9900,"Commercial",uwmp_table_4_2_w!$B$2:$B$9900,'Contractor Assumptions'!$F32),0) + IFERROR(SUMIFS(uwmp_table_4_2_r!M$2:M$9900,uwmp_table_4_2_r!$G$2:$G$9900,"Commercial",uwmp_table_4_2_r!$B$2:$B$9900,'Contractor Assumptions'!$F32),0) + IFERROR(SUMIFS(uwmp_table_4_2_w!M$2:M$9900,uwmp_table_4_2_w!$G$2:$G$9900,"Institutional/Governmental",uwmp_table_4_2_w!$B$2:$B$9900,'Contractor Assumptions'!$F32),0) + IFERROR(SUMIFS(uwmp_table_4_2_r!M$2:M$9900,uwmp_table_4_2_r!$G$2:$G$9900,"Institutional/Governmental",uwmp_table_4_2_r!$B$2:$B$9900,'Contractor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I423" s="63"/>
      <c r="J423" s="70"/>
      <c r="K423" s="70"/>
      <c r="L423" s="70"/>
      <c r="M423" s="70"/>
      <c r="N423" s="70"/>
      <c r="O423" s="70"/>
      <c r="P423" s="70"/>
    </row>
    <row r="424" spans="1:16" hidden="1" outlineLevel="1" x14ac:dyDescent="0.3">
      <c r="A424" s="63" t="s">
        <v>447</v>
      </c>
      <c r="B424" s="63" t="s">
        <v>915</v>
      </c>
      <c r="C424" s="63" t="str">
        <f t="shared" si="6"/>
        <v>San Benito County Water District, Zone 6</v>
      </c>
      <c r="D424" s="471">
        <v>529</v>
      </c>
      <c r="E424" s="471">
        <v>610</v>
      </c>
      <c r="F424" s="471">
        <v>615</v>
      </c>
      <c r="G424" s="471">
        <v>660</v>
      </c>
      <c r="H424" s="518">
        <v>660</v>
      </c>
      <c r="I424" s="66" t="s">
        <v>1013</v>
      </c>
      <c r="J424" s="71"/>
      <c r="K424" s="71"/>
      <c r="L424" s="71"/>
      <c r="M424" s="71"/>
      <c r="N424" s="71"/>
      <c r="O424" s="71"/>
      <c r="P424" s="70"/>
    </row>
    <row r="425" spans="1:16" hidden="1" outlineLevel="1" x14ac:dyDescent="0.3">
      <c r="A425" s="63" t="s">
        <v>447</v>
      </c>
      <c r="B425" s="63" t="s">
        <v>915</v>
      </c>
      <c r="C425" s="63" t="str">
        <f t="shared" si="6"/>
        <v>Santa Clara Valley Water District</v>
      </c>
      <c r="D425" s="471">
        <f>(IFERROR(SUMIFS(uwmp_table_4_2_w!I$2:I$9900,uwmp_table_4_2_w!$G$2:$G$9900,"Commercial",uwmp_table_4_2_w!$B$2:$B$9900,'Contractor Assumptions'!$F34),0) + IFERROR(SUMIFS(uwmp_table_4_2_r!I$2:I$9900,uwmp_table_4_2_r!$G$2:$G$9900,"Commercial",uwmp_table_4_2_r!$B$2:$B$9900,'Contractor Assumptions'!$F34),0) + IFERROR(SUMIFS(uwmp_table_4_2_w!I$2:I$9900,uwmp_table_4_2_w!$G$2:$G$9900,"Institutional/Governmental",uwmp_table_4_2_w!$B$2:$B$9900,'Contractor Assumptions'!$F34),0) + IFERROR(SUMIFS(uwmp_table_4_2_r!I$2:I$9900,uwmp_table_4_2_r!$G$2:$G$9900,"Institutional/Governmental",uwmp_table_4_2_r!$B$2:$B$9900,'Contractor Assumptions'!$F34),0))</f>
        <v>0</v>
      </c>
      <c r="E425" s="471">
        <f>(IFERROR(SUMIFS(uwmp_table_4_2_w!J$2:J$9900,uwmp_table_4_2_w!$G$2:$G$9900,"Commercial",uwmp_table_4_2_w!$B$2:$B$9900,'Contractor Assumptions'!$F34),0) + IFERROR(SUMIFS(uwmp_table_4_2_r!J$2:J$9900,uwmp_table_4_2_r!$G$2:$G$9900,"Commercial",uwmp_table_4_2_r!$B$2:$B$9900,'Contractor Assumptions'!$F34),0) + IFERROR(SUMIFS(uwmp_table_4_2_w!J$2:J$9900,uwmp_table_4_2_w!$G$2:$G$9900,"Institutional/Governmental",uwmp_table_4_2_w!$B$2:$B$9900,'Contractor Assumptions'!$F34),0) + IFERROR(SUMIFS(uwmp_table_4_2_r!J$2:J$9900,uwmp_table_4_2_r!$G$2:$G$9900,"Institutional/Governmental",uwmp_table_4_2_r!$B$2:$B$9900,'Contractor Assumptions'!$F34),0))</f>
        <v>0</v>
      </c>
      <c r="F425" s="471">
        <f>(IFERROR(SUMIFS(uwmp_table_4_2_w!K$2:K$9900,uwmp_table_4_2_w!$G$2:$G$9900,"Commercial",uwmp_table_4_2_w!$B$2:$B$9900,'Contractor Assumptions'!$F34),0) + IFERROR(SUMIFS(uwmp_table_4_2_r!K$2:K$9900,uwmp_table_4_2_r!$G$2:$G$9900,"Commercial",uwmp_table_4_2_r!$B$2:$B$9900,'Contractor Assumptions'!$F34),0) + IFERROR(SUMIFS(uwmp_table_4_2_w!K$2:K$9900,uwmp_table_4_2_w!$G$2:$G$9900,"Institutional/Governmental",uwmp_table_4_2_w!$B$2:$B$9900,'Contractor Assumptions'!$F34),0) + IFERROR(SUMIFS(uwmp_table_4_2_r!K$2:K$9900,uwmp_table_4_2_r!$G$2:$G$9900,"Institutional/Governmental",uwmp_table_4_2_r!$B$2:$B$9900,'Contractor Assumptions'!$F34),0))</f>
        <v>0</v>
      </c>
      <c r="G425" s="471">
        <f>(IFERROR(SUMIFS(uwmp_table_4_2_w!L$2:L$9900,uwmp_table_4_2_w!$G$2:$G$9900,"Commercial",uwmp_table_4_2_w!$B$2:$B$9900,'Contractor Assumptions'!$F34),0) + IFERROR(SUMIFS(uwmp_table_4_2_r!L$2:L$9900,uwmp_table_4_2_r!$G$2:$G$9900,"Commercial",uwmp_table_4_2_r!$B$2:$B$9900,'Contractor Assumptions'!$F34),0) + IFERROR(SUMIFS(uwmp_table_4_2_w!L$2:L$9900,uwmp_table_4_2_w!$G$2:$G$9900,"Institutional/Governmental",uwmp_table_4_2_w!$B$2:$B$9900,'Contractor Assumptions'!$F34),0) + IFERROR(SUMIFS(uwmp_table_4_2_r!L$2:L$9900,uwmp_table_4_2_r!$G$2:$G$9900,"Institutional/Governmental",uwmp_table_4_2_r!$B$2:$B$9900,'Contractor Assumptions'!$F34),0))</f>
        <v>0</v>
      </c>
      <c r="H425" s="518">
        <f>(IFERROR(SUMIFS(uwmp_table_4_2_w!M$2:M$9900,uwmp_table_4_2_w!$G$2:$G$9900,"Commercial",uwmp_table_4_2_w!$B$2:$B$9900,'Contractor Assumptions'!$F34),0) + IFERROR(SUMIFS(uwmp_table_4_2_r!M$2:M$9900,uwmp_table_4_2_r!$G$2:$G$9900,"Commercial",uwmp_table_4_2_r!$B$2:$B$9900,'Contractor Assumptions'!$F34),0) + IFERROR(SUMIFS(uwmp_table_4_2_w!M$2:M$9900,uwmp_table_4_2_w!$G$2:$G$9900,"Institutional/Governmental",uwmp_table_4_2_w!$B$2:$B$9900,'Contractor Assumptions'!$F34),0) + IFERROR(SUMIFS(uwmp_table_4_2_r!M$2:M$9900,uwmp_table_4_2_r!$G$2:$G$9900,"Institutional/Governmental",uwmp_table_4_2_r!$B$2:$B$9900,'Contractor Assumptions'!$F34),0))</f>
        <v>0</v>
      </c>
      <c r="I425" s="63"/>
      <c r="J425" s="70"/>
      <c r="K425" s="70"/>
      <c r="L425" s="70"/>
      <c r="M425" s="70"/>
      <c r="N425" s="70"/>
      <c r="O425" s="70"/>
      <c r="P425" s="70"/>
    </row>
    <row r="426" spans="1:16" hidden="1" outlineLevel="1" x14ac:dyDescent="0.3">
      <c r="A426" s="63" t="s">
        <v>447</v>
      </c>
      <c r="B426" s="63" t="s">
        <v>934</v>
      </c>
      <c r="C426" s="63" t="str">
        <f t="shared" si="6"/>
        <v>San Luis Obispo County Flood Control &amp; Water Conservation District</v>
      </c>
      <c r="D426" s="471">
        <v>852</v>
      </c>
      <c r="E426" s="471">
        <v>869</v>
      </c>
      <c r="F426" s="471">
        <v>886</v>
      </c>
      <c r="G426" s="471">
        <v>904</v>
      </c>
      <c r="H426" s="518">
        <v>921</v>
      </c>
      <c r="I426" s="66" t="s">
        <v>1014</v>
      </c>
      <c r="J426" s="70"/>
      <c r="K426" s="70"/>
      <c r="L426" s="70"/>
      <c r="M426" s="70"/>
      <c r="N426" s="70"/>
      <c r="O426" s="70"/>
      <c r="P426" s="70"/>
    </row>
    <row r="427" spans="1:16" hidden="1" outlineLevel="1" x14ac:dyDescent="0.3">
      <c r="A427" s="63" t="s">
        <v>447</v>
      </c>
      <c r="B427" s="63" t="s">
        <v>934</v>
      </c>
      <c r="C427" s="63" t="str">
        <f t="shared" si="6"/>
        <v>Santa Barbara County Flood Control &amp; Water Conservation District</v>
      </c>
      <c r="D427" s="471" t="s">
        <v>204</v>
      </c>
      <c r="E427" s="471" t="s">
        <v>204</v>
      </c>
      <c r="F427" s="471" t="s">
        <v>204</v>
      </c>
      <c r="G427" s="471" t="s">
        <v>204</v>
      </c>
      <c r="H427" s="518" t="s">
        <v>204</v>
      </c>
      <c r="I427" s="63"/>
      <c r="J427" s="70"/>
      <c r="K427" s="70"/>
      <c r="L427" s="70"/>
      <c r="M427" s="70"/>
      <c r="N427" s="70"/>
      <c r="O427" s="70"/>
      <c r="P427" s="70"/>
    </row>
    <row r="428" spans="1:16" hidden="1" outlineLevel="1" x14ac:dyDescent="0.3">
      <c r="A428" s="63" t="s">
        <v>447</v>
      </c>
      <c r="B428" s="63" t="s">
        <v>940</v>
      </c>
      <c r="C428" s="63" t="str">
        <f t="shared" si="6"/>
        <v>Antelope Valley-East Kern Water Agency</v>
      </c>
      <c r="D428" s="471">
        <v>1904.5841028304487</v>
      </c>
      <c r="E428" s="471">
        <v>1763.6696328555254</v>
      </c>
      <c r="F428" s="471">
        <v>1436.0411012520819</v>
      </c>
      <c r="G428" s="471">
        <v>1204.1043977694328</v>
      </c>
      <c r="H428" s="518">
        <v>1255.6472297599605</v>
      </c>
      <c r="I428" s="66" t="s">
        <v>1015</v>
      </c>
      <c r="J428" s="70"/>
      <c r="K428" s="70"/>
      <c r="L428" s="70"/>
      <c r="M428" s="70"/>
      <c r="N428" s="70"/>
      <c r="O428" s="70"/>
      <c r="P428" s="70"/>
    </row>
    <row r="429" spans="1:16" hidden="1" outlineLevel="1" x14ac:dyDescent="0.3">
      <c r="A429" s="63" t="s">
        <v>447</v>
      </c>
      <c r="B429" s="63" t="s">
        <v>940</v>
      </c>
      <c r="C429" s="63" t="str">
        <f t="shared" si="6"/>
        <v>Santa Clarita Water Division</v>
      </c>
      <c r="D429" s="471">
        <f>(IFERROR(SUMIFS(uwmp_table_4_2_w!I$2:I$9900,uwmp_table_4_2_w!$G$2:$G$9900,"Commercial",uwmp_table_4_2_w!$B$2:$B$9900,'Contractor Assumptions'!$F38),0) + IFERROR(SUMIFS(uwmp_table_4_2_r!I$2:I$9900,uwmp_table_4_2_r!$G$2:$G$9900,"Commercial",uwmp_table_4_2_r!$B$2:$B$9900,'Contractor Assumptions'!$F38),0) + IFERROR(SUMIFS(uwmp_table_4_2_w!I$2:I$9900,uwmp_table_4_2_w!$G$2:$G$9900,"Institutional/Governmental",uwmp_table_4_2_w!$B$2:$B$9900,'Contractor Assumptions'!$F38),0) + IFERROR(SUMIFS(uwmp_table_4_2_r!I$2:I$9900,uwmp_table_4_2_r!$G$2:$G$9900,"Institutional/Governmental",uwmp_table_4_2_r!$B$2:$B$9900,'Contractor Assumptions'!$F38),0))*IFERROR(VLOOKUP(VLOOKUP('Contractor Assumptions'!$F38,uwmp_table_4_2_r!$B$2:$N$9900,13,FALSE),$A$11:$C$13,2,FALSE), VLOOKUP(VLOOKUP('Contractor Assumptions'!$F38,uwmp_table_4_2_w!$B$2:$N$9900,14,FALSE),$A$11:$C$13,2,FALSE))</f>
        <v>21175.326164999999</v>
      </c>
      <c r="E429" s="471">
        <f>(IFERROR(SUMIFS(uwmp_table_4_2_w!J$2:J$9900,uwmp_table_4_2_w!$G$2:$G$9900,"Commercial",uwmp_table_4_2_w!$B$2:$B$9900,'Contractor Assumptions'!$F38),0) + IFERROR(SUMIFS(uwmp_table_4_2_r!J$2:J$9900,uwmp_table_4_2_r!$G$2:$G$9900,"Commercial",uwmp_table_4_2_r!$B$2:$B$9900,'Contractor Assumptions'!$F38),0) + IFERROR(SUMIFS(uwmp_table_4_2_w!J$2:J$9900,uwmp_table_4_2_w!$G$2:$G$9900,"Institutional/Governmental",uwmp_table_4_2_w!$B$2:$B$9900,'Contractor Assumptions'!$F38),0) + IFERROR(SUMIFS(uwmp_table_4_2_r!J$2:J$9900,uwmp_table_4_2_r!$G$2:$G$9900,"Institutional/Governmental",uwmp_table_4_2_r!$B$2:$B$9900,'Contractor Assumptions'!$F38),0))*IFERROR(VLOOKUP(VLOOKUP('Contractor Assumptions'!$F38,uwmp_table_4_2_r!$B$2:$N$9900,13,FALSE),$A$11:$C$13,2,FALSE), VLOOKUP(VLOOKUP('Contractor Assumptions'!$F38,uwmp_table_4_2_w!$B$2:$N$9900,14,FALSE),$A$11:$C$13,2,FALSE))</f>
        <v>23323.54766</v>
      </c>
      <c r="F429" s="471">
        <f>(IFERROR(SUMIFS(uwmp_table_4_2_w!K$2:K$9900,uwmp_table_4_2_w!$G$2:$G$9900,"Commercial",uwmp_table_4_2_w!$B$2:$B$9900,'Contractor Assumptions'!$F38),0) + IFERROR(SUMIFS(uwmp_table_4_2_r!K$2:K$9900,uwmp_table_4_2_r!$G$2:$G$9900,"Commercial",uwmp_table_4_2_r!$B$2:$B$9900,'Contractor Assumptions'!$F38),0) + IFERROR(SUMIFS(uwmp_table_4_2_w!K$2:K$9900,uwmp_table_4_2_w!$G$2:$G$9900,"Institutional/Governmental",uwmp_table_4_2_w!$B$2:$B$9900,'Contractor Assumptions'!$F38),0) + IFERROR(SUMIFS(uwmp_table_4_2_r!K$2:K$9900,uwmp_table_4_2_r!$G$2:$G$9900,"Institutional/Governmental",uwmp_table_4_2_r!$B$2:$B$9900,'Contractor Assumptions'!$F38),0))*IFERROR(VLOOKUP(VLOOKUP('Contractor Assumptions'!$F38,uwmp_table_4_2_r!$B$2:$N$9900,13,FALSE),$A$11:$C$13,2,FALSE), VLOOKUP(VLOOKUP('Contractor Assumptions'!$F38,uwmp_table_4_2_w!$B$2:$N$9900,14,FALSE),$A$11:$C$13,2,FALSE))</f>
        <v>24244.214014999998</v>
      </c>
      <c r="G429" s="471">
        <f>(IFERROR(SUMIFS(uwmp_table_4_2_w!L$2:L$9900,uwmp_table_4_2_w!$G$2:$G$9900,"Commercial",uwmp_table_4_2_w!$B$2:$B$9900,'Contractor Assumptions'!$F38),0) + IFERROR(SUMIFS(uwmp_table_4_2_r!L$2:L$9900,uwmp_table_4_2_r!$G$2:$G$9900,"Commercial",uwmp_table_4_2_r!$B$2:$B$9900,'Contractor Assumptions'!$F38),0) + IFERROR(SUMIFS(uwmp_table_4_2_w!L$2:L$9900,uwmp_table_4_2_w!$G$2:$G$9900,"Institutional/Governmental",uwmp_table_4_2_w!$B$2:$B$9900,'Contractor Assumptions'!$F38),0) + IFERROR(SUMIFS(uwmp_table_4_2_r!L$2:L$9900,uwmp_table_4_2_r!$G$2:$G$9900,"Institutional/Governmental",uwmp_table_4_2_r!$B$2:$B$9900,'Contractor Assumptions'!$F38),0))*IFERROR(VLOOKUP(VLOOKUP('Contractor Assumptions'!$F38,uwmp_table_4_2_r!$B$2:$N$9900,13,FALSE),$A$11:$C$13,2,FALSE), VLOOKUP(VLOOKUP('Contractor Assumptions'!$F38,uwmp_table_4_2_w!$B$2:$N$9900,14,FALSE),$A$11:$C$13,2,FALSE))</f>
        <v>25471.769154999998</v>
      </c>
      <c r="H429" s="518">
        <f>(IFERROR(SUMIFS(uwmp_table_4_2_w!M$2:M$9900,uwmp_table_4_2_w!$G$2:$G$9900,"Commercial",uwmp_table_4_2_w!$B$2:$B$9900,'Contractor Assumptions'!$F38),0) + IFERROR(SUMIFS(uwmp_table_4_2_r!M$2:M$9900,uwmp_table_4_2_r!$G$2:$G$9900,"Commercial",uwmp_table_4_2_r!$B$2:$B$9900,'Contractor Assumptions'!$F38),0) + IFERROR(SUMIFS(uwmp_table_4_2_w!M$2:M$9900,uwmp_table_4_2_w!$G$2:$G$9900,"Institutional/Governmental",uwmp_table_4_2_w!$B$2:$B$9900,'Contractor Assumptions'!$F38),0) + IFERROR(SUMIFS(uwmp_table_4_2_r!M$2:M$9900,uwmp_table_4_2_r!$G$2:$G$9900,"Institutional/Governmental",uwmp_table_4_2_r!$B$2:$B$9900,'Contractor Assumptions'!$F38),0))*IFERROR(VLOOKUP(VLOOKUP('Contractor Assumptions'!$F38,uwmp_table_4_2_r!$B$2:$N$9900,13,FALSE),$A$11:$C$13,2,FALSE), VLOOKUP(VLOOKUP('Contractor Assumptions'!$F38,uwmp_table_4_2_w!$B$2:$N$9900,14,FALSE),$A$11:$C$13,2,FALSE))</f>
        <v>27006.213079999998</v>
      </c>
      <c r="I429" s="63"/>
      <c r="J429" s="70"/>
      <c r="K429" s="70"/>
      <c r="L429" s="70"/>
      <c r="M429" s="70"/>
      <c r="N429" s="70"/>
      <c r="O429" s="70"/>
      <c r="P429" s="70"/>
    </row>
    <row r="430" spans="1:16" hidden="1" outlineLevel="1" x14ac:dyDescent="0.3">
      <c r="A430" s="63" t="s">
        <v>447</v>
      </c>
      <c r="B430" s="63" t="s">
        <v>940</v>
      </c>
      <c r="C430" s="63" t="str">
        <f t="shared" si="6"/>
        <v>Coachella Valley Water District</v>
      </c>
      <c r="D430" s="471" t="s">
        <v>204</v>
      </c>
      <c r="E430" s="471" t="s">
        <v>204</v>
      </c>
      <c r="F430" s="471" t="s">
        <v>204</v>
      </c>
      <c r="G430" s="471" t="s">
        <v>204</v>
      </c>
      <c r="H430" s="518" t="s">
        <v>204</v>
      </c>
      <c r="I430" s="63"/>
      <c r="J430" s="70"/>
      <c r="K430" s="70"/>
      <c r="L430" s="70"/>
      <c r="M430" s="70"/>
      <c r="N430" s="70"/>
      <c r="O430" s="70"/>
      <c r="P430" s="70"/>
    </row>
    <row r="431" spans="1:16" hidden="1" outlineLevel="1" x14ac:dyDescent="0.3">
      <c r="A431" s="63" t="s">
        <v>447</v>
      </c>
      <c r="B431" s="63" t="s">
        <v>940</v>
      </c>
      <c r="C431" s="63" t="str">
        <f t="shared" si="6"/>
        <v>Crestline-Lake Arrowhead Water Agency</v>
      </c>
      <c r="D431" s="471" t="s">
        <v>204</v>
      </c>
      <c r="E431" s="471" t="s">
        <v>204</v>
      </c>
      <c r="F431" s="471" t="s">
        <v>204</v>
      </c>
      <c r="G431" s="471" t="s">
        <v>204</v>
      </c>
      <c r="H431" s="518" t="s">
        <v>204</v>
      </c>
      <c r="I431" s="63"/>
      <c r="J431" s="70"/>
      <c r="K431" s="70"/>
      <c r="L431" s="70"/>
      <c r="M431" s="70"/>
      <c r="N431" s="70"/>
      <c r="O431" s="70"/>
      <c r="P431" s="70"/>
    </row>
    <row r="432" spans="1:16" hidden="1" outlineLevel="1" x14ac:dyDescent="0.3">
      <c r="A432" s="63" t="s">
        <v>447</v>
      </c>
      <c r="B432" s="63" t="s">
        <v>940</v>
      </c>
      <c r="C432" s="63" t="str">
        <f t="shared" si="6"/>
        <v>Desert Water Agency</v>
      </c>
      <c r="D432" s="471" t="s">
        <v>204</v>
      </c>
      <c r="E432" s="471" t="s">
        <v>204</v>
      </c>
      <c r="F432" s="471" t="s">
        <v>204</v>
      </c>
      <c r="G432" s="471" t="s">
        <v>204</v>
      </c>
      <c r="H432" s="518" t="s">
        <v>204</v>
      </c>
      <c r="I432" s="63"/>
      <c r="J432" s="70"/>
      <c r="K432" s="70"/>
      <c r="L432" s="70"/>
      <c r="M432" s="70"/>
      <c r="N432" s="70"/>
      <c r="O432" s="70"/>
      <c r="P432" s="70"/>
    </row>
    <row r="433" spans="1:16" hidden="1" outlineLevel="1" x14ac:dyDescent="0.3">
      <c r="A433" s="63" t="s">
        <v>447</v>
      </c>
      <c r="B433" s="63" t="s">
        <v>940</v>
      </c>
      <c r="C433" s="63" t="str">
        <f t="shared" si="6"/>
        <v>Metropolitan Water District of Southern California</v>
      </c>
      <c r="D433" s="471">
        <f>'Met 2020 UWMP Demand Data'!L31/2</f>
        <v>263000</v>
      </c>
      <c r="E433" s="471">
        <f>'Met 2020 UWMP Demand Data'!M31/2</f>
        <v>261000</v>
      </c>
      <c r="F433" s="471">
        <f>'Met 2020 UWMP Demand Data'!N31/2</f>
        <v>262500</v>
      </c>
      <c r="G433" s="471">
        <f>'Met 2020 UWMP Demand Data'!O31/2</f>
        <v>260000</v>
      </c>
      <c r="H433" s="518">
        <f>'Met 2020 UWMP Demand Data'!P31/2</f>
        <v>255000</v>
      </c>
      <c r="I433" s="66" t="s">
        <v>1022</v>
      </c>
      <c r="J433" s="70"/>
      <c r="K433" s="70"/>
      <c r="L433" s="70"/>
      <c r="M433" s="70"/>
      <c r="N433" s="70"/>
      <c r="O433" s="70"/>
      <c r="P433" s="70"/>
    </row>
    <row r="434" spans="1:16" hidden="1" outlineLevel="1" x14ac:dyDescent="0.3">
      <c r="A434" s="63" t="s">
        <v>447</v>
      </c>
      <c r="B434" s="63" t="s">
        <v>940</v>
      </c>
      <c r="C434" s="63" t="str">
        <f t="shared" si="6"/>
        <v>Mojave Water Agency</v>
      </c>
      <c r="D434" s="471">
        <v>13328</v>
      </c>
      <c r="E434" s="471">
        <v>13983</v>
      </c>
      <c r="F434" s="471">
        <v>14355</v>
      </c>
      <c r="G434" s="471">
        <v>14687</v>
      </c>
      <c r="H434" s="518">
        <v>15077</v>
      </c>
      <c r="I434" s="66" t="s">
        <v>1017</v>
      </c>
      <c r="J434" s="70"/>
      <c r="K434" s="70"/>
      <c r="L434" s="70"/>
      <c r="M434" s="70"/>
      <c r="N434" s="70"/>
      <c r="O434" s="70"/>
      <c r="P434" s="70"/>
    </row>
    <row r="435" spans="1:16" hidden="1" outlineLevel="1" x14ac:dyDescent="0.3">
      <c r="A435" s="63" t="s">
        <v>447</v>
      </c>
      <c r="B435" s="63" t="s">
        <v>940</v>
      </c>
      <c r="C435" s="63" t="str">
        <f t="shared" si="6"/>
        <v>Palmdale Water District &amp; Littlerock Creek Irrigation District</v>
      </c>
      <c r="D435" s="471">
        <f>(IFERROR(SUMIFS(uwmp_table_4_2_w!I$2:I$9900,uwmp_table_4_2_w!$G$2:$G$9900,"Commercial",uwmp_table_4_2_w!$B$2:$B$9900,'Contractor Assumptions'!$F44),0) + IFERROR(SUMIFS(uwmp_table_4_2_r!I$2:I$9900,uwmp_table_4_2_r!$G$2:$G$9900,"Commercial",uwmp_table_4_2_r!$B$2:$B$9900,'Contractor Assumptions'!$F44),0) + IFERROR(SUMIFS(uwmp_table_4_2_w!I$2:I$9900,uwmp_table_4_2_w!$G$2:$G$9900,"Institutional/Governmental",uwmp_table_4_2_w!$B$2:$B$9900,'Contractor Assumptions'!$F44),0) + IFERROR(SUMIFS(uwmp_table_4_2_r!I$2:I$9900,uwmp_table_4_2_r!$G$2:$G$9900,"Institutional/Governmental",uwmp_table_4_2_r!$B$2:$B$9900,'Contractor Assumptions'!$F44),0))*IFERROR(VLOOKUP(VLOOKUP('Contractor Assumptions'!$F44,uwmp_table_4_2_r!$B$2:$N$9900,13,FALSE),$A$11:$C$13,2,FALSE), VLOOKUP(VLOOKUP('Contractor Assumptions'!$F44,uwmp_table_4_2_w!$B$2:$N$9900,14,FALSE),$A$11:$C$13,2,FALSE))</f>
        <v>1170</v>
      </c>
      <c r="E435" s="471">
        <f>(IFERROR(SUMIFS(uwmp_table_4_2_w!J$2:J$9900,uwmp_table_4_2_w!$G$2:$G$9900,"Commercial",uwmp_table_4_2_w!$B$2:$B$9900,'Contractor Assumptions'!$F44),0) + IFERROR(SUMIFS(uwmp_table_4_2_r!J$2:J$9900,uwmp_table_4_2_r!$G$2:$G$9900,"Commercial",uwmp_table_4_2_r!$B$2:$B$9900,'Contractor Assumptions'!$F44),0) + IFERROR(SUMIFS(uwmp_table_4_2_w!J$2:J$9900,uwmp_table_4_2_w!$G$2:$G$9900,"Institutional/Governmental",uwmp_table_4_2_w!$B$2:$B$9900,'Contractor Assumptions'!$F44),0) + IFERROR(SUMIFS(uwmp_table_4_2_r!J$2:J$9900,uwmp_table_4_2_r!$G$2:$G$9900,"Institutional/Governmental",uwmp_table_4_2_r!$B$2:$B$9900,'Contractor Assumptions'!$F44),0))*IFERROR(VLOOKUP(VLOOKUP('Contractor Assumptions'!$F44,uwmp_table_4_2_r!$B$2:$N$9900,13,FALSE),$A$11:$C$13,2,FALSE), VLOOKUP(VLOOKUP('Contractor Assumptions'!$F44,uwmp_table_4_2_w!$B$2:$N$9900,14,FALSE),$A$11:$C$13,2,FALSE))</f>
        <v>1240</v>
      </c>
      <c r="F435" s="471">
        <f>(IFERROR(SUMIFS(uwmp_table_4_2_w!K$2:K$9900,uwmp_table_4_2_w!$G$2:$G$9900,"Commercial",uwmp_table_4_2_w!$B$2:$B$9900,'Contractor Assumptions'!$F44),0) + IFERROR(SUMIFS(uwmp_table_4_2_r!K$2:K$9900,uwmp_table_4_2_r!$G$2:$G$9900,"Commercial",uwmp_table_4_2_r!$B$2:$B$9900,'Contractor Assumptions'!$F44),0) + IFERROR(SUMIFS(uwmp_table_4_2_w!K$2:K$9900,uwmp_table_4_2_w!$G$2:$G$9900,"Institutional/Governmental",uwmp_table_4_2_w!$B$2:$B$9900,'Contractor Assumptions'!$F44),0) + IFERROR(SUMIFS(uwmp_table_4_2_r!K$2:K$9900,uwmp_table_4_2_r!$G$2:$G$9900,"Institutional/Governmental",uwmp_table_4_2_r!$B$2:$B$9900,'Contractor Assumptions'!$F44),0))*IFERROR(VLOOKUP(VLOOKUP('Contractor Assumptions'!$F44,uwmp_table_4_2_r!$B$2:$N$9900,13,FALSE),$A$11:$C$13,2,FALSE), VLOOKUP(VLOOKUP('Contractor Assumptions'!$F44,uwmp_table_4_2_w!$B$2:$N$9900,14,FALSE),$A$11:$C$13,2,FALSE))</f>
        <v>1390</v>
      </c>
      <c r="G435" s="471">
        <f>(IFERROR(SUMIFS(uwmp_table_4_2_w!L$2:L$9900,uwmp_table_4_2_w!$G$2:$G$9900,"Commercial",uwmp_table_4_2_w!$B$2:$B$9900,'Contractor Assumptions'!$F44),0) + IFERROR(SUMIFS(uwmp_table_4_2_r!L$2:L$9900,uwmp_table_4_2_r!$G$2:$G$9900,"Commercial",uwmp_table_4_2_r!$B$2:$B$9900,'Contractor Assumptions'!$F44),0) + IFERROR(SUMIFS(uwmp_table_4_2_w!L$2:L$9900,uwmp_table_4_2_w!$G$2:$G$9900,"Institutional/Governmental",uwmp_table_4_2_w!$B$2:$B$9900,'Contractor Assumptions'!$F44),0) + IFERROR(SUMIFS(uwmp_table_4_2_r!L$2:L$9900,uwmp_table_4_2_r!$G$2:$G$9900,"Institutional/Governmental",uwmp_table_4_2_r!$B$2:$B$9900,'Contractor Assumptions'!$F44),0))*IFERROR(VLOOKUP(VLOOKUP('Contractor Assumptions'!$F44,uwmp_table_4_2_r!$B$2:$N$9900,13,FALSE),$A$11:$C$13,2,FALSE), VLOOKUP(VLOOKUP('Contractor Assumptions'!$F44,uwmp_table_4_2_w!$B$2:$N$9900,14,FALSE),$A$11:$C$13,2,FALSE))</f>
        <v>1550</v>
      </c>
      <c r="H435" s="518">
        <f>(IFERROR(SUMIFS(uwmp_table_4_2_w!M$2:M$9900,uwmp_table_4_2_w!$G$2:$G$9900,"Commercial",uwmp_table_4_2_w!$B$2:$B$9900,'Contractor Assumptions'!$F44),0) + IFERROR(SUMIFS(uwmp_table_4_2_r!M$2:M$9900,uwmp_table_4_2_r!$G$2:$G$9900,"Commercial",uwmp_table_4_2_r!$B$2:$B$9900,'Contractor Assumptions'!$F44),0) + IFERROR(SUMIFS(uwmp_table_4_2_w!M$2:M$9900,uwmp_table_4_2_w!$G$2:$G$9900,"Institutional/Governmental",uwmp_table_4_2_w!$B$2:$B$9900,'Contractor Assumptions'!$F44),0) + IFERROR(SUMIFS(uwmp_table_4_2_r!M$2:M$9900,uwmp_table_4_2_r!$G$2:$G$9900,"Institutional/Governmental",uwmp_table_4_2_r!$B$2:$B$9900,'Contractor Assumptions'!$F44),0))*IFERROR(VLOOKUP(VLOOKUP('Contractor Assumptions'!$F44,uwmp_table_4_2_r!$B$2:$N$9900,13,FALSE),$A$11:$C$13,2,FALSE), VLOOKUP(VLOOKUP('Contractor Assumptions'!$F44,uwmp_table_4_2_w!$B$2:$N$9900,14,FALSE),$A$11:$C$13,2,FALSE))</f>
        <v>1730</v>
      </c>
      <c r="I435" s="63"/>
      <c r="J435" s="70"/>
      <c r="K435" s="70"/>
      <c r="L435" s="70"/>
      <c r="M435" s="70"/>
      <c r="N435" s="70"/>
      <c r="O435" s="70"/>
      <c r="P435" s="70"/>
    </row>
    <row r="436" spans="1:16" hidden="1" outlineLevel="1" x14ac:dyDescent="0.3">
      <c r="A436" s="63" t="s">
        <v>447</v>
      </c>
      <c r="B436" s="63" t="s">
        <v>940</v>
      </c>
      <c r="C436" s="63" t="str">
        <f t="shared" si="6"/>
        <v>San Bernardino Valley Municipal Water District</v>
      </c>
      <c r="D436" s="471">
        <f>(IFERROR(SUMIFS(uwmp_table_4_2_w!I$2:I$9900,uwmp_table_4_2_w!$G$2:$G$9900,"Commercial",uwmp_table_4_2_w!$B$2:$B$9900,'Contractor Assumptions'!$F45),0) + IFERROR(SUMIFS(uwmp_table_4_2_r!I$2:I$9900,uwmp_table_4_2_r!$G$2:$G$9900,"Commercial",uwmp_table_4_2_r!$B$2:$B$9900,'Contractor Assumptions'!$F45),0) + IFERROR(SUMIFS(uwmp_table_4_2_w!I$2:I$9900,uwmp_table_4_2_w!$G$2:$G$9900,"Institutional/Governmental",uwmp_table_4_2_w!$B$2:$B$9900,'Contractor Assumptions'!$F45),0) + IFERROR(SUMIFS(uwmp_table_4_2_r!I$2:I$9900,uwmp_table_4_2_r!$G$2:$G$9900,"Institutional/Governmental",uwmp_table_4_2_r!$B$2:$B$9900,'Contractor Assumptions'!$F45),0))</f>
        <v>0</v>
      </c>
      <c r="E436" s="471">
        <f>(IFERROR(SUMIFS(uwmp_table_4_2_w!J$2:J$9900,uwmp_table_4_2_w!$G$2:$G$9900,"Commercial",uwmp_table_4_2_w!$B$2:$B$9900,'Contractor Assumptions'!$F45),0) + IFERROR(SUMIFS(uwmp_table_4_2_r!J$2:J$9900,uwmp_table_4_2_r!$G$2:$G$9900,"Commercial",uwmp_table_4_2_r!$B$2:$B$9900,'Contractor Assumptions'!$F45),0) + IFERROR(SUMIFS(uwmp_table_4_2_w!J$2:J$9900,uwmp_table_4_2_w!$G$2:$G$9900,"Institutional/Governmental",uwmp_table_4_2_w!$B$2:$B$9900,'Contractor Assumptions'!$F45),0) + IFERROR(SUMIFS(uwmp_table_4_2_r!J$2:J$9900,uwmp_table_4_2_r!$G$2:$G$9900,"Institutional/Governmental",uwmp_table_4_2_r!$B$2:$B$9900,'Contractor Assumptions'!$F45),0))</f>
        <v>0</v>
      </c>
      <c r="F436" s="471">
        <f>(IFERROR(SUMIFS(uwmp_table_4_2_w!K$2:K$9900,uwmp_table_4_2_w!$G$2:$G$9900,"Commercial",uwmp_table_4_2_w!$B$2:$B$9900,'Contractor Assumptions'!$F45),0) + IFERROR(SUMIFS(uwmp_table_4_2_r!K$2:K$9900,uwmp_table_4_2_r!$G$2:$G$9900,"Commercial",uwmp_table_4_2_r!$B$2:$B$9900,'Contractor Assumptions'!$F45),0) + IFERROR(SUMIFS(uwmp_table_4_2_w!K$2:K$9900,uwmp_table_4_2_w!$G$2:$G$9900,"Institutional/Governmental",uwmp_table_4_2_w!$B$2:$B$9900,'Contractor Assumptions'!$F45),0) + IFERROR(SUMIFS(uwmp_table_4_2_r!K$2:K$9900,uwmp_table_4_2_r!$G$2:$G$9900,"Institutional/Governmental",uwmp_table_4_2_r!$B$2:$B$9900,'Contractor Assumptions'!$F45),0))</f>
        <v>0</v>
      </c>
      <c r="G436" s="471">
        <f>(IFERROR(SUMIFS(uwmp_table_4_2_w!L$2:L$9900,uwmp_table_4_2_w!$G$2:$G$9900,"Commercial",uwmp_table_4_2_w!$B$2:$B$9900,'Contractor Assumptions'!$F45),0) + IFERROR(SUMIFS(uwmp_table_4_2_r!L$2:L$9900,uwmp_table_4_2_r!$G$2:$G$9900,"Commercial",uwmp_table_4_2_r!$B$2:$B$9900,'Contractor Assumptions'!$F45),0) + IFERROR(SUMIFS(uwmp_table_4_2_w!L$2:L$9900,uwmp_table_4_2_w!$G$2:$G$9900,"Institutional/Governmental",uwmp_table_4_2_w!$B$2:$B$9900,'Contractor Assumptions'!$F45),0) + IFERROR(SUMIFS(uwmp_table_4_2_r!L$2:L$9900,uwmp_table_4_2_r!$G$2:$G$9900,"Institutional/Governmental",uwmp_table_4_2_r!$B$2:$B$9900,'Contractor Assumptions'!$F45),0))</f>
        <v>0</v>
      </c>
      <c r="H436" s="518">
        <f>(IFERROR(SUMIFS(uwmp_table_4_2_w!M$2:M$9900,uwmp_table_4_2_w!$G$2:$G$9900,"Commercial",uwmp_table_4_2_w!$B$2:$B$9900,'Contractor Assumptions'!$F45),0) + IFERROR(SUMIFS(uwmp_table_4_2_r!M$2:M$9900,uwmp_table_4_2_r!$G$2:$G$9900,"Commercial",uwmp_table_4_2_r!$B$2:$B$9900,'Contractor Assumptions'!$F45),0) + IFERROR(SUMIFS(uwmp_table_4_2_w!M$2:M$9900,uwmp_table_4_2_w!$G$2:$G$9900,"Institutional/Governmental",uwmp_table_4_2_w!$B$2:$B$9900,'Contractor Assumptions'!$F45),0) + IFERROR(SUMIFS(uwmp_table_4_2_r!M$2:M$9900,uwmp_table_4_2_r!$G$2:$G$9900,"Institutional/Governmental",uwmp_table_4_2_r!$B$2:$B$9900,'Contractor Assumptions'!$F45),0))</f>
        <v>0</v>
      </c>
      <c r="I436" s="63"/>
      <c r="J436" s="70"/>
      <c r="K436" s="70"/>
      <c r="L436" s="70"/>
      <c r="M436" s="70"/>
      <c r="N436" s="70"/>
      <c r="O436" s="70"/>
      <c r="P436" s="70"/>
    </row>
    <row r="437" spans="1:16" hidden="1" outlineLevel="1" x14ac:dyDescent="0.3">
      <c r="A437" s="63" t="s">
        <v>447</v>
      </c>
      <c r="B437" s="63" t="s">
        <v>940</v>
      </c>
      <c r="C437" s="63" t="str">
        <f t="shared" si="6"/>
        <v>San Gabriel Valley Municipal Water District</v>
      </c>
      <c r="D437" s="471" t="s">
        <v>204</v>
      </c>
      <c r="E437" s="471" t="s">
        <v>204</v>
      </c>
      <c r="F437" s="471" t="s">
        <v>204</v>
      </c>
      <c r="G437" s="471" t="s">
        <v>204</v>
      </c>
      <c r="H437" s="518" t="s">
        <v>204</v>
      </c>
      <c r="I437" s="63"/>
      <c r="J437" s="70"/>
      <c r="K437" s="70"/>
      <c r="L437" s="70"/>
      <c r="M437" s="70"/>
      <c r="N437" s="70"/>
      <c r="O437" s="70"/>
      <c r="P437" s="70"/>
    </row>
    <row r="438" spans="1:16" hidden="1" outlineLevel="1" x14ac:dyDescent="0.3">
      <c r="A438" s="63" t="s">
        <v>447</v>
      </c>
      <c r="B438" s="63" t="s">
        <v>940</v>
      </c>
      <c r="C438" s="63" t="str">
        <f t="shared" si="6"/>
        <v>San Gorgonio Pass Water Agency</v>
      </c>
      <c r="D438" s="471">
        <v>3104</v>
      </c>
      <c r="E438" s="471">
        <v>3371</v>
      </c>
      <c r="F438" s="471">
        <v>3605</v>
      </c>
      <c r="G438" s="471">
        <v>3810</v>
      </c>
      <c r="H438" s="518">
        <v>3990</v>
      </c>
      <c r="I438" s="66" t="s">
        <v>1018</v>
      </c>
      <c r="J438" s="70"/>
      <c r="K438" s="70"/>
      <c r="L438" s="70"/>
      <c r="M438" s="70"/>
      <c r="N438" s="70"/>
      <c r="O438" s="70"/>
      <c r="P438" s="70"/>
    </row>
    <row r="439" spans="1:16" hidden="1" outlineLevel="1" x14ac:dyDescent="0.3">
      <c r="A439" s="63" t="s">
        <v>447</v>
      </c>
      <c r="B439" s="63" t="s">
        <v>940</v>
      </c>
      <c r="C439" s="63" t="str">
        <f t="shared" si="6"/>
        <v>Ventura County Watershed Protection District</v>
      </c>
      <c r="D439" s="471" t="s">
        <v>204</v>
      </c>
      <c r="E439" s="471" t="s">
        <v>204</v>
      </c>
      <c r="F439" s="471" t="s">
        <v>204</v>
      </c>
      <c r="G439" s="471" t="s">
        <v>204</v>
      </c>
      <c r="H439" s="518" t="s">
        <v>204</v>
      </c>
      <c r="I439" s="63"/>
      <c r="J439" s="70"/>
      <c r="K439" s="70"/>
      <c r="L439" s="70"/>
      <c r="M439" s="70"/>
      <c r="N439" s="70"/>
      <c r="O439" s="70"/>
      <c r="P439" s="70"/>
    </row>
    <row r="440" spans="1:16" collapsed="1" x14ac:dyDescent="0.3">
      <c r="A440" s="120"/>
      <c r="B440" s="120"/>
      <c r="C440" s="407" t="s">
        <v>992</v>
      </c>
      <c r="D440" s="121"/>
      <c r="E440" s="121"/>
      <c r="F440" s="121"/>
      <c r="G440" s="121"/>
      <c r="H440" s="519"/>
      <c r="I440" s="121"/>
      <c r="J440" s="70"/>
      <c r="K440" s="70"/>
      <c r="L440" s="70"/>
      <c r="M440" s="70"/>
      <c r="N440" s="70"/>
      <c r="O440" s="70"/>
      <c r="P440" s="70"/>
    </row>
    <row r="441" spans="1:16" x14ac:dyDescent="0.3">
      <c r="A441" s="63"/>
      <c r="B441" s="63"/>
      <c r="C441" s="129" t="s">
        <v>990</v>
      </c>
      <c r="D441" s="148">
        <f>SUM(D443:D485)</f>
        <v>263482</v>
      </c>
      <c r="E441" s="148">
        <f>SUM(E443:E485)</f>
        <v>253865</v>
      </c>
      <c r="F441" s="148">
        <f>SUM(F443:F485)</f>
        <v>248898</v>
      </c>
      <c r="G441" s="148">
        <f>SUM(G443:G485)</f>
        <v>240678</v>
      </c>
      <c r="H441" s="522">
        <f>SUM(H443:H485)</f>
        <v>237613</v>
      </c>
      <c r="I441" s="66"/>
      <c r="J441" s="70"/>
      <c r="K441" s="70"/>
      <c r="L441" s="70"/>
      <c r="M441" s="70"/>
      <c r="N441" s="70"/>
      <c r="O441" s="70"/>
      <c r="P441" s="70"/>
    </row>
    <row r="442" spans="1:16" x14ac:dyDescent="0.3">
      <c r="A442" s="122" t="s">
        <v>5</v>
      </c>
      <c r="B442" s="122"/>
      <c r="C442" s="122" t="s">
        <v>193</v>
      </c>
      <c r="D442" s="123">
        <v>2025</v>
      </c>
      <c r="E442" s="123">
        <v>2030</v>
      </c>
      <c r="F442" s="123">
        <v>2035</v>
      </c>
      <c r="G442" s="123">
        <v>2040</v>
      </c>
      <c r="H442" s="505">
        <v>2045</v>
      </c>
      <c r="I442" s="123" t="s">
        <v>153</v>
      </c>
      <c r="J442" s="70"/>
      <c r="K442" s="70"/>
      <c r="L442" s="70"/>
      <c r="M442" s="70"/>
      <c r="N442" s="70"/>
      <c r="O442" s="70"/>
      <c r="P442" s="70"/>
    </row>
    <row r="443" spans="1:16" hidden="1" outlineLevel="1" x14ac:dyDescent="0.3">
      <c r="A443" s="63" t="s">
        <v>1023</v>
      </c>
      <c r="B443" s="63" t="s">
        <v>855</v>
      </c>
      <c r="C443" s="63" t="str">
        <f t="shared" ref="C443:C485" si="8">C397</f>
        <v>Butte County</v>
      </c>
      <c r="D443" s="471" t="s">
        <v>204</v>
      </c>
      <c r="E443" s="471" t="s">
        <v>204</v>
      </c>
      <c r="F443" s="471" t="s">
        <v>204</v>
      </c>
      <c r="G443" s="471" t="s">
        <v>204</v>
      </c>
      <c r="H443" s="518" t="s">
        <v>204</v>
      </c>
      <c r="I443" s="66"/>
      <c r="J443" s="70"/>
      <c r="K443" s="70"/>
      <c r="L443" s="70"/>
      <c r="M443" s="70"/>
      <c r="N443" s="70"/>
      <c r="O443" s="70"/>
      <c r="P443" s="70"/>
    </row>
    <row r="444" spans="1:16" hidden="1" outlineLevel="1" x14ac:dyDescent="0.3">
      <c r="A444" s="63" t="s">
        <v>1023</v>
      </c>
      <c r="B444" s="63" t="s">
        <v>855</v>
      </c>
      <c r="C444" s="63" t="str">
        <f t="shared" si="8"/>
        <v>City of Folsom</v>
      </c>
      <c r="D444" s="472">
        <f>IFERROR(SUMIFS(uwmp_table_4_2_w!I$2:I$9900,uwmp_table_4_2_w!$G$2:$G$9900,"Agricultural irrigation",uwmp_table_4_2_w!$B$2:$B$9900,'Contractor Assumptions'!$F7),0) + IFERROR(SUMIFS(uwmp_table_4_2_r!I$2:I$9900,uwmp_table_4_2_r!$G$2:$G$9900,"Agricultural irrigation",uwmp_table_4_2_r!$B$2:$B$9900,'Contractor Assumptions'!$F7),0)*IFERROR(VLOOKUP(VLOOKUP('Contractor Assumptions'!$F7,uwmp_table_4_2_r!$B$2:$N$9900,13,FALSE),$A$11:$C$13,2,FALSE), VLOOKUP(VLOOKUP('Contractor Assumptions'!$F7,uwmp_table_4_2_w!$B$2:$N$9900,14,FALSE),$A$11:$C$13,2,FALSE))</f>
        <v>0</v>
      </c>
      <c r="E444" s="472">
        <f>IFERROR(SUMIFS(uwmp_table_4_2_w!J$2:J$9900,uwmp_table_4_2_w!$G$2:$G$9900,"Agricultural irrigation",uwmp_table_4_2_w!$B$2:$B$9900,'Contractor Assumptions'!$F7),0) + IFERROR(SUMIFS(uwmp_table_4_2_r!J$2:J$9900,uwmp_table_4_2_r!$G$2:$G$9900,"Agricultural irrigation",uwmp_table_4_2_r!$B$2:$B$9900,'Contractor Assumptions'!$F7),0)*IFERROR(VLOOKUP(VLOOKUP('Contractor Assumptions'!$F7,uwmp_table_4_2_r!$B$2:$N$9900,13,FALSE),$A$11:$C$13,2,FALSE), VLOOKUP(VLOOKUP('Contractor Assumptions'!$F7,uwmp_table_4_2_w!$B$2:$N$9900,14,FALSE),$A$11:$C$13,2,FALSE))</f>
        <v>0</v>
      </c>
      <c r="F444" s="472">
        <f>IFERROR(SUMIFS(uwmp_table_4_2_w!K$2:K$9900,uwmp_table_4_2_w!$G$2:$G$9900,"Agricultural irrigation",uwmp_table_4_2_w!$B$2:$B$9900,'Contractor Assumptions'!$F7),0) + IFERROR(SUMIFS(uwmp_table_4_2_r!K$2:K$9900,uwmp_table_4_2_r!$G$2:$G$9900,"Agricultural irrigation",uwmp_table_4_2_r!$B$2:$B$9900,'Contractor Assumptions'!$F7),0)*IFERROR(VLOOKUP(VLOOKUP('Contractor Assumptions'!$F7,uwmp_table_4_2_r!$B$2:$N$9900,13,FALSE),$A$11:$C$13,2,FALSE), VLOOKUP(VLOOKUP('Contractor Assumptions'!$F7,uwmp_table_4_2_w!$B$2:$N$9900,14,FALSE),$A$11:$C$13,2,FALSE))</f>
        <v>0</v>
      </c>
      <c r="G444" s="472">
        <f>IFERROR(SUMIFS(uwmp_table_4_2_w!L$2:L$9900,uwmp_table_4_2_w!$G$2:$G$9900,"Agricultural irrigation",uwmp_table_4_2_w!$B$2:$B$9900,'Contractor Assumptions'!$F7),0) + IFERROR(SUMIFS(uwmp_table_4_2_r!L$2:L$9900,uwmp_table_4_2_r!$G$2:$G$9900,"Agricultural irrigation",uwmp_table_4_2_r!$B$2:$B$9900,'Contractor Assumptions'!$F7),0)*IFERROR(VLOOKUP(VLOOKUP('Contractor Assumptions'!$F7,uwmp_table_4_2_r!$B$2:$N$9900,13,FALSE),$A$11:$C$13,2,FALSE), VLOOKUP(VLOOKUP('Contractor Assumptions'!$F7,uwmp_table_4_2_w!$B$2:$N$9900,14,FALSE),$A$11:$C$13,2,FALSE))</f>
        <v>0</v>
      </c>
      <c r="H444" s="520">
        <f>IFERROR(SUMIFS(uwmp_table_4_2_w!M$2:M$9900,uwmp_table_4_2_w!$G$2:$G$9900,"Agricultural irrigation",uwmp_table_4_2_w!$B$2:$B$9900,'Contractor Assumptions'!$F7),0) + IFERROR(SUMIFS(uwmp_table_4_2_r!M$2:M$9900,uwmp_table_4_2_r!$G$2:$G$9900,"Agricultural irrigation",uwmp_table_4_2_r!$B$2:$B$9900,'Contractor Assumptions'!$F7),0)*IFERROR(VLOOKUP(VLOOKUP('Contractor Assumptions'!$F7,uwmp_table_4_2_r!$B$2:$N$9900,13,FALSE),$A$11:$C$13,2,FALSE), VLOOKUP(VLOOKUP('Contractor Assumptions'!$F7,uwmp_table_4_2_w!$B$2:$N$9900,14,FALSE),$A$11:$C$13,2,FALSE))</f>
        <v>0</v>
      </c>
      <c r="I444" s="66" t="s">
        <v>1005</v>
      </c>
      <c r="J444" s="70"/>
      <c r="K444" s="70"/>
      <c r="L444" s="70"/>
      <c r="M444" s="70"/>
      <c r="N444" s="70"/>
      <c r="O444" s="70"/>
      <c r="P444" s="70"/>
    </row>
    <row r="445" spans="1:16" hidden="1" outlineLevel="1" x14ac:dyDescent="0.3">
      <c r="A445" s="63" t="s">
        <v>1023</v>
      </c>
      <c r="B445" s="63" t="s">
        <v>855</v>
      </c>
      <c r="C445" s="63" t="str">
        <f t="shared" si="8"/>
        <v>City of Redding</v>
      </c>
      <c r="D445" s="472">
        <f>IFERROR(SUMIFS(uwmp_table_4_2_w!I$2:I$9900,uwmp_table_4_2_w!$G$2:$G$9900,"Agricultural irrigation",uwmp_table_4_2_w!$B$2:$B$9900,'Contractor Assumptions'!$F8),0) + IFERROR(SUMIFS(uwmp_table_4_2_r!I$2:I$9900,uwmp_table_4_2_r!$G$2:$G$9900,"Agricultural irrigation",uwmp_table_4_2_r!$B$2:$B$9900,'Contractor Assumptions'!$F8),0)*IFERROR(VLOOKUP(VLOOKUP('Contractor Assumptions'!$F8,uwmp_table_4_2_r!$B$2:$N$9900,13,FALSE),$A$11:$C$13,2,FALSE), VLOOKUP(VLOOKUP('Contractor Assumptions'!$F8,uwmp_table_4_2_w!$B$2:$N$9900,14,FALSE),$A$11:$C$13,2,FALSE))</f>
        <v>0</v>
      </c>
      <c r="E445" s="472">
        <f>IFERROR(SUMIFS(uwmp_table_4_2_w!J$2:J$9900,uwmp_table_4_2_w!$G$2:$G$9900,"Agricultural irrigation",uwmp_table_4_2_w!$B$2:$B$9900,'Contractor Assumptions'!$F8),0) + IFERROR(SUMIFS(uwmp_table_4_2_r!J$2:J$9900,uwmp_table_4_2_r!$G$2:$G$9900,"Agricultural irrigation",uwmp_table_4_2_r!$B$2:$B$9900,'Contractor Assumptions'!$F8),0)*IFERROR(VLOOKUP(VLOOKUP('Contractor Assumptions'!$F8,uwmp_table_4_2_r!$B$2:$N$9900,13,FALSE),$A$11:$C$13,2,FALSE), VLOOKUP(VLOOKUP('Contractor Assumptions'!$F8,uwmp_table_4_2_w!$B$2:$N$9900,14,FALSE),$A$11:$C$13,2,FALSE))</f>
        <v>0</v>
      </c>
      <c r="F445" s="472">
        <f>IFERROR(SUMIFS(uwmp_table_4_2_w!K$2:K$9900,uwmp_table_4_2_w!$G$2:$G$9900,"Agricultural irrigation",uwmp_table_4_2_w!$B$2:$B$9900,'Contractor Assumptions'!$F8),0) + IFERROR(SUMIFS(uwmp_table_4_2_r!K$2:K$9900,uwmp_table_4_2_r!$G$2:$G$9900,"Agricultural irrigation",uwmp_table_4_2_r!$B$2:$B$9900,'Contractor Assumptions'!$F8),0)*IFERROR(VLOOKUP(VLOOKUP('Contractor Assumptions'!$F8,uwmp_table_4_2_r!$B$2:$N$9900,13,FALSE),$A$11:$C$13,2,FALSE), VLOOKUP(VLOOKUP('Contractor Assumptions'!$F8,uwmp_table_4_2_w!$B$2:$N$9900,14,FALSE),$A$11:$C$13,2,FALSE))</f>
        <v>0</v>
      </c>
      <c r="G445" s="472">
        <f>IFERROR(SUMIFS(uwmp_table_4_2_w!L$2:L$9900,uwmp_table_4_2_w!$G$2:$G$9900,"Agricultural irrigation",uwmp_table_4_2_w!$B$2:$B$9900,'Contractor Assumptions'!$F8),0) + IFERROR(SUMIFS(uwmp_table_4_2_r!L$2:L$9900,uwmp_table_4_2_r!$G$2:$G$9900,"Agricultural irrigation",uwmp_table_4_2_r!$B$2:$B$9900,'Contractor Assumptions'!$F8),0)*IFERROR(VLOOKUP(VLOOKUP('Contractor Assumptions'!$F8,uwmp_table_4_2_r!$B$2:$N$9900,13,FALSE),$A$11:$C$13,2,FALSE), VLOOKUP(VLOOKUP('Contractor Assumptions'!$F8,uwmp_table_4_2_w!$B$2:$N$9900,14,FALSE),$A$11:$C$13,2,FALSE))</f>
        <v>0</v>
      </c>
      <c r="H445" s="520">
        <f>IFERROR(SUMIFS(uwmp_table_4_2_w!M$2:M$9900,uwmp_table_4_2_w!$G$2:$G$9900,"Agricultural irrigation",uwmp_table_4_2_w!$B$2:$B$9900,'Contractor Assumptions'!$F8),0) + IFERROR(SUMIFS(uwmp_table_4_2_r!M$2:M$9900,uwmp_table_4_2_r!$G$2:$G$9900,"Agricultural irrigation",uwmp_table_4_2_r!$B$2:$B$9900,'Contractor Assumptions'!$F8),0)*IFERROR(VLOOKUP(VLOOKUP('Contractor Assumptions'!$F8,uwmp_table_4_2_r!$B$2:$N$9900,13,FALSE),$A$11:$C$13,2,FALSE), VLOOKUP(VLOOKUP('Contractor Assumptions'!$F8,uwmp_table_4_2_w!$B$2:$N$9900,14,FALSE),$A$11:$C$13,2,FALSE))</f>
        <v>0</v>
      </c>
      <c r="I445" s="66"/>
      <c r="J445" s="70"/>
      <c r="K445" s="70"/>
      <c r="L445" s="70"/>
      <c r="M445" s="70"/>
      <c r="N445" s="70"/>
      <c r="O445" s="70"/>
      <c r="P445" s="70"/>
    </row>
    <row r="446" spans="1:16" hidden="1" outlineLevel="1" x14ac:dyDescent="0.3">
      <c r="A446" s="63" t="s">
        <v>1023</v>
      </c>
      <c r="B446" s="63" t="s">
        <v>855</v>
      </c>
      <c r="C446" s="63" t="str">
        <f t="shared" si="8"/>
        <v>City of Roseville</v>
      </c>
      <c r="D446" s="472">
        <f>IFERROR(SUMIFS(uwmp_table_4_2_w!I$2:I$9900,uwmp_table_4_2_w!$G$2:$G$9900,"Agricultural irrigation",uwmp_table_4_2_w!$B$2:$B$9900,'Contractor Assumptions'!$F9),0) + IFERROR(SUMIFS(uwmp_table_4_2_r!I$2:I$9900,uwmp_table_4_2_r!$G$2:$G$9900,"Agricultural irrigation",uwmp_table_4_2_r!$B$2:$B$9900,'Contractor Assumptions'!$F9),0)*IFERROR(VLOOKUP(VLOOKUP('Contractor Assumptions'!$F9,uwmp_table_4_2_r!$B$2:$N$9900,13,FALSE),$A$11:$C$13,2,FALSE), VLOOKUP(VLOOKUP('Contractor Assumptions'!$F9,uwmp_table_4_2_w!$B$2:$N$9900,14,FALSE),$A$11:$C$13,2,FALSE))</f>
        <v>0</v>
      </c>
      <c r="E446" s="472">
        <f>IFERROR(SUMIFS(uwmp_table_4_2_w!J$2:J$9900,uwmp_table_4_2_w!$G$2:$G$9900,"Agricultural irrigation",uwmp_table_4_2_w!$B$2:$B$9900,'Contractor Assumptions'!$F9),0) + IFERROR(SUMIFS(uwmp_table_4_2_r!J$2:J$9900,uwmp_table_4_2_r!$G$2:$G$9900,"Agricultural irrigation",uwmp_table_4_2_r!$B$2:$B$9900,'Contractor Assumptions'!$F9),0)*IFERROR(VLOOKUP(VLOOKUP('Contractor Assumptions'!$F9,uwmp_table_4_2_r!$B$2:$N$9900,13,FALSE),$A$11:$C$13,2,FALSE), VLOOKUP(VLOOKUP('Contractor Assumptions'!$F9,uwmp_table_4_2_w!$B$2:$N$9900,14,FALSE),$A$11:$C$13,2,FALSE))</f>
        <v>0</v>
      </c>
      <c r="F446" s="472">
        <f>IFERROR(SUMIFS(uwmp_table_4_2_w!K$2:K$9900,uwmp_table_4_2_w!$G$2:$G$9900,"Agricultural irrigation",uwmp_table_4_2_w!$B$2:$B$9900,'Contractor Assumptions'!$F9),0) + IFERROR(SUMIFS(uwmp_table_4_2_r!K$2:K$9900,uwmp_table_4_2_r!$G$2:$G$9900,"Agricultural irrigation",uwmp_table_4_2_r!$B$2:$B$9900,'Contractor Assumptions'!$F9),0)*IFERROR(VLOOKUP(VLOOKUP('Contractor Assumptions'!$F9,uwmp_table_4_2_r!$B$2:$N$9900,13,FALSE),$A$11:$C$13,2,FALSE), VLOOKUP(VLOOKUP('Contractor Assumptions'!$F9,uwmp_table_4_2_w!$B$2:$N$9900,14,FALSE),$A$11:$C$13,2,FALSE))</f>
        <v>0</v>
      </c>
      <c r="G446" s="472">
        <f>IFERROR(SUMIFS(uwmp_table_4_2_w!L$2:L$9900,uwmp_table_4_2_w!$G$2:$G$9900,"Agricultural irrigation",uwmp_table_4_2_w!$B$2:$B$9900,'Contractor Assumptions'!$F9),0) + IFERROR(SUMIFS(uwmp_table_4_2_r!L$2:L$9900,uwmp_table_4_2_r!$G$2:$G$9900,"Agricultural irrigation",uwmp_table_4_2_r!$B$2:$B$9900,'Contractor Assumptions'!$F9),0)*IFERROR(VLOOKUP(VLOOKUP('Contractor Assumptions'!$F9,uwmp_table_4_2_r!$B$2:$N$9900,13,FALSE),$A$11:$C$13,2,FALSE), VLOOKUP(VLOOKUP('Contractor Assumptions'!$F9,uwmp_table_4_2_w!$B$2:$N$9900,14,FALSE),$A$11:$C$13,2,FALSE))</f>
        <v>0</v>
      </c>
      <c r="H446" s="520">
        <f>IFERROR(SUMIFS(uwmp_table_4_2_w!M$2:M$9900,uwmp_table_4_2_w!$G$2:$G$9900,"Agricultural irrigation",uwmp_table_4_2_w!$B$2:$B$9900,'Contractor Assumptions'!$F9),0) + IFERROR(SUMIFS(uwmp_table_4_2_r!M$2:M$9900,uwmp_table_4_2_r!$G$2:$G$9900,"Agricultural irrigation",uwmp_table_4_2_r!$B$2:$B$9900,'Contractor Assumptions'!$F9),0)*IFERROR(VLOOKUP(VLOOKUP('Contractor Assumptions'!$F9,uwmp_table_4_2_r!$B$2:$N$9900,13,FALSE),$A$11:$C$13,2,FALSE), VLOOKUP(VLOOKUP('Contractor Assumptions'!$F9,uwmp_table_4_2_w!$B$2:$N$9900,14,FALSE),$A$11:$C$13,2,FALSE))</f>
        <v>0</v>
      </c>
      <c r="I446" s="66" t="s">
        <v>1006</v>
      </c>
      <c r="J446" s="70"/>
      <c r="K446" s="70"/>
      <c r="L446" s="70"/>
      <c r="M446" s="70"/>
      <c r="N446" s="70"/>
      <c r="O446" s="70"/>
      <c r="P446" s="70"/>
    </row>
    <row r="447" spans="1:16" hidden="1" outlineLevel="1" x14ac:dyDescent="0.3">
      <c r="A447" s="63" t="s">
        <v>1023</v>
      </c>
      <c r="B447" s="63" t="s">
        <v>855</v>
      </c>
      <c r="C447" s="63" t="str">
        <f t="shared" si="8"/>
        <v>City of West Sacramento</v>
      </c>
      <c r="D447" s="472">
        <f>IFERROR(SUMIFS(uwmp_table_4_2_w!I$2:I$9900,uwmp_table_4_2_w!$G$2:$G$9900,"Agricultural irrigation",uwmp_table_4_2_w!$B$2:$B$9900,'Contractor Assumptions'!$F10),0) + IFERROR(SUMIFS(uwmp_table_4_2_r!I$2:I$9900,uwmp_table_4_2_r!$G$2:$G$9900,"Agricultural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E447" s="472">
        <f>IFERROR(SUMIFS(uwmp_table_4_2_w!J$2:J$9900,uwmp_table_4_2_w!$G$2:$G$9900,"Agricultural irrigation",uwmp_table_4_2_w!$B$2:$B$9900,'Contractor Assumptions'!$F10),0) + IFERROR(SUMIFS(uwmp_table_4_2_r!J$2:J$9900,uwmp_table_4_2_r!$G$2:$G$9900,"Agricultural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F447" s="472">
        <f>IFERROR(SUMIFS(uwmp_table_4_2_w!K$2:K$9900,uwmp_table_4_2_w!$G$2:$G$9900,"Agricultural irrigation",uwmp_table_4_2_w!$B$2:$B$9900,'Contractor Assumptions'!$F10),0) + IFERROR(SUMIFS(uwmp_table_4_2_r!K$2:K$9900,uwmp_table_4_2_r!$G$2:$G$9900,"Agricultural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G447" s="472">
        <f>IFERROR(SUMIFS(uwmp_table_4_2_w!L$2:L$9900,uwmp_table_4_2_w!$G$2:$G$9900,"Agricultural irrigation",uwmp_table_4_2_w!$B$2:$B$9900,'Contractor Assumptions'!$F10),0) + IFERROR(SUMIFS(uwmp_table_4_2_r!L$2:L$9900,uwmp_table_4_2_r!$G$2:$G$9900,"Agricultural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H447" s="520">
        <f>IFERROR(SUMIFS(uwmp_table_4_2_w!M$2:M$9900,uwmp_table_4_2_w!$G$2:$G$9900,"Agricultural irrigation",uwmp_table_4_2_w!$B$2:$B$9900,'Contractor Assumptions'!$F10),0) + IFERROR(SUMIFS(uwmp_table_4_2_r!M$2:M$9900,uwmp_table_4_2_r!$G$2:$G$9900,"Agricultural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I447" s="66"/>
      <c r="J447" s="70"/>
      <c r="K447" s="70"/>
      <c r="L447" s="70"/>
      <c r="M447" s="70"/>
      <c r="N447" s="70"/>
      <c r="O447" s="70"/>
      <c r="P447" s="70"/>
    </row>
    <row r="448" spans="1:16" hidden="1" outlineLevel="1" x14ac:dyDescent="0.3">
      <c r="A448" s="63" t="s">
        <v>1023</v>
      </c>
      <c r="B448" s="63" t="s">
        <v>855</v>
      </c>
      <c r="C448" s="63" t="str">
        <f t="shared" si="8"/>
        <v>Yuba City</v>
      </c>
      <c r="D448" s="472">
        <f>IFERROR(SUMIFS(uwmp_table_4_2_w!I$2:I$9900,uwmp_table_4_2_w!$G$2:$G$9900,"Agricultural irrigation",uwmp_table_4_2_w!$B$2:$B$9900,'Contractor Assumptions'!$F11),0) + IFERROR(SUMIFS(uwmp_table_4_2_r!I$2:I$9900,uwmp_table_4_2_r!$G$2:$G$9900,"Agricultural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E448" s="472">
        <f>IFERROR(SUMIFS(uwmp_table_4_2_w!J$2:J$9900,uwmp_table_4_2_w!$G$2:$G$9900,"Agricultural irrigation",uwmp_table_4_2_w!$B$2:$B$9900,'Contractor Assumptions'!$F11),0) + IFERROR(SUMIFS(uwmp_table_4_2_r!J$2:J$9900,uwmp_table_4_2_r!$G$2:$G$9900,"Agricultural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F448" s="472">
        <f>IFERROR(SUMIFS(uwmp_table_4_2_w!K$2:K$9900,uwmp_table_4_2_w!$G$2:$G$9900,"Agricultural irrigation",uwmp_table_4_2_w!$B$2:$B$9900,'Contractor Assumptions'!$F11),0) + IFERROR(SUMIFS(uwmp_table_4_2_r!K$2:K$9900,uwmp_table_4_2_r!$G$2:$G$9900,"Agricultural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G448" s="472">
        <f>IFERROR(SUMIFS(uwmp_table_4_2_w!L$2:L$9900,uwmp_table_4_2_w!$G$2:$G$9900,"Agricultural irrigation",uwmp_table_4_2_w!$B$2:$B$9900,'Contractor Assumptions'!$F11),0) + IFERROR(SUMIFS(uwmp_table_4_2_r!L$2:L$9900,uwmp_table_4_2_r!$G$2:$G$9900,"Agricultural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H448" s="520">
        <f>IFERROR(SUMIFS(uwmp_table_4_2_w!M$2:M$9900,uwmp_table_4_2_w!$G$2:$G$9900,"Agricultural irrigation",uwmp_table_4_2_w!$B$2:$B$9900,'Contractor Assumptions'!$F11),0) + IFERROR(SUMIFS(uwmp_table_4_2_r!M$2:M$9900,uwmp_table_4_2_r!$G$2:$G$9900,"Agricultural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I448" s="66" t="str">
        <f>I402</f>
        <v>2020 UWMP Table 4-9 (Yuba City, 2021)</v>
      </c>
      <c r="J448" s="70"/>
      <c r="K448" s="70"/>
      <c r="L448" s="70"/>
      <c r="M448" s="70"/>
      <c r="N448" s="70"/>
      <c r="O448" s="70"/>
      <c r="P448" s="70"/>
    </row>
    <row r="449" spans="1:16" hidden="1" outlineLevel="1" x14ac:dyDescent="0.3">
      <c r="A449" s="63" t="s">
        <v>1023</v>
      </c>
      <c r="B449" s="63" t="s">
        <v>855</v>
      </c>
      <c r="C449" s="63" t="str">
        <f t="shared" si="8"/>
        <v>El Dorado Irrigation District</v>
      </c>
      <c r="D449" s="472">
        <v>5210</v>
      </c>
      <c r="E449" s="472">
        <v>5360</v>
      </c>
      <c r="F449" s="472">
        <v>5510</v>
      </c>
      <c r="G449" s="472">
        <v>5660</v>
      </c>
      <c r="H449" s="520">
        <v>5810</v>
      </c>
      <c r="I449" s="66" t="str">
        <f>I403</f>
        <v>2020 UWMP Table 4-11 (El Dorado Irrigation District, 2021)</v>
      </c>
      <c r="J449" s="70"/>
      <c r="K449" s="70"/>
      <c r="L449" s="70"/>
      <c r="M449" s="70"/>
      <c r="N449" s="70"/>
      <c r="O449" s="70"/>
      <c r="P449" s="70"/>
    </row>
    <row r="450" spans="1:16" hidden="1" outlineLevel="1" x14ac:dyDescent="0.3">
      <c r="A450" s="63" t="s">
        <v>1023</v>
      </c>
      <c r="B450" s="63" t="s">
        <v>855</v>
      </c>
      <c r="C450" s="63" t="str">
        <f t="shared" si="8"/>
        <v>Napa County Flood Control &amp; Water Conservation District</v>
      </c>
      <c r="D450" s="471" t="s">
        <v>204</v>
      </c>
      <c r="E450" s="471" t="s">
        <v>204</v>
      </c>
      <c r="F450" s="471" t="s">
        <v>204</v>
      </c>
      <c r="G450" s="471" t="s">
        <v>204</v>
      </c>
      <c r="H450" s="518" t="s">
        <v>204</v>
      </c>
      <c r="I450" s="66"/>
      <c r="J450" s="70"/>
      <c r="K450" s="70"/>
      <c r="L450" s="70"/>
      <c r="M450" s="70"/>
      <c r="N450" s="70"/>
      <c r="O450" s="70"/>
      <c r="P450" s="70"/>
    </row>
    <row r="451" spans="1:16" hidden="1" outlineLevel="1" x14ac:dyDescent="0.3">
      <c r="A451" s="63" t="s">
        <v>1023</v>
      </c>
      <c r="B451" s="63" t="s">
        <v>855</v>
      </c>
      <c r="C451" s="63" t="str">
        <f t="shared" si="8"/>
        <v>Placer County Water Agency</v>
      </c>
      <c r="D451" s="472">
        <f>12808 +50157</f>
        <v>62965</v>
      </c>
      <c r="E451" s="472">
        <f xml:space="preserve"> 10898 + 50000</f>
        <v>60898</v>
      </c>
      <c r="F451" s="472">
        <f xml:space="preserve"> 9281 + 50000</f>
        <v>59281</v>
      </c>
      <c r="G451" s="472">
        <f xml:space="preserve"> 7913 + 50000</f>
        <v>57913</v>
      </c>
      <c r="H451" s="520">
        <f xml:space="preserve"> 4698 + 50000</f>
        <v>54698</v>
      </c>
      <c r="I451" s="66" t="s">
        <v>1009</v>
      </c>
      <c r="J451" s="70"/>
      <c r="K451" s="70"/>
      <c r="L451" s="70"/>
      <c r="M451" s="70"/>
      <c r="N451" s="70"/>
      <c r="O451" s="70"/>
      <c r="P451" s="70"/>
    </row>
    <row r="452" spans="1:16" hidden="1" outlineLevel="1" x14ac:dyDescent="0.3">
      <c r="A452" s="63" t="s">
        <v>1023</v>
      </c>
      <c r="B452" s="63" t="s">
        <v>855</v>
      </c>
      <c r="C452" s="63" t="str">
        <f t="shared" si="8"/>
        <v>Sacramento County Water Agency</v>
      </c>
      <c r="D452" s="472">
        <v>0</v>
      </c>
      <c r="E452" s="472">
        <v>0</v>
      </c>
      <c r="F452" s="472">
        <v>0</v>
      </c>
      <c r="G452" s="472">
        <v>0</v>
      </c>
      <c r="H452" s="520">
        <v>0</v>
      </c>
      <c r="I452" s="66" t="s">
        <v>1010</v>
      </c>
      <c r="J452" s="70"/>
      <c r="K452" s="70"/>
      <c r="L452" s="70"/>
      <c r="M452" s="70"/>
      <c r="N452" s="70"/>
      <c r="O452" s="70"/>
      <c r="P452" s="70"/>
    </row>
    <row r="453" spans="1:16" hidden="1" outlineLevel="1" x14ac:dyDescent="0.3">
      <c r="A453" s="63" t="s">
        <v>1023</v>
      </c>
      <c r="B453" s="63" t="s">
        <v>855</v>
      </c>
      <c r="C453" s="63" t="str">
        <f t="shared" si="8"/>
        <v>San Juan Water District</v>
      </c>
      <c r="D453" s="472">
        <v>202</v>
      </c>
      <c r="E453" s="472">
        <v>202</v>
      </c>
      <c r="F453" s="472">
        <v>202</v>
      </c>
      <c r="G453" s="472">
        <v>202</v>
      </c>
      <c r="H453" s="520">
        <v>202</v>
      </c>
      <c r="I453" s="66" t="s">
        <v>1011</v>
      </c>
      <c r="J453" s="70"/>
      <c r="K453" s="70"/>
      <c r="L453" s="70"/>
      <c r="M453" s="70"/>
      <c r="N453" s="70"/>
      <c r="O453" s="70"/>
      <c r="P453" s="70"/>
    </row>
    <row r="454" spans="1:16" hidden="1" outlineLevel="1" x14ac:dyDescent="0.3">
      <c r="A454" s="63" t="s">
        <v>1023</v>
      </c>
      <c r="B454" s="63" t="s">
        <v>855</v>
      </c>
      <c r="C454" s="63" t="str">
        <f t="shared" si="8"/>
        <v>Shasta Contractors</v>
      </c>
      <c r="D454" s="471" t="s">
        <v>204</v>
      </c>
      <c r="E454" s="471" t="s">
        <v>204</v>
      </c>
      <c r="F454" s="471" t="s">
        <v>204</v>
      </c>
      <c r="G454" s="471" t="s">
        <v>204</v>
      </c>
      <c r="H454" s="518" t="s">
        <v>204</v>
      </c>
      <c r="I454" s="66"/>
      <c r="J454" s="70"/>
      <c r="K454" s="70"/>
      <c r="L454" s="70"/>
      <c r="M454" s="70"/>
      <c r="N454" s="70"/>
      <c r="O454" s="70"/>
      <c r="P454" s="70"/>
    </row>
    <row r="455" spans="1:16" hidden="1" outlineLevel="1" x14ac:dyDescent="0.3">
      <c r="A455" s="63" t="s">
        <v>1023</v>
      </c>
      <c r="B455" s="63" t="s">
        <v>855</v>
      </c>
      <c r="C455" s="63" t="str">
        <f t="shared" si="8"/>
        <v>Solano County Water Agency</v>
      </c>
      <c r="D455" s="471" t="s">
        <v>204</v>
      </c>
      <c r="E455" s="471" t="s">
        <v>204</v>
      </c>
      <c r="F455" s="471" t="s">
        <v>204</v>
      </c>
      <c r="G455" s="471" t="s">
        <v>204</v>
      </c>
      <c r="H455" s="518" t="s">
        <v>204</v>
      </c>
      <c r="I455" s="66"/>
      <c r="J455" s="70"/>
      <c r="K455" s="70"/>
      <c r="L455" s="70"/>
      <c r="M455" s="70"/>
      <c r="N455" s="70"/>
      <c r="O455" s="70"/>
      <c r="P455" s="70"/>
    </row>
    <row r="456" spans="1:16" hidden="1" outlineLevel="1" x14ac:dyDescent="0.3">
      <c r="A456" s="63" t="s">
        <v>1023</v>
      </c>
      <c r="B456" s="63" t="s">
        <v>894</v>
      </c>
      <c r="C456" s="63" t="str">
        <f t="shared" si="8"/>
        <v>City of Avenal</v>
      </c>
      <c r="D456" s="471" t="s">
        <v>204</v>
      </c>
      <c r="E456" s="471" t="s">
        <v>204</v>
      </c>
      <c r="F456" s="471" t="s">
        <v>204</v>
      </c>
      <c r="G456" s="471" t="s">
        <v>204</v>
      </c>
      <c r="H456" s="518" t="s">
        <v>204</v>
      </c>
      <c r="I456" s="66"/>
      <c r="J456" s="70"/>
      <c r="K456" s="70"/>
      <c r="L456" s="70"/>
      <c r="M456" s="70"/>
      <c r="N456" s="70"/>
      <c r="O456" s="70"/>
      <c r="P456" s="70"/>
    </row>
    <row r="457" spans="1:16" hidden="1" outlineLevel="1" x14ac:dyDescent="0.3">
      <c r="A457" s="63" t="s">
        <v>1023</v>
      </c>
      <c r="B457" s="63" t="s">
        <v>894</v>
      </c>
      <c r="C457" s="63" t="str">
        <f t="shared" si="8"/>
        <v>City of Coalinga</v>
      </c>
      <c r="D457" s="472">
        <f>IFERROR(SUMIFS(uwmp_table_4_2_w!I$2:I$9900,uwmp_table_4_2_w!$G$2:$G$9900,"Agricultural irrigation",uwmp_table_4_2_w!$B$2:$B$9900,'Contractor Assumptions'!$F20),0) + IFERROR(SUMIFS(uwmp_table_4_2_r!I$2:I$9900,uwmp_table_4_2_r!$G$2:$G$9900,"Agricultural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E457" s="472">
        <f>IFERROR(SUMIFS(uwmp_table_4_2_w!J$2:J$9900,uwmp_table_4_2_w!$G$2:$G$9900,"Agricultural irrigation",uwmp_table_4_2_w!$B$2:$B$9900,'Contractor Assumptions'!$F20),0) + IFERROR(SUMIFS(uwmp_table_4_2_r!J$2:J$9900,uwmp_table_4_2_r!$G$2:$G$9900,"Agricultural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F457" s="472">
        <f>IFERROR(SUMIFS(uwmp_table_4_2_w!K$2:K$9900,uwmp_table_4_2_w!$G$2:$G$9900,"Agricultural irrigation",uwmp_table_4_2_w!$B$2:$B$9900,'Contractor Assumptions'!$F20),0) + IFERROR(SUMIFS(uwmp_table_4_2_r!K$2:K$9900,uwmp_table_4_2_r!$G$2:$G$9900,"Agricultural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G457" s="472">
        <f>IFERROR(SUMIFS(uwmp_table_4_2_w!L$2:L$9900,uwmp_table_4_2_w!$G$2:$G$9900,"Agricultural irrigation",uwmp_table_4_2_w!$B$2:$B$9900,'Contractor Assumptions'!$F20),0) + IFERROR(SUMIFS(uwmp_table_4_2_r!L$2:L$9900,uwmp_table_4_2_r!$G$2:$G$9900,"Agricultural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H457" s="520">
        <f>IFERROR(SUMIFS(uwmp_table_4_2_w!M$2:M$9900,uwmp_table_4_2_w!$G$2:$G$9900,"Agricultural irrigation",uwmp_table_4_2_w!$B$2:$B$9900,'Contractor Assumptions'!$F20),0) + IFERROR(SUMIFS(uwmp_table_4_2_r!M$2:M$9900,uwmp_table_4_2_r!$G$2:$G$9900,"Agricultural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I457" s="66"/>
      <c r="J457" s="70"/>
      <c r="K457" s="70"/>
      <c r="L457" s="70"/>
      <c r="M457" s="70"/>
      <c r="N457" s="70"/>
      <c r="O457" s="70"/>
      <c r="P457" s="70"/>
    </row>
    <row r="458" spans="1:16" hidden="1" outlineLevel="1" x14ac:dyDescent="0.3">
      <c r="A458" s="63" t="s">
        <v>1023</v>
      </c>
      <c r="B458" s="63" t="s">
        <v>894</v>
      </c>
      <c r="C458" s="63" t="str">
        <f t="shared" si="8"/>
        <v>City of Fresno</v>
      </c>
      <c r="D458" s="472">
        <f>IFERROR(SUMIFS(uwmp_table_4_2_w!I$2:I$9900,uwmp_table_4_2_w!$G$2:$G$9900,"Agricultural irrigation",uwmp_table_4_2_w!$B$2:$B$9900,'Contractor Assumptions'!$F21),0) + IFERROR(SUMIFS(uwmp_table_4_2_r!I$2:I$9900,uwmp_table_4_2_r!$G$2:$G$9900,"Agricultural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E458" s="472">
        <f>IFERROR(SUMIFS(uwmp_table_4_2_w!J$2:J$9900,uwmp_table_4_2_w!$G$2:$G$9900,"Agricultural irrigation",uwmp_table_4_2_w!$B$2:$B$9900,'Contractor Assumptions'!$F21),0) + IFERROR(SUMIFS(uwmp_table_4_2_r!J$2:J$9900,uwmp_table_4_2_r!$G$2:$G$9900,"Agricultural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F458" s="472">
        <f>IFERROR(SUMIFS(uwmp_table_4_2_w!K$2:K$9900,uwmp_table_4_2_w!$G$2:$G$9900,"Agricultural irrigation",uwmp_table_4_2_w!$B$2:$B$9900,'Contractor Assumptions'!$F21),0) + IFERROR(SUMIFS(uwmp_table_4_2_r!K$2:K$9900,uwmp_table_4_2_r!$G$2:$G$9900,"Agricultural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G458" s="472">
        <f>IFERROR(SUMIFS(uwmp_table_4_2_w!L$2:L$9900,uwmp_table_4_2_w!$G$2:$G$9900,"Agricultural irrigation",uwmp_table_4_2_w!$B$2:$B$9900,'Contractor Assumptions'!$F21),0) + IFERROR(SUMIFS(uwmp_table_4_2_r!L$2:L$9900,uwmp_table_4_2_r!$G$2:$G$9900,"Agricultural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H458" s="520">
        <f>IFERROR(SUMIFS(uwmp_table_4_2_w!M$2:M$9900,uwmp_table_4_2_w!$G$2:$G$9900,"Agricultural irrigation",uwmp_table_4_2_w!$B$2:$B$9900,'Contractor Assumptions'!$F21),0) + IFERROR(SUMIFS(uwmp_table_4_2_r!M$2:M$9900,uwmp_table_4_2_r!$G$2:$G$9900,"Agricultural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I458" s="66"/>
      <c r="J458" s="70"/>
      <c r="K458" s="70"/>
      <c r="L458" s="70"/>
      <c r="M458" s="70"/>
      <c r="N458" s="70"/>
      <c r="O458" s="70"/>
      <c r="P458" s="70"/>
    </row>
    <row r="459" spans="1:16" hidden="1" outlineLevel="1" x14ac:dyDescent="0.3">
      <c r="A459" s="63" t="s">
        <v>1023</v>
      </c>
      <c r="B459" s="63" t="s">
        <v>894</v>
      </c>
      <c r="C459" s="63" t="str">
        <f t="shared" si="8"/>
        <v>City of Huron</v>
      </c>
      <c r="D459" s="471" t="s">
        <v>204</v>
      </c>
      <c r="E459" s="471" t="s">
        <v>204</v>
      </c>
      <c r="F459" s="471" t="s">
        <v>204</v>
      </c>
      <c r="G459" s="471" t="s">
        <v>204</v>
      </c>
      <c r="H459" s="518" t="s">
        <v>204</v>
      </c>
      <c r="I459" s="66"/>
      <c r="J459" s="70"/>
      <c r="K459" s="70"/>
      <c r="L459" s="70"/>
      <c r="M459" s="70"/>
      <c r="N459" s="70"/>
      <c r="O459" s="70"/>
      <c r="P459" s="70"/>
    </row>
    <row r="460" spans="1:16" hidden="1" outlineLevel="1" x14ac:dyDescent="0.3">
      <c r="A460" s="63" t="s">
        <v>1023</v>
      </c>
      <c r="B460" s="63" t="s">
        <v>894</v>
      </c>
      <c r="C460" s="63" t="str">
        <f t="shared" si="8"/>
        <v>City of Lindsay</v>
      </c>
      <c r="D460" s="471" t="s">
        <v>204</v>
      </c>
      <c r="E460" s="471" t="s">
        <v>204</v>
      </c>
      <c r="F460" s="471" t="s">
        <v>204</v>
      </c>
      <c r="G460" s="471" t="s">
        <v>204</v>
      </c>
      <c r="H460" s="518" t="s">
        <v>204</v>
      </c>
      <c r="I460" s="66"/>
      <c r="J460" s="70"/>
      <c r="K460" s="70"/>
      <c r="L460" s="70"/>
      <c r="M460" s="70"/>
      <c r="N460" s="70"/>
      <c r="O460" s="70"/>
      <c r="P460" s="70"/>
    </row>
    <row r="461" spans="1:16" hidden="1" outlineLevel="1" x14ac:dyDescent="0.3">
      <c r="A461" s="63" t="s">
        <v>1023</v>
      </c>
      <c r="B461" s="63" t="s">
        <v>894</v>
      </c>
      <c r="C461" s="63" t="str">
        <f t="shared" si="8"/>
        <v>City of Orange Cove</v>
      </c>
      <c r="D461" s="471" t="s">
        <v>204</v>
      </c>
      <c r="E461" s="471" t="s">
        <v>204</v>
      </c>
      <c r="F461" s="471" t="s">
        <v>204</v>
      </c>
      <c r="G461" s="471" t="s">
        <v>204</v>
      </c>
      <c r="H461" s="518" t="s">
        <v>204</v>
      </c>
      <c r="I461" s="66"/>
      <c r="J461" s="70"/>
      <c r="K461" s="70"/>
      <c r="L461" s="70"/>
      <c r="M461" s="70"/>
      <c r="N461" s="70"/>
      <c r="O461" s="70"/>
      <c r="P461" s="70"/>
    </row>
    <row r="462" spans="1:16" hidden="1" outlineLevel="1" x14ac:dyDescent="0.3">
      <c r="A462" s="63" t="s">
        <v>1023</v>
      </c>
      <c r="B462" s="63" t="s">
        <v>894</v>
      </c>
      <c r="C462" s="63" t="str">
        <f t="shared" si="8"/>
        <v>City of Tracy</v>
      </c>
      <c r="D462" s="472">
        <f>IFERROR(SUMIFS(uwmp_table_4_2_w!I$2:I$9900,uwmp_table_4_2_w!$G$2:$G$9900,"Agricultural irrigation",uwmp_table_4_2_w!$B$2:$B$9900,'Contractor Assumptions'!$F25),0) + IFERROR(SUMIFS(uwmp_table_4_2_r!I$2:I$9900,uwmp_table_4_2_r!$G$2:$G$9900,"Agricultural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E462" s="472">
        <f>IFERROR(SUMIFS(uwmp_table_4_2_w!J$2:J$9900,uwmp_table_4_2_w!$G$2:$G$9900,"Agricultural irrigation",uwmp_table_4_2_w!$B$2:$B$9900,'Contractor Assumptions'!$F25),0) + IFERROR(SUMIFS(uwmp_table_4_2_r!J$2:J$9900,uwmp_table_4_2_r!$G$2:$G$9900,"Agricultural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F462" s="472">
        <f>IFERROR(SUMIFS(uwmp_table_4_2_w!K$2:K$9900,uwmp_table_4_2_w!$G$2:$G$9900,"Agricultural irrigation",uwmp_table_4_2_w!$B$2:$B$9900,'Contractor Assumptions'!$F25),0) + IFERROR(SUMIFS(uwmp_table_4_2_r!K$2:K$9900,uwmp_table_4_2_r!$G$2:$G$9900,"Agricultural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G462" s="472">
        <f>IFERROR(SUMIFS(uwmp_table_4_2_w!L$2:L$9900,uwmp_table_4_2_w!$G$2:$G$9900,"Agricultural irrigation",uwmp_table_4_2_w!$B$2:$B$9900,'Contractor Assumptions'!$F25),0) + IFERROR(SUMIFS(uwmp_table_4_2_r!L$2:L$9900,uwmp_table_4_2_r!$G$2:$G$9900,"Agricultural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H462" s="520">
        <f>IFERROR(SUMIFS(uwmp_table_4_2_w!M$2:M$9900,uwmp_table_4_2_w!$G$2:$G$9900,"Agricultural irrigation",uwmp_table_4_2_w!$B$2:$B$9900,'Contractor Assumptions'!$F25),0) + IFERROR(SUMIFS(uwmp_table_4_2_r!M$2:M$9900,uwmp_table_4_2_r!$G$2:$G$9900,"Agricultural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I462" s="66"/>
      <c r="J462" s="70"/>
      <c r="K462" s="70"/>
      <c r="L462" s="70"/>
      <c r="M462" s="70"/>
      <c r="N462" s="70"/>
      <c r="O462" s="70"/>
      <c r="P462" s="70"/>
    </row>
    <row r="463" spans="1:16" hidden="1" outlineLevel="1" x14ac:dyDescent="0.3">
      <c r="A463" s="63" t="s">
        <v>1023</v>
      </c>
      <c r="B463" s="63" t="s">
        <v>894</v>
      </c>
      <c r="C463" s="63" t="str">
        <f t="shared" si="8"/>
        <v>Kern County Water Agency</v>
      </c>
      <c r="D463" s="471" t="s">
        <v>204</v>
      </c>
      <c r="E463" s="471" t="s">
        <v>204</v>
      </c>
      <c r="F463" s="471" t="s">
        <v>204</v>
      </c>
      <c r="G463" s="471" t="s">
        <v>204</v>
      </c>
      <c r="H463" s="518" t="s">
        <v>204</v>
      </c>
      <c r="I463" s="66"/>
      <c r="J463" s="70"/>
      <c r="K463" s="70"/>
      <c r="L463" s="70"/>
      <c r="M463" s="70"/>
      <c r="N463" s="70"/>
      <c r="O463" s="70"/>
      <c r="P463" s="70"/>
    </row>
    <row r="464" spans="1:16" hidden="1" outlineLevel="1" x14ac:dyDescent="0.3">
      <c r="A464" s="63" t="s">
        <v>1023</v>
      </c>
      <c r="B464" s="63" t="s">
        <v>894</v>
      </c>
      <c r="C464" s="63" t="str">
        <f t="shared" si="8"/>
        <v>Other Friant-Kern M&amp;I Contractors</v>
      </c>
      <c r="D464" s="471" t="s">
        <v>204</v>
      </c>
      <c r="E464" s="471" t="s">
        <v>204</v>
      </c>
      <c r="F464" s="471" t="s">
        <v>204</v>
      </c>
      <c r="G464" s="471" t="s">
        <v>204</v>
      </c>
      <c r="H464" s="518" t="s">
        <v>204</v>
      </c>
      <c r="I464" s="66"/>
      <c r="J464" s="70"/>
      <c r="K464" s="70"/>
      <c r="L464" s="70"/>
      <c r="M464" s="70"/>
      <c r="N464" s="70"/>
      <c r="O464" s="70"/>
      <c r="P464" s="70"/>
    </row>
    <row r="465" spans="1:16" hidden="1" outlineLevel="1" x14ac:dyDescent="0.3">
      <c r="A465" s="63" t="s">
        <v>1023</v>
      </c>
      <c r="B465" s="63" t="s">
        <v>894</v>
      </c>
      <c r="C465" s="63" t="str">
        <f t="shared" si="8"/>
        <v>Stockton-East Water District</v>
      </c>
      <c r="D465" s="471">
        <f>'Wholesaler Demands by Use Type'!B32</f>
        <v>0</v>
      </c>
      <c r="E465" s="471">
        <f>'Wholesaler Demands by Use Type'!C32</f>
        <v>0</v>
      </c>
      <c r="F465" s="471">
        <f>'Wholesaler Demands by Use Type'!D32</f>
        <v>0</v>
      </c>
      <c r="G465" s="471">
        <f>'Wholesaler Demands by Use Type'!E32</f>
        <v>0</v>
      </c>
      <c r="H465" s="518">
        <f>'Wholesaler Demands by Use Type'!F32</f>
        <v>0</v>
      </c>
      <c r="I465" s="66"/>
      <c r="J465" s="70"/>
      <c r="K465" s="70"/>
      <c r="L465" s="70"/>
      <c r="M465" s="70"/>
      <c r="N465" s="70"/>
      <c r="O465" s="70"/>
      <c r="P465" s="70"/>
    </row>
    <row r="466" spans="1:16" hidden="1" outlineLevel="1" x14ac:dyDescent="0.3">
      <c r="A466" s="63" t="s">
        <v>1023</v>
      </c>
      <c r="B466" s="63" t="s">
        <v>915</v>
      </c>
      <c r="C466" s="63" t="str">
        <f t="shared" si="8"/>
        <v>Alameda County Flood Control and Water Conservation District, Zone 7</v>
      </c>
      <c r="D466" s="472">
        <f>IFERROR(SUMIFS(uwmp_table_4_2_w!I$2:I$9900,uwmp_table_4_2_w!$G$2:$G$9900,"Agricultural irrigation",uwmp_table_4_2_w!$B$2:$B$9900,'Contractor Assumptions'!$F29),0)+IFERROR(SUMIFS(uwmp_table_4_2_r!I$2:I$9900,uwmp_table_4_2_r!$G$2:$G$9900,"Agricultural irrigation",uwmp_table_4_2_r!$B$2:$B$9900,'Contractor Assumptions'!$F29),0)*IFERROR(VLOOKUP(VLOOKUP('Contractor Assumptions'!$F29,uwmp_table_4_2_r!$B$2:$N$9900,13,FALSE),$A$11:$C$13,2,FALSE),IFERROR((VLOOKUP(VLOOKUP('Contractor Assumptions'!$F29,uwmp_table_4_2_w!$B$2:$N$9900,14,FALSE),$A$11:$C$13,2,FALSE)),1))</f>
        <v>5500</v>
      </c>
      <c r="E466" s="472">
        <f>IFERROR(SUMIFS(uwmp_table_4_2_w!J$2:J$9900,uwmp_table_4_2_w!$G$2:$G$9900,"Agricultural irrigation",uwmp_table_4_2_w!$B$2:$B$9900,'Contractor Assumptions'!$F29),0)+IFERROR(SUMIFS(uwmp_table_4_2_r!J$2:J$9900,uwmp_table_4_2_r!$G$2:$G$9900,"Agricultural irrigation",uwmp_table_4_2_r!$B$2:$B$9900,'Contractor Assumptions'!$F29),0)*IFERROR(VLOOKUP(VLOOKUP('Contractor Assumptions'!$F29,uwmp_table_4_2_r!$B$2:$N$9900,13,FALSE),$A$11:$C$13,2,FALSE),IFERROR((VLOOKUP(VLOOKUP('Contractor Assumptions'!$F29,uwmp_table_4_2_w!$B$2:$N$9900,14,FALSE),$A$11:$C$13,2,FALSE)),1))</f>
        <v>7800</v>
      </c>
      <c r="F466" s="472">
        <f>IFERROR(SUMIFS(uwmp_table_4_2_w!K$2:K$9900,uwmp_table_4_2_w!$G$2:$G$9900,"Agricultural irrigation",uwmp_table_4_2_w!$B$2:$B$9900,'Contractor Assumptions'!$F29),0)+IFERROR(SUMIFS(uwmp_table_4_2_r!K$2:K$9900,uwmp_table_4_2_r!$G$2:$G$9900,"Agricultural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G466" s="472">
        <f>IFERROR(SUMIFS(uwmp_table_4_2_w!L$2:L$9900,uwmp_table_4_2_w!$G$2:$G$9900,"Agricultural irrigation",uwmp_table_4_2_w!$B$2:$B$9900,'Contractor Assumptions'!$F29),0)+IFERROR(SUMIFS(uwmp_table_4_2_r!L$2:L$9900,uwmp_table_4_2_r!$G$2:$G$9900,"Agricultural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H466" s="520">
        <f>IFERROR(SUMIFS(uwmp_table_4_2_w!M$2:M$9900,uwmp_table_4_2_w!$G$2:$G$9900,"Agricultural irrigation",uwmp_table_4_2_w!$B$2:$B$9900,'Contractor Assumptions'!$F29),0)+IFERROR(SUMIFS(uwmp_table_4_2_r!M$2:M$9900,uwmp_table_4_2_r!$G$2:$G$9900,"Agricultural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I466" s="66"/>
      <c r="J466" s="70"/>
      <c r="K466" s="70"/>
      <c r="L466" s="70"/>
      <c r="M466" s="70"/>
      <c r="N466" s="70"/>
      <c r="O466" s="70"/>
      <c r="P466" s="70"/>
    </row>
    <row r="467" spans="1:16" hidden="1" outlineLevel="1" x14ac:dyDescent="0.3">
      <c r="A467" s="63" t="s">
        <v>1023</v>
      </c>
      <c r="B467" s="63" t="s">
        <v>915</v>
      </c>
      <c r="C467" s="63" t="str">
        <f t="shared" si="8"/>
        <v>Alameda County Water District</v>
      </c>
      <c r="D467" s="472">
        <f>IFERROR(SUMIFS(uwmp_table_4_2_w!I$2:I$9900,uwmp_table_4_2_w!$G$2:$G$9900,"Agricultural irrigation",uwmp_table_4_2_w!$B$2:$B$9900,'Contractor Assumptions'!$F30),0) + IFERROR(SUMIFS(uwmp_table_4_2_r!I$2:I$9900,uwmp_table_4_2_r!$G$2:$G$9900,"Agricultural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E467" s="472">
        <f>IFERROR(SUMIFS(uwmp_table_4_2_w!J$2:J$9900,uwmp_table_4_2_w!$G$2:$G$9900,"Agricultural irrigation",uwmp_table_4_2_w!$B$2:$B$9900,'Contractor Assumptions'!$F30),0) + IFERROR(SUMIFS(uwmp_table_4_2_r!J$2:J$9900,uwmp_table_4_2_r!$G$2:$G$9900,"Agricultural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F467" s="472">
        <f>IFERROR(SUMIFS(uwmp_table_4_2_w!K$2:K$9900,uwmp_table_4_2_w!$G$2:$G$9900,"Agricultural irrigation",uwmp_table_4_2_w!$B$2:$B$9900,'Contractor Assumptions'!$F30),0) + IFERROR(SUMIFS(uwmp_table_4_2_r!K$2:K$9900,uwmp_table_4_2_r!$G$2:$G$9900,"Agricultural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G467" s="472">
        <f>IFERROR(SUMIFS(uwmp_table_4_2_w!L$2:L$9900,uwmp_table_4_2_w!$G$2:$G$9900,"Agricultural irrigation",uwmp_table_4_2_w!$B$2:$B$9900,'Contractor Assumptions'!$F30),0) + IFERROR(SUMIFS(uwmp_table_4_2_r!L$2:L$9900,uwmp_table_4_2_r!$G$2:$G$9900,"Agricultural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H467" s="520">
        <f>IFERROR(SUMIFS(uwmp_table_4_2_w!M$2:M$9900,uwmp_table_4_2_w!$G$2:$G$9900,"Agricultural irrigation",uwmp_table_4_2_w!$B$2:$B$9900,'Contractor Assumptions'!$F30),0) + IFERROR(SUMIFS(uwmp_table_4_2_r!M$2:M$9900,uwmp_table_4_2_r!$G$2:$G$9900,"Agricultural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I467" s="66"/>
      <c r="J467" s="70"/>
      <c r="K467" s="70"/>
      <c r="L467" s="70"/>
      <c r="M467" s="70"/>
      <c r="N467" s="70"/>
      <c r="O467" s="70"/>
      <c r="P467" s="70"/>
    </row>
    <row r="468" spans="1:16" hidden="1" outlineLevel="1" x14ac:dyDescent="0.3">
      <c r="A468" s="63" t="s">
        <v>1023</v>
      </c>
      <c r="B468" s="63" t="s">
        <v>915</v>
      </c>
      <c r="C468" s="63" t="str">
        <f t="shared" si="8"/>
        <v>Contra Costa Water District</v>
      </c>
      <c r="D468" s="472">
        <f>IFERROR(SUMIFS(uwmp_table_4_2_w!I$2:I$9900,uwmp_table_4_2_w!$G$2:$G$9900,"Agricultural irrigation",uwmp_table_4_2_w!$B$2:$B$9900,'Contractor Assumptions'!$F31),0) + IFERROR(SUMIFS(uwmp_table_4_2_r!I$2:I$9900,uwmp_table_4_2_r!$G$2:$G$9900,"Agricultural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E468" s="472">
        <f>IFERROR(SUMIFS(uwmp_table_4_2_w!J$2:J$9900,uwmp_table_4_2_w!$G$2:$G$9900,"Agricultural irrigation",uwmp_table_4_2_w!$B$2:$B$9900,'Contractor Assumptions'!$F31),0) + IFERROR(SUMIFS(uwmp_table_4_2_r!J$2:J$9900,uwmp_table_4_2_r!$G$2:$G$9900,"Agricultural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F468" s="472">
        <f>IFERROR(SUMIFS(uwmp_table_4_2_w!K$2:K$9900,uwmp_table_4_2_w!$G$2:$G$9900,"Agricultural irrigation",uwmp_table_4_2_w!$B$2:$B$9900,'Contractor Assumptions'!$F31),0) + IFERROR(SUMIFS(uwmp_table_4_2_r!K$2:K$9900,uwmp_table_4_2_r!$G$2:$G$9900,"Agricultural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G468" s="472">
        <f>IFERROR(SUMIFS(uwmp_table_4_2_w!L$2:L$9900,uwmp_table_4_2_w!$G$2:$G$9900,"Agricultural irrigation",uwmp_table_4_2_w!$B$2:$B$9900,'Contractor Assumptions'!$F31),0) + IFERROR(SUMIFS(uwmp_table_4_2_r!L$2:L$9900,uwmp_table_4_2_r!$G$2:$G$9900,"Agricultural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H468" s="520">
        <f>IFERROR(SUMIFS(uwmp_table_4_2_w!M$2:M$9900,uwmp_table_4_2_w!$G$2:$G$9900,"Agricultural irrigation",uwmp_table_4_2_w!$B$2:$B$9900,'Contractor Assumptions'!$F31),0) + IFERROR(SUMIFS(uwmp_table_4_2_r!M$2:M$9900,uwmp_table_4_2_r!$G$2:$G$9900,"Agricultural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I468" s="66"/>
      <c r="J468" s="70"/>
      <c r="K468" s="70"/>
      <c r="L468" s="70"/>
      <c r="M468" s="70"/>
      <c r="N468" s="70"/>
      <c r="O468" s="70"/>
      <c r="P468" s="70"/>
    </row>
    <row r="469" spans="1:16" hidden="1" outlineLevel="1" x14ac:dyDescent="0.3">
      <c r="A469" s="63" t="s">
        <v>1023</v>
      </c>
      <c r="B469" s="63" t="s">
        <v>915</v>
      </c>
      <c r="C469" s="63" t="str">
        <f t="shared" si="8"/>
        <v>East Bay Municipal Utilities District</v>
      </c>
      <c r="D469" s="472">
        <f>IFERROR(SUMIFS(uwmp_table_4_2_w!I$2:I$9900,uwmp_table_4_2_w!$G$2:$G$9900,"Agricultural irrigation",uwmp_table_4_2_w!$B$2:$B$9900,'Contractor Assumptions'!$F32),0) + IFERROR(SUMIFS(uwmp_table_4_2_r!I$2:I$9900,uwmp_table_4_2_r!$G$2:$G$9900,"Agricultural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E469" s="472">
        <f>IFERROR(SUMIFS(uwmp_table_4_2_w!J$2:J$9900,uwmp_table_4_2_w!$G$2:$G$9900,"Agricultural irrigation",uwmp_table_4_2_w!$B$2:$B$9900,'Contractor Assumptions'!$F32),0) + IFERROR(SUMIFS(uwmp_table_4_2_r!J$2:J$9900,uwmp_table_4_2_r!$G$2:$G$9900,"Agricultural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F469" s="472">
        <f>IFERROR(SUMIFS(uwmp_table_4_2_w!K$2:K$9900,uwmp_table_4_2_w!$G$2:$G$9900,"Agricultural irrigation",uwmp_table_4_2_w!$B$2:$B$9900,'Contractor Assumptions'!$F32),0) + IFERROR(SUMIFS(uwmp_table_4_2_r!K$2:K$9900,uwmp_table_4_2_r!$G$2:$G$9900,"Agricultural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G469" s="472">
        <f>IFERROR(SUMIFS(uwmp_table_4_2_w!L$2:L$9900,uwmp_table_4_2_w!$G$2:$G$9900,"Agricultural irrigation",uwmp_table_4_2_w!$B$2:$B$9900,'Contractor Assumptions'!$F32),0) + IFERROR(SUMIFS(uwmp_table_4_2_r!L$2:L$9900,uwmp_table_4_2_r!$G$2:$G$9900,"Agricultural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H469" s="520">
        <f>IFERROR(SUMIFS(uwmp_table_4_2_w!M$2:M$9900,uwmp_table_4_2_w!$G$2:$G$9900,"Agricultural irrigation",uwmp_table_4_2_w!$B$2:$B$9900,'Contractor Assumptions'!$F32),0) + IFERROR(SUMIFS(uwmp_table_4_2_r!M$2:M$9900,uwmp_table_4_2_r!$G$2:$G$9900,"Agricultural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I469" s="66"/>
      <c r="J469" s="70"/>
      <c r="K469" s="70"/>
      <c r="L469" s="70"/>
      <c r="M469" s="70"/>
      <c r="N469" s="70"/>
      <c r="O469" s="70"/>
      <c r="P469" s="70"/>
    </row>
    <row r="470" spans="1:16" hidden="1" outlineLevel="1" x14ac:dyDescent="0.3">
      <c r="A470" s="63" t="s">
        <v>1023</v>
      </c>
      <c r="B470" s="63" t="s">
        <v>915</v>
      </c>
      <c r="C470" s="63" t="str">
        <f t="shared" si="8"/>
        <v>San Benito County Water District, Zone 6</v>
      </c>
      <c r="D470" s="472">
        <v>5</v>
      </c>
      <c r="E470" s="472">
        <v>5</v>
      </c>
      <c r="F470" s="472">
        <v>5</v>
      </c>
      <c r="G470" s="472">
        <v>3</v>
      </c>
      <c r="H470" s="520">
        <v>3</v>
      </c>
      <c r="I470" s="66" t="s">
        <v>1013</v>
      </c>
      <c r="J470" s="71"/>
      <c r="K470" s="71"/>
      <c r="L470" s="71"/>
      <c r="M470" s="71"/>
      <c r="N470" s="71"/>
      <c r="O470" s="71"/>
      <c r="P470" s="70"/>
    </row>
    <row r="471" spans="1:16" hidden="1" outlineLevel="1" x14ac:dyDescent="0.3">
      <c r="A471" s="63" t="s">
        <v>1023</v>
      </c>
      <c r="B471" s="63" t="s">
        <v>915</v>
      </c>
      <c r="C471" s="63" t="str">
        <f t="shared" si="8"/>
        <v>Santa Clara Valley Water District</v>
      </c>
      <c r="D471" s="472">
        <f>IFERROR(SUMIFS(uwmp_table_4_2_w!I$2:I$9900,uwmp_table_4_2_w!$G$2:$G$9900,"Agricultural irrigation",uwmp_table_4_2_w!$B$2:$B$9900,'Contractor Assumptions'!$F34),0)+IFERROR(SUMIFS(uwmp_table_4_2_r!I$2:I$9900,uwmp_table_4_2_r!$G$2:$G$9900,"Agricultural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E471" s="472">
        <f>IFERROR(SUMIFS(uwmp_table_4_2_w!J$2:J$9900,uwmp_table_4_2_w!$G$2:$G$9900,"Agricultural irrigation",uwmp_table_4_2_w!$B$2:$B$9900,'Contractor Assumptions'!$F34),0)+IFERROR(SUMIFS(uwmp_table_4_2_r!J$2:J$9900,uwmp_table_4_2_r!$G$2:$G$9900,"Agricultural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F471" s="472">
        <f>IFERROR(SUMIFS(uwmp_table_4_2_w!K$2:K$9900,uwmp_table_4_2_w!$G$2:$G$9900,"Agricultural irrigation",uwmp_table_4_2_w!$B$2:$B$9900,'Contractor Assumptions'!$F34),0)+IFERROR(SUMIFS(uwmp_table_4_2_r!K$2:K$9900,uwmp_table_4_2_r!$G$2:$G$9900,"Agricultural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G471" s="472">
        <f>IFERROR(SUMIFS(uwmp_table_4_2_w!L$2:L$9900,uwmp_table_4_2_w!$G$2:$G$9900,"Agricultural irrigation",uwmp_table_4_2_w!$B$2:$B$9900,'Contractor Assumptions'!$F34),0)+IFERROR(SUMIFS(uwmp_table_4_2_r!L$2:L$9900,uwmp_table_4_2_r!$G$2:$G$9900,"Agricultural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H471" s="520">
        <f>IFERROR(SUMIFS(uwmp_table_4_2_w!M$2:M$9900,uwmp_table_4_2_w!$G$2:$G$9900,"Agricultural irrigation",uwmp_table_4_2_w!$B$2:$B$9900,'Contractor Assumptions'!$F34),0)+IFERROR(SUMIFS(uwmp_table_4_2_r!M$2:M$9900,uwmp_table_4_2_r!$G$2:$G$9900,"Agricultural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I471" s="66"/>
      <c r="J471" s="70"/>
      <c r="K471" s="70"/>
      <c r="L471" s="70"/>
      <c r="M471" s="70"/>
      <c r="N471" s="70"/>
      <c r="O471" s="70"/>
      <c r="P471" s="70"/>
    </row>
    <row r="472" spans="1:16" hidden="1" outlineLevel="1" x14ac:dyDescent="0.3">
      <c r="A472" s="63" t="s">
        <v>1023</v>
      </c>
      <c r="B472" s="63" t="s">
        <v>934</v>
      </c>
      <c r="C472" s="63" t="str">
        <f t="shared" si="8"/>
        <v>San Luis Obispo County Flood Control &amp; Water Conservation District</v>
      </c>
      <c r="D472" s="472">
        <v>0</v>
      </c>
      <c r="E472" s="472">
        <v>0</v>
      </c>
      <c r="F472" s="472">
        <v>0</v>
      </c>
      <c r="G472" s="472">
        <v>0</v>
      </c>
      <c r="H472" s="520">
        <v>0</v>
      </c>
      <c r="I472" s="66" t="s">
        <v>1014</v>
      </c>
      <c r="J472" s="70"/>
      <c r="K472" s="70"/>
      <c r="L472" s="70"/>
      <c r="M472" s="70"/>
      <c r="N472" s="70"/>
      <c r="O472" s="70"/>
      <c r="P472" s="70"/>
    </row>
    <row r="473" spans="1:16" hidden="1" outlineLevel="1" x14ac:dyDescent="0.3">
      <c r="A473" s="63" t="s">
        <v>1023</v>
      </c>
      <c r="B473" s="63" t="s">
        <v>934</v>
      </c>
      <c r="C473" s="63" t="str">
        <f t="shared" si="8"/>
        <v>Santa Barbara County Flood Control &amp; Water Conservation District</v>
      </c>
      <c r="D473" s="471" t="s">
        <v>204</v>
      </c>
      <c r="E473" s="471" t="s">
        <v>204</v>
      </c>
      <c r="F473" s="471" t="s">
        <v>204</v>
      </c>
      <c r="G473" s="471" t="s">
        <v>204</v>
      </c>
      <c r="H473" s="518" t="s">
        <v>204</v>
      </c>
      <c r="I473" s="66"/>
      <c r="J473" s="70"/>
      <c r="K473" s="70"/>
      <c r="L473" s="70"/>
      <c r="M473" s="70"/>
      <c r="N473" s="70"/>
      <c r="O473" s="70"/>
      <c r="P473" s="70"/>
    </row>
    <row r="474" spans="1:16" hidden="1" outlineLevel="1" x14ac:dyDescent="0.3">
      <c r="A474" s="63" t="s">
        <v>1023</v>
      </c>
      <c r="B474" s="63" t="s">
        <v>940</v>
      </c>
      <c r="C474" s="63" t="str">
        <f t="shared" si="8"/>
        <v>Antelope Valley-East Kern Water Agency</v>
      </c>
      <c r="D474" s="472">
        <v>0</v>
      </c>
      <c r="E474" s="472">
        <v>0</v>
      </c>
      <c r="F474" s="472">
        <v>0</v>
      </c>
      <c r="G474" s="472">
        <v>0</v>
      </c>
      <c r="H474" s="520">
        <v>0</v>
      </c>
      <c r="I474" s="66"/>
      <c r="J474" s="70"/>
      <c r="K474" s="70"/>
      <c r="L474" s="70"/>
      <c r="M474" s="70"/>
      <c r="N474" s="70"/>
      <c r="O474" s="70"/>
      <c r="P474" s="70"/>
    </row>
    <row r="475" spans="1:16" hidden="1" outlineLevel="1" x14ac:dyDescent="0.3">
      <c r="A475" s="63" t="s">
        <v>1023</v>
      </c>
      <c r="B475" s="63" t="s">
        <v>940</v>
      </c>
      <c r="C475" s="63" t="str">
        <f t="shared" si="8"/>
        <v>Santa Clarita Water Division</v>
      </c>
      <c r="D475" s="472">
        <f>IFERROR(SUMIFS(uwmp_table_4_2_w!I$2:I$9900,uwmp_table_4_2_w!$G$2:$G$9900,"Agricultural irrigation",uwmp_table_4_2_w!$B$2:$B$9900,'Contractor Assumptions'!$F38),0) + IFERROR(SUMIFS(uwmp_table_4_2_r!I$2:I$9900,uwmp_table_4_2_r!$G$2:$G$9900,"Agricultural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E475" s="472">
        <f>IFERROR(SUMIFS(uwmp_table_4_2_w!J$2:J$9900,uwmp_table_4_2_w!$G$2:$G$9900,"Agricultural irrigation",uwmp_table_4_2_w!$B$2:$B$9900,'Contractor Assumptions'!$F38),0) + IFERROR(SUMIFS(uwmp_table_4_2_r!J$2:J$9900,uwmp_table_4_2_r!$G$2:$G$9900,"Agricultural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F475" s="472">
        <f>IFERROR(SUMIFS(uwmp_table_4_2_w!K$2:K$9900,uwmp_table_4_2_w!$G$2:$G$9900,"Agricultural irrigation",uwmp_table_4_2_w!$B$2:$B$9900,'Contractor Assumptions'!$F38),0) + IFERROR(SUMIFS(uwmp_table_4_2_r!K$2:K$9900,uwmp_table_4_2_r!$G$2:$G$9900,"Agricultural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G475" s="472">
        <f>IFERROR(SUMIFS(uwmp_table_4_2_w!L$2:L$9900,uwmp_table_4_2_w!$G$2:$G$9900,"Agricultural irrigation",uwmp_table_4_2_w!$B$2:$B$9900,'Contractor Assumptions'!$F38),0) + IFERROR(SUMIFS(uwmp_table_4_2_r!L$2:L$9900,uwmp_table_4_2_r!$G$2:$G$9900,"Agricultural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H475" s="520">
        <f>IFERROR(SUMIFS(uwmp_table_4_2_w!M$2:M$9900,uwmp_table_4_2_w!$G$2:$G$9900,"Agricultural irrigation",uwmp_table_4_2_w!$B$2:$B$9900,'Contractor Assumptions'!$F38),0) + IFERROR(SUMIFS(uwmp_table_4_2_r!M$2:M$9900,uwmp_table_4_2_r!$G$2:$G$9900,"Agricultural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I475" s="66"/>
      <c r="J475" s="70"/>
      <c r="K475" s="70"/>
      <c r="L475" s="70"/>
      <c r="M475" s="70"/>
      <c r="N475" s="70"/>
      <c r="O475" s="70"/>
      <c r="P475" s="70"/>
    </row>
    <row r="476" spans="1:16" hidden="1" outlineLevel="1" x14ac:dyDescent="0.3">
      <c r="A476" s="63" t="s">
        <v>1023</v>
      </c>
      <c r="B476" s="63" t="s">
        <v>940</v>
      </c>
      <c r="C476" s="63" t="str">
        <f t="shared" si="8"/>
        <v>Coachella Valley Water District</v>
      </c>
      <c r="D476" s="471" t="s">
        <v>204</v>
      </c>
      <c r="E476" s="471" t="s">
        <v>204</v>
      </c>
      <c r="F476" s="471" t="s">
        <v>204</v>
      </c>
      <c r="G476" s="471" t="s">
        <v>204</v>
      </c>
      <c r="H476" s="518" t="s">
        <v>204</v>
      </c>
      <c r="I476" s="66"/>
      <c r="J476" s="70"/>
      <c r="K476" s="70"/>
      <c r="L476" s="70"/>
      <c r="M476" s="70"/>
      <c r="N476" s="70"/>
      <c r="O476" s="70"/>
      <c r="P476" s="70"/>
    </row>
    <row r="477" spans="1:16" hidden="1" outlineLevel="1" x14ac:dyDescent="0.3">
      <c r="A477" s="63" t="s">
        <v>1023</v>
      </c>
      <c r="B477" s="63" t="s">
        <v>940</v>
      </c>
      <c r="C477" s="63" t="str">
        <f t="shared" si="8"/>
        <v>Crestline-Lake Arrowhead Water Agency</v>
      </c>
      <c r="D477" s="471" t="s">
        <v>204</v>
      </c>
      <c r="E477" s="471" t="s">
        <v>204</v>
      </c>
      <c r="F477" s="471" t="s">
        <v>204</v>
      </c>
      <c r="G477" s="471" t="s">
        <v>204</v>
      </c>
      <c r="H477" s="518" t="s">
        <v>204</v>
      </c>
      <c r="I477" s="66"/>
      <c r="J477" s="70"/>
      <c r="K477" s="70"/>
      <c r="L477" s="70"/>
      <c r="M477" s="70"/>
      <c r="N477" s="70"/>
      <c r="O477" s="70"/>
      <c r="P477" s="70"/>
    </row>
    <row r="478" spans="1:16" hidden="1" outlineLevel="1" x14ac:dyDescent="0.3">
      <c r="A478" s="63" t="s">
        <v>1023</v>
      </c>
      <c r="B478" s="63" t="s">
        <v>940</v>
      </c>
      <c r="C478" s="63" t="str">
        <f t="shared" si="8"/>
        <v>Desert Water Agency</v>
      </c>
      <c r="D478" s="471" t="s">
        <v>204</v>
      </c>
      <c r="E478" s="471" t="s">
        <v>204</v>
      </c>
      <c r="F478" s="471" t="s">
        <v>204</v>
      </c>
      <c r="G478" s="471" t="s">
        <v>204</v>
      </c>
      <c r="H478" s="518" t="s">
        <v>204</v>
      </c>
      <c r="I478" s="66"/>
      <c r="J478" s="70"/>
      <c r="K478" s="70"/>
      <c r="L478" s="70"/>
      <c r="M478" s="70"/>
      <c r="N478" s="70"/>
      <c r="O478" s="70"/>
      <c r="P478" s="70"/>
    </row>
    <row r="479" spans="1:16" hidden="1" outlineLevel="1" x14ac:dyDescent="0.3">
      <c r="A479" s="63" t="s">
        <v>1023</v>
      </c>
      <c r="B479" s="63" t="s">
        <v>940</v>
      </c>
      <c r="C479" s="63" t="str">
        <f t="shared" si="8"/>
        <v>Metropolitan Water District of Southern California</v>
      </c>
      <c r="D479" s="472">
        <f>'Met 2020 UWMP Demand Data'!D7</f>
        <v>144000</v>
      </c>
      <c r="E479" s="472">
        <f>'Met 2020 UWMP Demand Data'!E7</f>
        <v>134000</v>
      </c>
      <c r="F479" s="472">
        <f>'Met 2020 UWMP Demand Data'!F7</f>
        <v>130000</v>
      </c>
      <c r="G479" s="472">
        <f>'Met 2020 UWMP Demand Data'!G7</f>
        <v>123000</v>
      </c>
      <c r="H479" s="520">
        <f>'Met 2020 UWMP Demand Data'!H7</f>
        <v>123000</v>
      </c>
      <c r="I479" s="66" t="s">
        <v>1024</v>
      </c>
      <c r="J479" s="70"/>
      <c r="K479" s="70"/>
      <c r="L479" s="70"/>
      <c r="M479" s="70"/>
      <c r="N479" s="70"/>
      <c r="O479" s="70"/>
      <c r="P479" s="70"/>
    </row>
    <row r="480" spans="1:16" hidden="1" outlineLevel="1" x14ac:dyDescent="0.3">
      <c r="A480" s="63" t="s">
        <v>1023</v>
      </c>
      <c r="B480" s="63" t="s">
        <v>940</v>
      </c>
      <c r="C480" s="63" t="str">
        <f t="shared" si="8"/>
        <v>Mojave Water Agency</v>
      </c>
      <c r="D480" s="472">
        <v>20600</v>
      </c>
      <c r="E480" s="472">
        <v>20600</v>
      </c>
      <c r="F480" s="472">
        <v>20600</v>
      </c>
      <c r="G480" s="472">
        <v>20600</v>
      </c>
      <c r="H480" s="520">
        <v>20600</v>
      </c>
      <c r="I480" s="66" t="s">
        <v>1017</v>
      </c>
      <c r="J480" s="70"/>
      <c r="K480" s="70"/>
      <c r="L480" s="70"/>
      <c r="M480" s="70"/>
      <c r="N480" s="70"/>
      <c r="O480" s="70"/>
      <c r="P480" s="70"/>
    </row>
    <row r="481" spans="1:16" hidden="1" outlineLevel="1" x14ac:dyDescent="0.3">
      <c r="A481" s="63" t="s">
        <v>1023</v>
      </c>
      <c r="B481" s="63" t="s">
        <v>940</v>
      </c>
      <c r="C481" s="63" t="str">
        <f t="shared" si="8"/>
        <v>Palmdale Water District &amp; Littlerock Creek Irrigation District</v>
      </c>
      <c r="D481" s="472">
        <f>IFERROR(SUMIFS(uwmp_table_4_2_w!I$2:I$9900,uwmp_table_4_2_w!$G$2:$G$9900,"Agricultural irrigation",uwmp_table_4_2_w!$B$2:$B$9900,'Contractor Assumptions'!$F44),0) + IFERROR(SUMIFS(uwmp_table_4_2_r!I$2:I$9900,uwmp_table_4_2_r!$G$2:$G$9900,"Agricultural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E481" s="472">
        <f>IFERROR(SUMIFS(uwmp_table_4_2_w!J$2:J$9900,uwmp_table_4_2_w!$G$2:$G$9900,"Agricultural irrigation",uwmp_table_4_2_w!$B$2:$B$9900,'Contractor Assumptions'!$F44),0) + IFERROR(SUMIFS(uwmp_table_4_2_r!J$2:J$9900,uwmp_table_4_2_r!$G$2:$G$9900,"Agricultural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F481" s="472">
        <f>IFERROR(SUMIFS(uwmp_table_4_2_w!K$2:K$9900,uwmp_table_4_2_w!$G$2:$G$9900,"Agricultural irrigation",uwmp_table_4_2_w!$B$2:$B$9900,'Contractor Assumptions'!$F44),0) + IFERROR(SUMIFS(uwmp_table_4_2_r!K$2:K$9900,uwmp_table_4_2_r!$G$2:$G$9900,"Agricultural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G481" s="472">
        <f>IFERROR(SUMIFS(uwmp_table_4_2_w!L$2:L$9900,uwmp_table_4_2_w!$G$2:$G$9900,"Agricultural irrigation",uwmp_table_4_2_w!$B$2:$B$9900,'Contractor Assumptions'!$F44),0) + IFERROR(SUMIFS(uwmp_table_4_2_r!L$2:L$9900,uwmp_table_4_2_r!$G$2:$G$9900,"Agricultural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H481" s="520">
        <f>IFERROR(SUMIFS(uwmp_table_4_2_w!M$2:M$9900,uwmp_table_4_2_w!$G$2:$G$9900,"Agricultural irrigation",uwmp_table_4_2_w!$B$2:$B$9900,'Contractor Assumptions'!$F44),0) + IFERROR(SUMIFS(uwmp_table_4_2_r!M$2:M$9900,uwmp_table_4_2_r!$G$2:$G$9900,"Agricultural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I481" s="66"/>
      <c r="J481" s="70"/>
      <c r="K481" s="70"/>
      <c r="L481" s="70"/>
      <c r="M481" s="70"/>
      <c r="N481" s="70"/>
      <c r="O481" s="70"/>
      <c r="P481" s="70"/>
    </row>
    <row r="482" spans="1:16" hidden="1" outlineLevel="1" x14ac:dyDescent="0.3">
      <c r="A482" s="63" t="s">
        <v>1023</v>
      </c>
      <c r="B482" s="63" t="s">
        <v>940</v>
      </c>
      <c r="C482" s="63" t="str">
        <f t="shared" si="8"/>
        <v>San Bernardino Valley Municipal Water District</v>
      </c>
      <c r="D482" s="472">
        <f>IFERROR(SUMIFS(uwmp_table_4_2_w!I$2:I$9900,uwmp_table_4_2_w!$G$2:$G$9900,"Agricultural irrigation",uwmp_table_4_2_w!$B$2:$B$9900,'Contractor Assumptions'!$F45),0)+IFERROR(SUMIFS(uwmp_table_4_2_r!I$2:I$9900,uwmp_table_4_2_r!$G$2:$G$9900,"Agricultural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E482" s="472">
        <f>IFERROR(SUMIFS(uwmp_table_4_2_w!J$2:J$9900,uwmp_table_4_2_w!$G$2:$G$9900,"Agricultural irrigation",uwmp_table_4_2_w!$B$2:$B$9900,'Contractor Assumptions'!$F45),0)+IFERROR(SUMIFS(uwmp_table_4_2_r!J$2:J$9900,uwmp_table_4_2_r!$G$2:$G$9900,"Agricultural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F482" s="472">
        <f>IFERROR(SUMIFS(uwmp_table_4_2_w!K$2:K$9900,uwmp_table_4_2_w!$G$2:$G$9900,"Agricultural irrigation",uwmp_table_4_2_w!$B$2:$B$9900,'Contractor Assumptions'!$F45),0)+IFERROR(SUMIFS(uwmp_table_4_2_r!K$2:K$9900,uwmp_table_4_2_r!$G$2:$G$9900,"Agricultural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G482" s="472">
        <f>IFERROR(SUMIFS(uwmp_table_4_2_w!L$2:L$9900,uwmp_table_4_2_w!$G$2:$G$9900,"Agricultural irrigation",uwmp_table_4_2_w!$B$2:$B$9900,'Contractor Assumptions'!$F45),0)+IFERROR(SUMIFS(uwmp_table_4_2_r!L$2:L$9900,uwmp_table_4_2_r!$G$2:$G$9900,"Agricultural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H482" s="520">
        <f>IFERROR(SUMIFS(uwmp_table_4_2_w!M$2:M$9900,uwmp_table_4_2_w!$G$2:$G$9900,"Agricultural irrigation",uwmp_table_4_2_w!$B$2:$B$9900,'Contractor Assumptions'!$F45),0)+IFERROR(SUMIFS(uwmp_table_4_2_r!M$2:M$9900,uwmp_table_4_2_r!$G$2:$G$9900,"Agricultural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I482" s="66"/>
      <c r="J482" s="70"/>
      <c r="K482" s="70"/>
      <c r="L482" s="70"/>
      <c r="M482" s="70"/>
      <c r="N482" s="70"/>
      <c r="O482" s="70"/>
      <c r="P482" s="70"/>
    </row>
    <row r="483" spans="1:16" hidden="1" outlineLevel="1" x14ac:dyDescent="0.3">
      <c r="A483" s="63" t="s">
        <v>1023</v>
      </c>
      <c r="B483" s="63" t="s">
        <v>940</v>
      </c>
      <c r="C483" s="63" t="str">
        <f t="shared" si="8"/>
        <v>San Gabriel Valley Municipal Water District</v>
      </c>
      <c r="D483" s="471" t="s">
        <v>204</v>
      </c>
      <c r="E483" s="471" t="s">
        <v>204</v>
      </c>
      <c r="F483" s="471" t="s">
        <v>204</v>
      </c>
      <c r="G483" s="471" t="s">
        <v>204</v>
      </c>
      <c r="H483" s="518" t="s">
        <v>204</v>
      </c>
      <c r="I483" s="66"/>
      <c r="J483" s="70"/>
      <c r="K483" s="70"/>
      <c r="L483" s="70"/>
      <c r="M483" s="70"/>
      <c r="N483" s="70"/>
      <c r="O483" s="70"/>
      <c r="P483" s="70"/>
    </row>
    <row r="484" spans="1:16" hidden="1" outlineLevel="1" x14ac:dyDescent="0.3">
      <c r="A484" s="63" t="s">
        <v>1023</v>
      </c>
      <c r="B484" s="63" t="s">
        <v>940</v>
      </c>
      <c r="C484" s="63" t="str">
        <f t="shared" si="8"/>
        <v>San Gorgonio Pass Water Agency</v>
      </c>
      <c r="D484" s="472">
        <f>IFERROR(SUMIFS(uwmp_table_4_2_w!I$2:I$9900,uwmp_table_4_2_w!$G$2:$G$9900,"Agricultural irrigation",uwmp_table_4_2_w!$B$2:$B$9900,'Contractor Assumptions'!$F47),0)+IFERROR(SUMIFS(uwmp_table_4_2_r!I$2:I$9900,uwmp_table_4_2_r!$G$2:$G$9900,"Agricultural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E484" s="472">
        <f>IFERROR(SUMIFS(uwmp_table_4_2_w!J$2:J$9900,uwmp_table_4_2_w!$G$2:$G$9900,"Agricultural irrigation",uwmp_table_4_2_w!$B$2:$B$9900,'Contractor Assumptions'!$F47),0)+IFERROR(SUMIFS(uwmp_table_4_2_r!J$2:J$9900,uwmp_table_4_2_r!$G$2:$G$9900,"Agricultural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F484" s="472">
        <f>IFERROR(SUMIFS(uwmp_table_4_2_w!K$2:K$9900,uwmp_table_4_2_w!$G$2:$G$9900,"Agricultural irrigation",uwmp_table_4_2_w!$B$2:$B$9900,'Contractor Assumptions'!$F47),0)+IFERROR(SUMIFS(uwmp_table_4_2_r!K$2:K$9900,uwmp_table_4_2_r!$G$2:$G$9900,"Agricultural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G484" s="472">
        <f>IFERROR(SUMIFS(uwmp_table_4_2_w!L$2:L$9900,uwmp_table_4_2_w!$G$2:$G$9900,"Agricultural irrigation",uwmp_table_4_2_w!$B$2:$B$9900,'Contractor Assumptions'!$F47),0)+IFERROR(SUMIFS(uwmp_table_4_2_r!L$2:L$9900,uwmp_table_4_2_r!$G$2:$G$9900,"Agricultural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H484" s="520">
        <f>IFERROR(SUMIFS(uwmp_table_4_2_w!M$2:M$9900,uwmp_table_4_2_w!$G$2:$G$9900,"Agricultural irrigation",uwmp_table_4_2_w!$B$2:$B$9900,'Contractor Assumptions'!$F47),0)+IFERROR(SUMIFS(uwmp_table_4_2_r!M$2:M$9900,uwmp_table_4_2_r!$G$2:$G$9900,"Agricultural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I484" s="66" t="s">
        <v>1018</v>
      </c>
      <c r="J484" s="70"/>
      <c r="K484" s="70"/>
      <c r="L484" s="70"/>
      <c r="M484" s="70"/>
      <c r="N484" s="70"/>
      <c r="O484" s="70"/>
      <c r="P484" s="70"/>
    </row>
    <row r="485" spans="1:16" hidden="1" outlineLevel="1" x14ac:dyDescent="0.3">
      <c r="A485" s="63" t="s">
        <v>1023</v>
      </c>
      <c r="B485" s="63" t="s">
        <v>940</v>
      </c>
      <c r="C485" s="63" t="str">
        <f t="shared" si="8"/>
        <v>Ventura County Watershed Protection District</v>
      </c>
      <c r="D485" s="471" t="s">
        <v>204</v>
      </c>
      <c r="E485" s="471" t="s">
        <v>204</v>
      </c>
      <c r="F485" s="471" t="s">
        <v>204</v>
      </c>
      <c r="G485" s="471" t="s">
        <v>204</v>
      </c>
      <c r="H485" s="518" t="s">
        <v>204</v>
      </c>
      <c r="I485" s="66"/>
      <c r="J485" s="70"/>
      <c r="K485" s="70"/>
      <c r="L485" s="70"/>
      <c r="M485" s="70"/>
      <c r="N485" s="70"/>
      <c r="O485" s="70"/>
      <c r="P485" s="70"/>
    </row>
    <row r="486" spans="1:16" collapsed="1" x14ac:dyDescent="0.3">
      <c r="A486" s="120"/>
      <c r="B486" s="120"/>
      <c r="C486" s="407" t="s">
        <v>992</v>
      </c>
      <c r="D486" s="121"/>
      <c r="E486" s="121"/>
      <c r="F486" s="121"/>
      <c r="G486" s="121"/>
      <c r="H486" s="519"/>
      <c r="I486" s="121"/>
      <c r="J486" s="70"/>
      <c r="K486" s="70"/>
      <c r="L486" s="70"/>
      <c r="M486" s="70"/>
      <c r="N486" s="70"/>
      <c r="O486" s="70"/>
      <c r="P486" s="70"/>
    </row>
    <row r="487" spans="1:16" x14ac:dyDescent="0.3">
      <c r="A487" s="63"/>
      <c r="B487" s="63"/>
      <c r="C487" s="129" t="s">
        <v>990</v>
      </c>
      <c r="D487" s="66">
        <f>SUM(D489:D531)</f>
        <v>80289.517751000007</v>
      </c>
      <c r="E487" s="66">
        <f>SUM(E489:E531)</f>
        <v>84571.287750999996</v>
      </c>
      <c r="F487" s="66">
        <f>SUM(F489:F531)</f>
        <v>91079.840461</v>
      </c>
      <c r="G487" s="66">
        <f>SUM(G489:G531)</f>
        <v>94438.942890999984</v>
      </c>
      <c r="H487" s="521">
        <f>SUM(H489:H531)</f>
        <v>96759.45410599999</v>
      </c>
      <c r="I487" s="66"/>
      <c r="J487" s="70"/>
      <c r="K487" s="70"/>
      <c r="L487" s="70"/>
      <c r="M487" s="70"/>
      <c r="N487" s="70"/>
      <c r="O487" s="70"/>
      <c r="P487" s="70"/>
    </row>
    <row r="488" spans="1:16" x14ac:dyDescent="0.3">
      <c r="A488" s="122" t="s">
        <v>5</v>
      </c>
      <c r="B488" s="122"/>
      <c r="C488" s="122" t="s">
        <v>193</v>
      </c>
      <c r="D488" s="123">
        <v>2025</v>
      </c>
      <c r="E488" s="123">
        <v>2030</v>
      </c>
      <c r="F488" s="123">
        <v>2035</v>
      </c>
      <c r="G488" s="123">
        <v>2040</v>
      </c>
      <c r="H488" s="505">
        <v>2045</v>
      </c>
      <c r="I488" s="123" t="s">
        <v>153</v>
      </c>
      <c r="J488" s="70"/>
      <c r="K488" s="70"/>
      <c r="L488" s="70"/>
      <c r="M488" s="70"/>
      <c r="N488" s="70"/>
      <c r="O488" s="70"/>
      <c r="P488" s="70"/>
    </row>
    <row r="489" spans="1:16" hidden="1" outlineLevel="1" x14ac:dyDescent="0.3">
      <c r="A489" s="63" t="s">
        <v>450</v>
      </c>
      <c r="B489" s="63" t="s">
        <v>855</v>
      </c>
      <c r="C489" s="63" t="str">
        <f t="shared" ref="C489:C531" si="9">C443</f>
        <v>Butte County</v>
      </c>
      <c r="D489" s="471" t="s">
        <v>204</v>
      </c>
      <c r="E489" s="471" t="s">
        <v>204</v>
      </c>
      <c r="F489" s="471" t="s">
        <v>204</v>
      </c>
      <c r="G489" s="471" t="s">
        <v>204</v>
      </c>
      <c r="H489" s="518" t="s">
        <v>204</v>
      </c>
      <c r="I489" s="66"/>
      <c r="J489" s="70"/>
      <c r="K489" s="70"/>
      <c r="L489" s="70"/>
      <c r="M489" s="70"/>
      <c r="N489" s="70"/>
      <c r="O489" s="70"/>
      <c r="P489" s="70"/>
    </row>
    <row r="490" spans="1:16" hidden="1" outlineLevel="1" x14ac:dyDescent="0.3">
      <c r="A490" s="63" t="s">
        <v>450</v>
      </c>
      <c r="B490" s="63" t="s">
        <v>855</v>
      </c>
      <c r="C490" s="63" t="str">
        <f t="shared" si="9"/>
        <v>City of Folsom</v>
      </c>
      <c r="D490" s="473">
        <f>IFERROR(SUMIFS(uwmp_table_4_2_w!I$2:I$9900,uwmp_table_4_2_w!$G$2:$G$9900,"Landscape",uwmp_table_4_2_w!$B$2:$B$9900,'Contractor Assumptions'!$F7),0) + IFERROR(SUMIFS(uwmp_table_4_2_r!I$2:I$9900,uwmp_table_4_2_r!$G$2:$G$9900,"Landscape",uwmp_table_4_2_r!$B$2:$B$9900,'Contractor Assumptions'!$F7),0)*IFERROR(VLOOKUP(VLOOKUP('Contractor Assumptions'!$F7,uwmp_table_4_2_r!$B$2:$N$9900,13,FALSE),$A$11:$C$13,2,FALSE), VLOOKUP(VLOOKUP('Contractor Assumptions'!$F7,uwmp_table_4_2_w!$B$2:$N$9900,14,FALSE),$A$11:$C$13,2,FALSE))</f>
        <v>0</v>
      </c>
      <c r="E490" s="473">
        <f>IFERROR(SUMIFS(uwmp_table_4_2_w!J$2:J$9900,uwmp_table_4_2_w!$G$2:$G$9900,"Landscape",uwmp_table_4_2_w!$B$2:$B$9900,'Contractor Assumptions'!$F7),0) + IFERROR(SUMIFS(uwmp_table_4_2_r!J$2:J$9900,uwmp_table_4_2_r!$G$2:$G$9900,"Landscape",uwmp_table_4_2_r!$B$2:$B$9900,'Contractor Assumptions'!$F7),0)*IFERROR(VLOOKUP(VLOOKUP('Contractor Assumptions'!$F7,uwmp_table_4_2_r!$B$2:$N$9900,13,FALSE),$A$11:$C$13,2,FALSE), VLOOKUP(VLOOKUP('Contractor Assumptions'!$F7,uwmp_table_4_2_w!$B$2:$N$9900,14,FALSE),$A$11:$C$13,2,FALSE))</f>
        <v>0</v>
      </c>
      <c r="F490" s="473">
        <f>IFERROR(SUMIFS(uwmp_table_4_2_w!K$2:K$9900,uwmp_table_4_2_w!$G$2:$G$9900,"Landscape",uwmp_table_4_2_w!$B$2:$B$9900,'Contractor Assumptions'!$F7),0) + IFERROR(SUMIFS(uwmp_table_4_2_r!K$2:K$9900,uwmp_table_4_2_r!$G$2:$G$9900,"Landscape",uwmp_table_4_2_r!$B$2:$B$9900,'Contractor Assumptions'!$F7),0)*IFERROR(VLOOKUP(VLOOKUP('Contractor Assumptions'!$F7,uwmp_table_4_2_r!$B$2:$N$9900,13,FALSE),$A$11:$C$13,2,FALSE), VLOOKUP(VLOOKUP('Contractor Assumptions'!$F7,uwmp_table_4_2_w!$B$2:$N$9900,14,FALSE),$A$11:$C$13,2,FALSE))</f>
        <v>0</v>
      </c>
      <c r="G490" s="473">
        <f>IFERROR(SUMIFS(uwmp_table_4_2_w!L$2:L$9900,uwmp_table_4_2_w!$G$2:$G$9900,"Landscape",uwmp_table_4_2_w!$B$2:$B$9900,'Contractor Assumptions'!$F7),0) + IFERROR(SUMIFS(uwmp_table_4_2_r!L$2:L$9900,uwmp_table_4_2_r!$G$2:$G$9900,"Landscape",uwmp_table_4_2_r!$B$2:$B$9900,'Contractor Assumptions'!$F7),0)*IFERROR(VLOOKUP(VLOOKUP('Contractor Assumptions'!$F7,uwmp_table_4_2_r!$B$2:$N$9900,13,FALSE),$A$11:$C$13,2,FALSE), VLOOKUP(VLOOKUP('Contractor Assumptions'!$F7,uwmp_table_4_2_w!$B$2:$N$9900,14,FALSE),$A$11:$C$13,2,FALSE))</f>
        <v>0</v>
      </c>
      <c r="H490" s="523">
        <f>IFERROR(SUMIFS(uwmp_table_4_2_w!M$2:M$9900,uwmp_table_4_2_w!$G$2:$G$9900,"Landscape",uwmp_table_4_2_w!$B$2:$B$9900,'Contractor Assumptions'!$F7),0) + IFERROR(SUMIFS(uwmp_table_4_2_r!M$2:M$9900,uwmp_table_4_2_r!$G$2:$G$9900,"Landscape",uwmp_table_4_2_r!$B$2:$B$9900,'Contractor Assumptions'!$F7),0)*IFERROR(VLOOKUP(VLOOKUP('Contractor Assumptions'!$F7,uwmp_table_4_2_r!$B$2:$N$9900,13,FALSE),$A$11:$C$13,2,FALSE), VLOOKUP(VLOOKUP('Contractor Assumptions'!$F7,uwmp_table_4_2_w!$B$2:$N$9900,14,FALSE),$A$11:$C$13,2,FALSE))</f>
        <v>0</v>
      </c>
      <c r="I490" s="66" t="s">
        <v>1005</v>
      </c>
      <c r="J490" s="70"/>
      <c r="K490" s="70"/>
      <c r="L490" s="70"/>
      <c r="M490" s="70"/>
      <c r="N490" s="70"/>
      <c r="O490" s="70"/>
      <c r="P490" s="70"/>
    </row>
    <row r="491" spans="1:16" hidden="1" outlineLevel="1" x14ac:dyDescent="0.3">
      <c r="A491" s="63" t="s">
        <v>450</v>
      </c>
      <c r="B491" s="63" t="s">
        <v>855</v>
      </c>
      <c r="C491" s="63" t="str">
        <f t="shared" si="9"/>
        <v>City of Redding</v>
      </c>
      <c r="D491" s="473">
        <f>IFERROR(SUMIFS(uwmp_table_4_2_w!I$2:I$9900,uwmp_table_4_2_w!$G$2:$G$9900,"Landscape",uwmp_table_4_2_w!$B$2:$B$9900,'Contractor Assumptions'!$F8),0) + IFERROR(SUMIFS(uwmp_table_4_2_r!I$2:I$9900,uwmp_table_4_2_r!$G$2:$G$9900,"Landscape",uwmp_table_4_2_r!$B$2:$B$9900,'Contractor Assumptions'!$F8),0)*IFERROR(VLOOKUP(VLOOKUP('Contractor Assumptions'!$F8,uwmp_table_4_2_r!$B$2:$N$9900,13,FALSE),$A$11:$C$13,2,FALSE), VLOOKUP(VLOOKUP('Contractor Assumptions'!$F8,uwmp_table_4_2_w!$B$2:$N$9900,14,FALSE),$A$11:$C$13,2,FALSE))</f>
        <v>0</v>
      </c>
      <c r="E491" s="473">
        <f>IFERROR(SUMIFS(uwmp_table_4_2_w!J$2:J$9900,uwmp_table_4_2_w!$G$2:$G$9900,"Landscape",uwmp_table_4_2_w!$B$2:$B$9900,'Contractor Assumptions'!$F8),0) + IFERROR(SUMIFS(uwmp_table_4_2_r!J$2:J$9900,uwmp_table_4_2_r!$G$2:$G$9900,"Landscape",uwmp_table_4_2_r!$B$2:$B$9900,'Contractor Assumptions'!$F8),0)*IFERROR(VLOOKUP(VLOOKUP('Contractor Assumptions'!$F8,uwmp_table_4_2_r!$B$2:$N$9900,13,FALSE),$A$11:$C$13,2,FALSE), VLOOKUP(VLOOKUP('Contractor Assumptions'!$F8,uwmp_table_4_2_w!$B$2:$N$9900,14,FALSE),$A$11:$C$13,2,FALSE))</f>
        <v>0</v>
      </c>
      <c r="F491" s="473">
        <f>IFERROR(SUMIFS(uwmp_table_4_2_w!K$2:K$9900,uwmp_table_4_2_w!$G$2:$G$9900,"Landscape",uwmp_table_4_2_w!$B$2:$B$9900,'Contractor Assumptions'!$F8),0) + IFERROR(SUMIFS(uwmp_table_4_2_r!K$2:K$9900,uwmp_table_4_2_r!$G$2:$G$9900,"Landscape",uwmp_table_4_2_r!$B$2:$B$9900,'Contractor Assumptions'!$F8),0)*IFERROR(VLOOKUP(VLOOKUP('Contractor Assumptions'!$F8,uwmp_table_4_2_r!$B$2:$N$9900,13,FALSE),$A$11:$C$13,2,FALSE), VLOOKUP(VLOOKUP('Contractor Assumptions'!$F8,uwmp_table_4_2_w!$B$2:$N$9900,14,FALSE),$A$11:$C$13,2,FALSE))</f>
        <v>0</v>
      </c>
      <c r="G491" s="473">
        <f>IFERROR(SUMIFS(uwmp_table_4_2_w!L$2:L$9900,uwmp_table_4_2_w!$G$2:$G$9900,"Landscape",uwmp_table_4_2_w!$B$2:$B$9900,'Contractor Assumptions'!$F8),0) + IFERROR(SUMIFS(uwmp_table_4_2_r!L$2:L$9900,uwmp_table_4_2_r!$G$2:$G$9900,"Landscape",uwmp_table_4_2_r!$B$2:$B$9900,'Contractor Assumptions'!$F8),0)*IFERROR(VLOOKUP(VLOOKUP('Contractor Assumptions'!$F8,uwmp_table_4_2_r!$B$2:$N$9900,13,FALSE),$A$11:$C$13,2,FALSE), VLOOKUP(VLOOKUP('Contractor Assumptions'!$F8,uwmp_table_4_2_w!$B$2:$N$9900,14,FALSE),$A$11:$C$13,2,FALSE))</f>
        <v>0</v>
      </c>
      <c r="H491" s="523">
        <f>IFERROR(SUMIFS(uwmp_table_4_2_w!M$2:M$9900,uwmp_table_4_2_w!$G$2:$G$9900,"Landscape",uwmp_table_4_2_w!$B$2:$B$9900,'Contractor Assumptions'!$F8),0) + IFERROR(SUMIFS(uwmp_table_4_2_r!M$2:M$9900,uwmp_table_4_2_r!$G$2:$G$9900,"Landscape",uwmp_table_4_2_r!$B$2:$B$9900,'Contractor Assumptions'!$F8),0)*IFERROR(VLOOKUP(VLOOKUP('Contractor Assumptions'!$F8,uwmp_table_4_2_r!$B$2:$N$9900,13,FALSE),$A$11:$C$13,2,FALSE), VLOOKUP(VLOOKUP('Contractor Assumptions'!$F8,uwmp_table_4_2_w!$B$2:$N$9900,14,FALSE),$A$11:$C$13,2,FALSE))</f>
        <v>0</v>
      </c>
      <c r="I491" s="66"/>
      <c r="J491" s="70"/>
      <c r="K491" s="70"/>
      <c r="L491" s="70"/>
      <c r="M491" s="70"/>
      <c r="N491" s="70"/>
      <c r="O491" s="70"/>
      <c r="P491" s="70"/>
    </row>
    <row r="492" spans="1:16" hidden="1" outlineLevel="1" x14ac:dyDescent="0.3">
      <c r="A492" s="63" t="s">
        <v>450</v>
      </c>
      <c r="B492" s="63" t="s">
        <v>855</v>
      </c>
      <c r="C492" s="63" t="str">
        <f t="shared" si="9"/>
        <v>City of Roseville</v>
      </c>
      <c r="D492" s="473">
        <f>IFERROR(SUMIFS(uwmp_table_4_2_w!I$2:I$9900,uwmp_table_4_2_w!$G$2:$G$9900,"Landscape",uwmp_table_4_2_w!$B$2:$B$9900,'Contractor Assumptions'!$F9),0) + IFERROR(SUMIFS(uwmp_table_4_2_r!I$2:I$9900,uwmp_table_4_2_r!$G$2:$G$9900,"Landscape",uwmp_table_4_2_r!$B$2:$B$9900,'Contractor Assumptions'!$F9),0)*IFERROR(VLOOKUP(VLOOKUP('Contractor Assumptions'!$F9,uwmp_table_4_2_r!$B$2:$N$9900,13,FALSE),$A$11:$C$13,2,FALSE), VLOOKUP(VLOOKUP('Contractor Assumptions'!$F9,uwmp_table_4_2_w!$B$2:$N$9900,14,FALSE),$A$11:$C$13,2,FALSE))</f>
        <v>644</v>
      </c>
      <c r="E492" s="473">
        <f>IFERROR(SUMIFS(uwmp_table_4_2_w!J$2:J$9900,uwmp_table_4_2_w!$G$2:$G$9900,"Landscape",uwmp_table_4_2_w!$B$2:$B$9900,'Contractor Assumptions'!$F9),0) + IFERROR(SUMIFS(uwmp_table_4_2_r!J$2:J$9900,uwmp_table_4_2_r!$G$2:$G$9900,"Landscape",uwmp_table_4_2_r!$B$2:$B$9900,'Contractor Assumptions'!$F9),0)*IFERROR(VLOOKUP(VLOOKUP('Contractor Assumptions'!$F9,uwmp_table_4_2_r!$B$2:$N$9900,13,FALSE),$A$11:$C$13,2,FALSE), VLOOKUP(VLOOKUP('Contractor Assumptions'!$F9,uwmp_table_4_2_w!$B$2:$N$9900,14,FALSE),$A$11:$C$13,2,FALSE))</f>
        <v>765</v>
      </c>
      <c r="F492" s="473">
        <f>IFERROR(SUMIFS(uwmp_table_4_2_w!K$2:K$9900,uwmp_table_4_2_w!$G$2:$G$9900,"Landscape",uwmp_table_4_2_w!$B$2:$B$9900,'Contractor Assumptions'!$F9),0) + IFERROR(SUMIFS(uwmp_table_4_2_r!K$2:K$9900,uwmp_table_4_2_r!$G$2:$G$9900,"Landscape",uwmp_table_4_2_r!$B$2:$B$9900,'Contractor Assumptions'!$F9),0)*IFERROR(VLOOKUP(VLOOKUP('Contractor Assumptions'!$F9,uwmp_table_4_2_r!$B$2:$N$9900,13,FALSE),$A$11:$C$13,2,FALSE), VLOOKUP(VLOOKUP('Contractor Assumptions'!$F9,uwmp_table_4_2_w!$B$2:$N$9900,14,FALSE),$A$11:$C$13,2,FALSE))</f>
        <v>805</v>
      </c>
      <c r="G492" s="473">
        <f>IFERROR(SUMIFS(uwmp_table_4_2_w!L$2:L$9900,uwmp_table_4_2_w!$G$2:$G$9900,"Landscape",uwmp_table_4_2_w!$B$2:$B$9900,'Contractor Assumptions'!$F9),0) + IFERROR(SUMIFS(uwmp_table_4_2_r!L$2:L$9900,uwmp_table_4_2_r!$G$2:$G$9900,"Landscape",uwmp_table_4_2_r!$B$2:$B$9900,'Contractor Assumptions'!$F9),0)*IFERROR(VLOOKUP(VLOOKUP('Contractor Assumptions'!$F9,uwmp_table_4_2_r!$B$2:$N$9900,13,FALSE),$A$11:$C$13,2,FALSE), VLOOKUP(VLOOKUP('Contractor Assumptions'!$F9,uwmp_table_4_2_w!$B$2:$N$9900,14,FALSE),$A$11:$C$13,2,FALSE))</f>
        <v>805</v>
      </c>
      <c r="H492" s="523">
        <f>IFERROR(SUMIFS(uwmp_table_4_2_w!M$2:M$9900,uwmp_table_4_2_w!$G$2:$G$9900,"Landscape",uwmp_table_4_2_w!$B$2:$B$9900,'Contractor Assumptions'!$F9),0) + IFERROR(SUMIFS(uwmp_table_4_2_r!M$2:M$9900,uwmp_table_4_2_r!$G$2:$G$9900,"Landscape",uwmp_table_4_2_r!$B$2:$B$9900,'Contractor Assumptions'!$F9),0)*IFERROR(VLOOKUP(VLOOKUP('Contractor Assumptions'!$F9,uwmp_table_4_2_r!$B$2:$N$9900,13,FALSE),$A$11:$C$13,2,FALSE), VLOOKUP(VLOOKUP('Contractor Assumptions'!$F9,uwmp_table_4_2_w!$B$2:$N$9900,14,FALSE),$A$11:$C$13,2,FALSE))</f>
        <v>805</v>
      </c>
      <c r="I492" s="66" t="s">
        <v>1006</v>
      </c>
      <c r="J492" s="70"/>
      <c r="K492" s="70"/>
      <c r="L492" s="70"/>
      <c r="M492" s="70"/>
      <c r="N492" s="70"/>
      <c r="O492" s="70"/>
      <c r="P492" s="70"/>
    </row>
    <row r="493" spans="1:16" hidden="1" outlineLevel="1" x14ac:dyDescent="0.3">
      <c r="A493" s="63" t="s">
        <v>450</v>
      </c>
      <c r="B493" s="63" t="s">
        <v>855</v>
      </c>
      <c r="C493" s="63" t="str">
        <f t="shared" si="9"/>
        <v>City of West Sacramento</v>
      </c>
      <c r="D493" s="473">
        <f>IFERROR(SUMIFS(uwmp_table_4_2_w!I$2:I$9900,uwmp_table_4_2_w!$G$2:$G$9900,"Landscape",uwmp_table_4_2_w!$B$2:$B$9900,'Contractor Assumptions'!$F10),0) + IFERROR(SUMIFS(uwmp_table_4_2_r!I$2:I$9900,uwmp_table_4_2_r!$G$2:$G$9900,"Landscape",uwmp_table_4_2_r!$B$2:$B$9900,'Contractor Assumptions'!$F10),0)*IFERROR(VLOOKUP(VLOOKUP('Contractor Assumptions'!$F10,uwmp_table_4_2_r!$B$2:$N$9900,13,FALSE),$A$11:$C$13,2,FALSE), VLOOKUP(VLOOKUP('Contractor Assumptions'!$F10,uwmp_table_4_2_w!$B$2:$N$9900,14,FALSE),$A$11:$C$13,2,FALSE))</f>
        <v>1200</v>
      </c>
      <c r="E493" s="473">
        <f>IFERROR(SUMIFS(uwmp_table_4_2_w!J$2:J$9900,uwmp_table_4_2_w!$G$2:$G$9900,"Landscape",uwmp_table_4_2_w!$B$2:$B$9900,'Contractor Assumptions'!$F10),0) + IFERROR(SUMIFS(uwmp_table_4_2_r!J$2:J$9900,uwmp_table_4_2_r!$G$2:$G$9900,"Landscape",uwmp_table_4_2_r!$B$2:$B$9900,'Contractor Assumptions'!$F10),0)*IFERROR(VLOOKUP(VLOOKUP('Contractor Assumptions'!$F10,uwmp_table_4_2_r!$B$2:$N$9900,13,FALSE),$A$11:$C$13,2,FALSE), VLOOKUP(VLOOKUP('Contractor Assumptions'!$F10,uwmp_table_4_2_w!$B$2:$N$9900,14,FALSE),$A$11:$C$13,2,FALSE))</f>
        <v>1200</v>
      </c>
      <c r="F493" s="473">
        <f>IFERROR(SUMIFS(uwmp_table_4_2_w!K$2:K$9900,uwmp_table_4_2_w!$G$2:$G$9900,"Landscape",uwmp_table_4_2_w!$B$2:$B$9900,'Contractor Assumptions'!$F10),0) + IFERROR(SUMIFS(uwmp_table_4_2_r!K$2:K$9900,uwmp_table_4_2_r!$G$2:$G$9900,"Landscape",uwmp_table_4_2_r!$B$2:$B$9900,'Contractor Assumptions'!$F10),0)*IFERROR(VLOOKUP(VLOOKUP('Contractor Assumptions'!$F10,uwmp_table_4_2_r!$B$2:$N$9900,13,FALSE),$A$11:$C$13,2,FALSE), VLOOKUP(VLOOKUP('Contractor Assumptions'!$F10,uwmp_table_4_2_w!$B$2:$N$9900,14,FALSE),$A$11:$C$13,2,FALSE))</f>
        <v>1190</v>
      </c>
      <c r="G493" s="473">
        <f>IFERROR(SUMIFS(uwmp_table_4_2_w!L$2:L$9900,uwmp_table_4_2_w!$G$2:$G$9900,"Landscape",uwmp_table_4_2_w!$B$2:$B$9900,'Contractor Assumptions'!$F10),0) + IFERROR(SUMIFS(uwmp_table_4_2_r!L$2:L$9900,uwmp_table_4_2_r!$G$2:$G$9900,"Landscape",uwmp_table_4_2_r!$B$2:$B$9900,'Contractor Assumptions'!$F10),0)*IFERROR(VLOOKUP(VLOOKUP('Contractor Assumptions'!$F10,uwmp_table_4_2_r!$B$2:$N$9900,13,FALSE),$A$11:$C$13,2,FALSE), VLOOKUP(VLOOKUP('Contractor Assumptions'!$F10,uwmp_table_4_2_w!$B$2:$N$9900,14,FALSE),$A$11:$C$13,2,FALSE))</f>
        <v>1170</v>
      </c>
      <c r="H493" s="523">
        <f>IFERROR(SUMIFS(uwmp_table_4_2_w!M$2:M$9900,uwmp_table_4_2_w!$G$2:$G$9900,"Landscape",uwmp_table_4_2_w!$B$2:$B$9900,'Contractor Assumptions'!$F10),0) + IFERROR(SUMIFS(uwmp_table_4_2_r!M$2:M$9900,uwmp_table_4_2_r!$G$2:$G$9900,"Landscape",uwmp_table_4_2_r!$B$2:$B$9900,'Contractor Assumptions'!$F10),0)*IFERROR(VLOOKUP(VLOOKUP('Contractor Assumptions'!$F10,uwmp_table_4_2_r!$B$2:$N$9900,13,FALSE),$A$11:$C$13,2,FALSE), VLOOKUP(VLOOKUP('Contractor Assumptions'!$F10,uwmp_table_4_2_w!$B$2:$N$9900,14,FALSE),$A$11:$C$13,2,FALSE))</f>
        <v>1190</v>
      </c>
      <c r="I493" s="66"/>
      <c r="J493" s="70"/>
      <c r="K493" s="70"/>
      <c r="L493" s="70"/>
      <c r="M493" s="70"/>
      <c r="N493" s="70"/>
      <c r="O493" s="70"/>
      <c r="P493" s="70"/>
    </row>
    <row r="494" spans="1:16" hidden="1" outlineLevel="1" x14ac:dyDescent="0.3">
      <c r="A494" s="63" t="s">
        <v>450</v>
      </c>
      <c r="B494" s="63" t="s">
        <v>855</v>
      </c>
      <c r="C494" s="63" t="str">
        <f t="shared" si="9"/>
        <v>Yuba City</v>
      </c>
      <c r="D494" s="473">
        <f>950+75</f>
        <v>1025</v>
      </c>
      <c r="E494" s="473">
        <f>950+150</f>
        <v>1100</v>
      </c>
      <c r="F494" s="473">
        <f>950+250</f>
        <v>1200</v>
      </c>
      <c r="G494" s="473">
        <f>950+375</f>
        <v>1325</v>
      </c>
      <c r="H494" s="523">
        <f>950+500</f>
        <v>1450</v>
      </c>
      <c r="I494" s="66" t="str">
        <f>I448</f>
        <v>2020 UWMP Table 4-9 (Yuba City, 2021)</v>
      </c>
      <c r="J494" s="70"/>
      <c r="K494" s="70"/>
      <c r="L494" s="70"/>
      <c r="M494" s="70"/>
      <c r="N494" s="70"/>
      <c r="O494" s="70"/>
      <c r="P494" s="70"/>
    </row>
    <row r="495" spans="1:16" hidden="1" outlineLevel="1" x14ac:dyDescent="0.3">
      <c r="A495" s="63" t="s">
        <v>450</v>
      </c>
      <c r="B495" s="63" t="s">
        <v>855</v>
      </c>
      <c r="C495" s="63" t="str">
        <f t="shared" si="9"/>
        <v>El Dorado Irrigation District</v>
      </c>
      <c r="D495" s="473">
        <f>490+990</f>
        <v>1480</v>
      </c>
      <c r="E495" s="473">
        <f t="shared" ref="E495:H495" si="10">490+990</f>
        <v>1480</v>
      </c>
      <c r="F495" s="473">
        <f t="shared" si="10"/>
        <v>1480</v>
      </c>
      <c r="G495" s="473">
        <f t="shared" si="10"/>
        <v>1480</v>
      </c>
      <c r="H495" s="523">
        <f t="shared" si="10"/>
        <v>1480</v>
      </c>
      <c r="I495" s="66" t="str">
        <f>I449</f>
        <v>2020 UWMP Table 4-11 (El Dorado Irrigation District, 2021)</v>
      </c>
      <c r="J495" s="70"/>
      <c r="K495" s="70"/>
      <c r="L495" s="70"/>
      <c r="M495" s="70"/>
      <c r="N495" s="70"/>
      <c r="O495" s="70"/>
      <c r="P495" s="70"/>
    </row>
    <row r="496" spans="1:16" hidden="1" outlineLevel="1" x14ac:dyDescent="0.3">
      <c r="A496" s="63" t="s">
        <v>450</v>
      </c>
      <c r="B496" s="63" t="s">
        <v>855</v>
      </c>
      <c r="C496" s="63" t="str">
        <f t="shared" si="9"/>
        <v>Napa County Flood Control &amp; Water Conservation District</v>
      </c>
      <c r="D496" s="471" t="s">
        <v>204</v>
      </c>
      <c r="E496" s="471" t="s">
        <v>204</v>
      </c>
      <c r="F496" s="471" t="s">
        <v>204</v>
      </c>
      <c r="G496" s="471" t="s">
        <v>204</v>
      </c>
      <c r="H496" s="518" t="s">
        <v>204</v>
      </c>
      <c r="I496" s="66"/>
      <c r="J496" s="70"/>
      <c r="K496" s="70"/>
      <c r="L496" s="70"/>
      <c r="M496" s="70"/>
      <c r="N496" s="70"/>
      <c r="O496" s="70"/>
      <c r="P496" s="70"/>
    </row>
    <row r="497" spans="1:16" hidden="1" outlineLevel="1" x14ac:dyDescent="0.3">
      <c r="A497" s="63" t="s">
        <v>450</v>
      </c>
      <c r="B497" s="63" t="s">
        <v>855</v>
      </c>
      <c r="C497" s="63" t="str">
        <f t="shared" si="9"/>
        <v>Placer County Water Agency</v>
      </c>
      <c r="D497" s="473">
        <f>IFERROR(SUMIFS(uwmp_table_4_2_w!I$2:I$9900,uwmp_table_4_2_w!$G$2:$G$9900,"Landscape",uwmp_table_4_2_w!$B$2:$B$9900,'Contractor Assumptions'!$F14),0) + IFERROR(SUMIFS(uwmp_table_4_2_r!I$2:I$9900,uwmp_table_4_2_r!$G$2:$G$9900,"Landscape",uwmp_table_4_2_r!$B$2:$B$9900,'Contractor Assumptions'!$F14),0)*IFERROR(VLOOKUP(VLOOKUP('Contractor Assumptions'!$F14,uwmp_table_4_2_r!$B$2:$N$9900,13,FALSE),$A$11:$C$13,2,FALSE), VLOOKUP(VLOOKUP('Contractor Assumptions'!$F14,uwmp_table_4_2_w!$B$2:$N$9900,14,FALSE),$A$11:$C$13,2,FALSE))</f>
        <v>3296</v>
      </c>
      <c r="E497" s="473">
        <f>IFERROR(SUMIFS(uwmp_table_4_2_w!J$2:J$9900,uwmp_table_4_2_w!$G$2:$G$9900,"Landscape",uwmp_table_4_2_w!$B$2:$B$9900,'Contractor Assumptions'!$F14),0) + IFERROR(SUMIFS(uwmp_table_4_2_r!J$2:J$9900,uwmp_table_4_2_r!$G$2:$G$9900,"Landscape",uwmp_table_4_2_r!$B$2:$B$9900,'Contractor Assumptions'!$F14),0)*IFERROR(VLOOKUP(VLOOKUP('Contractor Assumptions'!$F14,uwmp_table_4_2_r!$B$2:$N$9900,13,FALSE),$A$11:$C$13,2,FALSE), VLOOKUP(VLOOKUP('Contractor Assumptions'!$F14,uwmp_table_4_2_w!$B$2:$N$9900,14,FALSE),$A$11:$C$13,2,FALSE))</f>
        <v>3801</v>
      </c>
      <c r="F497" s="473">
        <f>IFERROR(SUMIFS(uwmp_table_4_2_w!K$2:K$9900,uwmp_table_4_2_w!$G$2:$G$9900,"Landscape",uwmp_table_4_2_w!$B$2:$B$9900,'Contractor Assumptions'!$F14),0) + IFERROR(SUMIFS(uwmp_table_4_2_r!K$2:K$9900,uwmp_table_4_2_r!$G$2:$G$9900,"Landscape",uwmp_table_4_2_r!$B$2:$B$9900,'Contractor Assumptions'!$F14),0)*IFERROR(VLOOKUP(VLOOKUP('Contractor Assumptions'!$F14,uwmp_table_4_2_r!$B$2:$N$9900,13,FALSE),$A$11:$C$13,2,FALSE), VLOOKUP(VLOOKUP('Contractor Assumptions'!$F14,uwmp_table_4_2_w!$B$2:$N$9900,14,FALSE),$A$11:$C$13,2,FALSE))</f>
        <v>4384</v>
      </c>
      <c r="G497" s="473">
        <f>IFERROR(SUMIFS(uwmp_table_4_2_w!L$2:L$9900,uwmp_table_4_2_w!$G$2:$G$9900,"Landscape",uwmp_table_4_2_w!$B$2:$B$9900,'Contractor Assumptions'!$F14),0) + IFERROR(SUMIFS(uwmp_table_4_2_r!L$2:L$9900,uwmp_table_4_2_r!$G$2:$G$9900,"Landscape",uwmp_table_4_2_r!$B$2:$B$9900,'Contractor Assumptions'!$F14),0)*IFERROR(VLOOKUP(VLOOKUP('Contractor Assumptions'!$F14,uwmp_table_4_2_r!$B$2:$N$9900,13,FALSE),$A$11:$C$13,2,FALSE), VLOOKUP(VLOOKUP('Contractor Assumptions'!$F14,uwmp_table_4_2_w!$B$2:$N$9900,14,FALSE),$A$11:$C$13,2,FALSE))</f>
        <v>5057</v>
      </c>
      <c r="H497" s="523">
        <f>27+5310</f>
        <v>5337</v>
      </c>
      <c r="I497" s="66" t="s">
        <v>1009</v>
      </c>
      <c r="J497" s="70"/>
      <c r="K497" s="70"/>
      <c r="L497" s="70"/>
      <c r="M497" s="70"/>
      <c r="N497" s="70"/>
      <c r="O497" s="70"/>
      <c r="P497" s="70"/>
    </row>
    <row r="498" spans="1:16" hidden="1" outlineLevel="1" x14ac:dyDescent="0.3">
      <c r="A498" s="63" t="s">
        <v>450</v>
      </c>
      <c r="B498" s="63" t="s">
        <v>855</v>
      </c>
      <c r="C498" s="63" t="str">
        <f t="shared" si="9"/>
        <v>Sacramento County Water Agency</v>
      </c>
      <c r="D498" s="473">
        <f xml:space="preserve"> 4395 + 2127 + 43 + 139 + 55 + 1</f>
        <v>6760</v>
      </c>
      <c r="E498" s="473">
        <f xml:space="preserve"> 4395 + 4254+ 43 + 139 + 55 + 1</f>
        <v>8887</v>
      </c>
      <c r="F498" s="473">
        <f xml:space="preserve"> 4395 + 6381 + 43 + 139 + 55 + 1</f>
        <v>11014</v>
      </c>
      <c r="G498" s="473">
        <f xml:space="preserve"> 4395 + 7991+ 43 + 139 + 55 + 1</f>
        <v>12624</v>
      </c>
      <c r="H498" s="523">
        <f xml:space="preserve"> 4395 + 9600 + 43 + 139 + 48 + 1</f>
        <v>14226</v>
      </c>
      <c r="I498" s="66" t="s">
        <v>1010</v>
      </c>
      <c r="J498" s="70"/>
      <c r="K498" s="70"/>
      <c r="L498" s="70"/>
      <c r="M498" s="70"/>
      <c r="N498" s="70"/>
      <c r="O498" s="70"/>
      <c r="P498" s="70"/>
    </row>
    <row r="499" spans="1:16" hidden="1" outlineLevel="1" x14ac:dyDescent="0.3">
      <c r="A499" s="63" t="s">
        <v>450</v>
      </c>
      <c r="B499" s="63" t="s">
        <v>855</v>
      </c>
      <c r="C499" s="63" t="str">
        <f t="shared" si="9"/>
        <v>San Juan Water District</v>
      </c>
      <c r="D499" s="473">
        <v>3244</v>
      </c>
      <c r="E499" s="473">
        <v>3328</v>
      </c>
      <c r="F499" s="473">
        <v>3418</v>
      </c>
      <c r="G499" s="473">
        <v>3503</v>
      </c>
      <c r="H499" s="523">
        <v>3525</v>
      </c>
      <c r="I499" s="66" t="s">
        <v>1011</v>
      </c>
      <c r="J499" s="70"/>
      <c r="K499" s="70"/>
      <c r="L499" s="70"/>
      <c r="M499" s="70"/>
      <c r="N499" s="70"/>
      <c r="O499" s="70"/>
      <c r="P499" s="70"/>
    </row>
    <row r="500" spans="1:16" hidden="1" outlineLevel="1" x14ac:dyDescent="0.3">
      <c r="A500" s="63" t="s">
        <v>450</v>
      </c>
      <c r="B500" s="63" t="s">
        <v>855</v>
      </c>
      <c r="C500" s="63" t="str">
        <f t="shared" si="9"/>
        <v>Shasta Contractors</v>
      </c>
      <c r="D500" s="471" t="s">
        <v>204</v>
      </c>
      <c r="E500" s="471" t="s">
        <v>204</v>
      </c>
      <c r="F500" s="471" t="s">
        <v>204</v>
      </c>
      <c r="G500" s="471" t="s">
        <v>204</v>
      </c>
      <c r="H500" s="518" t="s">
        <v>204</v>
      </c>
      <c r="I500" s="66"/>
      <c r="J500" s="70"/>
      <c r="K500" s="70"/>
      <c r="L500" s="70"/>
      <c r="M500" s="70"/>
      <c r="N500" s="70"/>
      <c r="O500" s="70"/>
      <c r="P500" s="70"/>
    </row>
    <row r="501" spans="1:16" hidden="1" outlineLevel="1" x14ac:dyDescent="0.3">
      <c r="A501" s="63" t="s">
        <v>450</v>
      </c>
      <c r="B501" s="63" t="s">
        <v>855</v>
      </c>
      <c r="C501" s="63" t="str">
        <f t="shared" si="9"/>
        <v>Solano County Water Agency</v>
      </c>
      <c r="D501" s="471" t="s">
        <v>204</v>
      </c>
      <c r="E501" s="471" t="s">
        <v>204</v>
      </c>
      <c r="F501" s="471" t="s">
        <v>204</v>
      </c>
      <c r="G501" s="471" t="s">
        <v>204</v>
      </c>
      <c r="H501" s="518" t="s">
        <v>204</v>
      </c>
      <c r="I501" s="66"/>
      <c r="J501" s="70"/>
      <c r="K501" s="70"/>
      <c r="L501" s="70"/>
      <c r="M501" s="70"/>
      <c r="N501" s="70"/>
      <c r="O501" s="70"/>
      <c r="P501" s="70"/>
    </row>
    <row r="502" spans="1:16" hidden="1" outlineLevel="1" x14ac:dyDescent="0.3">
      <c r="A502" s="63" t="s">
        <v>450</v>
      </c>
      <c r="B502" s="63" t="s">
        <v>894</v>
      </c>
      <c r="C502" s="63" t="str">
        <f t="shared" si="9"/>
        <v>City of Avenal</v>
      </c>
      <c r="D502" s="471" t="s">
        <v>204</v>
      </c>
      <c r="E502" s="471" t="s">
        <v>204</v>
      </c>
      <c r="F502" s="471" t="s">
        <v>204</v>
      </c>
      <c r="G502" s="471" t="s">
        <v>204</v>
      </c>
      <c r="H502" s="518" t="s">
        <v>204</v>
      </c>
      <c r="I502" s="66"/>
      <c r="J502" s="70"/>
      <c r="K502" s="70"/>
      <c r="L502" s="70"/>
      <c r="M502" s="70"/>
      <c r="N502" s="70"/>
      <c r="O502" s="70"/>
      <c r="P502" s="70"/>
    </row>
    <row r="503" spans="1:16" hidden="1" outlineLevel="1" x14ac:dyDescent="0.3">
      <c r="A503" s="63" t="s">
        <v>450</v>
      </c>
      <c r="B503" s="63" t="s">
        <v>894</v>
      </c>
      <c r="C503" s="63" t="str">
        <f t="shared" si="9"/>
        <v>City of Coalinga</v>
      </c>
      <c r="D503" s="473">
        <f>IFERROR(SUMIFS(uwmp_table_4_2_w!I$2:I$9900,uwmp_table_4_2_w!$G$2:$G$9900,"Landscape",uwmp_table_4_2_w!$B$2:$B$9900,'Contractor Assumptions'!$F20),0) + IFERROR(SUMIFS(uwmp_table_4_2_r!I$2:I$9900,uwmp_table_4_2_r!$G$2:$G$9900,"Landscape",uwmp_table_4_2_r!$B$2:$B$9900,'Contractor Assumptions'!$F20),0)*IFERROR(VLOOKUP(VLOOKUP('Contractor Assumptions'!$F20,uwmp_table_4_2_r!$B$2:$N$9900,13,FALSE),$A$11:$C$13,2,FALSE), VLOOKUP(VLOOKUP('Contractor Assumptions'!$F20,uwmp_table_4_2_w!$B$2:$N$9900,14,FALSE),$A$11:$C$13,2,FALSE))</f>
        <v>0</v>
      </c>
      <c r="E503" s="473">
        <f>IFERROR(SUMIFS(uwmp_table_4_2_w!J$2:J$9900,uwmp_table_4_2_w!$G$2:$G$9900,"Landscape",uwmp_table_4_2_w!$B$2:$B$9900,'Contractor Assumptions'!$F20),0) + IFERROR(SUMIFS(uwmp_table_4_2_r!J$2:J$9900,uwmp_table_4_2_r!$G$2:$G$9900,"Landscape",uwmp_table_4_2_r!$B$2:$B$9900,'Contractor Assumptions'!$F20),0)*IFERROR(VLOOKUP(VLOOKUP('Contractor Assumptions'!$F20,uwmp_table_4_2_r!$B$2:$N$9900,13,FALSE),$A$11:$C$13,2,FALSE), VLOOKUP(VLOOKUP('Contractor Assumptions'!$F20,uwmp_table_4_2_w!$B$2:$N$9900,14,FALSE),$A$11:$C$13,2,FALSE))</f>
        <v>0</v>
      </c>
      <c r="F503" s="473">
        <f>IFERROR(SUMIFS(uwmp_table_4_2_w!K$2:K$9900,uwmp_table_4_2_w!$G$2:$G$9900,"Landscape",uwmp_table_4_2_w!$B$2:$B$9900,'Contractor Assumptions'!$F20),0) + IFERROR(SUMIFS(uwmp_table_4_2_r!K$2:K$9900,uwmp_table_4_2_r!$G$2:$G$9900,"Landscape",uwmp_table_4_2_r!$B$2:$B$9900,'Contractor Assumptions'!$F20),0)*IFERROR(VLOOKUP(VLOOKUP('Contractor Assumptions'!$F20,uwmp_table_4_2_r!$B$2:$N$9900,13,FALSE),$A$11:$C$13,2,FALSE), VLOOKUP(VLOOKUP('Contractor Assumptions'!$F20,uwmp_table_4_2_w!$B$2:$N$9900,14,FALSE),$A$11:$C$13,2,FALSE))</f>
        <v>0</v>
      </c>
      <c r="G503" s="473">
        <f>IFERROR(SUMIFS(uwmp_table_4_2_w!L$2:L$9900,uwmp_table_4_2_w!$G$2:$G$9900,"Landscape",uwmp_table_4_2_w!$B$2:$B$9900,'Contractor Assumptions'!$F20),0) + IFERROR(SUMIFS(uwmp_table_4_2_r!L$2:L$9900,uwmp_table_4_2_r!$G$2:$G$9900,"Landscape",uwmp_table_4_2_r!$B$2:$B$9900,'Contractor Assumptions'!$F20),0)*IFERROR(VLOOKUP(VLOOKUP('Contractor Assumptions'!$F20,uwmp_table_4_2_r!$B$2:$N$9900,13,FALSE),$A$11:$C$13,2,FALSE), VLOOKUP(VLOOKUP('Contractor Assumptions'!$F20,uwmp_table_4_2_w!$B$2:$N$9900,14,FALSE),$A$11:$C$13,2,FALSE))</f>
        <v>0</v>
      </c>
      <c r="H503" s="523">
        <f>IFERROR(SUMIFS(uwmp_table_4_2_w!M$2:M$9900,uwmp_table_4_2_w!$G$2:$G$9900,"Landscape",uwmp_table_4_2_w!$B$2:$B$9900,'Contractor Assumptions'!$F20),0) + IFERROR(SUMIFS(uwmp_table_4_2_r!M$2:M$9900,uwmp_table_4_2_r!$G$2:$G$9900,"Landscape",uwmp_table_4_2_r!$B$2:$B$9900,'Contractor Assumptions'!$F20),0)*IFERROR(VLOOKUP(VLOOKUP('Contractor Assumptions'!$F20,uwmp_table_4_2_r!$B$2:$N$9900,13,FALSE),$A$11:$C$13,2,FALSE), VLOOKUP(VLOOKUP('Contractor Assumptions'!$F20,uwmp_table_4_2_w!$B$2:$N$9900,14,FALSE),$A$11:$C$13,2,FALSE))</f>
        <v>0</v>
      </c>
      <c r="I503" s="66"/>
      <c r="J503" s="70"/>
      <c r="K503" s="70"/>
      <c r="L503" s="70"/>
      <c r="M503" s="70"/>
      <c r="N503" s="70"/>
      <c r="O503" s="70"/>
      <c r="P503" s="70"/>
    </row>
    <row r="504" spans="1:16" hidden="1" outlineLevel="1" x14ac:dyDescent="0.3">
      <c r="A504" s="63" t="s">
        <v>450</v>
      </c>
      <c r="B504" s="63" t="s">
        <v>894</v>
      </c>
      <c r="C504" s="63" t="str">
        <f t="shared" si="9"/>
        <v>City of Fresno</v>
      </c>
      <c r="D504" s="473">
        <f>IFERROR(SUMIFS(uwmp_table_4_2_w!I$2:I$9900,uwmp_table_4_2_w!$G$2:$G$9900,"Landscape",uwmp_table_4_2_w!$B$2:$B$9900,'Contractor Assumptions'!$F21),0) + IFERROR(SUMIFS(uwmp_table_4_2_r!I$2:I$9900,uwmp_table_4_2_r!$G$2:$G$9900,"Landscape",uwmp_table_4_2_r!$B$2:$B$9900,'Contractor Assumptions'!$F21),0)*IFERROR(VLOOKUP(VLOOKUP('Contractor Assumptions'!$F21,uwmp_table_4_2_r!$B$2:$N$9900,13,FALSE),$A$11:$C$13,2,FALSE), VLOOKUP(VLOOKUP('Contractor Assumptions'!$F21,uwmp_table_4_2_w!$B$2:$N$9900,14,FALSE),$A$11:$C$13,2,FALSE))</f>
        <v>4490</v>
      </c>
      <c r="E504" s="473">
        <f>IFERROR(SUMIFS(uwmp_table_4_2_w!J$2:J$9900,uwmp_table_4_2_w!$G$2:$G$9900,"Landscape",uwmp_table_4_2_w!$B$2:$B$9900,'Contractor Assumptions'!$F21),0) + IFERROR(SUMIFS(uwmp_table_4_2_r!J$2:J$9900,uwmp_table_4_2_r!$G$2:$G$9900,"Landscape",uwmp_table_4_2_r!$B$2:$B$9900,'Contractor Assumptions'!$F21),0)*IFERROR(VLOOKUP(VLOOKUP('Contractor Assumptions'!$F21,uwmp_table_4_2_r!$B$2:$N$9900,13,FALSE),$A$11:$C$13,2,FALSE), VLOOKUP(VLOOKUP('Contractor Assumptions'!$F21,uwmp_table_4_2_w!$B$2:$N$9900,14,FALSE),$A$11:$C$13,2,FALSE))</f>
        <v>5035</v>
      </c>
      <c r="F504" s="473">
        <f>IFERROR(SUMIFS(uwmp_table_4_2_w!K$2:K$9900,uwmp_table_4_2_w!$G$2:$G$9900,"Landscape",uwmp_table_4_2_w!$B$2:$B$9900,'Contractor Assumptions'!$F21),0) + IFERROR(SUMIFS(uwmp_table_4_2_r!K$2:K$9900,uwmp_table_4_2_r!$G$2:$G$9900,"Landscape",uwmp_table_4_2_r!$B$2:$B$9900,'Contractor Assumptions'!$F21),0)*IFERROR(VLOOKUP(VLOOKUP('Contractor Assumptions'!$F21,uwmp_table_4_2_r!$B$2:$N$9900,13,FALSE),$A$11:$C$13,2,FALSE), VLOOKUP(VLOOKUP('Contractor Assumptions'!$F21,uwmp_table_4_2_w!$B$2:$N$9900,14,FALSE),$A$11:$C$13,2,FALSE))</f>
        <v>5422</v>
      </c>
      <c r="G504" s="473">
        <f>IFERROR(SUMIFS(uwmp_table_4_2_w!L$2:L$9900,uwmp_table_4_2_w!$G$2:$G$9900,"Landscape",uwmp_table_4_2_w!$B$2:$B$9900,'Contractor Assumptions'!$F21),0) + IFERROR(SUMIFS(uwmp_table_4_2_r!L$2:L$9900,uwmp_table_4_2_r!$G$2:$G$9900,"Landscape",uwmp_table_4_2_r!$B$2:$B$9900,'Contractor Assumptions'!$F21),0)*IFERROR(VLOOKUP(VLOOKUP('Contractor Assumptions'!$F21,uwmp_table_4_2_r!$B$2:$N$9900,13,FALSE),$A$11:$C$13,2,FALSE), VLOOKUP(VLOOKUP('Contractor Assumptions'!$F21,uwmp_table_4_2_w!$B$2:$N$9900,14,FALSE),$A$11:$C$13,2,FALSE))</f>
        <v>5809</v>
      </c>
      <c r="H504" s="523">
        <f>IFERROR(SUMIFS(uwmp_table_4_2_w!M$2:M$9900,uwmp_table_4_2_w!$G$2:$G$9900,"Landscape",uwmp_table_4_2_w!$B$2:$B$9900,'Contractor Assumptions'!$F21),0) + IFERROR(SUMIFS(uwmp_table_4_2_r!M$2:M$9900,uwmp_table_4_2_r!$G$2:$G$9900,"Landscape",uwmp_table_4_2_r!$B$2:$B$9900,'Contractor Assumptions'!$F21),0)*IFERROR(VLOOKUP(VLOOKUP('Contractor Assumptions'!$F21,uwmp_table_4_2_r!$B$2:$N$9900,13,FALSE),$A$11:$C$13,2,FALSE), VLOOKUP(VLOOKUP('Contractor Assumptions'!$F21,uwmp_table_4_2_w!$B$2:$N$9900,14,FALSE),$A$11:$C$13,2,FALSE))</f>
        <v>6196</v>
      </c>
      <c r="I504" s="66"/>
      <c r="J504" s="70"/>
      <c r="K504" s="70"/>
      <c r="L504" s="70"/>
      <c r="M504" s="70"/>
      <c r="N504" s="70"/>
      <c r="O504" s="70"/>
      <c r="P504" s="70"/>
    </row>
    <row r="505" spans="1:16" hidden="1" outlineLevel="1" x14ac:dyDescent="0.3">
      <c r="A505" s="63" t="s">
        <v>450</v>
      </c>
      <c r="B505" s="63" t="s">
        <v>894</v>
      </c>
      <c r="C505" s="63" t="str">
        <f t="shared" si="9"/>
        <v>City of Huron</v>
      </c>
      <c r="D505" s="471" t="s">
        <v>204</v>
      </c>
      <c r="E505" s="471" t="s">
        <v>204</v>
      </c>
      <c r="F505" s="471" t="s">
        <v>204</v>
      </c>
      <c r="G505" s="471" t="s">
        <v>204</v>
      </c>
      <c r="H505" s="518" t="s">
        <v>204</v>
      </c>
      <c r="I505" s="66"/>
      <c r="J505" s="70"/>
      <c r="K505" s="70"/>
      <c r="L505" s="70"/>
      <c r="M505" s="70"/>
      <c r="N505" s="70"/>
      <c r="O505" s="70"/>
      <c r="P505" s="70"/>
    </row>
    <row r="506" spans="1:16" hidden="1" outlineLevel="1" x14ac:dyDescent="0.3">
      <c r="A506" s="63" t="s">
        <v>450</v>
      </c>
      <c r="B506" s="63" t="s">
        <v>894</v>
      </c>
      <c r="C506" s="63" t="str">
        <f t="shared" si="9"/>
        <v>City of Lindsay</v>
      </c>
      <c r="D506" s="471" t="s">
        <v>204</v>
      </c>
      <c r="E506" s="471" t="s">
        <v>204</v>
      </c>
      <c r="F506" s="471" t="s">
        <v>204</v>
      </c>
      <c r="G506" s="471" t="s">
        <v>204</v>
      </c>
      <c r="H506" s="518" t="s">
        <v>204</v>
      </c>
      <c r="I506" s="66"/>
      <c r="J506" s="70"/>
      <c r="K506" s="70"/>
      <c r="L506" s="70"/>
      <c r="M506" s="70"/>
      <c r="N506" s="70"/>
      <c r="O506" s="70"/>
      <c r="P506" s="70"/>
    </row>
    <row r="507" spans="1:16" hidden="1" outlineLevel="1" x14ac:dyDescent="0.3">
      <c r="A507" s="63" t="s">
        <v>450</v>
      </c>
      <c r="B507" s="63" t="s">
        <v>894</v>
      </c>
      <c r="C507" s="63" t="str">
        <f t="shared" si="9"/>
        <v>City of Orange Cove</v>
      </c>
      <c r="D507" s="471" t="s">
        <v>204</v>
      </c>
      <c r="E507" s="471" t="s">
        <v>204</v>
      </c>
      <c r="F507" s="471" t="s">
        <v>204</v>
      </c>
      <c r="G507" s="471" t="s">
        <v>204</v>
      </c>
      <c r="H507" s="518" t="s">
        <v>204</v>
      </c>
      <c r="I507" s="66"/>
      <c r="J507" s="70"/>
      <c r="K507" s="70"/>
      <c r="L507" s="70"/>
      <c r="M507" s="70"/>
      <c r="N507" s="70"/>
      <c r="O507" s="70"/>
      <c r="P507" s="70"/>
    </row>
    <row r="508" spans="1:16" hidden="1" outlineLevel="1" x14ac:dyDescent="0.3">
      <c r="A508" s="63" t="s">
        <v>450</v>
      </c>
      <c r="B508" s="63" t="s">
        <v>894</v>
      </c>
      <c r="C508" s="63" t="str">
        <f t="shared" si="9"/>
        <v>City of Tracy</v>
      </c>
      <c r="D508" s="473">
        <f>IFERROR(SUMIFS(uwmp_table_4_2_w!I$2:I$9900,uwmp_table_4_2_w!$G$2:$G$9900,"Landscape",uwmp_table_4_2_w!$B$2:$B$9900,'Contractor Assumptions'!$F25),0) + IFERROR(SUMIFS(uwmp_table_4_2_r!I$2:I$9900,uwmp_table_4_2_r!$G$2:$G$9900,"Landscape",uwmp_table_4_2_r!$B$2:$B$9900,'Contractor Assumptions'!$F25),0)*IFERROR(VLOOKUP(VLOOKUP('Contractor Assumptions'!$F25,uwmp_table_4_2_r!$B$2:$N$9900,13,FALSE),$A$11:$C$13,2,FALSE), VLOOKUP(VLOOKUP('Contractor Assumptions'!$F25,uwmp_table_4_2_w!$B$2:$N$9900,14,FALSE),$A$11:$C$13,2,FALSE))</f>
        <v>2150.62</v>
      </c>
      <c r="E508" s="473">
        <f>IFERROR(SUMIFS(uwmp_table_4_2_w!J$2:J$9900,uwmp_table_4_2_w!$G$2:$G$9900,"Landscape",uwmp_table_4_2_w!$B$2:$B$9900,'Contractor Assumptions'!$F25),0) + IFERROR(SUMIFS(uwmp_table_4_2_r!J$2:J$9900,uwmp_table_4_2_r!$G$2:$G$9900,"Landscape",uwmp_table_4_2_r!$B$2:$B$9900,'Contractor Assumptions'!$F25),0)*IFERROR(VLOOKUP(VLOOKUP('Contractor Assumptions'!$F25,uwmp_table_4_2_r!$B$2:$N$9900,13,FALSE),$A$11:$C$13,2,FALSE), VLOOKUP(VLOOKUP('Contractor Assumptions'!$F25,uwmp_table_4_2_w!$B$2:$N$9900,14,FALSE),$A$11:$C$13,2,FALSE))</f>
        <v>2128.39</v>
      </c>
      <c r="F508" s="473">
        <f>IFERROR(SUMIFS(uwmp_table_4_2_w!K$2:K$9900,uwmp_table_4_2_w!$G$2:$G$9900,"Landscape",uwmp_table_4_2_w!$B$2:$B$9900,'Contractor Assumptions'!$F25),0) + IFERROR(SUMIFS(uwmp_table_4_2_r!K$2:K$9900,uwmp_table_4_2_r!$G$2:$G$9900,"Landscape",uwmp_table_4_2_r!$B$2:$B$9900,'Contractor Assumptions'!$F25),0)*IFERROR(VLOOKUP(VLOOKUP('Contractor Assumptions'!$F25,uwmp_table_4_2_r!$B$2:$N$9900,13,FALSE),$A$11:$C$13,2,FALSE), VLOOKUP(VLOOKUP('Contractor Assumptions'!$F25,uwmp_table_4_2_w!$B$2:$N$9900,14,FALSE),$A$11:$C$13,2,FALSE))</f>
        <v>2114.61</v>
      </c>
      <c r="G508" s="473">
        <f>IFERROR(SUMIFS(uwmp_table_4_2_w!L$2:L$9900,uwmp_table_4_2_w!$G$2:$G$9900,"Landscape",uwmp_table_4_2_w!$B$2:$B$9900,'Contractor Assumptions'!$F25),0) + IFERROR(SUMIFS(uwmp_table_4_2_r!L$2:L$9900,uwmp_table_4_2_r!$G$2:$G$9900,"Landscape",uwmp_table_4_2_r!$B$2:$B$9900,'Contractor Assumptions'!$F25),0)*IFERROR(VLOOKUP(VLOOKUP('Contractor Assumptions'!$F25,uwmp_table_4_2_r!$B$2:$N$9900,13,FALSE),$A$11:$C$13,2,FALSE), VLOOKUP(VLOOKUP('Contractor Assumptions'!$F25,uwmp_table_4_2_w!$B$2:$N$9900,14,FALSE),$A$11:$C$13,2,FALSE))</f>
        <v>2105.4899999999998</v>
      </c>
      <c r="H508" s="523">
        <f>IFERROR(SUMIFS(uwmp_table_4_2_w!M$2:M$9900,uwmp_table_4_2_w!$G$2:$G$9900,"Landscape",uwmp_table_4_2_w!$B$2:$B$9900,'Contractor Assumptions'!$F25),0) + IFERROR(SUMIFS(uwmp_table_4_2_r!M$2:M$9900,uwmp_table_4_2_r!$G$2:$G$9900,"Landscape",uwmp_table_4_2_r!$B$2:$B$9900,'Contractor Assumptions'!$F25),0)*IFERROR(VLOOKUP(VLOOKUP('Contractor Assumptions'!$F25,uwmp_table_4_2_r!$B$2:$N$9900,13,FALSE),$A$11:$C$13,2,FALSE), VLOOKUP(VLOOKUP('Contractor Assumptions'!$F25,uwmp_table_4_2_w!$B$2:$N$9900,14,FALSE),$A$11:$C$13,2,FALSE))</f>
        <v>1911.89</v>
      </c>
      <c r="I508" s="66"/>
      <c r="J508" s="70"/>
      <c r="K508" s="70"/>
      <c r="L508" s="70"/>
      <c r="M508" s="70"/>
      <c r="N508" s="70"/>
      <c r="O508" s="70"/>
      <c r="P508" s="70"/>
    </row>
    <row r="509" spans="1:16" hidden="1" outlineLevel="1" x14ac:dyDescent="0.3">
      <c r="A509" s="63" t="s">
        <v>450</v>
      </c>
      <c r="B509" s="63" t="s">
        <v>894</v>
      </c>
      <c r="C509" s="63" t="str">
        <f t="shared" si="9"/>
        <v>Kern County Water Agency</v>
      </c>
      <c r="D509" s="471" t="s">
        <v>204</v>
      </c>
      <c r="E509" s="471" t="s">
        <v>204</v>
      </c>
      <c r="F509" s="471" t="s">
        <v>204</v>
      </c>
      <c r="G509" s="471" t="s">
        <v>204</v>
      </c>
      <c r="H509" s="518" t="s">
        <v>204</v>
      </c>
      <c r="I509" s="66"/>
      <c r="J509" s="70"/>
      <c r="K509" s="70"/>
      <c r="L509" s="70"/>
      <c r="M509" s="70"/>
      <c r="N509" s="70"/>
      <c r="O509" s="70"/>
      <c r="P509" s="70"/>
    </row>
    <row r="510" spans="1:16" hidden="1" outlineLevel="1" x14ac:dyDescent="0.3">
      <c r="A510" s="63" t="s">
        <v>450</v>
      </c>
      <c r="B510" s="63" t="s">
        <v>894</v>
      </c>
      <c r="C510" s="63" t="str">
        <f t="shared" si="9"/>
        <v>Other Friant-Kern M&amp;I Contractors</v>
      </c>
      <c r="D510" s="471" t="s">
        <v>204</v>
      </c>
      <c r="E510" s="471" t="s">
        <v>204</v>
      </c>
      <c r="F510" s="471" t="s">
        <v>204</v>
      </c>
      <c r="G510" s="471" t="s">
        <v>204</v>
      </c>
      <c r="H510" s="518" t="s">
        <v>204</v>
      </c>
      <c r="I510" s="66"/>
      <c r="J510" s="70"/>
      <c r="K510" s="70"/>
      <c r="L510" s="70"/>
      <c r="M510" s="70"/>
      <c r="N510" s="70"/>
      <c r="O510" s="70"/>
      <c r="P510" s="70"/>
    </row>
    <row r="511" spans="1:16" hidden="1" outlineLevel="1" x14ac:dyDescent="0.3">
      <c r="A511" s="63" t="s">
        <v>450</v>
      </c>
      <c r="B511" s="63" t="s">
        <v>894</v>
      </c>
      <c r="C511" s="63" t="str">
        <f t="shared" si="9"/>
        <v>Stockton-East Water District</v>
      </c>
      <c r="D511" s="471">
        <f>'Wholesaler Demands by Use Type'!B33</f>
        <v>3239</v>
      </c>
      <c r="E511" s="471">
        <f>'Wholesaler Demands by Use Type'!C33</f>
        <v>3285</v>
      </c>
      <c r="F511" s="471">
        <f>'Wholesaler Demands by Use Type'!D33</f>
        <v>3863</v>
      </c>
      <c r="G511" s="471">
        <f>'Wholesaler Demands by Use Type'!E33</f>
        <v>4440</v>
      </c>
      <c r="H511" s="518">
        <f>'Wholesaler Demands by Use Type'!F33</f>
        <v>4440</v>
      </c>
      <c r="I511" s="66"/>
      <c r="J511" s="70"/>
      <c r="K511" s="70"/>
      <c r="L511" s="70"/>
      <c r="M511" s="70"/>
      <c r="N511" s="70"/>
      <c r="O511" s="70"/>
      <c r="P511" s="70"/>
    </row>
    <row r="512" spans="1:16" hidden="1" outlineLevel="1" x14ac:dyDescent="0.3">
      <c r="A512" s="63" t="s">
        <v>450</v>
      </c>
      <c r="B512" s="63" t="s">
        <v>915</v>
      </c>
      <c r="C512" s="63" t="str">
        <f t="shared" si="9"/>
        <v>Alameda County Flood Control and Water Conservation District, Zone 7</v>
      </c>
      <c r="D512" s="473">
        <v>4912.1332710000006</v>
      </c>
      <c r="E512" s="473">
        <v>5173.1332710000006</v>
      </c>
      <c r="F512" s="473">
        <v>5325.1332710000006</v>
      </c>
      <c r="G512" s="473">
        <v>5451.1332710000006</v>
      </c>
      <c r="H512" s="523">
        <v>5476.1332710000006</v>
      </c>
      <c r="I512" s="66" t="s">
        <v>1012</v>
      </c>
      <c r="J512" s="70"/>
      <c r="K512" s="70"/>
      <c r="L512" s="70"/>
      <c r="M512" s="70"/>
      <c r="N512" s="70"/>
      <c r="O512" s="70"/>
      <c r="P512" s="70"/>
    </row>
    <row r="513" spans="1:16" hidden="1" outlineLevel="1" x14ac:dyDescent="0.3">
      <c r="A513" s="63" t="s">
        <v>450</v>
      </c>
      <c r="B513" s="63" t="s">
        <v>915</v>
      </c>
      <c r="C513" s="63" t="str">
        <f t="shared" si="9"/>
        <v>Alameda County Water District</v>
      </c>
      <c r="D513" s="473">
        <f>IFERROR(SUMIFS(uwmp_table_4_2_w!I$2:I$9900,uwmp_table_4_2_w!$G$2:$G$9900,"Landscape",uwmp_table_4_2_w!$B$2:$B$9900,'Contractor Assumptions'!$F30),0) + IFERROR(SUMIFS(uwmp_table_4_2_r!I$2:I$9900,uwmp_table_4_2_r!$G$2:$G$9900,"Landscape",uwmp_table_4_2_r!$B$2:$B$9900,'Contractor Assumptions'!$F30),0)*IFERROR(VLOOKUP(VLOOKUP('Contractor Assumptions'!$F30,uwmp_table_4_2_r!$B$2:$N$9900,13,FALSE),$A$11:$C$13,2,FALSE), VLOOKUP(VLOOKUP('Contractor Assumptions'!$F30,uwmp_table_4_2_w!$B$2:$N$9900,14,FALSE),$A$11:$C$13,2,FALSE))</f>
        <v>0</v>
      </c>
      <c r="E513" s="473">
        <f>IFERROR(SUMIFS(uwmp_table_4_2_w!J$2:J$9900,uwmp_table_4_2_w!$G$2:$G$9900,"Landscape",uwmp_table_4_2_w!$B$2:$B$9900,'Contractor Assumptions'!$F30),0) + IFERROR(SUMIFS(uwmp_table_4_2_r!J$2:J$9900,uwmp_table_4_2_r!$G$2:$G$9900,"Landscape",uwmp_table_4_2_r!$B$2:$B$9900,'Contractor Assumptions'!$F30),0)*IFERROR(VLOOKUP(VLOOKUP('Contractor Assumptions'!$F30,uwmp_table_4_2_r!$B$2:$N$9900,13,FALSE),$A$11:$C$13,2,FALSE), VLOOKUP(VLOOKUP('Contractor Assumptions'!$F30,uwmp_table_4_2_w!$B$2:$N$9900,14,FALSE),$A$11:$C$13,2,FALSE))</f>
        <v>0</v>
      </c>
      <c r="F513" s="473">
        <f>IFERROR(SUMIFS(uwmp_table_4_2_w!K$2:K$9900,uwmp_table_4_2_w!$G$2:$G$9900,"Landscape",uwmp_table_4_2_w!$B$2:$B$9900,'Contractor Assumptions'!$F30),0) + IFERROR(SUMIFS(uwmp_table_4_2_r!K$2:K$9900,uwmp_table_4_2_r!$G$2:$G$9900,"Landscape",uwmp_table_4_2_r!$B$2:$B$9900,'Contractor Assumptions'!$F30),0)*IFERROR(VLOOKUP(VLOOKUP('Contractor Assumptions'!$F30,uwmp_table_4_2_r!$B$2:$N$9900,13,FALSE),$A$11:$C$13,2,FALSE), VLOOKUP(VLOOKUP('Contractor Assumptions'!$F30,uwmp_table_4_2_w!$B$2:$N$9900,14,FALSE),$A$11:$C$13,2,FALSE))</f>
        <v>0</v>
      </c>
      <c r="G513" s="473">
        <f>IFERROR(SUMIFS(uwmp_table_4_2_w!L$2:L$9900,uwmp_table_4_2_w!$G$2:$G$9900,"Landscape",uwmp_table_4_2_w!$B$2:$B$9900,'Contractor Assumptions'!$F30),0) + IFERROR(SUMIFS(uwmp_table_4_2_r!L$2:L$9900,uwmp_table_4_2_r!$G$2:$G$9900,"Landscape",uwmp_table_4_2_r!$B$2:$B$9900,'Contractor Assumptions'!$F30),0)*IFERROR(VLOOKUP(VLOOKUP('Contractor Assumptions'!$F30,uwmp_table_4_2_r!$B$2:$N$9900,13,FALSE),$A$11:$C$13,2,FALSE), VLOOKUP(VLOOKUP('Contractor Assumptions'!$F30,uwmp_table_4_2_w!$B$2:$N$9900,14,FALSE),$A$11:$C$13,2,FALSE))</f>
        <v>0</v>
      </c>
      <c r="H513" s="523">
        <f>IFERROR(SUMIFS(uwmp_table_4_2_w!M$2:M$9900,uwmp_table_4_2_w!$G$2:$G$9900,"Landscape",uwmp_table_4_2_w!$B$2:$B$9900,'Contractor Assumptions'!$F30),0) + IFERROR(SUMIFS(uwmp_table_4_2_r!M$2:M$9900,uwmp_table_4_2_r!$G$2:$G$9900,"Landscape",uwmp_table_4_2_r!$B$2:$B$9900,'Contractor Assumptions'!$F30),0)*IFERROR(VLOOKUP(VLOOKUP('Contractor Assumptions'!$F30,uwmp_table_4_2_r!$B$2:$N$9900,13,FALSE),$A$11:$C$13,2,FALSE), VLOOKUP(VLOOKUP('Contractor Assumptions'!$F30,uwmp_table_4_2_w!$B$2:$N$9900,14,FALSE),$A$11:$C$13,2,FALSE))</f>
        <v>0</v>
      </c>
      <c r="I513" s="66"/>
      <c r="J513" s="70"/>
      <c r="K513" s="70"/>
      <c r="L513" s="70"/>
      <c r="M513" s="70"/>
      <c r="N513" s="70"/>
      <c r="O513" s="70"/>
      <c r="P513" s="70"/>
    </row>
    <row r="514" spans="1:16" hidden="1" outlineLevel="1" x14ac:dyDescent="0.3">
      <c r="A514" s="63" t="s">
        <v>450</v>
      </c>
      <c r="B514" s="63" t="s">
        <v>915</v>
      </c>
      <c r="C514" s="63" t="str">
        <f t="shared" si="9"/>
        <v>Contra Costa Water District</v>
      </c>
      <c r="D514" s="473">
        <f>IFERROR(SUMIFS(uwmp_table_4_2_w!I$2:I$9900,uwmp_table_4_2_w!$G$2:$G$9900,"Landscape",uwmp_table_4_2_w!$B$2:$B$9900,'Contractor Assumptions'!$F31),0) + IFERROR(SUMIFS(uwmp_table_4_2_r!I$2:I$9900,uwmp_table_4_2_r!$G$2:$G$9900,"Landscape",uwmp_table_4_2_r!$B$2:$B$9900,'Contractor Assumptions'!$F31),0)*IFERROR(VLOOKUP(VLOOKUP('Contractor Assumptions'!$F31,uwmp_table_4_2_r!$B$2:$N$9900,13,FALSE),$A$11:$C$13,2,FALSE), VLOOKUP(VLOOKUP('Contractor Assumptions'!$F31,uwmp_table_4_2_w!$B$2:$N$9900,14,FALSE),$A$11:$C$13,2,FALSE))</f>
        <v>1800</v>
      </c>
      <c r="E514" s="473">
        <f>IFERROR(SUMIFS(uwmp_table_4_2_w!J$2:J$9900,uwmp_table_4_2_w!$G$2:$G$9900,"Landscape",uwmp_table_4_2_w!$B$2:$B$9900,'Contractor Assumptions'!$F31),0) + IFERROR(SUMIFS(uwmp_table_4_2_r!J$2:J$9900,uwmp_table_4_2_r!$G$2:$G$9900,"Landscape",uwmp_table_4_2_r!$B$2:$B$9900,'Contractor Assumptions'!$F31),0)*IFERROR(VLOOKUP(VLOOKUP('Contractor Assumptions'!$F31,uwmp_table_4_2_r!$B$2:$N$9900,13,FALSE),$A$11:$C$13,2,FALSE), VLOOKUP(VLOOKUP('Contractor Assumptions'!$F31,uwmp_table_4_2_w!$B$2:$N$9900,14,FALSE),$A$11:$C$13,2,FALSE))</f>
        <v>1800</v>
      </c>
      <c r="F514" s="473">
        <f>IFERROR(SUMIFS(uwmp_table_4_2_w!K$2:K$9900,uwmp_table_4_2_w!$G$2:$G$9900,"Landscape",uwmp_table_4_2_w!$B$2:$B$9900,'Contractor Assumptions'!$F31),0) + IFERROR(SUMIFS(uwmp_table_4_2_r!K$2:K$9900,uwmp_table_4_2_r!$G$2:$G$9900,"Landscape",uwmp_table_4_2_r!$B$2:$B$9900,'Contractor Assumptions'!$F31),0)*IFERROR(VLOOKUP(VLOOKUP('Contractor Assumptions'!$F31,uwmp_table_4_2_r!$B$2:$N$9900,13,FALSE),$A$11:$C$13,2,FALSE), VLOOKUP(VLOOKUP('Contractor Assumptions'!$F31,uwmp_table_4_2_w!$B$2:$N$9900,14,FALSE),$A$11:$C$13,2,FALSE))</f>
        <v>1800</v>
      </c>
      <c r="G514" s="473">
        <f>IFERROR(SUMIFS(uwmp_table_4_2_w!L$2:L$9900,uwmp_table_4_2_w!$G$2:$G$9900,"Landscape",uwmp_table_4_2_w!$B$2:$B$9900,'Contractor Assumptions'!$F31),0) + IFERROR(SUMIFS(uwmp_table_4_2_r!L$2:L$9900,uwmp_table_4_2_r!$G$2:$G$9900,"Landscape",uwmp_table_4_2_r!$B$2:$B$9900,'Contractor Assumptions'!$F31),0)*IFERROR(VLOOKUP(VLOOKUP('Contractor Assumptions'!$F31,uwmp_table_4_2_r!$B$2:$N$9900,13,FALSE),$A$11:$C$13,2,FALSE), VLOOKUP(VLOOKUP('Contractor Assumptions'!$F31,uwmp_table_4_2_w!$B$2:$N$9900,14,FALSE),$A$11:$C$13,2,FALSE))</f>
        <v>1800</v>
      </c>
      <c r="H514" s="523">
        <f>IFERROR(SUMIFS(uwmp_table_4_2_w!M$2:M$9900,uwmp_table_4_2_w!$G$2:$G$9900,"Landscape",uwmp_table_4_2_w!$B$2:$B$9900,'Contractor Assumptions'!$F31),0) + IFERROR(SUMIFS(uwmp_table_4_2_r!M$2:M$9900,uwmp_table_4_2_r!$G$2:$G$9900,"Landscape",uwmp_table_4_2_r!$B$2:$B$9900,'Contractor Assumptions'!$F31),0)*IFERROR(VLOOKUP(VLOOKUP('Contractor Assumptions'!$F31,uwmp_table_4_2_r!$B$2:$N$9900,13,FALSE),$A$11:$C$13,2,FALSE), VLOOKUP(VLOOKUP('Contractor Assumptions'!$F31,uwmp_table_4_2_w!$B$2:$N$9900,14,FALSE),$A$11:$C$13,2,FALSE))</f>
        <v>1800</v>
      </c>
      <c r="I514" s="66"/>
      <c r="J514" s="70"/>
      <c r="K514" s="70"/>
      <c r="L514" s="70"/>
      <c r="M514" s="70"/>
      <c r="N514" s="70"/>
      <c r="O514" s="70"/>
      <c r="P514" s="70"/>
    </row>
    <row r="515" spans="1:16" hidden="1" outlineLevel="1" x14ac:dyDescent="0.3">
      <c r="A515" s="63" t="s">
        <v>450</v>
      </c>
      <c r="B515" s="63" t="s">
        <v>915</v>
      </c>
      <c r="C515" s="63" t="str">
        <f t="shared" si="9"/>
        <v>East Bay Municipal Utilities District</v>
      </c>
      <c r="D515" s="473">
        <f>IFERROR(SUMIFS(uwmp_table_4_2_w!I$2:I$9900,uwmp_table_4_2_w!$G$2:$G$9900,"Landscape",uwmp_table_4_2_w!$B$2:$B$9900,'Contractor Assumptions'!$F32),0) + IFERROR(SUMIFS(uwmp_table_4_2_r!I$2:I$9900,uwmp_table_4_2_r!$G$2:$G$9900,"Landscape",uwmp_table_4_2_r!$B$2:$B$9900,'Contractor Assumptions'!$F32),0)*IFERROR(VLOOKUP(VLOOKUP('Contractor Assumptions'!$F32,uwmp_table_4_2_r!$B$2:$N$9900,13,FALSE),$A$11:$C$13,2,FALSE), VLOOKUP(VLOOKUP('Contractor Assumptions'!$F32,uwmp_table_4_2_w!$B$2:$N$9900,14,FALSE),$A$11:$C$13,2,FALSE))</f>
        <v>0</v>
      </c>
      <c r="E515" s="473">
        <f>IFERROR(SUMIFS(uwmp_table_4_2_w!J$2:J$9900,uwmp_table_4_2_w!$G$2:$G$9900,"Landscape",uwmp_table_4_2_w!$B$2:$B$9900,'Contractor Assumptions'!$F32),0) + IFERROR(SUMIFS(uwmp_table_4_2_r!J$2:J$9900,uwmp_table_4_2_r!$G$2:$G$9900,"Landscape",uwmp_table_4_2_r!$B$2:$B$9900,'Contractor Assumptions'!$F32),0)*IFERROR(VLOOKUP(VLOOKUP('Contractor Assumptions'!$F32,uwmp_table_4_2_r!$B$2:$N$9900,13,FALSE),$A$11:$C$13,2,FALSE), VLOOKUP(VLOOKUP('Contractor Assumptions'!$F32,uwmp_table_4_2_w!$B$2:$N$9900,14,FALSE),$A$11:$C$13,2,FALSE))</f>
        <v>0</v>
      </c>
      <c r="F515" s="473">
        <f>IFERROR(SUMIFS(uwmp_table_4_2_w!K$2:K$9900,uwmp_table_4_2_w!$G$2:$G$9900,"Landscape",uwmp_table_4_2_w!$B$2:$B$9900,'Contractor Assumptions'!$F32),0) + IFERROR(SUMIFS(uwmp_table_4_2_r!K$2:K$9900,uwmp_table_4_2_r!$G$2:$G$9900,"Landscape",uwmp_table_4_2_r!$B$2:$B$9900,'Contractor Assumptions'!$F32),0)*IFERROR(VLOOKUP(VLOOKUP('Contractor Assumptions'!$F32,uwmp_table_4_2_r!$B$2:$N$9900,13,FALSE),$A$11:$C$13,2,FALSE), VLOOKUP(VLOOKUP('Contractor Assumptions'!$F32,uwmp_table_4_2_w!$B$2:$N$9900,14,FALSE),$A$11:$C$13,2,FALSE))</f>
        <v>0</v>
      </c>
      <c r="G515" s="473">
        <f>IFERROR(SUMIFS(uwmp_table_4_2_w!L$2:L$9900,uwmp_table_4_2_w!$G$2:$G$9900,"Landscape",uwmp_table_4_2_w!$B$2:$B$9900,'Contractor Assumptions'!$F32),0) + IFERROR(SUMIFS(uwmp_table_4_2_r!L$2:L$9900,uwmp_table_4_2_r!$G$2:$G$9900,"Landscape",uwmp_table_4_2_r!$B$2:$B$9900,'Contractor Assumptions'!$F32),0)*IFERROR(VLOOKUP(VLOOKUP('Contractor Assumptions'!$F32,uwmp_table_4_2_r!$B$2:$N$9900,13,FALSE),$A$11:$C$13,2,FALSE), VLOOKUP(VLOOKUP('Contractor Assumptions'!$F32,uwmp_table_4_2_w!$B$2:$N$9900,14,FALSE),$A$11:$C$13,2,FALSE))</f>
        <v>0</v>
      </c>
      <c r="H515" s="523">
        <f>IFERROR(SUMIFS(uwmp_table_4_2_w!M$2:M$9900,uwmp_table_4_2_w!$G$2:$G$9900,"Landscape",uwmp_table_4_2_w!$B$2:$B$9900,'Contractor Assumptions'!$F32),0) + IFERROR(SUMIFS(uwmp_table_4_2_r!M$2:M$9900,uwmp_table_4_2_r!$G$2:$G$9900,"Landscape",uwmp_table_4_2_r!$B$2:$B$9900,'Contractor Assumptions'!$F32),0)*IFERROR(VLOOKUP(VLOOKUP('Contractor Assumptions'!$F32,uwmp_table_4_2_r!$B$2:$N$9900,13,FALSE),$A$11:$C$13,2,FALSE), VLOOKUP(VLOOKUP('Contractor Assumptions'!$F32,uwmp_table_4_2_w!$B$2:$N$9900,14,FALSE),$A$11:$C$13,2,FALSE))</f>
        <v>0</v>
      </c>
      <c r="I515" s="66"/>
      <c r="J515" s="70"/>
      <c r="K515" s="70"/>
      <c r="L515" s="70"/>
      <c r="M515" s="70"/>
      <c r="N515" s="70"/>
      <c r="O515" s="70"/>
      <c r="P515" s="70"/>
    </row>
    <row r="516" spans="1:16" hidden="1" outlineLevel="1" x14ac:dyDescent="0.3">
      <c r="A516" s="63" t="s">
        <v>450</v>
      </c>
      <c r="B516" s="63" t="s">
        <v>915</v>
      </c>
      <c r="C516" s="63" t="str">
        <f t="shared" si="9"/>
        <v>San Benito County Water District, Zone 6</v>
      </c>
      <c r="D516" s="473">
        <v>406</v>
      </c>
      <c r="E516" s="473">
        <v>406</v>
      </c>
      <c r="F516" s="473">
        <v>406</v>
      </c>
      <c r="G516" s="473">
        <v>406</v>
      </c>
      <c r="H516" s="523">
        <v>406</v>
      </c>
      <c r="I516" s="66" t="s">
        <v>1013</v>
      </c>
      <c r="J516" s="71"/>
      <c r="K516" s="71"/>
      <c r="L516" s="71"/>
      <c r="M516" s="71"/>
      <c r="N516" s="71"/>
      <c r="O516" s="71"/>
      <c r="P516" s="70"/>
    </row>
    <row r="517" spans="1:16" hidden="1" outlineLevel="1" x14ac:dyDescent="0.3">
      <c r="A517" s="63" t="s">
        <v>450</v>
      </c>
      <c r="B517" s="63" t="s">
        <v>915</v>
      </c>
      <c r="C517" s="63" t="str">
        <f t="shared" si="9"/>
        <v>Santa Clara Valley Water District</v>
      </c>
      <c r="D517" s="473">
        <f>IFERROR(SUMIFS(uwmp_table_4_2_w!I$2:I$9900,uwmp_table_4_2_w!$G$2:$G$9900,"Landscape",uwmp_table_4_2_w!$B$2:$B$9900,'Contractor Assumptions'!$F34),0) + IFERROR(SUMIFS(uwmp_table_4_2_r!I$2:I$9900,uwmp_table_4_2_r!$G$2:$G$9900,"Landscape",uwmp_table_4_2_r!$B$2:$B$9900,'Contractor Assumptions'!$F34),0)*IFERROR(VLOOKUP(VLOOKUP('Contractor Assumptions'!$F34,uwmp_table_4_2_r!$B$2:$N$9900,13,FALSE),$A$11:$C$13,2,FALSE), IFERROR((VLOOKUP(VLOOKUP('Contractor Assumptions'!$F34,uwmp_table_4_2_w!$B$2:$N$9900,14,FALSE),$A$11:$C$13,2,FALSE)), 1))</f>
        <v>0</v>
      </c>
      <c r="E517" s="473">
        <f>IFERROR(SUMIFS(uwmp_table_4_2_w!J$2:J$9900,uwmp_table_4_2_w!$G$2:$G$9900,"Landscape",uwmp_table_4_2_w!$B$2:$B$9900,'Contractor Assumptions'!$F34),0) + IFERROR(SUMIFS(uwmp_table_4_2_r!J$2:J$9900,uwmp_table_4_2_r!$G$2:$G$9900,"Landscape",uwmp_table_4_2_r!$B$2:$B$9900,'Contractor Assumptions'!$F34),0)*IFERROR(VLOOKUP(VLOOKUP('Contractor Assumptions'!$F34,uwmp_table_4_2_r!$B$2:$N$9900,13,FALSE),$A$11:$C$13,2,FALSE), IFERROR((VLOOKUP(VLOOKUP('Contractor Assumptions'!$F34,uwmp_table_4_2_w!$B$2:$N$9900,14,FALSE),$A$11:$C$13,2,FALSE)), 1))</f>
        <v>0</v>
      </c>
      <c r="F517" s="473">
        <f>IFERROR(SUMIFS(uwmp_table_4_2_w!K$2:K$9900,uwmp_table_4_2_w!$G$2:$G$9900,"Landscape",uwmp_table_4_2_w!$B$2:$B$9900,'Contractor Assumptions'!$F34),0) + IFERROR(SUMIFS(uwmp_table_4_2_r!K$2:K$9900,uwmp_table_4_2_r!$G$2:$G$9900,"Landscape",uwmp_table_4_2_r!$B$2:$B$9900,'Contractor Assumptions'!$F34),0)*IFERROR(VLOOKUP(VLOOKUP('Contractor Assumptions'!$F34,uwmp_table_4_2_r!$B$2:$N$9900,13,FALSE),$A$11:$C$13,2,FALSE), IFERROR((VLOOKUP(VLOOKUP('Contractor Assumptions'!$F34,uwmp_table_4_2_w!$B$2:$N$9900,14,FALSE),$A$11:$C$13,2,FALSE)), 1))</f>
        <v>0</v>
      </c>
      <c r="G517" s="473">
        <f>IFERROR(SUMIFS(uwmp_table_4_2_w!L$2:L$9900,uwmp_table_4_2_w!$G$2:$G$9900,"Landscape",uwmp_table_4_2_w!$B$2:$B$9900,'Contractor Assumptions'!$F34),0) + IFERROR(SUMIFS(uwmp_table_4_2_r!L$2:L$9900,uwmp_table_4_2_r!$G$2:$G$9900,"Landscape",uwmp_table_4_2_r!$B$2:$B$9900,'Contractor Assumptions'!$F34),0)*IFERROR(VLOOKUP(VLOOKUP('Contractor Assumptions'!$F34,uwmp_table_4_2_r!$B$2:$N$9900,13,FALSE),$A$11:$C$13,2,FALSE), IFERROR((VLOOKUP(VLOOKUP('Contractor Assumptions'!$F34,uwmp_table_4_2_w!$B$2:$N$9900,14,FALSE),$A$11:$C$13,2,FALSE)), 1))</f>
        <v>0</v>
      </c>
      <c r="H517" s="523">
        <f>IFERROR(SUMIFS(uwmp_table_4_2_w!M$2:M$9900,uwmp_table_4_2_w!$G$2:$G$9900,"Landscape",uwmp_table_4_2_w!$B$2:$B$9900,'Contractor Assumptions'!$F34),0) + IFERROR(SUMIFS(uwmp_table_4_2_r!M$2:M$9900,uwmp_table_4_2_r!$G$2:$G$9900,"Landscape",uwmp_table_4_2_r!$B$2:$B$9900,'Contractor Assumptions'!$F34),0)*IFERROR(VLOOKUP(VLOOKUP('Contractor Assumptions'!$F34,uwmp_table_4_2_r!$B$2:$N$9900,13,FALSE),$A$11:$C$13,2,FALSE), IFERROR((VLOOKUP(VLOOKUP('Contractor Assumptions'!$F34,uwmp_table_4_2_w!$B$2:$N$9900,14,FALSE),$A$11:$C$13,2,FALSE)), 1))</f>
        <v>0</v>
      </c>
      <c r="I517" s="66"/>
      <c r="J517" s="70"/>
      <c r="K517" s="70"/>
      <c r="L517" s="70"/>
      <c r="M517" s="70"/>
      <c r="N517" s="70"/>
      <c r="O517" s="70"/>
      <c r="P517" s="70"/>
    </row>
    <row r="518" spans="1:16" hidden="1" outlineLevel="1" x14ac:dyDescent="0.3">
      <c r="A518" s="63" t="s">
        <v>450</v>
      </c>
      <c r="B518" s="63" t="s">
        <v>934</v>
      </c>
      <c r="C518" s="63" t="str">
        <f t="shared" si="9"/>
        <v>San Luis Obispo County Flood Control &amp; Water Conservation District</v>
      </c>
      <c r="D518" s="473">
        <v>38</v>
      </c>
      <c r="E518" s="473">
        <v>41</v>
      </c>
      <c r="F518" s="473">
        <v>43</v>
      </c>
      <c r="G518" s="473">
        <v>46</v>
      </c>
      <c r="H518" s="523">
        <v>48</v>
      </c>
      <c r="I518" s="66" t="s">
        <v>1014</v>
      </c>
      <c r="J518" s="70"/>
      <c r="K518" s="70"/>
      <c r="L518" s="70"/>
      <c r="M518" s="70"/>
      <c r="N518" s="70"/>
      <c r="O518" s="70"/>
      <c r="P518" s="70"/>
    </row>
    <row r="519" spans="1:16" hidden="1" outlineLevel="1" x14ac:dyDescent="0.3">
      <c r="A519" s="63" t="s">
        <v>450</v>
      </c>
      <c r="B519" s="63" t="s">
        <v>934</v>
      </c>
      <c r="C519" s="63" t="str">
        <f t="shared" si="9"/>
        <v>Santa Barbara County Flood Control &amp; Water Conservation District</v>
      </c>
      <c r="D519" s="471" t="s">
        <v>204</v>
      </c>
      <c r="E519" s="471" t="s">
        <v>204</v>
      </c>
      <c r="F519" s="471" t="s">
        <v>204</v>
      </c>
      <c r="G519" s="471" t="s">
        <v>204</v>
      </c>
      <c r="H519" s="518" t="s">
        <v>204</v>
      </c>
      <c r="I519" s="66"/>
      <c r="J519" s="70"/>
      <c r="K519" s="70"/>
      <c r="L519" s="70"/>
      <c r="M519" s="70"/>
      <c r="N519" s="70"/>
      <c r="O519" s="70"/>
      <c r="P519" s="70"/>
    </row>
    <row r="520" spans="1:16" hidden="1" outlineLevel="1" x14ac:dyDescent="0.3">
      <c r="A520" s="63" t="s">
        <v>450</v>
      </c>
      <c r="B520" s="63" t="s">
        <v>940</v>
      </c>
      <c r="C520" s="63" t="str">
        <f t="shared" si="9"/>
        <v>Antelope Valley-East Kern Water Agency</v>
      </c>
      <c r="D520" s="473">
        <f>IFERROR(SUMIFS(uwmp_table_4_2_w!I$2:I$9900,uwmp_table_4_2_w!$G$2:$G$9900,"Landscape",uwmp_table_4_2_w!$B$2:$B$9900,'Contractor Assumptions'!$F37),0) + IFERROR(SUMIFS(uwmp_table_4_2_r!I$2:I$9900,uwmp_table_4_2_r!$G$2:$G$9900,"Landscape",uwmp_table_4_2_r!$B$2:$B$9900,'Contractor Assumptions'!$F37),0)*IFERROR(VLOOKUP(VLOOKUP('Contractor Assumptions'!$F37,uwmp_table_4_2_r!$B$2:$N$9900,13,FALSE),$A$11:$C$13,2,FALSE), IFERROR((VLOOKUP(VLOOKUP('Contractor Assumptions'!$F37,uwmp_table_4_2_w!$B$2:$N$9900,14,FALSE),$A$11:$C$13,2,FALSE)), 1))</f>
        <v>0</v>
      </c>
      <c r="E520" s="473">
        <f>IFERROR(SUMIFS(uwmp_table_4_2_w!J$2:J$9900,uwmp_table_4_2_w!$G$2:$G$9900,"Landscape",uwmp_table_4_2_w!$B$2:$B$9900,'Contractor Assumptions'!$F37),0) + IFERROR(SUMIFS(uwmp_table_4_2_r!J$2:J$9900,uwmp_table_4_2_r!$G$2:$G$9900,"Landscape",uwmp_table_4_2_r!$B$2:$B$9900,'Contractor Assumptions'!$F37),0)*IFERROR(VLOOKUP(VLOOKUP('Contractor Assumptions'!$F37,uwmp_table_4_2_r!$B$2:$N$9900,13,FALSE),$A$11:$C$13,2,FALSE), IFERROR((VLOOKUP(VLOOKUP('Contractor Assumptions'!$F37,uwmp_table_4_2_w!$B$2:$N$9900,14,FALSE),$A$11:$C$13,2,FALSE)), 1))</f>
        <v>0</v>
      </c>
      <c r="F520" s="473">
        <f>IFERROR(SUMIFS(uwmp_table_4_2_w!K$2:K$9900,uwmp_table_4_2_w!$G$2:$G$9900,"Landscape",uwmp_table_4_2_w!$B$2:$B$9900,'Contractor Assumptions'!$F37),0) + IFERROR(SUMIFS(uwmp_table_4_2_r!K$2:K$9900,uwmp_table_4_2_r!$G$2:$G$9900,"Landscape",uwmp_table_4_2_r!$B$2:$B$9900,'Contractor Assumptions'!$F37),0)*IFERROR(VLOOKUP(VLOOKUP('Contractor Assumptions'!$F37,uwmp_table_4_2_r!$B$2:$N$9900,13,FALSE),$A$11:$C$13,2,FALSE), IFERROR((VLOOKUP(VLOOKUP('Contractor Assumptions'!$F37,uwmp_table_4_2_w!$B$2:$N$9900,14,FALSE),$A$11:$C$13,2,FALSE)), 1))</f>
        <v>0</v>
      </c>
      <c r="G520" s="473">
        <f>IFERROR(SUMIFS(uwmp_table_4_2_w!L$2:L$9900,uwmp_table_4_2_w!$G$2:$G$9900,"Landscape",uwmp_table_4_2_w!$B$2:$B$9900,'Contractor Assumptions'!$F37),0) + IFERROR(SUMIFS(uwmp_table_4_2_r!L$2:L$9900,uwmp_table_4_2_r!$G$2:$G$9900,"Landscape",uwmp_table_4_2_r!$B$2:$B$9900,'Contractor Assumptions'!$F37),0)*IFERROR(VLOOKUP(VLOOKUP('Contractor Assumptions'!$F37,uwmp_table_4_2_r!$B$2:$N$9900,13,FALSE),$A$11:$C$13,2,FALSE), IFERROR((VLOOKUP(VLOOKUP('Contractor Assumptions'!$F37,uwmp_table_4_2_w!$B$2:$N$9900,14,FALSE),$A$11:$C$13,2,FALSE)), 1))</f>
        <v>0</v>
      </c>
      <c r="H520" s="523">
        <f>IFERROR(SUMIFS(uwmp_table_4_2_w!M$2:M$9900,uwmp_table_4_2_w!$G$2:$G$9900,"Landscape",uwmp_table_4_2_w!$B$2:$B$9900,'Contractor Assumptions'!$F37),0) + IFERROR(SUMIFS(uwmp_table_4_2_r!M$2:M$9900,uwmp_table_4_2_r!$G$2:$G$9900,"Landscape",uwmp_table_4_2_r!$B$2:$B$9900,'Contractor Assumptions'!$F37),0)*IFERROR(VLOOKUP(VLOOKUP('Contractor Assumptions'!$F37,uwmp_table_4_2_r!$B$2:$N$9900,13,FALSE),$A$11:$C$13,2,FALSE), IFERROR((VLOOKUP(VLOOKUP('Contractor Assumptions'!$F37,uwmp_table_4_2_w!$B$2:$N$9900,14,FALSE),$A$11:$C$13,2,FALSE)), 1))</f>
        <v>0</v>
      </c>
      <c r="I520" s="66"/>
      <c r="J520" s="70"/>
      <c r="K520" s="70"/>
      <c r="L520" s="70"/>
      <c r="M520" s="70"/>
      <c r="N520" s="70"/>
      <c r="O520" s="70"/>
      <c r="P520" s="70"/>
    </row>
    <row r="521" spans="1:16" hidden="1" outlineLevel="1" x14ac:dyDescent="0.3">
      <c r="A521" s="63" t="s">
        <v>450</v>
      </c>
      <c r="B521" s="63" t="s">
        <v>940</v>
      </c>
      <c r="C521" s="63" t="str">
        <f t="shared" si="9"/>
        <v>Santa Clarita Water Division</v>
      </c>
      <c r="D521" s="473">
        <f>IFERROR(SUMIFS(uwmp_table_4_2_w!I$2:I$9900,uwmp_table_4_2_w!$G$2:$G$9900,"Landscape",uwmp_table_4_2_w!$B$2:$B$9900,'Contractor Assumptions'!$F38),0) + IFERROR(SUMIFS(uwmp_table_4_2_r!I$2:I$9900,uwmp_table_4_2_r!$G$2:$G$9900,"Landscape",uwmp_table_4_2_r!$B$2:$B$9900,'Contractor Assumptions'!$F38),0)*IFERROR(VLOOKUP(VLOOKUP('Contractor Assumptions'!$F38,uwmp_table_4_2_r!$B$2:$N$9900,13,FALSE),$A$11:$C$13,2,FALSE), VLOOKUP(VLOOKUP('Contractor Assumptions'!$F38,uwmp_table_4_2_w!$B$2:$N$9900,14,FALSE),$A$11:$C$13,2,FALSE))</f>
        <v>39281.764479999998</v>
      </c>
      <c r="E521" s="473">
        <f>IFERROR(SUMIFS(uwmp_table_4_2_w!J$2:J$9900,uwmp_table_4_2_w!$G$2:$G$9900,"Landscape",uwmp_table_4_2_w!$B$2:$B$9900,'Contractor Assumptions'!$F38),0) + IFERROR(SUMIFS(uwmp_table_4_2_r!J$2:J$9900,uwmp_table_4_2_r!$G$2:$G$9900,"Landscape",uwmp_table_4_2_r!$B$2:$B$9900,'Contractor Assumptions'!$F38),0)*IFERROR(VLOOKUP(VLOOKUP('Contractor Assumptions'!$F38,uwmp_table_4_2_r!$B$2:$N$9900,13,FALSE),$A$11:$C$13,2,FALSE), VLOOKUP(VLOOKUP('Contractor Assumptions'!$F38,uwmp_table_4_2_w!$B$2:$N$9900,14,FALSE),$A$11:$C$13,2,FALSE))</f>
        <v>39281.764479999998</v>
      </c>
      <c r="F521" s="473">
        <f>IFERROR(SUMIFS(uwmp_table_4_2_w!K$2:K$9900,uwmp_table_4_2_w!$G$2:$G$9900,"Landscape",uwmp_table_4_2_w!$B$2:$B$9900,'Contractor Assumptions'!$F38),0) + IFERROR(SUMIFS(uwmp_table_4_2_r!K$2:K$9900,uwmp_table_4_2_r!$G$2:$G$9900,"Landscape",uwmp_table_4_2_r!$B$2:$B$9900,'Contractor Assumptions'!$F38),0)*IFERROR(VLOOKUP(VLOOKUP('Contractor Assumptions'!$F38,uwmp_table_4_2_r!$B$2:$N$9900,13,FALSE),$A$11:$C$13,2,FALSE), VLOOKUP(VLOOKUP('Contractor Assumptions'!$F38,uwmp_table_4_2_w!$B$2:$N$9900,14,FALSE),$A$11:$C$13,2,FALSE))</f>
        <v>41123.09719</v>
      </c>
      <c r="G521" s="473">
        <f>IFERROR(SUMIFS(uwmp_table_4_2_w!L$2:L$9900,uwmp_table_4_2_w!$G$2:$G$9900,"Landscape",uwmp_table_4_2_w!$B$2:$B$9900,'Contractor Assumptions'!$F38),0) + IFERROR(SUMIFS(uwmp_table_4_2_r!L$2:L$9900,uwmp_table_4_2_r!$G$2:$G$9900,"Landscape",uwmp_table_4_2_r!$B$2:$B$9900,'Contractor Assumptions'!$F38),0)*IFERROR(VLOOKUP(VLOOKUP('Contractor Assumptions'!$F38,uwmp_table_4_2_r!$B$2:$N$9900,13,FALSE),$A$11:$C$13,2,FALSE), VLOOKUP(VLOOKUP('Contractor Assumptions'!$F38,uwmp_table_4_2_w!$B$2:$N$9900,14,FALSE),$A$11:$C$13,2,FALSE))</f>
        <v>40509.319619999995</v>
      </c>
      <c r="H521" s="523">
        <f>IFERROR(SUMIFS(uwmp_table_4_2_w!M$2:M$9900,uwmp_table_4_2_w!$G$2:$G$9900,"Landscape",uwmp_table_4_2_w!$B$2:$B$9900,'Contractor Assumptions'!$F38),0) + IFERROR(SUMIFS(uwmp_table_4_2_r!M$2:M$9900,uwmp_table_4_2_r!$G$2:$G$9900,"Landscape",uwmp_table_4_2_r!$B$2:$B$9900,'Contractor Assumptions'!$F38),0)*IFERROR(VLOOKUP(VLOOKUP('Contractor Assumptions'!$F38,uwmp_table_4_2_r!$B$2:$N$9900,13,FALSE),$A$11:$C$13,2,FALSE), VLOOKUP(VLOOKUP('Contractor Assumptions'!$F38,uwmp_table_4_2_w!$B$2:$N$9900,14,FALSE),$A$11:$C$13,2,FALSE))</f>
        <v>40202.430834999999</v>
      </c>
      <c r="I521" s="66"/>
      <c r="J521" s="70"/>
      <c r="K521" s="70"/>
      <c r="L521" s="70"/>
      <c r="M521" s="70"/>
      <c r="N521" s="70"/>
      <c r="O521" s="70"/>
      <c r="P521" s="70"/>
    </row>
    <row r="522" spans="1:16" hidden="1" outlineLevel="1" x14ac:dyDescent="0.3">
      <c r="A522" s="63" t="s">
        <v>450</v>
      </c>
      <c r="B522" s="63" t="s">
        <v>940</v>
      </c>
      <c r="C522" s="63" t="str">
        <f t="shared" si="9"/>
        <v>Coachella Valley Water District</v>
      </c>
      <c r="D522" s="471" t="s">
        <v>204</v>
      </c>
      <c r="E522" s="471" t="s">
        <v>204</v>
      </c>
      <c r="F522" s="471" t="s">
        <v>204</v>
      </c>
      <c r="G522" s="471" t="s">
        <v>204</v>
      </c>
      <c r="H522" s="518" t="s">
        <v>204</v>
      </c>
      <c r="I522" s="66"/>
      <c r="J522" s="70"/>
      <c r="K522" s="70"/>
      <c r="L522" s="70"/>
      <c r="M522" s="70"/>
      <c r="N522" s="70"/>
      <c r="O522" s="70"/>
      <c r="P522" s="70"/>
    </row>
    <row r="523" spans="1:16" hidden="1" outlineLevel="1" x14ac:dyDescent="0.3">
      <c r="A523" s="63" t="s">
        <v>450</v>
      </c>
      <c r="B523" s="63" t="s">
        <v>940</v>
      </c>
      <c r="C523" s="63" t="str">
        <f t="shared" si="9"/>
        <v>Crestline-Lake Arrowhead Water Agency</v>
      </c>
      <c r="D523" s="471" t="s">
        <v>204</v>
      </c>
      <c r="E523" s="471" t="s">
        <v>204</v>
      </c>
      <c r="F523" s="471" t="s">
        <v>204</v>
      </c>
      <c r="G523" s="471" t="s">
        <v>204</v>
      </c>
      <c r="H523" s="518" t="s">
        <v>204</v>
      </c>
      <c r="I523" s="66"/>
      <c r="J523" s="70"/>
      <c r="K523" s="70"/>
      <c r="L523" s="70"/>
      <c r="M523" s="70"/>
      <c r="N523" s="70"/>
      <c r="O523" s="70"/>
      <c r="P523" s="70"/>
    </row>
    <row r="524" spans="1:16" hidden="1" outlineLevel="1" x14ac:dyDescent="0.3">
      <c r="A524" s="63" t="s">
        <v>450</v>
      </c>
      <c r="B524" s="63" t="s">
        <v>940</v>
      </c>
      <c r="C524" s="63" t="str">
        <f t="shared" si="9"/>
        <v>Desert Water Agency</v>
      </c>
      <c r="D524" s="471" t="s">
        <v>204</v>
      </c>
      <c r="E524" s="471" t="s">
        <v>204</v>
      </c>
      <c r="F524" s="471" t="s">
        <v>204</v>
      </c>
      <c r="G524" s="471" t="s">
        <v>204</v>
      </c>
      <c r="H524" s="518" t="s">
        <v>204</v>
      </c>
      <c r="I524" s="66"/>
      <c r="J524" s="70"/>
      <c r="K524" s="70"/>
      <c r="L524" s="70"/>
      <c r="M524" s="70"/>
      <c r="N524" s="70"/>
      <c r="O524" s="70"/>
      <c r="P524" s="70"/>
    </row>
    <row r="525" spans="1:16" hidden="1" outlineLevel="1" x14ac:dyDescent="0.3">
      <c r="A525" s="63" t="s">
        <v>450</v>
      </c>
      <c r="B525" s="63" t="s">
        <v>940</v>
      </c>
      <c r="C525" s="63" t="str">
        <f t="shared" si="9"/>
        <v>Metropolitan Water District of Southern California</v>
      </c>
      <c r="D525" s="473">
        <f>IFERROR(SUMIFS(uwmp_table_4_2_w!I$2:I$9900,uwmp_table_4_2_w!$G$2:$G$9900,"Landscape",uwmp_table_4_2_w!$B$2:$B$9900,'Contractor Assumptions'!$F42),0) + IFERROR(SUMIFS(uwmp_table_4_2_r!I$2:I$9900,uwmp_table_4_2_r!$G$2:$G$9900,"Landscape",uwmp_table_4_2_r!$B$2:$B$9900,'Contractor Assumptions'!$F42),0)*IFERROR(VLOOKUP(VLOOKUP('Contractor Assumptions'!$F42,uwmp_table_4_2_r!$B$2:$N$9900,13,FALSE),$A$11:$C$13,2,FALSE), IFERROR((VLOOKUP(VLOOKUP('Contractor Assumptions'!$F42,uwmp_table_4_2_w!$B$2:$N$9900,14,FALSE),$A$11:$C$13,2,FALSE)), 1))</f>
        <v>0</v>
      </c>
      <c r="E525" s="473">
        <v>0</v>
      </c>
      <c r="F525" s="473">
        <v>0</v>
      </c>
      <c r="G525" s="473">
        <v>0</v>
      </c>
      <c r="H525" s="523">
        <v>0</v>
      </c>
      <c r="I525" s="66" t="s">
        <v>1025</v>
      </c>
      <c r="J525" s="70"/>
      <c r="K525" s="70"/>
      <c r="L525" s="70"/>
      <c r="M525" s="70"/>
      <c r="N525" s="70"/>
      <c r="O525" s="70"/>
      <c r="P525" s="70"/>
    </row>
    <row r="526" spans="1:16" hidden="1" outlineLevel="1" x14ac:dyDescent="0.3">
      <c r="A526" s="63" t="s">
        <v>450</v>
      </c>
      <c r="B526" s="63" t="s">
        <v>940</v>
      </c>
      <c r="C526" s="63" t="str">
        <f t="shared" si="9"/>
        <v>Mojave Water Agency</v>
      </c>
      <c r="D526" s="473">
        <v>1952</v>
      </c>
      <c r="E526" s="473">
        <v>2078</v>
      </c>
      <c r="F526" s="473">
        <v>2139</v>
      </c>
      <c r="G526" s="473">
        <v>2196</v>
      </c>
      <c r="H526" s="523">
        <v>2262</v>
      </c>
      <c r="I526" s="66" t="s">
        <v>1017</v>
      </c>
      <c r="J526" s="70"/>
      <c r="K526" s="70"/>
      <c r="L526" s="70"/>
      <c r="M526" s="70"/>
      <c r="N526" s="70"/>
      <c r="O526" s="70"/>
      <c r="P526" s="70"/>
    </row>
    <row r="527" spans="1:16" hidden="1" outlineLevel="1" x14ac:dyDescent="0.3">
      <c r="A527" s="63" t="s">
        <v>450</v>
      </c>
      <c r="B527" s="63" t="s">
        <v>940</v>
      </c>
      <c r="C527" s="63" t="str">
        <f t="shared" si="9"/>
        <v>Palmdale Water District &amp; Littlerock Creek Irrigation District</v>
      </c>
      <c r="D527" s="473">
        <f>IFERROR(SUMIFS(uwmp_table_4_2_w!I$2:I$9900,uwmp_table_4_2_w!$G$2:$G$9900,"Landscape",uwmp_table_4_2_w!$B$2:$B$9900,'Contractor Assumptions'!$F44),0) + IFERROR(SUMIFS(uwmp_table_4_2_r!I$2:I$9900,uwmp_table_4_2_r!$G$2:$G$9900,"Landscape",uwmp_table_4_2_r!$B$2:$B$9900,'Contractor Assumptions'!$F44),0)*IFERROR(VLOOKUP(VLOOKUP('Contractor Assumptions'!$F44,uwmp_table_4_2_r!$B$2:$N$9900,13,FALSE),$A$11:$C$13,2,FALSE), VLOOKUP(VLOOKUP('Contractor Assumptions'!$F44,uwmp_table_4_2_w!$B$2:$N$9900,14,FALSE),$A$11:$C$13,2,FALSE))</f>
        <v>1050</v>
      </c>
      <c r="E527" s="473">
        <f>IFERROR(SUMIFS(uwmp_table_4_2_w!J$2:J$9900,uwmp_table_4_2_w!$G$2:$G$9900,"Landscape",uwmp_table_4_2_w!$B$2:$B$9900,'Contractor Assumptions'!$F44),0) + IFERROR(SUMIFS(uwmp_table_4_2_r!J$2:J$9900,uwmp_table_4_2_r!$G$2:$G$9900,"Landscape",uwmp_table_4_2_r!$B$2:$B$9900,'Contractor Assumptions'!$F44),0)*IFERROR(VLOOKUP(VLOOKUP('Contractor Assumptions'!$F44,uwmp_table_4_2_r!$B$2:$N$9900,13,FALSE),$A$11:$C$13,2,FALSE), VLOOKUP(VLOOKUP('Contractor Assumptions'!$F44,uwmp_table_4_2_w!$B$2:$N$9900,14,FALSE),$A$11:$C$13,2,FALSE))</f>
        <v>1130</v>
      </c>
      <c r="F527" s="473">
        <f>IFERROR(SUMIFS(uwmp_table_4_2_w!K$2:K$9900,uwmp_table_4_2_w!$G$2:$G$9900,"Landscape",uwmp_table_4_2_w!$B$2:$B$9900,'Contractor Assumptions'!$F44),0) + IFERROR(SUMIFS(uwmp_table_4_2_r!K$2:K$9900,uwmp_table_4_2_r!$G$2:$G$9900,"Landscape",uwmp_table_4_2_r!$B$2:$B$9900,'Contractor Assumptions'!$F44),0)*IFERROR(VLOOKUP(VLOOKUP('Contractor Assumptions'!$F44,uwmp_table_4_2_r!$B$2:$N$9900,13,FALSE),$A$11:$C$13,2,FALSE), VLOOKUP(VLOOKUP('Contractor Assumptions'!$F44,uwmp_table_4_2_w!$B$2:$N$9900,14,FALSE),$A$11:$C$13,2,FALSE))</f>
        <v>1300</v>
      </c>
      <c r="G527" s="473">
        <f>IFERROR(SUMIFS(uwmp_table_4_2_w!L$2:L$9900,uwmp_table_4_2_w!$G$2:$G$9900,"Landscape",uwmp_table_4_2_w!$B$2:$B$9900,'Contractor Assumptions'!$F44),0) + IFERROR(SUMIFS(uwmp_table_4_2_r!L$2:L$9900,uwmp_table_4_2_r!$G$2:$G$9900,"Landscape",uwmp_table_4_2_r!$B$2:$B$9900,'Contractor Assumptions'!$F44),0)*IFERROR(VLOOKUP(VLOOKUP('Contractor Assumptions'!$F44,uwmp_table_4_2_r!$B$2:$N$9900,13,FALSE),$A$11:$C$13,2,FALSE), VLOOKUP(VLOOKUP('Contractor Assumptions'!$F44,uwmp_table_4_2_w!$B$2:$N$9900,14,FALSE),$A$11:$C$13,2,FALSE))</f>
        <v>1490</v>
      </c>
      <c r="H527" s="523">
        <f>IFERROR(SUMIFS(uwmp_table_4_2_w!M$2:M$9900,uwmp_table_4_2_w!$G$2:$G$9900,"Landscape",uwmp_table_4_2_w!$B$2:$B$9900,'Contractor Assumptions'!$F44),0) + IFERROR(SUMIFS(uwmp_table_4_2_r!M$2:M$9900,uwmp_table_4_2_r!$G$2:$G$9900,"Landscape",uwmp_table_4_2_r!$B$2:$B$9900,'Contractor Assumptions'!$F44),0)*IFERROR(VLOOKUP(VLOOKUP('Contractor Assumptions'!$F44,uwmp_table_4_2_r!$B$2:$N$9900,13,FALSE),$A$11:$C$13,2,FALSE), VLOOKUP(VLOOKUP('Contractor Assumptions'!$F44,uwmp_table_4_2_w!$B$2:$N$9900,14,FALSE),$A$11:$C$13,2,FALSE))</f>
        <v>1690</v>
      </c>
      <c r="I527" s="66"/>
      <c r="J527" s="70"/>
      <c r="K527" s="70"/>
      <c r="L527" s="70"/>
      <c r="M527" s="70"/>
      <c r="N527" s="70"/>
      <c r="O527" s="70"/>
      <c r="P527" s="70"/>
    </row>
    <row r="528" spans="1:16" hidden="1" outlineLevel="1" x14ac:dyDescent="0.3">
      <c r="A528" s="63" t="s">
        <v>450</v>
      </c>
      <c r="B528" s="63" t="s">
        <v>940</v>
      </c>
      <c r="C528" s="63" t="str">
        <f t="shared" si="9"/>
        <v>San Bernardino Valley Municipal Water District</v>
      </c>
      <c r="D528" s="473">
        <f>IFERROR(SUMIFS(uwmp_table_4_2_w!I$2:I$9900,uwmp_table_4_2_w!$G$2:$G$9900,"Landscape",uwmp_table_4_2_w!$B$2:$B$9900,'Contractor Assumptions'!$F45),0) + IFERROR(SUMIFS(uwmp_table_4_2_r!I$2:I$9900,uwmp_table_4_2_r!$G$2:$G$9900,"Landscape",uwmp_table_4_2_r!$B$2:$B$9900,'Contractor Assumptions'!$F45),0)*IFERROR(VLOOKUP(VLOOKUP('Contractor Assumptions'!$F45,uwmp_table_4_2_r!$B$2:$N$9900,13,FALSE),$A$11:$C$13,2,FALSE), IFERROR((VLOOKUP(VLOOKUP('Contractor Assumptions'!$F45,uwmp_table_4_2_w!$B$2:$N$9900,14,FALSE),$A$11:$C$13,2,FALSE)), 1))</f>
        <v>0</v>
      </c>
      <c r="E528" s="473">
        <f>IFERROR(SUMIFS(uwmp_table_4_2_w!J$2:J$9900,uwmp_table_4_2_w!$G$2:$G$9900,"Landscape",uwmp_table_4_2_w!$B$2:$B$9900,'Contractor Assumptions'!$F45),0) + IFERROR(SUMIFS(uwmp_table_4_2_r!J$2:J$9900,uwmp_table_4_2_r!$G$2:$G$9900,"Landscape",uwmp_table_4_2_r!$B$2:$B$9900,'Contractor Assumptions'!$F45),0)*IFERROR(VLOOKUP(VLOOKUP('Contractor Assumptions'!$F45,uwmp_table_4_2_r!$B$2:$N$9900,13,FALSE),$A$11:$C$13,2,FALSE), IFERROR((VLOOKUP(VLOOKUP('Contractor Assumptions'!$F45,uwmp_table_4_2_w!$B$2:$N$9900,14,FALSE),$A$11:$C$13,2,FALSE)), 1))</f>
        <v>0</v>
      </c>
      <c r="F528" s="473">
        <f>IFERROR(SUMIFS(uwmp_table_4_2_w!K$2:K$9900,uwmp_table_4_2_w!$G$2:$G$9900,"Landscape",uwmp_table_4_2_w!$B$2:$B$9900,'Contractor Assumptions'!$F45),0) + IFERROR(SUMIFS(uwmp_table_4_2_r!K$2:K$9900,uwmp_table_4_2_r!$G$2:$G$9900,"Landscape",uwmp_table_4_2_r!$B$2:$B$9900,'Contractor Assumptions'!$F45),0)*IFERROR(VLOOKUP(VLOOKUP('Contractor Assumptions'!$F45,uwmp_table_4_2_r!$B$2:$N$9900,13,FALSE),$A$11:$C$13,2,FALSE), IFERROR((VLOOKUP(VLOOKUP('Contractor Assumptions'!$F45,uwmp_table_4_2_w!$B$2:$N$9900,14,FALSE),$A$11:$C$13,2,FALSE)), 1))</f>
        <v>0</v>
      </c>
      <c r="G528" s="473">
        <f>IFERROR(SUMIFS(uwmp_table_4_2_w!L$2:L$9900,uwmp_table_4_2_w!$G$2:$G$9900,"Landscape",uwmp_table_4_2_w!$B$2:$B$9900,'Contractor Assumptions'!$F45),0) + IFERROR(SUMIFS(uwmp_table_4_2_r!L$2:L$9900,uwmp_table_4_2_r!$G$2:$G$9900,"Landscape",uwmp_table_4_2_r!$B$2:$B$9900,'Contractor Assumptions'!$F45),0)*IFERROR(VLOOKUP(VLOOKUP('Contractor Assumptions'!$F45,uwmp_table_4_2_r!$B$2:$N$9900,13,FALSE),$A$11:$C$13,2,FALSE), IFERROR((VLOOKUP(VLOOKUP('Contractor Assumptions'!$F45,uwmp_table_4_2_w!$B$2:$N$9900,14,FALSE),$A$11:$C$13,2,FALSE)), 1))</f>
        <v>0</v>
      </c>
      <c r="H528" s="523">
        <f>IFERROR(SUMIFS(uwmp_table_4_2_w!M$2:M$9900,uwmp_table_4_2_w!$G$2:$G$9900,"Landscape",uwmp_table_4_2_w!$B$2:$B$9900,'Contractor Assumptions'!$F45),0) + IFERROR(SUMIFS(uwmp_table_4_2_r!M$2:M$9900,uwmp_table_4_2_r!$G$2:$G$9900,"Landscape",uwmp_table_4_2_r!$B$2:$B$9900,'Contractor Assumptions'!$F45),0)*IFERROR(VLOOKUP(VLOOKUP('Contractor Assumptions'!$F45,uwmp_table_4_2_r!$B$2:$N$9900,13,FALSE),$A$11:$C$13,2,FALSE), IFERROR((VLOOKUP(VLOOKUP('Contractor Assumptions'!$F45,uwmp_table_4_2_w!$B$2:$N$9900,14,FALSE),$A$11:$C$13,2,FALSE)), 1))</f>
        <v>0</v>
      </c>
      <c r="I528" s="66"/>
      <c r="J528" s="70"/>
      <c r="K528" s="70"/>
      <c r="L528" s="70"/>
      <c r="M528" s="70"/>
      <c r="N528" s="70"/>
      <c r="O528" s="70"/>
      <c r="P528" s="70"/>
    </row>
    <row r="529" spans="1:16" hidden="1" outlineLevel="1" x14ac:dyDescent="0.3">
      <c r="A529" s="63" t="s">
        <v>450</v>
      </c>
      <c r="B529" s="63" t="s">
        <v>940</v>
      </c>
      <c r="C529" s="63" t="str">
        <f t="shared" si="9"/>
        <v>San Gabriel Valley Municipal Water District</v>
      </c>
      <c r="D529" s="471" t="s">
        <v>204</v>
      </c>
      <c r="E529" s="471" t="s">
        <v>204</v>
      </c>
      <c r="F529" s="471" t="s">
        <v>204</v>
      </c>
      <c r="G529" s="471" t="s">
        <v>204</v>
      </c>
      <c r="H529" s="518" t="s">
        <v>204</v>
      </c>
      <c r="I529" s="66"/>
      <c r="J529" s="70"/>
      <c r="K529" s="70"/>
      <c r="L529" s="70"/>
      <c r="M529" s="70"/>
      <c r="N529" s="70"/>
      <c r="O529" s="70"/>
      <c r="P529" s="70"/>
    </row>
    <row r="530" spans="1:16" hidden="1" outlineLevel="1" x14ac:dyDescent="0.3">
      <c r="A530" s="63" t="s">
        <v>450</v>
      </c>
      <c r="B530" s="63" t="s">
        <v>940</v>
      </c>
      <c r="C530" s="63" t="str">
        <f t="shared" si="9"/>
        <v>San Gorgonio Pass Water Agency</v>
      </c>
      <c r="D530" s="473">
        <v>3321</v>
      </c>
      <c r="E530" s="473">
        <v>3652</v>
      </c>
      <c r="F530" s="473">
        <v>4053</v>
      </c>
      <c r="G530" s="473">
        <v>4222</v>
      </c>
      <c r="H530" s="523">
        <v>4314</v>
      </c>
      <c r="I530" s="66" t="s">
        <v>1018</v>
      </c>
      <c r="J530" s="70"/>
      <c r="K530" s="70"/>
      <c r="L530" s="70"/>
      <c r="M530" s="70"/>
      <c r="N530" s="70"/>
      <c r="O530" s="70"/>
      <c r="P530" s="70"/>
    </row>
    <row r="531" spans="1:16" hidden="1" outlineLevel="1" x14ac:dyDescent="0.3">
      <c r="A531" s="63" t="s">
        <v>450</v>
      </c>
      <c r="B531" s="63" t="s">
        <v>940</v>
      </c>
      <c r="C531" s="63" t="str">
        <f t="shared" si="9"/>
        <v>Ventura County Watershed Protection District</v>
      </c>
      <c r="D531" s="471" t="s">
        <v>204</v>
      </c>
      <c r="E531" s="471" t="s">
        <v>204</v>
      </c>
      <c r="F531" s="471" t="s">
        <v>204</v>
      </c>
      <c r="G531" s="471" t="s">
        <v>204</v>
      </c>
      <c r="H531" s="518" t="s">
        <v>204</v>
      </c>
      <c r="I531" s="66"/>
      <c r="J531" s="70"/>
      <c r="K531" s="70"/>
      <c r="L531" s="70"/>
      <c r="M531" s="70"/>
      <c r="N531" s="70"/>
      <c r="O531" s="70"/>
      <c r="P531" s="70"/>
    </row>
    <row r="532" spans="1:16" collapsed="1" x14ac:dyDescent="0.3">
      <c r="A532" s="120"/>
      <c r="B532" s="120"/>
      <c r="C532" s="407" t="s">
        <v>992</v>
      </c>
      <c r="D532" s="121"/>
      <c r="E532" s="121"/>
      <c r="F532" s="121"/>
      <c r="G532" s="121"/>
      <c r="H532" s="519"/>
      <c r="I532" s="121"/>
      <c r="J532" s="70"/>
      <c r="K532" s="70"/>
      <c r="L532" s="70"/>
      <c r="M532" s="70"/>
      <c r="N532" s="70"/>
      <c r="O532" s="70"/>
      <c r="P532" s="70"/>
    </row>
    <row r="533" spans="1:16" x14ac:dyDescent="0.3">
      <c r="A533" s="63"/>
      <c r="B533" s="63"/>
      <c r="C533" s="129" t="s">
        <v>990</v>
      </c>
      <c r="D533" s="148">
        <f>SUM(D535:D577)</f>
        <v>1758252.4681681115</v>
      </c>
      <c r="E533" s="148">
        <f>SUM(E535:E577)</f>
        <v>1801610.7699344303</v>
      </c>
      <c r="F533" s="148">
        <f>SUM(F535:F577)</f>
        <v>1843885.9056644656</v>
      </c>
      <c r="G533" s="148">
        <f>SUM(G535:G577)</f>
        <v>1906814.9110526766</v>
      </c>
      <c r="H533" s="522">
        <f>SUM(H535:H577)</f>
        <v>1968485.3629722612</v>
      </c>
      <c r="I533" s="66"/>
      <c r="J533" s="70"/>
      <c r="K533" s="70"/>
      <c r="L533" s="70"/>
      <c r="M533" s="70"/>
      <c r="N533" s="70"/>
      <c r="O533" s="70"/>
      <c r="P533" s="70"/>
    </row>
    <row r="534" spans="1:16" x14ac:dyDescent="0.3">
      <c r="A534" s="122" t="s">
        <v>5</v>
      </c>
      <c r="B534" s="122"/>
      <c r="C534" s="122" t="s">
        <v>193</v>
      </c>
      <c r="D534" s="123">
        <v>2025</v>
      </c>
      <c r="E534" s="123">
        <v>2030</v>
      </c>
      <c r="F534" s="123">
        <v>2035</v>
      </c>
      <c r="G534" s="123">
        <v>2040</v>
      </c>
      <c r="H534" s="505">
        <v>2045</v>
      </c>
      <c r="I534" s="123" t="s">
        <v>153</v>
      </c>
      <c r="J534" s="70"/>
      <c r="K534" s="70"/>
      <c r="L534" s="70"/>
      <c r="M534" s="70"/>
      <c r="N534" s="70"/>
      <c r="O534" s="70"/>
      <c r="P534" s="70"/>
    </row>
    <row r="535" spans="1:16" hidden="1" outlineLevel="1" x14ac:dyDescent="0.3">
      <c r="A535" s="63" t="s">
        <v>1026</v>
      </c>
      <c r="B535" s="63" t="s">
        <v>855</v>
      </c>
      <c r="C535" s="63" t="str">
        <f t="shared" ref="C535:C577" si="11">C489</f>
        <v>Butte County</v>
      </c>
      <c r="D535" s="471" t="s">
        <v>204</v>
      </c>
      <c r="E535" s="471" t="s">
        <v>204</v>
      </c>
      <c r="F535" s="471" t="s">
        <v>204</v>
      </c>
      <c r="G535" s="471" t="s">
        <v>204</v>
      </c>
      <c r="H535" s="518" t="s">
        <v>204</v>
      </c>
      <c r="I535" s="66"/>
      <c r="J535" s="70"/>
      <c r="K535" s="70"/>
      <c r="L535" s="70"/>
      <c r="M535" s="70"/>
      <c r="N535" s="70"/>
      <c r="O535" s="70"/>
      <c r="P535" s="70"/>
    </row>
    <row r="536" spans="1:16" hidden="1" outlineLevel="1" x14ac:dyDescent="0.3">
      <c r="A536" s="63" t="s">
        <v>1026</v>
      </c>
      <c r="B536" s="63" t="s">
        <v>855</v>
      </c>
      <c r="C536" s="63" t="str">
        <f t="shared" si="11"/>
        <v>City of Folsom</v>
      </c>
      <c r="D536" s="472">
        <f>(IFERROR(SUMIFS(uwmp_table_4_2_w!I$2:I$9900,uwmp_table_4_2_w!$G$2:$G$9900,"Losses",uwmp_table_4_2_w!$B$2:$B$9900,'Contractor Assumptions'!$F7),0) + IFERROR(SUMIFS(uwmp_table_4_2_r!I$2:I$9900,uwmp_table_4_2_r!$G$2:$G$9900,"Losses",uwmp_table_4_2_r!$B$2:$B$9900,'Contractor Assumptions'!$F7),0)
+ IFERROR(SUMIFS(uwmp_table_4_2_w!I$2:I$9900,uwmp_table_4_2_w!$G$2:$G$9900,"Other Potable",uwmp_table_4_2_w!$B$2:$B$9900,'Contractor Assumptions'!$F7),0) + IFERROR(SUMIFS(uwmp_table_4_2_r!I$2:I$9900,uwmp_table_4_2_r!$G$2:$G$9900,"Other Potable",uwmp_table_4_2_r!$B$2:$B$9900,'Contractor Assumptions'!$F7),0)
+ IFERROR(SUMIFS(uwmp_table_4_2_w!I$2:I$9900,uwmp_table_4_2_w!$G$2:$G$9900,"Other",uwmp_table_4_2_w!$B$2:$B$9900,'Contractor Assumptions'!$F7),0) + IFERROR(SUMIFS(uwmp_table_4_2_r!I$2:I$9900,uwmp_table_4_2_r!$G$2:$G$9900,"Other",uwmp_table_4_2_r!$B$2:$B$9900,'Contractor Assumptions'!$F7),0)
+ IFERROR(SUMIFS(uwmp_table_4_2_w!I$2:I$9900,uwmp_table_4_2_w!$G$2:$G$9900,"Sales/Transfers/Exchanges to other agencies",uwmp_table_4_2_w!$B$2:$B$9900,'Contractor Assumptions'!$F7),0) + IFERROR(SUMIFS(uwmp_table_4_2_r!I$2:I$9900,uwmp_table_4_2_r!$G$2:$G$9900,"Sales/Transfers/Exchanges to other agencies",uwmp_table_4_2_r!$B$2:$B$9900,'Contractor Assumptions'!$F7),0)
+ IFERROR(SUMIFS(uwmp_table_4_2_w!I$2:I$9900,uwmp_table_4_2_w!$G$2:$G$9900,"Other Non-Potable",uwmp_table_4_2_w!$B$2:$B$9900,'Contractor Assumptions'!$F7),0) + IFERROR(SUMIFS(uwmp_table_4_2_r!I$2:I$9900,uwmp_table_4_2_r!$G$2:$G$9900,"Other Non-Potable",uwmp_table_4_2_r!$B$2:$B$9900,'Contractor Assumptions'!$F7),0)
+ IFERROR(SUMIFS(uwmp_table_4_2_w!I$2:I$9900,uwmp_table_4_2_w!$G$2:$G$9900,"Wetlands or wildlife habitat",uwmp_table_4_2_w!$B$2:$B$9900,'Contractor Assumptions'!$F7),0) + IFERROR(SUMIFS(uwmp_table_4_2_r!I$2:I$9900,uwmp_table_4_2_r!$G$2:$G$9900,"Wetlands or wildlife habitat",uwmp_table_4_2_r!$B$2:$B$9900,'Contractor Assumptions'!$F7),0)
+ IFERROR(SUMIFS(uwmp_table_4_2_w!I$2:I$9900,uwmp_table_4_2_w!$G$2:$G$9900,"Saline water intrusion barrier",uwmp_table_4_2_w!$B$2:$B$9900,'Contractor Assumptions'!$F7),0) + IFERROR(SUMIFS(uwmp_table_4_2_r!I$2:I$9900,uwmp_table_4_2_r!$G$2:$G$9900,"Saline water intrusion barrier",uwmp_table_4_2_r!$B$2:$B$9900,'Contractor Assumptions'!$F7),0)
+ IFERROR(SUMIFS(uwmp_table_4_2_w!I$2:I$9900,uwmp_table_4_2_w!$G$2:$G$9900,"Groundwater recharge",uwmp_table_4_2_w!$B$2:$B$9900,'Contractor Assumptions'!$F7),0) + IFERROR(SUMIFS(uwmp_table_4_2_r!I$2:I$9900,uwmp_table_4_2_r!$G$2:$G$9900,"Groundwater recharge",uwmp_table_4_2_r!$B$2:$B$9900,'Contractor Assumptions'!$F7),0)
+ IFERROR(SUMIFS(uwmp_table_4_2_w!I$2:I$9900,uwmp_table_4_2_w!$G$2:$G$9900,"Retail demand for use by agencies that are primarily",uwmp_table_4_2_w!$B$2:$B$9900,'Contractor Assumptions'!$F7),0) + IFERROR(SUMIFS(uwmp_table_4_2_r!I$2:I$9900,uwmp_table_4_2_r!$G$2:$G$9900,"Retail demand for use by agencies that are primarily",uwmp_table_4_2_r!$B$2:$B$9900,'Contractor Assumptions'!$F7),0)
+ IFERROR(SUMIFS(uwmp_table_4_2_w!I$2:I$9900,uwmp_table_4_2_w!$G$2:$G$9900,"wholesalers with a small volume of retail sales",uwmp_table_4_2_w!$B$2:$B$9900,'Contractor Assumptions'!$F7),0) + IFERROR(SUMIFS(uwmp_table_4_2_r!I$2:I$9900,uwmp_table_4_2_r!$G$2:$G$9900,"wholesalers with a small volume of retail sales",uwmp_table_4_2_r!$B$2:$B$9900,'Contractor Assumptions'!$F7),0)
+ IFERROR(SUMIFS(uwmp_table_4_2_w!I$2:I$9900,uwmp_table_4_2_w!$G$2:$G$9900,"Sales to other agencies",uwmp_table_4_2_w!$B$2:$B$9900,'Contractor Assumptions'!$F7),0) + IFERROR(SUMIFS(uwmp_table_4_2_r!I$2:I$9900,uwmp_table_4_2_r!$G$2:$G$9900,"Sales to other agencies",uwmp_table_4_2_r!$B$2:$B$9900,'Contractor Assumptions'!$F7),0)
+ IFERROR(SUMIFS(uwmp_table_4_2_w!I$2:I$9900,uwmp_table_4_2_w!$G$2:$G$9900,"Exchanges to other agencies",uwmp_table_4_2_w!$B$2:$B$9900,'Contractor Assumptions'!$F7),0) + IFERROR(SUMIFS(uwmp_table_4_2_r!I$2:I$9900,uwmp_table_4_2_r!$G$2:$G$9900,"Exchanges to other agencies",uwmp_table_4_2_r!$B$2:$B$9900,'Contractor Assumptions'!$F7),0)
)*IFERROR(VLOOKUP(VLOOKUP('Contractor Assumptions'!$F7,uwmp_table_4_2_r!$B$2:$N$9900,13,FALSE),$A$11:$C$13,2,FALSE), VLOOKUP(VLOOKUP('Contractor Assumptions'!$F7,uwmp_table_4_2_w!$B$2:$N$9900,14,FALSE),$A$11:$C$13,2,FALSE))</f>
        <v>2332</v>
      </c>
      <c r="E536" s="472">
        <f>(IFERROR(SUMIFS(uwmp_table_4_2_w!J$2:J$9900,uwmp_table_4_2_w!$G$2:$G$9900,"Losses",uwmp_table_4_2_w!$B$2:$B$9900,'Contractor Assumptions'!$F7),0) + IFERROR(SUMIFS(uwmp_table_4_2_r!J$2:J$9900,uwmp_table_4_2_r!$G$2:$G$9900,"Losses",uwmp_table_4_2_r!$B$2:$B$9900,'Contractor Assumptions'!$F7),0)
+ IFERROR(SUMIFS(uwmp_table_4_2_w!J$2:J$9900,uwmp_table_4_2_w!$G$2:$G$9900,"Other Potable",uwmp_table_4_2_w!$B$2:$B$9900,'Contractor Assumptions'!$F7),0) + IFERROR(SUMIFS(uwmp_table_4_2_r!J$2:J$9900,uwmp_table_4_2_r!$G$2:$G$9900,"Other Potable",uwmp_table_4_2_r!$B$2:$B$9900,'Contractor Assumptions'!$F7),0)
+ IFERROR(SUMIFS(uwmp_table_4_2_w!J$2:J$9900,uwmp_table_4_2_w!$G$2:$G$9900,"Other",uwmp_table_4_2_w!$B$2:$B$9900,'Contractor Assumptions'!$F7),0) + IFERROR(SUMIFS(uwmp_table_4_2_r!J$2:J$9900,uwmp_table_4_2_r!$G$2:$G$9900,"Other",uwmp_table_4_2_r!$B$2:$B$9900,'Contractor Assumptions'!$F7),0)
+ IFERROR(SUMIFS(uwmp_table_4_2_w!J$2:J$9900,uwmp_table_4_2_w!$G$2:$G$9900,"Sales/Transfers/Exchanges to other agencies",uwmp_table_4_2_w!$B$2:$B$9900,'Contractor Assumptions'!$F7),0) + IFERROR(SUMIFS(uwmp_table_4_2_r!J$2:J$9900,uwmp_table_4_2_r!$G$2:$G$9900,"Sales/Transfers/Exchanges to other agencies",uwmp_table_4_2_r!$B$2:$B$9900,'Contractor Assumptions'!$F7),0)
+ IFERROR(SUMIFS(uwmp_table_4_2_w!J$2:J$9900,uwmp_table_4_2_w!$G$2:$G$9900,"Other Non-Potable",uwmp_table_4_2_w!$B$2:$B$9900,'Contractor Assumptions'!$F7),0) + IFERROR(SUMIFS(uwmp_table_4_2_r!J$2:J$9900,uwmp_table_4_2_r!$G$2:$G$9900,"Other Non-Potable",uwmp_table_4_2_r!$B$2:$B$9900,'Contractor Assumptions'!$F7),0)
+ IFERROR(SUMIFS(uwmp_table_4_2_w!J$2:J$9900,uwmp_table_4_2_w!$G$2:$G$9900,"Wetlands or wildlife habitat",uwmp_table_4_2_w!$B$2:$B$9900,'Contractor Assumptions'!$F7),0) + IFERROR(SUMIFS(uwmp_table_4_2_r!J$2:J$9900,uwmp_table_4_2_r!$G$2:$G$9900,"Wetlands or wildlife habitat",uwmp_table_4_2_r!$B$2:$B$9900,'Contractor Assumptions'!$F7),0)
+ IFERROR(SUMIFS(uwmp_table_4_2_w!J$2:J$9900,uwmp_table_4_2_w!$G$2:$G$9900,"Saline water intrusion barrier",uwmp_table_4_2_w!$B$2:$B$9900,'Contractor Assumptions'!$F7),0) + IFERROR(SUMIFS(uwmp_table_4_2_r!J$2:J$9900,uwmp_table_4_2_r!$G$2:$G$9900,"Saline water intrusion barrier",uwmp_table_4_2_r!$B$2:$B$9900,'Contractor Assumptions'!$F7),0)
+ IFERROR(SUMIFS(uwmp_table_4_2_w!J$2:J$9900,uwmp_table_4_2_w!$G$2:$G$9900,"Groundwater recharge",uwmp_table_4_2_w!$B$2:$B$9900,'Contractor Assumptions'!$F7),0) + IFERROR(SUMIFS(uwmp_table_4_2_r!J$2:J$9900,uwmp_table_4_2_r!$G$2:$G$9900,"Groundwater recharge",uwmp_table_4_2_r!$B$2:$B$9900,'Contractor Assumptions'!$F7),0)
+ IFERROR(SUMIFS(uwmp_table_4_2_w!J$2:J$9900,uwmp_table_4_2_w!$G$2:$G$9900,"Retail demand for use by agencies that are primarily",uwmp_table_4_2_w!$B$2:$B$9900,'Contractor Assumptions'!$F7),0) + IFERROR(SUMIFS(uwmp_table_4_2_r!J$2:J$9900,uwmp_table_4_2_r!$G$2:$G$9900,"Retail demand for use by agencies that are primarily",uwmp_table_4_2_r!$B$2:$B$9900,'Contractor Assumptions'!$F7),0)
+ IFERROR(SUMIFS(uwmp_table_4_2_w!J$2:J$9900,uwmp_table_4_2_w!$G$2:$G$9900,"wholesalers with a small volume of retail sales",uwmp_table_4_2_w!$B$2:$B$9900,'Contractor Assumptions'!$F7),0) + IFERROR(SUMIFS(uwmp_table_4_2_r!J$2:J$9900,uwmp_table_4_2_r!$G$2:$G$9900,"wholesalers with a small volume of retail sales",uwmp_table_4_2_r!$B$2:$B$9900,'Contractor Assumptions'!$F7),0)
+ IFERROR(SUMIFS(uwmp_table_4_2_w!J$2:J$9900,uwmp_table_4_2_w!$G$2:$G$9900,"Sales to other agencies",uwmp_table_4_2_w!$B$2:$B$9900,'Contractor Assumptions'!$F7),0) + IFERROR(SUMIFS(uwmp_table_4_2_r!J$2:J$9900,uwmp_table_4_2_r!$G$2:$G$9900,"Sales to other agencies",uwmp_table_4_2_r!$B$2:$B$9900,'Contractor Assumptions'!$F7),0)
+ IFERROR(SUMIFS(uwmp_table_4_2_w!J$2:J$9900,uwmp_table_4_2_w!$G$2:$G$9900,"Exchanges to other agencies",uwmp_table_4_2_w!$B$2:$B$9900,'Contractor Assumptions'!$F7),0) + IFERROR(SUMIFS(uwmp_table_4_2_r!J$2:J$9900,uwmp_table_4_2_r!$G$2:$G$9900,"Exchanges to other agencies",uwmp_table_4_2_r!$B$2:$B$9900,'Contractor Assumptions'!$F7),0)
)*IFERROR(VLOOKUP(VLOOKUP('Contractor Assumptions'!$F7,uwmp_table_4_2_r!$B$2:$N$9900,13,FALSE),$A$11:$C$13,2,FALSE), VLOOKUP(VLOOKUP('Contractor Assumptions'!$F7,uwmp_table_4_2_w!$B$2:$N$9900,14,FALSE),$A$11:$C$13,2,FALSE))</f>
        <v>2571</v>
      </c>
      <c r="F536" s="472">
        <f>(IFERROR(SUMIFS(uwmp_table_4_2_w!K$2:K$9900,uwmp_table_4_2_w!$G$2:$G$9900,"Losses",uwmp_table_4_2_w!$B$2:$B$9900,'Contractor Assumptions'!$F7),0) + IFERROR(SUMIFS(uwmp_table_4_2_r!K$2:K$9900,uwmp_table_4_2_r!$G$2:$G$9900,"Losses",uwmp_table_4_2_r!$B$2:$B$9900,'Contractor Assumptions'!$F7),0)
+ IFERROR(SUMIFS(uwmp_table_4_2_w!K$2:K$9900,uwmp_table_4_2_w!$G$2:$G$9900,"Other Potable",uwmp_table_4_2_w!$B$2:$B$9900,'Contractor Assumptions'!$F7),0) + IFERROR(SUMIFS(uwmp_table_4_2_r!K$2:K$9900,uwmp_table_4_2_r!$G$2:$G$9900,"Other Potable",uwmp_table_4_2_r!$B$2:$B$9900,'Contractor Assumptions'!$F7),0)
+ IFERROR(SUMIFS(uwmp_table_4_2_w!K$2:K$9900,uwmp_table_4_2_w!$G$2:$G$9900,"Other",uwmp_table_4_2_w!$B$2:$B$9900,'Contractor Assumptions'!$F7),0) + IFERROR(SUMIFS(uwmp_table_4_2_r!K$2:K$9900,uwmp_table_4_2_r!$G$2:$G$9900,"Other",uwmp_table_4_2_r!$B$2:$B$9900,'Contractor Assumptions'!$F7),0)
+ IFERROR(SUMIFS(uwmp_table_4_2_w!K$2:K$9900,uwmp_table_4_2_w!$G$2:$G$9900,"Sales/Transfers/Exchanges to other agencies",uwmp_table_4_2_w!$B$2:$B$9900,'Contractor Assumptions'!$F7),0) + IFERROR(SUMIFS(uwmp_table_4_2_r!K$2:K$9900,uwmp_table_4_2_r!$G$2:$G$9900,"Sales/Transfers/Exchanges to other agencies",uwmp_table_4_2_r!$B$2:$B$9900,'Contractor Assumptions'!$F7),0)
+ IFERROR(SUMIFS(uwmp_table_4_2_w!K$2:K$9900,uwmp_table_4_2_w!$G$2:$G$9900,"Other Non-Potable",uwmp_table_4_2_w!$B$2:$B$9900,'Contractor Assumptions'!$F7),0) + IFERROR(SUMIFS(uwmp_table_4_2_r!K$2:K$9900,uwmp_table_4_2_r!$G$2:$G$9900,"Other Non-Potable",uwmp_table_4_2_r!$B$2:$B$9900,'Contractor Assumptions'!$F7),0)
+ IFERROR(SUMIFS(uwmp_table_4_2_w!K$2:K$9900,uwmp_table_4_2_w!$G$2:$G$9900,"Wetlands or wildlife habitat",uwmp_table_4_2_w!$B$2:$B$9900,'Contractor Assumptions'!$F7),0) + IFERROR(SUMIFS(uwmp_table_4_2_r!K$2:K$9900,uwmp_table_4_2_r!$G$2:$G$9900,"Wetlands or wildlife habitat",uwmp_table_4_2_r!$B$2:$B$9900,'Contractor Assumptions'!$F7),0)
+ IFERROR(SUMIFS(uwmp_table_4_2_w!K$2:K$9900,uwmp_table_4_2_w!$G$2:$G$9900,"Saline water intrusion barrier",uwmp_table_4_2_w!$B$2:$B$9900,'Contractor Assumptions'!$F7),0) + IFERROR(SUMIFS(uwmp_table_4_2_r!K$2:K$9900,uwmp_table_4_2_r!$G$2:$G$9900,"Saline water intrusion barrier",uwmp_table_4_2_r!$B$2:$B$9900,'Contractor Assumptions'!$F7),0)
+ IFERROR(SUMIFS(uwmp_table_4_2_w!K$2:K$9900,uwmp_table_4_2_w!$G$2:$G$9900,"Groundwater recharge",uwmp_table_4_2_w!$B$2:$B$9900,'Contractor Assumptions'!$F7),0) + IFERROR(SUMIFS(uwmp_table_4_2_r!K$2:K$9900,uwmp_table_4_2_r!$G$2:$G$9900,"Groundwater recharge",uwmp_table_4_2_r!$B$2:$B$9900,'Contractor Assumptions'!$F7),0)
+ IFERROR(SUMIFS(uwmp_table_4_2_w!K$2:K$9900,uwmp_table_4_2_w!$G$2:$G$9900,"Retail demand for use by agencies that are primarily",uwmp_table_4_2_w!$B$2:$B$9900,'Contractor Assumptions'!$F7),0) + IFERROR(SUMIFS(uwmp_table_4_2_r!K$2:K$9900,uwmp_table_4_2_r!$G$2:$G$9900,"Retail demand for use by agencies that are primarily",uwmp_table_4_2_r!$B$2:$B$9900,'Contractor Assumptions'!$F7),0)
+ IFERROR(SUMIFS(uwmp_table_4_2_w!K$2:K$9900,uwmp_table_4_2_w!$G$2:$G$9900,"wholesalers with a small volume of retail sales",uwmp_table_4_2_w!$B$2:$B$9900,'Contractor Assumptions'!$F7),0) + IFERROR(SUMIFS(uwmp_table_4_2_r!K$2:K$9900,uwmp_table_4_2_r!$G$2:$G$9900,"wholesalers with a small volume of retail sales",uwmp_table_4_2_r!$B$2:$B$9900,'Contractor Assumptions'!$F7),0)
+ IFERROR(SUMIFS(uwmp_table_4_2_w!K$2:K$9900,uwmp_table_4_2_w!$G$2:$G$9900,"Sales to other agencies",uwmp_table_4_2_w!$B$2:$B$9900,'Contractor Assumptions'!$F7),0) + IFERROR(SUMIFS(uwmp_table_4_2_r!K$2:K$9900,uwmp_table_4_2_r!$G$2:$G$9900,"Sales to other agencies",uwmp_table_4_2_r!$B$2:$B$9900,'Contractor Assumptions'!$F7),0)
+ IFERROR(SUMIFS(uwmp_table_4_2_w!K$2:K$9900,uwmp_table_4_2_w!$G$2:$G$9900,"Exchanges to other agencies",uwmp_table_4_2_w!$B$2:$B$9900,'Contractor Assumptions'!$F7),0) + IFERROR(SUMIFS(uwmp_table_4_2_r!K$2:K$9900,uwmp_table_4_2_r!$G$2:$G$9900,"Exchanges to other agencies",uwmp_table_4_2_r!$B$2:$B$9900,'Contractor Assumptions'!$F7),0)
)*IFERROR(VLOOKUP(VLOOKUP('Contractor Assumptions'!$F7,uwmp_table_4_2_r!$B$2:$N$9900,13,FALSE),$A$11:$C$13,2,FALSE), VLOOKUP(VLOOKUP('Contractor Assumptions'!$F7,uwmp_table_4_2_w!$B$2:$N$9900,14,FALSE),$A$11:$C$13,2,FALSE))</f>
        <v>2728</v>
      </c>
      <c r="G536" s="472">
        <f>(IFERROR(SUMIFS(uwmp_table_4_2_w!L$2:L$9900,uwmp_table_4_2_w!$G$2:$G$9900,"Losses",uwmp_table_4_2_w!$B$2:$B$9900,'Contractor Assumptions'!$F7),0) + IFERROR(SUMIFS(uwmp_table_4_2_r!L$2:L$9900,uwmp_table_4_2_r!$G$2:$G$9900,"Losses",uwmp_table_4_2_r!$B$2:$B$9900,'Contractor Assumptions'!$F7),0)
+ IFERROR(SUMIFS(uwmp_table_4_2_w!L$2:L$9900,uwmp_table_4_2_w!$G$2:$G$9900,"Other Potable",uwmp_table_4_2_w!$B$2:$B$9900,'Contractor Assumptions'!$F7),0) + IFERROR(SUMIFS(uwmp_table_4_2_r!L$2:L$9900,uwmp_table_4_2_r!$G$2:$G$9900,"Other Potable",uwmp_table_4_2_r!$B$2:$B$9900,'Contractor Assumptions'!$F7),0)
+ IFERROR(SUMIFS(uwmp_table_4_2_w!L$2:L$9900,uwmp_table_4_2_w!$G$2:$G$9900,"Other",uwmp_table_4_2_w!$B$2:$B$9900,'Contractor Assumptions'!$F7),0) + IFERROR(SUMIFS(uwmp_table_4_2_r!L$2:L$9900,uwmp_table_4_2_r!$G$2:$G$9900,"Other",uwmp_table_4_2_r!$B$2:$B$9900,'Contractor Assumptions'!$F7),0)
+ IFERROR(SUMIFS(uwmp_table_4_2_w!L$2:L$9900,uwmp_table_4_2_w!$G$2:$G$9900,"Sales/Transfers/Exchanges to other agencies",uwmp_table_4_2_w!$B$2:$B$9900,'Contractor Assumptions'!$F7),0) + IFERROR(SUMIFS(uwmp_table_4_2_r!L$2:L$9900,uwmp_table_4_2_r!$G$2:$G$9900,"Sales/Transfers/Exchanges to other agencies",uwmp_table_4_2_r!$B$2:$B$9900,'Contractor Assumptions'!$F7),0)
+ IFERROR(SUMIFS(uwmp_table_4_2_w!L$2:L$9900,uwmp_table_4_2_w!$G$2:$G$9900,"Other Non-Potable",uwmp_table_4_2_w!$B$2:$B$9900,'Contractor Assumptions'!$F7),0) + IFERROR(SUMIFS(uwmp_table_4_2_r!L$2:L$9900,uwmp_table_4_2_r!$G$2:$G$9900,"Other Non-Potable",uwmp_table_4_2_r!$B$2:$B$9900,'Contractor Assumptions'!$F7),0)
+ IFERROR(SUMIFS(uwmp_table_4_2_w!L$2:L$9900,uwmp_table_4_2_w!$G$2:$G$9900,"Wetlands or wildlife habitat",uwmp_table_4_2_w!$B$2:$B$9900,'Contractor Assumptions'!$F7),0) + IFERROR(SUMIFS(uwmp_table_4_2_r!L$2:L$9900,uwmp_table_4_2_r!$G$2:$G$9900,"Wetlands or wildlife habitat",uwmp_table_4_2_r!$B$2:$B$9900,'Contractor Assumptions'!$F7),0)
+ IFERROR(SUMIFS(uwmp_table_4_2_w!L$2:L$9900,uwmp_table_4_2_w!$G$2:$G$9900,"Saline water intrusion barrier",uwmp_table_4_2_w!$B$2:$B$9900,'Contractor Assumptions'!$F7),0) + IFERROR(SUMIFS(uwmp_table_4_2_r!L$2:L$9900,uwmp_table_4_2_r!$G$2:$G$9900,"Saline water intrusion barrier",uwmp_table_4_2_r!$B$2:$B$9900,'Contractor Assumptions'!$F7),0)
+ IFERROR(SUMIFS(uwmp_table_4_2_w!L$2:L$9900,uwmp_table_4_2_w!$G$2:$G$9900,"Groundwater recharge",uwmp_table_4_2_w!$B$2:$B$9900,'Contractor Assumptions'!$F7),0) + IFERROR(SUMIFS(uwmp_table_4_2_r!L$2:L$9900,uwmp_table_4_2_r!$G$2:$G$9900,"Groundwater recharge",uwmp_table_4_2_r!$B$2:$B$9900,'Contractor Assumptions'!$F7),0)
+ IFERROR(SUMIFS(uwmp_table_4_2_w!L$2:L$9900,uwmp_table_4_2_w!$G$2:$G$9900,"Retail demand for use by agencies that are primarily",uwmp_table_4_2_w!$B$2:$B$9900,'Contractor Assumptions'!$F7),0) + IFERROR(SUMIFS(uwmp_table_4_2_r!L$2:L$9900,uwmp_table_4_2_r!$G$2:$G$9900,"Retail demand for use by agencies that are primarily",uwmp_table_4_2_r!$B$2:$B$9900,'Contractor Assumptions'!$F7),0)
+ IFERROR(SUMIFS(uwmp_table_4_2_w!L$2:L$9900,uwmp_table_4_2_w!$G$2:$G$9900,"wholesalers with a small volume of retail sales",uwmp_table_4_2_w!$B$2:$B$9900,'Contractor Assumptions'!$F7),0) + IFERROR(SUMIFS(uwmp_table_4_2_r!L$2:L$9900,uwmp_table_4_2_r!$G$2:$G$9900,"wholesalers with a small volume of retail sales",uwmp_table_4_2_r!$B$2:$B$9900,'Contractor Assumptions'!$F7),0)
+ IFERROR(SUMIFS(uwmp_table_4_2_w!L$2:L$9900,uwmp_table_4_2_w!$G$2:$G$9900,"Sales to other agencies",uwmp_table_4_2_w!$B$2:$B$9900,'Contractor Assumptions'!$F7),0) + IFERROR(SUMIFS(uwmp_table_4_2_r!L$2:L$9900,uwmp_table_4_2_r!$G$2:$G$9900,"Sales to other agencies",uwmp_table_4_2_r!$B$2:$B$9900,'Contractor Assumptions'!$F7),0)
+ IFERROR(SUMIFS(uwmp_table_4_2_w!L$2:L$9900,uwmp_table_4_2_w!$G$2:$G$9900,"Exchanges to other agencies",uwmp_table_4_2_w!$B$2:$B$9900,'Contractor Assumptions'!$F7),0) + IFERROR(SUMIFS(uwmp_table_4_2_r!L$2:L$9900,uwmp_table_4_2_r!$G$2:$G$9900,"Exchanges to other agencies",uwmp_table_4_2_r!$B$2:$B$9900,'Contractor Assumptions'!$F7),0)
)*IFERROR(VLOOKUP(VLOOKUP('Contractor Assumptions'!$F7,uwmp_table_4_2_r!$B$2:$N$9900,13,FALSE),$A$11:$C$13,2,FALSE), VLOOKUP(VLOOKUP('Contractor Assumptions'!$F7,uwmp_table_4_2_w!$B$2:$N$9900,14,FALSE),$A$11:$C$13,2,FALSE))</f>
        <v>2828</v>
      </c>
      <c r="H536" s="520">
        <f>(IFERROR(SUMIFS(uwmp_table_4_2_w!M$2:M$9900,uwmp_table_4_2_w!$G$2:$G$9900,"Losses",uwmp_table_4_2_w!$B$2:$B$9900,'Contractor Assumptions'!$F7),0) + IFERROR(SUMIFS(uwmp_table_4_2_r!M$2:M$9900,uwmp_table_4_2_r!$G$2:$G$9900,"Losses",uwmp_table_4_2_r!$B$2:$B$9900,'Contractor Assumptions'!$F7),0)
+ IFERROR(SUMIFS(uwmp_table_4_2_w!M$2:M$9900,uwmp_table_4_2_w!$G$2:$G$9900,"Other Potable",uwmp_table_4_2_w!$B$2:$B$9900,'Contractor Assumptions'!$F7),0) + IFERROR(SUMIFS(uwmp_table_4_2_r!M$2:M$9900,uwmp_table_4_2_r!$G$2:$G$9900,"Other Potable",uwmp_table_4_2_r!$B$2:$B$9900,'Contractor Assumptions'!$F7),0)
+ IFERROR(SUMIFS(uwmp_table_4_2_w!M$2:M$9900,uwmp_table_4_2_w!$G$2:$G$9900,"Other",uwmp_table_4_2_w!$B$2:$B$9900,'Contractor Assumptions'!$F7),0) + IFERROR(SUMIFS(uwmp_table_4_2_r!M$2:M$9900,uwmp_table_4_2_r!$G$2:$G$9900,"Other",uwmp_table_4_2_r!$B$2:$B$9900,'Contractor Assumptions'!$F7),0)
+ IFERROR(SUMIFS(uwmp_table_4_2_w!M$2:M$9900,uwmp_table_4_2_w!$G$2:$G$9900,"Sales/Transfers/Exchanges to other agencies",uwmp_table_4_2_w!$B$2:$B$9900,'Contractor Assumptions'!$F7),0) + IFERROR(SUMIFS(uwmp_table_4_2_r!M$2:M$9900,uwmp_table_4_2_r!$G$2:$G$9900,"Sales/Transfers/Exchanges to other agencies",uwmp_table_4_2_r!$B$2:$B$9900,'Contractor Assumptions'!$F7),0)
+ IFERROR(SUMIFS(uwmp_table_4_2_w!M$2:M$9900,uwmp_table_4_2_w!$G$2:$G$9900,"Other Non-Potable",uwmp_table_4_2_w!$B$2:$B$9900,'Contractor Assumptions'!$F7),0) + IFERROR(SUMIFS(uwmp_table_4_2_r!M$2:M$9900,uwmp_table_4_2_r!$G$2:$G$9900,"Other Non-Potable",uwmp_table_4_2_r!$B$2:$B$9900,'Contractor Assumptions'!$F7),0)
+ IFERROR(SUMIFS(uwmp_table_4_2_w!M$2:M$9900,uwmp_table_4_2_w!$G$2:$G$9900,"Wetlands or wildlife habitat",uwmp_table_4_2_w!$B$2:$B$9900,'Contractor Assumptions'!$F7),0) + IFERROR(SUMIFS(uwmp_table_4_2_r!M$2:M$9900,uwmp_table_4_2_r!$G$2:$G$9900,"Wetlands or wildlife habitat",uwmp_table_4_2_r!$B$2:$B$9900,'Contractor Assumptions'!$F7),0)
+ IFERROR(SUMIFS(uwmp_table_4_2_w!M$2:M$9900,uwmp_table_4_2_w!$G$2:$G$9900,"Saline water intrusion barrier",uwmp_table_4_2_w!$B$2:$B$9900,'Contractor Assumptions'!$F7),0) + IFERROR(SUMIFS(uwmp_table_4_2_r!M$2:M$9900,uwmp_table_4_2_r!$G$2:$G$9900,"Saline water intrusion barrier",uwmp_table_4_2_r!$B$2:$B$9900,'Contractor Assumptions'!$F7),0)
+ IFERROR(SUMIFS(uwmp_table_4_2_w!M$2:M$9900,uwmp_table_4_2_w!$G$2:$G$9900,"Groundwater recharge",uwmp_table_4_2_w!$B$2:$B$9900,'Contractor Assumptions'!$F7),0) + IFERROR(SUMIFS(uwmp_table_4_2_r!M$2:M$9900,uwmp_table_4_2_r!$G$2:$G$9900,"Groundwater recharge",uwmp_table_4_2_r!$B$2:$B$9900,'Contractor Assumptions'!$F7),0)
+ IFERROR(SUMIFS(uwmp_table_4_2_w!M$2:M$9900,uwmp_table_4_2_w!$G$2:$G$9900,"Retail demand for use by agencies that are primarily",uwmp_table_4_2_w!$B$2:$B$9900,'Contractor Assumptions'!$F7),0) + IFERROR(SUMIFS(uwmp_table_4_2_r!M$2:M$9900,uwmp_table_4_2_r!$G$2:$G$9900,"Retail demand for use by agencies that are primarily",uwmp_table_4_2_r!$B$2:$B$9900,'Contractor Assumptions'!$F7),0)
+ IFERROR(SUMIFS(uwmp_table_4_2_w!M$2:M$9900,uwmp_table_4_2_w!$G$2:$G$9900,"wholesalers with a small volume of retail sales",uwmp_table_4_2_w!$B$2:$B$9900,'Contractor Assumptions'!$F7),0) + IFERROR(SUMIFS(uwmp_table_4_2_r!M$2:M$9900,uwmp_table_4_2_r!$G$2:$G$9900,"wholesalers with a small volume of retail sales",uwmp_table_4_2_r!$B$2:$B$9900,'Contractor Assumptions'!$F7),0)
+ IFERROR(SUMIFS(uwmp_table_4_2_w!M$2:M$9900,uwmp_table_4_2_w!$G$2:$G$9900,"Sales to other agencies",uwmp_table_4_2_w!$B$2:$B$9900,'Contractor Assumptions'!$F7),0) + IFERROR(SUMIFS(uwmp_table_4_2_r!M$2:M$9900,uwmp_table_4_2_r!$G$2:$G$9900,"Sales to other agencies",uwmp_table_4_2_r!$B$2:$B$9900,'Contractor Assumptions'!$F7),0)
+ IFERROR(SUMIFS(uwmp_table_4_2_w!M$2:M$9900,uwmp_table_4_2_w!$G$2:$G$9900,"Exchanges to other agencies",uwmp_table_4_2_w!$B$2:$B$9900,'Contractor Assumptions'!$F7),0) + IFERROR(SUMIFS(uwmp_table_4_2_r!M$2:M$9900,uwmp_table_4_2_r!$G$2:$G$9900,"Exchanges to other agencies",uwmp_table_4_2_r!$B$2:$B$9900,'Contractor Assumptions'!$F7),0)
)*IFERROR(VLOOKUP(VLOOKUP('Contractor Assumptions'!$F7,uwmp_table_4_2_r!$B$2:$N$9900,13,FALSE),$A$11:$C$13,2,FALSE), VLOOKUP(VLOOKUP('Contractor Assumptions'!$F7,uwmp_table_4_2_w!$B$2:$N$9900,14,FALSE),$A$11:$C$13,2,FALSE))</f>
        <v>2868</v>
      </c>
      <c r="I536" s="66" t="s">
        <v>1005</v>
      </c>
      <c r="J536" s="70"/>
      <c r="K536" s="70"/>
      <c r="L536" s="70"/>
      <c r="M536" s="70"/>
      <c r="N536" s="70"/>
      <c r="O536" s="70"/>
      <c r="P536" s="70"/>
    </row>
    <row r="537" spans="1:16" hidden="1" outlineLevel="1" x14ac:dyDescent="0.3">
      <c r="A537" s="63" t="s">
        <v>1026</v>
      </c>
      <c r="B537" s="63" t="s">
        <v>855</v>
      </c>
      <c r="C537" s="63" t="str">
        <f t="shared" si="11"/>
        <v>City of Redding</v>
      </c>
      <c r="D537" s="472">
        <f>(IFERROR(SUMIFS(uwmp_table_4_2_w!I$2:I$9900,uwmp_table_4_2_w!$G$2:$G$9900,"Losses",uwmp_table_4_2_w!$B$2:$B$9900,'Contractor Assumptions'!$F8),0) + IFERROR(SUMIFS(uwmp_table_4_2_r!I$2:I$9900,uwmp_table_4_2_r!$G$2:$G$9900,"Losses",uwmp_table_4_2_r!$B$2:$B$9900,'Contractor Assumptions'!$F8),0)
+ IFERROR(SUMIFS(uwmp_table_4_2_w!I$2:I$9900,uwmp_table_4_2_w!$G$2:$G$9900,"Other Potable",uwmp_table_4_2_w!$B$2:$B$9900,'Contractor Assumptions'!$F8),0) + IFERROR(SUMIFS(uwmp_table_4_2_r!I$2:I$9900,uwmp_table_4_2_r!$G$2:$G$9900,"Other Potable",uwmp_table_4_2_r!$B$2:$B$9900,'Contractor Assumptions'!$F8),0)
+ IFERROR(SUMIFS(uwmp_table_4_2_w!I$2:I$9900,uwmp_table_4_2_w!$G$2:$G$9900,"Other",uwmp_table_4_2_w!$B$2:$B$9900,'Contractor Assumptions'!$F8),0) + IFERROR(SUMIFS(uwmp_table_4_2_r!I$2:I$9900,uwmp_table_4_2_r!$G$2:$G$9900,"Other",uwmp_table_4_2_r!$B$2:$B$9900,'Contractor Assumptions'!$F8),0)
+ IFERROR(SUMIFS(uwmp_table_4_2_w!I$2:I$9900,uwmp_table_4_2_w!$G$2:$G$9900,"Sales/Transfers/Exchanges to other agencies",uwmp_table_4_2_w!$B$2:$B$9900,'Contractor Assumptions'!$F8),0) + IFERROR(SUMIFS(uwmp_table_4_2_r!I$2:I$9900,uwmp_table_4_2_r!$G$2:$G$9900,"Sales/Transfers/Exchanges to other agencies",uwmp_table_4_2_r!$B$2:$B$9900,'Contractor Assumptions'!$F8),0)
+ IFERROR(SUMIFS(uwmp_table_4_2_w!I$2:I$9900,uwmp_table_4_2_w!$G$2:$G$9900,"Other Non-Potable",uwmp_table_4_2_w!$B$2:$B$9900,'Contractor Assumptions'!$F8),0) + IFERROR(SUMIFS(uwmp_table_4_2_r!I$2:I$9900,uwmp_table_4_2_r!$G$2:$G$9900,"Other Non-Potable",uwmp_table_4_2_r!$B$2:$B$9900,'Contractor Assumptions'!$F8),0)
+ IFERROR(SUMIFS(uwmp_table_4_2_w!I$2:I$9900,uwmp_table_4_2_w!$G$2:$G$9900,"Wetlands or wildlife habitat",uwmp_table_4_2_w!$B$2:$B$9900,'Contractor Assumptions'!$F8),0) + IFERROR(SUMIFS(uwmp_table_4_2_r!I$2:I$9900,uwmp_table_4_2_r!$G$2:$G$9900,"Wetlands or wildlife habitat",uwmp_table_4_2_r!$B$2:$B$9900,'Contractor Assumptions'!$F8),0)
+ IFERROR(SUMIFS(uwmp_table_4_2_w!I$2:I$9900,uwmp_table_4_2_w!$G$2:$G$9900,"Saline water intrusion barrier",uwmp_table_4_2_w!$B$2:$B$9900,'Contractor Assumptions'!$F8),0) + IFERROR(SUMIFS(uwmp_table_4_2_r!I$2:I$9900,uwmp_table_4_2_r!$G$2:$G$9900,"Saline water intrusion barrier",uwmp_table_4_2_r!$B$2:$B$9900,'Contractor Assumptions'!$F8),0)
+ IFERROR(SUMIFS(uwmp_table_4_2_w!I$2:I$9900,uwmp_table_4_2_w!$G$2:$G$9900,"Groundwater recharge",uwmp_table_4_2_w!$B$2:$B$9900,'Contractor Assumptions'!$F8),0) + IFERROR(SUMIFS(uwmp_table_4_2_r!I$2:I$9900,uwmp_table_4_2_r!$G$2:$G$9900,"Groundwater recharge",uwmp_table_4_2_r!$B$2:$B$9900,'Contractor Assumptions'!$F8),0)
+ IFERROR(SUMIFS(uwmp_table_4_2_w!I$2:I$9900,uwmp_table_4_2_w!$G$2:$G$9900,"Retail demand for use by agencies that are primarily",uwmp_table_4_2_w!$B$2:$B$9900,'Contractor Assumptions'!$F8),0) + IFERROR(SUMIFS(uwmp_table_4_2_r!I$2:I$9900,uwmp_table_4_2_r!$G$2:$G$9900,"Retail demand for use by agencies that are primarily",uwmp_table_4_2_r!$B$2:$B$9900,'Contractor Assumptions'!$F8),0)
+ IFERROR(SUMIFS(uwmp_table_4_2_w!I$2:I$9900,uwmp_table_4_2_w!$G$2:$G$9900,"wholesalers with a small volume of retail sales",uwmp_table_4_2_w!$B$2:$B$9900,'Contractor Assumptions'!$F8),0) + IFERROR(SUMIFS(uwmp_table_4_2_r!I$2:I$9900,uwmp_table_4_2_r!$G$2:$G$9900,"wholesalers with a small volume of retail sales",uwmp_table_4_2_r!$B$2:$B$9900,'Contractor Assumptions'!$F8),0)
+ IFERROR(SUMIFS(uwmp_table_4_2_w!I$2:I$9900,uwmp_table_4_2_w!$G$2:$G$9900,"Sales to other agencies",uwmp_table_4_2_w!$B$2:$B$9900,'Contractor Assumptions'!$F8),0) + IFERROR(SUMIFS(uwmp_table_4_2_r!I$2:I$9900,uwmp_table_4_2_r!$G$2:$G$9900,"Sales to other agencies",uwmp_table_4_2_r!$B$2:$B$9900,'Contractor Assumptions'!$F8),0)
+ IFERROR(SUMIFS(uwmp_table_4_2_w!I$2:I$9900,uwmp_table_4_2_w!$G$2:$G$9900,"Exchanges to other agencies",uwmp_table_4_2_w!$B$2:$B$9900,'Contractor Assumptions'!$F8),0) + IFERROR(SUMIFS(uwmp_table_4_2_r!I$2:I$9900,uwmp_table_4_2_r!$G$2:$G$9900,"Exchanges to other agencies",uwmp_table_4_2_r!$B$2:$B$9900,'Contractor Assumptions'!$F8),0)
)*IFERROR(VLOOKUP(VLOOKUP('Contractor Assumptions'!$F8,uwmp_table_4_2_r!$B$2:$N$9900,13,FALSE),$A$11:$C$13,2,FALSE), VLOOKUP(VLOOKUP('Contractor Assumptions'!$F8,uwmp_table_4_2_w!$B$2:$N$9900,14,FALSE),$A$11:$C$13,2,FALSE))</f>
        <v>939</v>
      </c>
      <c r="E537" s="472">
        <f>(IFERROR(SUMIFS(uwmp_table_4_2_w!J$2:J$9900,uwmp_table_4_2_w!$G$2:$G$9900,"Losses",uwmp_table_4_2_w!$B$2:$B$9900,'Contractor Assumptions'!$F8),0) + IFERROR(SUMIFS(uwmp_table_4_2_r!J$2:J$9900,uwmp_table_4_2_r!$G$2:$G$9900,"Losses",uwmp_table_4_2_r!$B$2:$B$9900,'Contractor Assumptions'!$F8),0)
+ IFERROR(SUMIFS(uwmp_table_4_2_w!J$2:J$9900,uwmp_table_4_2_w!$G$2:$G$9900,"Other Potable",uwmp_table_4_2_w!$B$2:$B$9900,'Contractor Assumptions'!$F8),0) + IFERROR(SUMIFS(uwmp_table_4_2_r!J$2:J$9900,uwmp_table_4_2_r!$G$2:$G$9900,"Other Potable",uwmp_table_4_2_r!$B$2:$B$9900,'Contractor Assumptions'!$F8),0)
+ IFERROR(SUMIFS(uwmp_table_4_2_w!J$2:J$9900,uwmp_table_4_2_w!$G$2:$G$9900,"Other",uwmp_table_4_2_w!$B$2:$B$9900,'Contractor Assumptions'!$F8),0) + IFERROR(SUMIFS(uwmp_table_4_2_r!J$2:J$9900,uwmp_table_4_2_r!$G$2:$G$9900,"Other",uwmp_table_4_2_r!$B$2:$B$9900,'Contractor Assumptions'!$F8),0)
+ IFERROR(SUMIFS(uwmp_table_4_2_w!J$2:J$9900,uwmp_table_4_2_w!$G$2:$G$9900,"Sales/Transfers/Exchanges to other agencies",uwmp_table_4_2_w!$B$2:$B$9900,'Contractor Assumptions'!$F8),0) + IFERROR(SUMIFS(uwmp_table_4_2_r!J$2:J$9900,uwmp_table_4_2_r!$G$2:$G$9900,"Sales/Transfers/Exchanges to other agencies",uwmp_table_4_2_r!$B$2:$B$9900,'Contractor Assumptions'!$F8),0)
+ IFERROR(SUMIFS(uwmp_table_4_2_w!J$2:J$9900,uwmp_table_4_2_w!$G$2:$G$9900,"Other Non-Potable",uwmp_table_4_2_w!$B$2:$B$9900,'Contractor Assumptions'!$F8),0) + IFERROR(SUMIFS(uwmp_table_4_2_r!J$2:J$9900,uwmp_table_4_2_r!$G$2:$G$9900,"Other Non-Potable",uwmp_table_4_2_r!$B$2:$B$9900,'Contractor Assumptions'!$F8),0)
+ IFERROR(SUMIFS(uwmp_table_4_2_w!J$2:J$9900,uwmp_table_4_2_w!$G$2:$G$9900,"Wetlands or wildlife habitat",uwmp_table_4_2_w!$B$2:$B$9900,'Contractor Assumptions'!$F8),0) + IFERROR(SUMIFS(uwmp_table_4_2_r!J$2:J$9900,uwmp_table_4_2_r!$G$2:$G$9900,"Wetlands or wildlife habitat",uwmp_table_4_2_r!$B$2:$B$9900,'Contractor Assumptions'!$F8),0)
+ IFERROR(SUMIFS(uwmp_table_4_2_w!J$2:J$9900,uwmp_table_4_2_w!$G$2:$G$9900,"Saline water intrusion barrier",uwmp_table_4_2_w!$B$2:$B$9900,'Contractor Assumptions'!$F8),0) + IFERROR(SUMIFS(uwmp_table_4_2_r!J$2:J$9900,uwmp_table_4_2_r!$G$2:$G$9900,"Saline water intrusion barrier",uwmp_table_4_2_r!$B$2:$B$9900,'Contractor Assumptions'!$F8),0)
+ IFERROR(SUMIFS(uwmp_table_4_2_w!J$2:J$9900,uwmp_table_4_2_w!$G$2:$G$9900,"Groundwater recharge",uwmp_table_4_2_w!$B$2:$B$9900,'Contractor Assumptions'!$F8),0) + IFERROR(SUMIFS(uwmp_table_4_2_r!J$2:J$9900,uwmp_table_4_2_r!$G$2:$G$9900,"Groundwater recharge",uwmp_table_4_2_r!$B$2:$B$9900,'Contractor Assumptions'!$F8),0)
+ IFERROR(SUMIFS(uwmp_table_4_2_w!J$2:J$9900,uwmp_table_4_2_w!$G$2:$G$9900,"Retail demand for use by agencies that are primarily",uwmp_table_4_2_w!$B$2:$B$9900,'Contractor Assumptions'!$F8),0) + IFERROR(SUMIFS(uwmp_table_4_2_r!J$2:J$9900,uwmp_table_4_2_r!$G$2:$G$9900,"Retail demand for use by agencies that are primarily",uwmp_table_4_2_r!$B$2:$B$9900,'Contractor Assumptions'!$F8),0)
+ IFERROR(SUMIFS(uwmp_table_4_2_w!J$2:J$9900,uwmp_table_4_2_w!$G$2:$G$9900,"wholesalers with a small volume of retail sales",uwmp_table_4_2_w!$B$2:$B$9900,'Contractor Assumptions'!$F8),0) + IFERROR(SUMIFS(uwmp_table_4_2_r!J$2:J$9900,uwmp_table_4_2_r!$G$2:$G$9900,"wholesalers with a small volume of retail sales",uwmp_table_4_2_r!$B$2:$B$9900,'Contractor Assumptions'!$F8),0)
+ IFERROR(SUMIFS(uwmp_table_4_2_w!J$2:J$9900,uwmp_table_4_2_w!$G$2:$G$9900,"Sales to other agencies",uwmp_table_4_2_w!$B$2:$B$9900,'Contractor Assumptions'!$F8),0) + IFERROR(SUMIFS(uwmp_table_4_2_r!J$2:J$9900,uwmp_table_4_2_r!$G$2:$G$9900,"Sales to other agencies",uwmp_table_4_2_r!$B$2:$B$9900,'Contractor Assumptions'!$F8),0)
+ IFERROR(SUMIFS(uwmp_table_4_2_w!J$2:J$9900,uwmp_table_4_2_w!$G$2:$G$9900,"Exchanges to other agencies",uwmp_table_4_2_w!$B$2:$B$9900,'Contractor Assumptions'!$F8),0) + IFERROR(SUMIFS(uwmp_table_4_2_r!J$2:J$9900,uwmp_table_4_2_r!$G$2:$G$9900,"Exchanges to other agencies",uwmp_table_4_2_r!$B$2:$B$9900,'Contractor Assumptions'!$F8),0)
)*IFERROR(VLOOKUP(VLOOKUP('Contractor Assumptions'!$F8,uwmp_table_4_2_r!$B$2:$N$9900,13,FALSE),$A$11:$C$13,2,FALSE), VLOOKUP(VLOOKUP('Contractor Assumptions'!$F8,uwmp_table_4_2_w!$B$2:$N$9900,14,FALSE),$A$11:$C$13,2,FALSE))</f>
        <v>963</v>
      </c>
      <c r="F537" s="472">
        <f>(IFERROR(SUMIFS(uwmp_table_4_2_w!K$2:K$9900,uwmp_table_4_2_w!$G$2:$G$9900,"Losses",uwmp_table_4_2_w!$B$2:$B$9900,'Contractor Assumptions'!$F8),0) + IFERROR(SUMIFS(uwmp_table_4_2_r!K$2:K$9900,uwmp_table_4_2_r!$G$2:$G$9900,"Losses",uwmp_table_4_2_r!$B$2:$B$9900,'Contractor Assumptions'!$F8),0)
+ IFERROR(SUMIFS(uwmp_table_4_2_w!K$2:K$9900,uwmp_table_4_2_w!$G$2:$G$9900,"Other Potable",uwmp_table_4_2_w!$B$2:$B$9900,'Contractor Assumptions'!$F8),0) + IFERROR(SUMIFS(uwmp_table_4_2_r!K$2:K$9900,uwmp_table_4_2_r!$G$2:$G$9900,"Other Potable",uwmp_table_4_2_r!$B$2:$B$9900,'Contractor Assumptions'!$F8),0)
+ IFERROR(SUMIFS(uwmp_table_4_2_w!K$2:K$9900,uwmp_table_4_2_w!$G$2:$G$9900,"Other",uwmp_table_4_2_w!$B$2:$B$9900,'Contractor Assumptions'!$F8),0) + IFERROR(SUMIFS(uwmp_table_4_2_r!K$2:K$9900,uwmp_table_4_2_r!$G$2:$G$9900,"Other",uwmp_table_4_2_r!$B$2:$B$9900,'Contractor Assumptions'!$F8),0)
+ IFERROR(SUMIFS(uwmp_table_4_2_w!K$2:K$9900,uwmp_table_4_2_w!$G$2:$G$9900,"Sales/Transfers/Exchanges to other agencies",uwmp_table_4_2_w!$B$2:$B$9900,'Contractor Assumptions'!$F8),0) + IFERROR(SUMIFS(uwmp_table_4_2_r!K$2:K$9900,uwmp_table_4_2_r!$G$2:$G$9900,"Sales/Transfers/Exchanges to other agencies",uwmp_table_4_2_r!$B$2:$B$9900,'Contractor Assumptions'!$F8),0)
+ IFERROR(SUMIFS(uwmp_table_4_2_w!K$2:K$9900,uwmp_table_4_2_w!$G$2:$G$9900,"Other Non-Potable",uwmp_table_4_2_w!$B$2:$B$9900,'Contractor Assumptions'!$F8),0) + IFERROR(SUMIFS(uwmp_table_4_2_r!K$2:K$9900,uwmp_table_4_2_r!$G$2:$G$9900,"Other Non-Potable",uwmp_table_4_2_r!$B$2:$B$9900,'Contractor Assumptions'!$F8),0)
+ IFERROR(SUMIFS(uwmp_table_4_2_w!K$2:K$9900,uwmp_table_4_2_w!$G$2:$G$9900,"Wetlands or wildlife habitat",uwmp_table_4_2_w!$B$2:$B$9900,'Contractor Assumptions'!$F8),0) + IFERROR(SUMIFS(uwmp_table_4_2_r!K$2:K$9900,uwmp_table_4_2_r!$G$2:$G$9900,"Wetlands or wildlife habitat",uwmp_table_4_2_r!$B$2:$B$9900,'Contractor Assumptions'!$F8),0)
+ IFERROR(SUMIFS(uwmp_table_4_2_w!K$2:K$9900,uwmp_table_4_2_w!$G$2:$G$9900,"Saline water intrusion barrier",uwmp_table_4_2_w!$B$2:$B$9900,'Contractor Assumptions'!$F8),0) + IFERROR(SUMIFS(uwmp_table_4_2_r!K$2:K$9900,uwmp_table_4_2_r!$G$2:$G$9900,"Saline water intrusion barrier",uwmp_table_4_2_r!$B$2:$B$9900,'Contractor Assumptions'!$F8),0)
+ IFERROR(SUMIFS(uwmp_table_4_2_w!K$2:K$9900,uwmp_table_4_2_w!$G$2:$G$9900,"Groundwater recharge",uwmp_table_4_2_w!$B$2:$B$9900,'Contractor Assumptions'!$F8),0) + IFERROR(SUMIFS(uwmp_table_4_2_r!K$2:K$9900,uwmp_table_4_2_r!$G$2:$G$9900,"Groundwater recharge",uwmp_table_4_2_r!$B$2:$B$9900,'Contractor Assumptions'!$F8),0)
+ IFERROR(SUMIFS(uwmp_table_4_2_w!K$2:K$9900,uwmp_table_4_2_w!$G$2:$G$9900,"Retail demand for use by agencies that are primarily",uwmp_table_4_2_w!$B$2:$B$9900,'Contractor Assumptions'!$F8),0) + IFERROR(SUMIFS(uwmp_table_4_2_r!K$2:K$9900,uwmp_table_4_2_r!$G$2:$G$9900,"Retail demand for use by agencies that are primarily",uwmp_table_4_2_r!$B$2:$B$9900,'Contractor Assumptions'!$F8),0)
+ IFERROR(SUMIFS(uwmp_table_4_2_w!K$2:K$9900,uwmp_table_4_2_w!$G$2:$G$9900,"wholesalers with a small volume of retail sales",uwmp_table_4_2_w!$B$2:$B$9900,'Contractor Assumptions'!$F8),0) + IFERROR(SUMIFS(uwmp_table_4_2_r!K$2:K$9900,uwmp_table_4_2_r!$G$2:$G$9900,"wholesalers with a small volume of retail sales",uwmp_table_4_2_r!$B$2:$B$9900,'Contractor Assumptions'!$F8),0)
+ IFERROR(SUMIFS(uwmp_table_4_2_w!K$2:K$9900,uwmp_table_4_2_w!$G$2:$G$9900,"Sales to other agencies",uwmp_table_4_2_w!$B$2:$B$9900,'Contractor Assumptions'!$F8),0) + IFERROR(SUMIFS(uwmp_table_4_2_r!K$2:K$9900,uwmp_table_4_2_r!$G$2:$G$9900,"Sales to other agencies",uwmp_table_4_2_r!$B$2:$B$9900,'Contractor Assumptions'!$F8),0)
+ IFERROR(SUMIFS(uwmp_table_4_2_w!K$2:K$9900,uwmp_table_4_2_w!$G$2:$G$9900,"Exchanges to other agencies",uwmp_table_4_2_w!$B$2:$B$9900,'Contractor Assumptions'!$F8),0) + IFERROR(SUMIFS(uwmp_table_4_2_r!K$2:K$9900,uwmp_table_4_2_r!$G$2:$G$9900,"Exchanges to other agencies",uwmp_table_4_2_r!$B$2:$B$9900,'Contractor Assumptions'!$F8),0)
)*IFERROR(VLOOKUP(VLOOKUP('Contractor Assumptions'!$F8,uwmp_table_4_2_r!$B$2:$N$9900,13,FALSE),$A$11:$C$13,2,FALSE), VLOOKUP(VLOOKUP('Contractor Assumptions'!$F8,uwmp_table_4_2_w!$B$2:$N$9900,14,FALSE),$A$11:$C$13,2,FALSE))</f>
        <v>990</v>
      </c>
      <c r="G537" s="472">
        <f>(IFERROR(SUMIFS(uwmp_table_4_2_w!L$2:L$9900,uwmp_table_4_2_w!$G$2:$G$9900,"Losses",uwmp_table_4_2_w!$B$2:$B$9900,'Contractor Assumptions'!$F8),0) + IFERROR(SUMIFS(uwmp_table_4_2_r!L$2:L$9900,uwmp_table_4_2_r!$G$2:$G$9900,"Losses",uwmp_table_4_2_r!$B$2:$B$9900,'Contractor Assumptions'!$F8),0)
+ IFERROR(SUMIFS(uwmp_table_4_2_w!L$2:L$9900,uwmp_table_4_2_w!$G$2:$G$9900,"Other Potable",uwmp_table_4_2_w!$B$2:$B$9900,'Contractor Assumptions'!$F8),0) + IFERROR(SUMIFS(uwmp_table_4_2_r!L$2:L$9900,uwmp_table_4_2_r!$G$2:$G$9900,"Other Potable",uwmp_table_4_2_r!$B$2:$B$9900,'Contractor Assumptions'!$F8),0)
+ IFERROR(SUMIFS(uwmp_table_4_2_w!L$2:L$9900,uwmp_table_4_2_w!$G$2:$G$9900,"Other",uwmp_table_4_2_w!$B$2:$B$9900,'Contractor Assumptions'!$F8),0) + IFERROR(SUMIFS(uwmp_table_4_2_r!L$2:L$9900,uwmp_table_4_2_r!$G$2:$G$9900,"Other",uwmp_table_4_2_r!$B$2:$B$9900,'Contractor Assumptions'!$F8),0)
+ IFERROR(SUMIFS(uwmp_table_4_2_w!L$2:L$9900,uwmp_table_4_2_w!$G$2:$G$9900,"Sales/Transfers/Exchanges to other agencies",uwmp_table_4_2_w!$B$2:$B$9900,'Contractor Assumptions'!$F8),0) + IFERROR(SUMIFS(uwmp_table_4_2_r!L$2:L$9900,uwmp_table_4_2_r!$G$2:$G$9900,"Sales/Transfers/Exchanges to other agencies",uwmp_table_4_2_r!$B$2:$B$9900,'Contractor Assumptions'!$F8),0)
+ IFERROR(SUMIFS(uwmp_table_4_2_w!L$2:L$9900,uwmp_table_4_2_w!$G$2:$G$9900,"Other Non-Potable",uwmp_table_4_2_w!$B$2:$B$9900,'Contractor Assumptions'!$F8),0) + IFERROR(SUMIFS(uwmp_table_4_2_r!L$2:L$9900,uwmp_table_4_2_r!$G$2:$G$9900,"Other Non-Potable",uwmp_table_4_2_r!$B$2:$B$9900,'Contractor Assumptions'!$F8),0)
+ IFERROR(SUMIFS(uwmp_table_4_2_w!L$2:L$9900,uwmp_table_4_2_w!$G$2:$G$9900,"Wetlands or wildlife habitat",uwmp_table_4_2_w!$B$2:$B$9900,'Contractor Assumptions'!$F8),0) + IFERROR(SUMIFS(uwmp_table_4_2_r!L$2:L$9900,uwmp_table_4_2_r!$G$2:$G$9900,"Wetlands or wildlife habitat",uwmp_table_4_2_r!$B$2:$B$9900,'Contractor Assumptions'!$F8),0)
+ IFERROR(SUMIFS(uwmp_table_4_2_w!L$2:L$9900,uwmp_table_4_2_w!$G$2:$G$9900,"Saline water intrusion barrier",uwmp_table_4_2_w!$B$2:$B$9900,'Contractor Assumptions'!$F8),0) + IFERROR(SUMIFS(uwmp_table_4_2_r!L$2:L$9900,uwmp_table_4_2_r!$G$2:$G$9900,"Saline water intrusion barrier",uwmp_table_4_2_r!$B$2:$B$9900,'Contractor Assumptions'!$F8),0)
+ IFERROR(SUMIFS(uwmp_table_4_2_w!L$2:L$9900,uwmp_table_4_2_w!$G$2:$G$9900,"Groundwater recharge",uwmp_table_4_2_w!$B$2:$B$9900,'Contractor Assumptions'!$F8),0) + IFERROR(SUMIFS(uwmp_table_4_2_r!L$2:L$9900,uwmp_table_4_2_r!$G$2:$G$9900,"Groundwater recharge",uwmp_table_4_2_r!$B$2:$B$9900,'Contractor Assumptions'!$F8),0)
+ IFERROR(SUMIFS(uwmp_table_4_2_w!L$2:L$9900,uwmp_table_4_2_w!$G$2:$G$9900,"Retail demand for use by agencies that are primarily",uwmp_table_4_2_w!$B$2:$B$9900,'Contractor Assumptions'!$F8),0) + IFERROR(SUMIFS(uwmp_table_4_2_r!L$2:L$9900,uwmp_table_4_2_r!$G$2:$G$9900,"Retail demand for use by agencies that are primarily",uwmp_table_4_2_r!$B$2:$B$9900,'Contractor Assumptions'!$F8),0)
+ IFERROR(SUMIFS(uwmp_table_4_2_w!L$2:L$9900,uwmp_table_4_2_w!$G$2:$G$9900,"wholesalers with a small volume of retail sales",uwmp_table_4_2_w!$B$2:$B$9900,'Contractor Assumptions'!$F8),0) + IFERROR(SUMIFS(uwmp_table_4_2_r!L$2:L$9900,uwmp_table_4_2_r!$G$2:$G$9900,"wholesalers with a small volume of retail sales",uwmp_table_4_2_r!$B$2:$B$9900,'Contractor Assumptions'!$F8),0)
+ IFERROR(SUMIFS(uwmp_table_4_2_w!L$2:L$9900,uwmp_table_4_2_w!$G$2:$G$9900,"Sales to other agencies",uwmp_table_4_2_w!$B$2:$B$9900,'Contractor Assumptions'!$F8),0) + IFERROR(SUMIFS(uwmp_table_4_2_r!L$2:L$9900,uwmp_table_4_2_r!$G$2:$G$9900,"Sales to other agencies",uwmp_table_4_2_r!$B$2:$B$9900,'Contractor Assumptions'!$F8),0)
+ IFERROR(SUMIFS(uwmp_table_4_2_w!L$2:L$9900,uwmp_table_4_2_w!$G$2:$G$9900,"Exchanges to other agencies",uwmp_table_4_2_w!$B$2:$B$9900,'Contractor Assumptions'!$F8),0) + IFERROR(SUMIFS(uwmp_table_4_2_r!L$2:L$9900,uwmp_table_4_2_r!$G$2:$G$9900,"Exchanges to other agencies",uwmp_table_4_2_r!$B$2:$B$9900,'Contractor Assumptions'!$F8),0)
)*IFERROR(VLOOKUP(VLOOKUP('Contractor Assumptions'!$F8,uwmp_table_4_2_r!$B$2:$N$9900,13,FALSE),$A$11:$C$13,2,FALSE), VLOOKUP(VLOOKUP('Contractor Assumptions'!$F8,uwmp_table_4_2_w!$B$2:$N$9900,14,FALSE),$A$11:$C$13,2,FALSE))</f>
        <v>1018</v>
      </c>
      <c r="H537" s="520">
        <f>(IFERROR(SUMIFS(uwmp_table_4_2_w!M$2:M$9900,uwmp_table_4_2_w!$G$2:$G$9900,"Losses",uwmp_table_4_2_w!$B$2:$B$9900,'Contractor Assumptions'!$F8),0) + IFERROR(SUMIFS(uwmp_table_4_2_r!M$2:M$9900,uwmp_table_4_2_r!$G$2:$G$9900,"Losses",uwmp_table_4_2_r!$B$2:$B$9900,'Contractor Assumptions'!$F8),0)
+ IFERROR(SUMIFS(uwmp_table_4_2_w!M$2:M$9900,uwmp_table_4_2_w!$G$2:$G$9900,"Other Potable",uwmp_table_4_2_w!$B$2:$B$9900,'Contractor Assumptions'!$F8),0) + IFERROR(SUMIFS(uwmp_table_4_2_r!M$2:M$9900,uwmp_table_4_2_r!$G$2:$G$9900,"Other Potable",uwmp_table_4_2_r!$B$2:$B$9900,'Contractor Assumptions'!$F8),0)
+ IFERROR(SUMIFS(uwmp_table_4_2_w!M$2:M$9900,uwmp_table_4_2_w!$G$2:$G$9900,"Other",uwmp_table_4_2_w!$B$2:$B$9900,'Contractor Assumptions'!$F8),0) + IFERROR(SUMIFS(uwmp_table_4_2_r!M$2:M$9900,uwmp_table_4_2_r!$G$2:$G$9900,"Other",uwmp_table_4_2_r!$B$2:$B$9900,'Contractor Assumptions'!$F8),0)
+ IFERROR(SUMIFS(uwmp_table_4_2_w!M$2:M$9900,uwmp_table_4_2_w!$G$2:$G$9900,"Sales/Transfers/Exchanges to other agencies",uwmp_table_4_2_w!$B$2:$B$9900,'Contractor Assumptions'!$F8),0) + IFERROR(SUMIFS(uwmp_table_4_2_r!M$2:M$9900,uwmp_table_4_2_r!$G$2:$G$9900,"Sales/Transfers/Exchanges to other agencies",uwmp_table_4_2_r!$B$2:$B$9900,'Contractor Assumptions'!$F8),0)
+ IFERROR(SUMIFS(uwmp_table_4_2_w!M$2:M$9900,uwmp_table_4_2_w!$G$2:$G$9900,"Other Non-Potable",uwmp_table_4_2_w!$B$2:$B$9900,'Contractor Assumptions'!$F8),0) + IFERROR(SUMIFS(uwmp_table_4_2_r!M$2:M$9900,uwmp_table_4_2_r!$G$2:$G$9900,"Other Non-Potable",uwmp_table_4_2_r!$B$2:$B$9900,'Contractor Assumptions'!$F8),0)
+ IFERROR(SUMIFS(uwmp_table_4_2_w!M$2:M$9900,uwmp_table_4_2_w!$G$2:$G$9900,"Wetlands or wildlife habitat",uwmp_table_4_2_w!$B$2:$B$9900,'Contractor Assumptions'!$F8),0) + IFERROR(SUMIFS(uwmp_table_4_2_r!M$2:M$9900,uwmp_table_4_2_r!$G$2:$G$9900,"Wetlands or wildlife habitat",uwmp_table_4_2_r!$B$2:$B$9900,'Contractor Assumptions'!$F8),0)
+ IFERROR(SUMIFS(uwmp_table_4_2_w!M$2:M$9900,uwmp_table_4_2_w!$G$2:$G$9900,"Saline water intrusion barrier",uwmp_table_4_2_w!$B$2:$B$9900,'Contractor Assumptions'!$F8),0) + IFERROR(SUMIFS(uwmp_table_4_2_r!M$2:M$9900,uwmp_table_4_2_r!$G$2:$G$9900,"Saline water intrusion barrier",uwmp_table_4_2_r!$B$2:$B$9900,'Contractor Assumptions'!$F8),0)
+ IFERROR(SUMIFS(uwmp_table_4_2_w!M$2:M$9900,uwmp_table_4_2_w!$G$2:$G$9900,"Groundwater recharge",uwmp_table_4_2_w!$B$2:$B$9900,'Contractor Assumptions'!$F8),0) + IFERROR(SUMIFS(uwmp_table_4_2_r!M$2:M$9900,uwmp_table_4_2_r!$G$2:$G$9900,"Groundwater recharge",uwmp_table_4_2_r!$B$2:$B$9900,'Contractor Assumptions'!$F8),0)
+ IFERROR(SUMIFS(uwmp_table_4_2_w!M$2:M$9900,uwmp_table_4_2_w!$G$2:$G$9900,"Retail demand for use by agencies that are primarily",uwmp_table_4_2_w!$B$2:$B$9900,'Contractor Assumptions'!$F8),0) + IFERROR(SUMIFS(uwmp_table_4_2_r!M$2:M$9900,uwmp_table_4_2_r!$G$2:$G$9900,"Retail demand for use by agencies that are primarily",uwmp_table_4_2_r!$B$2:$B$9900,'Contractor Assumptions'!$F8),0)
+ IFERROR(SUMIFS(uwmp_table_4_2_w!M$2:M$9900,uwmp_table_4_2_w!$G$2:$G$9900,"wholesalers with a small volume of retail sales",uwmp_table_4_2_w!$B$2:$B$9900,'Contractor Assumptions'!$F8),0) + IFERROR(SUMIFS(uwmp_table_4_2_r!M$2:M$9900,uwmp_table_4_2_r!$G$2:$G$9900,"wholesalers with a small volume of retail sales",uwmp_table_4_2_r!$B$2:$B$9900,'Contractor Assumptions'!$F8),0)
+ IFERROR(SUMIFS(uwmp_table_4_2_w!M$2:M$9900,uwmp_table_4_2_w!$G$2:$G$9900,"Sales to other agencies",uwmp_table_4_2_w!$B$2:$B$9900,'Contractor Assumptions'!$F8),0) + IFERROR(SUMIFS(uwmp_table_4_2_r!M$2:M$9900,uwmp_table_4_2_r!$G$2:$G$9900,"Sales to other agencies",uwmp_table_4_2_r!$B$2:$B$9900,'Contractor Assumptions'!$F8),0)
+ IFERROR(SUMIFS(uwmp_table_4_2_w!M$2:M$9900,uwmp_table_4_2_w!$G$2:$G$9900,"Exchanges to other agencies",uwmp_table_4_2_w!$B$2:$B$9900,'Contractor Assumptions'!$F8),0) + IFERROR(SUMIFS(uwmp_table_4_2_r!M$2:M$9900,uwmp_table_4_2_r!$G$2:$G$9900,"Exchanges to other agencies",uwmp_table_4_2_r!$B$2:$B$9900,'Contractor Assumptions'!$F8),0)
)*IFERROR(VLOOKUP(VLOOKUP('Contractor Assumptions'!$F8,uwmp_table_4_2_r!$B$2:$N$9900,13,FALSE),$A$11:$C$13,2,FALSE), VLOOKUP(VLOOKUP('Contractor Assumptions'!$F8,uwmp_table_4_2_w!$B$2:$N$9900,14,FALSE),$A$11:$C$13,2,FALSE))</f>
        <v>1048</v>
      </c>
      <c r="I537" s="66"/>
      <c r="J537" s="70"/>
      <c r="K537" s="70"/>
      <c r="L537" s="70"/>
      <c r="M537" s="70"/>
      <c r="N537" s="70"/>
      <c r="O537" s="70"/>
      <c r="P537" s="70"/>
    </row>
    <row r="538" spans="1:16" hidden="1" outlineLevel="1" x14ac:dyDescent="0.3">
      <c r="A538" s="63" t="s">
        <v>1026</v>
      </c>
      <c r="B538" s="63" t="s">
        <v>855</v>
      </c>
      <c r="C538" s="63" t="str">
        <f t="shared" si="11"/>
        <v>City of Roseville</v>
      </c>
      <c r="D538" s="472">
        <f>(IFERROR(SUMIFS(uwmp_table_4_2_w!I$2:I$9900,uwmp_table_4_2_w!$G$2:$G$9900,"Losses",uwmp_table_4_2_w!$B$2:$B$9900,'Contractor Assumptions'!$F9),0) + IFERROR(SUMIFS(uwmp_table_4_2_r!I$2:I$9900,uwmp_table_4_2_r!$G$2:$G$9900,"Losses",uwmp_table_4_2_r!$B$2:$B$9900,'Contractor Assumptions'!$F9),0)
+ IFERROR(SUMIFS(uwmp_table_4_2_w!I$2:I$9900,uwmp_table_4_2_w!$G$2:$G$9900,"Other Potable",uwmp_table_4_2_w!$B$2:$B$9900,'Contractor Assumptions'!$F9),0) + IFERROR(SUMIFS(uwmp_table_4_2_r!I$2:I$9900,uwmp_table_4_2_r!$G$2:$G$9900,"Other Potable",uwmp_table_4_2_r!$B$2:$B$9900,'Contractor Assumptions'!$F9),0)
+ IFERROR(SUMIFS(uwmp_table_4_2_w!I$2:I$9900,uwmp_table_4_2_w!$G$2:$G$9900,"Other",uwmp_table_4_2_w!$B$2:$B$9900,'Contractor Assumptions'!$F9),0) + IFERROR(SUMIFS(uwmp_table_4_2_r!I$2:I$9900,uwmp_table_4_2_r!$G$2:$G$9900,"Other",uwmp_table_4_2_r!$B$2:$B$9900,'Contractor Assumptions'!$F9),0)
+ IFERROR(SUMIFS(uwmp_table_4_2_w!I$2:I$9900,uwmp_table_4_2_w!$G$2:$G$9900,"Sales/Transfers/Exchanges to other agencies",uwmp_table_4_2_w!$B$2:$B$9900,'Contractor Assumptions'!$F9),0) + IFERROR(SUMIFS(uwmp_table_4_2_r!I$2:I$9900,uwmp_table_4_2_r!$G$2:$G$9900,"Sales/Transfers/Exchanges to other agencies",uwmp_table_4_2_r!$B$2:$B$9900,'Contractor Assumptions'!$F9),0)
+ IFERROR(SUMIFS(uwmp_table_4_2_w!I$2:I$9900,uwmp_table_4_2_w!$G$2:$G$9900,"Other Non-Potable",uwmp_table_4_2_w!$B$2:$B$9900,'Contractor Assumptions'!$F9),0) + IFERROR(SUMIFS(uwmp_table_4_2_r!I$2:I$9900,uwmp_table_4_2_r!$G$2:$G$9900,"Other Non-Potable",uwmp_table_4_2_r!$B$2:$B$9900,'Contractor Assumptions'!$F9),0)
+ IFERROR(SUMIFS(uwmp_table_4_2_w!I$2:I$9900,uwmp_table_4_2_w!$G$2:$G$9900,"Wetlands or wildlife habitat",uwmp_table_4_2_w!$B$2:$B$9900,'Contractor Assumptions'!$F9),0) + IFERROR(SUMIFS(uwmp_table_4_2_r!I$2:I$9900,uwmp_table_4_2_r!$G$2:$G$9900,"Wetlands or wildlife habitat",uwmp_table_4_2_r!$B$2:$B$9900,'Contractor Assumptions'!$F9),0)
+ IFERROR(SUMIFS(uwmp_table_4_2_w!I$2:I$9900,uwmp_table_4_2_w!$G$2:$G$9900,"Saline water intrusion barrier",uwmp_table_4_2_w!$B$2:$B$9900,'Contractor Assumptions'!$F9),0) + IFERROR(SUMIFS(uwmp_table_4_2_r!I$2:I$9900,uwmp_table_4_2_r!$G$2:$G$9900,"Saline water intrusion barrier",uwmp_table_4_2_r!$B$2:$B$9900,'Contractor Assumptions'!$F9),0)
+ IFERROR(SUMIFS(uwmp_table_4_2_w!I$2:I$9900,uwmp_table_4_2_w!$G$2:$G$9900,"Groundwater recharge",uwmp_table_4_2_w!$B$2:$B$9900,'Contractor Assumptions'!$F9),0) + IFERROR(SUMIFS(uwmp_table_4_2_r!I$2:I$9900,uwmp_table_4_2_r!$G$2:$G$9900,"Groundwater recharge",uwmp_table_4_2_r!$B$2:$B$9900,'Contractor Assumptions'!$F9),0)
+ IFERROR(SUMIFS(uwmp_table_4_2_w!I$2:I$9900,uwmp_table_4_2_w!$G$2:$G$9900,"Retail demand for use by agencies that are primarily",uwmp_table_4_2_w!$B$2:$B$9900,'Contractor Assumptions'!$F9),0) + IFERROR(SUMIFS(uwmp_table_4_2_r!I$2:I$9900,uwmp_table_4_2_r!$G$2:$G$9900,"Retail demand for use by agencies that are primarily",uwmp_table_4_2_r!$B$2:$B$9900,'Contractor Assumptions'!$F9),0)
+ IFERROR(SUMIFS(uwmp_table_4_2_w!I$2:I$9900,uwmp_table_4_2_w!$G$2:$G$9900,"wholesalers with a small volume of retail sales",uwmp_table_4_2_w!$B$2:$B$9900,'Contractor Assumptions'!$F9),0) + IFERROR(SUMIFS(uwmp_table_4_2_r!I$2:I$9900,uwmp_table_4_2_r!$G$2:$G$9900,"wholesalers with a small volume of retail sales",uwmp_table_4_2_r!$B$2:$B$9900,'Contractor Assumptions'!$F9),0)
+ IFERROR(SUMIFS(uwmp_table_4_2_w!I$2:I$9900,uwmp_table_4_2_w!$G$2:$G$9900,"Sales to other agencies",uwmp_table_4_2_w!$B$2:$B$9900,'Contractor Assumptions'!$F9),0) + IFERROR(SUMIFS(uwmp_table_4_2_r!I$2:I$9900,uwmp_table_4_2_r!$G$2:$G$9900,"Sales to other agencies",uwmp_table_4_2_r!$B$2:$B$9900,'Contractor Assumptions'!$F9),0)
+ IFERROR(SUMIFS(uwmp_table_4_2_w!I$2:I$9900,uwmp_table_4_2_w!$G$2:$G$9900,"Exchanges to other agencies",uwmp_table_4_2_w!$B$2:$B$9900,'Contractor Assumptions'!$F9),0) + IFERROR(SUMIFS(uwmp_table_4_2_r!I$2:I$9900,uwmp_table_4_2_r!$G$2:$G$9900,"Exchanges to other agencies",uwmp_table_4_2_r!$B$2:$B$9900,'Contractor Assumptions'!$F9),0)
)*IFERROR(VLOOKUP(VLOOKUP('Contractor Assumptions'!$F9,uwmp_table_4_2_r!$B$2:$N$9900,13,FALSE),$A$11:$C$13,2,FALSE), VLOOKUP(VLOOKUP('Contractor Assumptions'!$F9,uwmp_table_4_2_w!$B$2:$N$9900,14,FALSE),$A$11:$C$13,2,FALSE))</f>
        <v>3393</v>
      </c>
      <c r="E538" s="472">
        <f>(IFERROR(SUMIFS(uwmp_table_4_2_w!J$2:J$9900,uwmp_table_4_2_w!$G$2:$G$9900,"Losses",uwmp_table_4_2_w!$B$2:$B$9900,'Contractor Assumptions'!$F9),0) + IFERROR(SUMIFS(uwmp_table_4_2_r!J$2:J$9900,uwmp_table_4_2_r!$G$2:$G$9900,"Losses",uwmp_table_4_2_r!$B$2:$B$9900,'Contractor Assumptions'!$F9),0)
+ IFERROR(SUMIFS(uwmp_table_4_2_w!J$2:J$9900,uwmp_table_4_2_w!$G$2:$G$9900,"Other Potable",uwmp_table_4_2_w!$B$2:$B$9900,'Contractor Assumptions'!$F9),0) + IFERROR(SUMIFS(uwmp_table_4_2_r!J$2:J$9900,uwmp_table_4_2_r!$G$2:$G$9900,"Other Potable",uwmp_table_4_2_r!$B$2:$B$9900,'Contractor Assumptions'!$F9),0)
+ IFERROR(SUMIFS(uwmp_table_4_2_w!J$2:J$9900,uwmp_table_4_2_w!$G$2:$G$9900,"Other",uwmp_table_4_2_w!$B$2:$B$9900,'Contractor Assumptions'!$F9),0) + IFERROR(SUMIFS(uwmp_table_4_2_r!J$2:J$9900,uwmp_table_4_2_r!$G$2:$G$9900,"Other",uwmp_table_4_2_r!$B$2:$B$9900,'Contractor Assumptions'!$F9),0)
+ IFERROR(SUMIFS(uwmp_table_4_2_w!J$2:J$9900,uwmp_table_4_2_w!$G$2:$G$9900,"Sales/Transfers/Exchanges to other agencies",uwmp_table_4_2_w!$B$2:$B$9900,'Contractor Assumptions'!$F9),0) + IFERROR(SUMIFS(uwmp_table_4_2_r!J$2:J$9900,uwmp_table_4_2_r!$G$2:$G$9900,"Sales/Transfers/Exchanges to other agencies",uwmp_table_4_2_r!$B$2:$B$9900,'Contractor Assumptions'!$F9),0)
+ IFERROR(SUMIFS(uwmp_table_4_2_w!J$2:J$9900,uwmp_table_4_2_w!$G$2:$G$9900,"Other Non-Potable",uwmp_table_4_2_w!$B$2:$B$9900,'Contractor Assumptions'!$F9),0) + IFERROR(SUMIFS(uwmp_table_4_2_r!J$2:J$9900,uwmp_table_4_2_r!$G$2:$G$9900,"Other Non-Potable",uwmp_table_4_2_r!$B$2:$B$9900,'Contractor Assumptions'!$F9),0)
+ IFERROR(SUMIFS(uwmp_table_4_2_w!J$2:J$9900,uwmp_table_4_2_w!$G$2:$G$9900,"Wetlands or wildlife habitat",uwmp_table_4_2_w!$B$2:$B$9900,'Contractor Assumptions'!$F9),0) + IFERROR(SUMIFS(uwmp_table_4_2_r!J$2:J$9900,uwmp_table_4_2_r!$G$2:$G$9900,"Wetlands or wildlife habitat",uwmp_table_4_2_r!$B$2:$B$9900,'Contractor Assumptions'!$F9),0)
+ IFERROR(SUMIFS(uwmp_table_4_2_w!J$2:J$9900,uwmp_table_4_2_w!$G$2:$G$9900,"Saline water intrusion barrier",uwmp_table_4_2_w!$B$2:$B$9900,'Contractor Assumptions'!$F9),0) + IFERROR(SUMIFS(uwmp_table_4_2_r!J$2:J$9900,uwmp_table_4_2_r!$G$2:$G$9900,"Saline water intrusion barrier",uwmp_table_4_2_r!$B$2:$B$9900,'Contractor Assumptions'!$F9),0)
+ IFERROR(SUMIFS(uwmp_table_4_2_w!J$2:J$9900,uwmp_table_4_2_w!$G$2:$G$9900,"Groundwater recharge",uwmp_table_4_2_w!$B$2:$B$9900,'Contractor Assumptions'!$F9),0) + IFERROR(SUMIFS(uwmp_table_4_2_r!J$2:J$9900,uwmp_table_4_2_r!$G$2:$G$9900,"Groundwater recharge",uwmp_table_4_2_r!$B$2:$B$9900,'Contractor Assumptions'!$F9),0)
+ IFERROR(SUMIFS(uwmp_table_4_2_w!J$2:J$9900,uwmp_table_4_2_w!$G$2:$G$9900,"Retail demand for use by agencies that are primarily",uwmp_table_4_2_w!$B$2:$B$9900,'Contractor Assumptions'!$F9),0) + IFERROR(SUMIFS(uwmp_table_4_2_r!J$2:J$9900,uwmp_table_4_2_r!$G$2:$G$9900,"Retail demand for use by agencies that are primarily",uwmp_table_4_2_r!$B$2:$B$9900,'Contractor Assumptions'!$F9),0)
+ IFERROR(SUMIFS(uwmp_table_4_2_w!J$2:J$9900,uwmp_table_4_2_w!$G$2:$G$9900,"wholesalers with a small volume of retail sales",uwmp_table_4_2_w!$B$2:$B$9900,'Contractor Assumptions'!$F9),0) + IFERROR(SUMIFS(uwmp_table_4_2_r!J$2:J$9900,uwmp_table_4_2_r!$G$2:$G$9900,"wholesalers with a small volume of retail sales",uwmp_table_4_2_r!$B$2:$B$9900,'Contractor Assumptions'!$F9),0)
+ IFERROR(SUMIFS(uwmp_table_4_2_w!J$2:J$9900,uwmp_table_4_2_w!$G$2:$G$9900,"Sales to other agencies",uwmp_table_4_2_w!$B$2:$B$9900,'Contractor Assumptions'!$F9),0) + IFERROR(SUMIFS(uwmp_table_4_2_r!J$2:J$9900,uwmp_table_4_2_r!$G$2:$G$9900,"Sales to other agencies",uwmp_table_4_2_r!$B$2:$B$9900,'Contractor Assumptions'!$F9),0)
+ IFERROR(SUMIFS(uwmp_table_4_2_w!J$2:J$9900,uwmp_table_4_2_w!$G$2:$G$9900,"Exchanges to other agencies",uwmp_table_4_2_w!$B$2:$B$9900,'Contractor Assumptions'!$F9),0) + IFERROR(SUMIFS(uwmp_table_4_2_r!J$2:J$9900,uwmp_table_4_2_r!$G$2:$G$9900,"Exchanges to other agencies",uwmp_table_4_2_r!$B$2:$B$9900,'Contractor Assumptions'!$F9),0)
)*IFERROR(VLOOKUP(VLOOKUP('Contractor Assumptions'!$F9,uwmp_table_4_2_r!$B$2:$N$9900,13,FALSE),$A$11:$C$13,2,FALSE), VLOOKUP(VLOOKUP('Contractor Assumptions'!$F9,uwmp_table_4_2_w!$B$2:$N$9900,14,FALSE),$A$11:$C$13,2,FALSE))</f>
        <v>4525</v>
      </c>
      <c r="F538" s="472">
        <f>(IFERROR(SUMIFS(uwmp_table_4_2_w!K$2:K$9900,uwmp_table_4_2_w!$G$2:$G$9900,"Losses",uwmp_table_4_2_w!$B$2:$B$9900,'Contractor Assumptions'!$F9),0) + IFERROR(SUMIFS(uwmp_table_4_2_r!K$2:K$9900,uwmp_table_4_2_r!$G$2:$G$9900,"Losses",uwmp_table_4_2_r!$B$2:$B$9900,'Contractor Assumptions'!$F9),0)
+ IFERROR(SUMIFS(uwmp_table_4_2_w!K$2:K$9900,uwmp_table_4_2_w!$G$2:$G$9900,"Other Potable",uwmp_table_4_2_w!$B$2:$B$9900,'Contractor Assumptions'!$F9),0) + IFERROR(SUMIFS(uwmp_table_4_2_r!K$2:K$9900,uwmp_table_4_2_r!$G$2:$G$9900,"Other Potable",uwmp_table_4_2_r!$B$2:$B$9900,'Contractor Assumptions'!$F9),0)
+ IFERROR(SUMIFS(uwmp_table_4_2_w!K$2:K$9900,uwmp_table_4_2_w!$G$2:$G$9900,"Other",uwmp_table_4_2_w!$B$2:$B$9900,'Contractor Assumptions'!$F9),0) + IFERROR(SUMIFS(uwmp_table_4_2_r!K$2:K$9900,uwmp_table_4_2_r!$G$2:$G$9900,"Other",uwmp_table_4_2_r!$B$2:$B$9900,'Contractor Assumptions'!$F9),0)
+ IFERROR(SUMIFS(uwmp_table_4_2_w!K$2:K$9900,uwmp_table_4_2_w!$G$2:$G$9900,"Sales/Transfers/Exchanges to other agencies",uwmp_table_4_2_w!$B$2:$B$9900,'Contractor Assumptions'!$F9),0) + IFERROR(SUMIFS(uwmp_table_4_2_r!K$2:K$9900,uwmp_table_4_2_r!$G$2:$G$9900,"Sales/Transfers/Exchanges to other agencies",uwmp_table_4_2_r!$B$2:$B$9900,'Contractor Assumptions'!$F9),0)
+ IFERROR(SUMIFS(uwmp_table_4_2_w!K$2:K$9900,uwmp_table_4_2_w!$G$2:$G$9900,"Other Non-Potable",uwmp_table_4_2_w!$B$2:$B$9900,'Contractor Assumptions'!$F9),0) + IFERROR(SUMIFS(uwmp_table_4_2_r!K$2:K$9900,uwmp_table_4_2_r!$G$2:$G$9900,"Other Non-Potable",uwmp_table_4_2_r!$B$2:$B$9900,'Contractor Assumptions'!$F9),0)
+ IFERROR(SUMIFS(uwmp_table_4_2_w!K$2:K$9900,uwmp_table_4_2_w!$G$2:$G$9900,"Wetlands or wildlife habitat",uwmp_table_4_2_w!$B$2:$B$9900,'Contractor Assumptions'!$F9),0) + IFERROR(SUMIFS(uwmp_table_4_2_r!K$2:K$9900,uwmp_table_4_2_r!$G$2:$G$9900,"Wetlands or wildlife habitat",uwmp_table_4_2_r!$B$2:$B$9900,'Contractor Assumptions'!$F9),0)
+ IFERROR(SUMIFS(uwmp_table_4_2_w!K$2:K$9900,uwmp_table_4_2_w!$G$2:$G$9900,"Saline water intrusion barrier",uwmp_table_4_2_w!$B$2:$B$9900,'Contractor Assumptions'!$F9),0) + IFERROR(SUMIFS(uwmp_table_4_2_r!K$2:K$9900,uwmp_table_4_2_r!$G$2:$G$9900,"Saline water intrusion barrier",uwmp_table_4_2_r!$B$2:$B$9900,'Contractor Assumptions'!$F9),0)
+ IFERROR(SUMIFS(uwmp_table_4_2_w!K$2:K$9900,uwmp_table_4_2_w!$G$2:$G$9900,"Groundwater recharge",uwmp_table_4_2_w!$B$2:$B$9900,'Contractor Assumptions'!$F9),0) + IFERROR(SUMIFS(uwmp_table_4_2_r!K$2:K$9900,uwmp_table_4_2_r!$G$2:$G$9900,"Groundwater recharge",uwmp_table_4_2_r!$B$2:$B$9900,'Contractor Assumptions'!$F9),0)
+ IFERROR(SUMIFS(uwmp_table_4_2_w!K$2:K$9900,uwmp_table_4_2_w!$G$2:$G$9900,"Retail demand for use by agencies that are primarily",uwmp_table_4_2_w!$B$2:$B$9900,'Contractor Assumptions'!$F9),0) + IFERROR(SUMIFS(uwmp_table_4_2_r!K$2:K$9900,uwmp_table_4_2_r!$G$2:$G$9900,"Retail demand for use by agencies that are primarily",uwmp_table_4_2_r!$B$2:$B$9900,'Contractor Assumptions'!$F9),0)
+ IFERROR(SUMIFS(uwmp_table_4_2_w!K$2:K$9900,uwmp_table_4_2_w!$G$2:$G$9900,"wholesalers with a small volume of retail sales",uwmp_table_4_2_w!$B$2:$B$9900,'Contractor Assumptions'!$F9),0) + IFERROR(SUMIFS(uwmp_table_4_2_r!K$2:K$9900,uwmp_table_4_2_r!$G$2:$G$9900,"wholesalers with a small volume of retail sales",uwmp_table_4_2_r!$B$2:$B$9900,'Contractor Assumptions'!$F9),0)
+ IFERROR(SUMIFS(uwmp_table_4_2_w!K$2:K$9900,uwmp_table_4_2_w!$G$2:$G$9900,"Sales to other agencies",uwmp_table_4_2_w!$B$2:$B$9900,'Contractor Assumptions'!$F9),0) + IFERROR(SUMIFS(uwmp_table_4_2_r!K$2:K$9900,uwmp_table_4_2_r!$G$2:$G$9900,"Sales to other agencies",uwmp_table_4_2_r!$B$2:$B$9900,'Contractor Assumptions'!$F9),0)
+ IFERROR(SUMIFS(uwmp_table_4_2_w!K$2:K$9900,uwmp_table_4_2_w!$G$2:$G$9900,"Exchanges to other agencies",uwmp_table_4_2_w!$B$2:$B$9900,'Contractor Assumptions'!$F9),0) + IFERROR(SUMIFS(uwmp_table_4_2_r!K$2:K$9900,uwmp_table_4_2_r!$G$2:$G$9900,"Exchanges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G538" s="472">
        <f>(IFERROR(SUMIFS(uwmp_table_4_2_w!L$2:L$9900,uwmp_table_4_2_w!$G$2:$G$9900,"Losses",uwmp_table_4_2_w!$B$2:$B$9900,'Contractor Assumptions'!$F9),0) + IFERROR(SUMIFS(uwmp_table_4_2_r!L$2:L$9900,uwmp_table_4_2_r!$G$2:$G$9900,"Losses",uwmp_table_4_2_r!$B$2:$B$9900,'Contractor Assumptions'!$F9),0)
+ IFERROR(SUMIFS(uwmp_table_4_2_w!L$2:L$9900,uwmp_table_4_2_w!$G$2:$G$9900,"Other Potable",uwmp_table_4_2_w!$B$2:$B$9900,'Contractor Assumptions'!$F9),0) + IFERROR(SUMIFS(uwmp_table_4_2_r!L$2:L$9900,uwmp_table_4_2_r!$G$2:$G$9900,"Other Potable",uwmp_table_4_2_r!$B$2:$B$9900,'Contractor Assumptions'!$F9),0)
+ IFERROR(SUMIFS(uwmp_table_4_2_w!L$2:L$9900,uwmp_table_4_2_w!$G$2:$G$9900,"Other",uwmp_table_4_2_w!$B$2:$B$9900,'Contractor Assumptions'!$F9),0) + IFERROR(SUMIFS(uwmp_table_4_2_r!L$2:L$9900,uwmp_table_4_2_r!$G$2:$G$9900,"Other",uwmp_table_4_2_r!$B$2:$B$9900,'Contractor Assumptions'!$F9),0)
+ IFERROR(SUMIFS(uwmp_table_4_2_w!L$2:L$9900,uwmp_table_4_2_w!$G$2:$G$9900,"Sales/Transfers/Exchanges to other agencies",uwmp_table_4_2_w!$B$2:$B$9900,'Contractor Assumptions'!$F9),0) + IFERROR(SUMIFS(uwmp_table_4_2_r!L$2:L$9900,uwmp_table_4_2_r!$G$2:$G$9900,"Sales/Transfers/Exchanges to other agencies",uwmp_table_4_2_r!$B$2:$B$9900,'Contractor Assumptions'!$F9),0)
+ IFERROR(SUMIFS(uwmp_table_4_2_w!L$2:L$9900,uwmp_table_4_2_w!$G$2:$G$9900,"Other Non-Potable",uwmp_table_4_2_w!$B$2:$B$9900,'Contractor Assumptions'!$F9),0) + IFERROR(SUMIFS(uwmp_table_4_2_r!L$2:L$9900,uwmp_table_4_2_r!$G$2:$G$9900,"Other Non-Potable",uwmp_table_4_2_r!$B$2:$B$9900,'Contractor Assumptions'!$F9),0)
+ IFERROR(SUMIFS(uwmp_table_4_2_w!L$2:L$9900,uwmp_table_4_2_w!$G$2:$G$9900,"Wetlands or wildlife habitat",uwmp_table_4_2_w!$B$2:$B$9900,'Contractor Assumptions'!$F9),0) + IFERROR(SUMIFS(uwmp_table_4_2_r!L$2:L$9900,uwmp_table_4_2_r!$G$2:$G$9900,"Wetlands or wildlife habitat",uwmp_table_4_2_r!$B$2:$B$9900,'Contractor Assumptions'!$F9),0)
+ IFERROR(SUMIFS(uwmp_table_4_2_w!L$2:L$9900,uwmp_table_4_2_w!$G$2:$G$9900,"Saline water intrusion barrier",uwmp_table_4_2_w!$B$2:$B$9900,'Contractor Assumptions'!$F9),0) + IFERROR(SUMIFS(uwmp_table_4_2_r!L$2:L$9900,uwmp_table_4_2_r!$G$2:$G$9900,"Saline water intrusion barrier",uwmp_table_4_2_r!$B$2:$B$9900,'Contractor Assumptions'!$F9),0)
+ IFERROR(SUMIFS(uwmp_table_4_2_w!L$2:L$9900,uwmp_table_4_2_w!$G$2:$G$9900,"Groundwater recharge",uwmp_table_4_2_w!$B$2:$B$9900,'Contractor Assumptions'!$F9),0) + IFERROR(SUMIFS(uwmp_table_4_2_r!L$2:L$9900,uwmp_table_4_2_r!$G$2:$G$9900,"Groundwater recharge",uwmp_table_4_2_r!$B$2:$B$9900,'Contractor Assumptions'!$F9),0)
+ IFERROR(SUMIFS(uwmp_table_4_2_w!L$2:L$9900,uwmp_table_4_2_w!$G$2:$G$9900,"Retail demand for use by agencies that are primarily",uwmp_table_4_2_w!$B$2:$B$9900,'Contractor Assumptions'!$F9),0) + IFERROR(SUMIFS(uwmp_table_4_2_r!L$2:L$9900,uwmp_table_4_2_r!$G$2:$G$9900,"Retail demand for use by agencies that are primarily",uwmp_table_4_2_r!$B$2:$B$9900,'Contractor Assumptions'!$F9),0)
+ IFERROR(SUMIFS(uwmp_table_4_2_w!L$2:L$9900,uwmp_table_4_2_w!$G$2:$G$9900,"wholesalers with a small volume of retail sales",uwmp_table_4_2_w!$B$2:$B$9900,'Contractor Assumptions'!$F9),0) + IFERROR(SUMIFS(uwmp_table_4_2_r!L$2:L$9900,uwmp_table_4_2_r!$G$2:$G$9900,"wholesalers with a small volume of retail sales",uwmp_table_4_2_r!$B$2:$B$9900,'Contractor Assumptions'!$F9),0)
+ IFERROR(SUMIFS(uwmp_table_4_2_w!L$2:L$9900,uwmp_table_4_2_w!$G$2:$G$9900,"Sales to other agencies",uwmp_table_4_2_w!$B$2:$B$9900,'Contractor Assumptions'!$F9),0) + IFERROR(SUMIFS(uwmp_table_4_2_r!L$2:L$9900,uwmp_table_4_2_r!$G$2:$G$9900,"Sales to other agencies",uwmp_table_4_2_r!$B$2:$B$9900,'Contractor Assumptions'!$F9),0)
+ IFERROR(SUMIFS(uwmp_table_4_2_w!L$2:L$9900,uwmp_table_4_2_w!$G$2:$G$9900,"Exchanges to other agencies",uwmp_table_4_2_w!$B$2:$B$9900,'Contractor Assumptions'!$F9),0) + IFERROR(SUMIFS(uwmp_table_4_2_r!L$2:L$9900,uwmp_table_4_2_r!$G$2:$G$9900,"Exchanges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H538" s="520">
        <f>(IFERROR(SUMIFS(uwmp_table_4_2_w!M$2:M$9900,uwmp_table_4_2_w!$G$2:$G$9900,"Losses",uwmp_table_4_2_w!$B$2:$B$9900,'Contractor Assumptions'!$F9),0) + IFERROR(SUMIFS(uwmp_table_4_2_r!M$2:M$9900,uwmp_table_4_2_r!$G$2:$G$9900,"Losses",uwmp_table_4_2_r!$B$2:$B$9900,'Contractor Assumptions'!$F9),0)
+ IFERROR(SUMIFS(uwmp_table_4_2_w!M$2:M$9900,uwmp_table_4_2_w!$G$2:$G$9900,"Other Potable",uwmp_table_4_2_w!$B$2:$B$9900,'Contractor Assumptions'!$F9),0) + IFERROR(SUMIFS(uwmp_table_4_2_r!M$2:M$9900,uwmp_table_4_2_r!$G$2:$G$9900,"Other Potable",uwmp_table_4_2_r!$B$2:$B$9900,'Contractor Assumptions'!$F9),0)
+ IFERROR(SUMIFS(uwmp_table_4_2_w!M$2:M$9900,uwmp_table_4_2_w!$G$2:$G$9900,"Other",uwmp_table_4_2_w!$B$2:$B$9900,'Contractor Assumptions'!$F9),0) + IFERROR(SUMIFS(uwmp_table_4_2_r!M$2:M$9900,uwmp_table_4_2_r!$G$2:$G$9900,"Other",uwmp_table_4_2_r!$B$2:$B$9900,'Contractor Assumptions'!$F9),0)
+ IFERROR(SUMIFS(uwmp_table_4_2_w!M$2:M$9900,uwmp_table_4_2_w!$G$2:$G$9900,"Sales/Transfers/Exchanges to other agencies",uwmp_table_4_2_w!$B$2:$B$9900,'Contractor Assumptions'!$F9),0) + IFERROR(SUMIFS(uwmp_table_4_2_r!M$2:M$9900,uwmp_table_4_2_r!$G$2:$G$9900,"Sales/Transfers/Exchanges to other agencies",uwmp_table_4_2_r!$B$2:$B$9900,'Contractor Assumptions'!$F9),0)
+ IFERROR(SUMIFS(uwmp_table_4_2_w!M$2:M$9900,uwmp_table_4_2_w!$G$2:$G$9900,"Other Non-Potable",uwmp_table_4_2_w!$B$2:$B$9900,'Contractor Assumptions'!$F9),0) + IFERROR(SUMIFS(uwmp_table_4_2_r!M$2:M$9900,uwmp_table_4_2_r!$G$2:$G$9900,"Other Non-Potable",uwmp_table_4_2_r!$B$2:$B$9900,'Contractor Assumptions'!$F9),0)
+ IFERROR(SUMIFS(uwmp_table_4_2_w!M$2:M$9900,uwmp_table_4_2_w!$G$2:$G$9900,"Wetlands or wildlife habitat",uwmp_table_4_2_w!$B$2:$B$9900,'Contractor Assumptions'!$F9),0) + IFERROR(SUMIFS(uwmp_table_4_2_r!M$2:M$9900,uwmp_table_4_2_r!$G$2:$G$9900,"Wetlands or wildlife habitat",uwmp_table_4_2_r!$B$2:$B$9900,'Contractor Assumptions'!$F9),0)
+ IFERROR(SUMIFS(uwmp_table_4_2_w!M$2:M$9900,uwmp_table_4_2_w!$G$2:$G$9900,"Saline water intrusion barrier",uwmp_table_4_2_w!$B$2:$B$9900,'Contractor Assumptions'!$F9),0) + IFERROR(SUMIFS(uwmp_table_4_2_r!M$2:M$9900,uwmp_table_4_2_r!$G$2:$G$9900,"Saline water intrusion barrier",uwmp_table_4_2_r!$B$2:$B$9900,'Contractor Assumptions'!$F9),0)
+ IFERROR(SUMIFS(uwmp_table_4_2_w!M$2:M$9900,uwmp_table_4_2_w!$G$2:$G$9900,"Groundwater recharge",uwmp_table_4_2_w!$B$2:$B$9900,'Contractor Assumptions'!$F9),0) + IFERROR(SUMIFS(uwmp_table_4_2_r!M$2:M$9900,uwmp_table_4_2_r!$G$2:$G$9900,"Groundwater recharge",uwmp_table_4_2_r!$B$2:$B$9900,'Contractor Assumptions'!$F9),0)
+ IFERROR(SUMIFS(uwmp_table_4_2_w!M$2:M$9900,uwmp_table_4_2_w!$G$2:$G$9900,"Retail demand for use by agencies that are primarily",uwmp_table_4_2_w!$B$2:$B$9900,'Contractor Assumptions'!$F9),0) + IFERROR(SUMIFS(uwmp_table_4_2_r!M$2:M$9900,uwmp_table_4_2_r!$G$2:$G$9900,"Retail demand for use by agencies that are primarily",uwmp_table_4_2_r!$B$2:$B$9900,'Contractor Assumptions'!$F9),0)
+ IFERROR(SUMIFS(uwmp_table_4_2_w!M$2:M$9900,uwmp_table_4_2_w!$G$2:$G$9900,"wholesalers with a small volume of retail sales",uwmp_table_4_2_w!$B$2:$B$9900,'Contractor Assumptions'!$F9),0) + IFERROR(SUMIFS(uwmp_table_4_2_r!M$2:M$9900,uwmp_table_4_2_r!$G$2:$G$9900,"wholesalers with a small volume of retail sales",uwmp_table_4_2_r!$B$2:$B$9900,'Contractor Assumptions'!$F9),0)
+ IFERROR(SUMIFS(uwmp_table_4_2_w!M$2:M$9900,uwmp_table_4_2_w!$G$2:$G$9900,"Sales to other agencies",uwmp_table_4_2_w!$B$2:$B$9900,'Contractor Assumptions'!$F9),0) + IFERROR(SUMIFS(uwmp_table_4_2_r!M$2:M$9900,uwmp_table_4_2_r!$G$2:$G$9900,"Sales to other agencies",uwmp_table_4_2_r!$B$2:$B$9900,'Contractor Assumptions'!$F9),0)
+ IFERROR(SUMIFS(uwmp_table_4_2_w!M$2:M$9900,uwmp_table_4_2_w!$G$2:$G$9900,"Exchanges to other agencies",uwmp_table_4_2_w!$B$2:$B$9900,'Contractor Assumptions'!$F9),0) + IFERROR(SUMIFS(uwmp_table_4_2_r!M$2:M$9900,uwmp_table_4_2_r!$G$2:$G$9900,"Exchanges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I538" s="66" t="s">
        <v>1006</v>
      </c>
      <c r="J538" s="70"/>
      <c r="K538" s="70"/>
      <c r="L538" s="70"/>
      <c r="M538" s="70"/>
      <c r="N538" s="70"/>
      <c r="O538" s="70"/>
      <c r="P538" s="70"/>
    </row>
    <row r="539" spans="1:16" hidden="1" outlineLevel="1" x14ac:dyDescent="0.3">
      <c r="A539" s="63" t="s">
        <v>1026</v>
      </c>
      <c r="B539" s="63" t="s">
        <v>855</v>
      </c>
      <c r="C539" s="63" t="str">
        <f t="shared" si="11"/>
        <v>City of West Sacramento</v>
      </c>
      <c r="D539" s="472">
        <f>(IFERROR(SUMIFS(uwmp_table_4_2_w!I$2:I$9900,uwmp_table_4_2_w!$G$2:$G$9900,"Losses",uwmp_table_4_2_w!$B$2:$B$9900,'Contractor Assumptions'!$F10),0) + IFERROR(SUMIFS(uwmp_table_4_2_r!I$2:I$9900,uwmp_table_4_2_r!$G$2:$G$9900,"Losses",uwmp_table_4_2_r!$B$2:$B$9900,'Contractor Assumptions'!$F10),0)
+ IFERROR(SUMIFS(uwmp_table_4_2_w!I$2:I$9900,uwmp_table_4_2_w!$G$2:$G$9900,"Other Potable",uwmp_table_4_2_w!$B$2:$B$9900,'Contractor Assumptions'!$F10),0) + IFERROR(SUMIFS(uwmp_table_4_2_r!I$2:I$9900,uwmp_table_4_2_r!$G$2:$G$9900,"Other Potable",uwmp_table_4_2_r!$B$2:$B$9900,'Contractor Assumptions'!$F10),0)
+ IFERROR(SUMIFS(uwmp_table_4_2_w!I$2:I$9900,uwmp_table_4_2_w!$G$2:$G$9900,"Other",uwmp_table_4_2_w!$B$2:$B$9900,'Contractor Assumptions'!$F10),0) + IFERROR(SUMIFS(uwmp_table_4_2_r!I$2:I$9900,uwmp_table_4_2_r!$G$2:$G$9900,"Other",uwmp_table_4_2_r!$B$2:$B$9900,'Contractor Assumptions'!$F10),0)
+ IFERROR(SUMIFS(uwmp_table_4_2_w!I$2:I$9900,uwmp_table_4_2_w!$G$2:$G$9900,"Sales/Transfers/Exchanges to other agencies",uwmp_table_4_2_w!$B$2:$B$9900,'Contractor Assumptions'!$F10),0) + IFERROR(SUMIFS(uwmp_table_4_2_r!I$2:I$9900,uwmp_table_4_2_r!$G$2:$G$9900,"Sales/Transfers/Exchanges to other agencies",uwmp_table_4_2_r!$B$2:$B$9900,'Contractor Assumptions'!$F10),0)
+ IFERROR(SUMIFS(uwmp_table_4_2_w!I$2:I$9900,uwmp_table_4_2_w!$G$2:$G$9900,"Other Non-Potable",uwmp_table_4_2_w!$B$2:$B$9900,'Contractor Assumptions'!$F10),0) + IFERROR(SUMIFS(uwmp_table_4_2_r!I$2:I$9900,uwmp_table_4_2_r!$G$2:$G$9900,"Other Non-Potable",uwmp_table_4_2_r!$B$2:$B$9900,'Contractor Assumptions'!$F10),0)
+ IFERROR(SUMIFS(uwmp_table_4_2_w!I$2:I$9900,uwmp_table_4_2_w!$G$2:$G$9900,"Wetlands or wildlife habitat",uwmp_table_4_2_w!$B$2:$B$9900,'Contractor Assumptions'!$F10),0) + IFERROR(SUMIFS(uwmp_table_4_2_r!I$2:I$9900,uwmp_table_4_2_r!$G$2:$G$9900,"Wetlands or wildlife habitat",uwmp_table_4_2_r!$B$2:$B$9900,'Contractor Assumptions'!$F10),0)
+ IFERROR(SUMIFS(uwmp_table_4_2_w!I$2:I$9900,uwmp_table_4_2_w!$G$2:$G$9900,"Saline water intrusion barrier",uwmp_table_4_2_w!$B$2:$B$9900,'Contractor Assumptions'!$F10),0) + IFERROR(SUMIFS(uwmp_table_4_2_r!I$2:I$9900,uwmp_table_4_2_r!$G$2:$G$9900,"Saline water intrusion barrier",uwmp_table_4_2_r!$B$2:$B$9900,'Contractor Assumptions'!$F10),0)
+ IFERROR(SUMIFS(uwmp_table_4_2_w!I$2:I$9900,uwmp_table_4_2_w!$G$2:$G$9900,"Groundwater recharge",uwmp_table_4_2_w!$B$2:$B$9900,'Contractor Assumptions'!$F10),0) + IFERROR(SUMIFS(uwmp_table_4_2_r!I$2:I$9900,uwmp_table_4_2_r!$G$2:$G$9900,"Groundwater recharge",uwmp_table_4_2_r!$B$2:$B$9900,'Contractor Assumptions'!$F10),0)
+ IFERROR(SUMIFS(uwmp_table_4_2_w!I$2:I$9900,uwmp_table_4_2_w!$G$2:$G$9900,"Retail demand for use by agencies that are primarily",uwmp_table_4_2_w!$B$2:$B$9900,'Contractor Assumptions'!$F10),0) + IFERROR(SUMIFS(uwmp_table_4_2_r!I$2:I$9900,uwmp_table_4_2_r!$G$2:$G$9900,"Retail demand for use by agencies that are primarily",uwmp_table_4_2_r!$B$2:$B$9900,'Contractor Assumptions'!$F10),0)
+ IFERROR(SUMIFS(uwmp_table_4_2_w!I$2:I$9900,uwmp_table_4_2_w!$G$2:$G$9900,"wholesalers with a small volume of retail sales",uwmp_table_4_2_w!$B$2:$B$9900,'Contractor Assumptions'!$F10),0) + IFERROR(SUMIFS(uwmp_table_4_2_r!I$2:I$9900,uwmp_table_4_2_r!$G$2:$G$9900,"wholesalers with a small volume of retail sales",uwmp_table_4_2_r!$B$2:$B$9900,'Contractor Assumptions'!$F10),0)
+ IFERROR(SUMIFS(uwmp_table_4_2_w!I$2:I$9900,uwmp_table_4_2_w!$G$2:$G$9900,"Sales to other agencies",uwmp_table_4_2_w!$B$2:$B$9900,'Contractor Assumptions'!$F10),0) + IFERROR(SUMIFS(uwmp_table_4_2_r!I$2:I$9900,uwmp_table_4_2_r!$G$2:$G$9900,"Sales to other agencies",uwmp_table_4_2_r!$B$2:$B$9900,'Contractor Assumptions'!$F10),0)
+ IFERROR(SUMIFS(uwmp_table_4_2_w!I$2:I$9900,uwmp_table_4_2_w!$G$2:$G$9900,"Exchanges to other agencies",uwmp_table_4_2_w!$B$2:$B$9900,'Contractor Assumptions'!$F10),0) + IFERROR(SUMIFS(uwmp_table_4_2_r!I$2:I$9900,uwmp_table_4_2_r!$G$2:$G$9900,"Exchanges to other agencies",uwmp_table_4_2_r!$B$2:$B$9900,'Contractor Assumptions'!$F10),0)
)*IFERROR(VLOOKUP(VLOOKUP('Contractor Assumptions'!$F10,uwmp_table_4_2_r!$B$2:$N$9900,13,FALSE),$A$11:$C$13,2,FALSE), VLOOKUP(VLOOKUP('Contractor Assumptions'!$F10,uwmp_table_4_2_w!$B$2:$N$9900,14,FALSE),$A$11:$C$13,2,FALSE))</f>
        <v>6190</v>
      </c>
      <c r="E539" s="472">
        <f>(IFERROR(SUMIFS(uwmp_table_4_2_w!J$2:J$9900,uwmp_table_4_2_w!$G$2:$G$9900,"Losses",uwmp_table_4_2_w!$B$2:$B$9900,'Contractor Assumptions'!$F10),0) + IFERROR(SUMIFS(uwmp_table_4_2_r!J$2:J$9900,uwmp_table_4_2_r!$G$2:$G$9900,"Losses",uwmp_table_4_2_r!$B$2:$B$9900,'Contractor Assumptions'!$F10),0)
+ IFERROR(SUMIFS(uwmp_table_4_2_w!J$2:J$9900,uwmp_table_4_2_w!$G$2:$G$9900,"Other Potable",uwmp_table_4_2_w!$B$2:$B$9900,'Contractor Assumptions'!$F10),0) + IFERROR(SUMIFS(uwmp_table_4_2_r!J$2:J$9900,uwmp_table_4_2_r!$G$2:$G$9900,"Other Potable",uwmp_table_4_2_r!$B$2:$B$9900,'Contractor Assumptions'!$F10),0)
+ IFERROR(SUMIFS(uwmp_table_4_2_w!J$2:J$9900,uwmp_table_4_2_w!$G$2:$G$9900,"Other",uwmp_table_4_2_w!$B$2:$B$9900,'Contractor Assumptions'!$F10),0) + IFERROR(SUMIFS(uwmp_table_4_2_r!J$2:J$9900,uwmp_table_4_2_r!$G$2:$G$9900,"Other",uwmp_table_4_2_r!$B$2:$B$9900,'Contractor Assumptions'!$F10),0)
+ IFERROR(SUMIFS(uwmp_table_4_2_w!J$2:J$9900,uwmp_table_4_2_w!$G$2:$G$9900,"Sales/Transfers/Exchanges to other agencies",uwmp_table_4_2_w!$B$2:$B$9900,'Contractor Assumptions'!$F10),0) + IFERROR(SUMIFS(uwmp_table_4_2_r!J$2:J$9900,uwmp_table_4_2_r!$G$2:$G$9900,"Sales/Transfers/Exchanges to other agencies",uwmp_table_4_2_r!$B$2:$B$9900,'Contractor Assumptions'!$F10),0)
+ IFERROR(SUMIFS(uwmp_table_4_2_w!J$2:J$9900,uwmp_table_4_2_w!$G$2:$G$9900,"Other Non-Potable",uwmp_table_4_2_w!$B$2:$B$9900,'Contractor Assumptions'!$F10),0) + IFERROR(SUMIFS(uwmp_table_4_2_r!J$2:J$9900,uwmp_table_4_2_r!$G$2:$G$9900,"Other Non-Potable",uwmp_table_4_2_r!$B$2:$B$9900,'Contractor Assumptions'!$F10),0)
+ IFERROR(SUMIFS(uwmp_table_4_2_w!J$2:J$9900,uwmp_table_4_2_w!$G$2:$G$9900,"Wetlands or wildlife habitat",uwmp_table_4_2_w!$B$2:$B$9900,'Contractor Assumptions'!$F10),0) + IFERROR(SUMIFS(uwmp_table_4_2_r!J$2:J$9900,uwmp_table_4_2_r!$G$2:$G$9900,"Wetlands or wildlife habitat",uwmp_table_4_2_r!$B$2:$B$9900,'Contractor Assumptions'!$F10),0)
+ IFERROR(SUMIFS(uwmp_table_4_2_w!J$2:J$9900,uwmp_table_4_2_w!$G$2:$G$9900,"Saline water intrusion barrier",uwmp_table_4_2_w!$B$2:$B$9900,'Contractor Assumptions'!$F10),0) + IFERROR(SUMIFS(uwmp_table_4_2_r!J$2:J$9900,uwmp_table_4_2_r!$G$2:$G$9900,"Saline water intrusion barrier",uwmp_table_4_2_r!$B$2:$B$9900,'Contractor Assumptions'!$F10),0)
+ IFERROR(SUMIFS(uwmp_table_4_2_w!J$2:J$9900,uwmp_table_4_2_w!$G$2:$G$9900,"Groundwater recharge",uwmp_table_4_2_w!$B$2:$B$9900,'Contractor Assumptions'!$F10),0) + IFERROR(SUMIFS(uwmp_table_4_2_r!J$2:J$9900,uwmp_table_4_2_r!$G$2:$G$9900,"Groundwater recharge",uwmp_table_4_2_r!$B$2:$B$9900,'Contractor Assumptions'!$F10),0)
+ IFERROR(SUMIFS(uwmp_table_4_2_w!J$2:J$9900,uwmp_table_4_2_w!$G$2:$G$9900,"Retail demand for use by agencies that are primarily",uwmp_table_4_2_w!$B$2:$B$9900,'Contractor Assumptions'!$F10),0) + IFERROR(SUMIFS(uwmp_table_4_2_r!J$2:J$9900,uwmp_table_4_2_r!$G$2:$G$9900,"Retail demand for use by agencies that are primarily",uwmp_table_4_2_r!$B$2:$B$9900,'Contractor Assumptions'!$F10),0)
+ IFERROR(SUMIFS(uwmp_table_4_2_w!J$2:J$9900,uwmp_table_4_2_w!$G$2:$G$9900,"wholesalers with a small volume of retail sales",uwmp_table_4_2_w!$B$2:$B$9900,'Contractor Assumptions'!$F10),0) + IFERROR(SUMIFS(uwmp_table_4_2_r!J$2:J$9900,uwmp_table_4_2_r!$G$2:$G$9900,"wholesalers with a small volume of retail sales",uwmp_table_4_2_r!$B$2:$B$9900,'Contractor Assumptions'!$F10),0)
+ IFERROR(SUMIFS(uwmp_table_4_2_w!J$2:J$9900,uwmp_table_4_2_w!$G$2:$G$9900,"Sales to other agencies",uwmp_table_4_2_w!$B$2:$B$9900,'Contractor Assumptions'!$F10),0) + IFERROR(SUMIFS(uwmp_table_4_2_r!J$2:J$9900,uwmp_table_4_2_r!$G$2:$G$9900,"Sales to other agencies",uwmp_table_4_2_r!$B$2:$B$9900,'Contractor Assumptions'!$F10),0)
+ IFERROR(SUMIFS(uwmp_table_4_2_w!J$2:J$9900,uwmp_table_4_2_w!$G$2:$G$9900,"Exchanges to other agencies",uwmp_table_4_2_w!$B$2:$B$9900,'Contractor Assumptions'!$F10),0) + IFERROR(SUMIFS(uwmp_table_4_2_r!J$2:J$9900,uwmp_table_4_2_r!$G$2:$G$9900,"Exchanges to other agencies",uwmp_table_4_2_r!$B$2:$B$9900,'Contractor Assumptions'!$F10),0)
)*IFERROR(VLOOKUP(VLOOKUP('Contractor Assumptions'!$F10,uwmp_table_4_2_r!$B$2:$N$9900,13,FALSE),$A$11:$C$13,2,FALSE), VLOOKUP(VLOOKUP('Contractor Assumptions'!$F10,uwmp_table_4_2_w!$B$2:$N$9900,14,FALSE),$A$11:$C$13,2,FALSE))</f>
        <v>7390</v>
      </c>
      <c r="F539" s="472">
        <f>(IFERROR(SUMIFS(uwmp_table_4_2_w!K$2:K$9900,uwmp_table_4_2_w!$G$2:$G$9900,"Losses",uwmp_table_4_2_w!$B$2:$B$9900,'Contractor Assumptions'!$F10),0) + IFERROR(SUMIFS(uwmp_table_4_2_r!K$2:K$9900,uwmp_table_4_2_r!$G$2:$G$9900,"Losses",uwmp_table_4_2_r!$B$2:$B$9900,'Contractor Assumptions'!$F10),0)
+ IFERROR(SUMIFS(uwmp_table_4_2_w!K$2:K$9900,uwmp_table_4_2_w!$G$2:$G$9900,"Other Potable",uwmp_table_4_2_w!$B$2:$B$9900,'Contractor Assumptions'!$F10),0) + IFERROR(SUMIFS(uwmp_table_4_2_r!K$2:K$9900,uwmp_table_4_2_r!$G$2:$G$9900,"Other Potable",uwmp_table_4_2_r!$B$2:$B$9900,'Contractor Assumptions'!$F10),0)
+ IFERROR(SUMIFS(uwmp_table_4_2_w!K$2:K$9900,uwmp_table_4_2_w!$G$2:$G$9900,"Other",uwmp_table_4_2_w!$B$2:$B$9900,'Contractor Assumptions'!$F10),0) + IFERROR(SUMIFS(uwmp_table_4_2_r!K$2:K$9900,uwmp_table_4_2_r!$G$2:$G$9900,"Other",uwmp_table_4_2_r!$B$2:$B$9900,'Contractor Assumptions'!$F10),0)
+ IFERROR(SUMIFS(uwmp_table_4_2_w!K$2:K$9900,uwmp_table_4_2_w!$G$2:$G$9900,"Sales/Transfers/Exchanges to other agencies",uwmp_table_4_2_w!$B$2:$B$9900,'Contractor Assumptions'!$F10),0) + IFERROR(SUMIFS(uwmp_table_4_2_r!K$2:K$9900,uwmp_table_4_2_r!$G$2:$G$9900,"Sales/Transfers/Exchanges to other agencies",uwmp_table_4_2_r!$B$2:$B$9900,'Contractor Assumptions'!$F10),0)
+ IFERROR(SUMIFS(uwmp_table_4_2_w!K$2:K$9900,uwmp_table_4_2_w!$G$2:$G$9900,"Other Non-Potable",uwmp_table_4_2_w!$B$2:$B$9900,'Contractor Assumptions'!$F10),0) + IFERROR(SUMIFS(uwmp_table_4_2_r!K$2:K$9900,uwmp_table_4_2_r!$G$2:$G$9900,"Other Non-Potable",uwmp_table_4_2_r!$B$2:$B$9900,'Contractor Assumptions'!$F10),0)
+ IFERROR(SUMIFS(uwmp_table_4_2_w!K$2:K$9900,uwmp_table_4_2_w!$G$2:$G$9900,"Wetlands or wildlife habitat",uwmp_table_4_2_w!$B$2:$B$9900,'Contractor Assumptions'!$F10),0) + IFERROR(SUMIFS(uwmp_table_4_2_r!K$2:K$9900,uwmp_table_4_2_r!$G$2:$G$9900,"Wetlands or wildlife habitat",uwmp_table_4_2_r!$B$2:$B$9900,'Contractor Assumptions'!$F10),0)
+ IFERROR(SUMIFS(uwmp_table_4_2_w!K$2:K$9900,uwmp_table_4_2_w!$G$2:$G$9900,"Saline water intrusion barrier",uwmp_table_4_2_w!$B$2:$B$9900,'Contractor Assumptions'!$F10),0) + IFERROR(SUMIFS(uwmp_table_4_2_r!K$2:K$9900,uwmp_table_4_2_r!$G$2:$G$9900,"Saline water intrusion barrier",uwmp_table_4_2_r!$B$2:$B$9900,'Contractor Assumptions'!$F10),0)
+ IFERROR(SUMIFS(uwmp_table_4_2_w!K$2:K$9900,uwmp_table_4_2_w!$G$2:$G$9900,"Groundwater recharge",uwmp_table_4_2_w!$B$2:$B$9900,'Contractor Assumptions'!$F10),0) + IFERROR(SUMIFS(uwmp_table_4_2_r!K$2:K$9900,uwmp_table_4_2_r!$G$2:$G$9900,"Groundwater recharge",uwmp_table_4_2_r!$B$2:$B$9900,'Contractor Assumptions'!$F10),0)
+ IFERROR(SUMIFS(uwmp_table_4_2_w!K$2:K$9900,uwmp_table_4_2_w!$G$2:$G$9900,"Retail demand for use by agencies that are primarily",uwmp_table_4_2_w!$B$2:$B$9900,'Contractor Assumptions'!$F10),0) + IFERROR(SUMIFS(uwmp_table_4_2_r!K$2:K$9900,uwmp_table_4_2_r!$G$2:$G$9900,"Retail demand for use by agencies that are primarily",uwmp_table_4_2_r!$B$2:$B$9900,'Contractor Assumptions'!$F10),0)
+ IFERROR(SUMIFS(uwmp_table_4_2_w!K$2:K$9900,uwmp_table_4_2_w!$G$2:$G$9900,"wholesalers with a small volume of retail sales",uwmp_table_4_2_w!$B$2:$B$9900,'Contractor Assumptions'!$F10),0) + IFERROR(SUMIFS(uwmp_table_4_2_r!K$2:K$9900,uwmp_table_4_2_r!$G$2:$G$9900,"wholesalers with a small volume of retail sales",uwmp_table_4_2_r!$B$2:$B$9900,'Contractor Assumptions'!$F10),0)
+ IFERROR(SUMIFS(uwmp_table_4_2_w!K$2:K$9900,uwmp_table_4_2_w!$G$2:$G$9900,"Sales to other agencies",uwmp_table_4_2_w!$B$2:$B$9900,'Contractor Assumptions'!$F10),0) + IFERROR(SUMIFS(uwmp_table_4_2_r!K$2:K$9900,uwmp_table_4_2_r!$G$2:$G$9900,"Sales to other agencies",uwmp_table_4_2_r!$B$2:$B$9900,'Contractor Assumptions'!$F10),0)
+ IFERROR(SUMIFS(uwmp_table_4_2_w!K$2:K$9900,uwmp_table_4_2_w!$G$2:$G$9900,"Exchanges to other agencies",uwmp_table_4_2_w!$B$2:$B$9900,'Contractor Assumptions'!$F10),0) + IFERROR(SUMIFS(uwmp_table_4_2_r!K$2:K$9900,uwmp_table_4_2_r!$G$2:$G$9900,"Exchanges to other agencies",uwmp_table_4_2_r!$B$2:$B$9900,'Contractor Assumptions'!$F10),0)
)*IFERROR(VLOOKUP(VLOOKUP('Contractor Assumptions'!$F10,uwmp_table_4_2_r!$B$2:$N$9900,13,FALSE),$A$11:$C$13,2,FALSE), VLOOKUP(VLOOKUP('Contractor Assumptions'!$F10,uwmp_table_4_2_w!$B$2:$N$9900,14,FALSE),$A$11:$C$13,2,FALSE))</f>
        <v>7420</v>
      </c>
      <c r="G539" s="472">
        <f>(IFERROR(SUMIFS(uwmp_table_4_2_w!L$2:L$9900,uwmp_table_4_2_w!$G$2:$G$9900,"Losses",uwmp_table_4_2_w!$B$2:$B$9900,'Contractor Assumptions'!$F10),0) + IFERROR(SUMIFS(uwmp_table_4_2_r!L$2:L$9900,uwmp_table_4_2_r!$G$2:$G$9900,"Losses",uwmp_table_4_2_r!$B$2:$B$9900,'Contractor Assumptions'!$F10),0)
+ IFERROR(SUMIFS(uwmp_table_4_2_w!L$2:L$9900,uwmp_table_4_2_w!$G$2:$G$9900,"Other Potable",uwmp_table_4_2_w!$B$2:$B$9900,'Contractor Assumptions'!$F10),0) + IFERROR(SUMIFS(uwmp_table_4_2_r!L$2:L$9900,uwmp_table_4_2_r!$G$2:$G$9900,"Other Potable",uwmp_table_4_2_r!$B$2:$B$9900,'Contractor Assumptions'!$F10),0)
+ IFERROR(SUMIFS(uwmp_table_4_2_w!L$2:L$9900,uwmp_table_4_2_w!$G$2:$G$9900,"Other",uwmp_table_4_2_w!$B$2:$B$9900,'Contractor Assumptions'!$F10),0) + IFERROR(SUMIFS(uwmp_table_4_2_r!L$2:L$9900,uwmp_table_4_2_r!$G$2:$G$9900,"Other",uwmp_table_4_2_r!$B$2:$B$9900,'Contractor Assumptions'!$F10),0)
+ IFERROR(SUMIFS(uwmp_table_4_2_w!L$2:L$9900,uwmp_table_4_2_w!$G$2:$G$9900,"Sales/Transfers/Exchanges to other agencies",uwmp_table_4_2_w!$B$2:$B$9900,'Contractor Assumptions'!$F10),0) + IFERROR(SUMIFS(uwmp_table_4_2_r!L$2:L$9900,uwmp_table_4_2_r!$G$2:$G$9900,"Sales/Transfers/Exchanges to other agencies",uwmp_table_4_2_r!$B$2:$B$9900,'Contractor Assumptions'!$F10),0)
+ IFERROR(SUMIFS(uwmp_table_4_2_w!L$2:L$9900,uwmp_table_4_2_w!$G$2:$G$9900,"Other Non-Potable",uwmp_table_4_2_w!$B$2:$B$9900,'Contractor Assumptions'!$F10),0) + IFERROR(SUMIFS(uwmp_table_4_2_r!L$2:L$9900,uwmp_table_4_2_r!$G$2:$G$9900,"Other Non-Potable",uwmp_table_4_2_r!$B$2:$B$9900,'Contractor Assumptions'!$F10),0)
+ IFERROR(SUMIFS(uwmp_table_4_2_w!L$2:L$9900,uwmp_table_4_2_w!$G$2:$G$9900,"Wetlands or wildlife habitat",uwmp_table_4_2_w!$B$2:$B$9900,'Contractor Assumptions'!$F10),0) + IFERROR(SUMIFS(uwmp_table_4_2_r!L$2:L$9900,uwmp_table_4_2_r!$G$2:$G$9900,"Wetlands or wildlife habitat",uwmp_table_4_2_r!$B$2:$B$9900,'Contractor Assumptions'!$F10),0)
+ IFERROR(SUMIFS(uwmp_table_4_2_w!L$2:L$9900,uwmp_table_4_2_w!$G$2:$G$9900,"Saline water intrusion barrier",uwmp_table_4_2_w!$B$2:$B$9900,'Contractor Assumptions'!$F10),0) + IFERROR(SUMIFS(uwmp_table_4_2_r!L$2:L$9900,uwmp_table_4_2_r!$G$2:$G$9900,"Saline water intrusion barrier",uwmp_table_4_2_r!$B$2:$B$9900,'Contractor Assumptions'!$F10),0)
+ IFERROR(SUMIFS(uwmp_table_4_2_w!L$2:L$9900,uwmp_table_4_2_w!$G$2:$G$9900,"Groundwater recharge",uwmp_table_4_2_w!$B$2:$B$9900,'Contractor Assumptions'!$F10),0) + IFERROR(SUMIFS(uwmp_table_4_2_r!L$2:L$9900,uwmp_table_4_2_r!$G$2:$G$9900,"Groundwater recharge",uwmp_table_4_2_r!$B$2:$B$9900,'Contractor Assumptions'!$F10),0)
+ IFERROR(SUMIFS(uwmp_table_4_2_w!L$2:L$9900,uwmp_table_4_2_w!$G$2:$G$9900,"Retail demand for use by agencies that are primarily",uwmp_table_4_2_w!$B$2:$B$9900,'Contractor Assumptions'!$F10),0) + IFERROR(SUMIFS(uwmp_table_4_2_r!L$2:L$9900,uwmp_table_4_2_r!$G$2:$G$9900,"Retail demand for use by agencies that are primarily",uwmp_table_4_2_r!$B$2:$B$9900,'Contractor Assumptions'!$F10),0)
+ IFERROR(SUMIFS(uwmp_table_4_2_w!L$2:L$9900,uwmp_table_4_2_w!$G$2:$G$9900,"wholesalers with a small volume of retail sales",uwmp_table_4_2_w!$B$2:$B$9900,'Contractor Assumptions'!$F10),0) + IFERROR(SUMIFS(uwmp_table_4_2_r!L$2:L$9900,uwmp_table_4_2_r!$G$2:$G$9900,"wholesalers with a small volume of retail sales",uwmp_table_4_2_r!$B$2:$B$9900,'Contractor Assumptions'!$F10),0)
+ IFERROR(SUMIFS(uwmp_table_4_2_w!L$2:L$9900,uwmp_table_4_2_w!$G$2:$G$9900,"Sales to other agencies",uwmp_table_4_2_w!$B$2:$B$9900,'Contractor Assumptions'!$F10),0) + IFERROR(SUMIFS(uwmp_table_4_2_r!L$2:L$9900,uwmp_table_4_2_r!$G$2:$G$9900,"Sales to other agencies",uwmp_table_4_2_r!$B$2:$B$9900,'Contractor Assumptions'!$F10),0)
+ IFERROR(SUMIFS(uwmp_table_4_2_w!L$2:L$9900,uwmp_table_4_2_w!$G$2:$G$9900,"Exchanges to other agencies",uwmp_table_4_2_w!$B$2:$B$9900,'Contractor Assumptions'!$F10),0) + IFERROR(SUMIFS(uwmp_table_4_2_r!L$2:L$9900,uwmp_table_4_2_r!$G$2:$G$9900,"Exchanges to other agencies",uwmp_table_4_2_r!$B$2:$B$9900,'Contractor Assumptions'!$F10),0)
)*IFERROR(VLOOKUP(VLOOKUP('Contractor Assumptions'!$F10,uwmp_table_4_2_r!$B$2:$N$9900,13,FALSE),$A$11:$C$13,2,FALSE), VLOOKUP(VLOOKUP('Contractor Assumptions'!$F10,uwmp_table_4_2_w!$B$2:$N$9900,14,FALSE),$A$11:$C$13,2,FALSE))</f>
        <v>7950</v>
      </c>
      <c r="H539" s="520">
        <f>(IFERROR(SUMIFS(uwmp_table_4_2_w!M$2:M$9900,uwmp_table_4_2_w!$G$2:$G$9900,"Losses",uwmp_table_4_2_w!$B$2:$B$9900,'Contractor Assumptions'!$F10),0) + IFERROR(SUMIFS(uwmp_table_4_2_r!M$2:M$9900,uwmp_table_4_2_r!$G$2:$G$9900,"Losses",uwmp_table_4_2_r!$B$2:$B$9900,'Contractor Assumptions'!$F10),0)
+ IFERROR(SUMIFS(uwmp_table_4_2_w!M$2:M$9900,uwmp_table_4_2_w!$G$2:$G$9900,"Other Potable",uwmp_table_4_2_w!$B$2:$B$9900,'Contractor Assumptions'!$F10),0) + IFERROR(SUMIFS(uwmp_table_4_2_r!M$2:M$9900,uwmp_table_4_2_r!$G$2:$G$9900,"Other Potable",uwmp_table_4_2_r!$B$2:$B$9900,'Contractor Assumptions'!$F10),0)
+ IFERROR(SUMIFS(uwmp_table_4_2_w!M$2:M$9900,uwmp_table_4_2_w!$G$2:$G$9900,"Other",uwmp_table_4_2_w!$B$2:$B$9900,'Contractor Assumptions'!$F10),0) + IFERROR(SUMIFS(uwmp_table_4_2_r!M$2:M$9900,uwmp_table_4_2_r!$G$2:$G$9900,"Other",uwmp_table_4_2_r!$B$2:$B$9900,'Contractor Assumptions'!$F10),0)
+ IFERROR(SUMIFS(uwmp_table_4_2_w!M$2:M$9900,uwmp_table_4_2_w!$G$2:$G$9900,"Sales/Transfers/Exchanges to other agencies",uwmp_table_4_2_w!$B$2:$B$9900,'Contractor Assumptions'!$F10),0) + IFERROR(SUMIFS(uwmp_table_4_2_r!M$2:M$9900,uwmp_table_4_2_r!$G$2:$G$9900,"Sales/Transfers/Exchanges to other agencies",uwmp_table_4_2_r!$B$2:$B$9900,'Contractor Assumptions'!$F10),0)
+ IFERROR(SUMIFS(uwmp_table_4_2_w!M$2:M$9900,uwmp_table_4_2_w!$G$2:$G$9900,"Other Non-Potable",uwmp_table_4_2_w!$B$2:$B$9900,'Contractor Assumptions'!$F10),0) + IFERROR(SUMIFS(uwmp_table_4_2_r!M$2:M$9900,uwmp_table_4_2_r!$G$2:$G$9900,"Other Non-Potable",uwmp_table_4_2_r!$B$2:$B$9900,'Contractor Assumptions'!$F10),0)
+ IFERROR(SUMIFS(uwmp_table_4_2_w!M$2:M$9900,uwmp_table_4_2_w!$G$2:$G$9900,"Wetlands or wildlife habitat",uwmp_table_4_2_w!$B$2:$B$9900,'Contractor Assumptions'!$F10),0) + IFERROR(SUMIFS(uwmp_table_4_2_r!M$2:M$9900,uwmp_table_4_2_r!$G$2:$G$9900,"Wetlands or wildlife habitat",uwmp_table_4_2_r!$B$2:$B$9900,'Contractor Assumptions'!$F10),0)
+ IFERROR(SUMIFS(uwmp_table_4_2_w!M$2:M$9900,uwmp_table_4_2_w!$G$2:$G$9900,"Saline water intrusion barrier",uwmp_table_4_2_w!$B$2:$B$9900,'Contractor Assumptions'!$F10),0) + IFERROR(SUMIFS(uwmp_table_4_2_r!M$2:M$9900,uwmp_table_4_2_r!$G$2:$G$9900,"Saline water intrusion barrier",uwmp_table_4_2_r!$B$2:$B$9900,'Contractor Assumptions'!$F10),0)
+ IFERROR(SUMIFS(uwmp_table_4_2_w!M$2:M$9900,uwmp_table_4_2_w!$G$2:$G$9900,"Groundwater recharge",uwmp_table_4_2_w!$B$2:$B$9900,'Contractor Assumptions'!$F10),0) + IFERROR(SUMIFS(uwmp_table_4_2_r!M$2:M$9900,uwmp_table_4_2_r!$G$2:$G$9900,"Groundwater recharge",uwmp_table_4_2_r!$B$2:$B$9900,'Contractor Assumptions'!$F10),0)
+ IFERROR(SUMIFS(uwmp_table_4_2_w!M$2:M$9900,uwmp_table_4_2_w!$G$2:$G$9900,"Retail demand for use by agencies that are primarily",uwmp_table_4_2_w!$B$2:$B$9900,'Contractor Assumptions'!$F10),0) + IFERROR(SUMIFS(uwmp_table_4_2_r!M$2:M$9900,uwmp_table_4_2_r!$G$2:$G$9900,"Retail demand for use by agencies that are primarily",uwmp_table_4_2_r!$B$2:$B$9900,'Contractor Assumptions'!$F10),0)
+ IFERROR(SUMIFS(uwmp_table_4_2_w!M$2:M$9900,uwmp_table_4_2_w!$G$2:$G$9900,"wholesalers with a small volume of retail sales",uwmp_table_4_2_w!$B$2:$B$9900,'Contractor Assumptions'!$F10),0) + IFERROR(SUMIFS(uwmp_table_4_2_r!M$2:M$9900,uwmp_table_4_2_r!$G$2:$G$9900,"wholesalers with a small volume of retail sales",uwmp_table_4_2_r!$B$2:$B$9900,'Contractor Assumptions'!$F10),0)
+ IFERROR(SUMIFS(uwmp_table_4_2_w!M$2:M$9900,uwmp_table_4_2_w!$G$2:$G$9900,"Sales to other agencies",uwmp_table_4_2_w!$B$2:$B$9900,'Contractor Assumptions'!$F10),0) + IFERROR(SUMIFS(uwmp_table_4_2_r!M$2:M$9900,uwmp_table_4_2_r!$G$2:$G$9900,"Sales to other agencies",uwmp_table_4_2_r!$B$2:$B$9900,'Contractor Assumptions'!$F10),0)
+ IFERROR(SUMIFS(uwmp_table_4_2_w!M$2:M$9900,uwmp_table_4_2_w!$G$2:$G$9900,"Exchanges to other agencies",uwmp_table_4_2_w!$B$2:$B$9900,'Contractor Assumptions'!$F10),0) + IFERROR(SUMIFS(uwmp_table_4_2_r!M$2:M$9900,uwmp_table_4_2_r!$G$2:$G$9900,"Exchanges to other agencies",uwmp_table_4_2_r!$B$2:$B$9900,'Contractor Assumptions'!$F10),0)
)*IFERROR(VLOOKUP(VLOOKUP('Contractor Assumptions'!$F10,uwmp_table_4_2_r!$B$2:$N$9900,13,FALSE),$A$11:$C$13,2,FALSE), VLOOKUP(VLOOKUP('Contractor Assumptions'!$F10,uwmp_table_4_2_w!$B$2:$N$9900,14,FALSE),$A$11:$C$13,2,FALSE))</f>
        <v>8810</v>
      </c>
      <c r="I539" s="66"/>
      <c r="J539" s="70"/>
      <c r="K539" s="70"/>
      <c r="L539" s="70"/>
      <c r="M539" s="70"/>
      <c r="N539" s="70"/>
      <c r="O539" s="70"/>
      <c r="P539" s="70"/>
    </row>
    <row r="540" spans="1:16" hidden="1" outlineLevel="1" x14ac:dyDescent="0.3">
      <c r="A540" s="63" t="s">
        <v>1026</v>
      </c>
      <c r="B540" s="63" t="s">
        <v>855</v>
      </c>
      <c r="C540" s="63" t="str">
        <f t="shared" si="11"/>
        <v>Yuba City</v>
      </c>
      <c r="D540" s="472">
        <f>20+910+710</f>
        <v>1640</v>
      </c>
      <c r="E540" s="472">
        <f>20+940+740</f>
        <v>1700</v>
      </c>
      <c r="F540" s="472">
        <f>20+980+770</f>
        <v>1770</v>
      </c>
      <c r="G540" s="472">
        <f>20+1040+810</f>
        <v>1870</v>
      </c>
      <c r="H540" s="520">
        <f>20+1090+850</f>
        <v>1960</v>
      </c>
      <c r="I540" s="66" t="str">
        <f>I494</f>
        <v>2020 UWMP Table 4-9 (Yuba City, 2021)</v>
      </c>
      <c r="J540" s="70"/>
      <c r="K540" s="70"/>
      <c r="L540" s="70"/>
      <c r="M540" s="70"/>
      <c r="N540" s="70"/>
      <c r="O540" s="70"/>
      <c r="P540" s="70"/>
    </row>
    <row r="541" spans="1:16" hidden="1" outlineLevel="1" x14ac:dyDescent="0.3">
      <c r="A541" s="63" t="s">
        <v>1026</v>
      </c>
      <c r="B541" s="63" t="s">
        <v>855</v>
      </c>
      <c r="C541" s="63" t="str">
        <f t="shared" si="11"/>
        <v>El Dorado Irrigation District</v>
      </c>
      <c r="D541" s="472">
        <f>1150+580+100+200+10+3300+4120+310</f>
        <v>9770</v>
      </c>
      <c r="E541" s="472">
        <f>1150+1210+180+360+40+3300+3860+310</f>
        <v>10410</v>
      </c>
      <c r="F541" s="472">
        <f>1150+1830+260+530+70+3300+3960+310</f>
        <v>11410</v>
      </c>
      <c r="G541" s="472">
        <f>1150+2480+340+700+140+3300+4050+310</f>
        <v>12470</v>
      </c>
      <c r="H541" s="520">
        <f>1150+3170+420+870+140+3300+4150+310</f>
        <v>13510</v>
      </c>
      <c r="I541" s="66" t="str">
        <f>I495</f>
        <v>2020 UWMP Table 4-11 (El Dorado Irrigation District, 2021)</v>
      </c>
      <c r="J541" s="70"/>
      <c r="K541" s="70"/>
      <c r="L541" s="70"/>
      <c r="M541" s="70"/>
      <c r="N541" s="70"/>
      <c r="O541" s="70"/>
      <c r="P541" s="70"/>
    </row>
    <row r="542" spans="1:16" hidden="1" outlineLevel="1" x14ac:dyDescent="0.3">
      <c r="A542" s="63" t="s">
        <v>1026</v>
      </c>
      <c r="B542" s="63" t="s">
        <v>855</v>
      </c>
      <c r="C542" s="63" t="str">
        <f t="shared" si="11"/>
        <v>Napa County Flood Control &amp; Water Conservation District</v>
      </c>
      <c r="D542" s="471" t="s">
        <v>204</v>
      </c>
      <c r="E542" s="471" t="s">
        <v>204</v>
      </c>
      <c r="F542" s="471" t="s">
        <v>204</v>
      </c>
      <c r="G542" s="471" t="s">
        <v>204</v>
      </c>
      <c r="H542" s="518" t="s">
        <v>204</v>
      </c>
      <c r="I542" s="66"/>
      <c r="J542" s="70"/>
      <c r="K542" s="70"/>
      <c r="L542" s="70"/>
      <c r="M542" s="70"/>
      <c r="N542" s="70"/>
      <c r="O542" s="70"/>
      <c r="P542" s="70"/>
    </row>
    <row r="543" spans="1:16" hidden="1" outlineLevel="1" x14ac:dyDescent="0.3">
      <c r="A543" s="63" t="s">
        <v>1026</v>
      </c>
      <c r="B543" s="63" t="s">
        <v>855</v>
      </c>
      <c r="C543" s="63" t="str">
        <f t="shared" si="11"/>
        <v>Placer County Water Agency</v>
      </c>
      <c r="D543" s="472">
        <f>- D451 + (IFERROR(SUMIFS(uwmp_table_4_2_w!I$2:I$9900,uwmp_table_4_2_w!$G$2:$G$9900,"Losses",uwmp_table_4_2_w!$B$2:$B$9900,'Contractor Assumptions'!$F14),0) + IFERROR(SUMIFS(uwmp_table_4_2_r!I$2:I$9900,uwmp_table_4_2_r!$G$2:$G$9900,"Losses",uwmp_table_4_2_r!$B$2:$B$9900,'Contractor Assumptions'!$F14),0)
+ IFERROR(SUMIFS(uwmp_table_4_2_w!I$2:I$9900,uwmp_table_4_2_w!$G$2:$G$9900,"Other Potable",uwmp_table_4_2_w!$B$2:$B$9900,'Contractor Assumptions'!$F14),0) + IFERROR(SUMIFS(uwmp_table_4_2_r!I$2:I$9900,uwmp_table_4_2_r!$G$2:$G$9900,"Other Potable",uwmp_table_4_2_r!$B$2:$B$9900,'Contractor Assumptions'!$F14),0)
+ IFERROR(SUMIFS(uwmp_table_4_2_w!I$2:I$9900,uwmp_table_4_2_w!$G$2:$G$9900,"Other",uwmp_table_4_2_w!$B$2:$B$9900,'Contractor Assumptions'!$F14),0) + IFERROR(SUMIFS(uwmp_table_4_2_r!I$2:I$9900,uwmp_table_4_2_r!$G$2:$G$9900,"Other",uwmp_table_4_2_r!$B$2:$B$9900,'Contractor Assumptions'!$F14),0)
+ IFERROR(SUMIFS(uwmp_table_4_2_w!I$2:I$9900,uwmp_table_4_2_w!$G$2:$G$9900,"Sales/Transfers/Exchanges to other agencies",uwmp_table_4_2_w!$B$2:$B$9900,'Contractor Assumptions'!$F14),0) + IFERROR(SUMIFS(uwmp_table_4_2_r!I$2:I$9900,uwmp_table_4_2_r!$G$2:$G$9900,"Sales/Transfers/Exchanges to other agencies",uwmp_table_4_2_r!$B$2:$B$9900,'Contractor Assumptions'!$F14),0)
+ IFERROR(SUMIFS(uwmp_table_4_2_w!I$2:I$9900,uwmp_table_4_2_w!$G$2:$G$9900,"Other Non-Potable",uwmp_table_4_2_w!$B$2:$B$9900,'Contractor Assumptions'!$F14),0) + IFERROR(SUMIFS(uwmp_table_4_2_r!I$2:I$9900,uwmp_table_4_2_r!$G$2:$G$9900,"Other Non-Potable",uwmp_table_4_2_r!$B$2:$B$9900,'Contractor Assumptions'!$F14),0)
+ IFERROR(SUMIFS(uwmp_table_4_2_w!I$2:I$9900,uwmp_table_4_2_w!$G$2:$G$9900,"Wetlands or wildlife habitat",uwmp_table_4_2_w!$B$2:$B$9900,'Contractor Assumptions'!$F14),0) + IFERROR(SUMIFS(uwmp_table_4_2_r!I$2:I$9900,uwmp_table_4_2_r!$G$2:$G$9900,"Wetlands or wildlife habitat",uwmp_table_4_2_r!$B$2:$B$9900,'Contractor Assumptions'!$F14),0)
+ IFERROR(SUMIFS(uwmp_table_4_2_w!I$2:I$9900,uwmp_table_4_2_w!$G$2:$G$9900,"Saline water intrusion barrier",uwmp_table_4_2_w!$B$2:$B$9900,'Contractor Assumptions'!$F14),0) + IFERROR(SUMIFS(uwmp_table_4_2_r!I$2:I$9900,uwmp_table_4_2_r!$G$2:$G$9900,"Saline water intrusion barrier",uwmp_table_4_2_r!$B$2:$B$9900,'Contractor Assumptions'!$F14),0)
+ IFERROR(SUMIFS(uwmp_table_4_2_w!I$2:I$9900,uwmp_table_4_2_w!$G$2:$G$9900,"Groundwater recharge",uwmp_table_4_2_w!$B$2:$B$9900,'Contractor Assumptions'!$F14),0) + IFERROR(SUMIFS(uwmp_table_4_2_r!I$2:I$9900,uwmp_table_4_2_r!$G$2:$G$9900,"Groundwater recharge",uwmp_table_4_2_r!$B$2:$B$9900,'Contractor Assumptions'!$F14),0)
+ IFERROR(SUMIFS(uwmp_table_4_2_w!I$2:I$9900,uwmp_table_4_2_w!$G$2:$G$9900,"Retail demand for use by agencies that are primarily",uwmp_table_4_2_w!$B$2:$B$9900,'Contractor Assumptions'!$F14),0) + IFERROR(SUMIFS(uwmp_table_4_2_r!I$2:I$9900,uwmp_table_4_2_r!$G$2:$G$9900,"Retail demand for use by agencies that are primarily",uwmp_table_4_2_r!$B$2:$B$9900,'Contractor Assumptions'!$F14),0)
+ IFERROR(SUMIFS(uwmp_table_4_2_w!I$2:I$9900,uwmp_table_4_2_w!$G$2:$G$9900,"wholesalers with a small volume of retail sales",uwmp_table_4_2_w!$B$2:$B$9900,'Contractor Assumptions'!$F14),0) + IFERROR(SUMIFS(uwmp_table_4_2_r!I$2:I$9900,uwmp_table_4_2_r!$G$2:$G$9900,"wholesalers with a small volume of retail sales",uwmp_table_4_2_r!$B$2:$B$9900,'Contractor Assumptions'!$F14),0)
+ IFERROR(SUMIFS(uwmp_table_4_2_w!I$2:I$9900,uwmp_table_4_2_w!$G$2:$G$9900,"Sales to other agencies",uwmp_table_4_2_w!$B$2:$B$9900,'Contractor Assumptions'!$F14),0) + IFERROR(SUMIFS(uwmp_table_4_2_r!I$2:I$9900,uwmp_table_4_2_r!$G$2:$G$9900,"Sales to other agencies",uwmp_table_4_2_r!$B$2:$B$9900,'Contractor Assumptions'!$F14),0)
+ IFERROR(SUMIFS(uwmp_table_4_2_w!I$2:I$9900,uwmp_table_4_2_w!$G$2:$G$9900,"Exchanges to other agencies",uwmp_table_4_2_w!$B$2:$B$9900,'Contractor Assumptions'!$F14),0) + IFERROR(SUMIFS(uwmp_table_4_2_r!I$2:I$9900,uwmp_table_4_2_r!$G$2:$G$9900,"Exchanges to other agencies",uwmp_table_4_2_r!$B$2:$B$9900,'Contractor Assumptions'!$F14),0)
)*IFERROR(VLOOKUP(VLOOKUP('Contractor Assumptions'!$F14,uwmp_table_4_2_r!$B$2:$N$9900,13,FALSE),$A$11:$C$13,2,FALSE), VLOOKUP(VLOOKUP('Contractor Assumptions'!$F14,uwmp_table_4_2_w!$B$2:$N$9900,14,FALSE),$A$11:$C$13,2,FALSE))</f>
        <v>81547</v>
      </c>
      <c r="E543" s="472">
        <f>- E451 + (IFERROR(SUMIFS(uwmp_table_4_2_w!J$2:J$9900,uwmp_table_4_2_w!$G$2:$G$9900,"Losses",uwmp_table_4_2_w!$B$2:$B$9900,'Contractor Assumptions'!$F14),0) + IFERROR(SUMIFS(uwmp_table_4_2_r!J$2:J$9900,uwmp_table_4_2_r!$G$2:$G$9900,"Losses",uwmp_table_4_2_r!$B$2:$B$9900,'Contractor Assumptions'!$F14),0)
+ IFERROR(SUMIFS(uwmp_table_4_2_w!J$2:J$9900,uwmp_table_4_2_w!$G$2:$G$9900,"Other Potable",uwmp_table_4_2_w!$B$2:$B$9900,'Contractor Assumptions'!$F14),0) + IFERROR(SUMIFS(uwmp_table_4_2_r!J$2:J$9900,uwmp_table_4_2_r!$G$2:$G$9900,"Other Potable",uwmp_table_4_2_r!$B$2:$B$9900,'Contractor Assumptions'!$F14),0)
+ IFERROR(SUMIFS(uwmp_table_4_2_w!J$2:J$9900,uwmp_table_4_2_w!$G$2:$G$9900,"Other",uwmp_table_4_2_w!$B$2:$B$9900,'Contractor Assumptions'!$F14),0) + IFERROR(SUMIFS(uwmp_table_4_2_r!J$2:J$9900,uwmp_table_4_2_r!$G$2:$G$9900,"Other",uwmp_table_4_2_r!$B$2:$B$9900,'Contractor Assumptions'!$F14),0)
+ IFERROR(SUMIFS(uwmp_table_4_2_w!J$2:J$9900,uwmp_table_4_2_w!$G$2:$G$9900,"Sales/Transfers/Exchanges to other agencies",uwmp_table_4_2_w!$B$2:$B$9900,'Contractor Assumptions'!$F14),0) + IFERROR(SUMIFS(uwmp_table_4_2_r!J$2:J$9900,uwmp_table_4_2_r!$G$2:$G$9900,"Sales/Transfers/Exchanges to other agencies",uwmp_table_4_2_r!$B$2:$B$9900,'Contractor Assumptions'!$F14),0)
+ IFERROR(SUMIFS(uwmp_table_4_2_w!J$2:J$9900,uwmp_table_4_2_w!$G$2:$G$9900,"Other Non-Potable",uwmp_table_4_2_w!$B$2:$B$9900,'Contractor Assumptions'!$F14),0) + IFERROR(SUMIFS(uwmp_table_4_2_r!J$2:J$9900,uwmp_table_4_2_r!$G$2:$G$9900,"Other Non-Potable",uwmp_table_4_2_r!$B$2:$B$9900,'Contractor Assumptions'!$F14),0)
+ IFERROR(SUMIFS(uwmp_table_4_2_w!J$2:J$9900,uwmp_table_4_2_w!$G$2:$G$9900,"Wetlands or wildlife habitat",uwmp_table_4_2_w!$B$2:$B$9900,'Contractor Assumptions'!$F14),0) + IFERROR(SUMIFS(uwmp_table_4_2_r!J$2:J$9900,uwmp_table_4_2_r!$G$2:$G$9900,"Wetlands or wildlife habitat",uwmp_table_4_2_r!$B$2:$B$9900,'Contractor Assumptions'!$F14),0)
+ IFERROR(SUMIFS(uwmp_table_4_2_w!J$2:J$9900,uwmp_table_4_2_w!$G$2:$G$9900,"Saline water intrusion barrier",uwmp_table_4_2_w!$B$2:$B$9900,'Contractor Assumptions'!$F14),0) + IFERROR(SUMIFS(uwmp_table_4_2_r!J$2:J$9900,uwmp_table_4_2_r!$G$2:$G$9900,"Saline water intrusion barrier",uwmp_table_4_2_r!$B$2:$B$9900,'Contractor Assumptions'!$F14),0)
+ IFERROR(SUMIFS(uwmp_table_4_2_w!J$2:J$9900,uwmp_table_4_2_w!$G$2:$G$9900,"Groundwater recharge",uwmp_table_4_2_w!$B$2:$B$9900,'Contractor Assumptions'!$F14),0) + IFERROR(SUMIFS(uwmp_table_4_2_r!J$2:J$9900,uwmp_table_4_2_r!$G$2:$G$9900,"Groundwater recharge",uwmp_table_4_2_r!$B$2:$B$9900,'Contractor Assumptions'!$F14),0)
+ IFERROR(SUMIFS(uwmp_table_4_2_w!J$2:J$9900,uwmp_table_4_2_w!$G$2:$G$9900,"Retail demand for use by agencies that are primarily",uwmp_table_4_2_w!$B$2:$B$9900,'Contractor Assumptions'!$F14),0) + IFERROR(SUMIFS(uwmp_table_4_2_r!J$2:J$9900,uwmp_table_4_2_r!$G$2:$G$9900,"Retail demand for use by agencies that are primarily",uwmp_table_4_2_r!$B$2:$B$9900,'Contractor Assumptions'!$F14),0)
+ IFERROR(SUMIFS(uwmp_table_4_2_w!J$2:J$9900,uwmp_table_4_2_w!$G$2:$G$9900,"wholesalers with a small volume of retail sales",uwmp_table_4_2_w!$B$2:$B$9900,'Contractor Assumptions'!$F14),0) + IFERROR(SUMIFS(uwmp_table_4_2_r!J$2:J$9900,uwmp_table_4_2_r!$G$2:$G$9900,"wholesalers with a small volume of retail sales",uwmp_table_4_2_r!$B$2:$B$9900,'Contractor Assumptions'!$F14),0)
+ IFERROR(SUMIFS(uwmp_table_4_2_w!J$2:J$9900,uwmp_table_4_2_w!$G$2:$G$9900,"Sales to other agencies",uwmp_table_4_2_w!$B$2:$B$9900,'Contractor Assumptions'!$F14),0) + IFERROR(SUMIFS(uwmp_table_4_2_r!J$2:J$9900,uwmp_table_4_2_r!$G$2:$G$9900,"Sales to other agencies",uwmp_table_4_2_r!$B$2:$B$9900,'Contractor Assumptions'!$F14),0)
+ IFERROR(SUMIFS(uwmp_table_4_2_w!J$2:J$9900,uwmp_table_4_2_w!$G$2:$G$9900,"Exchanges to other agencies",uwmp_table_4_2_w!$B$2:$B$9900,'Contractor Assumptions'!$F14),0) + IFERROR(SUMIFS(uwmp_table_4_2_r!J$2:J$9900,uwmp_table_4_2_r!$G$2:$G$9900,"Exchanges to other agencies",uwmp_table_4_2_r!$B$2:$B$9900,'Contractor Assumptions'!$F14),0)
)*IFERROR(VLOOKUP(VLOOKUP('Contractor Assumptions'!$F14,uwmp_table_4_2_r!$B$2:$N$9900,13,FALSE),$A$11:$C$13,2,FALSE), VLOOKUP(VLOOKUP('Contractor Assumptions'!$F14,uwmp_table_4_2_w!$B$2:$N$9900,14,FALSE),$A$11:$C$13,2,FALSE))</f>
        <v>88155</v>
      </c>
      <c r="F543" s="472">
        <f>- F451 + (IFERROR(SUMIFS(uwmp_table_4_2_w!K$2:K$9900,uwmp_table_4_2_w!$G$2:$G$9900,"Losses",uwmp_table_4_2_w!$B$2:$B$9900,'Contractor Assumptions'!$F14),0) + IFERROR(SUMIFS(uwmp_table_4_2_r!K$2:K$9900,uwmp_table_4_2_r!$G$2:$G$9900,"Losses",uwmp_table_4_2_r!$B$2:$B$9900,'Contractor Assumptions'!$F14),0)
+ IFERROR(SUMIFS(uwmp_table_4_2_w!K$2:K$9900,uwmp_table_4_2_w!$G$2:$G$9900,"Other Potable",uwmp_table_4_2_w!$B$2:$B$9900,'Contractor Assumptions'!$F14),0) + IFERROR(SUMIFS(uwmp_table_4_2_r!K$2:K$9900,uwmp_table_4_2_r!$G$2:$G$9900,"Other Potable",uwmp_table_4_2_r!$B$2:$B$9900,'Contractor Assumptions'!$F14),0)
+ IFERROR(SUMIFS(uwmp_table_4_2_w!K$2:K$9900,uwmp_table_4_2_w!$G$2:$G$9900,"Other",uwmp_table_4_2_w!$B$2:$B$9900,'Contractor Assumptions'!$F14),0) + IFERROR(SUMIFS(uwmp_table_4_2_r!K$2:K$9900,uwmp_table_4_2_r!$G$2:$G$9900,"Other",uwmp_table_4_2_r!$B$2:$B$9900,'Contractor Assumptions'!$F14),0)
+ IFERROR(SUMIFS(uwmp_table_4_2_w!K$2:K$9900,uwmp_table_4_2_w!$G$2:$G$9900,"Sales/Transfers/Exchanges to other agencies",uwmp_table_4_2_w!$B$2:$B$9900,'Contractor Assumptions'!$F14),0) + IFERROR(SUMIFS(uwmp_table_4_2_r!K$2:K$9900,uwmp_table_4_2_r!$G$2:$G$9900,"Sales/Transfers/Exchanges to other agencies",uwmp_table_4_2_r!$B$2:$B$9900,'Contractor Assumptions'!$F14),0)
+ IFERROR(SUMIFS(uwmp_table_4_2_w!K$2:K$9900,uwmp_table_4_2_w!$G$2:$G$9900,"Other Non-Potable",uwmp_table_4_2_w!$B$2:$B$9900,'Contractor Assumptions'!$F14),0) + IFERROR(SUMIFS(uwmp_table_4_2_r!K$2:K$9900,uwmp_table_4_2_r!$G$2:$G$9900,"Other Non-Potable",uwmp_table_4_2_r!$B$2:$B$9900,'Contractor Assumptions'!$F14),0)
+ IFERROR(SUMIFS(uwmp_table_4_2_w!K$2:K$9900,uwmp_table_4_2_w!$G$2:$G$9900,"Wetlands or wildlife habitat",uwmp_table_4_2_w!$B$2:$B$9900,'Contractor Assumptions'!$F14),0) + IFERROR(SUMIFS(uwmp_table_4_2_r!K$2:K$9900,uwmp_table_4_2_r!$G$2:$G$9900,"Wetlands or wildlife habitat",uwmp_table_4_2_r!$B$2:$B$9900,'Contractor Assumptions'!$F14),0)
+ IFERROR(SUMIFS(uwmp_table_4_2_w!K$2:K$9900,uwmp_table_4_2_w!$G$2:$G$9900,"Saline water intrusion barrier",uwmp_table_4_2_w!$B$2:$B$9900,'Contractor Assumptions'!$F14),0) + IFERROR(SUMIFS(uwmp_table_4_2_r!K$2:K$9900,uwmp_table_4_2_r!$G$2:$G$9900,"Saline water intrusion barrier",uwmp_table_4_2_r!$B$2:$B$9900,'Contractor Assumptions'!$F14),0)
+ IFERROR(SUMIFS(uwmp_table_4_2_w!K$2:K$9900,uwmp_table_4_2_w!$G$2:$G$9900,"Groundwater recharge",uwmp_table_4_2_w!$B$2:$B$9900,'Contractor Assumptions'!$F14),0) + IFERROR(SUMIFS(uwmp_table_4_2_r!K$2:K$9900,uwmp_table_4_2_r!$G$2:$G$9900,"Groundwater recharge",uwmp_table_4_2_r!$B$2:$B$9900,'Contractor Assumptions'!$F14),0)
+ IFERROR(SUMIFS(uwmp_table_4_2_w!K$2:K$9900,uwmp_table_4_2_w!$G$2:$G$9900,"Retail demand for use by agencies that are primarily",uwmp_table_4_2_w!$B$2:$B$9900,'Contractor Assumptions'!$F14),0) + IFERROR(SUMIFS(uwmp_table_4_2_r!K$2:K$9900,uwmp_table_4_2_r!$G$2:$G$9900,"Retail demand for use by agencies that are primarily",uwmp_table_4_2_r!$B$2:$B$9900,'Contractor Assumptions'!$F14),0)
+ IFERROR(SUMIFS(uwmp_table_4_2_w!K$2:K$9900,uwmp_table_4_2_w!$G$2:$G$9900,"wholesalers with a small volume of retail sales",uwmp_table_4_2_w!$B$2:$B$9900,'Contractor Assumptions'!$F14),0) + IFERROR(SUMIFS(uwmp_table_4_2_r!K$2:K$9900,uwmp_table_4_2_r!$G$2:$G$9900,"wholesalers with a small volume of retail sales",uwmp_table_4_2_r!$B$2:$B$9900,'Contractor Assumptions'!$F14),0)
+ IFERROR(SUMIFS(uwmp_table_4_2_w!K$2:K$9900,uwmp_table_4_2_w!$G$2:$G$9900,"Sales to other agencies",uwmp_table_4_2_w!$B$2:$B$9900,'Contractor Assumptions'!$F14),0) + IFERROR(SUMIFS(uwmp_table_4_2_r!K$2:K$9900,uwmp_table_4_2_r!$G$2:$G$9900,"Sales to other agencies",uwmp_table_4_2_r!$B$2:$B$9900,'Contractor Assumptions'!$F14),0)
+ IFERROR(SUMIFS(uwmp_table_4_2_w!K$2:K$9900,uwmp_table_4_2_w!$G$2:$G$9900,"Exchanges to other agencies",uwmp_table_4_2_w!$B$2:$B$9900,'Contractor Assumptions'!$F14),0) + IFERROR(SUMIFS(uwmp_table_4_2_r!K$2:K$9900,uwmp_table_4_2_r!$G$2:$G$9900,"Exchanges to other agencies",uwmp_table_4_2_r!$B$2:$B$9900,'Contractor Assumptions'!$F14),0)
)*IFERROR(VLOOKUP(VLOOKUP('Contractor Assumptions'!$F14,uwmp_table_4_2_r!$B$2:$N$9900,13,FALSE),$A$11:$C$13,2,FALSE), VLOOKUP(VLOOKUP('Contractor Assumptions'!$F14,uwmp_table_4_2_w!$B$2:$N$9900,14,FALSE),$A$11:$C$13,2,FALSE))</f>
        <v>97473</v>
      </c>
      <c r="G543" s="472">
        <f>- G451 + (IFERROR(SUMIFS(uwmp_table_4_2_w!L$2:L$9900,uwmp_table_4_2_w!$G$2:$G$9900,"Losses",uwmp_table_4_2_w!$B$2:$B$9900,'Contractor Assumptions'!$F14),0) + IFERROR(SUMIFS(uwmp_table_4_2_r!L$2:L$9900,uwmp_table_4_2_r!$G$2:$G$9900,"Losses",uwmp_table_4_2_r!$B$2:$B$9900,'Contractor Assumptions'!$F14),0)
+ IFERROR(SUMIFS(uwmp_table_4_2_w!L$2:L$9900,uwmp_table_4_2_w!$G$2:$G$9900,"Other Potable",uwmp_table_4_2_w!$B$2:$B$9900,'Contractor Assumptions'!$F14),0) + IFERROR(SUMIFS(uwmp_table_4_2_r!L$2:L$9900,uwmp_table_4_2_r!$G$2:$G$9900,"Other Potable",uwmp_table_4_2_r!$B$2:$B$9900,'Contractor Assumptions'!$F14),0)
+ IFERROR(SUMIFS(uwmp_table_4_2_w!L$2:L$9900,uwmp_table_4_2_w!$G$2:$G$9900,"Other",uwmp_table_4_2_w!$B$2:$B$9900,'Contractor Assumptions'!$F14),0) + IFERROR(SUMIFS(uwmp_table_4_2_r!L$2:L$9900,uwmp_table_4_2_r!$G$2:$G$9900,"Other",uwmp_table_4_2_r!$B$2:$B$9900,'Contractor Assumptions'!$F14),0)
+ IFERROR(SUMIFS(uwmp_table_4_2_w!L$2:L$9900,uwmp_table_4_2_w!$G$2:$G$9900,"Sales/Transfers/Exchanges to other agencies",uwmp_table_4_2_w!$B$2:$B$9900,'Contractor Assumptions'!$F14),0) + IFERROR(SUMIFS(uwmp_table_4_2_r!L$2:L$9900,uwmp_table_4_2_r!$G$2:$G$9900,"Sales/Transfers/Exchanges to other agencies",uwmp_table_4_2_r!$B$2:$B$9900,'Contractor Assumptions'!$F14),0)
+ IFERROR(SUMIFS(uwmp_table_4_2_w!L$2:L$9900,uwmp_table_4_2_w!$G$2:$G$9900,"Other Non-Potable",uwmp_table_4_2_w!$B$2:$B$9900,'Contractor Assumptions'!$F14),0) + IFERROR(SUMIFS(uwmp_table_4_2_r!L$2:L$9900,uwmp_table_4_2_r!$G$2:$G$9900,"Other Non-Potable",uwmp_table_4_2_r!$B$2:$B$9900,'Contractor Assumptions'!$F14),0)
+ IFERROR(SUMIFS(uwmp_table_4_2_w!L$2:L$9900,uwmp_table_4_2_w!$G$2:$G$9900,"Wetlands or wildlife habitat",uwmp_table_4_2_w!$B$2:$B$9900,'Contractor Assumptions'!$F14),0) + IFERROR(SUMIFS(uwmp_table_4_2_r!L$2:L$9900,uwmp_table_4_2_r!$G$2:$G$9900,"Wetlands or wildlife habitat",uwmp_table_4_2_r!$B$2:$B$9900,'Contractor Assumptions'!$F14),0)
+ IFERROR(SUMIFS(uwmp_table_4_2_w!L$2:L$9900,uwmp_table_4_2_w!$G$2:$G$9900,"Saline water intrusion barrier",uwmp_table_4_2_w!$B$2:$B$9900,'Contractor Assumptions'!$F14),0) + IFERROR(SUMIFS(uwmp_table_4_2_r!L$2:L$9900,uwmp_table_4_2_r!$G$2:$G$9900,"Saline water intrusion barrier",uwmp_table_4_2_r!$B$2:$B$9900,'Contractor Assumptions'!$F14),0)
+ IFERROR(SUMIFS(uwmp_table_4_2_w!L$2:L$9900,uwmp_table_4_2_w!$G$2:$G$9900,"Groundwater recharge",uwmp_table_4_2_w!$B$2:$B$9900,'Contractor Assumptions'!$F14),0) + IFERROR(SUMIFS(uwmp_table_4_2_r!L$2:L$9900,uwmp_table_4_2_r!$G$2:$G$9900,"Groundwater recharge",uwmp_table_4_2_r!$B$2:$B$9900,'Contractor Assumptions'!$F14),0)
+ IFERROR(SUMIFS(uwmp_table_4_2_w!L$2:L$9900,uwmp_table_4_2_w!$G$2:$G$9900,"Retail demand for use by agencies that are primarily",uwmp_table_4_2_w!$B$2:$B$9900,'Contractor Assumptions'!$F14),0) + IFERROR(SUMIFS(uwmp_table_4_2_r!L$2:L$9900,uwmp_table_4_2_r!$G$2:$G$9900,"Retail demand for use by agencies that are primarily",uwmp_table_4_2_r!$B$2:$B$9900,'Contractor Assumptions'!$F14),0)
+ IFERROR(SUMIFS(uwmp_table_4_2_w!L$2:L$9900,uwmp_table_4_2_w!$G$2:$G$9900,"wholesalers with a small volume of retail sales",uwmp_table_4_2_w!$B$2:$B$9900,'Contractor Assumptions'!$F14),0) + IFERROR(SUMIFS(uwmp_table_4_2_r!L$2:L$9900,uwmp_table_4_2_r!$G$2:$G$9900,"wholesalers with a small volume of retail sales",uwmp_table_4_2_r!$B$2:$B$9900,'Contractor Assumptions'!$F14),0)
+ IFERROR(SUMIFS(uwmp_table_4_2_w!L$2:L$9900,uwmp_table_4_2_w!$G$2:$G$9900,"Sales to other agencies",uwmp_table_4_2_w!$B$2:$B$9900,'Contractor Assumptions'!$F14),0) + IFERROR(SUMIFS(uwmp_table_4_2_r!L$2:L$9900,uwmp_table_4_2_r!$G$2:$G$9900,"Sales to other agencies",uwmp_table_4_2_r!$B$2:$B$9900,'Contractor Assumptions'!$F14),0)
+ IFERROR(SUMIFS(uwmp_table_4_2_w!L$2:L$9900,uwmp_table_4_2_w!$G$2:$G$9900,"Exchanges to other agencies",uwmp_table_4_2_w!$B$2:$B$9900,'Contractor Assumptions'!$F14),0) + IFERROR(SUMIFS(uwmp_table_4_2_r!L$2:L$9900,uwmp_table_4_2_r!$G$2:$G$9900,"Exchanges to other agencies",uwmp_table_4_2_r!$B$2:$B$9900,'Contractor Assumptions'!$F14),0)
)*IFERROR(VLOOKUP(VLOOKUP('Contractor Assumptions'!$F14,uwmp_table_4_2_r!$B$2:$N$9900,13,FALSE),$A$11:$C$13,2,FALSE), VLOOKUP(VLOOKUP('Contractor Assumptions'!$F14,uwmp_table_4_2_w!$B$2:$N$9900,14,FALSE),$A$11:$C$13,2,FALSE))</f>
        <v>121992</v>
      </c>
      <c r="H543" s="520">
        <f xml:space="preserve"> 4+41+8400+2110+250+722+2983+8000+35986+465+2385+8440+19500+29000+30000+396</f>
        <v>148682</v>
      </c>
      <c r="I543" s="66" t="s">
        <v>1009</v>
      </c>
      <c r="J543" s="70"/>
      <c r="K543" s="70"/>
      <c r="L543" s="70"/>
      <c r="M543" s="70"/>
      <c r="N543" s="70"/>
      <c r="O543" s="70"/>
      <c r="P543" s="70"/>
    </row>
    <row r="544" spans="1:16" hidden="1" outlineLevel="1" x14ac:dyDescent="0.3">
      <c r="A544" s="63" t="s">
        <v>1026</v>
      </c>
      <c r="B544" s="63" t="s">
        <v>855</v>
      </c>
      <c r="C544" s="63" t="str">
        <f t="shared" si="11"/>
        <v>Sacramento County Water Agency</v>
      </c>
      <c r="D544" s="472">
        <f>692 + 2568 + 5120 + 486 + 214 + 108 + 4 + 5 + 3 + 1420</f>
        <v>10620</v>
      </c>
      <c r="E544" s="472">
        <f xml:space="preserve"> 1383 + 2668 + 5733 + 478 + 214 + 211 + 4 + 5 + 3 + 1890</f>
        <v>12589</v>
      </c>
      <c r="F544" s="472">
        <f xml:space="preserve"> 1383 + 2768 + 6290 + 467 + 214 + 314 + 4 + 5 + 3 + 2360</f>
        <v>13808</v>
      </c>
      <c r="G544" s="472">
        <f xml:space="preserve"> 1383 + 2868 + 6744 + 456 + 214 + 417 + 4 + 5 + 3 + 2830</f>
        <v>14924</v>
      </c>
      <c r="H544" s="520">
        <f>1383 + 3072 + 7201 + 453 + 214 + 520 + 4 + 5 + 3 + 3300</f>
        <v>16155</v>
      </c>
      <c r="I544" s="66" t="s">
        <v>1010</v>
      </c>
      <c r="J544" s="70"/>
      <c r="K544" s="70"/>
      <c r="L544" s="70"/>
      <c r="M544" s="70"/>
      <c r="N544" s="70"/>
      <c r="O544" s="70"/>
      <c r="P544" s="70"/>
    </row>
    <row r="545" spans="1:16" hidden="1" outlineLevel="1" x14ac:dyDescent="0.3">
      <c r="A545" s="63" t="s">
        <v>1026</v>
      </c>
      <c r="B545" s="63" t="s">
        <v>855</v>
      </c>
      <c r="C545" s="63" t="str">
        <f t="shared" si="11"/>
        <v>San Juan Water District</v>
      </c>
      <c r="D545" s="472">
        <v>7262</v>
      </c>
      <c r="E545" s="472">
        <v>7349</v>
      </c>
      <c r="F545" s="472">
        <v>7416</v>
      </c>
      <c r="G545" s="472">
        <v>7568</v>
      </c>
      <c r="H545" s="520">
        <v>7715</v>
      </c>
      <c r="I545" s="66" t="s">
        <v>1027</v>
      </c>
      <c r="J545" s="70"/>
      <c r="K545" s="70"/>
      <c r="L545" s="70"/>
      <c r="M545" s="70"/>
      <c r="N545" s="70"/>
      <c r="O545" s="70"/>
      <c r="P545" s="70"/>
    </row>
    <row r="546" spans="1:16" hidden="1" outlineLevel="1" x14ac:dyDescent="0.3">
      <c r="A546" s="63" t="s">
        <v>1026</v>
      </c>
      <c r="B546" s="63" t="s">
        <v>855</v>
      </c>
      <c r="C546" s="63" t="str">
        <f t="shared" si="11"/>
        <v>Shasta Contractors</v>
      </c>
      <c r="D546" s="471" t="s">
        <v>204</v>
      </c>
      <c r="E546" s="471" t="s">
        <v>204</v>
      </c>
      <c r="F546" s="471" t="s">
        <v>204</v>
      </c>
      <c r="G546" s="471" t="s">
        <v>204</v>
      </c>
      <c r="H546" s="518" t="s">
        <v>204</v>
      </c>
      <c r="I546" s="66"/>
      <c r="J546" s="70"/>
      <c r="K546" s="70"/>
      <c r="L546" s="70"/>
      <c r="M546" s="70"/>
      <c r="N546" s="70"/>
      <c r="O546" s="70"/>
      <c r="P546" s="70"/>
    </row>
    <row r="547" spans="1:16" hidden="1" outlineLevel="1" x14ac:dyDescent="0.3">
      <c r="A547" s="63" t="s">
        <v>1026</v>
      </c>
      <c r="B547" s="63" t="s">
        <v>855</v>
      </c>
      <c r="C547" s="63" t="str">
        <f t="shared" si="11"/>
        <v>Solano County Water Agency</v>
      </c>
      <c r="D547" s="471" t="s">
        <v>204</v>
      </c>
      <c r="E547" s="471" t="s">
        <v>204</v>
      </c>
      <c r="F547" s="471" t="s">
        <v>204</v>
      </c>
      <c r="G547" s="471" t="s">
        <v>204</v>
      </c>
      <c r="H547" s="518" t="s">
        <v>204</v>
      </c>
      <c r="I547" s="66"/>
      <c r="J547" s="70"/>
      <c r="K547" s="70"/>
      <c r="L547" s="70"/>
      <c r="M547" s="70"/>
      <c r="N547" s="70"/>
      <c r="O547" s="70"/>
      <c r="P547" s="70"/>
    </row>
    <row r="548" spans="1:16" hidden="1" outlineLevel="1" x14ac:dyDescent="0.3">
      <c r="A548" s="63" t="s">
        <v>1026</v>
      </c>
      <c r="B548" s="63" t="s">
        <v>894</v>
      </c>
      <c r="C548" s="63" t="str">
        <f t="shared" si="11"/>
        <v>City of Avenal</v>
      </c>
      <c r="D548" s="471" t="s">
        <v>204</v>
      </c>
      <c r="E548" s="471" t="s">
        <v>204</v>
      </c>
      <c r="F548" s="471" t="s">
        <v>204</v>
      </c>
      <c r="G548" s="471" t="s">
        <v>204</v>
      </c>
      <c r="H548" s="518" t="s">
        <v>204</v>
      </c>
      <c r="I548" s="66"/>
      <c r="J548" s="70"/>
      <c r="K548" s="70"/>
      <c r="L548" s="70"/>
      <c r="M548" s="70"/>
      <c r="N548" s="70"/>
      <c r="O548" s="70"/>
      <c r="P548" s="70"/>
    </row>
    <row r="549" spans="1:16" hidden="1" outlineLevel="1" x14ac:dyDescent="0.3">
      <c r="A549" s="63" t="s">
        <v>1026</v>
      </c>
      <c r="B549" s="63" t="s">
        <v>894</v>
      </c>
      <c r="C549" s="63" t="str">
        <f t="shared" si="11"/>
        <v>City of Coalinga</v>
      </c>
      <c r="D549" s="472">
        <f>(IFERROR(SUMIFS(uwmp_table_4_2_w!I$2:I$9900,uwmp_table_4_2_w!$G$2:$G$9900,"Losses",uwmp_table_4_2_w!$B$2:$B$9900,'Contractor Assumptions'!$F20),0) + IFERROR(SUMIFS(uwmp_table_4_2_r!I$2:I$9900,uwmp_table_4_2_r!$G$2:$G$9900,"Losses",uwmp_table_4_2_r!$B$2:$B$9900,'Contractor Assumptions'!$F20),0)
+ IFERROR(SUMIFS(uwmp_table_4_2_w!I$2:I$9900,uwmp_table_4_2_w!$G$2:$G$9900,"Other Potable",uwmp_table_4_2_w!$B$2:$B$9900,'Contractor Assumptions'!$F20),0) + IFERROR(SUMIFS(uwmp_table_4_2_r!I$2:I$9900,uwmp_table_4_2_r!$G$2:$G$9900,"Other Potable",uwmp_table_4_2_r!$B$2:$B$9900,'Contractor Assumptions'!$F20),0)
+ IFERROR(SUMIFS(uwmp_table_4_2_w!I$2:I$9900,uwmp_table_4_2_w!$G$2:$G$9900,"Other",uwmp_table_4_2_w!$B$2:$B$9900,'Contractor Assumptions'!$F20),0) + IFERROR(SUMIFS(uwmp_table_4_2_r!I$2:I$9900,uwmp_table_4_2_r!$G$2:$G$9900,"Other",uwmp_table_4_2_r!$B$2:$B$9900,'Contractor Assumptions'!$F20),0)
+ IFERROR(SUMIFS(uwmp_table_4_2_w!I$2:I$9900,uwmp_table_4_2_w!$G$2:$G$9900,"Sales/Transfers/Exchanges to other agencies",uwmp_table_4_2_w!$B$2:$B$9900,'Contractor Assumptions'!$F20),0) + IFERROR(SUMIFS(uwmp_table_4_2_r!I$2:I$9900,uwmp_table_4_2_r!$G$2:$G$9900,"Sales/Transfers/Exchanges to other agencies",uwmp_table_4_2_r!$B$2:$B$9900,'Contractor Assumptions'!$F20),0)
+ IFERROR(SUMIFS(uwmp_table_4_2_w!I$2:I$9900,uwmp_table_4_2_w!$G$2:$G$9900,"Other Non-Potable",uwmp_table_4_2_w!$B$2:$B$9900,'Contractor Assumptions'!$F20),0) + IFERROR(SUMIFS(uwmp_table_4_2_r!I$2:I$9900,uwmp_table_4_2_r!$G$2:$G$9900,"Other Non-Potable",uwmp_table_4_2_r!$B$2:$B$9900,'Contractor Assumptions'!$F20),0)
+ IFERROR(SUMIFS(uwmp_table_4_2_w!I$2:I$9900,uwmp_table_4_2_w!$G$2:$G$9900,"Wetlands or wildlife habitat",uwmp_table_4_2_w!$B$2:$B$9900,'Contractor Assumptions'!$F20),0) + IFERROR(SUMIFS(uwmp_table_4_2_r!I$2:I$9900,uwmp_table_4_2_r!$G$2:$G$9900,"Wetlands or wildlife habitat",uwmp_table_4_2_r!$B$2:$B$9900,'Contractor Assumptions'!$F20),0)
+ IFERROR(SUMIFS(uwmp_table_4_2_w!I$2:I$9900,uwmp_table_4_2_w!$G$2:$G$9900,"Saline water intrusion barrier",uwmp_table_4_2_w!$B$2:$B$9900,'Contractor Assumptions'!$F20),0) + IFERROR(SUMIFS(uwmp_table_4_2_r!I$2:I$9900,uwmp_table_4_2_r!$G$2:$G$9900,"Saline water intrusion barrier",uwmp_table_4_2_r!$B$2:$B$9900,'Contractor Assumptions'!$F20),0)
+ IFERROR(SUMIFS(uwmp_table_4_2_w!I$2:I$9900,uwmp_table_4_2_w!$G$2:$G$9900,"Groundwater recharge",uwmp_table_4_2_w!$B$2:$B$9900,'Contractor Assumptions'!$F20),0) + IFERROR(SUMIFS(uwmp_table_4_2_r!I$2:I$9900,uwmp_table_4_2_r!$G$2:$G$9900,"Groundwater recharge",uwmp_table_4_2_r!$B$2:$B$9900,'Contractor Assumptions'!$F20),0)
+ IFERROR(SUMIFS(uwmp_table_4_2_w!I$2:I$9900,uwmp_table_4_2_w!$G$2:$G$9900,"Retail demand for use by agencies that are primarily",uwmp_table_4_2_w!$B$2:$B$9900,'Contractor Assumptions'!$F20),0) + IFERROR(SUMIFS(uwmp_table_4_2_r!I$2:I$9900,uwmp_table_4_2_r!$G$2:$G$9900,"Retail demand for use by agencies that are primarily",uwmp_table_4_2_r!$B$2:$B$9900,'Contractor Assumptions'!$F20),0)
+ IFERROR(SUMIFS(uwmp_table_4_2_w!I$2:I$9900,uwmp_table_4_2_w!$G$2:$G$9900,"wholesalers with a small volume of retail sales",uwmp_table_4_2_w!$B$2:$B$9900,'Contractor Assumptions'!$F20),0) + IFERROR(SUMIFS(uwmp_table_4_2_r!I$2:I$9900,uwmp_table_4_2_r!$G$2:$G$9900,"wholesalers with a small volume of retail sales",uwmp_table_4_2_r!$B$2:$B$9900,'Contractor Assumptions'!$F20),0)
+ IFERROR(SUMIFS(uwmp_table_4_2_w!I$2:I$9900,uwmp_table_4_2_w!$G$2:$G$9900,"Sales to other agencies",uwmp_table_4_2_w!$B$2:$B$9900,'Contractor Assumptions'!$F20),0) + IFERROR(SUMIFS(uwmp_table_4_2_r!I$2:I$9900,uwmp_table_4_2_r!$G$2:$G$9900,"Sales to other agencies",uwmp_table_4_2_r!$B$2:$B$9900,'Contractor Assumptions'!$F20),0)
+ IFERROR(SUMIFS(uwmp_table_4_2_w!I$2:I$9900,uwmp_table_4_2_w!$G$2:$G$9900,"Exchanges to other agencies",uwmp_table_4_2_w!$B$2:$B$9900,'Contractor Assumptions'!$F20),0) + IFERROR(SUMIFS(uwmp_table_4_2_r!I$2:I$9900,uwmp_table_4_2_r!$G$2:$G$9900,"Exchanges to other agencies",uwmp_table_4_2_r!$B$2:$B$9900,'Contractor Assumptions'!$F20),0)
)*IFERROR(VLOOKUP(VLOOKUP('Contractor Assumptions'!$F20,uwmp_table_4_2_r!$B$2:$N$9900,13,FALSE),$A$11:$C$13,2,FALSE), VLOOKUP(VLOOKUP('Contractor Assumptions'!$F20,uwmp_table_4_2_w!$B$2:$N$9900,14,FALSE),$A$11:$C$13,2,FALSE))</f>
        <v>521.71093450000001</v>
      </c>
      <c r="E549" s="472">
        <f>(IFERROR(SUMIFS(uwmp_table_4_2_w!J$2:J$9900,uwmp_table_4_2_w!$G$2:$G$9900,"Losses",uwmp_table_4_2_w!$B$2:$B$9900,'Contractor Assumptions'!$F20),0) + IFERROR(SUMIFS(uwmp_table_4_2_r!J$2:J$9900,uwmp_table_4_2_r!$G$2:$G$9900,"Losses",uwmp_table_4_2_r!$B$2:$B$9900,'Contractor Assumptions'!$F20),0)
+ IFERROR(SUMIFS(uwmp_table_4_2_w!J$2:J$9900,uwmp_table_4_2_w!$G$2:$G$9900,"Other Potable",uwmp_table_4_2_w!$B$2:$B$9900,'Contractor Assumptions'!$F20),0) + IFERROR(SUMIFS(uwmp_table_4_2_r!J$2:J$9900,uwmp_table_4_2_r!$G$2:$G$9900,"Other Potable",uwmp_table_4_2_r!$B$2:$B$9900,'Contractor Assumptions'!$F20),0)
+ IFERROR(SUMIFS(uwmp_table_4_2_w!J$2:J$9900,uwmp_table_4_2_w!$G$2:$G$9900,"Other",uwmp_table_4_2_w!$B$2:$B$9900,'Contractor Assumptions'!$F20),0) + IFERROR(SUMIFS(uwmp_table_4_2_r!J$2:J$9900,uwmp_table_4_2_r!$G$2:$G$9900,"Other",uwmp_table_4_2_r!$B$2:$B$9900,'Contractor Assumptions'!$F20),0)
+ IFERROR(SUMIFS(uwmp_table_4_2_w!J$2:J$9900,uwmp_table_4_2_w!$G$2:$G$9900,"Sales/Transfers/Exchanges to other agencies",uwmp_table_4_2_w!$B$2:$B$9900,'Contractor Assumptions'!$F20),0) + IFERROR(SUMIFS(uwmp_table_4_2_r!J$2:J$9900,uwmp_table_4_2_r!$G$2:$G$9900,"Sales/Transfers/Exchanges to other agencies",uwmp_table_4_2_r!$B$2:$B$9900,'Contractor Assumptions'!$F20),0)
+ IFERROR(SUMIFS(uwmp_table_4_2_w!J$2:J$9900,uwmp_table_4_2_w!$G$2:$G$9900,"Other Non-Potable",uwmp_table_4_2_w!$B$2:$B$9900,'Contractor Assumptions'!$F20),0) + IFERROR(SUMIFS(uwmp_table_4_2_r!J$2:J$9900,uwmp_table_4_2_r!$G$2:$G$9900,"Other Non-Potable",uwmp_table_4_2_r!$B$2:$B$9900,'Contractor Assumptions'!$F20),0)
+ IFERROR(SUMIFS(uwmp_table_4_2_w!J$2:J$9900,uwmp_table_4_2_w!$G$2:$G$9900,"Wetlands or wildlife habitat",uwmp_table_4_2_w!$B$2:$B$9900,'Contractor Assumptions'!$F20),0) + IFERROR(SUMIFS(uwmp_table_4_2_r!J$2:J$9900,uwmp_table_4_2_r!$G$2:$G$9900,"Wetlands or wildlife habitat",uwmp_table_4_2_r!$B$2:$B$9900,'Contractor Assumptions'!$F20),0)
+ IFERROR(SUMIFS(uwmp_table_4_2_w!J$2:J$9900,uwmp_table_4_2_w!$G$2:$G$9900,"Saline water intrusion barrier",uwmp_table_4_2_w!$B$2:$B$9900,'Contractor Assumptions'!$F20),0) + IFERROR(SUMIFS(uwmp_table_4_2_r!J$2:J$9900,uwmp_table_4_2_r!$G$2:$G$9900,"Saline water intrusion barrier",uwmp_table_4_2_r!$B$2:$B$9900,'Contractor Assumptions'!$F20),0)
+ IFERROR(SUMIFS(uwmp_table_4_2_w!J$2:J$9900,uwmp_table_4_2_w!$G$2:$G$9900,"Groundwater recharge",uwmp_table_4_2_w!$B$2:$B$9900,'Contractor Assumptions'!$F20),0) + IFERROR(SUMIFS(uwmp_table_4_2_r!J$2:J$9900,uwmp_table_4_2_r!$G$2:$G$9900,"Groundwater recharge",uwmp_table_4_2_r!$B$2:$B$9900,'Contractor Assumptions'!$F20),0)
+ IFERROR(SUMIFS(uwmp_table_4_2_w!J$2:J$9900,uwmp_table_4_2_w!$G$2:$G$9900,"Retail demand for use by agencies that are primarily",uwmp_table_4_2_w!$B$2:$B$9900,'Contractor Assumptions'!$F20),0) + IFERROR(SUMIFS(uwmp_table_4_2_r!J$2:J$9900,uwmp_table_4_2_r!$G$2:$G$9900,"Retail demand for use by agencies that are primarily",uwmp_table_4_2_r!$B$2:$B$9900,'Contractor Assumptions'!$F20),0)
+ IFERROR(SUMIFS(uwmp_table_4_2_w!J$2:J$9900,uwmp_table_4_2_w!$G$2:$G$9900,"wholesalers with a small volume of retail sales",uwmp_table_4_2_w!$B$2:$B$9900,'Contractor Assumptions'!$F20),0) + IFERROR(SUMIFS(uwmp_table_4_2_r!J$2:J$9900,uwmp_table_4_2_r!$G$2:$G$9900,"wholesalers with a small volume of retail sales",uwmp_table_4_2_r!$B$2:$B$9900,'Contractor Assumptions'!$F20),0)
+ IFERROR(SUMIFS(uwmp_table_4_2_w!J$2:J$9900,uwmp_table_4_2_w!$G$2:$G$9900,"Sales to other agencies",uwmp_table_4_2_w!$B$2:$B$9900,'Contractor Assumptions'!$F20),0) + IFERROR(SUMIFS(uwmp_table_4_2_r!J$2:J$9900,uwmp_table_4_2_r!$G$2:$G$9900,"Sales to other agencies",uwmp_table_4_2_r!$B$2:$B$9900,'Contractor Assumptions'!$F20),0)
+ IFERROR(SUMIFS(uwmp_table_4_2_w!J$2:J$9900,uwmp_table_4_2_w!$G$2:$G$9900,"Exchanges to other agencies",uwmp_table_4_2_w!$B$2:$B$9900,'Contractor Assumptions'!$F20),0) + IFERROR(SUMIFS(uwmp_table_4_2_r!J$2:J$9900,uwmp_table_4_2_r!$G$2:$G$9900,"Exchanges to other agencies",uwmp_table_4_2_r!$B$2:$B$9900,'Contractor Assumptions'!$F20),0)
)*IFERROR(VLOOKUP(VLOOKUP('Contractor Assumptions'!$F20,uwmp_table_4_2_r!$B$2:$N$9900,13,FALSE),$A$11:$C$13,2,FALSE), VLOOKUP(VLOOKUP('Contractor Assumptions'!$F20,uwmp_table_4_2_w!$B$2:$N$9900,14,FALSE),$A$11:$C$13,2,FALSE))</f>
        <v>592.29535505000001</v>
      </c>
      <c r="F549" s="472">
        <f>(IFERROR(SUMIFS(uwmp_table_4_2_w!K$2:K$9900,uwmp_table_4_2_w!$G$2:$G$9900,"Losses",uwmp_table_4_2_w!$B$2:$B$9900,'Contractor Assumptions'!$F20),0) + IFERROR(SUMIFS(uwmp_table_4_2_r!K$2:K$9900,uwmp_table_4_2_r!$G$2:$G$9900,"Losses",uwmp_table_4_2_r!$B$2:$B$9900,'Contractor Assumptions'!$F20),0)
+ IFERROR(SUMIFS(uwmp_table_4_2_w!K$2:K$9900,uwmp_table_4_2_w!$G$2:$G$9900,"Other Potable",uwmp_table_4_2_w!$B$2:$B$9900,'Contractor Assumptions'!$F20),0) + IFERROR(SUMIFS(uwmp_table_4_2_r!K$2:K$9900,uwmp_table_4_2_r!$G$2:$G$9900,"Other Potable",uwmp_table_4_2_r!$B$2:$B$9900,'Contractor Assumptions'!$F20),0)
+ IFERROR(SUMIFS(uwmp_table_4_2_w!K$2:K$9900,uwmp_table_4_2_w!$G$2:$G$9900,"Other",uwmp_table_4_2_w!$B$2:$B$9900,'Contractor Assumptions'!$F20),0) + IFERROR(SUMIFS(uwmp_table_4_2_r!K$2:K$9900,uwmp_table_4_2_r!$G$2:$G$9900,"Other",uwmp_table_4_2_r!$B$2:$B$9900,'Contractor Assumptions'!$F20),0)
+ IFERROR(SUMIFS(uwmp_table_4_2_w!K$2:K$9900,uwmp_table_4_2_w!$G$2:$G$9900,"Sales/Transfers/Exchanges to other agencies",uwmp_table_4_2_w!$B$2:$B$9900,'Contractor Assumptions'!$F20),0) + IFERROR(SUMIFS(uwmp_table_4_2_r!K$2:K$9900,uwmp_table_4_2_r!$G$2:$G$9900,"Sales/Transfers/Exchanges to other agencies",uwmp_table_4_2_r!$B$2:$B$9900,'Contractor Assumptions'!$F20),0)
+ IFERROR(SUMIFS(uwmp_table_4_2_w!K$2:K$9900,uwmp_table_4_2_w!$G$2:$G$9900,"Other Non-Potable",uwmp_table_4_2_w!$B$2:$B$9900,'Contractor Assumptions'!$F20),0) + IFERROR(SUMIFS(uwmp_table_4_2_r!K$2:K$9900,uwmp_table_4_2_r!$G$2:$G$9900,"Other Non-Potable",uwmp_table_4_2_r!$B$2:$B$9900,'Contractor Assumptions'!$F20),0)
+ IFERROR(SUMIFS(uwmp_table_4_2_w!K$2:K$9900,uwmp_table_4_2_w!$G$2:$G$9900,"Wetlands or wildlife habitat",uwmp_table_4_2_w!$B$2:$B$9900,'Contractor Assumptions'!$F20),0) + IFERROR(SUMIFS(uwmp_table_4_2_r!K$2:K$9900,uwmp_table_4_2_r!$G$2:$G$9900,"Wetlands or wildlife habitat",uwmp_table_4_2_r!$B$2:$B$9900,'Contractor Assumptions'!$F20),0)
+ IFERROR(SUMIFS(uwmp_table_4_2_w!K$2:K$9900,uwmp_table_4_2_w!$G$2:$G$9900,"Saline water intrusion barrier",uwmp_table_4_2_w!$B$2:$B$9900,'Contractor Assumptions'!$F20),0) + IFERROR(SUMIFS(uwmp_table_4_2_r!K$2:K$9900,uwmp_table_4_2_r!$G$2:$G$9900,"Saline water intrusion barrier",uwmp_table_4_2_r!$B$2:$B$9900,'Contractor Assumptions'!$F20),0)
+ IFERROR(SUMIFS(uwmp_table_4_2_w!K$2:K$9900,uwmp_table_4_2_w!$G$2:$G$9900,"Groundwater recharge",uwmp_table_4_2_w!$B$2:$B$9900,'Contractor Assumptions'!$F20),0) + IFERROR(SUMIFS(uwmp_table_4_2_r!K$2:K$9900,uwmp_table_4_2_r!$G$2:$G$9900,"Groundwater recharge",uwmp_table_4_2_r!$B$2:$B$9900,'Contractor Assumptions'!$F20),0)
+ IFERROR(SUMIFS(uwmp_table_4_2_w!K$2:K$9900,uwmp_table_4_2_w!$G$2:$G$9900,"Retail demand for use by agencies that are primarily",uwmp_table_4_2_w!$B$2:$B$9900,'Contractor Assumptions'!$F20),0) + IFERROR(SUMIFS(uwmp_table_4_2_r!K$2:K$9900,uwmp_table_4_2_r!$G$2:$G$9900,"Retail demand for use by agencies that are primarily",uwmp_table_4_2_r!$B$2:$B$9900,'Contractor Assumptions'!$F20),0)
+ IFERROR(SUMIFS(uwmp_table_4_2_w!K$2:K$9900,uwmp_table_4_2_w!$G$2:$G$9900,"wholesalers with a small volume of retail sales",uwmp_table_4_2_w!$B$2:$B$9900,'Contractor Assumptions'!$F20),0) + IFERROR(SUMIFS(uwmp_table_4_2_r!K$2:K$9900,uwmp_table_4_2_r!$G$2:$G$9900,"wholesalers with a small volume of retail sales",uwmp_table_4_2_r!$B$2:$B$9900,'Contractor Assumptions'!$F20),0)
+ IFERROR(SUMIFS(uwmp_table_4_2_w!K$2:K$9900,uwmp_table_4_2_w!$G$2:$G$9900,"Sales to other agencies",uwmp_table_4_2_w!$B$2:$B$9900,'Contractor Assumptions'!$F20),0) + IFERROR(SUMIFS(uwmp_table_4_2_r!K$2:K$9900,uwmp_table_4_2_r!$G$2:$G$9900,"Sales to other agencies",uwmp_table_4_2_r!$B$2:$B$9900,'Contractor Assumptions'!$F20),0)
+ IFERROR(SUMIFS(uwmp_table_4_2_w!K$2:K$9900,uwmp_table_4_2_w!$G$2:$G$9900,"Exchanges to other agencies",uwmp_table_4_2_w!$B$2:$B$9900,'Contractor Assumptions'!$F20),0) + IFERROR(SUMIFS(uwmp_table_4_2_r!K$2:K$9900,uwmp_table_4_2_r!$G$2:$G$9900,"Exchanges to other agencies",uwmp_table_4_2_r!$B$2:$B$9900,'Contractor Assumptions'!$F20),0)
)*IFERROR(VLOOKUP(VLOOKUP('Contractor Assumptions'!$F20,uwmp_table_4_2_r!$B$2:$N$9900,13,FALSE),$A$11:$C$13,2,FALSE), VLOOKUP(VLOOKUP('Contractor Assumptions'!$F20,uwmp_table_4_2_w!$B$2:$N$9900,14,FALSE),$A$11:$C$13,2,FALSE))</f>
        <v>675.15532699999994</v>
      </c>
      <c r="G549" s="472">
        <f>(IFERROR(SUMIFS(uwmp_table_4_2_w!L$2:L$9900,uwmp_table_4_2_w!$G$2:$G$9900,"Losses",uwmp_table_4_2_w!$B$2:$B$9900,'Contractor Assumptions'!$F20),0) + IFERROR(SUMIFS(uwmp_table_4_2_r!L$2:L$9900,uwmp_table_4_2_r!$G$2:$G$9900,"Losses",uwmp_table_4_2_r!$B$2:$B$9900,'Contractor Assumptions'!$F20),0)
+ IFERROR(SUMIFS(uwmp_table_4_2_w!L$2:L$9900,uwmp_table_4_2_w!$G$2:$G$9900,"Other Potable",uwmp_table_4_2_w!$B$2:$B$9900,'Contractor Assumptions'!$F20),0) + IFERROR(SUMIFS(uwmp_table_4_2_r!L$2:L$9900,uwmp_table_4_2_r!$G$2:$G$9900,"Other Potable",uwmp_table_4_2_r!$B$2:$B$9900,'Contractor Assumptions'!$F20),0)
+ IFERROR(SUMIFS(uwmp_table_4_2_w!L$2:L$9900,uwmp_table_4_2_w!$G$2:$G$9900,"Other",uwmp_table_4_2_w!$B$2:$B$9900,'Contractor Assumptions'!$F20),0) + IFERROR(SUMIFS(uwmp_table_4_2_r!L$2:L$9900,uwmp_table_4_2_r!$G$2:$G$9900,"Other",uwmp_table_4_2_r!$B$2:$B$9900,'Contractor Assumptions'!$F20),0)
+ IFERROR(SUMIFS(uwmp_table_4_2_w!L$2:L$9900,uwmp_table_4_2_w!$G$2:$G$9900,"Sales/Transfers/Exchanges to other agencies",uwmp_table_4_2_w!$B$2:$B$9900,'Contractor Assumptions'!$F20),0) + IFERROR(SUMIFS(uwmp_table_4_2_r!L$2:L$9900,uwmp_table_4_2_r!$G$2:$G$9900,"Sales/Transfers/Exchanges to other agencies",uwmp_table_4_2_r!$B$2:$B$9900,'Contractor Assumptions'!$F20),0)
+ IFERROR(SUMIFS(uwmp_table_4_2_w!L$2:L$9900,uwmp_table_4_2_w!$G$2:$G$9900,"Other Non-Potable",uwmp_table_4_2_w!$B$2:$B$9900,'Contractor Assumptions'!$F20),0) + IFERROR(SUMIFS(uwmp_table_4_2_r!L$2:L$9900,uwmp_table_4_2_r!$G$2:$G$9900,"Other Non-Potable",uwmp_table_4_2_r!$B$2:$B$9900,'Contractor Assumptions'!$F20),0)
+ IFERROR(SUMIFS(uwmp_table_4_2_w!L$2:L$9900,uwmp_table_4_2_w!$G$2:$G$9900,"Wetlands or wildlife habitat",uwmp_table_4_2_w!$B$2:$B$9900,'Contractor Assumptions'!$F20),0) + IFERROR(SUMIFS(uwmp_table_4_2_r!L$2:L$9900,uwmp_table_4_2_r!$G$2:$G$9900,"Wetlands or wildlife habitat",uwmp_table_4_2_r!$B$2:$B$9900,'Contractor Assumptions'!$F20),0)
+ IFERROR(SUMIFS(uwmp_table_4_2_w!L$2:L$9900,uwmp_table_4_2_w!$G$2:$G$9900,"Saline water intrusion barrier",uwmp_table_4_2_w!$B$2:$B$9900,'Contractor Assumptions'!$F20),0) + IFERROR(SUMIFS(uwmp_table_4_2_r!L$2:L$9900,uwmp_table_4_2_r!$G$2:$G$9900,"Saline water intrusion barrier",uwmp_table_4_2_r!$B$2:$B$9900,'Contractor Assumptions'!$F20),0)
+ IFERROR(SUMIFS(uwmp_table_4_2_w!L$2:L$9900,uwmp_table_4_2_w!$G$2:$G$9900,"Groundwater recharge",uwmp_table_4_2_w!$B$2:$B$9900,'Contractor Assumptions'!$F20),0) + IFERROR(SUMIFS(uwmp_table_4_2_r!L$2:L$9900,uwmp_table_4_2_r!$G$2:$G$9900,"Groundwater recharge",uwmp_table_4_2_r!$B$2:$B$9900,'Contractor Assumptions'!$F20),0)
+ IFERROR(SUMIFS(uwmp_table_4_2_w!L$2:L$9900,uwmp_table_4_2_w!$G$2:$G$9900,"Retail demand for use by agencies that are primarily",uwmp_table_4_2_w!$B$2:$B$9900,'Contractor Assumptions'!$F20),0) + IFERROR(SUMIFS(uwmp_table_4_2_r!L$2:L$9900,uwmp_table_4_2_r!$G$2:$G$9900,"Retail demand for use by agencies that are primarily",uwmp_table_4_2_r!$B$2:$B$9900,'Contractor Assumptions'!$F20),0)
+ IFERROR(SUMIFS(uwmp_table_4_2_w!L$2:L$9900,uwmp_table_4_2_w!$G$2:$G$9900,"wholesalers with a small volume of retail sales",uwmp_table_4_2_w!$B$2:$B$9900,'Contractor Assumptions'!$F20),0) + IFERROR(SUMIFS(uwmp_table_4_2_r!L$2:L$9900,uwmp_table_4_2_r!$G$2:$G$9900,"wholesalers with a small volume of retail sales",uwmp_table_4_2_r!$B$2:$B$9900,'Contractor Assumptions'!$F20),0)
+ IFERROR(SUMIFS(uwmp_table_4_2_w!L$2:L$9900,uwmp_table_4_2_w!$G$2:$G$9900,"Sales to other agencies",uwmp_table_4_2_w!$B$2:$B$9900,'Contractor Assumptions'!$F20),0) + IFERROR(SUMIFS(uwmp_table_4_2_r!L$2:L$9900,uwmp_table_4_2_r!$G$2:$G$9900,"Sales to other agencies",uwmp_table_4_2_r!$B$2:$B$9900,'Contractor Assumptions'!$F20),0)
+ IFERROR(SUMIFS(uwmp_table_4_2_w!L$2:L$9900,uwmp_table_4_2_w!$G$2:$G$9900,"Exchanges to other agencies",uwmp_table_4_2_w!$B$2:$B$9900,'Contractor Assumptions'!$F20),0) + IFERROR(SUMIFS(uwmp_table_4_2_r!L$2:L$9900,uwmp_table_4_2_r!$G$2:$G$9900,"Exchanges to other agencies",uwmp_table_4_2_r!$B$2:$B$9900,'Contractor Assumptions'!$F20),0)
)*IFERROR(VLOOKUP(VLOOKUP('Contractor Assumptions'!$F20,uwmp_table_4_2_r!$B$2:$N$9900,13,FALSE),$A$11:$C$13,2,FALSE), VLOOKUP(VLOOKUP('Contractor Assumptions'!$F20,uwmp_table_4_2_w!$B$2:$N$9900,14,FALSE),$A$11:$C$13,2,FALSE))</f>
        <v>764.15307465000001</v>
      </c>
      <c r="H549" s="520">
        <f>(IFERROR(SUMIFS(uwmp_table_4_2_w!M$2:M$9900,uwmp_table_4_2_w!$G$2:$G$9900,"Losses",uwmp_table_4_2_w!$B$2:$B$9900,'Contractor Assumptions'!$F20),0) + IFERROR(SUMIFS(uwmp_table_4_2_r!M$2:M$9900,uwmp_table_4_2_r!$G$2:$G$9900,"Losses",uwmp_table_4_2_r!$B$2:$B$9900,'Contractor Assumptions'!$F20),0)
+ IFERROR(SUMIFS(uwmp_table_4_2_w!M$2:M$9900,uwmp_table_4_2_w!$G$2:$G$9900,"Other Potable",uwmp_table_4_2_w!$B$2:$B$9900,'Contractor Assumptions'!$F20),0) + IFERROR(SUMIFS(uwmp_table_4_2_r!M$2:M$9900,uwmp_table_4_2_r!$G$2:$G$9900,"Other Potable",uwmp_table_4_2_r!$B$2:$B$9900,'Contractor Assumptions'!$F20),0)
+ IFERROR(SUMIFS(uwmp_table_4_2_w!M$2:M$9900,uwmp_table_4_2_w!$G$2:$G$9900,"Other",uwmp_table_4_2_w!$B$2:$B$9900,'Contractor Assumptions'!$F20),0) + IFERROR(SUMIFS(uwmp_table_4_2_r!M$2:M$9900,uwmp_table_4_2_r!$G$2:$G$9900,"Other",uwmp_table_4_2_r!$B$2:$B$9900,'Contractor Assumptions'!$F20),0)
+ IFERROR(SUMIFS(uwmp_table_4_2_w!M$2:M$9900,uwmp_table_4_2_w!$G$2:$G$9900,"Sales/Transfers/Exchanges to other agencies",uwmp_table_4_2_w!$B$2:$B$9900,'Contractor Assumptions'!$F20),0) + IFERROR(SUMIFS(uwmp_table_4_2_r!M$2:M$9900,uwmp_table_4_2_r!$G$2:$G$9900,"Sales/Transfers/Exchanges to other agencies",uwmp_table_4_2_r!$B$2:$B$9900,'Contractor Assumptions'!$F20),0)
+ IFERROR(SUMIFS(uwmp_table_4_2_w!M$2:M$9900,uwmp_table_4_2_w!$G$2:$G$9900,"Other Non-Potable",uwmp_table_4_2_w!$B$2:$B$9900,'Contractor Assumptions'!$F20),0) + IFERROR(SUMIFS(uwmp_table_4_2_r!M$2:M$9900,uwmp_table_4_2_r!$G$2:$G$9900,"Other Non-Potable",uwmp_table_4_2_r!$B$2:$B$9900,'Contractor Assumptions'!$F20),0)
+ IFERROR(SUMIFS(uwmp_table_4_2_w!M$2:M$9900,uwmp_table_4_2_w!$G$2:$G$9900,"Wetlands or wildlife habitat",uwmp_table_4_2_w!$B$2:$B$9900,'Contractor Assumptions'!$F20),0) + IFERROR(SUMIFS(uwmp_table_4_2_r!M$2:M$9900,uwmp_table_4_2_r!$G$2:$G$9900,"Wetlands or wildlife habitat",uwmp_table_4_2_r!$B$2:$B$9900,'Contractor Assumptions'!$F20),0)
+ IFERROR(SUMIFS(uwmp_table_4_2_w!M$2:M$9900,uwmp_table_4_2_w!$G$2:$G$9900,"Saline water intrusion barrier",uwmp_table_4_2_w!$B$2:$B$9900,'Contractor Assumptions'!$F20),0) + IFERROR(SUMIFS(uwmp_table_4_2_r!M$2:M$9900,uwmp_table_4_2_r!$G$2:$G$9900,"Saline water intrusion barrier",uwmp_table_4_2_r!$B$2:$B$9900,'Contractor Assumptions'!$F20),0)
+ IFERROR(SUMIFS(uwmp_table_4_2_w!M$2:M$9900,uwmp_table_4_2_w!$G$2:$G$9900,"Groundwater recharge",uwmp_table_4_2_w!$B$2:$B$9900,'Contractor Assumptions'!$F20),0) + IFERROR(SUMIFS(uwmp_table_4_2_r!M$2:M$9900,uwmp_table_4_2_r!$G$2:$G$9900,"Groundwater recharge",uwmp_table_4_2_r!$B$2:$B$9900,'Contractor Assumptions'!$F20),0)
+ IFERROR(SUMIFS(uwmp_table_4_2_w!M$2:M$9900,uwmp_table_4_2_w!$G$2:$G$9900,"Retail demand for use by agencies that are primarily",uwmp_table_4_2_w!$B$2:$B$9900,'Contractor Assumptions'!$F20),0) + IFERROR(SUMIFS(uwmp_table_4_2_r!M$2:M$9900,uwmp_table_4_2_r!$G$2:$G$9900,"Retail demand for use by agencies that are primarily",uwmp_table_4_2_r!$B$2:$B$9900,'Contractor Assumptions'!$F20),0)
+ IFERROR(SUMIFS(uwmp_table_4_2_w!M$2:M$9900,uwmp_table_4_2_w!$G$2:$G$9900,"wholesalers with a small volume of retail sales",uwmp_table_4_2_w!$B$2:$B$9900,'Contractor Assumptions'!$F20),0) + IFERROR(SUMIFS(uwmp_table_4_2_r!M$2:M$9900,uwmp_table_4_2_r!$G$2:$G$9900,"wholesalers with a small volume of retail sales",uwmp_table_4_2_r!$B$2:$B$9900,'Contractor Assumptions'!$F20),0)
+ IFERROR(SUMIFS(uwmp_table_4_2_w!M$2:M$9900,uwmp_table_4_2_w!$G$2:$G$9900,"Sales to other agencies",uwmp_table_4_2_w!$B$2:$B$9900,'Contractor Assumptions'!$F20),0) + IFERROR(SUMIFS(uwmp_table_4_2_r!M$2:M$9900,uwmp_table_4_2_r!$G$2:$G$9900,"Sales to other agencies",uwmp_table_4_2_r!$B$2:$B$9900,'Contractor Assumptions'!$F20),0)
+ IFERROR(SUMIFS(uwmp_table_4_2_w!M$2:M$9900,uwmp_table_4_2_w!$G$2:$G$9900,"Exchanges to other agencies",uwmp_table_4_2_w!$B$2:$B$9900,'Contractor Assumptions'!$F20),0) + IFERROR(SUMIFS(uwmp_table_4_2_r!M$2:M$9900,uwmp_table_4_2_r!$G$2:$G$9900,"Exchanges to other agencies",uwmp_table_4_2_r!$B$2:$B$9900,'Contractor Assumptions'!$F20),0)
)*IFERROR(VLOOKUP(VLOOKUP('Contractor Assumptions'!$F20,uwmp_table_4_2_r!$B$2:$N$9900,13,FALSE),$A$11:$C$13,2,FALSE), VLOOKUP(VLOOKUP('Contractor Assumptions'!$F20,uwmp_table_4_2_w!$B$2:$N$9900,14,FALSE),$A$11:$C$13,2,FALSE))</f>
        <v>0</v>
      </c>
      <c r="I549" s="66"/>
      <c r="J549" s="70"/>
      <c r="K549" s="70"/>
      <c r="L549" s="70"/>
      <c r="M549" s="70"/>
      <c r="N549" s="70"/>
      <c r="O549" s="70"/>
      <c r="P549" s="70"/>
    </row>
    <row r="550" spans="1:16" hidden="1" outlineLevel="1" x14ac:dyDescent="0.3">
      <c r="A550" s="63" t="s">
        <v>1026</v>
      </c>
      <c r="B550" s="63" t="s">
        <v>894</v>
      </c>
      <c r="C550" s="63" t="str">
        <f t="shared" si="11"/>
        <v>City of Fresno</v>
      </c>
      <c r="D550" s="472">
        <f>(IFERROR(SUMIFS(uwmp_table_4_2_w!I$2:I$9900,uwmp_table_4_2_w!$G$2:$G$9900,"Losses",uwmp_table_4_2_w!$B$2:$B$9900,'Contractor Assumptions'!$F21),0) + IFERROR(SUMIFS(uwmp_table_4_2_r!I$2:I$9900,uwmp_table_4_2_r!$G$2:$G$9900,"Losses",uwmp_table_4_2_r!$B$2:$B$9900,'Contractor Assumptions'!$F21),0)
+ IFERROR(SUMIFS(uwmp_table_4_2_w!I$2:I$9900,uwmp_table_4_2_w!$G$2:$G$9900,"Other Potable",uwmp_table_4_2_w!$B$2:$B$9900,'Contractor Assumptions'!$F21),0) + IFERROR(SUMIFS(uwmp_table_4_2_r!I$2:I$9900,uwmp_table_4_2_r!$G$2:$G$9900,"Other Potable",uwmp_table_4_2_r!$B$2:$B$9900,'Contractor Assumptions'!$F21),0)
+ IFERROR(SUMIFS(uwmp_table_4_2_w!I$2:I$9900,uwmp_table_4_2_w!$G$2:$G$9900,"Other",uwmp_table_4_2_w!$B$2:$B$9900,'Contractor Assumptions'!$F21),0) + IFERROR(SUMIFS(uwmp_table_4_2_r!I$2:I$9900,uwmp_table_4_2_r!$G$2:$G$9900,"Other",uwmp_table_4_2_r!$B$2:$B$9900,'Contractor Assumptions'!$F21),0)
+ IFERROR(SUMIFS(uwmp_table_4_2_w!I$2:I$9900,uwmp_table_4_2_w!$G$2:$G$9900,"Sales/Transfers/Exchanges to other agencies",uwmp_table_4_2_w!$B$2:$B$9900,'Contractor Assumptions'!$F21),0) + IFERROR(SUMIFS(uwmp_table_4_2_r!I$2:I$9900,uwmp_table_4_2_r!$G$2:$G$9900,"Sales/Transfers/Exchanges to other agencies",uwmp_table_4_2_r!$B$2:$B$9900,'Contractor Assumptions'!$F21),0)
+ IFERROR(SUMIFS(uwmp_table_4_2_w!I$2:I$9900,uwmp_table_4_2_w!$G$2:$G$9900,"Other Non-Potable",uwmp_table_4_2_w!$B$2:$B$9900,'Contractor Assumptions'!$F21),0) + IFERROR(SUMIFS(uwmp_table_4_2_r!I$2:I$9900,uwmp_table_4_2_r!$G$2:$G$9900,"Other Non-Potable",uwmp_table_4_2_r!$B$2:$B$9900,'Contractor Assumptions'!$F21),0)
+ IFERROR(SUMIFS(uwmp_table_4_2_w!I$2:I$9900,uwmp_table_4_2_w!$G$2:$G$9900,"Wetlands or wildlife habitat",uwmp_table_4_2_w!$B$2:$B$9900,'Contractor Assumptions'!$F21),0) + IFERROR(SUMIFS(uwmp_table_4_2_r!I$2:I$9900,uwmp_table_4_2_r!$G$2:$G$9900,"Wetlands or wildlife habitat",uwmp_table_4_2_r!$B$2:$B$9900,'Contractor Assumptions'!$F21),0)
+ IFERROR(SUMIFS(uwmp_table_4_2_w!I$2:I$9900,uwmp_table_4_2_w!$G$2:$G$9900,"Saline water intrusion barrier",uwmp_table_4_2_w!$B$2:$B$9900,'Contractor Assumptions'!$F21),0) + IFERROR(SUMIFS(uwmp_table_4_2_r!I$2:I$9900,uwmp_table_4_2_r!$G$2:$G$9900,"Saline water intrusion barrier",uwmp_table_4_2_r!$B$2:$B$9900,'Contractor Assumptions'!$F21),0)
+ IFERROR(SUMIFS(uwmp_table_4_2_w!I$2:I$9900,uwmp_table_4_2_w!$G$2:$G$9900,"Groundwater recharge",uwmp_table_4_2_w!$B$2:$B$9900,'Contractor Assumptions'!$F21),0) + IFERROR(SUMIFS(uwmp_table_4_2_r!I$2:I$9900,uwmp_table_4_2_r!$G$2:$G$9900,"Groundwater recharge",uwmp_table_4_2_r!$B$2:$B$9900,'Contractor Assumptions'!$F21),0)
+ IFERROR(SUMIFS(uwmp_table_4_2_w!I$2:I$9900,uwmp_table_4_2_w!$G$2:$G$9900,"Retail demand for use by agencies that are primarily",uwmp_table_4_2_w!$B$2:$B$9900,'Contractor Assumptions'!$F21),0) + IFERROR(SUMIFS(uwmp_table_4_2_r!I$2:I$9900,uwmp_table_4_2_r!$G$2:$G$9900,"Retail demand for use by agencies that are primarily",uwmp_table_4_2_r!$B$2:$B$9900,'Contractor Assumptions'!$F21),0)
+ IFERROR(SUMIFS(uwmp_table_4_2_w!I$2:I$9900,uwmp_table_4_2_w!$G$2:$G$9900,"wholesalers with a small volume of retail sales",uwmp_table_4_2_w!$B$2:$B$9900,'Contractor Assumptions'!$F21),0) + IFERROR(SUMIFS(uwmp_table_4_2_r!I$2:I$9900,uwmp_table_4_2_r!$G$2:$G$9900,"wholesalers with a small volume of retail sales",uwmp_table_4_2_r!$B$2:$B$9900,'Contractor Assumptions'!$F21),0)
+ IFERROR(SUMIFS(uwmp_table_4_2_w!I$2:I$9900,uwmp_table_4_2_w!$G$2:$G$9900,"Sales to other agencies",uwmp_table_4_2_w!$B$2:$B$9900,'Contractor Assumptions'!$F21),0) + IFERROR(SUMIFS(uwmp_table_4_2_r!I$2:I$9900,uwmp_table_4_2_r!$G$2:$G$9900,"Sales to other agencies",uwmp_table_4_2_r!$B$2:$B$9900,'Contractor Assumptions'!$F21),0)
+ IFERROR(SUMIFS(uwmp_table_4_2_w!I$2:I$9900,uwmp_table_4_2_w!$G$2:$G$9900,"Exchanges to other agencies",uwmp_table_4_2_w!$B$2:$B$9900,'Contractor Assumptions'!$F21),0) + IFERROR(SUMIFS(uwmp_table_4_2_r!I$2:I$9900,uwmp_table_4_2_r!$G$2:$G$9900,"Exchanges to other agencies",uwmp_table_4_2_r!$B$2:$B$9900,'Contractor Assumptions'!$F21),0)
)*IFERROR(VLOOKUP(VLOOKUP('Contractor Assumptions'!$F21,uwmp_table_4_2_r!$B$2:$N$9900,13,FALSE),$A$11:$C$13,2,FALSE), VLOOKUP(VLOOKUP('Contractor Assumptions'!$F21,uwmp_table_4_2_w!$B$2:$N$9900,14,FALSE),$A$11:$C$13,2,FALSE))</f>
        <v>72997</v>
      </c>
      <c r="E550" s="472">
        <f>(IFERROR(SUMIFS(uwmp_table_4_2_w!J$2:J$9900,uwmp_table_4_2_w!$G$2:$G$9900,"Losses",uwmp_table_4_2_w!$B$2:$B$9900,'Contractor Assumptions'!$F21),0) + IFERROR(SUMIFS(uwmp_table_4_2_r!J$2:J$9900,uwmp_table_4_2_r!$G$2:$G$9900,"Losses",uwmp_table_4_2_r!$B$2:$B$9900,'Contractor Assumptions'!$F21),0)
+ IFERROR(SUMIFS(uwmp_table_4_2_w!J$2:J$9900,uwmp_table_4_2_w!$G$2:$G$9900,"Other Potable",uwmp_table_4_2_w!$B$2:$B$9900,'Contractor Assumptions'!$F21),0) + IFERROR(SUMIFS(uwmp_table_4_2_r!J$2:J$9900,uwmp_table_4_2_r!$G$2:$G$9900,"Other Potable",uwmp_table_4_2_r!$B$2:$B$9900,'Contractor Assumptions'!$F21),0)
+ IFERROR(SUMIFS(uwmp_table_4_2_w!J$2:J$9900,uwmp_table_4_2_w!$G$2:$G$9900,"Other",uwmp_table_4_2_w!$B$2:$B$9900,'Contractor Assumptions'!$F21),0) + IFERROR(SUMIFS(uwmp_table_4_2_r!J$2:J$9900,uwmp_table_4_2_r!$G$2:$G$9900,"Other",uwmp_table_4_2_r!$B$2:$B$9900,'Contractor Assumptions'!$F21),0)
+ IFERROR(SUMIFS(uwmp_table_4_2_w!J$2:J$9900,uwmp_table_4_2_w!$G$2:$G$9900,"Sales/Transfers/Exchanges to other agencies",uwmp_table_4_2_w!$B$2:$B$9900,'Contractor Assumptions'!$F21),0) + IFERROR(SUMIFS(uwmp_table_4_2_r!J$2:J$9900,uwmp_table_4_2_r!$G$2:$G$9900,"Sales/Transfers/Exchanges to other agencies",uwmp_table_4_2_r!$B$2:$B$9900,'Contractor Assumptions'!$F21),0)
+ IFERROR(SUMIFS(uwmp_table_4_2_w!J$2:J$9900,uwmp_table_4_2_w!$G$2:$G$9900,"Other Non-Potable",uwmp_table_4_2_w!$B$2:$B$9900,'Contractor Assumptions'!$F21),0) + IFERROR(SUMIFS(uwmp_table_4_2_r!J$2:J$9900,uwmp_table_4_2_r!$G$2:$G$9900,"Other Non-Potable",uwmp_table_4_2_r!$B$2:$B$9900,'Contractor Assumptions'!$F21),0)
+ IFERROR(SUMIFS(uwmp_table_4_2_w!J$2:J$9900,uwmp_table_4_2_w!$G$2:$G$9900,"Wetlands or wildlife habitat",uwmp_table_4_2_w!$B$2:$B$9900,'Contractor Assumptions'!$F21),0) + IFERROR(SUMIFS(uwmp_table_4_2_r!J$2:J$9900,uwmp_table_4_2_r!$G$2:$G$9900,"Wetlands or wildlife habitat",uwmp_table_4_2_r!$B$2:$B$9900,'Contractor Assumptions'!$F21),0)
+ IFERROR(SUMIFS(uwmp_table_4_2_w!J$2:J$9900,uwmp_table_4_2_w!$G$2:$G$9900,"Saline water intrusion barrier",uwmp_table_4_2_w!$B$2:$B$9900,'Contractor Assumptions'!$F21),0) + IFERROR(SUMIFS(uwmp_table_4_2_r!J$2:J$9900,uwmp_table_4_2_r!$G$2:$G$9900,"Saline water intrusion barrier",uwmp_table_4_2_r!$B$2:$B$9900,'Contractor Assumptions'!$F21),0)
+ IFERROR(SUMIFS(uwmp_table_4_2_w!J$2:J$9900,uwmp_table_4_2_w!$G$2:$G$9900,"Groundwater recharge",uwmp_table_4_2_w!$B$2:$B$9900,'Contractor Assumptions'!$F21),0) + IFERROR(SUMIFS(uwmp_table_4_2_r!J$2:J$9900,uwmp_table_4_2_r!$G$2:$G$9900,"Groundwater recharge",uwmp_table_4_2_r!$B$2:$B$9900,'Contractor Assumptions'!$F21),0)
+ IFERROR(SUMIFS(uwmp_table_4_2_w!J$2:J$9900,uwmp_table_4_2_w!$G$2:$G$9900,"Retail demand for use by agencies that are primarily",uwmp_table_4_2_w!$B$2:$B$9900,'Contractor Assumptions'!$F21),0) + IFERROR(SUMIFS(uwmp_table_4_2_r!J$2:J$9900,uwmp_table_4_2_r!$G$2:$G$9900,"Retail demand for use by agencies that are primarily",uwmp_table_4_2_r!$B$2:$B$9900,'Contractor Assumptions'!$F21),0)
+ IFERROR(SUMIFS(uwmp_table_4_2_w!J$2:J$9900,uwmp_table_4_2_w!$G$2:$G$9900,"wholesalers with a small volume of retail sales",uwmp_table_4_2_w!$B$2:$B$9900,'Contractor Assumptions'!$F21),0) + IFERROR(SUMIFS(uwmp_table_4_2_r!J$2:J$9900,uwmp_table_4_2_r!$G$2:$G$9900,"wholesalers with a small volume of retail sales",uwmp_table_4_2_r!$B$2:$B$9900,'Contractor Assumptions'!$F21),0)
+ IFERROR(SUMIFS(uwmp_table_4_2_w!J$2:J$9900,uwmp_table_4_2_w!$G$2:$G$9900,"Sales to other agencies",uwmp_table_4_2_w!$B$2:$B$9900,'Contractor Assumptions'!$F21),0) + IFERROR(SUMIFS(uwmp_table_4_2_r!J$2:J$9900,uwmp_table_4_2_r!$G$2:$G$9900,"Sales to other agencies",uwmp_table_4_2_r!$B$2:$B$9900,'Contractor Assumptions'!$F21),0)
+ IFERROR(SUMIFS(uwmp_table_4_2_w!J$2:J$9900,uwmp_table_4_2_w!$G$2:$G$9900,"Exchanges to other agencies",uwmp_table_4_2_w!$B$2:$B$9900,'Contractor Assumptions'!$F21),0) + IFERROR(SUMIFS(uwmp_table_4_2_r!J$2:J$9900,uwmp_table_4_2_r!$G$2:$G$9900,"Exchanges to other agencies",uwmp_table_4_2_r!$B$2:$B$9900,'Contractor Assumptions'!$F21),0)
)*IFERROR(VLOOKUP(VLOOKUP('Contractor Assumptions'!$F21,uwmp_table_4_2_r!$B$2:$N$9900,13,FALSE),$A$11:$C$13,2,FALSE), VLOOKUP(VLOOKUP('Contractor Assumptions'!$F21,uwmp_table_4_2_w!$B$2:$N$9900,14,FALSE),$A$11:$C$13,2,FALSE))</f>
        <v>76500</v>
      </c>
      <c r="F550" s="472">
        <f>(IFERROR(SUMIFS(uwmp_table_4_2_w!K$2:K$9900,uwmp_table_4_2_w!$G$2:$G$9900,"Losses",uwmp_table_4_2_w!$B$2:$B$9900,'Contractor Assumptions'!$F21),0) + IFERROR(SUMIFS(uwmp_table_4_2_r!K$2:K$9900,uwmp_table_4_2_r!$G$2:$G$9900,"Losses",uwmp_table_4_2_r!$B$2:$B$9900,'Contractor Assumptions'!$F21),0)
+ IFERROR(SUMIFS(uwmp_table_4_2_w!K$2:K$9900,uwmp_table_4_2_w!$G$2:$G$9900,"Other Potable",uwmp_table_4_2_w!$B$2:$B$9900,'Contractor Assumptions'!$F21),0) + IFERROR(SUMIFS(uwmp_table_4_2_r!K$2:K$9900,uwmp_table_4_2_r!$G$2:$G$9900,"Other Potable",uwmp_table_4_2_r!$B$2:$B$9900,'Contractor Assumptions'!$F21),0)
+ IFERROR(SUMIFS(uwmp_table_4_2_w!K$2:K$9900,uwmp_table_4_2_w!$G$2:$G$9900,"Other",uwmp_table_4_2_w!$B$2:$B$9900,'Contractor Assumptions'!$F21),0) + IFERROR(SUMIFS(uwmp_table_4_2_r!K$2:K$9900,uwmp_table_4_2_r!$G$2:$G$9900,"Other",uwmp_table_4_2_r!$B$2:$B$9900,'Contractor Assumptions'!$F21),0)
+ IFERROR(SUMIFS(uwmp_table_4_2_w!K$2:K$9900,uwmp_table_4_2_w!$G$2:$G$9900,"Sales/Transfers/Exchanges to other agencies",uwmp_table_4_2_w!$B$2:$B$9900,'Contractor Assumptions'!$F21),0) + IFERROR(SUMIFS(uwmp_table_4_2_r!K$2:K$9900,uwmp_table_4_2_r!$G$2:$G$9900,"Sales/Transfers/Exchanges to other agencies",uwmp_table_4_2_r!$B$2:$B$9900,'Contractor Assumptions'!$F21),0)
+ IFERROR(SUMIFS(uwmp_table_4_2_w!K$2:K$9900,uwmp_table_4_2_w!$G$2:$G$9900,"Other Non-Potable",uwmp_table_4_2_w!$B$2:$B$9900,'Contractor Assumptions'!$F21),0) + IFERROR(SUMIFS(uwmp_table_4_2_r!K$2:K$9900,uwmp_table_4_2_r!$G$2:$G$9900,"Other Non-Potable",uwmp_table_4_2_r!$B$2:$B$9900,'Contractor Assumptions'!$F21),0)
+ IFERROR(SUMIFS(uwmp_table_4_2_w!K$2:K$9900,uwmp_table_4_2_w!$G$2:$G$9900,"Wetlands or wildlife habitat",uwmp_table_4_2_w!$B$2:$B$9900,'Contractor Assumptions'!$F21),0) + IFERROR(SUMIFS(uwmp_table_4_2_r!K$2:K$9900,uwmp_table_4_2_r!$G$2:$G$9900,"Wetlands or wildlife habitat",uwmp_table_4_2_r!$B$2:$B$9900,'Contractor Assumptions'!$F21),0)
+ IFERROR(SUMIFS(uwmp_table_4_2_w!K$2:K$9900,uwmp_table_4_2_w!$G$2:$G$9900,"Saline water intrusion barrier",uwmp_table_4_2_w!$B$2:$B$9900,'Contractor Assumptions'!$F21),0) + IFERROR(SUMIFS(uwmp_table_4_2_r!K$2:K$9900,uwmp_table_4_2_r!$G$2:$G$9900,"Saline water intrusion barrier",uwmp_table_4_2_r!$B$2:$B$9900,'Contractor Assumptions'!$F21),0)
+ IFERROR(SUMIFS(uwmp_table_4_2_w!K$2:K$9900,uwmp_table_4_2_w!$G$2:$G$9900,"Groundwater recharge",uwmp_table_4_2_w!$B$2:$B$9900,'Contractor Assumptions'!$F21),0) + IFERROR(SUMIFS(uwmp_table_4_2_r!K$2:K$9900,uwmp_table_4_2_r!$G$2:$G$9900,"Groundwater recharge",uwmp_table_4_2_r!$B$2:$B$9900,'Contractor Assumptions'!$F21),0)
+ IFERROR(SUMIFS(uwmp_table_4_2_w!K$2:K$9900,uwmp_table_4_2_w!$G$2:$G$9900,"Retail demand for use by agencies that are primarily",uwmp_table_4_2_w!$B$2:$B$9900,'Contractor Assumptions'!$F21),0) + IFERROR(SUMIFS(uwmp_table_4_2_r!K$2:K$9900,uwmp_table_4_2_r!$G$2:$G$9900,"Retail demand for use by agencies that are primarily",uwmp_table_4_2_r!$B$2:$B$9900,'Contractor Assumptions'!$F21),0)
+ IFERROR(SUMIFS(uwmp_table_4_2_w!K$2:K$9900,uwmp_table_4_2_w!$G$2:$G$9900,"wholesalers with a small volume of retail sales",uwmp_table_4_2_w!$B$2:$B$9900,'Contractor Assumptions'!$F21),0) + IFERROR(SUMIFS(uwmp_table_4_2_r!K$2:K$9900,uwmp_table_4_2_r!$G$2:$G$9900,"wholesalers with a small volume of retail sales",uwmp_table_4_2_r!$B$2:$B$9900,'Contractor Assumptions'!$F21),0)
+ IFERROR(SUMIFS(uwmp_table_4_2_w!K$2:K$9900,uwmp_table_4_2_w!$G$2:$G$9900,"Sales to other agencies",uwmp_table_4_2_w!$B$2:$B$9900,'Contractor Assumptions'!$F21),0) + IFERROR(SUMIFS(uwmp_table_4_2_r!K$2:K$9900,uwmp_table_4_2_r!$G$2:$G$9900,"Sales to other agencies",uwmp_table_4_2_r!$B$2:$B$9900,'Contractor Assumptions'!$F21),0)
+ IFERROR(SUMIFS(uwmp_table_4_2_w!K$2:K$9900,uwmp_table_4_2_w!$G$2:$G$9900,"Exchanges to other agencies",uwmp_table_4_2_w!$B$2:$B$9900,'Contractor Assumptions'!$F21),0) + IFERROR(SUMIFS(uwmp_table_4_2_r!K$2:K$9900,uwmp_table_4_2_r!$G$2:$G$9900,"Exchanges to other agencies",uwmp_table_4_2_r!$B$2:$B$9900,'Contractor Assumptions'!$F21),0)
)*IFERROR(VLOOKUP(VLOOKUP('Contractor Assumptions'!$F21,uwmp_table_4_2_r!$B$2:$N$9900,13,FALSE),$A$11:$C$13,2,FALSE), VLOOKUP(VLOOKUP('Contractor Assumptions'!$F21,uwmp_table_4_2_w!$B$2:$N$9900,14,FALSE),$A$11:$C$13,2,FALSE))</f>
        <v>79708</v>
      </c>
      <c r="G550" s="472">
        <f>(IFERROR(SUMIFS(uwmp_table_4_2_w!L$2:L$9900,uwmp_table_4_2_w!$G$2:$G$9900,"Losses",uwmp_table_4_2_w!$B$2:$B$9900,'Contractor Assumptions'!$F21),0) + IFERROR(SUMIFS(uwmp_table_4_2_r!L$2:L$9900,uwmp_table_4_2_r!$G$2:$G$9900,"Losses",uwmp_table_4_2_r!$B$2:$B$9900,'Contractor Assumptions'!$F21),0)
+ IFERROR(SUMIFS(uwmp_table_4_2_w!L$2:L$9900,uwmp_table_4_2_w!$G$2:$G$9900,"Other Potable",uwmp_table_4_2_w!$B$2:$B$9900,'Contractor Assumptions'!$F21),0) + IFERROR(SUMIFS(uwmp_table_4_2_r!L$2:L$9900,uwmp_table_4_2_r!$G$2:$G$9900,"Other Potable",uwmp_table_4_2_r!$B$2:$B$9900,'Contractor Assumptions'!$F21),0)
+ IFERROR(SUMIFS(uwmp_table_4_2_w!L$2:L$9900,uwmp_table_4_2_w!$G$2:$G$9900,"Other",uwmp_table_4_2_w!$B$2:$B$9900,'Contractor Assumptions'!$F21),0) + IFERROR(SUMIFS(uwmp_table_4_2_r!L$2:L$9900,uwmp_table_4_2_r!$G$2:$G$9900,"Other",uwmp_table_4_2_r!$B$2:$B$9900,'Contractor Assumptions'!$F21),0)
+ IFERROR(SUMIFS(uwmp_table_4_2_w!L$2:L$9900,uwmp_table_4_2_w!$G$2:$G$9900,"Sales/Transfers/Exchanges to other agencies",uwmp_table_4_2_w!$B$2:$B$9900,'Contractor Assumptions'!$F21),0) + IFERROR(SUMIFS(uwmp_table_4_2_r!L$2:L$9900,uwmp_table_4_2_r!$G$2:$G$9900,"Sales/Transfers/Exchanges to other agencies",uwmp_table_4_2_r!$B$2:$B$9900,'Contractor Assumptions'!$F21),0)
+ IFERROR(SUMIFS(uwmp_table_4_2_w!L$2:L$9900,uwmp_table_4_2_w!$G$2:$G$9900,"Other Non-Potable",uwmp_table_4_2_w!$B$2:$B$9900,'Contractor Assumptions'!$F21),0) + IFERROR(SUMIFS(uwmp_table_4_2_r!L$2:L$9900,uwmp_table_4_2_r!$G$2:$G$9900,"Other Non-Potable",uwmp_table_4_2_r!$B$2:$B$9900,'Contractor Assumptions'!$F21),0)
+ IFERROR(SUMIFS(uwmp_table_4_2_w!L$2:L$9900,uwmp_table_4_2_w!$G$2:$G$9900,"Wetlands or wildlife habitat",uwmp_table_4_2_w!$B$2:$B$9900,'Contractor Assumptions'!$F21),0) + IFERROR(SUMIFS(uwmp_table_4_2_r!L$2:L$9900,uwmp_table_4_2_r!$G$2:$G$9900,"Wetlands or wildlife habitat",uwmp_table_4_2_r!$B$2:$B$9900,'Contractor Assumptions'!$F21),0)
+ IFERROR(SUMIFS(uwmp_table_4_2_w!L$2:L$9900,uwmp_table_4_2_w!$G$2:$G$9900,"Saline water intrusion barrier",uwmp_table_4_2_w!$B$2:$B$9900,'Contractor Assumptions'!$F21),0) + IFERROR(SUMIFS(uwmp_table_4_2_r!L$2:L$9900,uwmp_table_4_2_r!$G$2:$G$9900,"Saline water intrusion barrier",uwmp_table_4_2_r!$B$2:$B$9900,'Contractor Assumptions'!$F21),0)
+ IFERROR(SUMIFS(uwmp_table_4_2_w!L$2:L$9900,uwmp_table_4_2_w!$G$2:$G$9900,"Groundwater recharge",uwmp_table_4_2_w!$B$2:$B$9900,'Contractor Assumptions'!$F21),0) + IFERROR(SUMIFS(uwmp_table_4_2_r!L$2:L$9900,uwmp_table_4_2_r!$G$2:$G$9900,"Groundwater recharge",uwmp_table_4_2_r!$B$2:$B$9900,'Contractor Assumptions'!$F21),0)
+ IFERROR(SUMIFS(uwmp_table_4_2_w!L$2:L$9900,uwmp_table_4_2_w!$G$2:$G$9900,"Retail demand for use by agencies that are primarily",uwmp_table_4_2_w!$B$2:$B$9900,'Contractor Assumptions'!$F21),0) + IFERROR(SUMIFS(uwmp_table_4_2_r!L$2:L$9900,uwmp_table_4_2_r!$G$2:$G$9900,"Retail demand for use by agencies that are primarily",uwmp_table_4_2_r!$B$2:$B$9900,'Contractor Assumptions'!$F21),0)
+ IFERROR(SUMIFS(uwmp_table_4_2_w!L$2:L$9900,uwmp_table_4_2_w!$G$2:$G$9900,"wholesalers with a small volume of retail sales",uwmp_table_4_2_w!$B$2:$B$9900,'Contractor Assumptions'!$F21),0) + IFERROR(SUMIFS(uwmp_table_4_2_r!L$2:L$9900,uwmp_table_4_2_r!$G$2:$G$9900,"wholesalers with a small volume of retail sales",uwmp_table_4_2_r!$B$2:$B$9900,'Contractor Assumptions'!$F21),0)
+ IFERROR(SUMIFS(uwmp_table_4_2_w!L$2:L$9900,uwmp_table_4_2_w!$G$2:$G$9900,"Sales to other agencies",uwmp_table_4_2_w!$B$2:$B$9900,'Contractor Assumptions'!$F21),0) + IFERROR(SUMIFS(uwmp_table_4_2_r!L$2:L$9900,uwmp_table_4_2_r!$G$2:$G$9900,"Sales to other agencies",uwmp_table_4_2_r!$B$2:$B$9900,'Contractor Assumptions'!$F21),0)
+ IFERROR(SUMIFS(uwmp_table_4_2_w!L$2:L$9900,uwmp_table_4_2_w!$G$2:$G$9900,"Exchanges to other agencies",uwmp_table_4_2_w!$B$2:$B$9900,'Contractor Assumptions'!$F21),0) + IFERROR(SUMIFS(uwmp_table_4_2_r!L$2:L$9900,uwmp_table_4_2_r!$G$2:$G$9900,"Exchanges to other agencies",uwmp_table_4_2_r!$B$2:$B$9900,'Contractor Assumptions'!$F21),0)
)*IFERROR(VLOOKUP(VLOOKUP('Contractor Assumptions'!$F21,uwmp_table_4_2_r!$B$2:$N$9900,13,FALSE),$A$11:$C$13,2,FALSE), VLOOKUP(VLOOKUP('Contractor Assumptions'!$F21,uwmp_table_4_2_w!$B$2:$N$9900,14,FALSE),$A$11:$C$13,2,FALSE))</f>
        <v>82917</v>
      </c>
      <c r="H550" s="520">
        <f>(IFERROR(SUMIFS(uwmp_table_4_2_w!M$2:M$9900,uwmp_table_4_2_w!$G$2:$G$9900,"Losses",uwmp_table_4_2_w!$B$2:$B$9900,'Contractor Assumptions'!$F21),0) + IFERROR(SUMIFS(uwmp_table_4_2_r!M$2:M$9900,uwmp_table_4_2_r!$G$2:$G$9900,"Losses",uwmp_table_4_2_r!$B$2:$B$9900,'Contractor Assumptions'!$F21),0)
+ IFERROR(SUMIFS(uwmp_table_4_2_w!M$2:M$9900,uwmp_table_4_2_w!$G$2:$G$9900,"Other Potable",uwmp_table_4_2_w!$B$2:$B$9900,'Contractor Assumptions'!$F21),0) + IFERROR(SUMIFS(uwmp_table_4_2_r!M$2:M$9900,uwmp_table_4_2_r!$G$2:$G$9900,"Other Potable",uwmp_table_4_2_r!$B$2:$B$9900,'Contractor Assumptions'!$F21),0)
+ IFERROR(SUMIFS(uwmp_table_4_2_w!M$2:M$9900,uwmp_table_4_2_w!$G$2:$G$9900,"Other",uwmp_table_4_2_w!$B$2:$B$9900,'Contractor Assumptions'!$F21),0) + IFERROR(SUMIFS(uwmp_table_4_2_r!M$2:M$9900,uwmp_table_4_2_r!$G$2:$G$9900,"Other",uwmp_table_4_2_r!$B$2:$B$9900,'Contractor Assumptions'!$F21),0)
+ IFERROR(SUMIFS(uwmp_table_4_2_w!M$2:M$9900,uwmp_table_4_2_w!$G$2:$G$9900,"Sales/Transfers/Exchanges to other agencies",uwmp_table_4_2_w!$B$2:$B$9900,'Contractor Assumptions'!$F21),0) + IFERROR(SUMIFS(uwmp_table_4_2_r!M$2:M$9900,uwmp_table_4_2_r!$G$2:$G$9900,"Sales/Transfers/Exchanges to other agencies",uwmp_table_4_2_r!$B$2:$B$9900,'Contractor Assumptions'!$F21),0)
+ IFERROR(SUMIFS(uwmp_table_4_2_w!M$2:M$9900,uwmp_table_4_2_w!$G$2:$G$9900,"Other Non-Potable",uwmp_table_4_2_w!$B$2:$B$9900,'Contractor Assumptions'!$F21),0) + IFERROR(SUMIFS(uwmp_table_4_2_r!M$2:M$9900,uwmp_table_4_2_r!$G$2:$G$9900,"Other Non-Potable",uwmp_table_4_2_r!$B$2:$B$9900,'Contractor Assumptions'!$F21),0)
+ IFERROR(SUMIFS(uwmp_table_4_2_w!M$2:M$9900,uwmp_table_4_2_w!$G$2:$G$9900,"Wetlands or wildlife habitat",uwmp_table_4_2_w!$B$2:$B$9900,'Contractor Assumptions'!$F21),0) + IFERROR(SUMIFS(uwmp_table_4_2_r!M$2:M$9900,uwmp_table_4_2_r!$G$2:$G$9900,"Wetlands or wildlife habitat",uwmp_table_4_2_r!$B$2:$B$9900,'Contractor Assumptions'!$F21),0)
+ IFERROR(SUMIFS(uwmp_table_4_2_w!M$2:M$9900,uwmp_table_4_2_w!$G$2:$G$9900,"Saline water intrusion barrier",uwmp_table_4_2_w!$B$2:$B$9900,'Contractor Assumptions'!$F21),0) + IFERROR(SUMIFS(uwmp_table_4_2_r!M$2:M$9900,uwmp_table_4_2_r!$G$2:$G$9900,"Saline water intrusion barrier",uwmp_table_4_2_r!$B$2:$B$9900,'Contractor Assumptions'!$F21),0)
+ IFERROR(SUMIFS(uwmp_table_4_2_w!M$2:M$9900,uwmp_table_4_2_w!$G$2:$G$9900,"Groundwater recharge",uwmp_table_4_2_w!$B$2:$B$9900,'Contractor Assumptions'!$F21),0) + IFERROR(SUMIFS(uwmp_table_4_2_r!M$2:M$9900,uwmp_table_4_2_r!$G$2:$G$9900,"Groundwater recharge",uwmp_table_4_2_r!$B$2:$B$9900,'Contractor Assumptions'!$F21),0)
+ IFERROR(SUMIFS(uwmp_table_4_2_w!M$2:M$9900,uwmp_table_4_2_w!$G$2:$G$9900,"Retail demand for use by agencies that are primarily",uwmp_table_4_2_w!$B$2:$B$9900,'Contractor Assumptions'!$F21),0) + IFERROR(SUMIFS(uwmp_table_4_2_r!M$2:M$9900,uwmp_table_4_2_r!$G$2:$G$9900,"Retail demand for use by agencies that are primarily",uwmp_table_4_2_r!$B$2:$B$9900,'Contractor Assumptions'!$F21),0)
+ IFERROR(SUMIFS(uwmp_table_4_2_w!M$2:M$9900,uwmp_table_4_2_w!$G$2:$G$9900,"wholesalers with a small volume of retail sales",uwmp_table_4_2_w!$B$2:$B$9900,'Contractor Assumptions'!$F21),0) + IFERROR(SUMIFS(uwmp_table_4_2_r!M$2:M$9900,uwmp_table_4_2_r!$G$2:$G$9900,"wholesalers with a small volume of retail sales",uwmp_table_4_2_r!$B$2:$B$9900,'Contractor Assumptions'!$F21),0)
+ IFERROR(SUMIFS(uwmp_table_4_2_w!M$2:M$9900,uwmp_table_4_2_w!$G$2:$G$9900,"Sales to other agencies",uwmp_table_4_2_w!$B$2:$B$9900,'Contractor Assumptions'!$F21),0) + IFERROR(SUMIFS(uwmp_table_4_2_r!M$2:M$9900,uwmp_table_4_2_r!$G$2:$G$9900,"Sales to other agencies",uwmp_table_4_2_r!$B$2:$B$9900,'Contractor Assumptions'!$F21),0)
+ IFERROR(SUMIFS(uwmp_table_4_2_w!M$2:M$9900,uwmp_table_4_2_w!$G$2:$G$9900,"Exchanges to other agencies",uwmp_table_4_2_w!$B$2:$B$9900,'Contractor Assumptions'!$F21),0) + IFERROR(SUMIFS(uwmp_table_4_2_r!M$2:M$9900,uwmp_table_4_2_r!$G$2:$G$9900,"Exchanges to other agencies",uwmp_table_4_2_r!$B$2:$B$9900,'Contractor Assumptions'!$F21),0)
)*IFERROR(VLOOKUP(VLOOKUP('Contractor Assumptions'!$F21,uwmp_table_4_2_r!$B$2:$N$9900,13,FALSE),$A$11:$C$13,2,FALSE), VLOOKUP(VLOOKUP('Contractor Assumptions'!$F21,uwmp_table_4_2_w!$B$2:$N$9900,14,FALSE),$A$11:$C$13,2,FALSE))</f>
        <v>86126</v>
      </c>
      <c r="I550" s="66"/>
      <c r="J550" s="70"/>
      <c r="K550" s="70"/>
      <c r="L550" s="70"/>
      <c r="M550" s="70"/>
      <c r="N550" s="70"/>
      <c r="O550" s="70"/>
      <c r="P550" s="70"/>
    </row>
    <row r="551" spans="1:16" hidden="1" outlineLevel="1" x14ac:dyDescent="0.3">
      <c r="A551" s="63" t="s">
        <v>1026</v>
      </c>
      <c r="B551" s="63" t="s">
        <v>894</v>
      </c>
      <c r="C551" s="63" t="str">
        <f t="shared" si="11"/>
        <v>City of Huron</v>
      </c>
      <c r="D551" s="471" t="s">
        <v>204</v>
      </c>
      <c r="E551" s="471" t="s">
        <v>204</v>
      </c>
      <c r="F551" s="471" t="s">
        <v>204</v>
      </c>
      <c r="G551" s="471" t="s">
        <v>204</v>
      </c>
      <c r="H551" s="518" t="s">
        <v>204</v>
      </c>
      <c r="I551" s="66"/>
      <c r="J551" s="70"/>
      <c r="K551" s="70"/>
      <c r="L551" s="70"/>
      <c r="M551" s="70"/>
      <c r="N551" s="70"/>
      <c r="O551" s="70"/>
      <c r="P551" s="70"/>
    </row>
    <row r="552" spans="1:16" hidden="1" outlineLevel="1" x14ac:dyDescent="0.3">
      <c r="A552" s="63" t="s">
        <v>1026</v>
      </c>
      <c r="B552" s="63" t="s">
        <v>894</v>
      </c>
      <c r="C552" s="63" t="str">
        <f t="shared" si="11"/>
        <v>City of Lindsay</v>
      </c>
      <c r="D552" s="471" t="s">
        <v>204</v>
      </c>
      <c r="E552" s="471" t="s">
        <v>204</v>
      </c>
      <c r="F552" s="471" t="s">
        <v>204</v>
      </c>
      <c r="G552" s="471" t="s">
        <v>204</v>
      </c>
      <c r="H552" s="518" t="s">
        <v>204</v>
      </c>
      <c r="I552" s="66"/>
      <c r="J552" s="70"/>
      <c r="K552" s="70"/>
      <c r="L552" s="70"/>
      <c r="M552" s="70"/>
      <c r="N552" s="70"/>
      <c r="O552" s="70"/>
      <c r="P552" s="70"/>
    </row>
    <row r="553" spans="1:16" hidden="1" outlineLevel="1" x14ac:dyDescent="0.3">
      <c r="A553" s="63" t="s">
        <v>1026</v>
      </c>
      <c r="B553" s="63" t="s">
        <v>894</v>
      </c>
      <c r="C553" s="63" t="str">
        <f t="shared" si="11"/>
        <v>City of Orange Cove</v>
      </c>
      <c r="D553" s="471" t="s">
        <v>204</v>
      </c>
      <c r="E553" s="471" t="s">
        <v>204</v>
      </c>
      <c r="F553" s="471" t="s">
        <v>204</v>
      </c>
      <c r="G553" s="471" t="s">
        <v>204</v>
      </c>
      <c r="H553" s="518" t="s">
        <v>204</v>
      </c>
      <c r="I553" s="66"/>
      <c r="J553" s="70"/>
      <c r="K553" s="70"/>
      <c r="L553" s="70"/>
      <c r="M553" s="70"/>
      <c r="N553" s="70"/>
      <c r="O553" s="70"/>
      <c r="P553" s="70"/>
    </row>
    <row r="554" spans="1:16" hidden="1" outlineLevel="1" x14ac:dyDescent="0.3">
      <c r="A554" s="63" t="s">
        <v>1026</v>
      </c>
      <c r="B554" s="63" t="s">
        <v>894</v>
      </c>
      <c r="C554" s="63" t="str">
        <f t="shared" si="11"/>
        <v>City of Tracy</v>
      </c>
      <c r="D554" s="472">
        <f>(IFERROR(SUMIFS(uwmp_table_4_2_w!I$2:I$9900,uwmp_table_4_2_w!$G$2:$G$9900,"Losses",uwmp_table_4_2_w!$B$2:$B$9900,'Contractor Assumptions'!$F25),0) + IFERROR(SUMIFS(uwmp_table_4_2_r!I$2:I$9900,uwmp_table_4_2_r!$G$2:$G$9900,"Losses",uwmp_table_4_2_r!$B$2:$B$9900,'Contractor Assumptions'!$F25),0)
+ IFERROR(SUMIFS(uwmp_table_4_2_w!I$2:I$9900,uwmp_table_4_2_w!$G$2:$G$9900,"Other Potable",uwmp_table_4_2_w!$B$2:$B$9900,'Contractor Assumptions'!$F25),0) + IFERROR(SUMIFS(uwmp_table_4_2_r!I$2:I$9900,uwmp_table_4_2_r!$G$2:$G$9900,"Other Potable",uwmp_table_4_2_r!$B$2:$B$9900,'Contractor Assumptions'!$F25),0)
+ IFERROR(SUMIFS(uwmp_table_4_2_w!I$2:I$9900,uwmp_table_4_2_w!$G$2:$G$9900,"Other",uwmp_table_4_2_w!$B$2:$B$9900,'Contractor Assumptions'!$F25),0) + IFERROR(SUMIFS(uwmp_table_4_2_r!I$2:I$9900,uwmp_table_4_2_r!$G$2:$G$9900,"Other",uwmp_table_4_2_r!$B$2:$B$9900,'Contractor Assumptions'!$F25),0)
+ IFERROR(SUMIFS(uwmp_table_4_2_w!I$2:I$9900,uwmp_table_4_2_w!$G$2:$G$9900,"Sales/Transfers/Exchanges to other agencies",uwmp_table_4_2_w!$B$2:$B$9900,'Contractor Assumptions'!$F25),0) + IFERROR(SUMIFS(uwmp_table_4_2_r!I$2:I$9900,uwmp_table_4_2_r!$G$2:$G$9900,"Sales/Transfers/Exchanges to other agencies",uwmp_table_4_2_r!$B$2:$B$9900,'Contractor Assumptions'!$F25),0)
+ IFERROR(SUMIFS(uwmp_table_4_2_w!I$2:I$9900,uwmp_table_4_2_w!$G$2:$G$9900,"Other Non-Potable",uwmp_table_4_2_w!$B$2:$B$9900,'Contractor Assumptions'!$F25),0) + IFERROR(SUMIFS(uwmp_table_4_2_r!I$2:I$9900,uwmp_table_4_2_r!$G$2:$G$9900,"Other Non-Potable",uwmp_table_4_2_r!$B$2:$B$9900,'Contractor Assumptions'!$F25),0)
+ IFERROR(SUMIFS(uwmp_table_4_2_w!I$2:I$9900,uwmp_table_4_2_w!$G$2:$G$9900,"Wetlands or wildlife habitat",uwmp_table_4_2_w!$B$2:$B$9900,'Contractor Assumptions'!$F25),0) + IFERROR(SUMIFS(uwmp_table_4_2_r!I$2:I$9900,uwmp_table_4_2_r!$G$2:$G$9900,"Wetlands or wildlife habitat",uwmp_table_4_2_r!$B$2:$B$9900,'Contractor Assumptions'!$F25),0)
+ IFERROR(SUMIFS(uwmp_table_4_2_w!I$2:I$9900,uwmp_table_4_2_w!$G$2:$G$9900,"Saline water intrusion barrier",uwmp_table_4_2_w!$B$2:$B$9900,'Contractor Assumptions'!$F25),0) + IFERROR(SUMIFS(uwmp_table_4_2_r!I$2:I$9900,uwmp_table_4_2_r!$G$2:$G$9900,"Saline water intrusion barrier",uwmp_table_4_2_r!$B$2:$B$9900,'Contractor Assumptions'!$F25),0)
+ IFERROR(SUMIFS(uwmp_table_4_2_w!I$2:I$9900,uwmp_table_4_2_w!$G$2:$G$9900,"Groundwater recharge",uwmp_table_4_2_w!$B$2:$B$9900,'Contractor Assumptions'!$F25),0) + IFERROR(SUMIFS(uwmp_table_4_2_r!I$2:I$9900,uwmp_table_4_2_r!$G$2:$G$9900,"Groundwater recharge",uwmp_table_4_2_r!$B$2:$B$9900,'Contractor Assumptions'!$F25),0)
+ IFERROR(SUMIFS(uwmp_table_4_2_w!I$2:I$9900,uwmp_table_4_2_w!$G$2:$G$9900,"Retail demand for use by agencies that are primarily",uwmp_table_4_2_w!$B$2:$B$9900,'Contractor Assumptions'!$F25),0) + IFERROR(SUMIFS(uwmp_table_4_2_r!I$2:I$9900,uwmp_table_4_2_r!$G$2:$G$9900,"Retail demand for use by agencies that are primarily",uwmp_table_4_2_r!$B$2:$B$9900,'Contractor Assumptions'!$F25),0)
+ IFERROR(SUMIFS(uwmp_table_4_2_w!I$2:I$9900,uwmp_table_4_2_w!$G$2:$G$9900,"wholesalers with a small volume of retail sales",uwmp_table_4_2_w!$B$2:$B$9900,'Contractor Assumptions'!$F25),0) + IFERROR(SUMIFS(uwmp_table_4_2_r!I$2:I$9900,uwmp_table_4_2_r!$G$2:$G$9900,"wholesalers with a small volume of retail sales",uwmp_table_4_2_r!$B$2:$B$9900,'Contractor Assumptions'!$F25),0)
+ IFERROR(SUMIFS(uwmp_table_4_2_w!I$2:I$9900,uwmp_table_4_2_w!$G$2:$G$9900,"Sales to other agencies",uwmp_table_4_2_w!$B$2:$B$9900,'Contractor Assumptions'!$F25),0) + IFERROR(SUMIFS(uwmp_table_4_2_r!I$2:I$9900,uwmp_table_4_2_r!$G$2:$G$9900,"Sales to other agencies",uwmp_table_4_2_r!$B$2:$B$9900,'Contractor Assumptions'!$F25),0)
+ IFERROR(SUMIFS(uwmp_table_4_2_w!I$2:I$9900,uwmp_table_4_2_w!$G$2:$G$9900,"Exchanges to other agencies",uwmp_table_4_2_w!$B$2:$B$9900,'Contractor Assumptions'!$F25),0) + IFERROR(SUMIFS(uwmp_table_4_2_r!I$2:I$9900,uwmp_table_4_2_r!$G$2:$G$9900,"Exchanges to other agencies",uwmp_table_4_2_r!$B$2:$B$9900,'Contractor Assumptions'!$F25),0)
)*IFERROR(VLOOKUP(VLOOKUP('Contractor Assumptions'!$F25,uwmp_table_4_2_r!$B$2:$N$9900,13,FALSE),$A$11:$C$13,2,FALSE), VLOOKUP(VLOOKUP('Contractor Assumptions'!$F25,uwmp_table_4_2_w!$B$2:$N$9900,14,FALSE),$A$11:$C$13,2,FALSE))</f>
        <v>1968.83</v>
      </c>
      <c r="E554" s="472">
        <f>(IFERROR(SUMIFS(uwmp_table_4_2_w!J$2:J$9900,uwmp_table_4_2_w!$G$2:$G$9900,"Losses",uwmp_table_4_2_w!$B$2:$B$9900,'Contractor Assumptions'!$F25),0) + IFERROR(SUMIFS(uwmp_table_4_2_r!J$2:J$9900,uwmp_table_4_2_r!$G$2:$G$9900,"Losses",uwmp_table_4_2_r!$B$2:$B$9900,'Contractor Assumptions'!$F25),0)
+ IFERROR(SUMIFS(uwmp_table_4_2_w!J$2:J$9900,uwmp_table_4_2_w!$G$2:$G$9900,"Other Potable",uwmp_table_4_2_w!$B$2:$B$9900,'Contractor Assumptions'!$F25),0) + IFERROR(SUMIFS(uwmp_table_4_2_r!J$2:J$9900,uwmp_table_4_2_r!$G$2:$G$9900,"Other Potable",uwmp_table_4_2_r!$B$2:$B$9900,'Contractor Assumptions'!$F25),0)
+ IFERROR(SUMIFS(uwmp_table_4_2_w!J$2:J$9900,uwmp_table_4_2_w!$G$2:$G$9900,"Other",uwmp_table_4_2_w!$B$2:$B$9900,'Contractor Assumptions'!$F25),0) + IFERROR(SUMIFS(uwmp_table_4_2_r!J$2:J$9900,uwmp_table_4_2_r!$G$2:$G$9900,"Other",uwmp_table_4_2_r!$B$2:$B$9900,'Contractor Assumptions'!$F25),0)
+ IFERROR(SUMIFS(uwmp_table_4_2_w!J$2:J$9900,uwmp_table_4_2_w!$G$2:$G$9900,"Sales/Transfers/Exchanges to other agencies",uwmp_table_4_2_w!$B$2:$B$9900,'Contractor Assumptions'!$F25),0) + IFERROR(SUMIFS(uwmp_table_4_2_r!J$2:J$9900,uwmp_table_4_2_r!$G$2:$G$9900,"Sales/Transfers/Exchanges to other agencies",uwmp_table_4_2_r!$B$2:$B$9900,'Contractor Assumptions'!$F25),0)
+ IFERROR(SUMIFS(uwmp_table_4_2_w!J$2:J$9900,uwmp_table_4_2_w!$G$2:$G$9900,"Other Non-Potable",uwmp_table_4_2_w!$B$2:$B$9900,'Contractor Assumptions'!$F25),0) + IFERROR(SUMIFS(uwmp_table_4_2_r!J$2:J$9900,uwmp_table_4_2_r!$G$2:$G$9900,"Other Non-Potable",uwmp_table_4_2_r!$B$2:$B$9900,'Contractor Assumptions'!$F25),0)
+ IFERROR(SUMIFS(uwmp_table_4_2_w!J$2:J$9900,uwmp_table_4_2_w!$G$2:$G$9900,"Wetlands or wildlife habitat",uwmp_table_4_2_w!$B$2:$B$9900,'Contractor Assumptions'!$F25),0) + IFERROR(SUMIFS(uwmp_table_4_2_r!J$2:J$9900,uwmp_table_4_2_r!$G$2:$G$9900,"Wetlands or wildlife habitat",uwmp_table_4_2_r!$B$2:$B$9900,'Contractor Assumptions'!$F25),0)
+ IFERROR(SUMIFS(uwmp_table_4_2_w!J$2:J$9900,uwmp_table_4_2_w!$G$2:$G$9900,"Saline water intrusion barrier",uwmp_table_4_2_w!$B$2:$B$9900,'Contractor Assumptions'!$F25),0) + IFERROR(SUMIFS(uwmp_table_4_2_r!J$2:J$9900,uwmp_table_4_2_r!$G$2:$G$9900,"Saline water intrusion barrier",uwmp_table_4_2_r!$B$2:$B$9900,'Contractor Assumptions'!$F25),0)
+ IFERROR(SUMIFS(uwmp_table_4_2_w!J$2:J$9900,uwmp_table_4_2_w!$G$2:$G$9900,"Groundwater recharge",uwmp_table_4_2_w!$B$2:$B$9900,'Contractor Assumptions'!$F25),0) + IFERROR(SUMIFS(uwmp_table_4_2_r!J$2:J$9900,uwmp_table_4_2_r!$G$2:$G$9900,"Groundwater recharge",uwmp_table_4_2_r!$B$2:$B$9900,'Contractor Assumptions'!$F25),0)
+ IFERROR(SUMIFS(uwmp_table_4_2_w!J$2:J$9900,uwmp_table_4_2_w!$G$2:$G$9900,"Retail demand for use by agencies that are primarily",uwmp_table_4_2_w!$B$2:$B$9900,'Contractor Assumptions'!$F25),0) + IFERROR(SUMIFS(uwmp_table_4_2_r!J$2:J$9900,uwmp_table_4_2_r!$G$2:$G$9900,"Retail demand for use by agencies that are primarily",uwmp_table_4_2_r!$B$2:$B$9900,'Contractor Assumptions'!$F25),0)
+ IFERROR(SUMIFS(uwmp_table_4_2_w!J$2:J$9900,uwmp_table_4_2_w!$G$2:$G$9900,"wholesalers with a small volume of retail sales",uwmp_table_4_2_w!$B$2:$B$9900,'Contractor Assumptions'!$F25),0) + IFERROR(SUMIFS(uwmp_table_4_2_r!J$2:J$9900,uwmp_table_4_2_r!$G$2:$G$9900,"wholesalers with a small volume of retail sales",uwmp_table_4_2_r!$B$2:$B$9900,'Contractor Assumptions'!$F25),0)
+ IFERROR(SUMIFS(uwmp_table_4_2_w!J$2:J$9900,uwmp_table_4_2_w!$G$2:$G$9900,"Sales to other agencies",uwmp_table_4_2_w!$B$2:$B$9900,'Contractor Assumptions'!$F25),0) + IFERROR(SUMIFS(uwmp_table_4_2_r!J$2:J$9900,uwmp_table_4_2_r!$G$2:$G$9900,"Sales to other agencies",uwmp_table_4_2_r!$B$2:$B$9900,'Contractor Assumptions'!$F25),0)
+ IFERROR(SUMIFS(uwmp_table_4_2_w!J$2:J$9900,uwmp_table_4_2_w!$G$2:$G$9900,"Exchanges to other agencies",uwmp_table_4_2_w!$B$2:$B$9900,'Contractor Assumptions'!$F25),0) + IFERROR(SUMIFS(uwmp_table_4_2_r!J$2:J$9900,uwmp_table_4_2_r!$G$2:$G$9900,"Exchanges to other agencies",uwmp_table_4_2_r!$B$2:$B$9900,'Contractor Assumptions'!$F25),0)
)*IFERROR(VLOOKUP(VLOOKUP('Contractor Assumptions'!$F25,uwmp_table_4_2_r!$B$2:$N$9900,13,FALSE),$A$11:$C$13,2,FALSE), VLOOKUP(VLOOKUP('Contractor Assumptions'!$F25,uwmp_table_4_2_w!$B$2:$N$9900,14,FALSE),$A$11:$C$13,2,FALSE))</f>
        <v>2217.64</v>
      </c>
      <c r="F554" s="472">
        <f>(IFERROR(SUMIFS(uwmp_table_4_2_w!K$2:K$9900,uwmp_table_4_2_w!$G$2:$G$9900,"Losses",uwmp_table_4_2_w!$B$2:$B$9900,'Contractor Assumptions'!$F25),0) + IFERROR(SUMIFS(uwmp_table_4_2_r!K$2:K$9900,uwmp_table_4_2_r!$G$2:$G$9900,"Losses",uwmp_table_4_2_r!$B$2:$B$9900,'Contractor Assumptions'!$F25),0)
+ IFERROR(SUMIFS(uwmp_table_4_2_w!K$2:K$9900,uwmp_table_4_2_w!$G$2:$G$9900,"Other Potable",uwmp_table_4_2_w!$B$2:$B$9900,'Contractor Assumptions'!$F25),0) + IFERROR(SUMIFS(uwmp_table_4_2_r!K$2:K$9900,uwmp_table_4_2_r!$G$2:$G$9900,"Other Potable",uwmp_table_4_2_r!$B$2:$B$9900,'Contractor Assumptions'!$F25),0)
+ IFERROR(SUMIFS(uwmp_table_4_2_w!K$2:K$9900,uwmp_table_4_2_w!$G$2:$G$9900,"Other",uwmp_table_4_2_w!$B$2:$B$9900,'Contractor Assumptions'!$F25),0) + IFERROR(SUMIFS(uwmp_table_4_2_r!K$2:K$9900,uwmp_table_4_2_r!$G$2:$G$9900,"Other",uwmp_table_4_2_r!$B$2:$B$9900,'Contractor Assumptions'!$F25),0)
+ IFERROR(SUMIFS(uwmp_table_4_2_w!K$2:K$9900,uwmp_table_4_2_w!$G$2:$G$9900,"Sales/Transfers/Exchanges to other agencies",uwmp_table_4_2_w!$B$2:$B$9900,'Contractor Assumptions'!$F25),0) + IFERROR(SUMIFS(uwmp_table_4_2_r!K$2:K$9900,uwmp_table_4_2_r!$G$2:$G$9900,"Sales/Transfers/Exchanges to other agencies",uwmp_table_4_2_r!$B$2:$B$9900,'Contractor Assumptions'!$F25),0)
+ IFERROR(SUMIFS(uwmp_table_4_2_w!K$2:K$9900,uwmp_table_4_2_w!$G$2:$G$9900,"Other Non-Potable",uwmp_table_4_2_w!$B$2:$B$9900,'Contractor Assumptions'!$F25),0) + IFERROR(SUMIFS(uwmp_table_4_2_r!K$2:K$9900,uwmp_table_4_2_r!$G$2:$G$9900,"Other Non-Potable",uwmp_table_4_2_r!$B$2:$B$9900,'Contractor Assumptions'!$F25),0)
+ IFERROR(SUMIFS(uwmp_table_4_2_w!K$2:K$9900,uwmp_table_4_2_w!$G$2:$G$9900,"Wetlands or wildlife habitat",uwmp_table_4_2_w!$B$2:$B$9900,'Contractor Assumptions'!$F25),0) + IFERROR(SUMIFS(uwmp_table_4_2_r!K$2:K$9900,uwmp_table_4_2_r!$G$2:$G$9900,"Wetlands or wildlife habitat",uwmp_table_4_2_r!$B$2:$B$9900,'Contractor Assumptions'!$F25),0)
+ IFERROR(SUMIFS(uwmp_table_4_2_w!K$2:K$9900,uwmp_table_4_2_w!$G$2:$G$9900,"Saline water intrusion barrier",uwmp_table_4_2_w!$B$2:$B$9900,'Contractor Assumptions'!$F25),0) + IFERROR(SUMIFS(uwmp_table_4_2_r!K$2:K$9900,uwmp_table_4_2_r!$G$2:$G$9900,"Saline water intrusion barrier",uwmp_table_4_2_r!$B$2:$B$9900,'Contractor Assumptions'!$F25),0)
+ IFERROR(SUMIFS(uwmp_table_4_2_w!K$2:K$9900,uwmp_table_4_2_w!$G$2:$G$9900,"Groundwater recharge",uwmp_table_4_2_w!$B$2:$B$9900,'Contractor Assumptions'!$F25),0) + IFERROR(SUMIFS(uwmp_table_4_2_r!K$2:K$9900,uwmp_table_4_2_r!$G$2:$G$9900,"Groundwater recharge",uwmp_table_4_2_r!$B$2:$B$9900,'Contractor Assumptions'!$F25),0)
+ IFERROR(SUMIFS(uwmp_table_4_2_w!K$2:K$9900,uwmp_table_4_2_w!$G$2:$G$9900,"Retail demand for use by agencies that are primarily",uwmp_table_4_2_w!$B$2:$B$9900,'Contractor Assumptions'!$F25),0) + IFERROR(SUMIFS(uwmp_table_4_2_r!K$2:K$9900,uwmp_table_4_2_r!$G$2:$G$9900,"Retail demand for use by agencies that are primarily",uwmp_table_4_2_r!$B$2:$B$9900,'Contractor Assumptions'!$F25),0)
+ IFERROR(SUMIFS(uwmp_table_4_2_w!K$2:K$9900,uwmp_table_4_2_w!$G$2:$G$9900,"wholesalers with a small volume of retail sales",uwmp_table_4_2_w!$B$2:$B$9900,'Contractor Assumptions'!$F25),0) + IFERROR(SUMIFS(uwmp_table_4_2_r!K$2:K$9900,uwmp_table_4_2_r!$G$2:$G$9900,"wholesalers with a small volume of retail sales",uwmp_table_4_2_r!$B$2:$B$9900,'Contractor Assumptions'!$F25),0)
+ IFERROR(SUMIFS(uwmp_table_4_2_w!K$2:K$9900,uwmp_table_4_2_w!$G$2:$G$9900,"Sales to other agencies",uwmp_table_4_2_w!$B$2:$B$9900,'Contractor Assumptions'!$F25),0) + IFERROR(SUMIFS(uwmp_table_4_2_r!K$2:K$9900,uwmp_table_4_2_r!$G$2:$G$9900,"Sales to other agencies",uwmp_table_4_2_r!$B$2:$B$9900,'Contractor Assumptions'!$F25),0)
+ IFERROR(SUMIFS(uwmp_table_4_2_w!K$2:K$9900,uwmp_table_4_2_w!$G$2:$G$9900,"Exchanges to other agencies",uwmp_table_4_2_w!$B$2:$B$9900,'Contractor Assumptions'!$F25),0) + IFERROR(SUMIFS(uwmp_table_4_2_r!K$2:K$9900,uwmp_table_4_2_r!$G$2:$G$9900,"Exchanges to other agencies",uwmp_table_4_2_r!$B$2:$B$9900,'Contractor Assumptions'!$F25),0)
)*IFERROR(VLOOKUP(VLOOKUP('Contractor Assumptions'!$F25,uwmp_table_4_2_r!$B$2:$N$9900,13,FALSE),$A$11:$C$13,2,FALSE), VLOOKUP(VLOOKUP('Contractor Assumptions'!$F25,uwmp_table_4_2_w!$B$2:$N$9900,14,FALSE),$A$11:$C$13,2,FALSE))</f>
        <v>2470.83</v>
      </c>
      <c r="G554" s="472">
        <f>(IFERROR(SUMIFS(uwmp_table_4_2_w!L$2:L$9900,uwmp_table_4_2_w!$G$2:$G$9900,"Losses",uwmp_table_4_2_w!$B$2:$B$9900,'Contractor Assumptions'!$F25),0) + IFERROR(SUMIFS(uwmp_table_4_2_r!L$2:L$9900,uwmp_table_4_2_r!$G$2:$G$9900,"Losses",uwmp_table_4_2_r!$B$2:$B$9900,'Contractor Assumptions'!$F25),0)
+ IFERROR(SUMIFS(uwmp_table_4_2_w!L$2:L$9900,uwmp_table_4_2_w!$G$2:$G$9900,"Other Potable",uwmp_table_4_2_w!$B$2:$B$9900,'Contractor Assumptions'!$F25),0) + IFERROR(SUMIFS(uwmp_table_4_2_r!L$2:L$9900,uwmp_table_4_2_r!$G$2:$G$9900,"Other Potable",uwmp_table_4_2_r!$B$2:$B$9900,'Contractor Assumptions'!$F25),0)
+ IFERROR(SUMIFS(uwmp_table_4_2_w!L$2:L$9900,uwmp_table_4_2_w!$G$2:$G$9900,"Other",uwmp_table_4_2_w!$B$2:$B$9900,'Contractor Assumptions'!$F25),0) + IFERROR(SUMIFS(uwmp_table_4_2_r!L$2:L$9900,uwmp_table_4_2_r!$G$2:$G$9900,"Other",uwmp_table_4_2_r!$B$2:$B$9900,'Contractor Assumptions'!$F25),0)
+ IFERROR(SUMIFS(uwmp_table_4_2_w!L$2:L$9900,uwmp_table_4_2_w!$G$2:$G$9900,"Sales/Transfers/Exchanges to other agencies",uwmp_table_4_2_w!$B$2:$B$9900,'Contractor Assumptions'!$F25),0) + IFERROR(SUMIFS(uwmp_table_4_2_r!L$2:L$9900,uwmp_table_4_2_r!$G$2:$G$9900,"Sales/Transfers/Exchanges to other agencies",uwmp_table_4_2_r!$B$2:$B$9900,'Contractor Assumptions'!$F25),0)
+ IFERROR(SUMIFS(uwmp_table_4_2_w!L$2:L$9900,uwmp_table_4_2_w!$G$2:$G$9900,"Other Non-Potable",uwmp_table_4_2_w!$B$2:$B$9900,'Contractor Assumptions'!$F25),0) + IFERROR(SUMIFS(uwmp_table_4_2_r!L$2:L$9900,uwmp_table_4_2_r!$G$2:$G$9900,"Other Non-Potable",uwmp_table_4_2_r!$B$2:$B$9900,'Contractor Assumptions'!$F25),0)
+ IFERROR(SUMIFS(uwmp_table_4_2_w!L$2:L$9900,uwmp_table_4_2_w!$G$2:$G$9900,"Wetlands or wildlife habitat",uwmp_table_4_2_w!$B$2:$B$9900,'Contractor Assumptions'!$F25),0) + IFERROR(SUMIFS(uwmp_table_4_2_r!L$2:L$9900,uwmp_table_4_2_r!$G$2:$G$9900,"Wetlands or wildlife habitat",uwmp_table_4_2_r!$B$2:$B$9900,'Contractor Assumptions'!$F25),0)
+ IFERROR(SUMIFS(uwmp_table_4_2_w!L$2:L$9900,uwmp_table_4_2_w!$G$2:$G$9900,"Saline water intrusion barrier",uwmp_table_4_2_w!$B$2:$B$9900,'Contractor Assumptions'!$F25),0) + IFERROR(SUMIFS(uwmp_table_4_2_r!L$2:L$9900,uwmp_table_4_2_r!$G$2:$G$9900,"Saline water intrusion barrier",uwmp_table_4_2_r!$B$2:$B$9900,'Contractor Assumptions'!$F25),0)
+ IFERROR(SUMIFS(uwmp_table_4_2_w!L$2:L$9900,uwmp_table_4_2_w!$G$2:$G$9900,"Groundwater recharge",uwmp_table_4_2_w!$B$2:$B$9900,'Contractor Assumptions'!$F25),0) + IFERROR(SUMIFS(uwmp_table_4_2_r!L$2:L$9900,uwmp_table_4_2_r!$G$2:$G$9900,"Groundwater recharge",uwmp_table_4_2_r!$B$2:$B$9900,'Contractor Assumptions'!$F25),0)
+ IFERROR(SUMIFS(uwmp_table_4_2_w!L$2:L$9900,uwmp_table_4_2_w!$G$2:$G$9900,"Retail demand for use by agencies that are primarily",uwmp_table_4_2_w!$B$2:$B$9900,'Contractor Assumptions'!$F25),0) + IFERROR(SUMIFS(uwmp_table_4_2_r!L$2:L$9900,uwmp_table_4_2_r!$G$2:$G$9900,"Retail demand for use by agencies that are primarily",uwmp_table_4_2_r!$B$2:$B$9900,'Contractor Assumptions'!$F25),0)
+ IFERROR(SUMIFS(uwmp_table_4_2_w!L$2:L$9900,uwmp_table_4_2_w!$G$2:$G$9900,"wholesalers with a small volume of retail sales",uwmp_table_4_2_w!$B$2:$B$9900,'Contractor Assumptions'!$F25),0) + IFERROR(SUMIFS(uwmp_table_4_2_r!L$2:L$9900,uwmp_table_4_2_r!$G$2:$G$9900,"wholesalers with a small volume of retail sales",uwmp_table_4_2_r!$B$2:$B$9900,'Contractor Assumptions'!$F25),0)
+ IFERROR(SUMIFS(uwmp_table_4_2_w!L$2:L$9900,uwmp_table_4_2_w!$G$2:$G$9900,"Sales to other agencies",uwmp_table_4_2_w!$B$2:$B$9900,'Contractor Assumptions'!$F25),0) + IFERROR(SUMIFS(uwmp_table_4_2_r!L$2:L$9900,uwmp_table_4_2_r!$G$2:$G$9900,"Sales to other agencies",uwmp_table_4_2_r!$B$2:$B$9900,'Contractor Assumptions'!$F25),0)
+ IFERROR(SUMIFS(uwmp_table_4_2_w!L$2:L$9900,uwmp_table_4_2_w!$G$2:$G$9900,"Exchanges to other agencies",uwmp_table_4_2_w!$B$2:$B$9900,'Contractor Assumptions'!$F25),0) + IFERROR(SUMIFS(uwmp_table_4_2_r!L$2:L$9900,uwmp_table_4_2_r!$G$2:$G$9900,"Exchanges to other agencies",uwmp_table_4_2_r!$B$2:$B$9900,'Contractor Assumptions'!$F25),0)
)*IFERROR(VLOOKUP(VLOOKUP('Contractor Assumptions'!$F25,uwmp_table_4_2_r!$B$2:$N$9900,13,FALSE),$A$11:$C$13,2,FALSE), VLOOKUP(VLOOKUP('Contractor Assumptions'!$F25,uwmp_table_4_2_w!$B$2:$N$9900,14,FALSE),$A$11:$C$13,2,FALSE))</f>
        <v>2726.73</v>
      </c>
      <c r="H554" s="520">
        <f>(IFERROR(SUMIFS(uwmp_table_4_2_w!M$2:M$9900,uwmp_table_4_2_w!$G$2:$G$9900,"Losses",uwmp_table_4_2_w!$B$2:$B$9900,'Contractor Assumptions'!$F25),0) + IFERROR(SUMIFS(uwmp_table_4_2_r!M$2:M$9900,uwmp_table_4_2_r!$G$2:$G$9900,"Losses",uwmp_table_4_2_r!$B$2:$B$9900,'Contractor Assumptions'!$F25),0)
+ IFERROR(SUMIFS(uwmp_table_4_2_w!M$2:M$9900,uwmp_table_4_2_w!$G$2:$G$9900,"Other Potable",uwmp_table_4_2_w!$B$2:$B$9900,'Contractor Assumptions'!$F25),0) + IFERROR(SUMIFS(uwmp_table_4_2_r!M$2:M$9900,uwmp_table_4_2_r!$G$2:$G$9900,"Other Potable",uwmp_table_4_2_r!$B$2:$B$9900,'Contractor Assumptions'!$F25),0)
+ IFERROR(SUMIFS(uwmp_table_4_2_w!M$2:M$9900,uwmp_table_4_2_w!$G$2:$G$9900,"Other",uwmp_table_4_2_w!$B$2:$B$9900,'Contractor Assumptions'!$F25),0) + IFERROR(SUMIFS(uwmp_table_4_2_r!M$2:M$9900,uwmp_table_4_2_r!$G$2:$G$9900,"Other",uwmp_table_4_2_r!$B$2:$B$9900,'Contractor Assumptions'!$F25),0)
+ IFERROR(SUMIFS(uwmp_table_4_2_w!M$2:M$9900,uwmp_table_4_2_w!$G$2:$G$9900,"Sales/Transfers/Exchanges to other agencies",uwmp_table_4_2_w!$B$2:$B$9900,'Contractor Assumptions'!$F25),0) + IFERROR(SUMIFS(uwmp_table_4_2_r!M$2:M$9900,uwmp_table_4_2_r!$G$2:$G$9900,"Sales/Transfers/Exchanges to other agencies",uwmp_table_4_2_r!$B$2:$B$9900,'Contractor Assumptions'!$F25),0)
+ IFERROR(SUMIFS(uwmp_table_4_2_w!M$2:M$9900,uwmp_table_4_2_w!$G$2:$G$9900,"Other Non-Potable",uwmp_table_4_2_w!$B$2:$B$9900,'Contractor Assumptions'!$F25),0) + IFERROR(SUMIFS(uwmp_table_4_2_r!M$2:M$9900,uwmp_table_4_2_r!$G$2:$G$9900,"Other Non-Potable",uwmp_table_4_2_r!$B$2:$B$9900,'Contractor Assumptions'!$F25),0)
+ IFERROR(SUMIFS(uwmp_table_4_2_w!M$2:M$9900,uwmp_table_4_2_w!$G$2:$G$9900,"Wetlands or wildlife habitat",uwmp_table_4_2_w!$B$2:$B$9900,'Contractor Assumptions'!$F25),0) + IFERROR(SUMIFS(uwmp_table_4_2_r!M$2:M$9900,uwmp_table_4_2_r!$G$2:$G$9900,"Wetlands or wildlife habitat",uwmp_table_4_2_r!$B$2:$B$9900,'Contractor Assumptions'!$F25),0)
+ IFERROR(SUMIFS(uwmp_table_4_2_w!M$2:M$9900,uwmp_table_4_2_w!$G$2:$G$9900,"Saline water intrusion barrier",uwmp_table_4_2_w!$B$2:$B$9900,'Contractor Assumptions'!$F25),0) + IFERROR(SUMIFS(uwmp_table_4_2_r!M$2:M$9900,uwmp_table_4_2_r!$G$2:$G$9900,"Saline water intrusion barrier",uwmp_table_4_2_r!$B$2:$B$9900,'Contractor Assumptions'!$F25),0)
+ IFERROR(SUMIFS(uwmp_table_4_2_w!M$2:M$9900,uwmp_table_4_2_w!$G$2:$G$9900,"Groundwater recharge",uwmp_table_4_2_w!$B$2:$B$9900,'Contractor Assumptions'!$F25),0) + IFERROR(SUMIFS(uwmp_table_4_2_r!M$2:M$9900,uwmp_table_4_2_r!$G$2:$G$9900,"Groundwater recharge",uwmp_table_4_2_r!$B$2:$B$9900,'Contractor Assumptions'!$F25),0)
+ IFERROR(SUMIFS(uwmp_table_4_2_w!M$2:M$9900,uwmp_table_4_2_w!$G$2:$G$9900,"Retail demand for use by agencies that are primarily",uwmp_table_4_2_w!$B$2:$B$9900,'Contractor Assumptions'!$F25),0) + IFERROR(SUMIFS(uwmp_table_4_2_r!M$2:M$9900,uwmp_table_4_2_r!$G$2:$G$9900,"Retail demand for use by agencies that are primarily",uwmp_table_4_2_r!$B$2:$B$9900,'Contractor Assumptions'!$F25),0)
+ IFERROR(SUMIFS(uwmp_table_4_2_w!M$2:M$9900,uwmp_table_4_2_w!$G$2:$G$9900,"wholesalers with a small volume of retail sales",uwmp_table_4_2_w!$B$2:$B$9900,'Contractor Assumptions'!$F25),0) + IFERROR(SUMIFS(uwmp_table_4_2_r!M$2:M$9900,uwmp_table_4_2_r!$G$2:$G$9900,"wholesalers with a small volume of retail sales",uwmp_table_4_2_r!$B$2:$B$9900,'Contractor Assumptions'!$F25),0)
+ IFERROR(SUMIFS(uwmp_table_4_2_w!M$2:M$9900,uwmp_table_4_2_w!$G$2:$G$9900,"Sales to other agencies",uwmp_table_4_2_w!$B$2:$B$9900,'Contractor Assumptions'!$F25),0) + IFERROR(SUMIFS(uwmp_table_4_2_r!M$2:M$9900,uwmp_table_4_2_r!$G$2:$G$9900,"Sales to other agencies",uwmp_table_4_2_r!$B$2:$B$9900,'Contractor Assumptions'!$F25),0)
+ IFERROR(SUMIFS(uwmp_table_4_2_w!M$2:M$9900,uwmp_table_4_2_w!$G$2:$G$9900,"Exchanges to other agencies",uwmp_table_4_2_w!$B$2:$B$9900,'Contractor Assumptions'!$F25),0) + IFERROR(SUMIFS(uwmp_table_4_2_r!M$2:M$9900,uwmp_table_4_2_r!$G$2:$G$9900,"Exchanges to other agencies",uwmp_table_4_2_r!$B$2:$B$9900,'Contractor Assumptions'!$F25),0)
)*IFERROR(VLOOKUP(VLOOKUP('Contractor Assumptions'!$F25,uwmp_table_4_2_r!$B$2:$N$9900,13,FALSE),$A$11:$C$13,2,FALSE), VLOOKUP(VLOOKUP('Contractor Assumptions'!$F25,uwmp_table_4_2_w!$B$2:$N$9900,14,FALSE),$A$11:$C$13,2,FALSE))</f>
        <v>3175.56</v>
      </c>
      <c r="I554" s="66"/>
      <c r="J554" s="70"/>
      <c r="K554" s="70"/>
      <c r="L554" s="70"/>
      <c r="M554" s="70"/>
      <c r="N554" s="70"/>
      <c r="O554" s="70"/>
      <c r="P554" s="70"/>
    </row>
    <row r="555" spans="1:16" hidden="1" outlineLevel="1" x14ac:dyDescent="0.3">
      <c r="A555" s="63" t="s">
        <v>1026</v>
      </c>
      <c r="B555" s="63" t="s">
        <v>894</v>
      </c>
      <c r="C555" s="63" t="str">
        <f t="shared" si="11"/>
        <v>Kern County Water Agency</v>
      </c>
      <c r="D555" s="471" t="s">
        <v>204</v>
      </c>
      <c r="E555" s="471" t="s">
        <v>204</v>
      </c>
      <c r="F555" s="471" t="s">
        <v>204</v>
      </c>
      <c r="G555" s="471" t="s">
        <v>204</v>
      </c>
      <c r="H555" s="518" t="s">
        <v>204</v>
      </c>
      <c r="I555" s="66"/>
      <c r="J555" s="70"/>
      <c r="K555" s="70"/>
      <c r="L555" s="70"/>
      <c r="M555" s="70"/>
      <c r="N555" s="70"/>
      <c r="O555" s="70"/>
      <c r="P555" s="70"/>
    </row>
    <row r="556" spans="1:16" hidden="1" outlineLevel="1" x14ac:dyDescent="0.3">
      <c r="A556" s="63" t="s">
        <v>1026</v>
      </c>
      <c r="B556" s="63" t="s">
        <v>894</v>
      </c>
      <c r="C556" s="63" t="str">
        <f t="shared" si="11"/>
        <v>Other Friant-Kern M&amp;I Contractors</v>
      </c>
      <c r="D556" s="471" t="s">
        <v>204</v>
      </c>
      <c r="E556" s="471" t="s">
        <v>204</v>
      </c>
      <c r="F556" s="471" t="s">
        <v>204</v>
      </c>
      <c r="G556" s="471" t="s">
        <v>204</v>
      </c>
      <c r="H556" s="518" t="s">
        <v>204</v>
      </c>
      <c r="I556" s="66"/>
      <c r="J556" s="70"/>
      <c r="K556" s="70"/>
      <c r="L556" s="70"/>
      <c r="M556" s="70"/>
      <c r="N556" s="70"/>
      <c r="O556" s="70"/>
      <c r="P556" s="70"/>
    </row>
    <row r="557" spans="1:16" hidden="1" outlineLevel="1" x14ac:dyDescent="0.3">
      <c r="A557" s="63" t="s">
        <v>1026</v>
      </c>
      <c r="B557" s="63" t="s">
        <v>894</v>
      </c>
      <c r="C557" s="63" t="str">
        <f t="shared" si="11"/>
        <v>Stockton-East Water District</v>
      </c>
      <c r="D557" s="472">
        <f>'Wholesaler Demands by Use Type'!B34</f>
        <v>203678</v>
      </c>
      <c r="E557" s="472">
        <f>'Wholesaler Demands by Use Type'!C34</f>
        <v>205904</v>
      </c>
      <c r="F557" s="472">
        <f>'Wholesaler Demands by Use Type'!D34</f>
        <v>209021</v>
      </c>
      <c r="G557" s="472">
        <f>'Wholesaler Demands by Use Type'!E34</f>
        <v>212263</v>
      </c>
      <c r="H557" s="520">
        <f>'Wholesaler Demands by Use Type'!F34</f>
        <v>215135</v>
      </c>
      <c r="I557" s="66"/>
      <c r="J557" s="70"/>
      <c r="K557" s="70"/>
      <c r="L557" s="70"/>
      <c r="M557" s="70"/>
      <c r="N557" s="70"/>
      <c r="O557" s="70"/>
      <c r="P557" s="70"/>
    </row>
    <row r="558" spans="1:16" hidden="1" outlineLevel="1" x14ac:dyDescent="0.3">
      <c r="A558" s="63" t="s">
        <v>1026</v>
      </c>
      <c r="B558" s="63" t="s">
        <v>915</v>
      </c>
      <c r="C558" s="63" t="str">
        <f t="shared" si="11"/>
        <v>Alameda County Flood Control and Water Conservation District, Zone 7</v>
      </c>
      <c r="D558" s="472">
        <v>6712.1332710000006</v>
      </c>
      <c r="E558" s="472">
        <v>6973.1332710000006</v>
      </c>
      <c r="F558" s="472">
        <v>7425.1332710000006</v>
      </c>
      <c r="G558" s="472">
        <v>8751.1332710000006</v>
      </c>
      <c r="H558" s="520">
        <v>8776.1332710000006</v>
      </c>
      <c r="I558" s="66"/>
      <c r="J558" s="70"/>
      <c r="K558" s="70"/>
      <c r="L558" s="70"/>
      <c r="M558" s="70"/>
      <c r="N558" s="70"/>
      <c r="O558" s="70"/>
      <c r="P558" s="70"/>
    </row>
    <row r="559" spans="1:16" hidden="1" outlineLevel="1" x14ac:dyDescent="0.3">
      <c r="A559" s="63" t="s">
        <v>1026</v>
      </c>
      <c r="B559" s="63" t="s">
        <v>915</v>
      </c>
      <c r="C559" s="63" t="str">
        <f t="shared" si="11"/>
        <v>Alameda County Water District</v>
      </c>
      <c r="D559" s="472">
        <f>(IFERROR(SUMIFS(uwmp_table_4_2_w!I$2:I$9900,uwmp_table_4_2_w!$G$2:$G$9900,"Losses",uwmp_table_4_2_w!$B$2:$B$9900,'Contractor Assumptions'!$F30),0) + IFERROR(SUMIFS(uwmp_table_4_2_r!I$2:I$9900,uwmp_table_4_2_r!$G$2:$G$9900,"Losses",uwmp_table_4_2_r!$B$2:$B$9900,'Contractor Assumptions'!$F30),0)
+ IFERROR(SUMIFS(uwmp_table_4_2_w!I$2:I$9900,uwmp_table_4_2_w!$G$2:$G$9900,"Other Potable",uwmp_table_4_2_w!$B$2:$B$9900,'Contractor Assumptions'!$F30),0) + IFERROR(SUMIFS(uwmp_table_4_2_r!I$2:I$9900,uwmp_table_4_2_r!$G$2:$G$9900,"Other Potable",uwmp_table_4_2_r!$B$2:$B$9900,'Contractor Assumptions'!$F30),0)
+ IFERROR(SUMIFS(uwmp_table_4_2_w!I$2:I$9900,uwmp_table_4_2_w!$G$2:$G$9900,"Other",uwmp_table_4_2_w!$B$2:$B$9900,'Contractor Assumptions'!$F30),0) + IFERROR(SUMIFS(uwmp_table_4_2_r!I$2:I$9900,uwmp_table_4_2_r!$G$2:$G$9900,"Other",uwmp_table_4_2_r!$B$2:$B$9900,'Contractor Assumptions'!$F30),0)
+ IFERROR(SUMIFS(uwmp_table_4_2_w!I$2:I$9900,uwmp_table_4_2_w!$G$2:$G$9900,"Sales/Transfers/Exchanges to other agencies",uwmp_table_4_2_w!$B$2:$B$9900,'Contractor Assumptions'!$F30),0) + IFERROR(SUMIFS(uwmp_table_4_2_r!I$2:I$9900,uwmp_table_4_2_r!$G$2:$G$9900,"Sales/Transfers/Exchanges to other agencies",uwmp_table_4_2_r!$B$2:$B$9900,'Contractor Assumptions'!$F30),0)
+ IFERROR(SUMIFS(uwmp_table_4_2_w!I$2:I$9900,uwmp_table_4_2_w!$G$2:$G$9900,"Other Non-Potable",uwmp_table_4_2_w!$B$2:$B$9900,'Contractor Assumptions'!$F30),0) + IFERROR(SUMIFS(uwmp_table_4_2_r!I$2:I$9900,uwmp_table_4_2_r!$G$2:$G$9900,"Other Non-Potable",uwmp_table_4_2_r!$B$2:$B$9900,'Contractor Assumptions'!$F30),0)
+ IFERROR(SUMIFS(uwmp_table_4_2_w!I$2:I$9900,uwmp_table_4_2_w!$G$2:$G$9900,"Wetlands or wildlife habitat",uwmp_table_4_2_w!$B$2:$B$9900,'Contractor Assumptions'!$F30),0) + IFERROR(SUMIFS(uwmp_table_4_2_r!I$2:I$9900,uwmp_table_4_2_r!$G$2:$G$9900,"Wetlands or wildlife habitat",uwmp_table_4_2_r!$B$2:$B$9900,'Contractor Assumptions'!$F30),0)
+ IFERROR(SUMIFS(uwmp_table_4_2_w!I$2:I$9900,uwmp_table_4_2_w!$G$2:$G$9900,"Saline water intrusion barrier",uwmp_table_4_2_w!$B$2:$B$9900,'Contractor Assumptions'!$F30),0) + IFERROR(SUMIFS(uwmp_table_4_2_r!I$2:I$9900,uwmp_table_4_2_r!$G$2:$G$9900,"Saline water intrusion barrier",uwmp_table_4_2_r!$B$2:$B$9900,'Contractor Assumptions'!$F30),0)
+ IFERROR(SUMIFS(uwmp_table_4_2_w!I$2:I$9900,uwmp_table_4_2_w!$G$2:$G$9900,"Groundwater recharge",uwmp_table_4_2_w!$B$2:$B$9900,'Contractor Assumptions'!$F30),0) + IFERROR(SUMIFS(uwmp_table_4_2_r!I$2:I$9900,uwmp_table_4_2_r!$G$2:$G$9900,"Groundwater recharge",uwmp_table_4_2_r!$B$2:$B$9900,'Contractor Assumptions'!$F30),0)
+ IFERROR(SUMIFS(uwmp_table_4_2_w!I$2:I$9900,uwmp_table_4_2_w!$G$2:$G$9900,"Retail demand for use by agencies that are primarily",uwmp_table_4_2_w!$B$2:$B$9900,'Contractor Assumptions'!$F30),0) + IFERROR(SUMIFS(uwmp_table_4_2_r!I$2:I$9900,uwmp_table_4_2_r!$G$2:$G$9900,"Retail demand for use by agencies that are primarily",uwmp_table_4_2_r!$B$2:$B$9900,'Contractor Assumptions'!$F30),0)
+ IFERROR(SUMIFS(uwmp_table_4_2_w!I$2:I$9900,uwmp_table_4_2_w!$G$2:$G$9900,"wholesalers with a small volume of retail sales",uwmp_table_4_2_w!$B$2:$B$9900,'Contractor Assumptions'!$F30),0) + IFERROR(SUMIFS(uwmp_table_4_2_r!I$2:I$9900,uwmp_table_4_2_r!$G$2:$G$9900,"wholesalers with a small volume of retail sales",uwmp_table_4_2_r!$B$2:$B$9900,'Contractor Assumptions'!$F30),0)
+ IFERROR(SUMIFS(uwmp_table_4_2_w!I$2:I$9900,uwmp_table_4_2_w!$G$2:$G$9900,"Sales to other agencies",uwmp_table_4_2_w!$B$2:$B$9900,'Contractor Assumptions'!$F30),0) + IFERROR(SUMIFS(uwmp_table_4_2_r!I$2:I$9900,uwmp_table_4_2_r!$G$2:$G$9900,"Sales to other agencies",uwmp_table_4_2_r!$B$2:$B$9900,'Contractor Assumptions'!$F30),0)
+ IFERROR(SUMIFS(uwmp_table_4_2_w!I$2:I$9900,uwmp_table_4_2_w!$G$2:$G$9900,"Exchanges to other agencies",uwmp_table_4_2_w!$B$2:$B$9900,'Contractor Assumptions'!$F30),0) + IFERROR(SUMIFS(uwmp_table_4_2_r!I$2:I$9900,uwmp_table_4_2_r!$G$2:$G$9900,"Exchanges to other agencies",uwmp_table_4_2_r!$B$2:$B$9900,'Contractor Assumptions'!$F30),0)
)*IFERROR(VLOOKUP(VLOOKUP('Contractor Assumptions'!$F30,uwmp_table_4_2_r!$B$2:$N$9900,13,FALSE),$A$11:$C$13,2,FALSE), VLOOKUP(VLOOKUP('Contractor Assumptions'!$F30,uwmp_table_4_2_w!$B$2:$N$9900,14,FALSE),$A$11:$C$13,2,FALSE))</f>
        <v>20300</v>
      </c>
      <c r="E559" s="472">
        <f>(IFERROR(SUMIFS(uwmp_table_4_2_w!J$2:J$9900,uwmp_table_4_2_w!$G$2:$G$9900,"Losses",uwmp_table_4_2_w!$B$2:$B$9900,'Contractor Assumptions'!$F30),0) + IFERROR(SUMIFS(uwmp_table_4_2_r!J$2:J$9900,uwmp_table_4_2_r!$G$2:$G$9900,"Losses",uwmp_table_4_2_r!$B$2:$B$9900,'Contractor Assumptions'!$F30),0)
+ IFERROR(SUMIFS(uwmp_table_4_2_w!J$2:J$9900,uwmp_table_4_2_w!$G$2:$G$9900,"Other Potable",uwmp_table_4_2_w!$B$2:$B$9900,'Contractor Assumptions'!$F30),0) + IFERROR(SUMIFS(uwmp_table_4_2_r!J$2:J$9900,uwmp_table_4_2_r!$G$2:$G$9900,"Other Potable",uwmp_table_4_2_r!$B$2:$B$9900,'Contractor Assumptions'!$F30),0)
+ IFERROR(SUMIFS(uwmp_table_4_2_w!J$2:J$9900,uwmp_table_4_2_w!$G$2:$G$9900,"Other",uwmp_table_4_2_w!$B$2:$B$9900,'Contractor Assumptions'!$F30),0) + IFERROR(SUMIFS(uwmp_table_4_2_r!J$2:J$9900,uwmp_table_4_2_r!$G$2:$G$9900,"Other",uwmp_table_4_2_r!$B$2:$B$9900,'Contractor Assumptions'!$F30),0)
+ IFERROR(SUMIFS(uwmp_table_4_2_w!J$2:J$9900,uwmp_table_4_2_w!$G$2:$G$9900,"Sales/Transfers/Exchanges to other agencies",uwmp_table_4_2_w!$B$2:$B$9900,'Contractor Assumptions'!$F30),0) + IFERROR(SUMIFS(uwmp_table_4_2_r!J$2:J$9900,uwmp_table_4_2_r!$G$2:$G$9900,"Sales/Transfers/Exchanges to other agencies",uwmp_table_4_2_r!$B$2:$B$9900,'Contractor Assumptions'!$F30),0)
+ IFERROR(SUMIFS(uwmp_table_4_2_w!J$2:J$9900,uwmp_table_4_2_w!$G$2:$G$9900,"Other Non-Potable",uwmp_table_4_2_w!$B$2:$B$9900,'Contractor Assumptions'!$F30),0) + IFERROR(SUMIFS(uwmp_table_4_2_r!J$2:J$9900,uwmp_table_4_2_r!$G$2:$G$9900,"Other Non-Potable",uwmp_table_4_2_r!$B$2:$B$9900,'Contractor Assumptions'!$F30),0)
+ IFERROR(SUMIFS(uwmp_table_4_2_w!J$2:J$9900,uwmp_table_4_2_w!$G$2:$G$9900,"Wetlands or wildlife habitat",uwmp_table_4_2_w!$B$2:$B$9900,'Contractor Assumptions'!$F30),0) + IFERROR(SUMIFS(uwmp_table_4_2_r!J$2:J$9900,uwmp_table_4_2_r!$G$2:$G$9900,"Wetlands or wildlife habitat",uwmp_table_4_2_r!$B$2:$B$9900,'Contractor Assumptions'!$F30),0)
+ IFERROR(SUMIFS(uwmp_table_4_2_w!J$2:J$9900,uwmp_table_4_2_w!$G$2:$G$9900,"Saline water intrusion barrier",uwmp_table_4_2_w!$B$2:$B$9900,'Contractor Assumptions'!$F30),0) + IFERROR(SUMIFS(uwmp_table_4_2_r!J$2:J$9900,uwmp_table_4_2_r!$G$2:$G$9900,"Saline water intrusion barrier",uwmp_table_4_2_r!$B$2:$B$9900,'Contractor Assumptions'!$F30),0)
+ IFERROR(SUMIFS(uwmp_table_4_2_w!J$2:J$9900,uwmp_table_4_2_w!$G$2:$G$9900,"Groundwater recharge",uwmp_table_4_2_w!$B$2:$B$9900,'Contractor Assumptions'!$F30),0) + IFERROR(SUMIFS(uwmp_table_4_2_r!J$2:J$9900,uwmp_table_4_2_r!$G$2:$G$9900,"Groundwater recharge",uwmp_table_4_2_r!$B$2:$B$9900,'Contractor Assumptions'!$F30),0)
+ IFERROR(SUMIFS(uwmp_table_4_2_w!J$2:J$9900,uwmp_table_4_2_w!$G$2:$G$9900,"Retail demand for use by agencies that are primarily",uwmp_table_4_2_w!$B$2:$B$9900,'Contractor Assumptions'!$F30),0) + IFERROR(SUMIFS(uwmp_table_4_2_r!J$2:J$9900,uwmp_table_4_2_r!$G$2:$G$9900,"Retail demand for use by agencies that are primarily",uwmp_table_4_2_r!$B$2:$B$9900,'Contractor Assumptions'!$F30),0)
+ IFERROR(SUMIFS(uwmp_table_4_2_w!J$2:J$9900,uwmp_table_4_2_w!$G$2:$G$9900,"wholesalers with a small volume of retail sales",uwmp_table_4_2_w!$B$2:$B$9900,'Contractor Assumptions'!$F30),0) + IFERROR(SUMIFS(uwmp_table_4_2_r!J$2:J$9900,uwmp_table_4_2_r!$G$2:$G$9900,"wholesalers with a small volume of retail sales",uwmp_table_4_2_r!$B$2:$B$9900,'Contractor Assumptions'!$F30),0)
+ IFERROR(SUMIFS(uwmp_table_4_2_w!J$2:J$9900,uwmp_table_4_2_w!$G$2:$G$9900,"Sales to other agencies",uwmp_table_4_2_w!$B$2:$B$9900,'Contractor Assumptions'!$F30),0) + IFERROR(SUMIFS(uwmp_table_4_2_r!J$2:J$9900,uwmp_table_4_2_r!$G$2:$G$9900,"Sales to other agencies",uwmp_table_4_2_r!$B$2:$B$9900,'Contractor Assumptions'!$F30),0)
+ IFERROR(SUMIFS(uwmp_table_4_2_w!J$2:J$9900,uwmp_table_4_2_w!$G$2:$G$9900,"Exchanges to other agencies",uwmp_table_4_2_w!$B$2:$B$9900,'Contractor Assumptions'!$F30),0) + IFERROR(SUMIFS(uwmp_table_4_2_r!J$2:J$9900,uwmp_table_4_2_r!$G$2:$G$9900,"Exchanges to other agencies",uwmp_table_4_2_r!$B$2:$B$9900,'Contractor Assumptions'!$F30),0)
)*IFERROR(VLOOKUP(VLOOKUP('Contractor Assumptions'!$F30,uwmp_table_4_2_r!$B$2:$N$9900,13,FALSE),$A$11:$C$13,2,FALSE), VLOOKUP(VLOOKUP('Contractor Assumptions'!$F30,uwmp_table_4_2_w!$B$2:$N$9900,14,FALSE),$A$11:$C$13,2,FALSE))</f>
        <v>20200</v>
      </c>
      <c r="F559" s="472">
        <f>(IFERROR(SUMIFS(uwmp_table_4_2_w!K$2:K$9900,uwmp_table_4_2_w!$G$2:$G$9900,"Losses",uwmp_table_4_2_w!$B$2:$B$9900,'Contractor Assumptions'!$F30),0) + IFERROR(SUMIFS(uwmp_table_4_2_r!K$2:K$9900,uwmp_table_4_2_r!$G$2:$G$9900,"Losses",uwmp_table_4_2_r!$B$2:$B$9900,'Contractor Assumptions'!$F30),0)
+ IFERROR(SUMIFS(uwmp_table_4_2_w!K$2:K$9900,uwmp_table_4_2_w!$G$2:$G$9900,"Other Potable",uwmp_table_4_2_w!$B$2:$B$9900,'Contractor Assumptions'!$F30),0) + IFERROR(SUMIFS(uwmp_table_4_2_r!K$2:K$9900,uwmp_table_4_2_r!$G$2:$G$9900,"Other Potable",uwmp_table_4_2_r!$B$2:$B$9900,'Contractor Assumptions'!$F30),0)
+ IFERROR(SUMIFS(uwmp_table_4_2_w!K$2:K$9900,uwmp_table_4_2_w!$G$2:$G$9900,"Other",uwmp_table_4_2_w!$B$2:$B$9900,'Contractor Assumptions'!$F30),0) + IFERROR(SUMIFS(uwmp_table_4_2_r!K$2:K$9900,uwmp_table_4_2_r!$G$2:$G$9900,"Other",uwmp_table_4_2_r!$B$2:$B$9900,'Contractor Assumptions'!$F30),0)
+ IFERROR(SUMIFS(uwmp_table_4_2_w!K$2:K$9900,uwmp_table_4_2_w!$G$2:$G$9900,"Sales/Transfers/Exchanges to other agencies",uwmp_table_4_2_w!$B$2:$B$9900,'Contractor Assumptions'!$F30),0) + IFERROR(SUMIFS(uwmp_table_4_2_r!K$2:K$9900,uwmp_table_4_2_r!$G$2:$G$9900,"Sales/Transfers/Exchanges to other agencies",uwmp_table_4_2_r!$B$2:$B$9900,'Contractor Assumptions'!$F30),0)
+ IFERROR(SUMIFS(uwmp_table_4_2_w!K$2:K$9900,uwmp_table_4_2_w!$G$2:$G$9900,"Other Non-Potable",uwmp_table_4_2_w!$B$2:$B$9900,'Contractor Assumptions'!$F30),0) + IFERROR(SUMIFS(uwmp_table_4_2_r!K$2:K$9900,uwmp_table_4_2_r!$G$2:$G$9900,"Other Non-Potable",uwmp_table_4_2_r!$B$2:$B$9900,'Contractor Assumptions'!$F30),0)
+ IFERROR(SUMIFS(uwmp_table_4_2_w!K$2:K$9900,uwmp_table_4_2_w!$G$2:$G$9900,"Wetlands or wildlife habitat",uwmp_table_4_2_w!$B$2:$B$9900,'Contractor Assumptions'!$F30),0) + IFERROR(SUMIFS(uwmp_table_4_2_r!K$2:K$9900,uwmp_table_4_2_r!$G$2:$G$9900,"Wetlands or wildlife habitat",uwmp_table_4_2_r!$B$2:$B$9900,'Contractor Assumptions'!$F30),0)
+ IFERROR(SUMIFS(uwmp_table_4_2_w!K$2:K$9900,uwmp_table_4_2_w!$G$2:$G$9900,"Saline water intrusion barrier",uwmp_table_4_2_w!$B$2:$B$9900,'Contractor Assumptions'!$F30),0) + IFERROR(SUMIFS(uwmp_table_4_2_r!K$2:K$9900,uwmp_table_4_2_r!$G$2:$G$9900,"Saline water intrusion barrier",uwmp_table_4_2_r!$B$2:$B$9900,'Contractor Assumptions'!$F30),0)
+ IFERROR(SUMIFS(uwmp_table_4_2_w!K$2:K$9900,uwmp_table_4_2_w!$G$2:$G$9900,"Groundwater recharge",uwmp_table_4_2_w!$B$2:$B$9900,'Contractor Assumptions'!$F30),0) + IFERROR(SUMIFS(uwmp_table_4_2_r!K$2:K$9900,uwmp_table_4_2_r!$G$2:$G$9900,"Groundwater recharge",uwmp_table_4_2_r!$B$2:$B$9900,'Contractor Assumptions'!$F30),0)
+ IFERROR(SUMIFS(uwmp_table_4_2_w!K$2:K$9900,uwmp_table_4_2_w!$G$2:$G$9900,"Retail demand for use by agencies that are primarily",uwmp_table_4_2_w!$B$2:$B$9900,'Contractor Assumptions'!$F30),0) + IFERROR(SUMIFS(uwmp_table_4_2_r!K$2:K$9900,uwmp_table_4_2_r!$G$2:$G$9900,"Retail demand for use by agencies that are primarily",uwmp_table_4_2_r!$B$2:$B$9900,'Contractor Assumptions'!$F30),0)
+ IFERROR(SUMIFS(uwmp_table_4_2_w!K$2:K$9900,uwmp_table_4_2_w!$G$2:$G$9900,"wholesalers with a small volume of retail sales",uwmp_table_4_2_w!$B$2:$B$9900,'Contractor Assumptions'!$F30),0) + IFERROR(SUMIFS(uwmp_table_4_2_r!K$2:K$9900,uwmp_table_4_2_r!$G$2:$G$9900,"wholesalers with a small volume of retail sales",uwmp_table_4_2_r!$B$2:$B$9900,'Contractor Assumptions'!$F30),0)
+ IFERROR(SUMIFS(uwmp_table_4_2_w!K$2:K$9900,uwmp_table_4_2_w!$G$2:$G$9900,"Sales to other agencies",uwmp_table_4_2_w!$B$2:$B$9900,'Contractor Assumptions'!$F30),0) + IFERROR(SUMIFS(uwmp_table_4_2_r!K$2:K$9900,uwmp_table_4_2_r!$G$2:$G$9900,"Sales to other agencies",uwmp_table_4_2_r!$B$2:$B$9900,'Contractor Assumptions'!$F30),0)
+ IFERROR(SUMIFS(uwmp_table_4_2_w!K$2:K$9900,uwmp_table_4_2_w!$G$2:$G$9900,"Exchanges to other agencies",uwmp_table_4_2_w!$B$2:$B$9900,'Contractor Assumptions'!$F30),0) + IFERROR(SUMIFS(uwmp_table_4_2_r!K$2:K$9900,uwmp_table_4_2_r!$G$2:$G$9900,"Exchanges to other agencies",uwmp_table_4_2_r!$B$2:$B$9900,'Contractor Assumptions'!$F30),0)
)*IFERROR(VLOOKUP(VLOOKUP('Contractor Assumptions'!$F30,uwmp_table_4_2_r!$B$2:$N$9900,13,FALSE),$A$11:$C$13,2,FALSE), VLOOKUP(VLOOKUP('Contractor Assumptions'!$F30,uwmp_table_4_2_w!$B$2:$N$9900,14,FALSE),$A$11:$C$13,2,FALSE))</f>
        <v>20100</v>
      </c>
      <c r="G559" s="472">
        <f>(IFERROR(SUMIFS(uwmp_table_4_2_w!L$2:L$9900,uwmp_table_4_2_w!$G$2:$G$9900,"Losses",uwmp_table_4_2_w!$B$2:$B$9900,'Contractor Assumptions'!$F30),0) + IFERROR(SUMIFS(uwmp_table_4_2_r!L$2:L$9900,uwmp_table_4_2_r!$G$2:$G$9900,"Losses",uwmp_table_4_2_r!$B$2:$B$9900,'Contractor Assumptions'!$F30),0)
+ IFERROR(SUMIFS(uwmp_table_4_2_w!L$2:L$9900,uwmp_table_4_2_w!$G$2:$G$9900,"Other Potable",uwmp_table_4_2_w!$B$2:$B$9900,'Contractor Assumptions'!$F30),0) + IFERROR(SUMIFS(uwmp_table_4_2_r!L$2:L$9900,uwmp_table_4_2_r!$G$2:$G$9900,"Other Potable",uwmp_table_4_2_r!$B$2:$B$9900,'Contractor Assumptions'!$F30),0)
+ IFERROR(SUMIFS(uwmp_table_4_2_w!L$2:L$9900,uwmp_table_4_2_w!$G$2:$G$9900,"Other",uwmp_table_4_2_w!$B$2:$B$9900,'Contractor Assumptions'!$F30),0) + IFERROR(SUMIFS(uwmp_table_4_2_r!L$2:L$9900,uwmp_table_4_2_r!$G$2:$G$9900,"Other",uwmp_table_4_2_r!$B$2:$B$9900,'Contractor Assumptions'!$F30),0)
+ IFERROR(SUMIFS(uwmp_table_4_2_w!L$2:L$9900,uwmp_table_4_2_w!$G$2:$G$9900,"Sales/Transfers/Exchanges to other agencies",uwmp_table_4_2_w!$B$2:$B$9900,'Contractor Assumptions'!$F30),0) + IFERROR(SUMIFS(uwmp_table_4_2_r!L$2:L$9900,uwmp_table_4_2_r!$G$2:$G$9900,"Sales/Transfers/Exchanges to other agencies",uwmp_table_4_2_r!$B$2:$B$9900,'Contractor Assumptions'!$F30),0)
+ IFERROR(SUMIFS(uwmp_table_4_2_w!L$2:L$9900,uwmp_table_4_2_w!$G$2:$G$9900,"Other Non-Potable",uwmp_table_4_2_w!$B$2:$B$9900,'Contractor Assumptions'!$F30),0) + IFERROR(SUMIFS(uwmp_table_4_2_r!L$2:L$9900,uwmp_table_4_2_r!$G$2:$G$9900,"Other Non-Potable",uwmp_table_4_2_r!$B$2:$B$9900,'Contractor Assumptions'!$F30),0)
+ IFERROR(SUMIFS(uwmp_table_4_2_w!L$2:L$9900,uwmp_table_4_2_w!$G$2:$G$9900,"Wetlands or wildlife habitat",uwmp_table_4_2_w!$B$2:$B$9900,'Contractor Assumptions'!$F30),0) + IFERROR(SUMIFS(uwmp_table_4_2_r!L$2:L$9900,uwmp_table_4_2_r!$G$2:$G$9900,"Wetlands or wildlife habitat",uwmp_table_4_2_r!$B$2:$B$9900,'Contractor Assumptions'!$F30),0)
+ IFERROR(SUMIFS(uwmp_table_4_2_w!L$2:L$9900,uwmp_table_4_2_w!$G$2:$G$9900,"Saline water intrusion barrier",uwmp_table_4_2_w!$B$2:$B$9900,'Contractor Assumptions'!$F30),0) + IFERROR(SUMIFS(uwmp_table_4_2_r!L$2:L$9900,uwmp_table_4_2_r!$G$2:$G$9900,"Saline water intrusion barrier",uwmp_table_4_2_r!$B$2:$B$9900,'Contractor Assumptions'!$F30),0)
+ IFERROR(SUMIFS(uwmp_table_4_2_w!L$2:L$9900,uwmp_table_4_2_w!$G$2:$G$9900,"Groundwater recharge",uwmp_table_4_2_w!$B$2:$B$9900,'Contractor Assumptions'!$F30),0) + IFERROR(SUMIFS(uwmp_table_4_2_r!L$2:L$9900,uwmp_table_4_2_r!$G$2:$G$9900,"Groundwater recharge",uwmp_table_4_2_r!$B$2:$B$9900,'Contractor Assumptions'!$F30),0)
+ IFERROR(SUMIFS(uwmp_table_4_2_w!L$2:L$9900,uwmp_table_4_2_w!$G$2:$G$9900,"Retail demand for use by agencies that are primarily",uwmp_table_4_2_w!$B$2:$B$9900,'Contractor Assumptions'!$F30),0) + IFERROR(SUMIFS(uwmp_table_4_2_r!L$2:L$9900,uwmp_table_4_2_r!$G$2:$G$9900,"Retail demand for use by agencies that are primarily",uwmp_table_4_2_r!$B$2:$B$9900,'Contractor Assumptions'!$F30),0)
+ IFERROR(SUMIFS(uwmp_table_4_2_w!L$2:L$9900,uwmp_table_4_2_w!$G$2:$G$9900,"wholesalers with a small volume of retail sales",uwmp_table_4_2_w!$B$2:$B$9900,'Contractor Assumptions'!$F30),0) + IFERROR(SUMIFS(uwmp_table_4_2_r!L$2:L$9900,uwmp_table_4_2_r!$G$2:$G$9900,"wholesalers with a small volume of retail sales",uwmp_table_4_2_r!$B$2:$B$9900,'Contractor Assumptions'!$F30),0)
+ IFERROR(SUMIFS(uwmp_table_4_2_w!L$2:L$9900,uwmp_table_4_2_w!$G$2:$G$9900,"Sales to other agencies",uwmp_table_4_2_w!$B$2:$B$9900,'Contractor Assumptions'!$F30),0) + IFERROR(SUMIFS(uwmp_table_4_2_r!L$2:L$9900,uwmp_table_4_2_r!$G$2:$G$9900,"Sales to other agencies",uwmp_table_4_2_r!$B$2:$B$9900,'Contractor Assumptions'!$F30),0)
+ IFERROR(SUMIFS(uwmp_table_4_2_w!L$2:L$9900,uwmp_table_4_2_w!$G$2:$G$9900,"Exchanges to other agencies",uwmp_table_4_2_w!$B$2:$B$9900,'Contractor Assumptions'!$F30),0) + IFERROR(SUMIFS(uwmp_table_4_2_r!L$2:L$9900,uwmp_table_4_2_r!$G$2:$G$9900,"Exchanges to other agencies",uwmp_table_4_2_r!$B$2:$B$9900,'Contractor Assumptions'!$F30),0)
)*IFERROR(VLOOKUP(VLOOKUP('Contractor Assumptions'!$F30,uwmp_table_4_2_r!$B$2:$N$9900,13,FALSE),$A$11:$C$13,2,FALSE), VLOOKUP(VLOOKUP('Contractor Assumptions'!$F30,uwmp_table_4_2_w!$B$2:$N$9900,14,FALSE),$A$11:$C$13,2,FALSE))</f>
        <v>20100</v>
      </c>
      <c r="H559" s="520">
        <f>(IFERROR(SUMIFS(uwmp_table_4_2_w!M$2:M$9900,uwmp_table_4_2_w!$G$2:$G$9900,"Losses",uwmp_table_4_2_w!$B$2:$B$9900,'Contractor Assumptions'!$F30),0) + IFERROR(SUMIFS(uwmp_table_4_2_r!M$2:M$9900,uwmp_table_4_2_r!$G$2:$G$9900,"Losses",uwmp_table_4_2_r!$B$2:$B$9900,'Contractor Assumptions'!$F30),0)
+ IFERROR(SUMIFS(uwmp_table_4_2_w!M$2:M$9900,uwmp_table_4_2_w!$G$2:$G$9900,"Other Potable",uwmp_table_4_2_w!$B$2:$B$9900,'Contractor Assumptions'!$F30),0) + IFERROR(SUMIFS(uwmp_table_4_2_r!M$2:M$9900,uwmp_table_4_2_r!$G$2:$G$9900,"Other Potable",uwmp_table_4_2_r!$B$2:$B$9900,'Contractor Assumptions'!$F30),0)
+ IFERROR(SUMIFS(uwmp_table_4_2_w!M$2:M$9900,uwmp_table_4_2_w!$G$2:$G$9900,"Other",uwmp_table_4_2_w!$B$2:$B$9900,'Contractor Assumptions'!$F30),0) + IFERROR(SUMIFS(uwmp_table_4_2_r!M$2:M$9900,uwmp_table_4_2_r!$G$2:$G$9900,"Other",uwmp_table_4_2_r!$B$2:$B$9900,'Contractor Assumptions'!$F30),0)
+ IFERROR(SUMIFS(uwmp_table_4_2_w!M$2:M$9900,uwmp_table_4_2_w!$G$2:$G$9900,"Sales/Transfers/Exchanges to other agencies",uwmp_table_4_2_w!$B$2:$B$9900,'Contractor Assumptions'!$F30),0) + IFERROR(SUMIFS(uwmp_table_4_2_r!M$2:M$9900,uwmp_table_4_2_r!$G$2:$G$9900,"Sales/Transfers/Exchanges to other agencies",uwmp_table_4_2_r!$B$2:$B$9900,'Contractor Assumptions'!$F30),0)
+ IFERROR(SUMIFS(uwmp_table_4_2_w!M$2:M$9900,uwmp_table_4_2_w!$G$2:$G$9900,"Other Non-Potable",uwmp_table_4_2_w!$B$2:$B$9900,'Contractor Assumptions'!$F30),0) + IFERROR(SUMIFS(uwmp_table_4_2_r!M$2:M$9900,uwmp_table_4_2_r!$G$2:$G$9900,"Other Non-Potable",uwmp_table_4_2_r!$B$2:$B$9900,'Contractor Assumptions'!$F30),0)
+ IFERROR(SUMIFS(uwmp_table_4_2_w!M$2:M$9900,uwmp_table_4_2_w!$G$2:$G$9900,"Wetlands or wildlife habitat",uwmp_table_4_2_w!$B$2:$B$9900,'Contractor Assumptions'!$F30),0) + IFERROR(SUMIFS(uwmp_table_4_2_r!M$2:M$9900,uwmp_table_4_2_r!$G$2:$G$9900,"Wetlands or wildlife habitat",uwmp_table_4_2_r!$B$2:$B$9900,'Contractor Assumptions'!$F30),0)
+ IFERROR(SUMIFS(uwmp_table_4_2_w!M$2:M$9900,uwmp_table_4_2_w!$G$2:$G$9900,"Saline water intrusion barrier",uwmp_table_4_2_w!$B$2:$B$9900,'Contractor Assumptions'!$F30),0) + IFERROR(SUMIFS(uwmp_table_4_2_r!M$2:M$9900,uwmp_table_4_2_r!$G$2:$G$9900,"Saline water intrusion barrier",uwmp_table_4_2_r!$B$2:$B$9900,'Contractor Assumptions'!$F30),0)
+ IFERROR(SUMIFS(uwmp_table_4_2_w!M$2:M$9900,uwmp_table_4_2_w!$G$2:$G$9900,"Groundwater recharge",uwmp_table_4_2_w!$B$2:$B$9900,'Contractor Assumptions'!$F30),0) + IFERROR(SUMIFS(uwmp_table_4_2_r!M$2:M$9900,uwmp_table_4_2_r!$G$2:$G$9900,"Groundwater recharge",uwmp_table_4_2_r!$B$2:$B$9900,'Contractor Assumptions'!$F30),0)
+ IFERROR(SUMIFS(uwmp_table_4_2_w!M$2:M$9900,uwmp_table_4_2_w!$G$2:$G$9900,"Retail demand for use by agencies that are primarily",uwmp_table_4_2_w!$B$2:$B$9900,'Contractor Assumptions'!$F30),0) + IFERROR(SUMIFS(uwmp_table_4_2_r!M$2:M$9900,uwmp_table_4_2_r!$G$2:$G$9900,"Retail demand for use by agencies that are primarily",uwmp_table_4_2_r!$B$2:$B$9900,'Contractor Assumptions'!$F30),0)
+ IFERROR(SUMIFS(uwmp_table_4_2_w!M$2:M$9900,uwmp_table_4_2_w!$G$2:$G$9900,"wholesalers with a small volume of retail sales",uwmp_table_4_2_w!$B$2:$B$9900,'Contractor Assumptions'!$F30),0) + IFERROR(SUMIFS(uwmp_table_4_2_r!M$2:M$9900,uwmp_table_4_2_r!$G$2:$G$9900,"wholesalers with a small volume of retail sales",uwmp_table_4_2_r!$B$2:$B$9900,'Contractor Assumptions'!$F30),0)
+ IFERROR(SUMIFS(uwmp_table_4_2_w!M$2:M$9900,uwmp_table_4_2_w!$G$2:$G$9900,"Sales to other agencies",uwmp_table_4_2_w!$B$2:$B$9900,'Contractor Assumptions'!$F30),0) + IFERROR(SUMIFS(uwmp_table_4_2_r!M$2:M$9900,uwmp_table_4_2_r!$G$2:$G$9900,"Sales to other agencies",uwmp_table_4_2_r!$B$2:$B$9900,'Contractor Assumptions'!$F30),0)
+ IFERROR(SUMIFS(uwmp_table_4_2_w!M$2:M$9900,uwmp_table_4_2_w!$G$2:$G$9900,"Exchanges to other agencies",uwmp_table_4_2_w!$B$2:$B$9900,'Contractor Assumptions'!$F30),0) + IFERROR(SUMIFS(uwmp_table_4_2_r!M$2:M$9900,uwmp_table_4_2_r!$G$2:$G$9900,"Exchanges to other agencies",uwmp_table_4_2_r!$B$2:$B$9900,'Contractor Assumptions'!$F30),0)
)*IFERROR(VLOOKUP(VLOOKUP('Contractor Assumptions'!$F30,uwmp_table_4_2_r!$B$2:$N$9900,13,FALSE),$A$11:$C$13,2,FALSE), VLOOKUP(VLOOKUP('Contractor Assumptions'!$F30,uwmp_table_4_2_w!$B$2:$N$9900,14,FALSE),$A$11:$C$13,2,FALSE))</f>
        <v>20200</v>
      </c>
      <c r="I559" s="66"/>
      <c r="J559" s="70"/>
      <c r="K559" s="70"/>
      <c r="L559" s="70"/>
      <c r="M559" s="70"/>
      <c r="N559" s="70"/>
      <c r="O559" s="70"/>
      <c r="P559" s="70"/>
    </row>
    <row r="560" spans="1:16" hidden="1" outlineLevel="1" x14ac:dyDescent="0.3">
      <c r="A560" s="63" t="s">
        <v>1026</v>
      </c>
      <c r="B560" s="63" t="s">
        <v>915</v>
      </c>
      <c r="C560" s="63" t="str">
        <f t="shared" si="11"/>
        <v>Contra Costa Water District</v>
      </c>
      <c r="D560" s="472">
        <f>(IFERROR(SUMIFS(uwmp_table_4_2_w!I$2:I$9900,uwmp_table_4_2_w!$G$2:$G$9900,"Losses",uwmp_table_4_2_w!$B$2:$B$9900,'Contractor Assumptions'!$F31),0) + IFERROR(SUMIFS(uwmp_table_4_2_r!I$2:I$9900,uwmp_table_4_2_r!$G$2:$G$9900,"Losses",uwmp_table_4_2_r!$B$2:$B$9900,'Contractor Assumptions'!$F31),0)
+ IFERROR(SUMIFS(uwmp_table_4_2_w!I$2:I$9900,uwmp_table_4_2_w!$G$2:$G$9900,"Other Potable",uwmp_table_4_2_w!$B$2:$B$9900,'Contractor Assumptions'!$F31),0) + IFERROR(SUMIFS(uwmp_table_4_2_r!I$2:I$9900,uwmp_table_4_2_r!$G$2:$G$9900,"Other Potable",uwmp_table_4_2_r!$B$2:$B$9900,'Contractor Assumptions'!$F31),0)
+ IFERROR(SUMIFS(uwmp_table_4_2_w!I$2:I$9900,uwmp_table_4_2_w!$G$2:$G$9900,"Other",uwmp_table_4_2_w!$B$2:$B$9900,'Contractor Assumptions'!$F31),0) + IFERROR(SUMIFS(uwmp_table_4_2_r!I$2:I$9900,uwmp_table_4_2_r!$G$2:$G$9900,"Other",uwmp_table_4_2_r!$B$2:$B$9900,'Contractor Assumptions'!$F31),0)
+ IFERROR(SUMIFS(uwmp_table_4_2_w!I$2:I$9900,uwmp_table_4_2_w!$G$2:$G$9900,"Sales/Transfers/Exchanges to other agencies",uwmp_table_4_2_w!$B$2:$B$9900,'Contractor Assumptions'!$F31),0) + IFERROR(SUMIFS(uwmp_table_4_2_r!I$2:I$9900,uwmp_table_4_2_r!$G$2:$G$9900,"Sales/Transfers/Exchanges to other agencies",uwmp_table_4_2_r!$B$2:$B$9900,'Contractor Assumptions'!$F31),0)
+ IFERROR(SUMIFS(uwmp_table_4_2_w!I$2:I$9900,uwmp_table_4_2_w!$G$2:$G$9900,"Other Non-Potable",uwmp_table_4_2_w!$B$2:$B$9900,'Contractor Assumptions'!$F31),0) + IFERROR(SUMIFS(uwmp_table_4_2_r!I$2:I$9900,uwmp_table_4_2_r!$G$2:$G$9900,"Other Non-Potable",uwmp_table_4_2_r!$B$2:$B$9900,'Contractor Assumptions'!$F31),0)
+ IFERROR(SUMIFS(uwmp_table_4_2_w!I$2:I$9900,uwmp_table_4_2_w!$G$2:$G$9900,"Wetlands or wildlife habitat",uwmp_table_4_2_w!$B$2:$B$9900,'Contractor Assumptions'!$F31),0) + IFERROR(SUMIFS(uwmp_table_4_2_r!I$2:I$9900,uwmp_table_4_2_r!$G$2:$G$9900,"Wetlands or wildlife habitat",uwmp_table_4_2_r!$B$2:$B$9900,'Contractor Assumptions'!$F31),0)
+ IFERROR(SUMIFS(uwmp_table_4_2_w!I$2:I$9900,uwmp_table_4_2_w!$G$2:$G$9900,"Saline water intrusion barrier",uwmp_table_4_2_w!$B$2:$B$9900,'Contractor Assumptions'!$F31),0) + IFERROR(SUMIFS(uwmp_table_4_2_r!I$2:I$9900,uwmp_table_4_2_r!$G$2:$G$9900,"Saline water intrusion barrier",uwmp_table_4_2_r!$B$2:$B$9900,'Contractor Assumptions'!$F31),0)
+ IFERROR(SUMIFS(uwmp_table_4_2_w!I$2:I$9900,uwmp_table_4_2_w!$G$2:$G$9900,"Groundwater recharge",uwmp_table_4_2_w!$B$2:$B$9900,'Contractor Assumptions'!$F31),0) + IFERROR(SUMIFS(uwmp_table_4_2_r!I$2:I$9900,uwmp_table_4_2_r!$G$2:$G$9900,"Groundwater recharge",uwmp_table_4_2_r!$B$2:$B$9900,'Contractor Assumptions'!$F31),0)
+ IFERROR(SUMIFS(uwmp_table_4_2_w!I$2:I$9900,uwmp_table_4_2_w!$G$2:$G$9900,"Retail demand for use by agencies that are primarily",uwmp_table_4_2_w!$B$2:$B$9900,'Contractor Assumptions'!$F31),0) + IFERROR(SUMIFS(uwmp_table_4_2_r!I$2:I$9900,uwmp_table_4_2_r!$G$2:$G$9900,"Retail demand for use by agencies that are primarily",uwmp_table_4_2_r!$B$2:$B$9900,'Contractor Assumptions'!$F31),0)
+ IFERROR(SUMIFS(uwmp_table_4_2_w!I$2:I$9900,uwmp_table_4_2_w!$G$2:$G$9900,"wholesalers with a small volume of retail sales",uwmp_table_4_2_w!$B$2:$B$9900,'Contractor Assumptions'!$F31),0) + IFERROR(SUMIFS(uwmp_table_4_2_r!I$2:I$9900,uwmp_table_4_2_r!$G$2:$G$9900,"wholesalers with a small volume of retail sales",uwmp_table_4_2_r!$B$2:$B$9900,'Contractor Assumptions'!$F31),0)
+ IFERROR(SUMIFS(uwmp_table_4_2_w!I$2:I$9900,uwmp_table_4_2_w!$G$2:$G$9900,"Sales to other agencies",uwmp_table_4_2_w!$B$2:$B$9900,'Contractor Assumptions'!$F31),0) + IFERROR(SUMIFS(uwmp_table_4_2_r!I$2:I$9900,uwmp_table_4_2_r!$G$2:$G$9900,"Sales to other agencies",uwmp_table_4_2_r!$B$2:$B$9900,'Contractor Assumptions'!$F31),0)
+ IFERROR(SUMIFS(uwmp_table_4_2_w!I$2:I$9900,uwmp_table_4_2_w!$G$2:$G$9900,"Exchanges to other agencies",uwmp_table_4_2_w!$B$2:$B$9900,'Contractor Assumptions'!$F31),0) + IFERROR(SUMIFS(uwmp_table_4_2_r!I$2:I$9900,uwmp_table_4_2_r!$G$2:$G$9900,"Exchanges to other agencies",uwmp_table_4_2_r!$B$2:$B$9900,'Contractor Assumptions'!$F31),0)
)*IFERROR(VLOOKUP(VLOOKUP('Contractor Assumptions'!$F31,uwmp_table_4_2_r!$B$2:$N$9900,13,FALSE),$A$11:$C$13,2,FALSE), VLOOKUP(VLOOKUP('Contractor Assumptions'!$F31,uwmp_table_4_2_w!$B$2:$N$9900,14,FALSE),$A$11:$C$13,2,FALSE))</f>
        <v>139300</v>
      </c>
      <c r="E560" s="472">
        <f>(IFERROR(SUMIFS(uwmp_table_4_2_w!J$2:J$9900,uwmp_table_4_2_w!$G$2:$G$9900,"Losses",uwmp_table_4_2_w!$B$2:$B$9900,'Contractor Assumptions'!$F31),0) + IFERROR(SUMIFS(uwmp_table_4_2_r!J$2:J$9900,uwmp_table_4_2_r!$G$2:$G$9900,"Losses",uwmp_table_4_2_r!$B$2:$B$9900,'Contractor Assumptions'!$F31),0)
+ IFERROR(SUMIFS(uwmp_table_4_2_w!J$2:J$9900,uwmp_table_4_2_w!$G$2:$G$9900,"Other Potable",uwmp_table_4_2_w!$B$2:$B$9900,'Contractor Assumptions'!$F31),0) + IFERROR(SUMIFS(uwmp_table_4_2_r!J$2:J$9900,uwmp_table_4_2_r!$G$2:$G$9900,"Other Potable",uwmp_table_4_2_r!$B$2:$B$9900,'Contractor Assumptions'!$F31),0)
+ IFERROR(SUMIFS(uwmp_table_4_2_w!J$2:J$9900,uwmp_table_4_2_w!$G$2:$G$9900,"Other",uwmp_table_4_2_w!$B$2:$B$9900,'Contractor Assumptions'!$F31),0) + IFERROR(SUMIFS(uwmp_table_4_2_r!J$2:J$9900,uwmp_table_4_2_r!$G$2:$G$9900,"Other",uwmp_table_4_2_r!$B$2:$B$9900,'Contractor Assumptions'!$F31),0)
+ IFERROR(SUMIFS(uwmp_table_4_2_w!J$2:J$9900,uwmp_table_4_2_w!$G$2:$G$9900,"Sales/Transfers/Exchanges to other agencies",uwmp_table_4_2_w!$B$2:$B$9900,'Contractor Assumptions'!$F31),0) + IFERROR(SUMIFS(uwmp_table_4_2_r!J$2:J$9900,uwmp_table_4_2_r!$G$2:$G$9900,"Sales/Transfers/Exchanges to other agencies",uwmp_table_4_2_r!$B$2:$B$9900,'Contractor Assumptions'!$F31),0)
+ IFERROR(SUMIFS(uwmp_table_4_2_w!J$2:J$9900,uwmp_table_4_2_w!$G$2:$G$9900,"Other Non-Potable",uwmp_table_4_2_w!$B$2:$B$9900,'Contractor Assumptions'!$F31),0) + IFERROR(SUMIFS(uwmp_table_4_2_r!J$2:J$9900,uwmp_table_4_2_r!$G$2:$G$9900,"Other Non-Potable",uwmp_table_4_2_r!$B$2:$B$9900,'Contractor Assumptions'!$F31),0)
+ IFERROR(SUMIFS(uwmp_table_4_2_w!J$2:J$9900,uwmp_table_4_2_w!$G$2:$G$9900,"Wetlands or wildlife habitat",uwmp_table_4_2_w!$B$2:$B$9900,'Contractor Assumptions'!$F31),0) + IFERROR(SUMIFS(uwmp_table_4_2_r!J$2:J$9900,uwmp_table_4_2_r!$G$2:$G$9900,"Wetlands or wildlife habitat",uwmp_table_4_2_r!$B$2:$B$9900,'Contractor Assumptions'!$F31),0)
+ IFERROR(SUMIFS(uwmp_table_4_2_w!J$2:J$9900,uwmp_table_4_2_w!$G$2:$G$9900,"Saline water intrusion barrier",uwmp_table_4_2_w!$B$2:$B$9900,'Contractor Assumptions'!$F31),0) + IFERROR(SUMIFS(uwmp_table_4_2_r!J$2:J$9900,uwmp_table_4_2_r!$G$2:$G$9900,"Saline water intrusion barrier",uwmp_table_4_2_r!$B$2:$B$9900,'Contractor Assumptions'!$F31),0)
+ IFERROR(SUMIFS(uwmp_table_4_2_w!J$2:J$9900,uwmp_table_4_2_w!$G$2:$G$9900,"Groundwater recharge",uwmp_table_4_2_w!$B$2:$B$9900,'Contractor Assumptions'!$F31),0) + IFERROR(SUMIFS(uwmp_table_4_2_r!J$2:J$9900,uwmp_table_4_2_r!$G$2:$G$9900,"Groundwater recharge",uwmp_table_4_2_r!$B$2:$B$9900,'Contractor Assumptions'!$F31),0)
+ IFERROR(SUMIFS(uwmp_table_4_2_w!J$2:J$9900,uwmp_table_4_2_w!$G$2:$G$9900,"Retail demand for use by agencies that are primarily",uwmp_table_4_2_w!$B$2:$B$9900,'Contractor Assumptions'!$F31),0) + IFERROR(SUMIFS(uwmp_table_4_2_r!J$2:J$9900,uwmp_table_4_2_r!$G$2:$G$9900,"Retail demand for use by agencies that are primarily",uwmp_table_4_2_r!$B$2:$B$9900,'Contractor Assumptions'!$F31),0)
+ IFERROR(SUMIFS(uwmp_table_4_2_w!J$2:J$9900,uwmp_table_4_2_w!$G$2:$G$9900,"wholesalers with a small volume of retail sales",uwmp_table_4_2_w!$B$2:$B$9900,'Contractor Assumptions'!$F31),0) + IFERROR(SUMIFS(uwmp_table_4_2_r!J$2:J$9900,uwmp_table_4_2_r!$G$2:$G$9900,"wholesalers with a small volume of retail sales",uwmp_table_4_2_r!$B$2:$B$9900,'Contractor Assumptions'!$F31),0)
+ IFERROR(SUMIFS(uwmp_table_4_2_w!J$2:J$9900,uwmp_table_4_2_w!$G$2:$G$9900,"Sales to other agencies",uwmp_table_4_2_w!$B$2:$B$9900,'Contractor Assumptions'!$F31),0) + IFERROR(SUMIFS(uwmp_table_4_2_r!J$2:J$9900,uwmp_table_4_2_r!$G$2:$G$9900,"Sales to other agencies",uwmp_table_4_2_r!$B$2:$B$9900,'Contractor Assumptions'!$F31),0)
+ IFERROR(SUMIFS(uwmp_table_4_2_w!J$2:J$9900,uwmp_table_4_2_w!$G$2:$G$9900,"Exchanges to other agencies",uwmp_table_4_2_w!$B$2:$B$9900,'Contractor Assumptions'!$F31),0) + IFERROR(SUMIFS(uwmp_table_4_2_r!J$2:J$9900,uwmp_table_4_2_r!$G$2:$G$9900,"Exchanges to other agencies",uwmp_table_4_2_r!$B$2:$B$9900,'Contractor Assumptions'!$F31),0)
)*IFERROR(VLOOKUP(VLOOKUP('Contractor Assumptions'!$F31,uwmp_table_4_2_r!$B$2:$N$9900,13,FALSE),$A$11:$C$13,2,FALSE), VLOOKUP(VLOOKUP('Contractor Assumptions'!$F31,uwmp_table_4_2_w!$B$2:$N$9900,14,FALSE),$A$11:$C$13,2,FALSE))</f>
        <v>144600</v>
      </c>
      <c r="F560" s="472">
        <f>(IFERROR(SUMIFS(uwmp_table_4_2_w!K$2:K$9900,uwmp_table_4_2_w!$G$2:$G$9900,"Losses",uwmp_table_4_2_w!$B$2:$B$9900,'Contractor Assumptions'!$F31),0) + IFERROR(SUMIFS(uwmp_table_4_2_r!K$2:K$9900,uwmp_table_4_2_r!$G$2:$G$9900,"Losses",uwmp_table_4_2_r!$B$2:$B$9900,'Contractor Assumptions'!$F31),0)
+ IFERROR(SUMIFS(uwmp_table_4_2_w!K$2:K$9900,uwmp_table_4_2_w!$G$2:$G$9900,"Other Potable",uwmp_table_4_2_w!$B$2:$B$9900,'Contractor Assumptions'!$F31),0) + IFERROR(SUMIFS(uwmp_table_4_2_r!K$2:K$9900,uwmp_table_4_2_r!$G$2:$G$9900,"Other Potable",uwmp_table_4_2_r!$B$2:$B$9900,'Contractor Assumptions'!$F31),0)
+ IFERROR(SUMIFS(uwmp_table_4_2_w!K$2:K$9900,uwmp_table_4_2_w!$G$2:$G$9900,"Other",uwmp_table_4_2_w!$B$2:$B$9900,'Contractor Assumptions'!$F31),0) + IFERROR(SUMIFS(uwmp_table_4_2_r!K$2:K$9900,uwmp_table_4_2_r!$G$2:$G$9900,"Other",uwmp_table_4_2_r!$B$2:$B$9900,'Contractor Assumptions'!$F31),0)
+ IFERROR(SUMIFS(uwmp_table_4_2_w!K$2:K$9900,uwmp_table_4_2_w!$G$2:$G$9900,"Sales/Transfers/Exchanges to other agencies",uwmp_table_4_2_w!$B$2:$B$9900,'Contractor Assumptions'!$F31),0) + IFERROR(SUMIFS(uwmp_table_4_2_r!K$2:K$9900,uwmp_table_4_2_r!$G$2:$G$9900,"Sales/Transfers/Exchanges to other agencies",uwmp_table_4_2_r!$B$2:$B$9900,'Contractor Assumptions'!$F31),0)
+ IFERROR(SUMIFS(uwmp_table_4_2_w!K$2:K$9900,uwmp_table_4_2_w!$G$2:$G$9900,"Other Non-Potable",uwmp_table_4_2_w!$B$2:$B$9900,'Contractor Assumptions'!$F31),0) + IFERROR(SUMIFS(uwmp_table_4_2_r!K$2:K$9900,uwmp_table_4_2_r!$G$2:$G$9900,"Other Non-Potable",uwmp_table_4_2_r!$B$2:$B$9900,'Contractor Assumptions'!$F31),0)
+ IFERROR(SUMIFS(uwmp_table_4_2_w!K$2:K$9900,uwmp_table_4_2_w!$G$2:$G$9900,"Wetlands or wildlife habitat",uwmp_table_4_2_w!$B$2:$B$9900,'Contractor Assumptions'!$F31),0) + IFERROR(SUMIFS(uwmp_table_4_2_r!K$2:K$9900,uwmp_table_4_2_r!$G$2:$G$9900,"Wetlands or wildlife habitat",uwmp_table_4_2_r!$B$2:$B$9900,'Contractor Assumptions'!$F31),0)
+ IFERROR(SUMIFS(uwmp_table_4_2_w!K$2:K$9900,uwmp_table_4_2_w!$G$2:$G$9900,"Saline water intrusion barrier",uwmp_table_4_2_w!$B$2:$B$9900,'Contractor Assumptions'!$F31),0) + IFERROR(SUMIFS(uwmp_table_4_2_r!K$2:K$9900,uwmp_table_4_2_r!$G$2:$G$9900,"Saline water intrusion barrier",uwmp_table_4_2_r!$B$2:$B$9900,'Contractor Assumptions'!$F31),0)
+ IFERROR(SUMIFS(uwmp_table_4_2_w!K$2:K$9900,uwmp_table_4_2_w!$G$2:$G$9900,"Groundwater recharge",uwmp_table_4_2_w!$B$2:$B$9900,'Contractor Assumptions'!$F31),0) + IFERROR(SUMIFS(uwmp_table_4_2_r!K$2:K$9900,uwmp_table_4_2_r!$G$2:$G$9900,"Groundwater recharge",uwmp_table_4_2_r!$B$2:$B$9900,'Contractor Assumptions'!$F31),0)
+ IFERROR(SUMIFS(uwmp_table_4_2_w!K$2:K$9900,uwmp_table_4_2_w!$G$2:$G$9900,"Retail demand for use by agencies that are primarily",uwmp_table_4_2_w!$B$2:$B$9900,'Contractor Assumptions'!$F31),0) + IFERROR(SUMIFS(uwmp_table_4_2_r!K$2:K$9900,uwmp_table_4_2_r!$G$2:$G$9900,"Retail demand for use by agencies that are primarily",uwmp_table_4_2_r!$B$2:$B$9900,'Contractor Assumptions'!$F31),0)
+ IFERROR(SUMIFS(uwmp_table_4_2_w!K$2:K$9900,uwmp_table_4_2_w!$G$2:$G$9900,"wholesalers with a small volume of retail sales",uwmp_table_4_2_w!$B$2:$B$9900,'Contractor Assumptions'!$F31),0) + IFERROR(SUMIFS(uwmp_table_4_2_r!K$2:K$9900,uwmp_table_4_2_r!$G$2:$G$9900,"wholesalers with a small volume of retail sales",uwmp_table_4_2_r!$B$2:$B$9900,'Contractor Assumptions'!$F31),0)
+ IFERROR(SUMIFS(uwmp_table_4_2_w!K$2:K$9900,uwmp_table_4_2_w!$G$2:$G$9900,"Sales to other agencies",uwmp_table_4_2_w!$B$2:$B$9900,'Contractor Assumptions'!$F31),0) + IFERROR(SUMIFS(uwmp_table_4_2_r!K$2:K$9900,uwmp_table_4_2_r!$G$2:$G$9900,"Sales to other agencies",uwmp_table_4_2_r!$B$2:$B$9900,'Contractor Assumptions'!$F31),0)
+ IFERROR(SUMIFS(uwmp_table_4_2_w!K$2:K$9900,uwmp_table_4_2_w!$G$2:$G$9900,"Exchanges to other agencies",uwmp_table_4_2_w!$B$2:$B$9900,'Contractor Assumptions'!$F31),0) + IFERROR(SUMIFS(uwmp_table_4_2_r!K$2:K$9900,uwmp_table_4_2_r!$G$2:$G$9900,"Exchanges to other agencies",uwmp_table_4_2_r!$B$2:$B$9900,'Contractor Assumptions'!$F31),0)
)*IFERROR(VLOOKUP(VLOOKUP('Contractor Assumptions'!$F31,uwmp_table_4_2_r!$B$2:$N$9900,13,FALSE),$A$11:$C$13,2,FALSE), VLOOKUP(VLOOKUP('Contractor Assumptions'!$F31,uwmp_table_4_2_w!$B$2:$N$9900,14,FALSE),$A$11:$C$13,2,FALSE))</f>
        <v>151400</v>
      </c>
      <c r="G560" s="472">
        <f>(IFERROR(SUMIFS(uwmp_table_4_2_w!L$2:L$9900,uwmp_table_4_2_w!$G$2:$G$9900,"Losses",uwmp_table_4_2_w!$B$2:$B$9900,'Contractor Assumptions'!$F31),0) + IFERROR(SUMIFS(uwmp_table_4_2_r!L$2:L$9900,uwmp_table_4_2_r!$G$2:$G$9900,"Losses",uwmp_table_4_2_r!$B$2:$B$9900,'Contractor Assumptions'!$F31),0)
+ IFERROR(SUMIFS(uwmp_table_4_2_w!L$2:L$9900,uwmp_table_4_2_w!$G$2:$G$9900,"Other Potable",uwmp_table_4_2_w!$B$2:$B$9900,'Contractor Assumptions'!$F31),0) + IFERROR(SUMIFS(uwmp_table_4_2_r!L$2:L$9900,uwmp_table_4_2_r!$G$2:$G$9900,"Other Potable",uwmp_table_4_2_r!$B$2:$B$9900,'Contractor Assumptions'!$F31),0)
+ IFERROR(SUMIFS(uwmp_table_4_2_w!L$2:L$9900,uwmp_table_4_2_w!$G$2:$G$9900,"Other",uwmp_table_4_2_w!$B$2:$B$9900,'Contractor Assumptions'!$F31),0) + IFERROR(SUMIFS(uwmp_table_4_2_r!L$2:L$9900,uwmp_table_4_2_r!$G$2:$G$9900,"Other",uwmp_table_4_2_r!$B$2:$B$9900,'Contractor Assumptions'!$F31),0)
+ IFERROR(SUMIFS(uwmp_table_4_2_w!L$2:L$9900,uwmp_table_4_2_w!$G$2:$G$9900,"Sales/Transfers/Exchanges to other agencies",uwmp_table_4_2_w!$B$2:$B$9900,'Contractor Assumptions'!$F31),0) + IFERROR(SUMIFS(uwmp_table_4_2_r!L$2:L$9900,uwmp_table_4_2_r!$G$2:$G$9900,"Sales/Transfers/Exchanges to other agencies",uwmp_table_4_2_r!$B$2:$B$9900,'Contractor Assumptions'!$F31),0)
+ IFERROR(SUMIFS(uwmp_table_4_2_w!L$2:L$9900,uwmp_table_4_2_w!$G$2:$G$9900,"Other Non-Potable",uwmp_table_4_2_w!$B$2:$B$9900,'Contractor Assumptions'!$F31),0) + IFERROR(SUMIFS(uwmp_table_4_2_r!L$2:L$9900,uwmp_table_4_2_r!$G$2:$G$9900,"Other Non-Potable",uwmp_table_4_2_r!$B$2:$B$9900,'Contractor Assumptions'!$F31),0)
+ IFERROR(SUMIFS(uwmp_table_4_2_w!L$2:L$9900,uwmp_table_4_2_w!$G$2:$G$9900,"Wetlands or wildlife habitat",uwmp_table_4_2_w!$B$2:$B$9900,'Contractor Assumptions'!$F31),0) + IFERROR(SUMIFS(uwmp_table_4_2_r!L$2:L$9900,uwmp_table_4_2_r!$G$2:$G$9900,"Wetlands or wildlife habitat",uwmp_table_4_2_r!$B$2:$B$9900,'Contractor Assumptions'!$F31),0)
+ IFERROR(SUMIFS(uwmp_table_4_2_w!L$2:L$9900,uwmp_table_4_2_w!$G$2:$G$9900,"Saline water intrusion barrier",uwmp_table_4_2_w!$B$2:$B$9900,'Contractor Assumptions'!$F31),0) + IFERROR(SUMIFS(uwmp_table_4_2_r!L$2:L$9900,uwmp_table_4_2_r!$G$2:$G$9900,"Saline water intrusion barrier",uwmp_table_4_2_r!$B$2:$B$9900,'Contractor Assumptions'!$F31),0)
+ IFERROR(SUMIFS(uwmp_table_4_2_w!L$2:L$9900,uwmp_table_4_2_w!$G$2:$G$9900,"Groundwater recharge",uwmp_table_4_2_w!$B$2:$B$9900,'Contractor Assumptions'!$F31),0) + IFERROR(SUMIFS(uwmp_table_4_2_r!L$2:L$9900,uwmp_table_4_2_r!$G$2:$G$9900,"Groundwater recharge",uwmp_table_4_2_r!$B$2:$B$9900,'Contractor Assumptions'!$F31),0)
+ IFERROR(SUMIFS(uwmp_table_4_2_w!L$2:L$9900,uwmp_table_4_2_w!$G$2:$G$9900,"Retail demand for use by agencies that are primarily",uwmp_table_4_2_w!$B$2:$B$9900,'Contractor Assumptions'!$F31),0) + IFERROR(SUMIFS(uwmp_table_4_2_r!L$2:L$9900,uwmp_table_4_2_r!$G$2:$G$9900,"Retail demand for use by agencies that are primarily",uwmp_table_4_2_r!$B$2:$B$9900,'Contractor Assumptions'!$F31),0)
+ IFERROR(SUMIFS(uwmp_table_4_2_w!L$2:L$9900,uwmp_table_4_2_w!$G$2:$G$9900,"wholesalers with a small volume of retail sales",uwmp_table_4_2_w!$B$2:$B$9900,'Contractor Assumptions'!$F31),0) + IFERROR(SUMIFS(uwmp_table_4_2_r!L$2:L$9900,uwmp_table_4_2_r!$G$2:$G$9900,"wholesalers with a small volume of retail sales",uwmp_table_4_2_r!$B$2:$B$9900,'Contractor Assumptions'!$F31),0)
+ IFERROR(SUMIFS(uwmp_table_4_2_w!L$2:L$9900,uwmp_table_4_2_w!$G$2:$G$9900,"Sales to other agencies",uwmp_table_4_2_w!$B$2:$B$9900,'Contractor Assumptions'!$F31),0) + IFERROR(SUMIFS(uwmp_table_4_2_r!L$2:L$9900,uwmp_table_4_2_r!$G$2:$G$9900,"Sales to other agencies",uwmp_table_4_2_r!$B$2:$B$9900,'Contractor Assumptions'!$F31),0)
+ IFERROR(SUMIFS(uwmp_table_4_2_w!L$2:L$9900,uwmp_table_4_2_w!$G$2:$G$9900,"Exchanges to other agencies",uwmp_table_4_2_w!$B$2:$B$9900,'Contractor Assumptions'!$F31),0) + IFERROR(SUMIFS(uwmp_table_4_2_r!L$2:L$9900,uwmp_table_4_2_r!$G$2:$G$9900,"Exchanges to other agencies",uwmp_table_4_2_r!$B$2:$B$9900,'Contractor Assumptions'!$F31),0)
)*IFERROR(VLOOKUP(VLOOKUP('Contractor Assumptions'!$F31,uwmp_table_4_2_r!$B$2:$N$9900,13,FALSE),$A$11:$C$13,2,FALSE), VLOOKUP(VLOOKUP('Contractor Assumptions'!$F31,uwmp_table_4_2_w!$B$2:$N$9900,14,FALSE),$A$11:$C$13,2,FALSE))</f>
        <v>157100</v>
      </c>
      <c r="H560" s="520">
        <f>(IFERROR(SUMIFS(uwmp_table_4_2_w!M$2:M$9900,uwmp_table_4_2_w!$G$2:$G$9900,"Losses",uwmp_table_4_2_w!$B$2:$B$9900,'Contractor Assumptions'!$F31),0) + IFERROR(SUMIFS(uwmp_table_4_2_r!M$2:M$9900,uwmp_table_4_2_r!$G$2:$G$9900,"Losses",uwmp_table_4_2_r!$B$2:$B$9900,'Contractor Assumptions'!$F31),0)
+ IFERROR(SUMIFS(uwmp_table_4_2_w!M$2:M$9900,uwmp_table_4_2_w!$G$2:$G$9900,"Other Potable",uwmp_table_4_2_w!$B$2:$B$9900,'Contractor Assumptions'!$F31),0) + IFERROR(SUMIFS(uwmp_table_4_2_r!M$2:M$9900,uwmp_table_4_2_r!$G$2:$G$9900,"Other Potable",uwmp_table_4_2_r!$B$2:$B$9900,'Contractor Assumptions'!$F31),0)
+ IFERROR(SUMIFS(uwmp_table_4_2_w!M$2:M$9900,uwmp_table_4_2_w!$G$2:$G$9900,"Other",uwmp_table_4_2_w!$B$2:$B$9900,'Contractor Assumptions'!$F31),0) + IFERROR(SUMIFS(uwmp_table_4_2_r!M$2:M$9900,uwmp_table_4_2_r!$G$2:$G$9900,"Other",uwmp_table_4_2_r!$B$2:$B$9900,'Contractor Assumptions'!$F31),0)
+ IFERROR(SUMIFS(uwmp_table_4_2_w!M$2:M$9900,uwmp_table_4_2_w!$G$2:$G$9900,"Sales/Transfers/Exchanges to other agencies",uwmp_table_4_2_w!$B$2:$B$9900,'Contractor Assumptions'!$F31),0) + IFERROR(SUMIFS(uwmp_table_4_2_r!M$2:M$9900,uwmp_table_4_2_r!$G$2:$G$9900,"Sales/Transfers/Exchanges to other agencies",uwmp_table_4_2_r!$B$2:$B$9900,'Contractor Assumptions'!$F31),0)
+ IFERROR(SUMIFS(uwmp_table_4_2_w!M$2:M$9900,uwmp_table_4_2_w!$G$2:$G$9900,"Other Non-Potable",uwmp_table_4_2_w!$B$2:$B$9900,'Contractor Assumptions'!$F31),0) + IFERROR(SUMIFS(uwmp_table_4_2_r!M$2:M$9900,uwmp_table_4_2_r!$G$2:$G$9900,"Other Non-Potable",uwmp_table_4_2_r!$B$2:$B$9900,'Contractor Assumptions'!$F31),0)
+ IFERROR(SUMIFS(uwmp_table_4_2_w!M$2:M$9900,uwmp_table_4_2_w!$G$2:$G$9900,"Wetlands or wildlife habitat",uwmp_table_4_2_w!$B$2:$B$9900,'Contractor Assumptions'!$F31),0) + IFERROR(SUMIFS(uwmp_table_4_2_r!M$2:M$9900,uwmp_table_4_2_r!$G$2:$G$9900,"Wetlands or wildlife habitat",uwmp_table_4_2_r!$B$2:$B$9900,'Contractor Assumptions'!$F31),0)
+ IFERROR(SUMIFS(uwmp_table_4_2_w!M$2:M$9900,uwmp_table_4_2_w!$G$2:$G$9900,"Saline water intrusion barrier",uwmp_table_4_2_w!$B$2:$B$9900,'Contractor Assumptions'!$F31),0) + IFERROR(SUMIFS(uwmp_table_4_2_r!M$2:M$9900,uwmp_table_4_2_r!$G$2:$G$9900,"Saline water intrusion barrier",uwmp_table_4_2_r!$B$2:$B$9900,'Contractor Assumptions'!$F31),0)
+ IFERROR(SUMIFS(uwmp_table_4_2_w!M$2:M$9900,uwmp_table_4_2_w!$G$2:$G$9900,"Groundwater recharge",uwmp_table_4_2_w!$B$2:$B$9900,'Contractor Assumptions'!$F31),0) + IFERROR(SUMIFS(uwmp_table_4_2_r!M$2:M$9900,uwmp_table_4_2_r!$G$2:$G$9900,"Groundwater recharge",uwmp_table_4_2_r!$B$2:$B$9900,'Contractor Assumptions'!$F31),0)
+ IFERROR(SUMIFS(uwmp_table_4_2_w!M$2:M$9900,uwmp_table_4_2_w!$G$2:$G$9900,"Retail demand for use by agencies that are primarily",uwmp_table_4_2_w!$B$2:$B$9900,'Contractor Assumptions'!$F31),0) + IFERROR(SUMIFS(uwmp_table_4_2_r!M$2:M$9900,uwmp_table_4_2_r!$G$2:$G$9900,"Retail demand for use by agencies that are primarily",uwmp_table_4_2_r!$B$2:$B$9900,'Contractor Assumptions'!$F31),0)
+ IFERROR(SUMIFS(uwmp_table_4_2_w!M$2:M$9900,uwmp_table_4_2_w!$G$2:$G$9900,"wholesalers with a small volume of retail sales",uwmp_table_4_2_w!$B$2:$B$9900,'Contractor Assumptions'!$F31),0) + IFERROR(SUMIFS(uwmp_table_4_2_r!M$2:M$9900,uwmp_table_4_2_r!$G$2:$G$9900,"wholesalers with a small volume of retail sales",uwmp_table_4_2_r!$B$2:$B$9900,'Contractor Assumptions'!$F31),0)
+ IFERROR(SUMIFS(uwmp_table_4_2_w!M$2:M$9900,uwmp_table_4_2_w!$G$2:$G$9900,"Sales to other agencies",uwmp_table_4_2_w!$B$2:$B$9900,'Contractor Assumptions'!$F31),0) + IFERROR(SUMIFS(uwmp_table_4_2_r!M$2:M$9900,uwmp_table_4_2_r!$G$2:$G$9900,"Sales to other agencies",uwmp_table_4_2_r!$B$2:$B$9900,'Contractor Assumptions'!$F31),0)
+ IFERROR(SUMIFS(uwmp_table_4_2_w!M$2:M$9900,uwmp_table_4_2_w!$G$2:$G$9900,"Exchanges to other agencies",uwmp_table_4_2_w!$B$2:$B$9900,'Contractor Assumptions'!$F31),0) + IFERROR(SUMIFS(uwmp_table_4_2_r!M$2:M$9900,uwmp_table_4_2_r!$G$2:$G$9900,"Exchanges to other agencies",uwmp_table_4_2_r!$B$2:$B$9900,'Contractor Assumptions'!$F31),0)
)*IFERROR(VLOOKUP(VLOOKUP('Contractor Assumptions'!$F31,uwmp_table_4_2_r!$B$2:$N$9900,13,FALSE),$A$11:$C$13,2,FALSE), VLOOKUP(VLOOKUP('Contractor Assumptions'!$F31,uwmp_table_4_2_w!$B$2:$N$9900,14,FALSE),$A$11:$C$13,2,FALSE))</f>
        <v>161400</v>
      </c>
      <c r="I560" s="66"/>
      <c r="J560" s="70"/>
      <c r="K560" s="70"/>
      <c r="L560" s="70"/>
      <c r="M560" s="70"/>
      <c r="N560" s="70"/>
      <c r="O560" s="70"/>
      <c r="P560" s="70"/>
    </row>
    <row r="561" spans="1:16" hidden="1" outlineLevel="1" x14ac:dyDescent="0.3">
      <c r="A561" s="63" t="s">
        <v>1026</v>
      </c>
      <c r="B561" s="63" t="s">
        <v>915</v>
      </c>
      <c r="C561" s="63" t="str">
        <f t="shared" si="11"/>
        <v>East Bay Municipal Utilities District</v>
      </c>
      <c r="D561" s="472">
        <f>(IFERROR(SUMIFS(uwmp_table_4_2_w!I$2:I$9900,uwmp_table_4_2_w!$G$2:$G$9900,"Losses",uwmp_table_4_2_w!$B$2:$B$9900,'Contractor Assumptions'!$F32),0) + IFERROR(SUMIFS(uwmp_table_4_2_r!I$2:I$9900,uwmp_table_4_2_r!$G$2:$G$9900,"Losses",uwmp_table_4_2_r!$B$2:$B$9900,'Contractor Assumptions'!$F32),0)
+ IFERROR(SUMIFS(uwmp_table_4_2_w!I$2:I$9900,uwmp_table_4_2_w!$G$2:$G$9900,"Other Potable",uwmp_table_4_2_w!$B$2:$B$9900,'Contractor Assumptions'!$F32),0) + IFERROR(SUMIFS(uwmp_table_4_2_r!I$2:I$9900,uwmp_table_4_2_r!$G$2:$G$9900,"Other Potable",uwmp_table_4_2_r!$B$2:$B$9900,'Contractor Assumptions'!$F32),0)
+ IFERROR(SUMIFS(uwmp_table_4_2_w!I$2:I$9900,uwmp_table_4_2_w!$G$2:$G$9900,"Other",uwmp_table_4_2_w!$B$2:$B$9900,'Contractor Assumptions'!$F32),0) + IFERROR(SUMIFS(uwmp_table_4_2_r!I$2:I$9900,uwmp_table_4_2_r!$G$2:$G$9900,"Other",uwmp_table_4_2_r!$B$2:$B$9900,'Contractor Assumptions'!$F32),0)
+ IFERROR(SUMIFS(uwmp_table_4_2_w!I$2:I$9900,uwmp_table_4_2_w!$G$2:$G$9900,"Sales/Transfers/Exchanges to other agencies",uwmp_table_4_2_w!$B$2:$B$9900,'Contractor Assumptions'!$F32),0) + IFERROR(SUMIFS(uwmp_table_4_2_r!I$2:I$9900,uwmp_table_4_2_r!$G$2:$G$9900,"Sales/Transfers/Exchanges to other agencies",uwmp_table_4_2_r!$B$2:$B$9900,'Contractor Assumptions'!$F32),0)
+ IFERROR(SUMIFS(uwmp_table_4_2_w!I$2:I$9900,uwmp_table_4_2_w!$G$2:$G$9900,"Other Non-Potable",uwmp_table_4_2_w!$B$2:$B$9900,'Contractor Assumptions'!$F32),0) + IFERROR(SUMIFS(uwmp_table_4_2_r!I$2:I$9900,uwmp_table_4_2_r!$G$2:$G$9900,"Other Non-Potable",uwmp_table_4_2_r!$B$2:$B$9900,'Contractor Assumptions'!$F32),0)
+ IFERROR(SUMIFS(uwmp_table_4_2_w!I$2:I$9900,uwmp_table_4_2_w!$G$2:$G$9900,"Wetlands or wildlife habitat",uwmp_table_4_2_w!$B$2:$B$9900,'Contractor Assumptions'!$F32),0) + IFERROR(SUMIFS(uwmp_table_4_2_r!I$2:I$9900,uwmp_table_4_2_r!$G$2:$G$9900,"Wetlands or wildlife habitat",uwmp_table_4_2_r!$B$2:$B$9900,'Contractor Assumptions'!$F32),0)
+ IFERROR(SUMIFS(uwmp_table_4_2_w!I$2:I$9900,uwmp_table_4_2_w!$G$2:$G$9900,"Saline water intrusion barrier",uwmp_table_4_2_w!$B$2:$B$9900,'Contractor Assumptions'!$F32),0) + IFERROR(SUMIFS(uwmp_table_4_2_r!I$2:I$9900,uwmp_table_4_2_r!$G$2:$G$9900,"Saline water intrusion barrier",uwmp_table_4_2_r!$B$2:$B$9900,'Contractor Assumptions'!$F32),0)
+ IFERROR(SUMIFS(uwmp_table_4_2_w!I$2:I$9900,uwmp_table_4_2_w!$G$2:$G$9900,"Groundwater recharge",uwmp_table_4_2_w!$B$2:$B$9900,'Contractor Assumptions'!$F32),0) + IFERROR(SUMIFS(uwmp_table_4_2_r!I$2:I$9900,uwmp_table_4_2_r!$G$2:$G$9900,"Groundwater recharge",uwmp_table_4_2_r!$B$2:$B$9900,'Contractor Assumptions'!$F32),0)
+ IFERROR(SUMIFS(uwmp_table_4_2_w!I$2:I$9900,uwmp_table_4_2_w!$G$2:$G$9900,"Retail demand for use by agencies that are primarily",uwmp_table_4_2_w!$B$2:$B$9900,'Contractor Assumptions'!$F32),0) + IFERROR(SUMIFS(uwmp_table_4_2_r!I$2:I$9900,uwmp_table_4_2_r!$G$2:$G$9900,"Retail demand for use by agencies that are primarily",uwmp_table_4_2_r!$B$2:$B$9900,'Contractor Assumptions'!$F32),0)
+ IFERROR(SUMIFS(uwmp_table_4_2_w!I$2:I$9900,uwmp_table_4_2_w!$G$2:$G$9900,"wholesalers with a small volume of retail sales",uwmp_table_4_2_w!$B$2:$B$9900,'Contractor Assumptions'!$F32),0) + IFERROR(SUMIFS(uwmp_table_4_2_r!I$2:I$9900,uwmp_table_4_2_r!$G$2:$G$9900,"wholesalers with a small volume of retail sales",uwmp_table_4_2_r!$B$2:$B$9900,'Contractor Assumptions'!$F32),0)
+ IFERROR(SUMIFS(uwmp_table_4_2_w!I$2:I$9900,uwmp_table_4_2_w!$G$2:$G$9900,"Sales to other agencies",uwmp_table_4_2_w!$B$2:$B$9900,'Contractor Assumptions'!$F32),0) + IFERROR(SUMIFS(uwmp_table_4_2_r!I$2:I$9900,uwmp_table_4_2_r!$G$2:$G$9900,"Sales to other agencies",uwmp_table_4_2_r!$B$2:$B$9900,'Contractor Assumptions'!$F32),0)
+ IFERROR(SUMIFS(uwmp_table_4_2_w!I$2:I$9900,uwmp_table_4_2_w!$G$2:$G$9900,"Exchanges to other agencies",uwmp_table_4_2_w!$B$2:$B$9900,'Contractor Assumptions'!$F32),0) + IFERROR(SUMIFS(uwmp_table_4_2_r!I$2:I$9900,uwmp_table_4_2_r!$G$2:$G$9900,"Exchanges to other agencies",uwmp_table_4_2_r!$B$2:$B$9900,'Contractor Assumptions'!$F32),0)
)*IFERROR(VLOOKUP(VLOOKUP('Contractor Assumptions'!$F32,uwmp_table_4_2_r!$B$2:$N$9900,13,FALSE),$A$11:$C$13,2,FALSE), VLOOKUP(VLOOKUP('Contractor Assumptions'!$F32,uwmp_table_4_2_w!$B$2:$N$9900,14,FALSE),$A$11:$C$13,2,FALSE))</f>
        <v>208346.79613649999</v>
      </c>
      <c r="E561" s="472">
        <f>(IFERROR(SUMIFS(uwmp_table_4_2_w!J$2:J$9900,uwmp_table_4_2_w!$G$2:$G$9900,"Losses",uwmp_table_4_2_w!$B$2:$B$9900,'Contractor Assumptions'!$F32),0) + IFERROR(SUMIFS(uwmp_table_4_2_r!J$2:J$9900,uwmp_table_4_2_r!$G$2:$G$9900,"Losses",uwmp_table_4_2_r!$B$2:$B$9900,'Contractor Assumptions'!$F32),0)
+ IFERROR(SUMIFS(uwmp_table_4_2_w!J$2:J$9900,uwmp_table_4_2_w!$G$2:$G$9900,"Other Potable",uwmp_table_4_2_w!$B$2:$B$9900,'Contractor Assumptions'!$F32),0) + IFERROR(SUMIFS(uwmp_table_4_2_r!J$2:J$9900,uwmp_table_4_2_r!$G$2:$G$9900,"Other Potable",uwmp_table_4_2_r!$B$2:$B$9900,'Contractor Assumptions'!$F32),0)
+ IFERROR(SUMIFS(uwmp_table_4_2_w!J$2:J$9900,uwmp_table_4_2_w!$G$2:$G$9900,"Other",uwmp_table_4_2_w!$B$2:$B$9900,'Contractor Assumptions'!$F32),0) + IFERROR(SUMIFS(uwmp_table_4_2_r!J$2:J$9900,uwmp_table_4_2_r!$G$2:$G$9900,"Other",uwmp_table_4_2_r!$B$2:$B$9900,'Contractor Assumptions'!$F32),0)
+ IFERROR(SUMIFS(uwmp_table_4_2_w!J$2:J$9900,uwmp_table_4_2_w!$G$2:$G$9900,"Sales/Transfers/Exchanges to other agencies",uwmp_table_4_2_w!$B$2:$B$9900,'Contractor Assumptions'!$F32),0) + IFERROR(SUMIFS(uwmp_table_4_2_r!J$2:J$9900,uwmp_table_4_2_r!$G$2:$G$9900,"Sales/Transfers/Exchanges to other agencies",uwmp_table_4_2_r!$B$2:$B$9900,'Contractor Assumptions'!$F32),0)
+ IFERROR(SUMIFS(uwmp_table_4_2_w!J$2:J$9900,uwmp_table_4_2_w!$G$2:$G$9900,"Other Non-Potable",uwmp_table_4_2_w!$B$2:$B$9900,'Contractor Assumptions'!$F32),0) + IFERROR(SUMIFS(uwmp_table_4_2_r!J$2:J$9900,uwmp_table_4_2_r!$G$2:$G$9900,"Other Non-Potable",uwmp_table_4_2_r!$B$2:$B$9900,'Contractor Assumptions'!$F32),0)
+ IFERROR(SUMIFS(uwmp_table_4_2_w!J$2:J$9900,uwmp_table_4_2_w!$G$2:$G$9900,"Wetlands or wildlife habitat",uwmp_table_4_2_w!$B$2:$B$9900,'Contractor Assumptions'!$F32),0) + IFERROR(SUMIFS(uwmp_table_4_2_r!J$2:J$9900,uwmp_table_4_2_r!$G$2:$G$9900,"Wetlands or wildlife habitat",uwmp_table_4_2_r!$B$2:$B$9900,'Contractor Assumptions'!$F32),0)
+ IFERROR(SUMIFS(uwmp_table_4_2_w!J$2:J$9900,uwmp_table_4_2_w!$G$2:$G$9900,"Saline water intrusion barrier",uwmp_table_4_2_w!$B$2:$B$9900,'Contractor Assumptions'!$F32),0) + IFERROR(SUMIFS(uwmp_table_4_2_r!J$2:J$9900,uwmp_table_4_2_r!$G$2:$G$9900,"Saline water intrusion barrier",uwmp_table_4_2_r!$B$2:$B$9900,'Contractor Assumptions'!$F32),0)
+ IFERROR(SUMIFS(uwmp_table_4_2_w!J$2:J$9900,uwmp_table_4_2_w!$G$2:$G$9900,"Groundwater recharge",uwmp_table_4_2_w!$B$2:$B$9900,'Contractor Assumptions'!$F32),0) + IFERROR(SUMIFS(uwmp_table_4_2_r!J$2:J$9900,uwmp_table_4_2_r!$G$2:$G$9900,"Groundwater recharge",uwmp_table_4_2_r!$B$2:$B$9900,'Contractor Assumptions'!$F32),0)
+ IFERROR(SUMIFS(uwmp_table_4_2_w!J$2:J$9900,uwmp_table_4_2_w!$G$2:$G$9900,"Retail demand for use by agencies that are primarily",uwmp_table_4_2_w!$B$2:$B$9900,'Contractor Assumptions'!$F32),0) + IFERROR(SUMIFS(uwmp_table_4_2_r!J$2:J$9900,uwmp_table_4_2_r!$G$2:$G$9900,"Retail demand for use by agencies that are primarily",uwmp_table_4_2_r!$B$2:$B$9900,'Contractor Assumptions'!$F32),0)
+ IFERROR(SUMIFS(uwmp_table_4_2_w!J$2:J$9900,uwmp_table_4_2_w!$G$2:$G$9900,"wholesalers with a small volume of retail sales",uwmp_table_4_2_w!$B$2:$B$9900,'Contractor Assumptions'!$F32),0) + IFERROR(SUMIFS(uwmp_table_4_2_r!J$2:J$9900,uwmp_table_4_2_r!$G$2:$G$9900,"wholesalers with a small volume of retail sales",uwmp_table_4_2_r!$B$2:$B$9900,'Contractor Assumptions'!$F32),0)
+ IFERROR(SUMIFS(uwmp_table_4_2_w!J$2:J$9900,uwmp_table_4_2_w!$G$2:$G$9900,"Sales to other agencies",uwmp_table_4_2_w!$B$2:$B$9900,'Contractor Assumptions'!$F32),0) + IFERROR(SUMIFS(uwmp_table_4_2_r!J$2:J$9900,uwmp_table_4_2_r!$G$2:$G$9900,"Sales to other agencies",uwmp_table_4_2_r!$B$2:$B$9900,'Contractor Assumptions'!$F32),0)
+ IFERROR(SUMIFS(uwmp_table_4_2_w!J$2:J$9900,uwmp_table_4_2_w!$G$2:$G$9900,"Exchanges to other agencies",uwmp_table_4_2_w!$B$2:$B$9900,'Contractor Assumptions'!$F32),0) + IFERROR(SUMIFS(uwmp_table_4_2_r!J$2:J$9900,uwmp_table_4_2_r!$G$2:$G$9900,"Exchanges to other agencies",uwmp_table_4_2_r!$B$2:$B$9900,'Contractor Assumptions'!$F32),0)
)*IFERROR(VLOOKUP(VLOOKUP('Contractor Assumptions'!$F32,uwmp_table_4_2_r!$B$2:$N$9900,13,FALSE),$A$11:$C$13,2,FALSE), VLOOKUP(VLOOKUP('Contractor Assumptions'!$F32,uwmp_table_4_2_w!$B$2:$N$9900,14,FALSE),$A$11:$C$13,2,FALSE))</f>
        <v>212827.3723975</v>
      </c>
      <c r="F561" s="472">
        <f>(IFERROR(SUMIFS(uwmp_table_4_2_w!K$2:K$9900,uwmp_table_4_2_w!$G$2:$G$9900,"Losses",uwmp_table_4_2_w!$B$2:$B$9900,'Contractor Assumptions'!$F32),0) + IFERROR(SUMIFS(uwmp_table_4_2_r!K$2:K$9900,uwmp_table_4_2_r!$G$2:$G$9900,"Losses",uwmp_table_4_2_r!$B$2:$B$9900,'Contractor Assumptions'!$F32),0)
+ IFERROR(SUMIFS(uwmp_table_4_2_w!K$2:K$9900,uwmp_table_4_2_w!$G$2:$G$9900,"Other Potable",uwmp_table_4_2_w!$B$2:$B$9900,'Contractor Assumptions'!$F32),0) + IFERROR(SUMIFS(uwmp_table_4_2_r!K$2:K$9900,uwmp_table_4_2_r!$G$2:$G$9900,"Other Potable",uwmp_table_4_2_r!$B$2:$B$9900,'Contractor Assumptions'!$F32),0)
+ IFERROR(SUMIFS(uwmp_table_4_2_w!K$2:K$9900,uwmp_table_4_2_w!$G$2:$G$9900,"Other",uwmp_table_4_2_w!$B$2:$B$9900,'Contractor Assumptions'!$F32),0) + IFERROR(SUMIFS(uwmp_table_4_2_r!K$2:K$9900,uwmp_table_4_2_r!$G$2:$G$9900,"Other",uwmp_table_4_2_r!$B$2:$B$9900,'Contractor Assumptions'!$F32),0)
+ IFERROR(SUMIFS(uwmp_table_4_2_w!K$2:K$9900,uwmp_table_4_2_w!$G$2:$G$9900,"Sales/Transfers/Exchanges to other agencies",uwmp_table_4_2_w!$B$2:$B$9900,'Contractor Assumptions'!$F32),0) + IFERROR(SUMIFS(uwmp_table_4_2_r!K$2:K$9900,uwmp_table_4_2_r!$G$2:$G$9900,"Sales/Transfers/Exchanges to other agencies",uwmp_table_4_2_r!$B$2:$B$9900,'Contractor Assumptions'!$F32),0)
+ IFERROR(SUMIFS(uwmp_table_4_2_w!K$2:K$9900,uwmp_table_4_2_w!$G$2:$G$9900,"Other Non-Potable",uwmp_table_4_2_w!$B$2:$B$9900,'Contractor Assumptions'!$F32),0) + IFERROR(SUMIFS(uwmp_table_4_2_r!K$2:K$9900,uwmp_table_4_2_r!$G$2:$G$9900,"Other Non-Potable",uwmp_table_4_2_r!$B$2:$B$9900,'Contractor Assumptions'!$F32),0)
+ IFERROR(SUMIFS(uwmp_table_4_2_w!K$2:K$9900,uwmp_table_4_2_w!$G$2:$G$9900,"Wetlands or wildlife habitat",uwmp_table_4_2_w!$B$2:$B$9900,'Contractor Assumptions'!$F32),0) + IFERROR(SUMIFS(uwmp_table_4_2_r!K$2:K$9900,uwmp_table_4_2_r!$G$2:$G$9900,"Wetlands or wildlife habitat",uwmp_table_4_2_r!$B$2:$B$9900,'Contractor Assumptions'!$F32),0)
+ IFERROR(SUMIFS(uwmp_table_4_2_w!K$2:K$9900,uwmp_table_4_2_w!$G$2:$G$9900,"Saline water intrusion barrier",uwmp_table_4_2_w!$B$2:$B$9900,'Contractor Assumptions'!$F32),0) + IFERROR(SUMIFS(uwmp_table_4_2_r!K$2:K$9900,uwmp_table_4_2_r!$G$2:$G$9900,"Saline water intrusion barrier",uwmp_table_4_2_r!$B$2:$B$9900,'Contractor Assumptions'!$F32),0)
+ IFERROR(SUMIFS(uwmp_table_4_2_w!K$2:K$9900,uwmp_table_4_2_w!$G$2:$G$9900,"Groundwater recharge",uwmp_table_4_2_w!$B$2:$B$9900,'Contractor Assumptions'!$F32),0) + IFERROR(SUMIFS(uwmp_table_4_2_r!K$2:K$9900,uwmp_table_4_2_r!$G$2:$G$9900,"Groundwater recharge",uwmp_table_4_2_r!$B$2:$B$9900,'Contractor Assumptions'!$F32),0)
+ IFERROR(SUMIFS(uwmp_table_4_2_w!K$2:K$9900,uwmp_table_4_2_w!$G$2:$G$9900,"Retail demand for use by agencies that are primarily",uwmp_table_4_2_w!$B$2:$B$9900,'Contractor Assumptions'!$F32),0) + IFERROR(SUMIFS(uwmp_table_4_2_r!K$2:K$9900,uwmp_table_4_2_r!$G$2:$G$9900,"Retail demand for use by agencies that are primarily",uwmp_table_4_2_r!$B$2:$B$9900,'Contractor Assumptions'!$F32),0)
+ IFERROR(SUMIFS(uwmp_table_4_2_w!K$2:K$9900,uwmp_table_4_2_w!$G$2:$G$9900,"wholesalers with a small volume of retail sales",uwmp_table_4_2_w!$B$2:$B$9900,'Contractor Assumptions'!$F32),0) + IFERROR(SUMIFS(uwmp_table_4_2_r!K$2:K$9900,uwmp_table_4_2_r!$G$2:$G$9900,"wholesalers with a small volume of retail sales",uwmp_table_4_2_r!$B$2:$B$9900,'Contractor Assumptions'!$F32),0)
+ IFERROR(SUMIFS(uwmp_table_4_2_w!K$2:K$9900,uwmp_table_4_2_w!$G$2:$G$9900,"Sales to other agencies",uwmp_table_4_2_w!$B$2:$B$9900,'Contractor Assumptions'!$F32),0) + IFERROR(SUMIFS(uwmp_table_4_2_r!K$2:K$9900,uwmp_table_4_2_r!$G$2:$G$9900,"Sales to other agencies",uwmp_table_4_2_r!$B$2:$B$9900,'Contractor Assumptions'!$F32),0)
+ IFERROR(SUMIFS(uwmp_table_4_2_w!K$2:K$9900,uwmp_table_4_2_w!$G$2:$G$9900,"Exchanges to other agencies",uwmp_table_4_2_w!$B$2:$B$9900,'Contractor Assumptions'!$F32),0) + IFERROR(SUMIFS(uwmp_table_4_2_r!K$2:K$9900,uwmp_table_4_2_r!$G$2:$G$9900,"Exchanges to other agencies",uwmp_table_4_2_r!$B$2:$B$9900,'Contractor Assumptions'!$F32),0)
)*IFERROR(VLOOKUP(VLOOKUP('Contractor Assumptions'!$F32,uwmp_table_4_2_r!$B$2:$N$9900,13,FALSE),$A$11:$C$13,2,FALSE), VLOOKUP(VLOOKUP('Contractor Assumptions'!$F32,uwmp_table_4_2_w!$B$2:$N$9900,14,FALSE),$A$11:$C$13,2,FALSE))</f>
        <v>217307.94865849998</v>
      </c>
      <c r="G561" s="472">
        <f>(IFERROR(SUMIFS(uwmp_table_4_2_w!L$2:L$9900,uwmp_table_4_2_w!$G$2:$G$9900,"Losses",uwmp_table_4_2_w!$B$2:$B$9900,'Contractor Assumptions'!$F32),0) + IFERROR(SUMIFS(uwmp_table_4_2_r!L$2:L$9900,uwmp_table_4_2_r!$G$2:$G$9900,"Losses",uwmp_table_4_2_r!$B$2:$B$9900,'Contractor Assumptions'!$F32),0)
+ IFERROR(SUMIFS(uwmp_table_4_2_w!L$2:L$9900,uwmp_table_4_2_w!$G$2:$G$9900,"Other Potable",uwmp_table_4_2_w!$B$2:$B$9900,'Contractor Assumptions'!$F32),0) + IFERROR(SUMIFS(uwmp_table_4_2_r!L$2:L$9900,uwmp_table_4_2_r!$G$2:$G$9900,"Other Potable",uwmp_table_4_2_r!$B$2:$B$9900,'Contractor Assumptions'!$F32),0)
+ IFERROR(SUMIFS(uwmp_table_4_2_w!L$2:L$9900,uwmp_table_4_2_w!$G$2:$G$9900,"Other",uwmp_table_4_2_w!$B$2:$B$9900,'Contractor Assumptions'!$F32),0) + IFERROR(SUMIFS(uwmp_table_4_2_r!L$2:L$9900,uwmp_table_4_2_r!$G$2:$G$9900,"Other",uwmp_table_4_2_r!$B$2:$B$9900,'Contractor Assumptions'!$F32),0)
+ IFERROR(SUMIFS(uwmp_table_4_2_w!L$2:L$9900,uwmp_table_4_2_w!$G$2:$G$9900,"Sales/Transfers/Exchanges to other agencies",uwmp_table_4_2_w!$B$2:$B$9900,'Contractor Assumptions'!$F32),0) + IFERROR(SUMIFS(uwmp_table_4_2_r!L$2:L$9900,uwmp_table_4_2_r!$G$2:$G$9900,"Sales/Transfers/Exchanges to other agencies",uwmp_table_4_2_r!$B$2:$B$9900,'Contractor Assumptions'!$F32),0)
+ IFERROR(SUMIFS(uwmp_table_4_2_w!L$2:L$9900,uwmp_table_4_2_w!$G$2:$G$9900,"Other Non-Potable",uwmp_table_4_2_w!$B$2:$B$9900,'Contractor Assumptions'!$F32),0) + IFERROR(SUMIFS(uwmp_table_4_2_r!L$2:L$9900,uwmp_table_4_2_r!$G$2:$G$9900,"Other Non-Potable",uwmp_table_4_2_r!$B$2:$B$9900,'Contractor Assumptions'!$F32),0)
+ IFERROR(SUMIFS(uwmp_table_4_2_w!L$2:L$9900,uwmp_table_4_2_w!$G$2:$G$9900,"Wetlands or wildlife habitat",uwmp_table_4_2_w!$B$2:$B$9900,'Contractor Assumptions'!$F32),0) + IFERROR(SUMIFS(uwmp_table_4_2_r!L$2:L$9900,uwmp_table_4_2_r!$G$2:$G$9900,"Wetlands or wildlife habitat",uwmp_table_4_2_r!$B$2:$B$9900,'Contractor Assumptions'!$F32),0)
+ IFERROR(SUMIFS(uwmp_table_4_2_w!L$2:L$9900,uwmp_table_4_2_w!$G$2:$G$9900,"Saline water intrusion barrier",uwmp_table_4_2_w!$B$2:$B$9900,'Contractor Assumptions'!$F32),0) + IFERROR(SUMIFS(uwmp_table_4_2_r!L$2:L$9900,uwmp_table_4_2_r!$G$2:$G$9900,"Saline water intrusion barrier",uwmp_table_4_2_r!$B$2:$B$9900,'Contractor Assumptions'!$F32),0)
+ IFERROR(SUMIFS(uwmp_table_4_2_w!L$2:L$9900,uwmp_table_4_2_w!$G$2:$G$9900,"Groundwater recharge",uwmp_table_4_2_w!$B$2:$B$9900,'Contractor Assumptions'!$F32),0) + IFERROR(SUMIFS(uwmp_table_4_2_r!L$2:L$9900,uwmp_table_4_2_r!$G$2:$G$9900,"Groundwater recharge",uwmp_table_4_2_r!$B$2:$B$9900,'Contractor Assumptions'!$F32),0)
+ IFERROR(SUMIFS(uwmp_table_4_2_w!L$2:L$9900,uwmp_table_4_2_w!$G$2:$G$9900,"Retail demand for use by agencies that are primarily",uwmp_table_4_2_w!$B$2:$B$9900,'Contractor Assumptions'!$F32),0) + IFERROR(SUMIFS(uwmp_table_4_2_r!L$2:L$9900,uwmp_table_4_2_r!$G$2:$G$9900,"Retail demand for use by agencies that are primarily",uwmp_table_4_2_r!$B$2:$B$9900,'Contractor Assumptions'!$F32),0)
+ IFERROR(SUMIFS(uwmp_table_4_2_w!L$2:L$9900,uwmp_table_4_2_w!$G$2:$G$9900,"wholesalers with a small volume of retail sales",uwmp_table_4_2_w!$B$2:$B$9900,'Contractor Assumptions'!$F32),0) + IFERROR(SUMIFS(uwmp_table_4_2_r!L$2:L$9900,uwmp_table_4_2_r!$G$2:$G$9900,"wholesalers with a small volume of retail sales",uwmp_table_4_2_r!$B$2:$B$9900,'Contractor Assumptions'!$F32),0)
+ IFERROR(SUMIFS(uwmp_table_4_2_w!L$2:L$9900,uwmp_table_4_2_w!$G$2:$G$9900,"Sales to other agencies",uwmp_table_4_2_w!$B$2:$B$9900,'Contractor Assumptions'!$F32),0) + IFERROR(SUMIFS(uwmp_table_4_2_r!L$2:L$9900,uwmp_table_4_2_r!$G$2:$G$9900,"Sales to other agencies",uwmp_table_4_2_r!$B$2:$B$9900,'Contractor Assumptions'!$F32),0)
+ IFERROR(SUMIFS(uwmp_table_4_2_w!L$2:L$9900,uwmp_table_4_2_w!$G$2:$G$9900,"Exchanges to other agencies",uwmp_table_4_2_w!$B$2:$B$9900,'Contractor Assumptions'!$F32),0) + IFERROR(SUMIFS(uwmp_table_4_2_r!L$2:L$9900,uwmp_table_4_2_r!$G$2:$G$9900,"Exchanges to other agencies",uwmp_table_4_2_r!$B$2:$B$9900,'Contractor Assumptions'!$F32),0)
)*IFERROR(VLOOKUP(VLOOKUP('Contractor Assumptions'!$F32,uwmp_table_4_2_r!$B$2:$N$9900,13,FALSE),$A$11:$C$13,2,FALSE), VLOOKUP(VLOOKUP('Contractor Assumptions'!$F32,uwmp_table_4_2_w!$B$2:$N$9900,14,FALSE),$A$11:$C$13,2,FALSE))</f>
        <v>225148.95711525</v>
      </c>
      <c r="H561" s="520">
        <f>(IFERROR(SUMIFS(uwmp_table_4_2_w!M$2:M$9900,uwmp_table_4_2_w!$G$2:$G$9900,"Losses",uwmp_table_4_2_w!$B$2:$B$9900,'Contractor Assumptions'!$F32),0) + IFERROR(SUMIFS(uwmp_table_4_2_r!M$2:M$9900,uwmp_table_4_2_r!$G$2:$G$9900,"Losses",uwmp_table_4_2_r!$B$2:$B$9900,'Contractor Assumptions'!$F32),0)
+ IFERROR(SUMIFS(uwmp_table_4_2_w!M$2:M$9900,uwmp_table_4_2_w!$G$2:$G$9900,"Other Potable",uwmp_table_4_2_w!$B$2:$B$9900,'Contractor Assumptions'!$F32),0) + IFERROR(SUMIFS(uwmp_table_4_2_r!M$2:M$9900,uwmp_table_4_2_r!$G$2:$G$9900,"Other Potable",uwmp_table_4_2_r!$B$2:$B$9900,'Contractor Assumptions'!$F32),0)
+ IFERROR(SUMIFS(uwmp_table_4_2_w!M$2:M$9900,uwmp_table_4_2_w!$G$2:$G$9900,"Other",uwmp_table_4_2_w!$B$2:$B$9900,'Contractor Assumptions'!$F32),0) + IFERROR(SUMIFS(uwmp_table_4_2_r!M$2:M$9900,uwmp_table_4_2_r!$G$2:$G$9900,"Other",uwmp_table_4_2_r!$B$2:$B$9900,'Contractor Assumptions'!$F32),0)
+ IFERROR(SUMIFS(uwmp_table_4_2_w!M$2:M$9900,uwmp_table_4_2_w!$G$2:$G$9900,"Sales/Transfers/Exchanges to other agencies",uwmp_table_4_2_w!$B$2:$B$9900,'Contractor Assumptions'!$F32),0) + IFERROR(SUMIFS(uwmp_table_4_2_r!M$2:M$9900,uwmp_table_4_2_r!$G$2:$G$9900,"Sales/Transfers/Exchanges to other agencies",uwmp_table_4_2_r!$B$2:$B$9900,'Contractor Assumptions'!$F32),0)
+ IFERROR(SUMIFS(uwmp_table_4_2_w!M$2:M$9900,uwmp_table_4_2_w!$G$2:$G$9900,"Other Non-Potable",uwmp_table_4_2_w!$B$2:$B$9900,'Contractor Assumptions'!$F32),0) + IFERROR(SUMIFS(uwmp_table_4_2_r!M$2:M$9900,uwmp_table_4_2_r!$G$2:$G$9900,"Other Non-Potable",uwmp_table_4_2_r!$B$2:$B$9900,'Contractor Assumptions'!$F32),0)
+ IFERROR(SUMIFS(uwmp_table_4_2_w!M$2:M$9900,uwmp_table_4_2_w!$G$2:$G$9900,"Wetlands or wildlife habitat",uwmp_table_4_2_w!$B$2:$B$9900,'Contractor Assumptions'!$F32),0) + IFERROR(SUMIFS(uwmp_table_4_2_r!M$2:M$9900,uwmp_table_4_2_r!$G$2:$G$9900,"Wetlands or wildlife habitat",uwmp_table_4_2_r!$B$2:$B$9900,'Contractor Assumptions'!$F32),0)
+ IFERROR(SUMIFS(uwmp_table_4_2_w!M$2:M$9900,uwmp_table_4_2_w!$G$2:$G$9900,"Saline water intrusion barrier",uwmp_table_4_2_w!$B$2:$B$9900,'Contractor Assumptions'!$F32),0) + IFERROR(SUMIFS(uwmp_table_4_2_r!M$2:M$9900,uwmp_table_4_2_r!$G$2:$G$9900,"Saline water intrusion barrier",uwmp_table_4_2_r!$B$2:$B$9900,'Contractor Assumptions'!$F32),0)
+ IFERROR(SUMIFS(uwmp_table_4_2_w!M$2:M$9900,uwmp_table_4_2_w!$G$2:$G$9900,"Groundwater recharge",uwmp_table_4_2_w!$B$2:$B$9900,'Contractor Assumptions'!$F32),0) + IFERROR(SUMIFS(uwmp_table_4_2_r!M$2:M$9900,uwmp_table_4_2_r!$G$2:$G$9900,"Groundwater recharge",uwmp_table_4_2_r!$B$2:$B$9900,'Contractor Assumptions'!$F32),0)
+ IFERROR(SUMIFS(uwmp_table_4_2_w!M$2:M$9900,uwmp_table_4_2_w!$G$2:$G$9900,"Retail demand for use by agencies that are primarily",uwmp_table_4_2_w!$B$2:$B$9900,'Contractor Assumptions'!$F32),0) + IFERROR(SUMIFS(uwmp_table_4_2_r!M$2:M$9900,uwmp_table_4_2_r!$G$2:$G$9900,"Retail demand for use by agencies that are primarily",uwmp_table_4_2_r!$B$2:$B$9900,'Contractor Assumptions'!$F32),0)
+ IFERROR(SUMIFS(uwmp_table_4_2_w!M$2:M$9900,uwmp_table_4_2_w!$G$2:$G$9900,"wholesalers with a small volume of retail sales",uwmp_table_4_2_w!$B$2:$B$9900,'Contractor Assumptions'!$F32),0) + IFERROR(SUMIFS(uwmp_table_4_2_r!M$2:M$9900,uwmp_table_4_2_r!$G$2:$G$9900,"wholesalers with a small volume of retail sales",uwmp_table_4_2_r!$B$2:$B$9900,'Contractor Assumptions'!$F32),0)
+ IFERROR(SUMIFS(uwmp_table_4_2_w!M$2:M$9900,uwmp_table_4_2_w!$G$2:$G$9900,"Sales to other agencies",uwmp_table_4_2_w!$B$2:$B$9900,'Contractor Assumptions'!$F32),0) + IFERROR(SUMIFS(uwmp_table_4_2_r!M$2:M$9900,uwmp_table_4_2_r!$G$2:$G$9900,"Sales to other agencies",uwmp_table_4_2_r!$B$2:$B$9900,'Contractor Assumptions'!$F32),0)
+ IFERROR(SUMIFS(uwmp_table_4_2_w!M$2:M$9900,uwmp_table_4_2_w!$G$2:$G$9900,"Exchanges to other agencies",uwmp_table_4_2_w!$B$2:$B$9900,'Contractor Assumptions'!$F32),0) + IFERROR(SUMIFS(uwmp_table_4_2_r!M$2:M$9900,uwmp_table_4_2_r!$G$2:$G$9900,"Exchanges to other agencies",uwmp_table_4_2_r!$B$2:$B$9900,'Contractor Assumptions'!$F32),0)
)*IFERROR(VLOOKUP(VLOOKUP('Contractor Assumptions'!$F32,uwmp_table_4_2_r!$B$2:$N$9900,13,FALSE),$A$11:$C$13,2,FALSE), VLOOKUP(VLOOKUP('Contractor Assumptions'!$F32,uwmp_table_4_2_w!$B$2:$N$9900,14,FALSE),$A$11:$C$13,2,FALSE))</f>
        <v>234110.10963724999</v>
      </c>
      <c r="I561" s="66"/>
      <c r="J561" s="70"/>
      <c r="K561" s="70"/>
      <c r="L561" s="70"/>
      <c r="M561" s="70"/>
      <c r="N561" s="70"/>
      <c r="O561" s="70"/>
      <c r="P561" s="70"/>
    </row>
    <row r="562" spans="1:16" hidden="1" outlineLevel="1" x14ac:dyDescent="0.3">
      <c r="A562" s="63" t="s">
        <v>1026</v>
      </c>
      <c r="B562" s="63" t="s">
        <v>915</v>
      </c>
      <c r="C562" s="63" t="str">
        <f t="shared" si="11"/>
        <v>San Benito County Water District, Zone 6</v>
      </c>
      <c r="D562" s="472">
        <v>1779</v>
      </c>
      <c r="E562" s="472">
        <v>1780</v>
      </c>
      <c r="F562" s="472">
        <v>1780</v>
      </c>
      <c r="G562" s="472">
        <v>1781</v>
      </c>
      <c r="H562" s="520">
        <v>1781</v>
      </c>
      <c r="I562" s="66" t="s">
        <v>1013</v>
      </c>
      <c r="J562" s="71"/>
      <c r="K562" s="71"/>
      <c r="L562" s="71"/>
      <c r="M562" s="71"/>
      <c r="N562" s="71"/>
      <c r="O562" s="71"/>
      <c r="P562" s="70"/>
    </row>
    <row r="563" spans="1:16" hidden="1" outlineLevel="1" x14ac:dyDescent="0.3">
      <c r="A563" s="63" t="s">
        <v>1026</v>
      </c>
      <c r="B563" s="63" t="s">
        <v>915</v>
      </c>
      <c r="C563" s="63" t="str">
        <f t="shared" si="11"/>
        <v>Santa Clara Valley Water District</v>
      </c>
      <c r="D563" s="472">
        <f>(IFERROR(SUMIFS(uwmp_table_4_2_w!I$2:I$9900,uwmp_table_4_2_w!$G$2:$G$9900,"Losses",uwmp_table_4_2_w!$B$2:$B$9900,'Contractor Assumptions'!$F34),0) + IFERROR(SUMIFS(uwmp_table_4_2_r!I$2:I$9900,uwmp_table_4_2_r!$G$2:$G$9900,"Losses",uwmp_table_4_2_r!$B$2:$B$9900,'Contractor Assumptions'!$F34),0)
+ IFERROR(SUMIFS(uwmp_table_4_2_w!I$2:I$9900,uwmp_table_4_2_w!$G$2:$G$9900,"Other Potable",uwmp_table_4_2_w!$B$2:$B$9900,'Contractor Assumptions'!$F34),0) + IFERROR(SUMIFS(uwmp_table_4_2_r!I$2:I$9900,uwmp_table_4_2_r!$G$2:$G$9900,"Other Potable",uwmp_table_4_2_r!$B$2:$B$9900,'Contractor Assumptions'!$F34),0)
+ IFERROR(SUMIFS(uwmp_table_4_2_w!I$2:I$9900,uwmp_table_4_2_w!$G$2:$G$9900,"Other",uwmp_table_4_2_w!$B$2:$B$9900,'Contractor Assumptions'!$F34),0) + IFERROR(SUMIFS(uwmp_table_4_2_r!I$2:I$9900,uwmp_table_4_2_r!$G$2:$G$9900,"Other",uwmp_table_4_2_r!$B$2:$B$9900,'Contractor Assumptions'!$F34),0)
+ IFERROR(SUMIFS(uwmp_table_4_2_w!I$2:I$9900,uwmp_table_4_2_w!$G$2:$G$9900,"Sales/Transfers/Exchanges to other agencies",uwmp_table_4_2_w!$B$2:$B$9900,'Contractor Assumptions'!$F34),0) + IFERROR(SUMIFS(uwmp_table_4_2_r!I$2:I$9900,uwmp_table_4_2_r!$G$2:$G$9900,"Sales/Transfers/Exchanges to other agencies",uwmp_table_4_2_r!$B$2:$B$9900,'Contractor Assumptions'!$F34),0)
+ IFERROR(SUMIFS(uwmp_table_4_2_w!I$2:I$9900,uwmp_table_4_2_w!$G$2:$G$9900,"Other Non-Potable",uwmp_table_4_2_w!$B$2:$B$9900,'Contractor Assumptions'!$F34),0) + IFERROR(SUMIFS(uwmp_table_4_2_r!I$2:I$9900,uwmp_table_4_2_r!$G$2:$G$9900,"Other Non-Potable",uwmp_table_4_2_r!$B$2:$B$9900,'Contractor Assumptions'!$F34),0)
+ IFERROR(SUMIFS(uwmp_table_4_2_w!I$2:I$9900,uwmp_table_4_2_w!$G$2:$G$9900,"Wetlands or wildlife habitat",uwmp_table_4_2_w!$B$2:$B$9900,'Contractor Assumptions'!$F34),0) + IFERROR(SUMIFS(uwmp_table_4_2_r!I$2:I$9900,uwmp_table_4_2_r!$G$2:$G$9900,"Wetlands or wildlife habitat",uwmp_table_4_2_r!$B$2:$B$9900,'Contractor Assumptions'!$F34),0)
+ IFERROR(SUMIFS(uwmp_table_4_2_w!I$2:I$9900,uwmp_table_4_2_w!$G$2:$G$9900,"Saline water intrusion barrier",uwmp_table_4_2_w!$B$2:$B$9900,'Contractor Assumptions'!$F34),0) + IFERROR(SUMIFS(uwmp_table_4_2_r!I$2:I$9900,uwmp_table_4_2_r!$G$2:$G$9900,"Saline water intrusion barrier",uwmp_table_4_2_r!$B$2:$B$9900,'Contractor Assumptions'!$F34),0)
+ IFERROR(SUMIFS(uwmp_table_4_2_w!I$2:I$9900,uwmp_table_4_2_w!$G$2:$G$9900,"Groundwater recharge",uwmp_table_4_2_w!$B$2:$B$9900,'Contractor Assumptions'!$F34),0) + IFERROR(SUMIFS(uwmp_table_4_2_r!I$2:I$9900,uwmp_table_4_2_r!$G$2:$G$9900,"Groundwater recharge",uwmp_table_4_2_r!$B$2:$B$9900,'Contractor Assumptions'!$F34),0)
+ IFERROR(SUMIFS(uwmp_table_4_2_w!I$2:I$9900,uwmp_table_4_2_w!$G$2:$G$9900,"Retail demand for use by agencies that are primarily",uwmp_table_4_2_w!$B$2:$B$9900,'Contractor Assumptions'!$F34),0) + IFERROR(SUMIFS(uwmp_table_4_2_r!I$2:I$9900,uwmp_table_4_2_r!$G$2:$G$9900,"Retail demand for use by agencies that are primarily",uwmp_table_4_2_r!$B$2:$B$9900,'Contractor Assumptions'!$F34),0)
+ IFERROR(SUMIFS(uwmp_table_4_2_w!I$2:I$9900,uwmp_table_4_2_w!$G$2:$G$9900,"wholesalers with a small volume of retail sales",uwmp_table_4_2_w!$B$2:$B$9900,'Contractor Assumptions'!$F34),0) + IFERROR(SUMIFS(uwmp_table_4_2_r!I$2:I$9900,uwmp_table_4_2_r!$G$2:$G$9900,"wholesalers with a small volume of retail sales",uwmp_table_4_2_r!$B$2:$B$9900,'Contractor Assumptions'!$F34),0)
+ IFERROR(SUMIFS(uwmp_table_4_2_w!I$2:I$9900,uwmp_table_4_2_w!$G$2:$G$9900,"Sales to other agencies",uwmp_table_4_2_w!$B$2:$B$9900,'Contractor Assumptions'!$F34),0) + IFERROR(SUMIFS(uwmp_table_4_2_r!I$2:I$9900,uwmp_table_4_2_r!$G$2:$G$9900,"Sales to other agencies",uwmp_table_4_2_r!$B$2:$B$9900,'Contractor Assumptions'!$F34),0)
+ IFERROR(SUMIFS(uwmp_table_4_2_w!I$2:I$9900,uwmp_table_4_2_w!$G$2:$G$9900,"Exchanges to other agencies",uwmp_table_4_2_w!$B$2:$B$9900,'Contractor Assumptions'!$F34),0) + IFERROR(SUMIFS(uwmp_table_4_2_r!I$2:I$9900,uwmp_table_4_2_r!$G$2:$G$9900,"Exchanges to other agencies",uwmp_table_4_2_r!$B$2:$B$9900,'Contractor Assumptions'!$F34),0)
)</f>
        <v>290700</v>
      </c>
      <c r="E563" s="472">
        <f>(IFERROR(SUMIFS(uwmp_table_4_2_w!J$2:J$9900,uwmp_table_4_2_w!$G$2:$G$9900,"Losses",uwmp_table_4_2_w!$B$2:$B$9900,'Contractor Assumptions'!$F34),0) + IFERROR(SUMIFS(uwmp_table_4_2_r!J$2:J$9900,uwmp_table_4_2_r!$G$2:$G$9900,"Losses",uwmp_table_4_2_r!$B$2:$B$9900,'Contractor Assumptions'!$F34),0)
+ IFERROR(SUMIFS(uwmp_table_4_2_w!J$2:J$9900,uwmp_table_4_2_w!$G$2:$G$9900,"Other Potable",uwmp_table_4_2_w!$B$2:$B$9900,'Contractor Assumptions'!$F34),0) + IFERROR(SUMIFS(uwmp_table_4_2_r!J$2:J$9900,uwmp_table_4_2_r!$G$2:$G$9900,"Other Potable",uwmp_table_4_2_r!$B$2:$B$9900,'Contractor Assumptions'!$F34),0)
+ IFERROR(SUMIFS(uwmp_table_4_2_w!J$2:J$9900,uwmp_table_4_2_w!$G$2:$G$9900,"Other",uwmp_table_4_2_w!$B$2:$B$9900,'Contractor Assumptions'!$F34),0) + IFERROR(SUMIFS(uwmp_table_4_2_r!J$2:J$9900,uwmp_table_4_2_r!$G$2:$G$9900,"Other",uwmp_table_4_2_r!$B$2:$B$9900,'Contractor Assumptions'!$F34),0)
+ IFERROR(SUMIFS(uwmp_table_4_2_w!J$2:J$9900,uwmp_table_4_2_w!$G$2:$G$9900,"Sales/Transfers/Exchanges to other agencies",uwmp_table_4_2_w!$B$2:$B$9900,'Contractor Assumptions'!$F34),0) + IFERROR(SUMIFS(uwmp_table_4_2_r!J$2:J$9900,uwmp_table_4_2_r!$G$2:$G$9900,"Sales/Transfers/Exchanges to other agencies",uwmp_table_4_2_r!$B$2:$B$9900,'Contractor Assumptions'!$F34),0)
+ IFERROR(SUMIFS(uwmp_table_4_2_w!J$2:J$9900,uwmp_table_4_2_w!$G$2:$G$9900,"Other Non-Potable",uwmp_table_4_2_w!$B$2:$B$9900,'Contractor Assumptions'!$F34),0) + IFERROR(SUMIFS(uwmp_table_4_2_r!J$2:J$9900,uwmp_table_4_2_r!$G$2:$G$9900,"Other Non-Potable",uwmp_table_4_2_r!$B$2:$B$9900,'Contractor Assumptions'!$F34),0)
+ IFERROR(SUMIFS(uwmp_table_4_2_w!J$2:J$9900,uwmp_table_4_2_w!$G$2:$G$9900,"Wetlands or wildlife habitat",uwmp_table_4_2_w!$B$2:$B$9900,'Contractor Assumptions'!$F34),0) + IFERROR(SUMIFS(uwmp_table_4_2_r!J$2:J$9900,uwmp_table_4_2_r!$G$2:$G$9900,"Wetlands or wildlife habitat",uwmp_table_4_2_r!$B$2:$B$9900,'Contractor Assumptions'!$F34),0)
+ IFERROR(SUMIFS(uwmp_table_4_2_w!J$2:J$9900,uwmp_table_4_2_w!$G$2:$G$9900,"Saline water intrusion barrier",uwmp_table_4_2_w!$B$2:$B$9900,'Contractor Assumptions'!$F34),0) + IFERROR(SUMIFS(uwmp_table_4_2_r!J$2:J$9900,uwmp_table_4_2_r!$G$2:$G$9900,"Saline water intrusion barrier",uwmp_table_4_2_r!$B$2:$B$9900,'Contractor Assumptions'!$F34),0)
+ IFERROR(SUMIFS(uwmp_table_4_2_w!J$2:J$9900,uwmp_table_4_2_w!$G$2:$G$9900,"Groundwater recharge",uwmp_table_4_2_w!$B$2:$B$9900,'Contractor Assumptions'!$F34),0) + IFERROR(SUMIFS(uwmp_table_4_2_r!J$2:J$9900,uwmp_table_4_2_r!$G$2:$G$9900,"Groundwater recharge",uwmp_table_4_2_r!$B$2:$B$9900,'Contractor Assumptions'!$F34),0)
+ IFERROR(SUMIFS(uwmp_table_4_2_w!J$2:J$9900,uwmp_table_4_2_w!$G$2:$G$9900,"Retail demand for use by agencies that are primarily",uwmp_table_4_2_w!$B$2:$B$9900,'Contractor Assumptions'!$F34),0) + IFERROR(SUMIFS(uwmp_table_4_2_r!J$2:J$9900,uwmp_table_4_2_r!$G$2:$G$9900,"Retail demand for use by agencies that are primarily",uwmp_table_4_2_r!$B$2:$B$9900,'Contractor Assumptions'!$F34),0)
+ IFERROR(SUMIFS(uwmp_table_4_2_w!J$2:J$9900,uwmp_table_4_2_w!$G$2:$G$9900,"wholesalers with a small volume of retail sales",uwmp_table_4_2_w!$B$2:$B$9900,'Contractor Assumptions'!$F34),0) + IFERROR(SUMIFS(uwmp_table_4_2_r!J$2:J$9900,uwmp_table_4_2_r!$G$2:$G$9900,"wholesalers with a small volume of retail sales",uwmp_table_4_2_r!$B$2:$B$9900,'Contractor Assumptions'!$F34),0)
+ IFERROR(SUMIFS(uwmp_table_4_2_w!J$2:J$9900,uwmp_table_4_2_w!$G$2:$G$9900,"Sales to other agencies",uwmp_table_4_2_w!$B$2:$B$9900,'Contractor Assumptions'!$F34),0) + IFERROR(SUMIFS(uwmp_table_4_2_r!J$2:J$9900,uwmp_table_4_2_r!$G$2:$G$9900,"Sales to other agencies",uwmp_table_4_2_r!$B$2:$B$9900,'Contractor Assumptions'!$F34),0)
+ IFERROR(SUMIFS(uwmp_table_4_2_w!J$2:J$9900,uwmp_table_4_2_w!$G$2:$G$9900,"Exchanges to other agencies",uwmp_table_4_2_w!$B$2:$B$9900,'Contractor Assumptions'!$F34),0) + IFERROR(SUMIFS(uwmp_table_4_2_r!J$2:J$9900,uwmp_table_4_2_r!$G$2:$G$9900,"Exchanges to other agencies",uwmp_table_4_2_r!$B$2:$B$9900,'Contractor Assumptions'!$F34),0)
)</f>
        <v>279700</v>
      </c>
      <c r="F563" s="472">
        <f>(IFERROR(SUMIFS(uwmp_table_4_2_w!K$2:K$9900,uwmp_table_4_2_w!$G$2:$G$9900,"Losses",uwmp_table_4_2_w!$B$2:$B$9900,'Contractor Assumptions'!$F34),0) + IFERROR(SUMIFS(uwmp_table_4_2_r!K$2:K$9900,uwmp_table_4_2_r!$G$2:$G$9900,"Losses",uwmp_table_4_2_r!$B$2:$B$9900,'Contractor Assumptions'!$F34),0)
+ IFERROR(SUMIFS(uwmp_table_4_2_w!K$2:K$9900,uwmp_table_4_2_w!$G$2:$G$9900,"Other Potable",uwmp_table_4_2_w!$B$2:$B$9900,'Contractor Assumptions'!$F34),0) + IFERROR(SUMIFS(uwmp_table_4_2_r!K$2:K$9900,uwmp_table_4_2_r!$G$2:$G$9900,"Other Potable",uwmp_table_4_2_r!$B$2:$B$9900,'Contractor Assumptions'!$F34),0)
+ IFERROR(SUMIFS(uwmp_table_4_2_w!K$2:K$9900,uwmp_table_4_2_w!$G$2:$G$9900,"Other",uwmp_table_4_2_w!$B$2:$B$9900,'Contractor Assumptions'!$F34),0) + IFERROR(SUMIFS(uwmp_table_4_2_r!K$2:K$9900,uwmp_table_4_2_r!$G$2:$G$9900,"Other",uwmp_table_4_2_r!$B$2:$B$9900,'Contractor Assumptions'!$F34),0)
+ IFERROR(SUMIFS(uwmp_table_4_2_w!K$2:K$9900,uwmp_table_4_2_w!$G$2:$G$9900,"Sales/Transfers/Exchanges to other agencies",uwmp_table_4_2_w!$B$2:$B$9900,'Contractor Assumptions'!$F34),0) + IFERROR(SUMIFS(uwmp_table_4_2_r!K$2:K$9900,uwmp_table_4_2_r!$G$2:$G$9900,"Sales/Transfers/Exchanges to other agencies",uwmp_table_4_2_r!$B$2:$B$9900,'Contractor Assumptions'!$F34),0)
+ IFERROR(SUMIFS(uwmp_table_4_2_w!K$2:K$9900,uwmp_table_4_2_w!$G$2:$G$9900,"Other Non-Potable",uwmp_table_4_2_w!$B$2:$B$9900,'Contractor Assumptions'!$F34),0) + IFERROR(SUMIFS(uwmp_table_4_2_r!K$2:K$9900,uwmp_table_4_2_r!$G$2:$G$9900,"Other Non-Potable",uwmp_table_4_2_r!$B$2:$B$9900,'Contractor Assumptions'!$F34),0)
+ IFERROR(SUMIFS(uwmp_table_4_2_w!K$2:K$9900,uwmp_table_4_2_w!$G$2:$G$9900,"Wetlands or wildlife habitat",uwmp_table_4_2_w!$B$2:$B$9900,'Contractor Assumptions'!$F34),0) + IFERROR(SUMIFS(uwmp_table_4_2_r!K$2:K$9900,uwmp_table_4_2_r!$G$2:$G$9900,"Wetlands or wildlife habitat",uwmp_table_4_2_r!$B$2:$B$9900,'Contractor Assumptions'!$F34),0)
+ IFERROR(SUMIFS(uwmp_table_4_2_w!K$2:K$9900,uwmp_table_4_2_w!$G$2:$G$9900,"Saline water intrusion barrier",uwmp_table_4_2_w!$B$2:$B$9900,'Contractor Assumptions'!$F34),0) + IFERROR(SUMIFS(uwmp_table_4_2_r!K$2:K$9900,uwmp_table_4_2_r!$G$2:$G$9900,"Saline water intrusion barrier",uwmp_table_4_2_r!$B$2:$B$9900,'Contractor Assumptions'!$F34),0)
+ IFERROR(SUMIFS(uwmp_table_4_2_w!K$2:K$9900,uwmp_table_4_2_w!$G$2:$G$9900,"Groundwater recharge",uwmp_table_4_2_w!$B$2:$B$9900,'Contractor Assumptions'!$F34),0) + IFERROR(SUMIFS(uwmp_table_4_2_r!K$2:K$9900,uwmp_table_4_2_r!$G$2:$G$9900,"Groundwater recharge",uwmp_table_4_2_r!$B$2:$B$9900,'Contractor Assumptions'!$F34),0)
+ IFERROR(SUMIFS(uwmp_table_4_2_w!K$2:K$9900,uwmp_table_4_2_w!$G$2:$G$9900,"Retail demand for use by agencies that are primarily",uwmp_table_4_2_w!$B$2:$B$9900,'Contractor Assumptions'!$F34),0) + IFERROR(SUMIFS(uwmp_table_4_2_r!K$2:K$9900,uwmp_table_4_2_r!$G$2:$G$9900,"Retail demand for use by agencies that are primarily",uwmp_table_4_2_r!$B$2:$B$9900,'Contractor Assumptions'!$F34),0)
+ IFERROR(SUMIFS(uwmp_table_4_2_w!K$2:K$9900,uwmp_table_4_2_w!$G$2:$G$9900,"wholesalers with a small volume of retail sales",uwmp_table_4_2_w!$B$2:$B$9900,'Contractor Assumptions'!$F34),0) + IFERROR(SUMIFS(uwmp_table_4_2_r!K$2:K$9900,uwmp_table_4_2_r!$G$2:$G$9900,"wholesalers with a small volume of retail sales",uwmp_table_4_2_r!$B$2:$B$9900,'Contractor Assumptions'!$F34),0)
+ IFERROR(SUMIFS(uwmp_table_4_2_w!K$2:K$9900,uwmp_table_4_2_w!$G$2:$G$9900,"Sales to other agencies",uwmp_table_4_2_w!$B$2:$B$9900,'Contractor Assumptions'!$F34),0) + IFERROR(SUMIFS(uwmp_table_4_2_r!K$2:K$9900,uwmp_table_4_2_r!$G$2:$G$9900,"Sales to other agencies",uwmp_table_4_2_r!$B$2:$B$9900,'Contractor Assumptions'!$F34),0)
+ IFERROR(SUMIFS(uwmp_table_4_2_w!K$2:K$9900,uwmp_table_4_2_w!$G$2:$G$9900,"Exchanges to other agencies",uwmp_table_4_2_w!$B$2:$B$9900,'Contractor Assumptions'!$F34),0) + IFERROR(SUMIFS(uwmp_table_4_2_r!K$2:K$9900,uwmp_table_4_2_r!$G$2:$G$9900,"Exchanges to other agencies",uwmp_table_4_2_r!$B$2:$B$9900,'Contractor Assumptions'!$F34),0)
)</f>
        <v>280700</v>
      </c>
      <c r="G563" s="472">
        <f>(IFERROR(SUMIFS(uwmp_table_4_2_w!L$2:L$9900,uwmp_table_4_2_w!$G$2:$G$9900,"Losses",uwmp_table_4_2_w!$B$2:$B$9900,'Contractor Assumptions'!$F34),0) + IFERROR(SUMIFS(uwmp_table_4_2_r!L$2:L$9900,uwmp_table_4_2_r!$G$2:$G$9900,"Losses",uwmp_table_4_2_r!$B$2:$B$9900,'Contractor Assumptions'!$F34),0)
+ IFERROR(SUMIFS(uwmp_table_4_2_w!L$2:L$9900,uwmp_table_4_2_w!$G$2:$G$9900,"Other Potable",uwmp_table_4_2_w!$B$2:$B$9900,'Contractor Assumptions'!$F34),0) + IFERROR(SUMIFS(uwmp_table_4_2_r!L$2:L$9900,uwmp_table_4_2_r!$G$2:$G$9900,"Other Potable",uwmp_table_4_2_r!$B$2:$B$9900,'Contractor Assumptions'!$F34),0)
+ IFERROR(SUMIFS(uwmp_table_4_2_w!L$2:L$9900,uwmp_table_4_2_w!$G$2:$G$9900,"Other",uwmp_table_4_2_w!$B$2:$B$9900,'Contractor Assumptions'!$F34),0) + IFERROR(SUMIFS(uwmp_table_4_2_r!L$2:L$9900,uwmp_table_4_2_r!$G$2:$G$9900,"Other",uwmp_table_4_2_r!$B$2:$B$9900,'Contractor Assumptions'!$F34),0)
+ IFERROR(SUMIFS(uwmp_table_4_2_w!L$2:L$9900,uwmp_table_4_2_w!$G$2:$G$9900,"Sales/Transfers/Exchanges to other agencies",uwmp_table_4_2_w!$B$2:$B$9900,'Contractor Assumptions'!$F34),0) + IFERROR(SUMIFS(uwmp_table_4_2_r!L$2:L$9900,uwmp_table_4_2_r!$G$2:$G$9900,"Sales/Transfers/Exchanges to other agencies",uwmp_table_4_2_r!$B$2:$B$9900,'Contractor Assumptions'!$F34),0)
+ IFERROR(SUMIFS(uwmp_table_4_2_w!L$2:L$9900,uwmp_table_4_2_w!$G$2:$G$9900,"Other Non-Potable",uwmp_table_4_2_w!$B$2:$B$9900,'Contractor Assumptions'!$F34),0) + IFERROR(SUMIFS(uwmp_table_4_2_r!L$2:L$9900,uwmp_table_4_2_r!$G$2:$G$9900,"Other Non-Potable",uwmp_table_4_2_r!$B$2:$B$9900,'Contractor Assumptions'!$F34),0)
+ IFERROR(SUMIFS(uwmp_table_4_2_w!L$2:L$9900,uwmp_table_4_2_w!$G$2:$G$9900,"Wetlands or wildlife habitat",uwmp_table_4_2_w!$B$2:$B$9900,'Contractor Assumptions'!$F34),0) + IFERROR(SUMIFS(uwmp_table_4_2_r!L$2:L$9900,uwmp_table_4_2_r!$G$2:$G$9900,"Wetlands or wildlife habitat",uwmp_table_4_2_r!$B$2:$B$9900,'Contractor Assumptions'!$F34),0)
+ IFERROR(SUMIFS(uwmp_table_4_2_w!L$2:L$9900,uwmp_table_4_2_w!$G$2:$G$9900,"Saline water intrusion barrier",uwmp_table_4_2_w!$B$2:$B$9900,'Contractor Assumptions'!$F34),0) + IFERROR(SUMIFS(uwmp_table_4_2_r!L$2:L$9900,uwmp_table_4_2_r!$G$2:$G$9900,"Saline water intrusion barrier",uwmp_table_4_2_r!$B$2:$B$9900,'Contractor Assumptions'!$F34),0)
+ IFERROR(SUMIFS(uwmp_table_4_2_w!L$2:L$9900,uwmp_table_4_2_w!$G$2:$G$9900,"Groundwater recharge",uwmp_table_4_2_w!$B$2:$B$9900,'Contractor Assumptions'!$F34),0) + IFERROR(SUMIFS(uwmp_table_4_2_r!L$2:L$9900,uwmp_table_4_2_r!$G$2:$G$9900,"Groundwater recharge",uwmp_table_4_2_r!$B$2:$B$9900,'Contractor Assumptions'!$F34),0)
+ IFERROR(SUMIFS(uwmp_table_4_2_w!L$2:L$9900,uwmp_table_4_2_w!$G$2:$G$9900,"Retail demand for use by agencies that are primarily",uwmp_table_4_2_w!$B$2:$B$9900,'Contractor Assumptions'!$F34),0) + IFERROR(SUMIFS(uwmp_table_4_2_r!L$2:L$9900,uwmp_table_4_2_r!$G$2:$G$9900,"Retail demand for use by agencies that are primarily",uwmp_table_4_2_r!$B$2:$B$9900,'Contractor Assumptions'!$F34),0)
+ IFERROR(SUMIFS(uwmp_table_4_2_w!L$2:L$9900,uwmp_table_4_2_w!$G$2:$G$9900,"wholesalers with a small volume of retail sales",uwmp_table_4_2_w!$B$2:$B$9900,'Contractor Assumptions'!$F34),0) + IFERROR(SUMIFS(uwmp_table_4_2_r!L$2:L$9900,uwmp_table_4_2_r!$G$2:$G$9900,"wholesalers with a small volume of retail sales",uwmp_table_4_2_r!$B$2:$B$9900,'Contractor Assumptions'!$F34),0)
+ IFERROR(SUMIFS(uwmp_table_4_2_w!L$2:L$9900,uwmp_table_4_2_w!$G$2:$G$9900,"Sales to other agencies",uwmp_table_4_2_w!$B$2:$B$9900,'Contractor Assumptions'!$F34),0) + IFERROR(SUMIFS(uwmp_table_4_2_r!L$2:L$9900,uwmp_table_4_2_r!$G$2:$G$9900,"Sales to other agencies",uwmp_table_4_2_r!$B$2:$B$9900,'Contractor Assumptions'!$F34),0)
+ IFERROR(SUMIFS(uwmp_table_4_2_w!L$2:L$9900,uwmp_table_4_2_w!$G$2:$G$9900,"Exchanges to other agencies",uwmp_table_4_2_w!$B$2:$B$9900,'Contractor Assumptions'!$F34),0) + IFERROR(SUMIFS(uwmp_table_4_2_r!L$2:L$9900,uwmp_table_4_2_r!$G$2:$G$9900,"Exchanges to other agencies",uwmp_table_4_2_r!$B$2:$B$9900,'Contractor Assumptions'!$F34),0)
)</f>
        <v>282700</v>
      </c>
      <c r="H563" s="520">
        <f>(IFERROR(SUMIFS(uwmp_table_4_2_w!M$2:M$9900,uwmp_table_4_2_w!$G$2:$G$9900,"Losses",uwmp_table_4_2_w!$B$2:$B$9900,'Contractor Assumptions'!$F34),0) + IFERROR(SUMIFS(uwmp_table_4_2_r!M$2:M$9900,uwmp_table_4_2_r!$G$2:$G$9900,"Losses",uwmp_table_4_2_r!$B$2:$B$9900,'Contractor Assumptions'!$F34),0)
+ IFERROR(SUMIFS(uwmp_table_4_2_w!M$2:M$9900,uwmp_table_4_2_w!$G$2:$G$9900,"Other Potable",uwmp_table_4_2_w!$B$2:$B$9900,'Contractor Assumptions'!$F34),0) + IFERROR(SUMIFS(uwmp_table_4_2_r!M$2:M$9900,uwmp_table_4_2_r!$G$2:$G$9900,"Other Potable",uwmp_table_4_2_r!$B$2:$B$9900,'Contractor Assumptions'!$F34),0)
+ IFERROR(SUMIFS(uwmp_table_4_2_w!M$2:M$9900,uwmp_table_4_2_w!$G$2:$G$9900,"Other",uwmp_table_4_2_w!$B$2:$B$9900,'Contractor Assumptions'!$F34),0) + IFERROR(SUMIFS(uwmp_table_4_2_r!M$2:M$9900,uwmp_table_4_2_r!$G$2:$G$9900,"Other",uwmp_table_4_2_r!$B$2:$B$9900,'Contractor Assumptions'!$F34),0)
+ IFERROR(SUMIFS(uwmp_table_4_2_w!M$2:M$9900,uwmp_table_4_2_w!$G$2:$G$9900,"Sales/Transfers/Exchanges to other agencies",uwmp_table_4_2_w!$B$2:$B$9900,'Contractor Assumptions'!$F34),0) + IFERROR(SUMIFS(uwmp_table_4_2_r!M$2:M$9900,uwmp_table_4_2_r!$G$2:$G$9900,"Sales/Transfers/Exchanges to other agencies",uwmp_table_4_2_r!$B$2:$B$9900,'Contractor Assumptions'!$F34),0)
+ IFERROR(SUMIFS(uwmp_table_4_2_w!M$2:M$9900,uwmp_table_4_2_w!$G$2:$G$9900,"Other Non-Potable",uwmp_table_4_2_w!$B$2:$B$9900,'Contractor Assumptions'!$F34),0) + IFERROR(SUMIFS(uwmp_table_4_2_r!M$2:M$9900,uwmp_table_4_2_r!$G$2:$G$9900,"Other Non-Potable",uwmp_table_4_2_r!$B$2:$B$9900,'Contractor Assumptions'!$F34),0)
+ IFERROR(SUMIFS(uwmp_table_4_2_w!M$2:M$9900,uwmp_table_4_2_w!$G$2:$G$9900,"Wetlands or wildlife habitat",uwmp_table_4_2_w!$B$2:$B$9900,'Contractor Assumptions'!$F34),0) + IFERROR(SUMIFS(uwmp_table_4_2_r!M$2:M$9900,uwmp_table_4_2_r!$G$2:$G$9900,"Wetlands or wildlife habitat",uwmp_table_4_2_r!$B$2:$B$9900,'Contractor Assumptions'!$F34),0)
+ IFERROR(SUMIFS(uwmp_table_4_2_w!M$2:M$9900,uwmp_table_4_2_w!$G$2:$G$9900,"Saline water intrusion barrier",uwmp_table_4_2_w!$B$2:$B$9900,'Contractor Assumptions'!$F34),0) + IFERROR(SUMIFS(uwmp_table_4_2_r!M$2:M$9900,uwmp_table_4_2_r!$G$2:$G$9900,"Saline water intrusion barrier",uwmp_table_4_2_r!$B$2:$B$9900,'Contractor Assumptions'!$F34),0)
+ IFERROR(SUMIFS(uwmp_table_4_2_w!M$2:M$9900,uwmp_table_4_2_w!$G$2:$G$9900,"Groundwater recharge",uwmp_table_4_2_w!$B$2:$B$9900,'Contractor Assumptions'!$F34),0) + IFERROR(SUMIFS(uwmp_table_4_2_r!M$2:M$9900,uwmp_table_4_2_r!$G$2:$G$9900,"Groundwater recharge",uwmp_table_4_2_r!$B$2:$B$9900,'Contractor Assumptions'!$F34),0)
+ IFERROR(SUMIFS(uwmp_table_4_2_w!M$2:M$9900,uwmp_table_4_2_w!$G$2:$G$9900,"Retail demand for use by agencies that are primarily",uwmp_table_4_2_w!$B$2:$B$9900,'Contractor Assumptions'!$F34),0) + IFERROR(SUMIFS(uwmp_table_4_2_r!M$2:M$9900,uwmp_table_4_2_r!$G$2:$G$9900,"Retail demand for use by agencies that are primarily",uwmp_table_4_2_r!$B$2:$B$9900,'Contractor Assumptions'!$F34),0)
+ IFERROR(SUMIFS(uwmp_table_4_2_w!M$2:M$9900,uwmp_table_4_2_w!$G$2:$G$9900,"wholesalers with a small volume of retail sales",uwmp_table_4_2_w!$B$2:$B$9900,'Contractor Assumptions'!$F34),0) + IFERROR(SUMIFS(uwmp_table_4_2_r!M$2:M$9900,uwmp_table_4_2_r!$G$2:$G$9900,"wholesalers with a small volume of retail sales",uwmp_table_4_2_r!$B$2:$B$9900,'Contractor Assumptions'!$F34),0)
+ IFERROR(SUMIFS(uwmp_table_4_2_w!M$2:M$9900,uwmp_table_4_2_w!$G$2:$G$9900,"Sales to other agencies",uwmp_table_4_2_w!$B$2:$B$9900,'Contractor Assumptions'!$F34),0) + IFERROR(SUMIFS(uwmp_table_4_2_r!M$2:M$9900,uwmp_table_4_2_r!$G$2:$G$9900,"Sales to other agencies",uwmp_table_4_2_r!$B$2:$B$9900,'Contractor Assumptions'!$F34),0)
+ IFERROR(SUMIFS(uwmp_table_4_2_w!M$2:M$9900,uwmp_table_4_2_w!$G$2:$G$9900,"Exchanges to other agencies",uwmp_table_4_2_w!$B$2:$B$9900,'Contractor Assumptions'!$F34),0) + IFERROR(SUMIFS(uwmp_table_4_2_r!M$2:M$9900,uwmp_table_4_2_r!$G$2:$G$9900,"Exchanges to other agencies",uwmp_table_4_2_r!$B$2:$B$9900,'Contractor Assumptions'!$F34),0)
)</f>
        <v>288700</v>
      </c>
      <c r="I563" s="66"/>
      <c r="J563" s="70"/>
      <c r="K563" s="70"/>
      <c r="L563" s="70"/>
      <c r="M563" s="70"/>
      <c r="N563" s="70"/>
      <c r="O563" s="70"/>
      <c r="P563" s="70"/>
    </row>
    <row r="564" spans="1:16" hidden="1" outlineLevel="1" x14ac:dyDescent="0.3">
      <c r="A564" s="63" t="s">
        <v>1026</v>
      </c>
      <c r="B564" s="63" t="s">
        <v>934</v>
      </c>
      <c r="C564" s="63" t="str">
        <f t="shared" si="11"/>
        <v>San Luis Obispo County Flood Control &amp; Water Conservation District</v>
      </c>
      <c r="D564" s="472">
        <v>4778</v>
      </c>
      <c r="E564" s="472">
        <v>4671</v>
      </c>
      <c r="F564" s="472">
        <v>4569</v>
      </c>
      <c r="G564" s="472">
        <v>4464</v>
      </c>
      <c r="H564" s="520">
        <v>4358</v>
      </c>
      <c r="I564" s="66" t="s">
        <v>1014</v>
      </c>
      <c r="J564" s="70"/>
      <c r="K564" s="70"/>
      <c r="L564" s="70"/>
      <c r="M564" s="70"/>
      <c r="N564" s="70"/>
      <c r="O564" s="70"/>
      <c r="P564" s="70"/>
    </row>
    <row r="565" spans="1:16" hidden="1" outlineLevel="1" x14ac:dyDescent="0.3">
      <c r="A565" s="63" t="s">
        <v>1026</v>
      </c>
      <c r="B565" s="63" t="s">
        <v>934</v>
      </c>
      <c r="C565" s="63" t="str">
        <f t="shared" si="11"/>
        <v>Santa Barbara County Flood Control &amp; Water Conservation District</v>
      </c>
      <c r="D565" s="471" t="s">
        <v>204</v>
      </c>
      <c r="E565" s="471" t="s">
        <v>204</v>
      </c>
      <c r="F565" s="471" t="s">
        <v>204</v>
      </c>
      <c r="G565" s="471" t="s">
        <v>204</v>
      </c>
      <c r="H565" s="518" t="s">
        <v>204</v>
      </c>
      <c r="I565" s="66"/>
      <c r="J565" s="70"/>
      <c r="K565" s="70"/>
      <c r="L565" s="70"/>
      <c r="M565" s="70"/>
      <c r="N565" s="70"/>
      <c r="O565" s="70"/>
      <c r="P565" s="70"/>
    </row>
    <row r="566" spans="1:16" hidden="1" outlineLevel="1" x14ac:dyDescent="0.3">
      <c r="A566" s="63" t="s">
        <v>1026</v>
      </c>
      <c r="B566" s="63" t="s">
        <v>940</v>
      </c>
      <c r="C566" s="63" t="str">
        <f t="shared" si="11"/>
        <v>Antelope Valley-East Kern Water Agency</v>
      </c>
      <c r="D566" s="472">
        <v>19142.509981111591</v>
      </c>
      <c r="E566" s="472">
        <v>21964.241065880062</v>
      </c>
      <c r="F566" s="472">
        <v>22348.307572965503</v>
      </c>
      <c r="G566" s="472">
        <v>23782.641336776593</v>
      </c>
      <c r="H566" s="520">
        <v>24807.598389011051</v>
      </c>
      <c r="I566" s="66" t="s">
        <v>1028</v>
      </c>
      <c r="J566" s="70"/>
      <c r="K566" s="70"/>
      <c r="L566" s="70"/>
      <c r="M566" s="70"/>
      <c r="N566" s="70"/>
      <c r="O566" s="70"/>
      <c r="P566" s="70"/>
    </row>
    <row r="567" spans="1:16" hidden="1" outlineLevel="1" x14ac:dyDescent="0.3">
      <c r="A567" s="63" t="s">
        <v>1026</v>
      </c>
      <c r="B567" s="63" t="s">
        <v>940</v>
      </c>
      <c r="C567" s="63" t="str">
        <f t="shared" si="11"/>
        <v>Santa Clarita Water Division</v>
      </c>
      <c r="D567" s="472">
        <f>(IFERROR(SUMIFS(uwmp_table_4_2_w!I$2:I$9900,uwmp_table_4_2_w!$G$2:$G$9900,"Losses",uwmp_table_4_2_w!$B$2:$B$9900,'Contractor Assumptions'!$F38),0) + IFERROR(SUMIFS(uwmp_table_4_2_r!I$2:I$9900,uwmp_table_4_2_r!$G$2:$G$9900,"Losses",uwmp_table_4_2_r!$B$2:$B$9900,'Contractor Assumptions'!$F38),0)
+ IFERROR(SUMIFS(uwmp_table_4_2_w!I$2:I$9900,uwmp_table_4_2_w!$G$2:$G$9900,"Other Potable",uwmp_table_4_2_w!$B$2:$B$9900,'Contractor Assumptions'!$F38),0) + IFERROR(SUMIFS(uwmp_table_4_2_r!I$2:I$9900,uwmp_table_4_2_r!$G$2:$G$9900,"Other Potable",uwmp_table_4_2_r!$B$2:$B$9900,'Contractor Assumptions'!$F38),0)
+ IFERROR(SUMIFS(uwmp_table_4_2_w!I$2:I$9900,uwmp_table_4_2_w!$G$2:$G$9900,"Other",uwmp_table_4_2_w!$B$2:$B$9900,'Contractor Assumptions'!$F38),0) + IFERROR(SUMIFS(uwmp_table_4_2_r!I$2:I$9900,uwmp_table_4_2_r!$G$2:$G$9900,"Other",uwmp_table_4_2_r!$B$2:$B$9900,'Contractor Assumptions'!$F38),0)
+ IFERROR(SUMIFS(uwmp_table_4_2_w!I$2:I$9900,uwmp_table_4_2_w!$G$2:$G$9900,"Sales/Transfers/Exchanges to other agencies",uwmp_table_4_2_w!$B$2:$B$9900,'Contractor Assumptions'!$F38),0) + IFERROR(SUMIFS(uwmp_table_4_2_r!I$2:I$9900,uwmp_table_4_2_r!$G$2:$G$9900,"Sales/Transfers/Exchanges to other agencies",uwmp_table_4_2_r!$B$2:$B$9900,'Contractor Assumptions'!$F38),0)
+ IFERROR(SUMIFS(uwmp_table_4_2_w!I$2:I$9900,uwmp_table_4_2_w!$G$2:$G$9900,"Other Non-Potable",uwmp_table_4_2_w!$B$2:$B$9900,'Contractor Assumptions'!$F38),0) + IFERROR(SUMIFS(uwmp_table_4_2_r!I$2:I$9900,uwmp_table_4_2_r!$G$2:$G$9900,"Other Non-Potable",uwmp_table_4_2_r!$B$2:$B$9900,'Contractor Assumptions'!$F38),0)
+ IFERROR(SUMIFS(uwmp_table_4_2_w!I$2:I$9900,uwmp_table_4_2_w!$G$2:$G$9900,"Wetlands or wildlife habitat",uwmp_table_4_2_w!$B$2:$B$9900,'Contractor Assumptions'!$F38),0) + IFERROR(SUMIFS(uwmp_table_4_2_r!I$2:I$9900,uwmp_table_4_2_r!$G$2:$G$9900,"Wetlands or wildlife habitat",uwmp_table_4_2_r!$B$2:$B$9900,'Contractor Assumptions'!$F38),0)
+ IFERROR(SUMIFS(uwmp_table_4_2_w!I$2:I$9900,uwmp_table_4_2_w!$G$2:$G$9900,"Saline water intrusion barrier",uwmp_table_4_2_w!$B$2:$B$9900,'Contractor Assumptions'!$F38),0) + IFERROR(SUMIFS(uwmp_table_4_2_r!I$2:I$9900,uwmp_table_4_2_r!$G$2:$G$9900,"Saline water intrusion barrier",uwmp_table_4_2_r!$B$2:$B$9900,'Contractor Assumptions'!$F38),0)
+ IFERROR(SUMIFS(uwmp_table_4_2_w!I$2:I$9900,uwmp_table_4_2_w!$G$2:$G$9900,"Groundwater recharge",uwmp_table_4_2_w!$B$2:$B$9900,'Contractor Assumptions'!$F38),0) + IFERROR(SUMIFS(uwmp_table_4_2_r!I$2:I$9900,uwmp_table_4_2_r!$G$2:$G$9900,"Groundwater recharge",uwmp_table_4_2_r!$B$2:$B$9900,'Contractor Assumptions'!$F38),0)
+ IFERROR(SUMIFS(uwmp_table_4_2_w!I$2:I$9900,uwmp_table_4_2_w!$G$2:$G$9900,"Retail demand for use by agencies that are primarily",uwmp_table_4_2_w!$B$2:$B$9900,'Contractor Assumptions'!$F38),0) + IFERROR(SUMIFS(uwmp_table_4_2_r!I$2:I$9900,uwmp_table_4_2_r!$G$2:$G$9900,"Retail demand for use by agencies that are primarily",uwmp_table_4_2_r!$B$2:$B$9900,'Contractor Assumptions'!$F38),0)
+ IFERROR(SUMIFS(uwmp_table_4_2_w!I$2:I$9900,uwmp_table_4_2_w!$G$2:$G$9900,"wholesalers with a small volume of retail sales",uwmp_table_4_2_w!$B$2:$B$9900,'Contractor Assumptions'!$F38),0) + IFERROR(SUMIFS(uwmp_table_4_2_r!I$2:I$9900,uwmp_table_4_2_r!$G$2:$G$9900,"wholesalers with a small volume of retail sales",uwmp_table_4_2_r!$B$2:$B$9900,'Contractor Assumptions'!$F38),0)
+ IFERROR(SUMIFS(uwmp_table_4_2_w!I$2:I$9900,uwmp_table_4_2_w!$G$2:$G$9900,"Sales to other agencies",uwmp_table_4_2_w!$B$2:$B$9900,'Contractor Assumptions'!$F38),0) + IFERROR(SUMIFS(uwmp_table_4_2_r!I$2:I$9900,uwmp_table_4_2_r!$G$2:$G$9900,"Sales to other agencies",uwmp_table_4_2_r!$B$2:$B$9900,'Contractor Assumptions'!$F38),0)
+ IFERROR(SUMIFS(uwmp_table_4_2_w!I$2:I$9900,uwmp_table_4_2_w!$G$2:$G$9900,"Exchanges to other agencies",uwmp_table_4_2_w!$B$2:$B$9900,'Contractor Assumptions'!$F38),0) + IFERROR(SUMIFS(uwmp_table_4_2_r!I$2:I$9900,uwmp_table_4_2_r!$G$2:$G$9900,"Exchanges to other agencies",uwmp_table_4_2_r!$B$2:$B$9900,'Contractor Assumptions'!$F38),0)
)*IFERROR(VLOOKUP(VLOOKUP('Contractor Assumptions'!$F38,uwmp_table_4_2_r!$B$2:$N$9900,13,FALSE),$A$11:$C$13,2,FALSE), VLOOKUP(VLOOKUP('Contractor Assumptions'!$F38,uwmp_table_4_2_w!$B$2:$N$9900,14,FALSE),$A$11:$C$13,2,FALSE))</f>
        <v>35905.987844999996</v>
      </c>
      <c r="E567" s="472">
        <f>(IFERROR(SUMIFS(uwmp_table_4_2_w!J$2:J$9900,uwmp_table_4_2_w!$G$2:$G$9900,"Losses",uwmp_table_4_2_w!$B$2:$B$9900,'Contractor Assumptions'!$F38),0) + IFERROR(SUMIFS(uwmp_table_4_2_r!J$2:J$9900,uwmp_table_4_2_r!$G$2:$G$9900,"Losses",uwmp_table_4_2_r!$B$2:$B$9900,'Contractor Assumptions'!$F38),0)
+ IFERROR(SUMIFS(uwmp_table_4_2_w!J$2:J$9900,uwmp_table_4_2_w!$G$2:$G$9900,"Other Potable",uwmp_table_4_2_w!$B$2:$B$9900,'Contractor Assumptions'!$F38),0) + IFERROR(SUMIFS(uwmp_table_4_2_r!J$2:J$9900,uwmp_table_4_2_r!$G$2:$G$9900,"Other Potable",uwmp_table_4_2_r!$B$2:$B$9900,'Contractor Assumptions'!$F38),0)
+ IFERROR(SUMIFS(uwmp_table_4_2_w!J$2:J$9900,uwmp_table_4_2_w!$G$2:$G$9900,"Other",uwmp_table_4_2_w!$B$2:$B$9900,'Contractor Assumptions'!$F38),0) + IFERROR(SUMIFS(uwmp_table_4_2_r!J$2:J$9900,uwmp_table_4_2_r!$G$2:$G$9900,"Other",uwmp_table_4_2_r!$B$2:$B$9900,'Contractor Assumptions'!$F38),0)
+ IFERROR(SUMIFS(uwmp_table_4_2_w!J$2:J$9900,uwmp_table_4_2_w!$G$2:$G$9900,"Sales/Transfers/Exchanges to other agencies",uwmp_table_4_2_w!$B$2:$B$9900,'Contractor Assumptions'!$F38),0) + IFERROR(SUMIFS(uwmp_table_4_2_r!J$2:J$9900,uwmp_table_4_2_r!$G$2:$G$9900,"Sales/Transfers/Exchanges to other agencies",uwmp_table_4_2_r!$B$2:$B$9900,'Contractor Assumptions'!$F38),0)
+ IFERROR(SUMIFS(uwmp_table_4_2_w!J$2:J$9900,uwmp_table_4_2_w!$G$2:$G$9900,"Other Non-Potable",uwmp_table_4_2_w!$B$2:$B$9900,'Contractor Assumptions'!$F38),0) + IFERROR(SUMIFS(uwmp_table_4_2_r!J$2:J$9900,uwmp_table_4_2_r!$G$2:$G$9900,"Other Non-Potable",uwmp_table_4_2_r!$B$2:$B$9900,'Contractor Assumptions'!$F38),0)
+ IFERROR(SUMIFS(uwmp_table_4_2_w!J$2:J$9900,uwmp_table_4_2_w!$G$2:$G$9900,"Wetlands or wildlife habitat",uwmp_table_4_2_w!$B$2:$B$9900,'Contractor Assumptions'!$F38),0) + IFERROR(SUMIFS(uwmp_table_4_2_r!J$2:J$9900,uwmp_table_4_2_r!$G$2:$G$9900,"Wetlands or wildlife habitat",uwmp_table_4_2_r!$B$2:$B$9900,'Contractor Assumptions'!$F38),0)
+ IFERROR(SUMIFS(uwmp_table_4_2_w!J$2:J$9900,uwmp_table_4_2_w!$G$2:$G$9900,"Saline water intrusion barrier",uwmp_table_4_2_w!$B$2:$B$9900,'Contractor Assumptions'!$F38),0) + IFERROR(SUMIFS(uwmp_table_4_2_r!J$2:J$9900,uwmp_table_4_2_r!$G$2:$G$9900,"Saline water intrusion barrier",uwmp_table_4_2_r!$B$2:$B$9900,'Contractor Assumptions'!$F38),0)
+ IFERROR(SUMIFS(uwmp_table_4_2_w!J$2:J$9900,uwmp_table_4_2_w!$G$2:$G$9900,"Groundwater recharge",uwmp_table_4_2_w!$B$2:$B$9900,'Contractor Assumptions'!$F38),0) + IFERROR(SUMIFS(uwmp_table_4_2_r!J$2:J$9900,uwmp_table_4_2_r!$G$2:$G$9900,"Groundwater recharge",uwmp_table_4_2_r!$B$2:$B$9900,'Contractor Assumptions'!$F38),0)
+ IFERROR(SUMIFS(uwmp_table_4_2_w!J$2:J$9900,uwmp_table_4_2_w!$G$2:$G$9900,"Retail demand for use by agencies that are primarily",uwmp_table_4_2_w!$B$2:$B$9900,'Contractor Assumptions'!$F38),0) + IFERROR(SUMIFS(uwmp_table_4_2_r!J$2:J$9900,uwmp_table_4_2_r!$G$2:$G$9900,"Retail demand for use by agencies that are primarily",uwmp_table_4_2_r!$B$2:$B$9900,'Contractor Assumptions'!$F38),0)
+ IFERROR(SUMIFS(uwmp_table_4_2_w!J$2:J$9900,uwmp_table_4_2_w!$G$2:$G$9900,"wholesalers with a small volume of retail sales",uwmp_table_4_2_w!$B$2:$B$9900,'Contractor Assumptions'!$F38),0) + IFERROR(SUMIFS(uwmp_table_4_2_r!J$2:J$9900,uwmp_table_4_2_r!$G$2:$G$9900,"wholesalers with a small volume of retail sales",uwmp_table_4_2_r!$B$2:$B$9900,'Contractor Assumptions'!$F38),0)
+ IFERROR(SUMIFS(uwmp_table_4_2_w!J$2:J$9900,uwmp_table_4_2_w!$G$2:$G$9900,"Sales to other agencies",uwmp_table_4_2_w!$B$2:$B$9900,'Contractor Assumptions'!$F38),0) + IFERROR(SUMIFS(uwmp_table_4_2_r!J$2:J$9900,uwmp_table_4_2_r!$G$2:$G$9900,"Sales to other agencies",uwmp_table_4_2_r!$B$2:$B$9900,'Contractor Assumptions'!$F38),0)
+ IFERROR(SUMIFS(uwmp_table_4_2_w!J$2:J$9900,uwmp_table_4_2_w!$G$2:$G$9900,"Exchanges to other agencies",uwmp_table_4_2_w!$B$2:$B$9900,'Contractor Assumptions'!$F38),0) + IFERROR(SUMIFS(uwmp_table_4_2_r!J$2:J$9900,uwmp_table_4_2_r!$G$2:$G$9900,"Exchanges to other agencies",uwmp_table_4_2_r!$B$2:$B$9900,'Contractor Assumptions'!$F38),0)
)*IFERROR(VLOOKUP(VLOOKUP('Contractor Assumptions'!$F38,uwmp_table_4_2_r!$B$2:$N$9900,13,FALSE),$A$11:$C$13,2,FALSE), VLOOKUP(VLOOKUP('Contractor Assumptions'!$F38,uwmp_table_4_2_w!$B$2:$N$9900,14,FALSE),$A$11:$C$13,2,FALSE))</f>
        <v>35905.987844999996</v>
      </c>
      <c r="F567" s="472">
        <f>(IFERROR(SUMIFS(uwmp_table_4_2_w!K$2:K$9900,uwmp_table_4_2_w!$G$2:$G$9900,"Losses",uwmp_table_4_2_w!$B$2:$B$9900,'Contractor Assumptions'!$F38),0) + IFERROR(SUMIFS(uwmp_table_4_2_r!K$2:K$9900,uwmp_table_4_2_r!$G$2:$G$9900,"Losses",uwmp_table_4_2_r!$B$2:$B$9900,'Contractor Assumptions'!$F38),0)
+ IFERROR(SUMIFS(uwmp_table_4_2_w!K$2:K$9900,uwmp_table_4_2_w!$G$2:$G$9900,"Other Potable",uwmp_table_4_2_w!$B$2:$B$9900,'Contractor Assumptions'!$F38),0) + IFERROR(SUMIFS(uwmp_table_4_2_r!K$2:K$9900,uwmp_table_4_2_r!$G$2:$G$9900,"Other Potable",uwmp_table_4_2_r!$B$2:$B$9900,'Contractor Assumptions'!$F38),0)
+ IFERROR(SUMIFS(uwmp_table_4_2_w!K$2:K$9900,uwmp_table_4_2_w!$G$2:$G$9900,"Other",uwmp_table_4_2_w!$B$2:$B$9900,'Contractor Assumptions'!$F38),0) + IFERROR(SUMIFS(uwmp_table_4_2_r!K$2:K$9900,uwmp_table_4_2_r!$G$2:$G$9900,"Other",uwmp_table_4_2_r!$B$2:$B$9900,'Contractor Assumptions'!$F38),0)
+ IFERROR(SUMIFS(uwmp_table_4_2_w!K$2:K$9900,uwmp_table_4_2_w!$G$2:$G$9900,"Sales/Transfers/Exchanges to other agencies",uwmp_table_4_2_w!$B$2:$B$9900,'Contractor Assumptions'!$F38),0) + IFERROR(SUMIFS(uwmp_table_4_2_r!K$2:K$9900,uwmp_table_4_2_r!$G$2:$G$9900,"Sales/Transfers/Exchanges to other agencies",uwmp_table_4_2_r!$B$2:$B$9900,'Contractor Assumptions'!$F38),0)
+ IFERROR(SUMIFS(uwmp_table_4_2_w!K$2:K$9900,uwmp_table_4_2_w!$G$2:$G$9900,"Other Non-Potable",uwmp_table_4_2_w!$B$2:$B$9900,'Contractor Assumptions'!$F38),0) + IFERROR(SUMIFS(uwmp_table_4_2_r!K$2:K$9900,uwmp_table_4_2_r!$G$2:$G$9900,"Other Non-Potable",uwmp_table_4_2_r!$B$2:$B$9900,'Contractor Assumptions'!$F38),0)
+ IFERROR(SUMIFS(uwmp_table_4_2_w!K$2:K$9900,uwmp_table_4_2_w!$G$2:$G$9900,"Wetlands or wildlife habitat",uwmp_table_4_2_w!$B$2:$B$9900,'Contractor Assumptions'!$F38),0) + IFERROR(SUMIFS(uwmp_table_4_2_r!K$2:K$9900,uwmp_table_4_2_r!$G$2:$G$9900,"Wetlands or wildlife habitat",uwmp_table_4_2_r!$B$2:$B$9900,'Contractor Assumptions'!$F38),0)
+ IFERROR(SUMIFS(uwmp_table_4_2_w!K$2:K$9900,uwmp_table_4_2_w!$G$2:$G$9900,"Saline water intrusion barrier",uwmp_table_4_2_w!$B$2:$B$9900,'Contractor Assumptions'!$F38),0) + IFERROR(SUMIFS(uwmp_table_4_2_r!K$2:K$9900,uwmp_table_4_2_r!$G$2:$G$9900,"Saline water intrusion barrier",uwmp_table_4_2_r!$B$2:$B$9900,'Contractor Assumptions'!$F38),0)
+ IFERROR(SUMIFS(uwmp_table_4_2_w!K$2:K$9900,uwmp_table_4_2_w!$G$2:$G$9900,"Groundwater recharge",uwmp_table_4_2_w!$B$2:$B$9900,'Contractor Assumptions'!$F38),0) + IFERROR(SUMIFS(uwmp_table_4_2_r!K$2:K$9900,uwmp_table_4_2_r!$G$2:$G$9900,"Groundwater recharge",uwmp_table_4_2_r!$B$2:$B$9900,'Contractor Assumptions'!$F38),0)
+ IFERROR(SUMIFS(uwmp_table_4_2_w!K$2:K$9900,uwmp_table_4_2_w!$G$2:$G$9900,"Retail demand for use by agencies that are primarily",uwmp_table_4_2_w!$B$2:$B$9900,'Contractor Assumptions'!$F38),0) + IFERROR(SUMIFS(uwmp_table_4_2_r!K$2:K$9900,uwmp_table_4_2_r!$G$2:$G$9900,"Retail demand for use by agencies that are primarily",uwmp_table_4_2_r!$B$2:$B$9900,'Contractor Assumptions'!$F38),0)
+ IFERROR(SUMIFS(uwmp_table_4_2_w!K$2:K$9900,uwmp_table_4_2_w!$G$2:$G$9900,"wholesalers with a small volume of retail sales",uwmp_table_4_2_w!$B$2:$B$9900,'Contractor Assumptions'!$F38),0) + IFERROR(SUMIFS(uwmp_table_4_2_r!K$2:K$9900,uwmp_table_4_2_r!$G$2:$G$9900,"wholesalers with a small volume of retail sales",uwmp_table_4_2_r!$B$2:$B$9900,'Contractor Assumptions'!$F38),0)
+ IFERROR(SUMIFS(uwmp_table_4_2_w!K$2:K$9900,uwmp_table_4_2_w!$G$2:$G$9900,"Sales to other agencies",uwmp_table_4_2_w!$B$2:$B$9900,'Contractor Assumptions'!$F38),0) + IFERROR(SUMIFS(uwmp_table_4_2_r!K$2:K$9900,uwmp_table_4_2_r!$G$2:$G$9900,"Sales to other agencies",uwmp_table_4_2_r!$B$2:$B$9900,'Contractor Assumptions'!$F38),0)
+ IFERROR(SUMIFS(uwmp_table_4_2_w!K$2:K$9900,uwmp_table_4_2_w!$G$2:$G$9900,"Exchanges to other agencies",uwmp_table_4_2_w!$B$2:$B$9900,'Contractor Assumptions'!$F38),0) + IFERROR(SUMIFS(uwmp_table_4_2_r!K$2:K$9900,uwmp_table_4_2_r!$G$2:$G$9900,"Exchanges to other agencies",uwmp_table_4_2_r!$B$2:$B$9900,'Contractor Assumptions'!$F38),0)
)*IFERROR(VLOOKUP(VLOOKUP('Contractor Assumptions'!$F38,uwmp_table_4_2_r!$B$2:$N$9900,13,FALSE),$A$11:$C$13,2,FALSE), VLOOKUP(VLOOKUP('Contractor Assumptions'!$F38,uwmp_table_4_2_w!$B$2:$N$9900,14,FALSE),$A$11:$C$13,2,FALSE))</f>
        <v>40202.430834999999</v>
      </c>
      <c r="G567" s="472">
        <f>(IFERROR(SUMIFS(uwmp_table_4_2_w!L$2:L$9900,uwmp_table_4_2_w!$G$2:$G$9900,"Losses",uwmp_table_4_2_w!$B$2:$B$9900,'Contractor Assumptions'!$F38),0) + IFERROR(SUMIFS(uwmp_table_4_2_r!L$2:L$9900,uwmp_table_4_2_r!$G$2:$G$9900,"Losses",uwmp_table_4_2_r!$B$2:$B$9900,'Contractor Assumptions'!$F38),0)
+ IFERROR(SUMIFS(uwmp_table_4_2_w!L$2:L$9900,uwmp_table_4_2_w!$G$2:$G$9900,"Other Potable",uwmp_table_4_2_w!$B$2:$B$9900,'Contractor Assumptions'!$F38),0) + IFERROR(SUMIFS(uwmp_table_4_2_r!L$2:L$9900,uwmp_table_4_2_r!$G$2:$G$9900,"Other Potable",uwmp_table_4_2_r!$B$2:$B$9900,'Contractor Assumptions'!$F38),0)
+ IFERROR(SUMIFS(uwmp_table_4_2_w!L$2:L$9900,uwmp_table_4_2_w!$G$2:$G$9900,"Other",uwmp_table_4_2_w!$B$2:$B$9900,'Contractor Assumptions'!$F38),0) + IFERROR(SUMIFS(uwmp_table_4_2_r!L$2:L$9900,uwmp_table_4_2_r!$G$2:$G$9900,"Other",uwmp_table_4_2_r!$B$2:$B$9900,'Contractor Assumptions'!$F38),0)
+ IFERROR(SUMIFS(uwmp_table_4_2_w!L$2:L$9900,uwmp_table_4_2_w!$G$2:$G$9900,"Sales/Transfers/Exchanges to other agencies",uwmp_table_4_2_w!$B$2:$B$9900,'Contractor Assumptions'!$F38),0) + IFERROR(SUMIFS(uwmp_table_4_2_r!L$2:L$9900,uwmp_table_4_2_r!$G$2:$G$9900,"Sales/Transfers/Exchanges to other agencies",uwmp_table_4_2_r!$B$2:$B$9900,'Contractor Assumptions'!$F38),0)
+ IFERROR(SUMIFS(uwmp_table_4_2_w!L$2:L$9900,uwmp_table_4_2_w!$G$2:$G$9900,"Other Non-Potable",uwmp_table_4_2_w!$B$2:$B$9900,'Contractor Assumptions'!$F38),0) + IFERROR(SUMIFS(uwmp_table_4_2_r!L$2:L$9900,uwmp_table_4_2_r!$G$2:$G$9900,"Other Non-Potable",uwmp_table_4_2_r!$B$2:$B$9900,'Contractor Assumptions'!$F38),0)
+ IFERROR(SUMIFS(uwmp_table_4_2_w!L$2:L$9900,uwmp_table_4_2_w!$G$2:$G$9900,"Wetlands or wildlife habitat",uwmp_table_4_2_w!$B$2:$B$9900,'Contractor Assumptions'!$F38),0) + IFERROR(SUMIFS(uwmp_table_4_2_r!L$2:L$9900,uwmp_table_4_2_r!$G$2:$G$9900,"Wetlands or wildlife habitat",uwmp_table_4_2_r!$B$2:$B$9900,'Contractor Assumptions'!$F38),0)
+ IFERROR(SUMIFS(uwmp_table_4_2_w!L$2:L$9900,uwmp_table_4_2_w!$G$2:$G$9900,"Saline water intrusion barrier",uwmp_table_4_2_w!$B$2:$B$9900,'Contractor Assumptions'!$F38),0) + IFERROR(SUMIFS(uwmp_table_4_2_r!L$2:L$9900,uwmp_table_4_2_r!$G$2:$G$9900,"Saline water intrusion barrier",uwmp_table_4_2_r!$B$2:$B$9900,'Contractor Assumptions'!$F38),0)
+ IFERROR(SUMIFS(uwmp_table_4_2_w!L$2:L$9900,uwmp_table_4_2_w!$G$2:$G$9900,"Groundwater recharge",uwmp_table_4_2_w!$B$2:$B$9900,'Contractor Assumptions'!$F38),0) + IFERROR(SUMIFS(uwmp_table_4_2_r!L$2:L$9900,uwmp_table_4_2_r!$G$2:$G$9900,"Groundwater recharge",uwmp_table_4_2_r!$B$2:$B$9900,'Contractor Assumptions'!$F38),0)
+ IFERROR(SUMIFS(uwmp_table_4_2_w!L$2:L$9900,uwmp_table_4_2_w!$G$2:$G$9900,"Retail demand for use by agencies that are primarily",uwmp_table_4_2_w!$B$2:$B$9900,'Contractor Assumptions'!$F38),0) + IFERROR(SUMIFS(uwmp_table_4_2_r!L$2:L$9900,uwmp_table_4_2_r!$G$2:$G$9900,"Retail demand for use by agencies that are primarily",uwmp_table_4_2_r!$B$2:$B$9900,'Contractor Assumptions'!$F38),0)
+ IFERROR(SUMIFS(uwmp_table_4_2_w!L$2:L$9900,uwmp_table_4_2_w!$G$2:$G$9900,"wholesalers with a small volume of retail sales",uwmp_table_4_2_w!$B$2:$B$9900,'Contractor Assumptions'!$F38),0) + IFERROR(SUMIFS(uwmp_table_4_2_r!L$2:L$9900,uwmp_table_4_2_r!$G$2:$G$9900,"wholesalers with a small volume of retail sales",uwmp_table_4_2_r!$B$2:$B$9900,'Contractor Assumptions'!$F38),0)
+ IFERROR(SUMIFS(uwmp_table_4_2_w!L$2:L$9900,uwmp_table_4_2_w!$G$2:$G$9900,"Sales to other agencies",uwmp_table_4_2_w!$B$2:$B$9900,'Contractor Assumptions'!$F38),0) + IFERROR(SUMIFS(uwmp_table_4_2_r!L$2:L$9900,uwmp_table_4_2_r!$G$2:$G$9900,"Sales to other agencies",uwmp_table_4_2_r!$B$2:$B$9900,'Contractor Assumptions'!$F38),0)
+ IFERROR(SUMIFS(uwmp_table_4_2_w!L$2:L$9900,uwmp_table_4_2_w!$G$2:$G$9900,"Exchanges to other agencies",uwmp_table_4_2_w!$B$2:$B$9900,'Contractor Assumptions'!$F38),0) + IFERROR(SUMIFS(uwmp_table_4_2_r!L$2:L$9900,uwmp_table_4_2_r!$G$2:$G$9900,"Exchanges to other agencies",uwmp_table_4_2_r!$B$2:$B$9900,'Contractor Assumptions'!$F38),0)
)*IFERROR(VLOOKUP(VLOOKUP('Contractor Assumptions'!$F38,uwmp_table_4_2_r!$B$2:$N$9900,13,FALSE),$A$11:$C$13,2,FALSE), VLOOKUP(VLOOKUP('Contractor Assumptions'!$F38,uwmp_table_4_2_w!$B$2:$N$9900,14,FALSE),$A$11:$C$13,2,FALSE))</f>
        <v>43885.096254999997</v>
      </c>
      <c r="H567" s="520">
        <f>(IFERROR(SUMIFS(uwmp_table_4_2_w!M$2:M$9900,uwmp_table_4_2_w!$G$2:$G$9900,"Losses",uwmp_table_4_2_w!$B$2:$B$9900,'Contractor Assumptions'!$F38),0) + IFERROR(SUMIFS(uwmp_table_4_2_r!M$2:M$9900,uwmp_table_4_2_r!$G$2:$G$9900,"Losses",uwmp_table_4_2_r!$B$2:$B$9900,'Contractor Assumptions'!$F38),0)
+ IFERROR(SUMIFS(uwmp_table_4_2_w!M$2:M$9900,uwmp_table_4_2_w!$G$2:$G$9900,"Other Potable",uwmp_table_4_2_w!$B$2:$B$9900,'Contractor Assumptions'!$F38),0) + IFERROR(SUMIFS(uwmp_table_4_2_r!M$2:M$9900,uwmp_table_4_2_r!$G$2:$G$9900,"Other Potable",uwmp_table_4_2_r!$B$2:$B$9900,'Contractor Assumptions'!$F38),0)
+ IFERROR(SUMIFS(uwmp_table_4_2_w!M$2:M$9900,uwmp_table_4_2_w!$G$2:$G$9900,"Other",uwmp_table_4_2_w!$B$2:$B$9900,'Contractor Assumptions'!$F38),0) + IFERROR(SUMIFS(uwmp_table_4_2_r!M$2:M$9900,uwmp_table_4_2_r!$G$2:$G$9900,"Other",uwmp_table_4_2_r!$B$2:$B$9900,'Contractor Assumptions'!$F38),0)
+ IFERROR(SUMIFS(uwmp_table_4_2_w!M$2:M$9900,uwmp_table_4_2_w!$G$2:$G$9900,"Sales/Transfers/Exchanges to other agencies",uwmp_table_4_2_w!$B$2:$B$9900,'Contractor Assumptions'!$F38),0) + IFERROR(SUMIFS(uwmp_table_4_2_r!M$2:M$9900,uwmp_table_4_2_r!$G$2:$G$9900,"Sales/Transfers/Exchanges to other agencies",uwmp_table_4_2_r!$B$2:$B$9900,'Contractor Assumptions'!$F38),0)
+ IFERROR(SUMIFS(uwmp_table_4_2_w!M$2:M$9900,uwmp_table_4_2_w!$G$2:$G$9900,"Other Non-Potable",uwmp_table_4_2_w!$B$2:$B$9900,'Contractor Assumptions'!$F38),0) + IFERROR(SUMIFS(uwmp_table_4_2_r!M$2:M$9900,uwmp_table_4_2_r!$G$2:$G$9900,"Other Non-Potable",uwmp_table_4_2_r!$B$2:$B$9900,'Contractor Assumptions'!$F38),0)
+ IFERROR(SUMIFS(uwmp_table_4_2_w!M$2:M$9900,uwmp_table_4_2_w!$G$2:$G$9900,"Wetlands or wildlife habitat",uwmp_table_4_2_w!$B$2:$B$9900,'Contractor Assumptions'!$F38),0) + IFERROR(SUMIFS(uwmp_table_4_2_r!M$2:M$9900,uwmp_table_4_2_r!$G$2:$G$9900,"Wetlands or wildlife habitat",uwmp_table_4_2_r!$B$2:$B$9900,'Contractor Assumptions'!$F38),0)
+ IFERROR(SUMIFS(uwmp_table_4_2_w!M$2:M$9900,uwmp_table_4_2_w!$G$2:$G$9900,"Saline water intrusion barrier",uwmp_table_4_2_w!$B$2:$B$9900,'Contractor Assumptions'!$F38),0) + IFERROR(SUMIFS(uwmp_table_4_2_r!M$2:M$9900,uwmp_table_4_2_r!$G$2:$G$9900,"Saline water intrusion barrier",uwmp_table_4_2_r!$B$2:$B$9900,'Contractor Assumptions'!$F38),0)
+ IFERROR(SUMIFS(uwmp_table_4_2_w!M$2:M$9900,uwmp_table_4_2_w!$G$2:$G$9900,"Groundwater recharge",uwmp_table_4_2_w!$B$2:$B$9900,'Contractor Assumptions'!$F38),0) + IFERROR(SUMIFS(uwmp_table_4_2_r!M$2:M$9900,uwmp_table_4_2_r!$G$2:$G$9900,"Groundwater recharge",uwmp_table_4_2_r!$B$2:$B$9900,'Contractor Assumptions'!$F38),0)
+ IFERROR(SUMIFS(uwmp_table_4_2_w!M$2:M$9900,uwmp_table_4_2_w!$G$2:$G$9900,"Retail demand for use by agencies that are primarily",uwmp_table_4_2_w!$B$2:$B$9900,'Contractor Assumptions'!$F38),0) + IFERROR(SUMIFS(uwmp_table_4_2_r!M$2:M$9900,uwmp_table_4_2_r!$G$2:$G$9900,"Retail demand for use by agencies that are primarily",uwmp_table_4_2_r!$B$2:$B$9900,'Contractor Assumptions'!$F38),0)
+ IFERROR(SUMIFS(uwmp_table_4_2_w!M$2:M$9900,uwmp_table_4_2_w!$G$2:$G$9900,"wholesalers with a small volume of retail sales",uwmp_table_4_2_w!$B$2:$B$9900,'Contractor Assumptions'!$F38),0) + IFERROR(SUMIFS(uwmp_table_4_2_r!M$2:M$9900,uwmp_table_4_2_r!$G$2:$G$9900,"wholesalers with a small volume of retail sales",uwmp_table_4_2_r!$B$2:$B$9900,'Contractor Assumptions'!$F38),0)
+ IFERROR(SUMIFS(uwmp_table_4_2_w!M$2:M$9900,uwmp_table_4_2_w!$G$2:$G$9900,"Sales to other agencies",uwmp_table_4_2_w!$B$2:$B$9900,'Contractor Assumptions'!$F38),0) + IFERROR(SUMIFS(uwmp_table_4_2_r!M$2:M$9900,uwmp_table_4_2_r!$G$2:$G$9900,"Sales to other agencies",uwmp_table_4_2_r!$B$2:$B$9900,'Contractor Assumptions'!$F38),0)
+ IFERROR(SUMIFS(uwmp_table_4_2_w!M$2:M$9900,uwmp_table_4_2_w!$G$2:$G$9900,"Exchanges to other agencies",uwmp_table_4_2_w!$B$2:$B$9900,'Contractor Assumptions'!$F38),0) + IFERROR(SUMIFS(uwmp_table_4_2_r!M$2:M$9900,uwmp_table_4_2_r!$G$2:$G$9900,"Exchanges to other agencies",uwmp_table_4_2_r!$B$2:$B$9900,'Contractor Assumptions'!$F38),0)
)*IFERROR(VLOOKUP(VLOOKUP('Contractor Assumptions'!$F38,uwmp_table_4_2_r!$B$2:$N$9900,13,FALSE),$A$11:$C$13,2,FALSE), VLOOKUP(VLOOKUP('Contractor Assumptions'!$F38,uwmp_table_4_2_w!$B$2:$N$9900,14,FALSE),$A$11:$C$13,2,FALSE))</f>
        <v>47567.761674999994</v>
      </c>
      <c r="I567" s="66"/>
      <c r="J567" s="70"/>
      <c r="K567" s="70"/>
      <c r="L567" s="70"/>
      <c r="M567" s="70"/>
      <c r="N567" s="70"/>
      <c r="O567" s="70"/>
      <c r="P567" s="70"/>
    </row>
    <row r="568" spans="1:16" hidden="1" outlineLevel="1" x14ac:dyDescent="0.3">
      <c r="A568" s="63" t="s">
        <v>1026</v>
      </c>
      <c r="B568" s="63" t="s">
        <v>940</v>
      </c>
      <c r="C568" s="63" t="str">
        <f t="shared" si="11"/>
        <v>Coachella Valley Water District</v>
      </c>
      <c r="D568" s="471" t="s">
        <v>204</v>
      </c>
      <c r="E568" s="471" t="s">
        <v>204</v>
      </c>
      <c r="F568" s="471" t="s">
        <v>204</v>
      </c>
      <c r="G568" s="471" t="s">
        <v>204</v>
      </c>
      <c r="H568" s="518" t="s">
        <v>204</v>
      </c>
      <c r="I568" s="66"/>
      <c r="J568" s="70"/>
      <c r="K568" s="70"/>
      <c r="L568" s="70"/>
      <c r="M568" s="70"/>
      <c r="N568" s="70"/>
      <c r="O568" s="70"/>
      <c r="P568" s="70"/>
    </row>
    <row r="569" spans="1:16" hidden="1" outlineLevel="1" x14ac:dyDescent="0.3">
      <c r="A569" s="63" t="s">
        <v>1026</v>
      </c>
      <c r="B569" s="63" t="s">
        <v>940</v>
      </c>
      <c r="C569" s="63" t="str">
        <f t="shared" si="11"/>
        <v>Crestline-Lake Arrowhead Water Agency</v>
      </c>
      <c r="D569" s="471" t="s">
        <v>204</v>
      </c>
      <c r="E569" s="471" t="s">
        <v>204</v>
      </c>
      <c r="F569" s="471" t="s">
        <v>204</v>
      </c>
      <c r="G569" s="471" t="s">
        <v>204</v>
      </c>
      <c r="H569" s="518" t="s">
        <v>204</v>
      </c>
      <c r="I569" s="66"/>
      <c r="J569" s="70"/>
      <c r="K569" s="70"/>
      <c r="L569" s="70"/>
      <c r="M569" s="70"/>
      <c r="N569" s="70"/>
      <c r="O569" s="70"/>
      <c r="P569" s="70"/>
    </row>
    <row r="570" spans="1:16" hidden="1" outlineLevel="1" x14ac:dyDescent="0.3">
      <c r="A570" s="63" t="s">
        <v>1026</v>
      </c>
      <c r="B570" s="63" t="s">
        <v>940</v>
      </c>
      <c r="C570" s="63" t="str">
        <f t="shared" si="11"/>
        <v>Desert Water Agency</v>
      </c>
      <c r="D570" s="471" t="s">
        <v>204</v>
      </c>
      <c r="E570" s="471" t="s">
        <v>204</v>
      </c>
      <c r="F570" s="471" t="s">
        <v>204</v>
      </c>
      <c r="G570" s="471" t="s">
        <v>204</v>
      </c>
      <c r="H570" s="518" t="s">
        <v>204</v>
      </c>
      <c r="I570" s="66"/>
      <c r="J570" s="70"/>
      <c r="K570" s="70"/>
      <c r="L570" s="70"/>
      <c r="M570" s="70"/>
      <c r="N570" s="70"/>
      <c r="O570" s="70"/>
      <c r="P570" s="70"/>
    </row>
    <row r="571" spans="1:16" hidden="1" outlineLevel="1" x14ac:dyDescent="0.3">
      <c r="A571" s="63" t="s">
        <v>1026</v>
      </c>
      <c r="B571" s="63" t="s">
        <v>940</v>
      </c>
      <c r="C571" s="63" t="str">
        <f t="shared" si="11"/>
        <v>Metropolitan Water District of Southern California</v>
      </c>
      <c r="D571" s="472">
        <f>'Met 2020 UWMP Demand Data'!D8+'Met 2020 UWMP Demand Data'!D9 + 'Met 2020 UWMP Demand Data'!M41 - 3000</f>
        <v>540000</v>
      </c>
      <c r="E571" s="472">
        <f>'Met 2020 UWMP Demand Data'!E8+'Met 2020 UWMP Demand Data'!E9 + 'Met 2020 UWMP Demand Data'!N41 + 4000</f>
        <v>558000</v>
      </c>
      <c r="F571" s="472">
        <f>'Met 2020 UWMP Demand Data'!F8+'Met 2020 UWMP Demand Data'!F9 + 'Met 2020 UWMP Demand Data'!O41 - 3000</f>
        <v>563000</v>
      </c>
      <c r="G571" s="472">
        <f>'Met 2020 UWMP Demand Data'!G8+'Met 2020 UWMP Demand Data'!G9 + 'Met 2020 UWMP Demand Data'!P41 - 8000</f>
        <v>563000</v>
      </c>
      <c r="H571" s="520">
        <f>'Met 2020 UWMP Demand Data'!H8+'Met 2020 UWMP Demand Data'!H9 + 'Met 2020 UWMP Demand Data'!Q41 - 11000</f>
        <v>564000</v>
      </c>
      <c r="I571" s="66" t="s">
        <v>1029</v>
      </c>
      <c r="J571" s="70"/>
      <c r="K571" s="70"/>
      <c r="L571" s="70"/>
      <c r="M571" s="70"/>
      <c r="N571" s="70"/>
      <c r="O571" s="70"/>
      <c r="P571" s="70"/>
    </row>
    <row r="572" spans="1:16" hidden="1" outlineLevel="1" x14ac:dyDescent="0.3">
      <c r="A572" s="63" t="s">
        <v>1026</v>
      </c>
      <c r="B572" s="63" t="s">
        <v>940</v>
      </c>
      <c r="C572" s="63" t="str">
        <f t="shared" si="11"/>
        <v>Mojave Water Agency</v>
      </c>
      <c r="D572" s="472">
        <v>22566.5</v>
      </c>
      <c r="E572" s="472">
        <v>27209.5</v>
      </c>
      <c r="F572" s="472">
        <v>27313.5</v>
      </c>
      <c r="G572" s="472">
        <v>27409.599999999999</v>
      </c>
      <c r="H572" s="520">
        <v>27534.6</v>
      </c>
      <c r="I572" s="66" t="s">
        <v>1017</v>
      </c>
      <c r="J572" s="70"/>
      <c r="K572" s="70"/>
      <c r="L572" s="70"/>
      <c r="M572" s="70"/>
      <c r="N572" s="70"/>
      <c r="O572" s="70"/>
      <c r="P572" s="70"/>
    </row>
    <row r="573" spans="1:16" hidden="1" outlineLevel="1" x14ac:dyDescent="0.3">
      <c r="A573" s="63" t="s">
        <v>1026</v>
      </c>
      <c r="B573" s="63" t="s">
        <v>940</v>
      </c>
      <c r="C573" s="63" t="str">
        <f t="shared" si="11"/>
        <v>Palmdale Water District &amp; Littlerock Creek Irrigation District</v>
      </c>
      <c r="D573" s="472">
        <f>(IFERROR(SUMIFS(uwmp_table_4_2_w!I$2:I$9900,uwmp_table_4_2_w!$G$2:$G$9900,"Losses",uwmp_table_4_2_w!$B$2:$B$9900,'Contractor Assumptions'!$F44),0) + IFERROR(SUMIFS(uwmp_table_4_2_r!I$2:I$9900,uwmp_table_4_2_r!$G$2:$G$9900,"Losses",uwmp_table_4_2_r!$B$2:$B$9900,'Contractor Assumptions'!$F44),0)
+ IFERROR(SUMIFS(uwmp_table_4_2_w!I$2:I$9900,uwmp_table_4_2_w!$G$2:$G$9900,"Other Potable",uwmp_table_4_2_w!$B$2:$B$9900,'Contractor Assumptions'!$F44),0) + IFERROR(SUMIFS(uwmp_table_4_2_r!I$2:I$9900,uwmp_table_4_2_r!$G$2:$G$9900,"Other Potable",uwmp_table_4_2_r!$B$2:$B$9900,'Contractor Assumptions'!$F44),0)
+ IFERROR(SUMIFS(uwmp_table_4_2_w!I$2:I$9900,uwmp_table_4_2_w!$G$2:$G$9900,"Other",uwmp_table_4_2_w!$B$2:$B$9900,'Contractor Assumptions'!$F44),0) + IFERROR(SUMIFS(uwmp_table_4_2_r!I$2:I$9900,uwmp_table_4_2_r!$G$2:$G$9900,"Other",uwmp_table_4_2_r!$B$2:$B$9900,'Contractor Assumptions'!$F44),0)
+ IFERROR(SUMIFS(uwmp_table_4_2_w!I$2:I$9900,uwmp_table_4_2_w!$G$2:$G$9900,"Sales/Transfers/Exchanges to other agencies",uwmp_table_4_2_w!$B$2:$B$9900,'Contractor Assumptions'!$F44),0) + IFERROR(SUMIFS(uwmp_table_4_2_r!I$2:I$9900,uwmp_table_4_2_r!$G$2:$G$9900,"Sales/Transfers/Exchanges to other agencies",uwmp_table_4_2_r!$B$2:$B$9900,'Contractor Assumptions'!$F44),0)
+ IFERROR(SUMIFS(uwmp_table_4_2_w!I$2:I$9900,uwmp_table_4_2_w!$G$2:$G$9900,"Other Non-Potable",uwmp_table_4_2_w!$B$2:$B$9900,'Contractor Assumptions'!$F44),0) + IFERROR(SUMIFS(uwmp_table_4_2_r!I$2:I$9900,uwmp_table_4_2_r!$G$2:$G$9900,"Other Non-Potable",uwmp_table_4_2_r!$B$2:$B$9900,'Contractor Assumptions'!$F44),0)
+ IFERROR(SUMIFS(uwmp_table_4_2_w!I$2:I$9900,uwmp_table_4_2_w!$G$2:$G$9900,"Wetlands or wildlife habitat",uwmp_table_4_2_w!$B$2:$B$9900,'Contractor Assumptions'!$F44),0) + IFERROR(SUMIFS(uwmp_table_4_2_r!I$2:I$9900,uwmp_table_4_2_r!$G$2:$G$9900,"Wetlands or wildlife habitat",uwmp_table_4_2_r!$B$2:$B$9900,'Contractor Assumptions'!$F44),0)
+ IFERROR(SUMIFS(uwmp_table_4_2_w!I$2:I$9900,uwmp_table_4_2_w!$G$2:$G$9900,"Saline water intrusion barrier",uwmp_table_4_2_w!$B$2:$B$9900,'Contractor Assumptions'!$F44),0) + IFERROR(SUMIFS(uwmp_table_4_2_r!I$2:I$9900,uwmp_table_4_2_r!$G$2:$G$9900,"Saline water intrusion barrier",uwmp_table_4_2_r!$B$2:$B$9900,'Contractor Assumptions'!$F44),0)
+ IFERROR(SUMIFS(uwmp_table_4_2_w!I$2:I$9900,uwmp_table_4_2_w!$G$2:$G$9900,"Groundwater recharge",uwmp_table_4_2_w!$B$2:$B$9900,'Contractor Assumptions'!$F44),0) + IFERROR(SUMIFS(uwmp_table_4_2_r!I$2:I$9900,uwmp_table_4_2_r!$G$2:$G$9900,"Groundwater recharge",uwmp_table_4_2_r!$B$2:$B$9900,'Contractor Assumptions'!$F44),0)
+ IFERROR(SUMIFS(uwmp_table_4_2_w!I$2:I$9900,uwmp_table_4_2_w!$G$2:$G$9900,"Retail demand for use by agencies that are primarily",uwmp_table_4_2_w!$B$2:$B$9900,'Contractor Assumptions'!$F44),0) + IFERROR(SUMIFS(uwmp_table_4_2_r!I$2:I$9900,uwmp_table_4_2_r!$G$2:$G$9900,"Retail demand for use by agencies that are primarily",uwmp_table_4_2_r!$B$2:$B$9900,'Contractor Assumptions'!$F44),0)
+ IFERROR(SUMIFS(uwmp_table_4_2_w!I$2:I$9900,uwmp_table_4_2_w!$G$2:$G$9900,"wholesalers with a small volume of retail sales",uwmp_table_4_2_w!$B$2:$B$9900,'Contractor Assumptions'!$F44),0) + IFERROR(SUMIFS(uwmp_table_4_2_r!I$2:I$9900,uwmp_table_4_2_r!$G$2:$G$9900,"wholesalers with a small volume of retail sales",uwmp_table_4_2_r!$B$2:$B$9900,'Contractor Assumptions'!$F44),0)
+ IFERROR(SUMIFS(uwmp_table_4_2_w!I$2:I$9900,uwmp_table_4_2_w!$G$2:$G$9900,"Sales to other agencies",uwmp_table_4_2_w!$B$2:$B$9900,'Contractor Assumptions'!$F44),0) + IFERROR(SUMIFS(uwmp_table_4_2_r!I$2:I$9900,uwmp_table_4_2_r!$G$2:$G$9900,"Sales to other agencies",uwmp_table_4_2_r!$B$2:$B$9900,'Contractor Assumptions'!$F44),0)
+ IFERROR(SUMIFS(uwmp_table_4_2_w!I$2:I$9900,uwmp_table_4_2_w!$G$2:$G$9900,"Exchanges to other agencies",uwmp_table_4_2_w!$B$2:$B$9900,'Contractor Assumptions'!$F44),0) + IFERROR(SUMIFS(uwmp_table_4_2_r!I$2:I$9900,uwmp_table_4_2_r!$G$2:$G$9900,"Exchanges to other agencies",uwmp_table_4_2_r!$B$2:$B$9900,'Contractor Assumptions'!$F44),0)
)*IFERROR(VLOOKUP(VLOOKUP('Contractor Assumptions'!$F44,uwmp_table_4_2_r!$B$2:$N$9900,13,FALSE),$A$11:$C$13,2,FALSE), VLOOKUP(VLOOKUP('Contractor Assumptions'!$F44,uwmp_table_4_2_w!$B$2:$N$9900,14,FALSE),$A$11:$C$13,2,FALSE))</f>
        <v>3240</v>
      </c>
      <c r="E573" s="472">
        <f>(IFERROR(SUMIFS(uwmp_table_4_2_w!J$2:J$9900,uwmp_table_4_2_w!$G$2:$G$9900,"Losses",uwmp_table_4_2_w!$B$2:$B$9900,'Contractor Assumptions'!$F44),0) + IFERROR(SUMIFS(uwmp_table_4_2_r!J$2:J$9900,uwmp_table_4_2_r!$G$2:$G$9900,"Losses",uwmp_table_4_2_r!$B$2:$B$9900,'Contractor Assumptions'!$F44),0)
+ IFERROR(SUMIFS(uwmp_table_4_2_w!J$2:J$9900,uwmp_table_4_2_w!$G$2:$G$9900,"Other Potable",uwmp_table_4_2_w!$B$2:$B$9900,'Contractor Assumptions'!$F44),0) + IFERROR(SUMIFS(uwmp_table_4_2_r!J$2:J$9900,uwmp_table_4_2_r!$G$2:$G$9900,"Other Potable",uwmp_table_4_2_r!$B$2:$B$9900,'Contractor Assumptions'!$F44),0)
+ IFERROR(SUMIFS(uwmp_table_4_2_w!J$2:J$9900,uwmp_table_4_2_w!$G$2:$G$9900,"Other",uwmp_table_4_2_w!$B$2:$B$9900,'Contractor Assumptions'!$F44),0) + IFERROR(SUMIFS(uwmp_table_4_2_r!J$2:J$9900,uwmp_table_4_2_r!$G$2:$G$9900,"Other",uwmp_table_4_2_r!$B$2:$B$9900,'Contractor Assumptions'!$F44),0)
+ IFERROR(SUMIFS(uwmp_table_4_2_w!J$2:J$9900,uwmp_table_4_2_w!$G$2:$G$9900,"Sales/Transfers/Exchanges to other agencies",uwmp_table_4_2_w!$B$2:$B$9900,'Contractor Assumptions'!$F44),0) + IFERROR(SUMIFS(uwmp_table_4_2_r!J$2:J$9900,uwmp_table_4_2_r!$G$2:$G$9900,"Sales/Transfers/Exchanges to other agencies",uwmp_table_4_2_r!$B$2:$B$9900,'Contractor Assumptions'!$F44),0)
+ IFERROR(SUMIFS(uwmp_table_4_2_w!J$2:J$9900,uwmp_table_4_2_w!$G$2:$G$9900,"Other Non-Potable",uwmp_table_4_2_w!$B$2:$B$9900,'Contractor Assumptions'!$F44),0) + IFERROR(SUMIFS(uwmp_table_4_2_r!J$2:J$9900,uwmp_table_4_2_r!$G$2:$G$9900,"Other Non-Potable",uwmp_table_4_2_r!$B$2:$B$9900,'Contractor Assumptions'!$F44),0)
+ IFERROR(SUMIFS(uwmp_table_4_2_w!J$2:J$9900,uwmp_table_4_2_w!$G$2:$G$9900,"Wetlands or wildlife habitat",uwmp_table_4_2_w!$B$2:$B$9900,'Contractor Assumptions'!$F44),0) + IFERROR(SUMIFS(uwmp_table_4_2_r!J$2:J$9900,uwmp_table_4_2_r!$G$2:$G$9900,"Wetlands or wildlife habitat",uwmp_table_4_2_r!$B$2:$B$9900,'Contractor Assumptions'!$F44),0)
+ IFERROR(SUMIFS(uwmp_table_4_2_w!J$2:J$9900,uwmp_table_4_2_w!$G$2:$G$9900,"Saline water intrusion barrier",uwmp_table_4_2_w!$B$2:$B$9900,'Contractor Assumptions'!$F44),0) + IFERROR(SUMIFS(uwmp_table_4_2_r!J$2:J$9900,uwmp_table_4_2_r!$G$2:$G$9900,"Saline water intrusion barrier",uwmp_table_4_2_r!$B$2:$B$9900,'Contractor Assumptions'!$F44),0)
+ IFERROR(SUMIFS(uwmp_table_4_2_w!J$2:J$9900,uwmp_table_4_2_w!$G$2:$G$9900,"Groundwater recharge",uwmp_table_4_2_w!$B$2:$B$9900,'Contractor Assumptions'!$F44),0) + IFERROR(SUMIFS(uwmp_table_4_2_r!J$2:J$9900,uwmp_table_4_2_r!$G$2:$G$9900,"Groundwater recharge",uwmp_table_4_2_r!$B$2:$B$9900,'Contractor Assumptions'!$F44),0)
+ IFERROR(SUMIFS(uwmp_table_4_2_w!J$2:J$9900,uwmp_table_4_2_w!$G$2:$G$9900,"Retail demand for use by agencies that are primarily",uwmp_table_4_2_w!$B$2:$B$9900,'Contractor Assumptions'!$F44),0) + IFERROR(SUMIFS(uwmp_table_4_2_r!J$2:J$9900,uwmp_table_4_2_r!$G$2:$G$9900,"Retail demand for use by agencies that are primarily",uwmp_table_4_2_r!$B$2:$B$9900,'Contractor Assumptions'!$F44),0)
+ IFERROR(SUMIFS(uwmp_table_4_2_w!J$2:J$9900,uwmp_table_4_2_w!$G$2:$G$9900,"wholesalers with a small volume of retail sales",uwmp_table_4_2_w!$B$2:$B$9900,'Contractor Assumptions'!$F44),0) + IFERROR(SUMIFS(uwmp_table_4_2_r!J$2:J$9900,uwmp_table_4_2_r!$G$2:$G$9900,"wholesalers with a small volume of retail sales",uwmp_table_4_2_r!$B$2:$B$9900,'Contractor Assumptions'!$F44),0)
+ IFERROR(SUMIFS(uwmp_table_4_2_w!J$2:J$9900,uwmp_table_4_2_w!$G$2:$G$9900,"Sales to other agencies",uwmp_table_4_2_w!$B$2:$B$9900,'Contractor Assumptions'!$F44),0) + IFERROR(SUMIFS(uwmp_table_4_2_r!J$2:J$9900,uwmp_table_4_2_r!$G$2:$G$9900,"Sales to other agencies",uwmp_table_4_2_r!$B$2:$B$9900,'Contractor Assumptions'!$F44),0)
+ IFERROR(SUMIFS(uwmp_table_4_2_w!J$2:J$9900,uwmp_table_4_2_w!$G$2:$G$9900,"Exchanges to other agencies",uwmp_table_4_2_w!$B$2:$B$9900,'Contractor Assumptions'!$F44),0) + IFERROR(SUMIFS(uwmp_table_4_2_r!J$2:J$9900,uwmp_table_4_2_r!$G$2:$G$9900,"Exchanges to other agencies",uwmp_table_4_2_r!$B$2:$B$9900,'Contractor Assumptions'!$F44),0)
)*IFERROR(VLOOKUP(VLOOKUP('Contractor Assumptions'!$F44,uwmp_table_4_2_r!$B$2:$N$9900,13,FALSE),$A$11:$C$13,2,FALSE), VLOOKUP(VLOOKUP('Contractor Assumptions'!$F44,uwmp_table_4_2_w!$B$2:$N$9900,14,FALSE),$A$11:$C$13,2,FALSE))</f>
        <v>3340</v>
      </c>
      <c r="F573" s="472">
        <f>(IFERROR(SUMIFS(uwmp_table_4_2_w!K$2:K$9900,uwmp_table_4_2_w!$G$2:$G$9900,"Losses",uwmp_table_4_2_w!$B$2:$B$9900,'Contractor Assumptions'!$F44),0) + IFERROR(SUMIFS(uwmp_table_4_2_r!K$2:K$9900,uwmp_table_4_2_r!$G$2:$G$9900,"Losses",uwmp_table_4_2_r!$B$2:$B$9900,'Contractor Assumptions'!$F44),0)
+ IFERROR(SUMIFS(uwmp_table_4_2_w!K$2:K$9900,uwmp_table_4_2_w!$G$2:$G$9900,"Other Potable",uwmp_table_4_2_w!$B$2:$B$9900,'Contractor Assumptions'!$F44),0) + IFERROR(SUMIFS(uwmp_table_4_2_r!K$2:K$9900,uwmp_table_4_2_r!$G$2:$G$9900,"Other Potable",uwmp_table_4_2_r!$B$2:$B$9900,'Contractor Assumptions'!$F44),0)
+ IFERROR(SUMIFS(uwmp_table_4_2_w!K$2:K$9900,uwmp_table_4_2_w!$G$2:$G$9900,"Other",uwmp_table_4_2_w!$B$2:$B$9900,'Contractor Assumptions'!$F44),0) + IFERROR(SUMIFS(uwmp_table_4_2_r!K$2:K$9900,uwmp_table_4_2_r!$G$2:$G$9900,"Other",uwmp_table_4_2_r!$B$2:$B$9900,'Contractor Assumptions'!$F44),0)
+ IFERROR(SUMIFS(uwmp_table_4_2_w!K$2:K$9900,uwmp_table_4_2_w!$G$2:$G$9900,"Sales/Transfers/Exchanges to other agencies",uwmp_table_4_2_w!$B$2:$B$9900,'Contractor Assumptions'!$F44),0) + IFERROR(SUMIFS(uwmp_table_4_2_r!K$2:K$9900,uwmp_table_4_2_r!$G$2:$G$9900,"Sales/Transfers/Exchanges to other agencies",uwmp_table_4_2_r!$B$2:$B$9900,'Contractor Assumptions'!$F44),0)
+ IFERROR(SUMIFS(uwmp_table_4_2_w!K$2:K$9900,uwmp_table_4_2_w!$G$2:$G$9900,"Other Non-Potable",uwmp_table_4_2_w!$B$2:$B$9900,'Contractor Assumptions'!$F44),0) + IFERROR(SUMIFS(uwmp_table_4_2_r!K$2:K$9900,uwmp_table_4_2_r!$G$2:$G$9900,"Other Non-Potable",uwmp_table_4_2_r!$B$2:$B$9900,'Contractor Assumptions'!$F44),0)
+ IFERROR(SUMIFS(uwmp_table_4_2_w!K$2:K$9900,uwmp_table_4_2_w!$G$2:$G$9900,"Wetlands or wildlife habitat",uwmp_table_4_2_w!$B$2:$B$9900,'Contractor Assumptions'!$F44),0) + IFERROR(SUMIFS(uwmp_table_4_2_r!K$2:K$9900,uwmp_table_4_2_r!$G$2:$G$9900,"Wetlands or wildlife habitat",uwmp_table_4_2_r!$B$2:$B$9900,'Contractor Assumptions'!$F44),0)
+ IFERROR(SUMIFS(uwmp_table_4_2_w!K$2:K$9900,uwmp_table_4_2_w!$G$2:$G$9900,"Saline water intrusion barrier",uwmp_table_4_2_w!$B$2:$B$9900,'Contractor Assumptions'!$F44),0) + IFERROR(SUMIFS(uwmp_table_4_2_r!K$2:K$9900,uwmp_table_4_2_r!$G$2:$G$9900,"Saline water intrusion barrier",uwmp_table_4_2_r!$B$2:$B$9900,'Contractor Assumptions'!$F44),0)
+ IFERROR(SUMIFS(uwmp_table_4_2_w!K$2:K$9900,uwmp_table_4_2_w!$G$2:$G$9900,"Groundwater recharge",uwmp_table_4_2_w!$B$2:$B$9900,'Contractor Assumptions'!$F44),0) + IFERROR(SUMIFS(uwmp_table_4_2_r!K$2:K$9900,uwmp_table_4_2_r!$G$2:$G$9900,"Groundwater recharge",uwmp_table_4_2_r!$B$2:$B$9900,'Contractor Assumptions'!$F44),0)
+ IFERROR(SUMIFS(uwmp_table_4_2_w!K$2:K$9900,uwmp_table_4_2_w!$G$2:$G$9900,"Retail demand for use by agencies that are primarily",uwmp_table_4_2_w!$B$2:$B$9900,'Contractor Assumptions'!$F44),0) + IFERROR(SUMIFS(uwmp_table_4_2_r!K$2:K$9900,uwmp_table_4_2_r!$G$2:$G$9900,"Retail demand for use by agencies that are primarily",uwmp_table_4_2_r!$B$2:$B$9900,'Contractor Assumptions'!$F44),0)
+ IFERROR(SUMIFS(uwmp_table_4_2_w!K$2:K$9900,uwmp_table_4_2_w!$G$2:$G$9900,"wholesalers with a small volume of retail sales",uwmp_table_4_2_w!$B$2:$B$9900,'Contractor Assumptions'!$F44),0) + IFERROR(SUMIFS(uwmp_table_4_2_r!K$2:K$9900,uwmp_table_4_2_r!$G$2:$G$9900,"wholesalers with a small volume of retail sales",uwmp_table_4_2_r!$B$2:$B$9900,'Contractor Assumptions'!$F44),0)
+ IFERROR(SUMIFS(uwmp_table_4_2_w!K$2:K$9900,uwmp_table_4_2_w!$G$2:$G$9900,"Sales to other agencies",uwmp_table_4_2_w!$B$2:$B$9900,'Contractor Assumptions'!$F44),0) + IFERROR(SUMIFS(uwmp_table_4_2_r!K$2:K$9900,uwmp_table_4_2_r!$G$2:$G$9900,"Sales to other agencies",uwmp_table_4_2_r!$B$2:$B$9900,'Contractor Assumptions'!$F44),0)
+ IFERROR(SUMIFS(uwmp_table_4_2_w!K$2:K$9900,uwmp_table_4_2_w!$G$2:$G$9900,"Exchanges to other agencies",uwmp_table_4_2_w!$B$2:$B$9900,'Contractor Assumptions'!$F44),0) + IFERROR(SUMIFS(uwmp_table_4_2_r!K$2:K$9900,uwmp_table_4_2_r!$G$2:$G$9900,"Exchanges to other agencies",uwmp_table_4_2_r!$B$2:$B$9900,'Contractor Assumptions'!$F44),0)
)*IFERROR(VLOOKUP(VLOOKUP('Contractor Assumptions'!$F44,uwmp_table_4_2_r!$B$2:$N$9900,13,FALSE),$A$11:$C$13,2,FALSE), VLOOKUP(VLOOKUP('Contractor Assumptions'!$F44,uwmp_table_4_2_w!$B$2:$N$9900,14,FALSE),$A$11:$C$13,2,FALSE))</f>
        <v>3440</v>
      </c>
      <c r="G573" s="472">
        <f>(IFERROR(SUMIFS(uwmp_table_4_2_w!L$2:L$9900,uwmp_table_4_2_w!$G$2:$G$9900,"Losses",uwmp_table_4_2_w!$B$2:$B$9900,'Contractor Assumptions'!$F44),0) + IFERROR(SUMIFS(uwmp_table_4_2_r!L$2:L$9900,uwmp_table_4_2_r!$G$2:$G$9900,"Losses",uwmp_table_4_2_r!$B$2:$B$9900,'Contractor Assumptions'!$F44),0)
+ IFERROR(SUMIFS(uwmp_table_4_2_w!L$2:L$9900,uwmp_table_4_2_w!$G$2:$G$9900,"Other Potable",uwmp_table_4_2_w!$B$2:$B$9900,'Contractor Assumptions'!$F44),0) + IFERROR(SUMIFS(uwmp_table_4_2_r!L$2:L$9900,uwmp_table_4_2_r!$G$2:$G$9900,"Other Potable",uwmp_table_4_2_r!$B$2:$B$9900,'Contractor Assumptions'!$F44),0)
+ IFERROR(SUMIFS(uwmp_table_4_2_w!L$2:L$9900,uwmp_table_4_2_w!$G$2:$G$9900,"Other",uwmp_table_4_2_w!$B$2:$B$9900,'Contractor Assumptions'!$F44),0) + IFERROR(SUMIFS(uwmp_table_4_2_r!L$2:L$9900,uwmp_table_4_2_r!$G$2:$G$9900,"Other",uwmp_table_4_2_r!$B$2:$B$9900,'Contractor Assumptions'!$F44),0)
+ IFERROR(SUMIFS(uwmp_table_4_2_w!L$2:L$9900,uwmp_table_4_2_w!$G$2:$G$9900,"Sales/Transfers/Exchanges to other agencies",uwmp_table_4_2_w!$B$2:$B$9900,'Contractor Assumptions'!$F44),0) + IFERROR(SUMIFS(uwmp_table_4_2_r!L$2:L$9900,uwmp_table_4_2_r!$G$2:$G$9900,"Sales/Transfers/Exchanges to other agencies",uwmp_table_4_2_r!$B$2:$B$9900,'Contractor Assumptions'!$F44),0)
+ IFERROR(SUMIFS(uwmp_table_4_2_w!L$2:L$9900,uwmp_table_4_2_w!$G$2:$G$9900,"Other Non-Potable",uwmp_table_4_2_w!$B$2:$B$9900,'Contractor Assumptions'!$F44),0) + IFERROR(SUMIFS(uwmp_table_4_2_r!L$2:L$9900,uwmp_table_4_2_r!$G$2:$G$9900,"Other Non-Potable",uwmp_table_4_2_r!$B$2:$B$9900,'Contractor Assumptions'!$F44),0)
+ IFERROR(SUMIFS(uwmp_table_4_2_w!L$2:L$9900,uwmp_table_4_2_w!$G$2:$G$9900,"Wetlands or wildlife habitat",uwmp_table_4_2_w!$B$2:$B$9900,'Contractor Assumptions'!$F44),0) + IFERROR(SUMIFS(uwmp_table_4_2_r!L$2:L$9900,uwmp_table_4_2_r!$G$2:$G$9900,"Wetlands or wildlife habitat",uwmp_table_4_2_r!$B$2:$B$9900,'Contractor Assumptions'!$F44),0)
+ IFERROR(SUMIFS(uwmp_table_4_2_w!L$2:L$9900,uwmp_table_4_2_w!$G$2:$G$9900,"Saline water intrusion barrier",uwmp_table_4_2_w!$B$2:$B$9900,'Contractor Assumptions'!$F44),0) + IFERROR(SUMIFS(uwmp_table_4_2_r!L$2:L$9900,uwmp_table_4_2_r!$G$2:$G$9900,"Saline water intrusion barrier",uwmp_table_4_2_r!$B$2:$B$9900,'Contractor Assumptions'!$F44),0)
+ IFERROR(SUMIFS(uwmp_table_4_2_w!L$2:L$9900,uwmp_table_4_2_w!$G$2:$G$9900,"Groundwater recharge",uwmp_table_4_2_w!$B$2:$B$9900,'Contractor Assumptions'!$F44),0) + IFERROR(SUMIFS(uwmp_table_4_2_r!L$2:L$9900,uwmp_table_4_2_r!$G$2:$G$9900,"Groundwater recharge",uwmp_table_4_2_r!$B$2:$B$9900,'Contractor Assumptions'!$F44),0)
+ IFERROR(SUMIFS(uwmp_table_4_2_w!L$2:L$9900,uwmp_table_4_2_w!$G$2:$G$9900,"Retail demand for use by agencies that are primarily",uwmp_table_4_2_w!$B$2:$B$9900,'Contractor Assumptions'!$F44),0) + IFERROR(SUMIFS(uwmp_table_4_2_r!L$2:L$9900,uwmp_table_4_2_r!$G$2:$G$9900,"Retail demand for use by agencies that are primarily",uwmp_table_4_2_r!$B$2:$B$9900,'Contractor Assumptions'!$F44),0)
+ IFERROR(SUMIFS(uwmp_table_4_2_w!L$2:L$9900,uwmp_table_4_2_w!$G$2:$G$9900,"wholesalers with a small volume of retail sales",uwmp_table_4_2_w!$B$2:$B$9900,'Contractor Assumptions'!$F44),0) + IFERROR(SUMIFS(uwmp_table_4_2_r!L$2:L$9900,uwmp_table_4_2_r!$G$2:$G$9900,"wholesalers with a small volume of retail sales",uwmp_table_4_2_r!$B$2:$B$9900,'Contractor Assumptions'!$F44),0)
+ IFERROR(SUMIFS(uwmp_table_4_2_w!L$2:L$9900,uwmp_table_4_2_w!$G$2:$G$9900,"Sales to other agencies",uwmp_table_4_2_w!$B$2:$B$9900,'Contractor Assumptions'!$F44),0) + IFERROR(SUMIFS(uwmp_table_4_2_r!L$2:L$9900,uwmp_table_4_2_r!$G$2:$G$9900,"Sales to other agencies",uwmp_table_4_2_r!$B$2:$B$9900,'Contractor Assumptions'!$F44),0)
+ IFERROR(SUMIFS(uwmp_table_4_2_w!L$2:L$9900,uwmp_table_4_2_w!$G$2:$G$9900,"Exchanges to other agencies",uwmp_table_4_2_w!$B$2:$B$9900,'Contractor Assumptions'!$F44),0) + IFERROR(SUMIFS(uwmp_table_4_2_r!L$2:L$9900,uwmp_table_4_2_r!$G$2:$G$9900,"Exchanges to other agencies",uwmp_table_4_2_r!$B$2:$B$9900,'Contractor Assumptions'!$F44),0)
)*IFERROR(VLOOKUP(VLOOKUP('Contractor Assumptions'!$F44,uwmp_table_4_2_r!$B$2:$N$9900,13,FALSE),$A$11:$C$13,2,FALSE), VLOOKUP(VLOOKUP('Contractor Assumptions'!$F44,uwmp_table_4_2_w!$B$2:$N$9900,14,FALSE),$A$11:$C$13,2,FALSE))</f>
        <v>3540</v>
      </c>
      <c r="H573" s="520">
        <f>(IFERROR(SUMIFS(uwmp_table_4_2_w!M$2:M$9900,uwmp_table_4_2_w!$G$2:$G$9900,"Losses",uwmp_table_4_2_w!$B$2:$B$9900,'Contractor Assumptions'!$F44),0) + IFERROR(SUMIFS(uwmp_table_4_2_r!M$2:M$9900,uwmp_table_4_2_r!$G$2:$G$9900,"Losses",uwmp_table_4_2_r!$B$2:$B$9900,'Contractor Assumptions'!$F44),0)
+ IFERROR(SUMIFS(uwmp_table_4_2_w!M$2:M$9900,uwmp_table_4_2_w!$G$2:$G$9900,"Other Potable",uwmp_table_4_2_w!$B$2:$B$9900,'Contractor Assumptions'!$F44),0) + IFERROR(SUMIFS(uwmp_table_4_2_r!M$2:M$9900,uwmp_table_4_2_r!$G$2:$G$9900,"Other Potable",uwmp_table_4_2_r!$B$2:$B$9900,'Contractor Assumptions'!$F44),0)
+ IFERROR(SUMIFS(uwmp_table_4_2_w!M$2:M$9900,uwmp_table_4_2_w!$G$2:$G$9900,"Other",uwmp_table_4_2_w!$B$2:$B$9900,'Contractor Assumptions'!$F44),0) + IFERROR(SUMIFS(uwmp_table_4_2_r!M$2:M$9900,uwmp_table_4_2_r!$G$2:$G$9900,"Other",uwmp_table_4_2_r!$B$2:$B$9900,'Contractor Assumptions'!$F44),0)
+ IFERROR(SUMIFS(uwmp_table_4_2_w!M$2:M$9900,uwmp_table_4_2_w!$G$2:$G$9900,"Sales/Transfers/Exchanges to other agencies",uwmp_table_4_2_w!$B$2:$B$9900,'Contractor Assumptions'!$F44),0) + IFERROR(SUMIFS(uwmp_table_4_2_r!M$2:M$9900,uwmp_table_4_2_r!$G$2:$G$9900,"Sales/Transfers/Exchanges to other agencies",uwmp_table_4_2_r!$B$2:$B$9900,'Contractor Assumptions'!$F44),0)
+ IFERROR(SUMIFS(uwmp_table_4_2_w!M$2:M$9900,uwmp_table_4_2_w!$G$2:$G$9900,"Other Non-Potable",uwmp_table_4_2_w!$B$2:$B$9900,'Contractor Assumptions'!$F44),0) + IFERROR(SUMIFS(uwmp_table_4_2_r!M$2:M$9900,uwmp_table_4_2_r!$G$2:$G$9900,"Other Non-Potable",uwmp_table_4_2_r!$B$2:$B$9900,'Contractor Assumptions'!$F44),0)
+ IFERROR(SUMIFS(uwmp_table_4_2_w!M$2:M$9900,uwmp_table_4_2_w!$G$2:$G$9900,"Wetlands or wildlife habitat",uwmp_table_4_2_w!$B$2:$B$9900,'Contractor Assumptions'!$F44),0) + IFERROR(SUMIFS(uwmp_table_4_2_r!M$2:M$9900,uwmp_table_4_2_r!$G$2:$G$9900,"Wetlands or wildlife habitat",uwmp_table_4_2_r!$B$2:$B$9900,'Contractor Assumptions'!$F44),0)
+ IFERROR(SUMIFS(uwmp_table_4_2_w!M$2:M$9900,uwmp_table_4_2_w!$G$2:$G$9900,"Saline water intrusion barrier",uwmp_table_4_2_w!$B$2:$B$9900,'Contractor Assumptions'!$F44),0) + IFERROR(SUMIFS(uwmp_table_4_2_r!M$2:M$9900,uwmp_table_4_2_r!$G$2:$G$9900,"Saline water intrusion barrier",uwmp_table_4_2_r!$B$2:$B$9900,'Contractor Assumptions'!$F44),0)
+ IFERROR(SUMIFS(uwmp_table_4_2_w!M$2:M$9900,uwmp_table_4_2_w!$G$2:$G$9900,"Groundwater recharge",uwmp_table_4_2_w!$B$2:$B$9900,'Contractor Assumptions'!$F44),0) + IFERROR(SUMIFS(uwmp_table_4_2_r!M$2:M$9900,uwmp_table_4_2_r!$G$2:$G$9900,"Groundwater recharge",uwmp_table_4_2_r!$B$2:$B$9900,'Contractor Assumptions'!$F44),0)
+ IFERROR(SUMIFS(uwmp_table_4_2_w!M$2:M$9900,uwmp_table_4_2_w!$G$2:$G$9900,"Retail demand for use by agencies that are primarily",uwmp_table_4_2_w!$B$2:$B$9900,'Contractor Assumptions'!$F44),0) + IFERROR(SUMIFS(uwmp_table_4_2_r!M$2:M$9900,uwmp_table_4_2_r!$G$2:$G$9900,"Retail demand for use by agencies that are primarily",uwmp_table_4_2_r!$B$2:$B$9900,'Contractor Assumptions'!$F44),0)
+ IFERROR(SUMIFS(uwmp_table_4_2_w!M$2:M$9900,uwmp_table_4_2_w!$G$2:$G$9900,"wholesalers with a small volume of retail sales",uwmp_table_4_2_w!$B$2:$B$9900,'Contractor Assumptions'!$F44),0) + IFERROR(SUMIFS(uwmp_table_4_2_r!M$2:M$9900,uwmp_table_4_2_r!$G$2:$G$9900,"wholesalers with a small volume of retail sales",uwmp_table_4_2_r!$B$2:$B$9900,'Contractor Assumptions'!$F44),0)
+ IFERROR(SUMIFS(uwmp_table_4_2_w!M$2:M$9900,uwmp_table_4_2_w!$G$2:$G$9900,"Sales to other agencies",uwmp_table_4_2_w!$B$2:$B$9900,'Contractor Assumptions'!$F44),0) + IFERROR(SUMIFS(uwmp_table_4_2_r!M$2:M$9900,uwmp_table_4_2_r!$G$2:$G$9900,"Sales to other agencies",uwmp_table_4_2_r!$B$2:$B$9900,'Contractor Assumptions'!$F44),0)
+ IFERROR(SUMIFS(uwmp_table_4_2_w!M$2:M$9900,uwmp_table_4_2_w!$G$2:$G$9900,"Exchanges to other agencies",uwmp_table_4_2_w!$B$2:$B$9900,'Contractor Assumptions'!$F44),0) + IFERROR(SUMIFS(uwmp_table_4_2_r!M$2:M$9900,uwmp_table_4_2_r!$G$2:$G$9900,"Exchanges to other agencies",uwmp_table_4_2_r!$B$2:$B$9900,'Contractor Assumptions'!$F44),0)
)*IFERROR(VLOOKUP(VLOOKUP('Contractor Assumptions'!$F44,uwmp_table_4_2_r!$B$2:$N$9900,13,FALSE),$A$11:$C$13,2,FALSE), VLOOKUP(VLOOKUP('Contractor Assumptions'!$F44,uwmp_table_4_2_w!$B$2:$N$9900,14,FALSE),$A$11:$C$13,2,FALSE))</f>
        <v>3740</v>
      </c>
      <c r="I573" s="66"/>
      <c r="J573" s="70"/>
      <c r="K573" s="70"/>
      <c r="L573" s="70"/>
      <c r="M573" s="70"/>
      <c r="N573" s="70"/>
      <c r="O573" s="70"/>
      <c r="P573" s="70"/>
    </row>
    <row r="574" spans="1:16" hidden="1" outlineLevel="1" x14ac:dyDescent="0.3">
      <c r="A574" s="63" t="s">
        <v>1026</v>
      </c>
      <c r="B574" s="63" t="s">
        <v>940</v>
      </c>
      <c r="C574" s="63" t="str">
        <f t="shared" si="11"/>
        <v>San Bernardino Valley Municipal Water District</v>
      </c>
      <c r="D574" s="472">
        <f>(IFERROR(SUMIFS(uwmp_table_4_2_w!I$2:I$9900,uwmp_table_4_2_w!$G$2:$G$9900,"Losses",uwmp_table_4_2_w!$B$2:$B$9900,'Contractor Assumptions'!$F45),0) + IFERROR(SUMIFS(uwmp_table_4_2_r!I$2:I$9900,uwmp_table_4_2_r!$G$2:$G$9900,"Losses",uwmp_table_4_2_r!$B$2:$B$9900,'Contractor Assumptions'!$F45),0)
+ IFERROR(SUMIFS(uwmp_table_4_2_w!I$2:I$9900,uwmp_table_4_2_w!$G$2:$G$9900,"Other Potable",uwmp_table_4_2_w!$B$2:$B$9900,'Contractor Assumptions'!$F45),0) + IFERROR(SUMIFS(uwmp_table_4_2_r!I$2:I$9900,uwmp_table_4_2_r!$G$2:$G$9900,"Other Potable",uwmp_table_4_2_r!$B$2:$B$9900,'Contractor Assumptions'!$F45),0)
+ IFERROR(SUMIFS(uwmp_table_4_2_w!I$2:I$9900,uwmp_table_4_2_w!$G$2:$G$9900,"Other",uwmp_table_4_2_w!$B$2:$B$9900,'Contractor Assumptions'!$F45),0) + IFERROR(SUMIFS(uwmp_table_4_2_r!I$2:I$9900,uwmp_table_4_2_r!$G$2:$G$9900,"Other",uwmp_table_4_2_r!$B$2:$B$9900,'Contractor Assumptions'!$F45),0)
+ IFERROR(SUMIFS(uwmp_table_4_2_w!I$2:I$9900,uwmp_table_4_2_w!$G$2:$G$9900,"Sales/Transfers/Exchanges to other agencies",uwmp_table_4_2_w!$B$2:$B$9900,'Contractor Assumptions'!$F45),0) + IFERROR(SUMIFS(uwmp_table_4_2_r!I$2:I$9900,uwmp_table_4_2_r!$G$2:$G$9900,"Sales/Transfers/Exchanges to other agencies",uwmp_table_4_2_r!$B$2:$B$9900,'Contractor Assumptions'!$F45),0)
+ IFERROR(SUMIFS(uwmp_table_4_2_w!I$2:I$9900,uwmp_table_4_2_w!$G$2:$G$9900,"Other Non-Potable",uwmp_table_4_2_w!$B$2:$B$9900,'Contractor Assumptions'!$F45),0) + IFERROR(SUMIFS(uwmp_table_4_2_r!I$2:I$9900,uwmp_table_4_2_r!$G$2:$G$9900,"Other Non-Potable",uwmp_table_4_2_r!$B$2:$B$9900,'Contractor Assumptions'!$F45),0)
+ IFERROR(SUMIFS(uwmp_table_4_2_w!I$2:I$9900,uwmp_table_4_2_w!$G$2:$G$9900,"Wetlands or wildlife habitat",uwmp_table_4_2_w!$B$2:$B$9900,'Contractor Assumptions'!$F45),0) + IFERROR(SUMIFS(uwmp_table_4_2_r!I$2:I$9900,uwmp_table_4_2_r!$G$2:$G$9900,"Wetlands or wildlife habitat",uwmp_table_4_2_r!$B$2:$B$9900,'Contractor Assumptions'!$F45),0)
+ IFERROR(SUMIFS(uwmp_table_4_2_w!I$2:I$9900,uwmp_table_4_2_w!$G$2:$G$9900,"Saline water intrusion barrier",uwmp_table_4_2_w!$B$2:$B$9900,'Contractor Assumptions'!$F45),0) + IFERROR(SUMIFS(uwmp_table_4_2_r!I$2:I$9900,uwmp_table_4_2_r!$G$2:$G$9900,"Saline water intrusion barrier",uwmp_table_4_2_r!$B$2:$B$9900,'Contractor Assumptions'!$F45),0)
+ IFERROR(SUMIFS(uwmp_table_4_2_w!I$2:I$9900,uwmp_table_4_2_w!$G$2:$G$9900,"Groundwater recharge",uwmp_table_4_2_w!$B$2:$B$9900,'Contractor Assumptions'!$F45),0) + IFERROR(SUMIFS(uwmp_table_4_2_r!I$2:I$9900,uwmp_table_4_2_r!$G$2:$G$9900,"Groundwater recharge",uwmp_table_4_2_r!$B$2:$B$9900,'Contractor Assumptions'!$F45),0)
+ IFERROR(SUMIFS(uwmp_table_4_2_w!I$2:I$9900,uwmp_table_4_2_w!$G$2:$G$9900,"Retail demand for use by agencies that are primarily",uwmp_table_4_2_w!$B$2:$B$9900,'Contractor Assumptions'!$F45),0) + IFERROR(SUMIFS(uwmp_table_4_2_r!I$2:I$9900,uwmp_table_4_2_r!$G$2:$G$9900,"Retail demand for use by agencies that are primarily",uwmp_table_4_2_r!$B$2:$B$9900,'Contractor Assumptions'!$F45),0)
+ IFERROR(SUMIFS(uwmp_table_4_2_w!I$2:I$9900,uwmp_table_4_2_w!$G$2:$G$9900,"wholesalers with a small volume of retail sales",uwmp_table_4_2_w!$B$2:$B$9900,'Contractor Assumptions'!$F45),0) + IFERROR(SUMIFS(uwmp_table_4_2_r!I$2:I$9900,uwmp_table_4_2_r!$G$2:$G$9900,"wholesalers with a small volume of retail sales",uwmp_table_4_2_r!$B$2:$B$9900,'Contractor Assumptions'!$F45),0)
+ IFERROR(SUMIFS(uwmp_table_4_2_w!I$2:I$9900,uwmp_table_4_2_w!$G$2:$G$9900,"Sales to other agencies",uwmp_table_4_2_w!$B$2:$B$9900,'Contractor Assumptions'!$F45),0) + IFERROR(SUMIFS(uwmp_table_4_2_r!I$2:I$9900,uwmp_table_4_2_r!$G$2:$G$9900,"Sales to other agencies",uwmp_table_4_2_r!$B$2:$B$9900,'Contractor Assumptions'!$F45),0)
+ IFERROR(SUMIFS(uwmp_table_4_2_w!I$2:I$9900,uwmp_table_4_2_w!$G$2:$G$9900,"Exchanges to other agencies",uwmp_table_4_2_w!$B$2:$B$9900,'Contractor Assumptions'!$F45),0) + IFERROR(SUMIFS(uwmp_table_4_2_r!I$2:I$9900,uwmp_table_4_2_r!$G$2:$G$9900,"Exchanges to other agencies",uwmp_table_4_2_r!$B$2:$B$9900,'Contractor Assumptions'!$F45),0)
)</f>
        <v>59508</v>
      </c>
      <c r="E574" s="472">
        <f>(IFERROR(SUMIFS(uwmp_table_4_2_w!J$2:J$9900,uwmp_table_4_2_w!$G$2:$G$9900,"Losses",uwmp_table_4_2_w!$B$2:$B$9900,'Contractor Assumptions'!$F45),0) + IFERROR(SUMIFS(uwmp_table_4_2_r!J$2:J$9900,uwmp_table_4_2_r!$G$2:$G$9900,"Losses",uwmp_table_4_2_r!$B$2:$B$9900,'Contractor Assumptions'!$F45),0)
+ IFERROR(SUMIFS(uwmp_table_4_2_w!J$2:J$9900,uwmp_table_4_2_w!$G$2:$G$9900,"Other Potable",uwmp_table_4_2_w!$B$2:$B$9900,'Contractor Assumptions'!$F45),0) + IFERROR(SUMIFS(uwmp_table_4_2_r!J$2:J$9900,uwmp_table_4_2_r!$G$2:$G$9900,"Other Potable",uwmp_table_4_2_r!$B$2:$B$9900,'Contractor Assumptions'!$F45),0)
+ IFERROR(SUMIFS(uwmp_table_4_2_w!J$2:J$9900,uwmp_table_4_2_w!$G$2:$G$9900,"Other",uwmp_table_4_2_w!$B$2:$B$9900,'Contractor Assumptions'!$F45),0) + IFERROR(SUMIFS(uwmp_table_4_2_r!J$2:J$9900,uwmp_table_4_2_r!$G$2:$G$9900,"Other",uwmp_table_4_2_r!$B$2:$B$9900,'Contractor Assumptions'!$F45),0)
+ IFERROR(SUMIFS(uwmp_table_4_2_w!J$2:J$9900,uwmp_table_4_2_w!$G$2:$G$9900,"Sales/Transfers/Exchanges to other agencies",uwmp_table_4_2_w!$B$2:$B$9900,'Contractor Assumptions'!$F45),0) + IFERROR(SUMIFS(uwmp_table_4_2_r!J$2:J$9900,uwmp_table_4_2_r!$G$2:$G$9900,"Sales/Transfers/Exchanges to other agencies",uwmp_table_4_2_r!$B$2:$B$9900,'Contractor Assumptions'!$F45),0)
+ IFERROR(SUMIFS(uwmp_table_4_2_w!J$2:J$9900,uwmp_table_4_2_w!$G$2:$G$9900,"Other Non-Potable",uwmp_table_4_2_w!$B$2:$B$9900,'Contractor Assumptions'!$F45),0) + IFERROR(SUMIFS(uwmp_table_4_2_r!J$2:J$9900,uwmp_table_4_2_r!$G$2:$G$9900,"Other Non-Potable",uwmp_table_4_2_r!$B$2:$B$9900,'Contractor Assumptions'!$F45),0)
+ IFERROR(SUMIFS(uwmp_table_4_2_w!J$2:J$9900,uwmp_table_4_2_w!$G$2:$G$9900,"Wetlands or wildlife habitat",uwmp_table_4_2_w!$B$2:$B$9900,'Contractor Assumptions'!$F45),0) + IFERROR(SUMIFS(uwmp_table_4_2_r!J$2:J$9900,uwmp_table_4_2_r!$G$2:$G$9900,"Wetlands or wildlife habitat",uwmp_table_4_2_r!$B$2:$B$9900,'Contractor Assumptions'!$F45),0)
+ IFERROR(SUMIFS(uwmp_table_4_2_w!J$2:J$9900,uwmp_table_4_2_w!$G$2:$G$9900,"Saline water intrusion barrier",uwmp_table_4_2_w!$B$2:$B$9900,'Contractor Assumptions'!$F45),0) + IFERROR(SUMIFS(uwmp_table_4_2_r!J$2:J$9900,uwmp_table_4_2_r!$G$2:$G$9900,"Saline water intrusion barrier",uwmp_table_4_2_r!$B$2:$B$9900,'Contractor Assumptions'!$F45),0)
+ IFERROR(SUMIFS(uwmp_table_4_2_w!J$2:J$9900,uwmp_table_4_2_w!$G$2:$G$9900,"Groundwater recharge",uwmp_table_4_2_w!$B$2:$B$9900,'Contractor Assumptions'!$F45),0) + IFERROR(SUMIFS(uwmp_table_4_2_r!J$2:J$9900,uwmp_table_4_2_r!$G$2:$G$9900,"Groundwater recharge",uwmp_table_4_2_r!$B$2:$B$9900,'Contractor Assumptions'!$F45),0)
+ IFERROR(SUMIFS(uwmp_table_4_2_w!J$2:J$9900,uwmp_table_4_2_w!$G$2:$G$9900,"Retail demand for use by agencies that are primarily",uwmp_table_4_2_w!$B$2:$B$9900,'Contractor Assumptions'!$F45),0) + IFERROR(SUMIFS(uwmp_table_4_2_r!J$2:J$9900,uwmp_table_4_2_r!$G$2:$G$9900,"Retail demand for use by agencies that are primarily",uwmp_table_4_2_r!$B$2:$B$9900,'Contractor Assumptions'!$F45),0)
+ IFERROR(SUMIFS(uwmp_table_4_2_w!J$2:J$9900,uwmp_table_4_2_w!$G$2:$G$9900,"wholesalers with a small volume of retail sales",uwmp_table_4_2_w!$B$2:$B$9900,'Contractor Assumptions'!$F45),0) + IFERROR(SUMIFS(uwmp_table_4_2_r!J$2:J$9900,uwmp_table_4_2_r!$G$2:$G$9900,"wholesalers with a small volume of retail sales",uwmp_table_4_2_r!$B$2:$B$9900,'Contractor Assumptions'!$F45),0)
+ IFERROR(SUMIFS(uwmp_table_4_2_w!J$2:J$9900,uwmp_table_4_2_w!$G$2:$G$9900,"Sales to other agencies",uwmp_table_4_2_w!$B$2:$B$9900,'Contractor Assumptions'!$F45),0) + IFERROR(SUMIFS(uwmp_table_4_2_r!J$2:J$9900,uwmp_table_4_2_r!$G$2:$G$9900,"Sales to other agencies",uwmp_table_4_2_r!$B$2:$B$9900,'Contractor Assumptions'!$F45),0)
+ IFERROR(SUMIFS(uwmp_table_4_2_w!J$2:J$9900,uwmp_table_4_2_w!$G$2:$G$9900,"Exchanges to other agencies",uwmp_table_4_2_w!$B$2:$B$9900,'Contractor Assumptions'!$F45),0) + IFERROR(SUMIFS(uwmp_table_4_2_r!J$2:J$9900,uwmp_table_4_2_r!$G$2:$G$9900,"Exchanges to other agencies",uwmp_table_4_2_r!$B$2:$B$9900,'Contractor Assumptions'!$F45),0)
)</f>
        <v>59508</v>
      </c>
      <c r="F574" s="472">
        <f>(IFERROR(SUMIFS(uwmp_table_4_2_w!K$2:K$9900,uwmp_table_4_2_w!$G$2:$G$9900,"Losses",uwmp_table_4_2_w!$B$2:$B$9900,'Contractor Assumptions'!$F45),0) + IFERROR(SUMIFS(uwmp_table_4_2_r!K$2:K$9900,uwmp_table_4_2_r!$G$2:$G$9900,"Losses",uwmp_table_4_2_r!$B$2:$B$9900,'Contractor Assumptions'!$F45),0)
+ IFERROR(SUMIFS(uwmp_table_4_2_w!K$2:K$9900,uwmp_table_4_2_w!$G$2:$G$9900,"Other Potable",uwmp_table_4_2_w!$B$2:$B$9900,'Contractor Assumptions'!$F45),0) + IFERROR(SUMIFS(uwmp_table_4_2_r!K$2:K$9900,uwmp_table_4_2_r!$G$2:$G$9900,"Other Potable",uwmp_table_4_2_r!$B$2:$B$9900,'Contractor Assumptions'!$F45),0)
+ IFERROR(SUMIFS(uwmp_table_4_2_w!K$2:K$9900,uwmp_table_4_2_w!$G$2:$G$9900,"Other",uwmp_table_4_2_w!$B$2:$B$9900,'Contractor Assumptions'!$F45),0) + IFERROR(SUMIFS(uwmp_table_4_2_r!K$2:K$9900,uwmp_table_4_2_r!$G$2:$G$9900,"Other",uwmp_table_4_2_r!$B$2:$B$9900,'Contractor Assumptions'!$F45),0)
+ IFERROR(SUMIFS(uwmp_table_4_2_w!K$2:K$9900,uwmp_table_4_2_w!$G$2:$G$9900,"Sales/Transfers/Exchanges to other agencies",uwmp_table_4_2_w!$B$2:$B$9900,'Contractor Assumptions'!$F45),0) + IFERROR(SUMIFS(uwmp_table_4_2_r!K$2:K$9900,uwmp_table_4_2_r!$G$2:$G$9900,"Sales/Transfers/Exchanges to other agencies",uwmp_table_4_2_r!$B$2:$B$9900,'Contractor Assumptions'!$F45),0)
+ IFERROR(SUMIFS(uwmp_table_4_2_w!K$2:K$9900,uwmp_table_4_2_w!$G$2:$G$9900,"Other Non-Potable",uwmp_table_4_2_w!$B$2:$B$9900,'Contractor Assumptions'!$F45),0) + IFERROR(SUMIFS(uwmp_table_4_2_r!K$2:K$9900,uwmp_table_4_2_r!$G$2:$G$9900,"Other Non-Potable",uwmp_table_4_2_r!$B$2:$B$9900,'Contractor Assumptions'!$F45),0)
+ IFERROR(SUMIFS(uwmp_table_4_2_w!K$2:K$9900,uwmp_table_4_2_w!$G$2:$G$9900,"Wetlands or wildlife habitat",uwmp_table_4_2_w!$B$2:$B$9900,'Contractor Assumptions'!$F45),0) + IFERROR(SUMIFS(uwmp_table_4_2_r!K$2:K$9900,uwmp_table_4_2_r!$G$2:$G$9900,"Wetlands or wildlife habitat",uwmp_table_4_2_r!$B$2:$B$9900,'Contractor Assumptions'!$F45),0)
+ IFERROR(SUMIFS(uwmp_table_4_2_w!K$2:K$9900,uwmp_table_4_2_w!$G$2:$G$9900,"Saline water intrusion barrier",uwmp_table_4_2_w!$B$2:$B$9900,'Contractor Assumptions'!$F45),0) + IFERROR(SUMIFS(uwmp_table_4_2_r!K$2:K$9900,uwmp_table_4_2_r!$G$2:$G$9900,"Saline water intrusion barrier",uwmp_table_4_2_r!$B$2:$B$9900,'Contractor Assumptions'!$F45),0)
+ IFERROR(SUMIFS(uwmp_table_4_2_w!K$2:K$9900,uwmp_table_4_2_w!$G$2:$G$9900,"Groundwater recharge",uwmp_table_4_2_w!$B$2:$B$9900,'Contractor Assumptions'!$F45),0) + IFERROR(SUMIFS(uwmp_table_4_2_r!K$2:K$9900,uwmp_table_4_2_r!$G$2:$G$9900,"Groundwater recharge",uwmp_table_4_2_r!$B$2:$B$9900,'Contractor Assumptions'!$F45),0)
+ IFERROR(SUMIFS(uwmp_table_4_2_w!K$2:K$9900,uwmp_table_4_2_w!$G$2:$G$9900,"Retail demand for use by agencies that are primarily",uwmp_table_4_2_w!$B$2:$B$9900,'Contractor Assumptions'!$F45),0) + IFERROR(SUMIFS(uwmp_table_4_2_r!K$2:K$9900,uwmp_table_4_2_r!$G$2:$G$9900,"Retail demand for use by agencies that are primarily",uwmp_table_4_2_r!$B$2:$B$9900,'Contractor Assumptions'!$F45),0)
+ IFERROR(SUMIFS(uwmp_table_4_2_w!K$2:K$9900,uwmp_table_4_2_w!$G$2:$G$9900,"wholesalers with a small volume of retail sales",uwmp_table_4_2_w!$B$2:$B$9900,'Contractor Assumptions'!$F45),0) + IFERROR(SUMIFS(uwmp_table_4_2_r!K$2:K$9900,uwmp_table_4_2_r!$G$2:$G$9900,"wholesalers with a small volume of retail sales",uwmp_table_4_2_r!$B$2:$B$9900,'Contractor Assumptions'!$F45),0)
+ IFERROR(SUMIFS(uwmp_table_4_2_w!K$2:K$9900,uwmp_table_4_2_w!$G$2:$G$9900,"Sales to other agencies",uwmp_table_4_2_w!$B$2:$B$9900,'Contractor Assumptions'!$F45),0) + IFERROR(SUMIFS(uwmp_table_4_2_r!K$2:K$9900,uwmp_table_4_2_r!$G$2:$G$9900,"Sales to other agencies",uwmp_table_4_2_r!$B$2:$B$9900,'Contractor Assumptions'!$F45),0)
+ IFERROR(SUMIFS(uwmp_table_4_2_w!K$2:K$9900,uwmp_table_4_2_w!$G$2:$G$9900,"Exchanges to other agencies",uwmp_table_4_2_w!$B$2:$B$9900,'Contractor Assumptions'!$F45),0) + IFERROR(SUMIFS(uwmp_table_4_2_r!K$2:K$9900,uwmp_table_4_2_r!$G$2:$G$9900,"Exchanges to other agencies",uwmp_table_4_2_r!$B$2:$B$9900,'Contractor Assumptions'!$F45),0)
)</f>
        <v>59508</v>
      </c>
      <c r="G574" s="472">
        <f>(IFERROR(SUMIFS(uwmp_table_4_2_w!L$2:L$9900,uwmp_table_4_2_w!$G$2:$G$9900,"Losses",uwmp_table_4_2_w!$B$2:$B$9900,'Contractor Assumptions'!$F45),0) + IFERROR(SUMIFS(uwmp_table_4_2_r!L$2:L$9900,uwmp_table_4_2_r!$G$2:$G$9900,"Losses",uwmp_table_4_2_r!$B$2:$B$9900,'Contractor Assumptions'!$F45),0)
+ IFERROR(SUMIFS(uwmp_table_4_2_w!L$2:L$9900,uwmp_table_4_2_w!$G$2:$G$9900,"Other Potable",uwmp_table_4_2_w!$B$2:$B$9900,'Contractor Assumptions'!$F45),0) + IFERROR(SUMIFS(uwmp_table_4_2_r!L$2:L$9900,uwmp_table_4_2_r!$G$2:$G$9900,"Other Potable",uwmp_table_4_2_r!$B$2:$B$9900,'Contractor Assumptions'!$F45),0)
+ IFERROR(SUMIFS(uwmp_table_4_2_w!L$2:L$9900,uwmp_table_4_2_w!$G$2:$G$9900,"Other",uwmp_table_4_2_w!$B$2:$B$9900,'Contractor Assumptions'!$F45),0) + IFERROR(SUMIFS(uwmp_table_4_2_r!L$2:L$9900,uwmp_table_4_2_r!$G$2:$G$9900,"Other",uwmp_table_4_2_r!$B$2:$B$9900,'Contractor Assumptions'!$F45),0)
+ IFERROR(SUMIFS(uwmp_table_4_2_w!L$2:L$9900,uwmp_table_4_2_w!$G$2:$G$9900,"Sales/Transfers/Exchanges to other agencies",uwmp_table_4_2_w!$B$2:$B$9900,'Contractor Assumptions'!$F45),0) + IFERROR(SUMIFS(uwmp_table_4_2_r!L$2:L$9900,uwmp_table_4_2_r!$G$2:$G$9900,"Sales/Transfers/Exchanges to other agencies",uwmp_table_4_2_r!$B$2:$B$9900,'Contractor Assumptions'!$F45),0)
+ IFERROR(SUMIFS(uwmp_table_4_2_w!L$2:L$9900,uwmp_table_4_2_w!$G$2:$G$9900,"Other Non-Potable",uwmp_table_4_2_w!$B$2:$B$9900,'Contractor Assumptions'!$F45),0) + IFERROR(SUMIFS(uwmp_table_4_2_r!L$2:L$9900,uwmp_table_4_2_r!$G$2:$G$9900,"Other Non-Potable",uwmp_table_4_2_r!$B$2:$B$9900,'Contractor Assumptions'!$F45),0)
+ IFERROR(SUMIFS(uwmp_table_4_2_w!L$2:L$9900,uwmp_table_4_2_w!$G$2:$G$9900,"Wetlands or wildlife habitat",uwmp_table_4_2_w!$B$2:$B$9900,'Contractor Assumptions'!$F45),0) + IFERROR(SUMIFS(uwmp_table_4_2_r!L$2:L$9900,uwmp_table_4_2_r!$G$2:$G$9900,"Wetlands or wildlife habitat",uwmp_table_4_2_r!$B$2:$B$9900,'Contractor Assumptions'!$F45),0)
+ IFERROR(SUMIFS(uwmp_table_4_2_w!L$2:L$9900,uwmp_table_4_2_w!$G$2:$G$9900,"Saline water intrusion barrier",uwmp_table_4_2_w!$B$2:$B$9900,'Contractor Assumptions'!$F45),0) + IFERROR(SUMIFS(uwmp_table_4_2_r!L$2:L$9900,uwmp_table_4_2_r!$G$2:$G$9900,"Saline water intrusion barrier",uwmp_table_4_2_r!$B$2:$B$9900,'Contractor Assumptions'!$F45),0)
+ IFERROR(SUMIFS(uwmp_table_4_2_w!L$2:L$9900,uwmp_table_4_2_w!$G$2:$G$9900,"Groundwater recharge",uwmp_table_4_2_w!$B$2:$B$9900,'Contractor Assumptions'!$F45),0) + IFERROR(SUMIFS(uwmp_table_4_2_r!L$2:L$9900,uwmp_table_4_2_r!$G$2:$G$9900,"Groundwater recharge",uwmp_table_4_2_r!$B$2:$B$9900,'Contractor Assumptions'!$F45),0)
+ IFERROR(SUMIFS(uwmp_table_4_2_w!L$2:L$9900,uwmp_table_4_2_w!$G$2:$G$9900,"Retail demand for use by agencies that are primarily",uwmp_table_4_2_w!$B$2:$B$9900,'Contractor Assumptions'!$F45),0) + IFERROR(SUMIFS(uwmp_table_4_2_r!L$2:L$9900,uwmp_table_4_2_r!$G$2:$G$9900,"Retail demand for use by agencies that are primarily",uwmp_table_4_2_r!$B$2:$B$9900,'Contractor Assumptions'!$F45),0)
+ IFERROR(SUMIFS(uwmp_table_4_2_w!L$2:L$9900,uwmp_table_4_2_w!$G$2:$G$9900,"wholesalers with a small volume of retail sales",uwmp_table_4_2_w!$B$2:$B$9900,'Contractor Assumptions'!$F45),0) + IFERROR(SUMIFS(uwmp_table_4_2_r!L$2:L$9900,uwmp_table_4_2_r!$G$2:$G$9900,"wholesalers with a small volume of retail sales",uwmp_table_4_2_r!$B$2:$B$9900,'Contractor Assumptions'!$F45),0)
+ IFERROR(SUMIFS(uwmp_table_4_2_w!L$2:L$9900,uwmp_table_4_2_w!$G$2:$G$9900,"Sales to other agencies",uwmp_table_4_2_w!$B$2:$B$9900,'Contractor Assumptions'!$F45),0) + IFERROR(SUMIFS(uwmp_table_4_2_r!L$2:L$9900,uwmp_table_4_2_r!$G$2:$G$9900,"Sales to other agencies",uwmp_table_4_2_r!$B$2:$B$9900,'Contractor Assumptions'!$F45),0)
+ IFERROR(SUMIFS(uwmp_table_4_2_w!L$2:L$9900,uwmp_table_4_2_w!$G$2:$G$9900,"Exchanges to other agencies",uwmp_table_4_2_w!$B$2:$B$9900,'Contractor Assumptions'!$F45),0) + IFERROR(SUMIFS(uwmp_table_4_2_r!L$2:L$9900,uwmp_table_4_2_r!$G$2:$G$9900,"Exchanges to other agencies",uwmp_table_4_2_r!$B$2:$B$9900,'Contractor Assumptions'!$F45),0)
)</f>
        <v>65452</v>
      </c>
      <c r="H574" s="520">
        <f>(IFERROR(SUMIFS(uwmp_table_4_2_w!M$2:M$9900,uwmp_table_4_2_w!$G$2:$G$9900,"Losses",uwmp_table_4_2_w!$B$2:$B$9900,'Contractor Assumptions'!$F45),0) + IFERROR(SUMIFS(uwmp_table_4_2_r!M$2:M$9900,uwmp_table_4_2_r!$G$2:$G$9900,"Losses",uwmp_table_4_2_r!$B$2:$B$9900,'Contractor Assumptions'!$F45),0)
+ IFERROR(SUMIFS(uwmp_table_4_2_w!M$2:M$9900,uwmp_table_4_2_w!$G$2:$G$9900,"Other Potable",uwmp_table_4_2_w!$B$2:$B$9900,'Contractor Assumptions'!$F45),0) + IFERROR(SUMIFS(uwmp_table_4_2_r!M$2:M$9900,uwmp_table_4_2_r!$G$2:$G$9900,"Other Potable",uwmp_table_4_2_r!$B$2:$B$9900,'Contractor Assumptions'!$F45),0)
+ IFERROR(SUMIFS(uwmp_table_4_2_w!M$2:M$9900,uwmp_table_4_2_w!$G$2:$G$9900,"Other",uwmp_table_4_2_w!$B$2:$B$9900,'Contractor Assumptions'!$F45),0) + IFERROR(SUMIFS(uwmp_table_4_2_r!M$2:M$9900,uwmp_table_4_2_r!$G$2:$G$9900,"Other",uwmp_table_4_2_r!$B$2:$B$9900,'Contractor Assumptions'!$F45),0)
+ IFERROR(SUMIFS(uwmp_table_4_2_w!M$2:M$9900,uwmp_table_4_2_w!$G$2:$G$9900,"Sales/Transfers/Exchanges to other agencies",uwmp_table_4_2_w!$B$2:$B$9900,'Contractor Assumptions'!$F45),0) + IFERROR(SUMIFS(uwmp_table_4_2_r!M$2:M$9900,uwmp_table_4_2_r!$G$2:$G$9900,"Sales/Transfers/Exchanges to other agencies",uwmp_table_4_2_r!$B$2:$B$9900,'Contractor Assumptions'!$F45),0)
+ IFERROR(SUMIFS(uwmp_table_4_2_w!M$2:M$9900,uwmp_table_4_2_w!$G$2:$G$9900,"Other Non-Potable",uwmp_table_4_2_w!$B$2:$B$9900,'Contractor Assumptions'!$F45),0) + IFERROR(SUMIFS(uwmp_table_4_2_r!M$2:M$9900,uwmp_table_4_2_r!$G$2:$G$9900,"Other Non-Potable",uwmp_table_4_2_r!$B$2:$B$9900,'Contractor Assumptions'!$F45),0)
+ IFERROR(SUMIFS(uwmp_table_4_2_w!M$2:M$9900,uwmp_table_4_2_w!$G$2:$G$9900,"Wetlands or wildlife habitat",uwmp_table_4_2_w!$B$2:$B$9900,'Contractor Assumptions'!$F45),0) + IFERROR(SUMIFS(uwmp_table_4_2_r!M$2:M$9900,uwmp_table_4_2_r!$G$2:$G$9900,"Wetlands or wildlife habitat",uwmp_table_4_2_r!$B$2:$B$9900,'Contractor Assumptions'!$F45),0)
+ IFERROR(SUMIFS(uwmp_table_4_2_w!M$2:M$9900,uwmp_table_4_2_w!$G$2:$G$9900,"Saline water intrusion barrier",uwmp_table_4_2_w!$B$2:$B$9900,'Contractor Assumptions'!$F45),0) + IFERROR(SUMIFS(uwmp_table_4_2_r!M$2:M$9900,uwmp_table_4_2_r!$G$2:$G$9900,"Saline water intrusion barrier",uwmp_table_4_2_r!$B$2:$B$9900,'Contractor Assumptions'!$F45),0)
+ IFERROR(SUMIFS(uwmp_table_4_2_w!M$2:M$9900,uwmp_table_4_2_w!$G$2:$G$9900,"Groundwater recharge",uwmp_table_4_2_w!$B$2:$B$9900,'Contractor Assumptions'!$F45),0) + IFERROR(SUMIFS(uwmp_table_4_2_r!M$2:M$9900,uwmp_table_4_2_r!$G$2:$G$9900,"Groundwater recharge",uwmp_table_4_2_r!$B$2:$B$9900,'Contractor Assumptions'!$F45),0)
+ IFERROR(SUMIFS(uwmp_table_4_2_w!M$2:M$9900,uwmp_table_4_2_w!$G$2:$G$9900,"Retail demand for use by agencies that are primarily",uwmp_table_4_2_w!$B$2:$B$9900,'Contractor Assumptions'!$F45),0) + IFERROR(SUMIFS(uwmp_table_4_2_r!M$2:M$9900,uwmp_table_4_2_r!$G$2:$G$9900,"Retail demand for use by agencies that are primarily",uwmp_table_4_2_r!$B$2:$B$9900,'Contractor Assumptions'!$F45),0)
+ IFERROR(SUMIFS(uwmp_table_4_2_w!M$2:M$9900,uwmp_table_4_2_w!$G$2:$G$9900,"wholesalers with a small volume of retail sales",uwmp_table_4_2_w!$B$2:$B$9900,'Contractor Assumptions'!$F45),0) + IFERROR(SUMIFS(uwmp_table_4_2_r!M$2:M$9900,uwmp_table_4_2_r!$G$2:$G$9900,"wholesalers with a small volume of retail sales",uwmp_table_4_2_r!$B$2:$B$9900,'Contractor Assumptions'!$F45),0)
+ IFERROR(SUMIFS(uwmp_table_4_2_w!M$2:M$9900,uwmp_table_4_2_w!$G$2:$G$9900,"Sales to other agencies",uwmp_table_4_2_w!$B$2:$B$9900,'Contractor Assumptions'!$F45),0) + IFERROR(SUMIFS(uwmp_table_4_2_r!M$2:M$9900,uwmp_table_4_2_r!$G$2:$G$9900,"Sales to other agencies",uwmp_table_4_2_r!$B$2:$B$9900,'Contractor Assumptions'!$F45),0)
+ IFERROR(SUMIFS(uwmp_table_4_2_w!M$2:M$9900,uwmp_table_4_2_w!$G$2:$G$9900,"Exchanges to other agencies",uwmp_table_4_2_w!$B$2:$B$9900,'Contractor Assumptions'!$F45),0) + IFERROR(SUMIFS(uwmp_table_4_2_r!M$2:M$9900,uwmp_table_4_2_r!$G$2:$G$9900,"Exchanges to other agencies",uwmp_table_4_2_r!$B$2:$B$9900,'Contractor Assumptions'!$F45),0)
)</f>
        <v>65452</v>
      </c>
      <c r="I574" s="66" t="s">
        <v>1030</v>
      </c>
      <c r="J574" s="70"/>
      <c r="K574" s="70"/>
      <c r="L574" s="70"/>
      <c r="M574" s="70"/>
      <c r="N574" s="70"/>
      <c r="O574" s="70"/>
      <c r="P574" s="70"/>
    </row>
    <row r="575" spans="1:16" hidden="1" outlineLevel="1" x14ac:dyDescent="0.3">
      <c r="A575" s="63" t="s">
        <v>1026</v>
      </c>
      <c r="B575" s="63" t="s">
        <v>940</v>
      </c>
      <c r="C575" s="63" t="str">
        <f t="shared" si="11"/>
        <v>San Gabriel Valley Municipal Water District</v>
      </c>
      <c r="D575" s="471" t="s">
        <v>204</v>
      </c>
      <c r="E575" s="471" t="s">
        <v>204</v>
      </c>
      <c r="F575" s="471" t="s">
        <v>204</v>
      </c>
      <c r="G575" s="471" t="s">
        <v>204</v>
      </c>
      <c r="H575" s="518" t="s">
        <v>204</v>
      </c>
      <c r="I575" s="66"/>
      <c r="J575" s="70"/>
      <c r="K575" s="70"/>
      <c r="L575" s="70"/>
      <c r="M575" s="70"/>
      <c r="N575" s="70"/>
      <c r="O575" s="70"/>
      <c r="P575" s="70"/>
    </row>
    <row r="576" spans="1:16" hidden="1" outlineLevel="1" x14ac:dyDescent="0.3">
      <c r="A576" s="63" t="s">
        <v>1026</v>
      </c>
      <c r="B576" s="63" t="s">
        <v>940</v>
      </c>
      <c r="C576" s="63" t="str">
        <f t="shared" si="11"/>
        <v>San Gorgonio Pass Water Agency</v>
      </c>
      <c r="D576" s="472">
        <v>3115</v>
      </c>
      <c r="E576" s="472">
        <v>4065.6000000000004</v>
      </c>
      <c r="F576" s="472">
        <v>4560.6000000000004</v>
      </c>
      <c r="G576" s="472">
        <v>5068.6000000000004</v>
      </c>
      <c r="H576" s="520">
        <v>5532.6</v>
      </c>
      <c r="I576" s="66" t="s">
        <v>1018</v>
      </c>
      <c r="J576" s="70"/>
      <c r="K576" s="70"/>
      <c r="L576" s="70"/>
      <c r="M576" s="70"/>
      <c r="N576" s="70"/>
      <c r="O576" s="70"/>
      <c r="P576" s="70"/>
    </row>
    <row r="577" spans="1:45" hidden="1" outlineLevel="1" x14ac:dyDescent="0.3">
      <c r="A577" s="63" t="s">
        <v>1026</v>
      </c>
      <c r="B577" s="63" t="s">
        <v>940</v>
      </c>
      <c r="C577" s="63" t="str">
        <f t="shared" si="11"/>
        <v>Ventura County Watershed Protection District</v>
      </c>
      <c r="D577" s="471" t="s">
        <v>204</v>
      </c>
      <c r="E577" s="471" t="s">
        <v>204</v>
      </c>
      <c r="F577" s="471" t="s">
        <v>204</v>
      </c>
      <c r="G577" s="471" t="s">
        <v>204</v>
      </c>
      <c r="H577" s="518" t="s">
        <v>204</v>
      </c>
      <c r="I577" s="66"/>
      <c r="J577" s="70"/>
      <c r="K577" s="70"/>
      <c r="L577" s="70"/>
      <c r="M577" s="70"/>
      <c r="N577" s="70"/>
      <c r="O577" s="70"/>
      <c r="P577" s="70"/>
    </row>
    <row r="578" spans="1:45" collapsed="1" x14ac:dyDescent="0.3">
      <c r="A578" s="70"/>
      <c r="B578" s="70"/>
      <c r="C578" s="404" t="s">
        <v>992</v>
      </c>
      <c r="D578" s="70"/>
      <c r="E578" s="70"/>
      <c r="F578" s="70"/>
      <c r="G578" s="70"/>
      <c r="H578" s="507"/>
      <c r="I578" s="70"/>
      <c r="J578" s="70"/>
      <c r="K578" s="70"/>
      <c r="L578" s="70"/>
      <c r="M578" s="70"/>
      <c r="N578" s="70"/>
      <c r="O578" s="70"/>
      <c r="P578" s="70"/>
    </row>
    <row r="579" spans="1:45" x14ac:dyDescent="0.3">
      <c r="A579" s="70"/>
      <c r="B579" s="70"/>
      <c r="C579" s="404" t="s">
        <v>992</v>
      </c>
      <c r="D579" s="70"/>
      <c r="E579" s="70"/>
      <c r="F579" s="70"/>
      <c r="G579" s="70"/>
      <c r="H579" s="507"/>
      <c r="I579" s="70"/>
      <c r="J579" s="70"/>
      <c r="K579" s="70"/>
      <c r="L579" s="70"/>
      <c r="M579" s="70"/>
      <c r="N579" s="70"/>
      <c r="O579" s="70"/>
      <c r="P579" s="70"/>
    </row>
    <row r="580" spans="1:45" ht="25.8" x14ac:dyDescent="0.5">
      <c r="A580" s="207" t="s">
        <v>32</v>
      </c>
      <c r="B580" s="207"/>
      <c r="C580" s="412" t="s">
        <v>992</v>
      </c>
      <c r="D580" s="207"/>
      <c r="E580" s="207"/>
      <c r="F580" s="207"/>
      <c r="G580" s="207"/>
      <c r="H580" s="524"/>
      <c r="I580" s="207"/>
      <c r="J580" s="70"/>
      <c r="K580" s="70"/>
      <c r="L580" s="70"/>
      <c r="M580" s="70"/>
      <c r="N580" s="70"/>
      <c r="O580" s="70"/>
      <c r="P580" s="70"/>
      <c r="Z580" s="70"/>
      <c r="AA580" s="70"/>
      <c r="AB580" s="70"/>
      <c r="AC580" s="70"/>
      <c r="AD580" s="70"/>
      <c r="AE580" s="70"/>
      <c r="AF580" s="70"/>
      <c r="AG580" s="70"/>
      <c r="AH580" s="70"/>
      <c r="AI580" s="70"/>
      <c r="AJ580" s="70"/>
      <c r="AK580" s="70"/>
      <c r="AL580" s="70"/>
      <c r="AM580" s="70"/>
      <c r="AN580" s="70"/>
      <c r="AO580" s="70"/>
      <c r="AP580" s="70"/>
      <c r="AQ580" s="70"/>
      <c r="AR580" s="70"/>
      <c r="AS580" s="70"/>
    </row>
    <row r="581" spans="1:45" ht="105" customHeight="1" x14ac:dyDescent="0.3">
      <c r="A581" s="557" t="s">
        <v>1031</v>
      </c>
      <c r="B581" s="557"/>
      <c r="C581" s="557"/>
      <c r="D581" s="557"/>
      <c r="E581" s="557"/>
      <c r="F581" s="557"/>
      <c r="G581" s="557"/>
      <c r="H581" s="558"/>
      <c r="I581" s="310"/>
      <c r="J581" s="70"/>
      <c r="K581" s="70"/>
      <c r="L581" s="70"/>
      <c r="M581" s="70"/>
      <c r="N581" s="70"/>
      <c r="O581" s="70"/>
      <c r="P581" s="70"/>
      <c r="Z581" s="70"/>
      <c r="AA581" s="70"/>
      <c r="AB581" s="70"/>
      <c r="AC581" s="70"/>
      <c r="AD581" s="70"/>
      <c r="AE581" s="70"/>
      <c r="AF581" s="70"/>
      <c r="AG581" s="70"/>
      <c r="AH581" s="70"/>
      <c r="AI581" s="70"/>
      <c r="AJ581" s="70"/>
      <c r="AK581" s="70"/>
      <c r="AL581" s="70"/>
      <c r="AM581" s="70"/>
      <c r="AN581" s="70"/>
      <c r="AO581" s="70"/>
      <c r="AP581" s="70"/>
      <c r="AQ581" s="70"/>
      <c r="AR581" s="70"/>
      <c r="AS581" s="70"/>
    </row>
    <row r="582" spans="1:45" x14ac:dyDescent="0.3">
      <c r="A582" s="56"/>
      <c r="B582" s="56"/>
      <c r="C582" s="133" t="s">
        <v>1032</v>
      </c>
      <c r="D582" s="57">
        <f>SUM(D584:D626)</f>
        <v>1264436.5810821764</v>
      </c>
      <c r="E582" s="57">
        <f>SUM(E584:E626)</f>
        <v>1332407.6976155853</v>
      </c>
      <c r="F582" s="57">
        <f>SUM(F584:F626)</f>
        <v>1394863.5126379731</v>
      </c>
      <c r="G582" s="57">
        <f>SUM(G584:G626)</f>
        <v>1464303.0513684936</v>
      </c>
      <c r="H582" s="525">
        <f>SUM(H584:H626)</f>
        <v>1531339.8867523232</v>
      </c>
      <c r="I582" s="57"/>
      <c r="J582" s="70"/>
      <c r="K582" s="70"/>
      <c r="L582" s="70"/>
      <c r="M582" s="70"/>
      <c r="N582" s="70"/>
      <c r="O582" s="70"/>
      <c r="P582" s="70"/>
      <c r="Z582" s="70"/>
      <c r="AA582" s="70"/>
      <c r="AB582" s="70"/>
      <c r="AC582" s="70"/>
      <c r="AD582" s="70"/>
      <c r="AE582" s="70"/>
      <c r="AF582" s="70"/>
      <c r="AG582" s="70"/>
      <c r="AH582" s="70"/>
      <c r="AI582" s="70"/>
      <c r="AJ582" s="70"/>
      <c r="AK582" s="70"/>
      <c r="AL582" s="70"/>
      <c r="AM582" s="70"/>
      <c r="AN582" s="70"/>
      <c r="AO582" s="70"/>
      <c r="AP582" s="70"/>
      <c r="AQ582" s="70"/>
      <c r="AR582" s="70"/>
      <c r="AS582" s="70"/>
    </row>
    <row r="583" spans="1:45" x14ac:dyDescent="0.3">
      <c r="A583" s="131" t="s">
        <v>5</v>
      </c>
      <c r="B583" s="131" t="s">
        <v>847</v>
      </c>
      <c r="C583" s="131" t="s">
        <v>193</v>
      </c>
      <c r="D583" s="132">
        <v>2025</v>
      </c>
      <c r="E583" s="132">
        <v>2030</v>
      </c>
      <c r="F583" s="132">
        <v>2035</v>
      </c>
      <c r="G583" s="132">
        <v>2040</v>
      </c>
      <c r="H583" s="526">
        <v>2045</v>
      </c>
      <c r="I583" s="132" t="s">
        <v>153</v>
      </c>
      <c r="J583" s="70"/>
      <c r="K583" s="70"/>
      <c r="L583" s="70"/>
      <c r="M583" s="70"/>
      <c r="N583" s="70"/>
      <c r="O583" s="70"/>
      <c r="P583" s="70"/>
      <c r="Z583" s="70"/>
      <c r="AA583" s="70"/>
      <c r="AB583" s="70"/>
      <c r="AC583" s="70"/>
      <c r="AD583" s="70"/>
      <c r="AE583" s="70"/>
      <c r="AF583" s="70"/>
      <c r="AG583" s="70"/>
      <c r="AH583" s="70"/>
      <c r="AI583" s="70"/>
      <c r="AJ583" s="70"/>
      <c r="AK583" s="70"/>
      <c r="AL583" s="70"/>
      <c r="AM583" s="70"/>
      <c r="AN583" s="70"/>
      <c r="AO583" s="70"/>
      <c r="AP583" s="70"/>
      <c r="AQ583" s="70"/>
      <c r="AR583" s="70"/>
      <c r="AS583" s="70"/>
    </row>
    <row r="584" spans="1:45" hidden="1" outlineLevel="1" x14ac:dyDescent="0.3">
      <c r="A584" s="56" t="s">
        <v>1033</v>
      </c>
      <c r="B584" s="56" t="s">
        <v>855</v>
      </c>
      <c r="C584" s="56" t="str">
        <f>'Contractor Assumptions'!B6</f>
        <v>Butte County</v>
      </c>
      <c r="D584" s="467" t="s">
        <v>204</v>
      </c>
      <c r="E584" s="467" t="s">
        <v>204</v>
      </c>
      <c r="F584" s="467" t="s">
        <v>204</v>
      </c>
      <c r="G584" s="467" t="s">
        <v>204</v>
      </c>
      <c r="H584" s="527" t="s">
        <v>204</v>
      </c>
      <c r="I584" s="57"/>
      <c r="J584" s="70"/>
      <c r="K584" s="70"/>
      <c r="L584" s="70"/>
      <c r="M584" s="70"/>
      <c r="N584" s="70"/>
      <c r="O584" s="70"/>
      <c r="P584" s="70"/>
      <c r="Z584" s="70"/>
      <c r="AA584" s="70"/>
      <c r="AB584" s="70"/>
      <c r="AC584" s="70"/>
      <c r="AD584" s="70"/>
      <c r="AE584" s="70"/>
      <c r="AF584" s="70"/>
      <c r="AG584" s="70"/>
      <c r="AH584" s="70"/>
      <c r="AI584" s="70"/>
      <c r="AJ584" s="70"/>
      <c r="AK584" s="70"/>
      <c r="AL584" s="70"/>
      <c r="AM584" s="70"/>
      <c r="AN584" s="70"/>
      <c r="AO584" s="70"/>
      <c r="AP584" s="70"/>
      <c r="AQ584" s="70"/>
      <c r="AR584" s="70"/>
      <c r="AS584" s="70"/>
    </row>
    <row r="585" spans="1:45" hidden="1" outlineLevel="1" x14ac:dyDescent="0.3">
      <c r="A585" s="56" t="s">
        <v>1033</v>
      </c>
      <c r="B585" s="56" t="s">
        <v>855</v>
      </c>
      <c r="C585" s="56" t="str">
        <f>'Contractor Assumptions'!B7</f>
        <v>City of Folsom</v>
      </c>
      <c r="D585" s="163">
        <f>'Demand and Conservation_Calcs'!L4</f>
        <v>957.15789473684345</v>
      </c>
      <c r="E585" s="163">
        <f>'Demand and Conservation_Calcs'!M4</f>
        <v>1061.78947368421</v>
      </c>
      <c r="F585" s="163">
        <f>'Demand and Conservation_Calcs'!N4</f>
        <v>1130.8421052631602</v>
      </c>
      <c r="G585" s="163">
        <f>'Demand and Conservation_Calcs'!O4</f>
        <v>1174.5789473684235</v>
      </c>
      <c r="H585" s="528">
        <f>'Demand and Conservation_Calcs'!P4</f>
        <v>1192.21052631579</v>
      </c>
      <c r="I585" s="57"/>
      <c r="J585" s="70"/>
      <c r="K585" s="70"/>
      <c r="L585" s="70"/>
      <c r="M585" s="70"/>
      <c r="N585" s="70"/>
      <c r="O585" s="70"/>
      <c r="P585" s="70"/>
      <c r="Z585" s="70"/>
      <c r="AA585" s="70"/>
      <c r="AB585" s="70"/>
      <c r="AC585" s="70"/>
      <c r="AD585" s="70"/>
      <c r="AE585" s="70"/>
      <c r="AF585" s="70"/>
      <c r="AG585" s="70"/>
      <c r="AH585" s="70"/>
      <c r="AI585" s="70"/>
      <c r="AJ585" s="70"/>
      <c r="AK585" s="70"/>
      <c r="AL585" s="70"/>
      <c r="AM585" s="70"/>
      <c r="AN585" s="70"/>
      <c r="AO585" s="70"/>
      <c r="AP585" s="70"/>
      <c r="AQ585" s="70"/>
      <c r="AR585" s="70"/>
      <c r="AS585" s="70"/>
    </row>
    <row r="586" spans="1:45" hidden="1" outlineLevel="1" x14ac:dyDescent="0.3">
      <c r="A586" s="56" t="s">
        <v>1033</v>
      </c>
      <c r="B586" s="56" t="s">
        <v>855</v>
      </c>
      <c r="C586" s="56" t="str">
        <f>'Contractor Assumptions'!B8</f>
        <v>City of Redding</v>
      </c>
      <c r="D586" s="163">
        <f>'Demand and Conservation_Calcs'!L5</f>
        <v>413.57894736842172</v>
      </c>
      <c r="E586" s="163">
        <f>'Demand and Conservation_Calcs'!M5</f>
        <v>422.26315789473665</v>
      </c>
      <c r="F586" s="163">
        <f>'Demand and Conservation_Calcs'!N5</f>
        <v>431.15789473684163</v>
      </c>
      <c r="G586" s="163">
        <f>'Demand and Conservation_Calcs'!O5</f>
        <v>440.15789473684163</v>
      </c>
      <c r="H586" s="528">
        <f>'Demand and Conservation_Calcs'!P5</f>
        <v>449.4210526315801</v>
      </c>
      <c r="I586" s="57"/>
      <c r="J586" s="70"/>
      <c r="K586" s="70"/>
      <c r="L586" s="70"/>
      <c r="M586" s="70"/>
      <c r="N586" s="70"/>
      <c r="O586" s="70"/>
      <c r="P586" s="70"/>
      <c r="Z586" s="70"/>
      <c r="AA586" s="70"/>
      <c r="AB586" s="70"/>
      <c r="AC586" s="70"/>
      <c r="AD586" s="70"/>
      <c r="AE586" s="70"/>
      <c r="AF586" s="70"/>
      <c r="AG586" s="70"/>
      <c r="AH586" s="70"/>
      <c r="AI586" s="70"/>
      <c r="AJ586" s="70"/>
      <c r="AK586" s="70"/>
      <c r="AL586" s="70"/>
      <c r="AM586" s="70"/>
      <c r="AN586" s="70"/>
      <c r="AO586" s="70"/>
      <c r="AP586" s="70"/>
      <c r="AQ586" s="70"/>
      <c r="AR586" s="70"/>
      <c r="AS586" s="70"/>
    </row>
    <row r="587" spans="1:45" hidden="1" outlineLevel="1" x14ac:dyDescent="0.3">
      <c r="A587" s="56" t="s">
        <v>1033</v>
      </c>
      <c r="B587" s="56" t="s">
        <v>855</v>
      </c>
      <c r="C587" s="56" t="str">
        <f>'Contractor Assumptions'!B9</f>
        <v>City of Roseville</v>
      </c>
      <c r="D587" s="163">
        <f>'Demand and Conservation_Calcs'!L6</f>
        <v>14724.666666666664</v>
      </c>
      <c r="E587" s="163">
        <f>'Demand and Conservation_Calcs'!M6</f>
        <v>16010</v>
      </c>
      <c r="F587" s="163">
        <f>'Demand and Conservation_Calcs'!N6</f>
        <v>17424</v>
      </c>
      <c r="G587" s="163">
        <f>'Demand and Conservation_Calcs'!O6</f>
        <v>17424</v>
      </c>
      <c r="H587" s="528">
        <f>'Demand and Conservation_Calcs'!P6</f>
        <v>17424</v>
      </c>
      <c r="I587" s="57"/>
      <c r="J587" s="70"/>
      <c r="K587" s="70"/>
      <c r="L587" s="70"/>
      <c r="M587" s="70"/>
      <c r="N587" s="70"/>
      <c r="O587" s="70"/>
      <c r="P587" s="70"/>
      <c r="Z587" s="70"/>
      <c r="AA587" s="70"/>
      <c r="AB587" s="70"/>
      <c r="AC587" s="70"/>
      <c r="AD587" s="70"/>
      <c r="AE587" s="70"/>
      <c r="AF587" s="70"/>
      <c r="AG587" s="70"/>
      <c r="AH587" s="70"/>
      <c r="AI587" s="70"/>
      <c r="AJ587" s="70"/>
      <c r="AK587" s="70"/>
      <c r="AL587" s="70"/>
      <c r="AM587" s="70"/>
      <c r="AN587" s="70"/>
      <c r="AO587" s="70"/>
      <c r="AP587" s="70"/>
      <c r="AQ587" s="70"/>
      <c r="AR587" s="70"/>
      <c r="AS587" s="70"/>
    </row>
    <row r="588" spans="1:45" hidden="1" outlineLevel="1" x14ac:dyDescent="0.3">
      <c r="A588" s="56" t="s">
        <v>1033</v>
      </c>
      <c r="B588" s="56" t="s">
        <v>855</v>
      </c>
      <c r="C588" s="56" t="str">
        <f>'Contractor Assumptions'!B10</f>
        <v>City of West Sacramento</v>
      </c>
      <c r="D588" s="163">
        <f>'Demand and Conservation_Calcs'!L7</f>
        <v>444.10526315789502</v>
      </c>
      <c r="E588" s="163">
        <f>'Demand and Conservation_Calcs'!M7</f>
        <v>491.05263157894842</v>
      </c>
      <c r="F588" s="163">
        <f>'Demand and Conservation_Calcs'!N7</f>
        <v>524.73684210526335</v>
      </c>
      <c r="G588" s="163">
        <f>'Demand and Conservation_Calcs'!O7</f>
        <v>542.63157894736833</v>
      </c>
      <c r="H588" s="528">
        <f>'Demand and Conservation_Calcs'!P7</f>
        <v>610</v>
      </c>
      <c r="I588" s="57"/>
      <c r="J588" s="70"/>
      <c r="K588" s="70"/>
      <c r="L588" s="70"/>
      <c r="M588" s="70"/>
      <c r="N588" s="70"/>
      <c r="O588" s="70"/>
      <c r="P588" s="70"/>
      <c r="Z588" s="70"/>
      <c r="AA588" s="70"/>
      <c r="AB588" s="70"/>
      <c r="AC588" s="70"/>
      <c r="AD588" s="70"/>
      <c r="AE588" s="70"/>
      <c r="AF588" s="70"/>
      <c r="AG588" s="70"/>
      <c r="AH588" s="70"/>
      <c r="AI588" s="70"/>
      <c r="AJ588" s="70"/>
      <c r="AK588" s="70"/>
      <c r="AL588" s="70"/>
      <c r="AM588" s="70"/>
      <c r="AN588" s="70"/>
      <c r="AO588" s="70"/>
      <c r="AP588" s="70"/>
      <c r="AQ588" s="70"/>
      <c r="AR588" s="70"/>
      <c r="AS588" s="70"/>
    </row>
    <row r="589" spans="1:45" hidden="1" outlineLevel="1" x14ac:dyDescent="0.3">
      <c r="A589" s="56" t="s">
        <v>1033</v>
      </c>
      <c r="B589" s="56" t="s">
        <v>855</v>
      </c>
      <c r="C589" s="56" t="str">
        <f>'Contractor Assumptions'!B11</f>
        <v>Yuba City</v>
      </c>
      <c r="D589" s="163">
        <f>'Demand and Conservation_Calcs'!L8</f>
        <v>699.73684210526335</v>
      </c>
      <c r="E589" s="163">
        <f>'Demand and Conservation_Calcs'!M8</f>
        <v>725.26315789473665</v>
      </c>
      <c r="F589" s="163">
        <f>'Demand and Conservation_Calcs'!N8</f>
        <v>756.84210526315837</v>
      </c>
      <c r="G589" s="163">
        <f>'Demand and Conservation_Calcs'!O8</f>
        <v>796.05263157894842</v>
      </c>
      <c r="H589" s="528">
        <f>'Demand and Conservation_Calcs'!P8</f>
        <v>835.26315789473665</v>
      </c>
      <c r="I589" s="57"/>
      <c r="J589" s="70"/>
      <c r="K589" s="70"/>
      <c r="L589" s="70"/>
      <c r="M589" s="70"/>
      <c r="N589" s="70"/>
      <c r="O589" s="70"/>
      <c r="P589" s="70"/>
      <c r="Z589" s="70"/>
      <c r="AA589" s="70"/>
      <c r="AB589" s="70"/>
      <c r="AC589" s="70"/>
      <c r="AD589" s="70"/>
      <c r="AE589" s="70"/>
      <c r="AF589" s="70"/>
      <c r="AG589" s="70"/>
      <c r="AH589" s="70"/>
      <c r="AI589" s="70"/>
      <c r="AJ589" s="70"/>
      <c r="AK589" s="70"/>
      <c r="AL589" s="70"/>
      <c r="AM589" s="70"/>
      <c r="AN589" s="70"/>
      <c r="AO589" s="70"/>
      <c r="AP589" s="70"/>
      <c r="AQ589" s="70"/>
      <c r="AR589" s="70"/>
      <c r="AS589" s="70"/>
    </row>
    <row r="590" spans="1:45" hidden="1" outlineLevel="1" x14ac:dyDescent="0.3">
      <c r="A590" s="56" t="s">
        <v>1033</v>
      </c>
      <c r="B590" s="56" t="s">
        <v>855</v>
      </c>
      <c r="C590" s="56" t="str">
        <f>'Contractor Assumptions'!B12</f>
        <v>El Dorado Irrigation District</v>
      </c>
      <c r="D590" s="163">
        <f>'Demand and Conservation_Calcs'!L9</f>
        <v>1263.1578947368434</v>
      </c>
      <c r="E590" s="163">
        <f>'Demand and Conservation_Calcs'!M9</f>
        <v>1263.1578947368434</v>
      </c>
      <c r="F590" s="163">
        <f>'Demand and Conservation_Calcs'!N9</f>
        <v>1263.1578947368434</v>
      </c>
      <c r="G590" s="163">
        <f>'Demand and Conservation_Calcs'!O9</f>
        <v>1263.1578947368434</v>
      </c>
      <c r="H590" s="528">
        <f>'Demand and Conservation_Calcs'!P9</f>
        <v>1263.1578947368434</v>
      </c>
      <c r="I590" s="57"/>
      <c r="J590" s="70"/>
      <c r="K590" s="70"/>
      <c r="L590" s="70"/>
      <c r="M590" s="70"/>
      <c r="N590" s="70"/>
      <c r="O590" s="70"/>
      <c r="P590" s="70"/>
      <c r="Z590" s="70"/>
      <c r="AA590" s="70"/>
      <c r="AB590" s="70"/>
      <c r="AC590" s="70"/>
      <c r="AD590" s="70"/>
      <c r="AE590" s="70"/>
      <c r="AF590" s="70"/>
      <c r="AG590" s="70"/>
      <c r="AH590" s="70"/>
      <c r="AI590" s="70"/>
      <c r="AJ590" s="70"/>
      <c r="AK590" s="70"/>
      <c r="AL590" s="70"/>
      <c r="AM590" s="70"/>
      <c r="AN590" s="70"/>
      <c r="AO590" s="70"/>
      <c r="AP590" s="70"/>
      <c r="AQ590" s="70"/>
      <c r="AR590" s="70"/>
      <c r="AS590" s="70"/>
    </row>
    <row r="591" spans="1:45" hidden="1" outlineLevel="1" x14ac:dyDescent="0.3">
      <c r="A591" s="56" t="s">
        <v>1033</v>
      </c>
      <c r="B591" s="56" t="s">
        <v>855</v>
      </c>
      <c r="C591" s="56" t="str">
        <f>'Contractor Assumptions'!B13</f>
        <v>Napa County Flood Control &amp; Water Conservation District</v>
      </c>
      <c r="D591" s="467" t="s">
        <v>204</v>
      </c>
      <c r="E591" s="467" t="s">
        <v>204</v>
      </c>
      <c r="F591" s="467" t="s">
        <v>204</v>
      </c>
      <c r="G591" s="467" t="s">
        <v>204</v>
      </c>
      <c r="H591" s="527" t="s">
        <v>204</v>
      </c>
      <c r="I591" s="57"/>
      <c r="J591" s="70"/>
      <c r="K591" s="70"/>
      <c r="L591" s="70"/>
      <c r="M591" s="70"/>
      <c r="N591" s="70"/>
      <c r="O591" s="70"/>
      <c r="P591" s="70"/>
      <c r="Z591" s="70"/>
      <c r="AA591" s="70"/>
      <c r="AB591" s="70"/>
      <c r="AC591" s="70"/>
      <c r="AD591" s="70"/>
      <c r="AE591" s="70"/>
      <c r="AF591" s="70"/>
      <c r="AG591" s="70"/>
      <c r="AH591" s="70"/>
      <c r="AI591" s="70"/>
      <c r="AJ591" s="70"/>
      <c r="AK591" s="70"/>
      <c r="AL591" s="70"/>
      <c r="AM591" s="70"/>
      <c r="AN591" s="70"/>
      <c r="AO591" s="70"/>
      <c r="AP591" s="70"/>
      <c r="AQ591" s="70"/>
      <c r="AR591" s="70"/>
      <c r="AS591" s="70"/>
    </row>
    <row r="592" spans="1:45" hidden="1" outlineLevel="1" x14ac:dyDescent="0.3">
      <c r="A592" s="56" t="s">
        <v>1033</v>
      </c>
      <c r="B592" s="56" t="s">
        <v>855</v>
      </c>
      <c r="C592" s="56" t="str">
        <f>'Contractor Assumptions'!B14</f>
        <v>Placer County Water Agency</v>
      </c>
      <c r="D592" s="163">
        <f>'Demand and Conservation_Calcs'!L11</f>
        <v>1590.1052631578968</v>
      </c>
      <c r="E592" s="163">
        <f>'Demand and Conservation_Calcs'!M11</f>
        <v>1848.3157894736869</v>
      </c>
      <c r="F592" s="163">
        <f>'Demand and Conservation_Calcs'!N11</f>
        <v>2142.3684210526335</v>
      </c>
      <c r="G592" s="163">
        <f>'Demand and Conservation_Calcs'!O11</f>
        <v>2478.0526315789466</v>
      </c>
      <c r="H592" s="528">
        <f>'Demand and Conservation_Calcs'!P11</f>
        <v>2633.3684210526335</v>
      </c>
      <c r="I592" s="57"/>
      <c r="J592" s="70"/>
      <c r="K592" s="70"/>
      <c r="L592" s="70"/>
      <c r="M592" s="70"/>
      <c r="N592" s="70"/>
      <c r="O592" s="70"/>
      <c r="P592" s="70"/>
      <c r="Z592" s="70"/>
      <c r="AA592" s="70"/>
      <c r="AB592" s="70"/>
      <c r="AC592" s="70"/>
      <c r="AD592" s="70"/>
      <c r="AE592" s="70"/>
      <c r="AF592" s="70"/>
      <c r="AG592" s="70"/>
      <c r="AH592" s="70"/>
      <c r="AI592" s="70"/>
      <c r="AJ592" s="70"/>
      <c r="AK592" s="70"/>
      <c r="AL592" s="70"/>
      <c r="AM592" s="70"/>
      <c r="AN592" s="70"/>
      <c r="AO592" s="70"/>
      <c r="AP592" s="70"/>
      <c r="AQ592" s="70"/>
      <c r="AR592" s="70"/>
      <c r="AS592" s="70"/>
    </row>
    <row r="593" spans="1:45" hidden="1" outlineLevel="1" x14ac:dyDescent="0.3">
      <c r="A593" s="56" t="s">
        <v>1033</v>
      </c>
      <c r="B593" s="56" t="s">
        <v>855</v>
      </c>
      <c r="C593" s="56" t="str">
        <f>'Contractor Assumptions'!B15</f>
        <v>Sacramento County Water Agency</v>
      </c>
      <c r="D593" s="163">
        <f>'Demand and Conservation_Calcs'!L12</f>
        <v>2271.4736842105267</v>
      </c>
      <c r="E593" s="163">
        <f>'Demand and Conservation_Calcs'!M12</f>
        <v>2683.7894736842136</v>
      </c>
      <c r="F593" s="163">
        <f>'Demand and Conservation_Calcs'!N12</f>
        <v>3095.1052631579005</v>
      </c>
      <c r="G593" s="163">
        <f>'Demand and Conservation_Calcs'!O12</f>
        <v>3439.6315789473738</v>
      </c>
      <c r="H593" s="528">
        <f>'Demand and Conservation_Calcs'!P12</f>
        <v>3786.3684210526408</v>
      </c>
      <c r="I593" s="57"/>
      <c r="J593" s="70"/>
      <c r="K593" s="70"/>
      <c r="L593" s="70"/>
      <c r="M593" s="70"/>
      <c r="N593" s="70"/>
      <c r="O593" s="70"/>
      <c r="P593" s="70"/>
      <c r="Z593" s="70"/>
      <c r="AA593" s="70"/>
      <c r="AB593" s="70"/>
      <c r="AC593" s="70"/>
      <c r="AD593" s="70"/>
      <c r="AE593" s="70"/>
      <c r="AF593" s="70"/>
      <c r="AG593" s="70"/>
      <c r="AH593" s="70"/>
      <c r="AI593" s="70"/>
      <c r="AJ593" s="70"/>
      <c r="AK593" s="70"/>
      <c r="AL593" s="70"/>
      <c r="AM593" s="70"/>
      <c r="AN593" s="70"/>
      <c r="AO593" s="70"/>
      <c r="AP593" s="70"/>
      <c r="AQ593" s="70"/>
      <c r="AR593" s="70"/>
      <c r="AS593" s="70"/>
    </row>
    <row r="594" spans="1:45" hidden="1" outlineLevel="1" x14ac:dyDescent="0.3">
      <c r="A594" s="56" t="s">
        <v>1033</v>
      </c>
      <c r="B594" s="56" t="s">
        <v>855</v>
      </c>
      <c r="C594" s="56" t="str">
        <f>'Contractor Assumptions'!B16</f>
        <v>San Juan Water District</v>
      </c>
      <c r="D594" s="163">
        <f>'Demand and Conservation_Calcs'!L13</f>
        <v>2398.0526315789466</v>
      </c>
      <c r="E594" s="163">
        <f>'Demand and Conservation_Calcs'!M13</f>
        <v>2423.736842105267</v>
      </c>
      <c r="F594" s="163">
        <f>'Demand and Conservation_Calcs'!N13</f>
        <v>2397.1052631579005</v>
      </c>
      <c r="G594" s="163">
        <f>'Demand and Conservation_Calcs'!O13</f>
        <v>2431.8947368421068</v>
      </c>
      <c r="H594" s="528">
        <f>'Demand and Conservation_Calcs'!P13</f>
        <v>2462.1578947368471</v>
      </c>
      <c r="I594" s="57"/>
      <c r="J594" s="70"/>
      <c r="K594" s="70"/>
      <c r="L594" s="70"/>
      <c r="M594" s="70"/>
      <c r="N594" s="70"/>
      <c r="O594" s="70"/>
      <c r="P594" s="70"/>
      <c r="Z594" s="70"/>
      <c r="AA594" s="70"/>
      <c r="AB594" s="70"/>
      <c r="AC594" s="70"/>
      <c r="AD594" s="70"/>
      <c r="AE594" s="70"/>
      <c r="AF594" s="70"/>
      <c r="AG594" s="70"/>
      <c r="AH594" s="70"/>
      <c r="AI594" s="70"/>
      <c r="AJ594" s="70"/>
      <c r="AK594" s="70"/>
      <c r="AL594" s="70"/>
      <c r="AM594" s="70"/>
      <c r="AN594" s="70"/>
      <c r="AO594" s="70"/>
      <c r="AP594" s="70"/>
      <c r="AQ594" s="70"/>
      <c r="AR594" s="70"/>
      <c r="AS594" s="70"/>
    </row>
    <row r="595" spans="1:45" hidden="1" outlineLevel="1" x14ac:dyDescent="0.3">
      <c r="A595" s="56" t="s">
        <v>1033</v>
      </c>
      <c r="B595" s="56" t="s">
        <v>855</v>
      </c>
      <c r="C595" s="56" t="str">
        <f>'Contractor Assumptions'!B17</f>
        <v>Shasta Contractors</v>
      </c>
      <c r="D595" s="467" t="s">
        <v>204</v>
      </c>
      <c r="E595" s="467" t="s">
        <v>204</v>
      </c>
      <c r="F595" s="467" t="s">
        <v>204</v>
      </c>
      <c r="G595" s="467" t="s">
        <v>204</v>
      </c>
      <c r="H595" s="527" t="s">
        <v>204</v>
      </c>
      <c r="I595" s="57"/>
      <c r="J595" s="70"/>
      <c r="K595" s="70"/>
      <c r="L595" s="70"/>
      <c r="M595" s="70"/>
      <c r="N595" s="70"/>
      <c r="O595" s="70"/>
      <c r="P595" s="70"/>
      <c r="Z595" s="70"/>
      <c r="AA595" s="70"/>
      <c r="AB595" s="70"/>
      <c r="AC595" s="70"/>
      <c r="AD595" s="70"/>
      <c r="AE595" s="70"/>
      <c r="AF595" s="70"/>
      <c r="AG595" s="70"/>
      <c r="AH595" s="70"/>
      <c r="AI595" s="70"/>
      <c r="AJ595" s="70"/>
      <c r="AK595" s="70"/>
      <c r="AL595" s="70"/>
      <c r="AM595" s="70"/>
      <c r="AN595" s="70"/>
      <c r="AO595" s="70"/>
      <c r="AP595" s="70"/>
      <c r="AQ595" s="70"/>
      <c r="AR595" s="70"/>
      <c r="AS595" s="70"/>
    </row>
    <row r="596" spans="1:45" hidden="1" outlineLevel="1" x14ac:dyDescent="0.3">
      <c r="A596" s="56" t="s">
        <v>1033</v>
      </c>
      <c r="B596" s="56" t="s">
        <v>855</v>
      </c>
      <c r="C596" s="56" t="str">
        <f>'Contractor Assumptions'!B18</f>
        <v>Solano County Water Agency</v>
      </c>
      <c r="D596" s="467" t="s">
        <v>204</v>
      </c>
      <c r="E596" s="467" t="s">
        <v>204</v>
      </c>
      <c r="F596" s="467" t="s">
        <v>204</v>
      </c>
      <c r="G596" s="467" t="s">
        <v>204</v>
      </c>
      <c r="H596" s="527" t="s">
        <v>204</v>
      </c>
      <c r="I596" s="57"/>
      <c r="J596" s="70"/>
      <c r="K596" s="70"/>
      <c r="L596" s="70"/>
      <c r="M596" s="70"/>
      <c r="N596" s="70"/>
      <c r="O596" s="70"/>
      <c r="P596" s="70"/>
      <c r="Z596" s="70"/>
      <c r="AA596" s="70"/>
      <c r="AB596" s="70"/>
      <c r="AC596" s="70"/>
      <c r="AD596" s="70"/>
      <c r="AE596" s="70"/>
      <c r="AF596" s="70"/>
      <c r="AG596" s="70"/>
      <c r="AH596" s="70"/>
      <c r="AI596" s="70"/>
      <c r="AJ596" s="70"/>
      <c r="AK596" s="70"/>
      <c r="AL596" s="70"/>
      <c r="AM596" s="70"/>
      <c r="AN596" s="70"/>
      <c r="AO596" s="70"/>
      <c r="AP596" s="70"/>
      <c r="AQ596" s="70"/>
      <c r="AR596" s="70"/>
      <c r="AS596" s="70"/>
    </row>
    <row r="597" spans="1:45" hidden="1" outlineLevel="1" x14ac:dyDescent="0.3">
      <c r="A597" s="56" t="s">
        <v>1033</v>
      </c>
      <c r="B597" s="56" t="s">
        <v>894</v>
      </c>
      <c r="C597" s="56" t="str">
        <f>'Contractor Assumptions'!B19</f>
        <v>City of Avenal</v>
      </c>
      <c r="D597" s="467" t="s">
        <v>204</v>
      </c>
      <c r="E597" s="467" t="s">
        <v>204</v>
      </c>
      <c r="F597" s="467" t="s">
        <v>204</v>
      </c>
      <c r="G597" s="467" t="s">
        <v>204</v>
      </c>
      <c r="H597" s="527" t="s">
        <v>204</v>
      </c>
      <c r="I597" s="57"/>
      <c r="J597" s="70"/>
      <c r="K597" s="70"/>
      <c r="L597" s="70"/>
      <c r="M597" s="70"/>
      <c r="N597" s="70"/>
      <c r="O597" s="70"/>
      <c r="P597" s="70"/>
      <c r="Z597" s="70"/>
      <c r="AA597" s="70"/>
      <c r="AB597" s="70"/>
      <c r="AC597" s="70"/>
      <c r="AD597" s="70"/>
      <c r="AE597" s="70"/>
      <c r="AF597" s="70"/>
      <c r="AG597" s="70"/>
      <c r="AH597" s="70"/>
      <c r="AI597" s="70"/>
      <c r="AJ597" s="70"/>
      <c r="AK597" s="70"/>
      <c r="AL597" s="70"/>
      <c r="AM597" s="70"/>
      <c r="AN597" s="70"/>
      <c r="AO597" s="70"/>
      <c r="AP597" s="70"/>
      <c r="AQ597" s="70"/>
      <c r="AR597" s="70"/>
      <c r="AS597" s="70"/>
    </row>
    <row r="598" spans="1:45" hidden="1" outlineLevel="1" x14ac:dyDescent="0.3">
      <c r="A598" s="56" t="s">
        <v>1033</v>
      </c>
      <c r="B598" s="56" t="s">
        <v>894</v>
      </c>
      <c r="C598" s="56" t="str">
        <f>'Contractor Assumptions'!B20</f>
        <v>City of Coalinga</v>
      </c>
      <c r="D598" s="163">
        <f>'Demand and Conservation_Calcs'!L17</f>
        <v>216.11431280526358</v>
      </c>
      <c r="E598" s="163">
        <f>'Demand and Conservation_Calcs'!M17</f>
        <v>245.34950758684226</v>
      </c>
      <c r="F598" s="163">
        <f>'Demand and Conservation_Calcs'!N17</f>
        <v>278.62271269736902</v>
      </c>
      <c r="G598" s="163">
        <f>'Demand and Conservation_Calcs'!O17</f>
        <v>316.25696896315822</v>
      </c>
      <c r="H598" s="528">
        <f>'Demand and Conservation_Calcs'!P17</f>
        <v>316.25696896315822</v>
      </c>
      <c r="I598" s="57"/>
      <c r="J598" s="70"/>
      <c r="K598" s="70"/>
      <c r="L598" s="70"/>
      <c r="M598" s="70"/>
      <c r="N598" s="70"/>
      <c r="O598" s="70"/>
      <c r="P598" s="70"/>
      <c r="Z598" s="70"/>
      <c r="AA598" s="70"/>
      <c r="AB598" s="70"/>
      <c r="AC598" s="70"/>
      <c r="AD598" s="70"/>
      <c r="AE598" s="70"/>
      <c r="AF598" s="70"/>
      <c r="AG598" s="70"/>
      <c r="AH598" s="70"/>
      <c r="AI598" s="70"/>
      <c r="AJ598" s="70"/>
      <c r="AK598" s="70"/>
      <c r="AL598" s="70"/>
      <c r="AM598" s="70"/>
      <c r="AN598" s="70"/>
      <c r="AO598" s="70"/>
      <c r="AP598" s="70"/>
      <c r="AQ598" s="70"/>
      <c r="AR598" s="70"/>
      <c r="AS598" s="70"/>
    </row>
    <row r="599" spans="1:45" hidden="1" outlineLevel="1" x14ac:dyDescent="0.3">
      <c r="A599" s="56" t="s">
        <v>1033</v>
      </c>
      <c r="B599" s="56" t="s">
        <v>894</v>
      </c>
      <c r="C599" s="56" t="str">
        <f>'Contractor Assumptions'!B21</f>
        <v>City of Fresno</v>
      </c>
      <c r="D599" s="163">
        <f>'Demand and Conservation_Calcs'!L18</f>
        <v>6642.473684210534</v>
      </c>
      <c r="E599" s="163">
        <f>'Demand and Conservation_Calcs'!M18</f>
        <v>7171.3684210526408</v>
      </c>
      <c r="F599" s="163">
        <f>'Demand and Conservation_Calcs'!N18</f>
        <v>7505.3684210526408</v>
      </c>
      <c r="G599" s="163">
        <f>'Demand and Conservation_Calcs'!O18</f>
        <v>7839.9473684210679</v>
      </c>
      <c r="H599" s="528">
        <f>'Demand and Conservation_Calcs'!P18</f>
        <v>8174.7894736842136</v>
      </c>
      <c r="I599" s="57"/>
      <c r="J599" s="70"/>
      <c r="K599" s="70"/>
      <c r="L599" s="70"/>
      <c r="M599" s="70"/>
      <c r="N599" s="70"/>
      <c r="O599" s="70"/>
      <c r="P599" s="70"/>
      <c r="Z599" s="70"/>
      <c r="AA599" s="70"/>
      <c r="AB599" s="70"/>
      <c r="AC599" s="70"/>
      <c r="AD599" s="70"/>
      <c r="AE599" s="70"/>
      <c r="AF599" s="70"/>
      <c r="AG599" s="70"/>
      <c r="AH599" s="70"/>
      <c r="AI599" s="70"/>
      <c r="AJ599" s="70"/>
      <c r="AK599" s="70"/>
      <c r="AL599" s="70"/>
      <c r="AM599" s="70"/>
      <c r="AN599" s="70"/>
      <c r="AO599" s="70"/>
      <c r="AP599" s="70"/>
      <c r="AQ599" s="70"/>
      <c r="AR599" s="70"/>
      <c r="AS599" s="70"/>
    </row>
    <row r="600" spans="1:45" hidden="1" outlineLevel="1" x14ac:dyDescent="0.3">
      <c r="A600" s="56" t="s">
        <v>1033</v>
      </c>
      <c r="B600" s="56" t="s">
        <v>894</v>
      </c>
      <c r="C600" s="56" t="str">
        <f>'Contractor Assumptions'!B22</f>
        <v>City of Huron</v>
      </c>
      <c r="D600" s="467" t="s">
        <v>204</v>
      </c>
      <c r="E600" s="467" t="s">
        <v>204</v>
      </c>
      <c r="F600" s="467" t="s">
        <v>204</v>
      </c>
      <c r="G600" s="467" t="s">
        <v>204</v>
      </c>
      <c r="H600" s="527" t="s">
        <v>204</v>
      </c>
      <c r="I600" s="57"/>
      <c r="J600" s="70"/>
      <c r="K600" s="70"/>
      <c r="L600" s="70"/>
      <c r="M600" s="70"/>
      <c r="N600" s="70"/>
      <c r="O600" s="70"/>
      <c r="P600" s="70"/>
      <c r="Z600" s="70"/>
      <c r="AA600" s="70"/>
      <c r="AB600" s="70"/>
      <c r="AC600" s="70"/>
      <c r="AD600" s="70"/>
      <c r="AE600" s="70"/>
      <c r="AF600" s="70"/>
      <c r="AG600" s="70"/>
      <c r="AH600" s="70"/>
      <c r="AI600" s="70"/>
      <c r="AJ600" s="70"/>
      <c r="AK600" s="70"/>
      <c r="AL600" s="70"/>
      <c r="AM600" s="70"/>
      <c r="AN600" s="70"/>
      <c r="AO600" s="70"/>
      <c r="AP600" s="70"/>
      <c r="AQ600" s="70"/>
      <c r="AR600" s="70"/>
      <c r="AS600" s="70"/>
    </row>
    <row r="601" spans="1:45" hidden="1" outlineLevel="1" x14ac:dyDescent="0.3">
      <c r="A601" s="56" t="s">
        <v>1033</v>
      </c>
      <c r="B601" s="56" t="s">
        <v>894</v>
      </c>
      <c r="C601" s="56" t="str">
        <f>'Contractor Assumptions'!B23</f>
        <v>City of Lindsay</v>
      </c>
      <c r="D601" s="467" t="s">
        <v>204</v>
      </c>
      <c r="E601" s="467" t="s">
        <v>204</v>
      </c>
      <c r="F601" s="467" t="s">
        <v>204</v>
      </c>
      <c r="G601" s="467" t="s">
        <v>204</v>
      </c>
      <c r="H601" s="527" t="s">
        <v>204</v>
      </c>
      <c r="I601" s="57"/>
      <c r="J601" s="70"/>
      <c r="K601" s="70"/>
      <c r="L601" s="70"/>
      <c r="M601" s="70"/>
      <c r="N601" s="70"/>
      <c r="O601" s="70"/>
      <c r="P601" s="70"/>
      <c r="Z601" s="70"/>
      <c r="AA601" s="70"/>
      <c r="AB601" s="70"/>
      <c r="AC601" s="70"/>
      <c r="AD601" s="70"/>
      <c r="AE601" s="70"/>
      <c r="AF601" s="70"/>
      <c r="AG601" s="70"/>
      <c r="AH601" s="70"/>
      <c r="AI601" s="70"/>
      <c r="AJ601" s="70"/>
      <c r="AK601" s="70"/>
      <c r="AL601" s="70"/>
      <c r="AM601" s="70"/>
      <c r="AN601" s="70"/>
      <c r="AO601" s="70"/>
      <c r="AP601" s="70"/>
      <c r="AQ601" s="70"/>
      <c r="AR601" s="70"/>
      <c r="AS601" s="70"/>
    </row>
    <row r="602" spans="1:45" hidden="1" outlineLevel="1" x14ac:dyDescent="0.3">
      <c r="A602" s="56" t="s">
        <v>1033</v>
      </c>
      <c r="B602" s="56" t="s">
        <v>894</v>
      </c>
      <c r="C602" s="56" t="str">
        <f>'Contractor Assumptions'!B24</f>
        <v>City of Orange Cove</v>
      </c>
      <c r="D602" s="467" t="s">
        <v>204</v>
      </c>
      <c r="E602" s="467" t="s">
        <v>204</v>
      </c>
      <c r="F602" s="467" t="s">
        <v>204</v>
      </c>
      <c r="G602" s="467" t="s">
        <v>204</v>
      </c>
      <c r="H602" s="527" t="s">
        <v>204</v>
      </c>
      <c r="I602" s="57"/>
      <c r="J602" s="70"/>
      <c r="K602" s="70"/>
      <c r="L602" s="70"/>
      <c r="M602" s="70"/>
      <c r="N602" s="70"/>
      <c r="O602" s="70"/>
      <c r="P602" s="70"/>
      <c r="Z602" s="70"/>
      <c r="AA602" s="70"/>
      <c r="AB602" s="70"/>
      <c r="AC602" s="70"/>
      <c r="AD602" s="70"/>
      <c r="AE602" s="70"/>
      <c r="AF602" s="70"/>
      <c r="AG602" s="70"/>
      <c r="AH602" s="70"/>
      <c r="AI602" s="70"/>
      <c r="AJ602" s="70"/>
      <c r="AK602" s="70"/>
      <c r="AL602" s="70"/>
      <c r="AM602" s="70"/>
      <c r="AN602" s="70"/>
      <c r="AO602" s="70"/>
      <c r="AP602" s="70"/>
      <c r="AQ602" s="70"/>
      <c r="AR602" s="70"/>
      <c r="AS602" s="70"/>
    </row>
    <row r="603" spans="1:45" hidden="1" outlineLevel="1" x14ac:dyDescent="0.3">
      <c r="A603" s="56" t="s">
        <v>1033</v>
      </c>
      <c r="B603" s="56" t="s">
        <v>894</v>
      </c>
      <c r="C603" s="56" t="str">
        <f>'Contractor Assumptions'!B25</f>
        <v>City of Tracy</v>
      </c>
      <c r="D603" s="163">
        <f>'Demand and Conservation_Calcs'!L22</f>
        <v>975.77842105263335</v>
      </c>
      <c r="E603" s="163">
        <f>'Demand and Conservation_Calcs'!M22</f>
        <v>1099.0915789473693</v>
      </c>
      <c r="F603" s="163">
        <f>'Demand and Conservation_Calcs'!N22</f>
        <v>1224.5800000000017</v>
      </c>
      <c r="G603" s="163">
        <f>'Demand and Conservation_Calcs'!O22</f>
        <v>1351.405789473687</v>
      </c>
      <c r="H603" s="528">
        <f>'Demand and Conservation_Calcs'!P22</f>
        <v>1573.8542105263186</v>
      </c>
      <c r="I603" s="57"/>
      <c r="J603" s="70"/>
      <c r="K603" s="70"/>
      <c r="L603" s="70"/>
      <c r="M603" s="70"/>
      <c r="N603" s="70"/>
      <c r="O603" s="70"/>
      <c r="P603" s="70"/>
      <c r="Z603" s="70"/>
      <c r="AA603" s="70"/>
      <c r="AB603" s="70"/>
      <c r="AC603" s="70"/>
      <c r="AD603" s="70"/>
      <c r="AE603" s="70"/>
      <c r="AF603" s="70"/>
      <c r="AG603" s="70"/>
      <c r="AH603" s="70"/>
      <c r="AI603" s="70"/>
      <c r="AJ603" s="70"/>
      <c r="AK603" s="70"/>
      <c r="AL603" s="70"/>
      <c r="AM603" s="70"/>
      <c r="AN603" s="70"/>
      <c r="AO603" s="70"/>
      <c r="AP603" s="70"/>
      <c r="AQ603" s="70"/>
      <c r="AR603" s="70"/>
      <c r="AS603" s="70"/>
    </row>
    <row r="604" spans="1:45" hidden="1" outlineLevel="1" x14ac:dyDescent="0.3">
      <c r="A604" s="56" t="s">
        <v>1033</v>
      </c>
      <c r="B604" s="56" t="s">
        <v>894</v>
      </c>
      <c r="C604" s="56" t="str">
        <f>'Contractor Assumptions'!B26</f>
        <v>Kern County Water Agency</v>
      </c>
      <c r="D604" s="467" t="s">
        <v>204</v>
      </c>
      <c r="E604" s="467" t="s">
        <v>204</v>
      </c>
      <c r="F604" s="467" t="s">
        <v>204</v>
      </c>
      <c r="G604" s="467" t="s">
        <v>204</v>
      </c>
      <c r="H604" s="527" t="s">
        <v>204</v>
      </c>
      <c r="I604" s="57"/>
      <c r="J604" s="70"/>
      <c r="K604" s="70"/>
      <c r="L604" s="70"/>
      <c r="M604" s="70"/>
      <c r="N604" s="70"/>
      <c r="O604" s="70"/>
      <c r="P604" s="70"/>
      <c r="Z604" s="70"/>
      <c r="AA604" s="70"/>
      <c r="AB604" s="70"/>
      <c r="AC604" s="70"/>
      <c r="AD604" s="70"/>
      <c r="AE604" s="70"/>
      <c r="AF604" s="70"/>
      <c r="AG604" s="70"/>
      <c r="AH604" s="70"/>
      <c r="AI604" s="70"/>
      <c r="AJ604" s="70"/>
      <c r="AK604" s="70"/>
      <c r="AL604" s="70"/>
      <c r="AM604" s="70"/>
      <c r="AN604" s="70"/>
      <c r="AO604" s="70"/>
      <c r="AP604" s="70"/>
      <c r="AQ604" s="70"/>
      <c r="AR604" s="70"/>
      <c r="AS604" s="70"/>
    </row>
    <row r="605" spans="1:45" hidden="1" outlineLevel="1" x14ac:dyDescent="0.3">
      <c r="A605" s="56" t="s">
        <v>1033</v>
      </c>
      <c r="B605" s="56" t="s">
        <v>894</v>
      </c>
      <c r="C605" s="56" t="str">
        <f>'Contractor Assumptions'!B27</f>
        <v>Other Friant-Kern M&amp;I Contractors</v>
      </c>
      <c r="D605" s="467" t="s">
        <v>204</v>
      </c>
      <c r="E605" s="467" t="s">
        <v>204</v>
      </c>
      <c r="F605" s="467" t="s">
        <v>204</v>
      </c>
      <c r="G605" s="467" t="s">
        <v>204</v>
      </c>
      <c r="H605" s="527" t="s">
        <v>204</v>
      </c>
      <c r="I605" s="57"/>
      <c r="J605" s="70"/>
      <c r="K605" s="70"/>
      <c r="L605" s="70"/>
      <c r="M605" s="70"/>
      <c r="N605" s="70"/>
      <c r="O605" s="70"/>
      <c r="P605" s="70"/>
      <c r="Z605" s="70"/>
      <c r="AA605" s="70"/>
      <c r="AB605" s="70"/>
      <c r="AC605" s="70"/>
      <c r="AD605" s="70"/>
      <c r="AE605" s="70"/>
      <c r="AF605" s="70"/>
      <c r="AG605" s="70"/>
      <c r="AH605" s="70"/>
      <c r="AI605" s="70"/>
      <c r="AJ605" s="70"/>
      <c r="AK605" s="70"/>
      <c r="AL605" s="70"/>
      <c r="AM605" s="70"/>
      <c r="AN605" s="70"/>
      <c r="AO605" s="70"/>
      <c r="AP605" s="70"/>
      <c r="AQ605" s="70"/>
      <c r="AR605" s="70"/>
      <c r="AS605" s="70"/>
    </row>
    <row r="606" spans="1:45" hidden="1" outlineLevel="1" x14ac:dyDescent="0.3">
      <c r="A606" s="56" t="s">
        <v>1033</v>
      </c>
      <c r="B606" s="56" t="s">
        <v>894</v>
      </c>
      <c r="C606" s="56" t="str">
        <f>'Contractor Assumptions'!B28</f>
        <v>Stockton-East Water District</v>
      </c>
      <c r="D606" s="163">
        <f>'Demand and Conservation_Calcs'!L25</f>
        <v>2755.1578947368471</v>
      </c>
      <c r="E606" s="163">
        <f>'Demand and Conservation_Calcs'!M25</f>
        <v>2895.2105263157937</v>
      </c>
      <c r="F606" s="163">
        <f>'Demand and Conservation_Calcs'!N25</f>
        <v>3147.7894736842136</v>
      </c>
      <c r="G606" s="163">
        <f>'Demand and Conservation_Calcs'!O25</f>
        <v>3398.7894736842136</v>
      </c>
      <c r="H606" s="528">
        <f>'Demand and Conservation_Calcs'!P25</f>
        <v>3399.6315789473738</v>
      </c>
      <c r="I606" s="57"/>
      <c r="J606" s="70"/>
      <c r="K606" s="70"/>
      <c r="L606" s="70"/>
      <c r="M606" s="70"/>
      <c r="N606" s="70"/>
      <c r="O606" s="70"/>
      <c r="P606" s="70"/>
      <c r="Z606" s="70"/>
      <c r="AA606" s="70"/>
      <c r="AB606" s="70"/>
      <c r="AC606" s="70"/>
      <c r="AD606" s="70"/>
      <c r="AE606" s="70"/>
      <c r="AF606" s="70"/>
      <c r="AG606" s="70"/>
      <c r="AH606" s="70"/>
      <c r="AI606" s="70"/>
      <c r="AJ606" s="70"/>
      <c r="AK606" s="70"/>
      <c r="AL606" s="70"/>
      <c r="AM606" s="70"/>
      <c r="AN606" s="70"/>
      <c r="AO606" s="70"/>
      <c r="AP606" s="70"/>
      <c r="AQ606" s="70"/>
      <c r="AR606" s="70"/>
      <c r="AS606" s="70"/>
    </row>
    <row r="607" spans="1:45" hidden="1" outlineLevel="1" x14ac:dyDescent="0.3">
      <c r="A607" s="56" t="s">
        <v>1033</v>
      </c>
      <c r="B607" s="56" t="s">
        <v>915</v>
      </c>
      <c r="C607" s="56" t="str">
        <f>'Contractor Assumptions'!B29</f>
        <v>Alameda County Flood Control and Water Conservation District, Zone 7</v>
      </c>
      <c r="D607" s="163">
        <f>'Demand and Conservation_Calcs'!L26</f>
        <v>2151.6490161842157</v>
      </c>
      <c r="E607" s="163">
        <f>'Demand and Conservation_Calcs'!M26</f>
        <v>2254.8865572552677</v>
      </c>
      <c r="F607" s="163">
        <f>'Demand and Conservation_Calcs'!N26</f>
        <v>2316.7030456947396</v>
      </c>
      <c r="G607" s="163">
        <f>'Demand and Conservation_Calcs'!O26</f>
        <v>2360.8280722552663</v>
      </c>
      <c r="H607" s="528">
        <f>'Demand and Conservation_Calcs'!P26</f>
        <v>2375.0912301499993</v>
      </c>
      <c r="I607" s="57"/>
      <c r="J607" s="70"/>
      <c r="K607" s="70"/>
      <c r="L607" s="70"/>
      <c r="M607" s="70"/>
      <c r="N607" s="70"/>
      <c r="O607" s="70"/>
      <c r="P607" s="70"/>
      <c r="Z607" s="70"/>
      <c r="AA607" s="70"/>
      <c r="AB607" s="70"/>
      <c r="AC607" s="70"/>
      <c r="AD607" s="70"/>
      <c r="AE607" s="70"/>
      <c r="AF607" s="70"/>
      <c r="AG607" s="70"/>
      <c r="AH607" s="70"/>
      <c r="AI607" s="70"/>
      <c r="AJ607" s="70"/>
      <c r="AK607" s="70"/>
      <c r="AL607" s="70"/>
      <c r="AM607" s="70"/>
      <c r="AN607" s="70"/>
      <c r="AO607" s="70"/>
      <c r="AP607" s="70"/>
      <c r="AQ607" s="70"/>
      <c r="AR607" s="70"/>
      <c r="AS607" s="70"/>
    </row>
    <row r="608" spans="1:45" hidden="1" outlineLevel="1" x14ac:dyDescent="0.3">
      <c r="A608" s="56" t="s">
        <v>1033</v>
      </c>
      <c r="B608" s="56" t="s">
        <v>915</v>
      </c>
      <c r="C608" s="56" t="str">
        <f>'Contractor Assumptions'!B30</f>
        <v>Alameda County Water District</v>
      </c>
      <c r="D608" s="163">
        <f>'Demand and Conservation_Calcs'!L27</f>
        <v>2136.8421052631602</v>
      </c>
      <c r="E608" s="163">
        <f>'Demand and Conservation_Calcs'!M27</f>
        <v>2115.7894736842136</v>
      </c>
      <c r="F608" s="163">
        <f>'Demand and Conservation_Calcs'!N27</f>
        <v>2105.2631578947403</v>
      </c>
      <c r="G608" s="163">
        <f>'Demand and Conservation_Calcs'!O27</f>
        <v>2110.5263157894733</v>
      </c>
      <c r="H608" s="528">
        <f>'Demand and Conservation_Calcs'!P27</f>
        <v>2489.4736842105267</v>
      </c>
      <c r="I608" s="57"/>
      <c r="J608" s="70"/>
      <c r="K608" s="70"/>
      <c r="L608" s="70"/>
      <c r="M608" s="70"/>
      <c r="N608" s="70"/>
      <c r="O608" s="70"/>
      <c r="P608" s="70"/>
    </row>
    <row r="609" spans="1:45" hidden="1" outlineLevel="1" x14ac:dyDescent="0.3">
      <c r="A609" s="56" t="s">
        <v>1033</v>
      </c>
      <c r="B609" s="56" t="s">
        <v>915</v>
      </c>
      <c r="C609" s="56" t="str">
        <f>'Contractor Assumptions'!B31</f>
        <v>Contra Costa Water District</v>
      </c>
      <c r="D609" s="163">
        <f>'Demand and Conservation_Calcs'!L28</f>
        <v>2550</v>
      </c>
      <c r="E609" s="163">
        <f>'Demand and Conservation_Calcs'!M28</f>
        <v>4200</v>
      </c>
      <c r="F609" s="163">
        <f>'Demand and Conservation_Calcs'!N28</f>
        <v>5540</v>
      </c>
      <c r="G609" s="163">
        <f>'Demand and Conservation_Calcs'!O28</f>
        <v>6540</v>
      </c>
      <c r="H609" s="528">
        <f>'Demand and Conservation_Calcs'!P28</f>
        <v>7310</v>
      </c>
      <c r="I609" s="57"/>
      <c r="J609" s="70"/>
      <c r="K609" s="70"/>
      <c r="L609" s="70"/>
      <c r="M609" s="70"/>
      <c r="N609" s="70"/>
      <c r="O609" s="70"/>
      <c r="P609" s="70"/>
    </row>
    <row r="610" spans="1:45" hidden="1" outlineLevel="1" x14ac:dyDescent="0.3">
      <c r="A610" s="56" t="s">
        <v>1033</v>
      </c>
      <c r="B610" s="56" t="s">
        <v>915</v>
      </c>
      <c r="C610" s="56" t="str">
        <f>'Contractor Assumptions'!B32</f>
        <v>East Bay Municipal Utilities District</v>
      </c>
      <c r="D610" s="163">
        <f>'Demand and Conservation_Calcs'!L29</f>
        <v>0</v>
      </c>
      <c r="E610" s="163">
        <f>'Demand and Conservation_Calcs'!M29</f>
        <v>0</v>
      </c>
      <c r="F610" s="163">
        <f>'Demand and Conservation_Calcs'!N29</f>
        <v>0</v>
      </c>
      <c r="G610" s="163">
        <f>'Demand and Conservation_Calcs'!O29</f>
        <v>0</v>
      </c>
      <c r="H610" s="528">
        <f>'Demand and Conservation_Calcs'!P29</f>
        <v>0</v>
      </c>
      <c r="I610" s="57"/>
      <c r="J610" s="70"/>
      <c r="K610" s="70"/>
      <c r="L610" s="70"/>
      <c r="M610" s="70"/>
      <c r="N610" s="70"/>
      <c r="O610" s="70"/>
      <c r="P610" s="70"/>
    </row>
    <row r="611" spans="1:45" hidden="1" outlineLevel="1" x14ac:dyDescent="0.3">
      <c r="A611" s="56" t="s">
        <v>1033</v>
      </c>
      <c r="B611" s="56" t="s">
        <v>915</v>
      </c>
      <c r="C611" s="56" t="str">
        <f>'Contractor Assumptions'!B33</f>
        <v>San Benito County Water District, Zone 6</v>
      </c>
      <c r="D611" s="163">
        <f>'Demand and Conservation_Calcs'!L30</f>
        <v>340.05263157894751</v>
      </c>
      <c r="E611" s="163">
        <f>'Demand and Conservation_Calcs'!M30</f>
        <v>402.15789473684254</v>
      </c>
      <c r="F611" s="163">
        <f>'Demand and Conservation_Calcs'!N30</f>
        <v>472.4210526315801</v>
      </c>
      <c r="G611" s="163">
        <f>'Demand and Conservation_Calcs'!O30</f>
        <v>544.73684210526335</v>
      </c>
      <c r="H611" s="528">
        <f>'Demand and Conservation_Calcs'!P30</f>
        <v>544.73684210526335</v>
      </c>
      <c r="I611" s="57"/>
      <c r="J611" s="71"/>
      <c r="K611" s="71"/>
      <c r="L611" s="71"/>
      <c r="M611" s="71"/>
      <c r="N611" s="71"/>
      <c r="O611" s="70"/>
      <c r="P611" s="70"/>
    </row>
    <row r="612" spans="1:45" hidden="1" outlineLevel="1" x14ac:dyDescent="0.3">
      <c r="A612" s="56" t="s">
        <v>1033</v>
      </c>
      <c r="B612" s="56" t="s">
        <v>915</v>
      </c>
      <c r="C612" s="56" t="str">
        <f>'Contractor Assumptions'!B34</f>
        <v>Santa Clara Valley Water District</v>
      </c>
      <c r="D612" s="163">
        <f>'Demand and Conservation_Calcs'!L31</f>
        <v>40000</v>
      </c>
      <c r="E612" s="163">
        <f>'Demand and Conservation_Calcs'!M31</f>
        <v>53000</v>
      </c>
      <c r="F612" s="163">
        <f>'Demand and Conservation_Calcs'!N31</f>
        <v>58000</v>
      </c>
      <c r="G612" s="163">
        <f>'Demand and Conservation_Calcs'!O31</f>
        <v>62000</v>
      </c>
      <c r="H612" s="528">
        <f>'Demand and Conservation_Calcs'!P31</f>
        <v>62000</v>
      </c>
      <c r="I612" s="57"/>
      <c r="J612" s="70"/>
      <c r="K612" s="70"/>
      <c r="L612" s="70"/>
      <c r="M612" s="70"/>
      <c r="N612" s="70"/>
      <c r="O612" s="70"/>
      <c r="P612" s="70"/>
    </row>
    <row r="613" spans="1:45" hidden="1" outlineLevel="1" x14ac:dyDescent="0.3">
      <c r="A613" s="56" t="s">
        <v>1033</v>
      </c>
      <c r="B613" s="56" t="s">
        <v>934</v>
      </c>
      <c r="C613" s="56" t="str">
        <f>'Contractor Assumptions'!B35</f>
        <v>San Luis Obispo County Flood Control &amp; Water Conservation District</v>
      </c>
      <c r="D613" s="163">
        <f>'Demand and Conservation_Calcs'!L32</f>
        <v>208</v>
      </c>
      <c r="E613" s="163">
        <f>'Demand and Conservation_Calcs'!M32</f>
        <v>213.63157894736833</v>
      </c>
      <c r="F613" s="163">
        <f>'Demand and Conservation_Calcs'!N32</f>
        <v>219</v>
      </c>
      <c r="G613" s="163">
        <f>'Demand and Conservation_Calcs'!O32</f>
        <v>224.52631578947421</v>
      </c>
      <c r="H613" s="528">
        <f>'Demand and Conservation_Calcs'!P32</f>
        <v>230.10526315789502</v>
      </c>
      <c r="I613" s="57"/>
      <c r="J613" s="70"/>
      <c r="K613" s="70"/>
      <c r="L613" s="70"/>
      <c r="M613" s="70"/>
      <c r="N613" s="70"/>
      <c r="O613" s="70"/>
      <c r="P613" s="70"/>
    </row>
    <row r="614" spans="1:45" hidden="1" outlineLevel="1" x14ac:dyDescent="0.3">
      <c r="A614" s="56" t="s">
        <v>1033</v>
      </c>
      <c r="B614" s="56" t="s">
        <v>934</v>
      </c>
      <c r="C614" s="56" t="str">
        <f>'Contractor Assumptions'!B36</f>
        <v>Santa Barbara County Flood Control &amp; Water Conservation District</v>
      </c>
      <c r="D614" s="467" t="s">
        <v>204</v>
      </c>
      <c r="E614" s="467" t="s">
        <v>204</v>
      </c>
      <c r="F614" s="467" t="s">
        <v>204</v>
      </c>
      <c r="G614" s="467" t="s">
        <v>204</v>
      </c>
      <c r="H614" s="527" t="s">
        <v>204</v>
      </c>
      <c r="I614" s="57"/>
      <c r="J614" s="70"/>
      <c r="K614" s="70"/>
      <c r="L614" s="70"/>
      <c r="M614" s="70"/>
      <c r="N614" s="70"/>
      <c r="O614" s="70"/>
      <c r="P614" s="70"/>
    </row>
    <row r="615" spans="1:45" hidden="1" outlineLevel="1" x14ac:dyDescent="0.3">
      <c r="A615" s="56" t="s">
        <v>1033</v>
      </c>
      <c r="B615" s="56" t="s">
        <v>940</v>
      </c>
      <c r="C615" s="56" t="str">
        <f>'Contractor Assumptions'!B37</f>
        <v>Antelope Valley-East Kern Water Agency</v>
      </c>
      <c r="D615" s="163">
        <f>'Demand and Conservation_Calcs'!L34</f>
        <v>1331.4468430993911</v>
      </c>
      <c r="E615" s="163">
        <f>'Demand and Conservation_Calcs'!M34</f>
        <v>1527.6715228484209</v>
      </c>
      <c r="F615" s="163">
        <f>'Demand and Conservation_Calcs'!N34</f>
        <v>1554.2996014228702</v>
      </c>
      <c r="G615" s="163">
        <f>'Demand and Conservation_Calcs'!O34</f>
        <v>1654.0715085907104</v>
      </c>
      <c r="H615" s="528">
        <f>'Demand and Conservation_Calcs'!P34</f>
        <v>1725.3895584731072</v>
      </c>
      <c r="I615" s="57"/>
      <c r="J615" s="70"/>
      <c r="K615" s="70"/>
      <c r="L615" s="70"/>
      <c r="M615" s="70"/>
      <c r="N615" s="70"/>
      <c r="O615" s="70"/>
      <c r="P615" s="70"/>
    </row>
    <row r="616" spans="1:45" hidden="1" outlineLevel="1" x14ac:dyDescent="0.3">
      <c r="A616" s="56" t="s">
        <v>1033</v>
      </c>
      <c r="B616" s="56" t="s">
        <v>940</v>
      </c>
      <c r="C616" s="56" t="str">
        <f>'Contractor Assumptions'!B38</f>
        <v>Santa Clarita Water Division</v>
      </c>
      <c r="D616" s="163">
        <f>'Demand and Conservation_Calcs'!L35</f>
        <v>10095.025822368421</v>
      </c>
      <c r="E616" s="163">
        <f>'Demand and Conservation_Calcs'!M35</f>
        <v>10628.043185789487</v>
      </c>
      <c r="F616" s="163">
        <f>'Demand and Conservation_Calcs'!N35</f>
        <v>11322.580962368433</v>
      </c>
      <c r="G616" s="163">
        <f>'Demand and Conservation_Calcs'!O35</f>
        <v>11677.925871315791</v>
      </c>
      <c r="H616" s="528">
        <f>'Demand and Conservation_Calcs'!P35</f>
        <v>11952.510573684209</v>
      </c>
      <c r="I616" s="57"/>
      <c r="J616" s="70"/>
      <c r="K616" s="70"/>
      <c r="L616" s="70"/>
      <c r="M616" s="70"/>
      <c r="N616" s="70"/>
      <c r="O616" s="70"/>
      <c r="P616" s="70"/>
    </row>
    <row r="617" spans="1:45" hidden="1" outlineLevel="1" x14ac:dyDescent="0.3">
      <c r="A617" s="56" t="s">
        <v>1033</v>
      </c>
      <c r="B617" s="56" t="s">
        <v>940</v>
      </c>
      <c r="C617" s="56" t="str">
        <f>'Contractor Assumptions'!B39</f>
        <v>Coachella Valley Water District</v>
      </c>
      <c r="D617" s="467" t="s">
        <v>204</v>
      </c>
      <c r="E617" s="467" t="s">
        <v>204</v>
      </c>
      <c r="F617" s="467" t="s">
        <v>204</v>
      </c>
      <c r="G617" s="467" t="s">
        <v>204</v>
      </c>
      <c r="H617" s="527" t="s">
        <v>204</v>
      </c>
      <c r="I617" s="57"/>
      <c r="J617" s="70"/>
      <c r="K617" s="70"/>
      <c r="L617" s="70"/>
      <c r="M617" s="70"/>
      <c r="N617" s="70"/>
      <c r="O617" s="70"/>
      <c r="P617" s="70"/>
    </row>
    <row r="618" spans="1:45" hidden="1" outlineLevel="1" x14ac:dyDescent="0.3">
      <c r="A618" s="56" t="s">
        <v>1033</v>
      </c>
      <c r="B618" s="56" t="s">
        <v>940</v>
      </c>
      <c r="C618" s="56" t="str">
        <f>'Contractor Assumptions'!B40</f>
        <v>Crestline-Lake Arrowhead Water Agency</v>
      </c>
      <c r="D618" s="467" t="s">
        <v>204</v>
      </c>
      <c r="E618" s="467" t="s">
        <v>204</v>
      </c>
      <c r="F618" s="467" t="s">
        <v>204</v>
      </c>
      <c r="G618" s="467" t="s">
        <v>204</v>
      </c>
      <c r="H618" s="527" t="s">
        <v>204</v>
      </c>
      <c r="I618" s="57"/>
      <c r="J618" s="70"/>
      <c r="K618" s="70"/>
      <c r="L618" s="70"/>
      <c r="M618" s="70"/>
      <c r="N618" s="70"/>
      <c r="O618" s="70"/>
      <c r="P618" s="70"/>
    </row>
    <row r="619" spans="1:45" hidden="1" outlineLevel="1" x14ac:dyDescent="0.3">
      <c r="A619" s="56" t="s">
        <v>1033</v>
      </c>
      <c r="B619" s="56" t="s">
        <v>940</v>
      </c>
      <c r="C619" s="56" t="str">
        <f>'Contractor Assumptions'!B41</f>
        <v>Desert Water Agency</v>
      </c>
      <c r="D619" s="467" t="s">
        <v>204</v>
      </c>
      <c r="E619" s="467" t="s">
        <v>204</v>
      </c>
      <c r="F619" s="467" t="s">
        <v>204</v>
      </c>
      <c r="G619" s="467" t="s">
        <v>204</v>
      </c>
      <c r="H619" s="527" t="s">
        <v>204</v>
      </c>
      <c r="I619" s="57"/>
      <c r="J619" s="70"/>
      <c r="K619" s="70"/>
      <c r="L619" s="70"/>
      <c r="M619" s="70"/>
      <c r="N619" s="70"/>
      <c r="O619" s="70"/>
      <c r="P619" s="70"/>
    </row>
    <row r="620" spans="1:45" hidden="1" outlineLevel="1" x14ac:dyDescent="0.3">
      <c r="A620" s="56" t="s">
        <v>1033</v>
      </c>
      <c r="B620" s="56" t="s">
        <v>940</v>
      </c>
      <c r="C620" s="56" t="str">
        <f>'Contractor Assumptions'!B42</f>
        <v>Metropolitan Water District of Southern California</v>
      </c>
      <c r="D620" s="163">
        <f>'Demand and Conservation_Calcs'!L39</f>
        <v>1162000</v>
      </c>
      <c r="E620" s="163">
        <f>'Demand and Conservation_Calcs'!M39</f>
        <v>1211000</v>
      </c>
      <c r="F620" s="163">
        <f>'Demand and Conservation_Calcs'!N39</f>
        <v>1263000</v>
      </c>
      <c r="G620" s="163">
        <f>'Demand and Conservation_Calcs'!O39</f>
        <v>1325000</v>
      </c>
      <c r="H620" s="528">
        <f>'Demand and Conservation_Calcs'!P39</f>
        <v>1389000</v>
      </c>
      <c r="I620" s="57" t="s">
        <v>1034</v>
      </c>
      <c r="J620" s="70"/>
      <c r="K620" s="70"/>
      <c r="L620" s="70"/>
      <c r="M620" s="70"/>
      <c r="N620" s="70"/>
      <c r="O620" s="70"/>
      <c r="P620" s="70"/>
    </row>
    <row r="621" spans="1:45" hidden="1" outlineLevel="1" x14ac:dyDescent="0.3">
      <c r="A621" s="56" t="s">
        <v>1033</v>
      </c>
      <c r="B621" s="56" t="s">
        <v>940</v>
      </c>
      <c r="C621" s="56" t="str">
        <f>'Contractor Assumptions'!B43</f>
        <v>Mojave Water Agency</v>
      </c>
      <c r="D621" s="163">
        <f>'Demand and Conservation_Calcs'!L40</f>
        <v>4614.3947368421068</v>
      </c>
      <c r="E621" s="163">
        <f>'Demand and Conservation_Calcs'!M40</f>
        <v>4775.0263157894806</v>
      </c>
      <c r="F621" s="163">
        <f>'Demand and Conservation_Calcs'!N40</f>
        <v>4857.3421052631602</v>
      </c>
      <c r="G621" s="163">
        <f>'Demand and Conservation_Calcs'!O40</f>
        <v>4936.0894736842165</v>
      </c>
      <c r="H621" s="528">
        <f>'Demand and Conservation_Calcs'!P40</f>
        <v>5034.3000000000029</v>
      </c>
      <c r="I621" s="57"/>
      <c r="J621" s="70"/>
      <c r="K621" s="70"/>
      <c r="L621" s="70"/>
      <c r="M621" s="70"/>
      <c r="N621" s="70"/>
      <c r="O621" s="70"/>
      <c r="P621" s="70"/>
    </row>
    <row r="622" spans="1:45" hidden="1" outlineLevel="1" x14ac:dyDescent="0.3">
      <c r="A622" s="56" t="s">
        <v>1033</v>
      </c>
      <c r="B622" s="56" t="s">
        <v>940</v>
      </c>
      <c r="C622" s="56" t="str">
        <f>'Contractor Assumptions'!B44</f>
        <v>Palmdale Water District &amp; Littlerock Creek Irrigation District</v>
      </c>
      <c r="D622" s="163">
        <f>'Demand and Conservation_Calcs'!L41</f>
        <v>867.36842105263349</v>
      </c>
      <c r="E622" s="163">
        <f>'Demand and Conservation_Calcs'!M41</f>
        <v>893.15789473684345</v>
      </c>
      <c r="F622" s="163">
        <f>'Demand and Conservation_Calcs'!N41</f>
        <v>949.4736842105267</v>
      </c>
      <c r="G622" s="163">
        <f>'Demand and Conservation_Calcs'!O41</f>
        <v>1012.6315789473701</v>
      </c>
      <c r="H622" s="528">
        <f>'Demand and Conservation_Calcs'!P41</f>
        <v>1079.4736842105267</v>
      </c>
      <c r="I622" s="57"/>
      <c r="J622" s="70"/>
      <c r="K622" s="70"/>
      <c r="L622" s="70"/>
      <c r="M622" s="70"/>
      <c r="N622" s="70"/>
      <c r="O622" s="70"/>
      <c r="P622" s="70"/>
    </row>
    <row r="623" spans="1:45" hidden="1" outlineLevel="1" x14ac:dyDescent="0.3">
      <c r="A623" s="56" t="s">
        <v>1033</v>
      </c>
      <c r="B623" s="56" t="s">
        <v>940</v>
      </c>
      <c r="C623" s="56" t="str">
        <f>'Contractor Assumptions'!B45</f>
        <v>San Bernardino Valley Municipal Water District</v>
      </c>
      <c r="D623" s="163">
        <f>'Demand and Conservation_Calcs'!L42</f>
        <v>1355.4</v>
      </c>
      <c r="E623" s="163">
        <f>'Demand and Conservation_Calcs'!M42</f>
        <v>1410.45</v>
      </c>
      <c r="F623" s="163">
        <f>'Demand and Conservation_Calcs'!N42</f>
        <v>1435.1000000000001</v>
      </c>
      <c r="G623" s="163">
        <f>'Demand and Conservation_Calcs'!O42</f>
        <v>1464.4</v>
      </c>
      <c r="H623" s="528">
        <f>'Demand and Conservation_Calcs'!P42</f>
        <v>1499.2</v>
      </c>
      <c r="I623" s="57"/>
      <c r="J623" s="70"/>
      <c r="K623" s="70"/>
      <c r="L623" s="70"/>
      <c r="M623" s="70"/>
      <c r="N623" s="70"/>
      <c r="O623" s="70"/>
      <c r="P623" s="70"/>
    </row>
    <row r="624" spans="1:45" hidden="1" outlineLevel="1" x14ac:dyDescent="0.3">
      <c r="A624" s="56" t="s">
        <v>1033</v>
      </c>
      <c r="B624" s="56" t="s">
        <v>940</v>
      </c>
      <c r="C624" s="56" t="str">
        <f>'Contractor Assumptions'!B46</f>
        <v>San Gabriel Valley Municipal Water District</v>
      </c>
      <c r="D624" s="467" t="s">
        <v>204</v>
      </c>
      <c r="E624" s="467" t="s">
        <v>204</v>
      </c>
      <c r="F624" s="467" t="s">
        <v>204</v>
      </c>
      <c r="G624" s="467" t="s">
        <v>204</v>
      </c>
      <c r="H624" s="527" t="s">
        <v>204</v>
      </c>
      <c r="I624" s="57"/>
      <c r="J624" s="70"/>
      <c r="K624" s="70"/>
      <c r="L624" s="70"/>
      <c r="M624" s="70"/>
      <c r="N624" s="70"/>
      <c r="O624" s="70"/>
      <c r="P624" s="70"/>
      <c r="Z624" s="70"/>
      <c r="AA624" s="70"/>
      <c r="AB624" s="70"/>
      <c r="AC624" s="70"/>
      <c r="AD624" s="70"/>
      <c r="AE624" s="70"/>
      <c r="AF624" s="70"/>
      <c r="AG624" s="70"/>
      <c r="AH624" s="70"/>
      <c r="AI624" s="70"/>
      <c r="AJ624" s="70"/>
      <c r="AK624" s="70"/>
      <c r="AL624" s="70"/>
      <c r="AM624" s="70"/>
      <c r="AN624" s="70"/>
      <c r="AO624" s="70"/>
      <c r="AP624" s="70"/>
      <c r="AQ624" s="70"/>
      <c r="AR624" s="70"/>
      <c r="AS624" s="70"/>
    </row>
    <row r="625" spans="1:45" hidden="1" outlineLevel="1" x14ac:dyDescent="0.3">
      <c r="A625" s="56" t="s">
        <v>1033</v>
      </c>
      <c r="B625" s="56" t="s">
        <v>940</v>
      </c>
      <c r="C625" s="56" t="str">
        <f>'Contractor Assumptions'!B47</f>
        <v>San Gorgonio Pass Water Agency</v>
      </c>
      <c r="D625" s="163">
        <f>'Demand and Conservation_Calcs'!L44</f>
        <v>1434.8421052631602</v>
      </c>
      <c r="E625" s="163">
        <f>'Demand and Conservation_Calcs'!M44</f>
        <v>1646.4947368421053</v>
      </c>
      <c r="F625" s="163">
        <f>'Demand and Conservation_Calcs'!N44</f>
        <v>1769.6526315789524</v>
      </c>
      <c r="G625" s="163">
        <f>'Demand and Conservation_Calcs'!O44</f>
        <v>1880.7578947368456</v>
      </c>
      <c r="H625" s="528">
        <f>'Demand and Conservation_Calcs'!P44</f>
        <v>1979.1263157894791</v>
      </c>
      <c r="I625" s="57"/>
      <c r="J625" s="70"/>
      <c r="K625" s="70"/>
      <c r="L625" s="70"/>
      <c r="M625" s="70"/>
      <c r="N625" s="70"/>
      <c r="O625" s="70"/>
      <c r="P625" s="70"/>
      <c r="Z625" s="70"/>
      <c r="AA625" s="70"/>
      <c r="AB625" s="70"/>
      <c r="AC625" s="70"/>
      <c r="AD625" s="70"/>
      <c r="AE625" s="70"/>
      <c r="AF625" s="70"/>
      <c r="AG625" s="70"/>
      <c r="AH625" s="70"/>
      <c r="AI625" s="70"/>
      <c r="AJ625" s="70"/>
      <c r="AK625" s="70"/>
      <c r="AL625" s="70"/>
      <c r="AM625" s="70"/>
      <c r="AN625" s="70"/>
      <c r="AO625" s="70"/>
      <c r="AP625" s="70"/>
      <c r="AQ625" s="70"/>
      <c r="AR625" s="70"/>
      <c r="AS625" s="70"/>
    </row>
    <row r="626" spans="1:45" hidden="1" outlineLevel="1" x14ac:dyDescent="0.3">
      <c r="A626" s="56" t="s">
        <v>1033</v>
      </c>
      <c r="B626" s="56" t="s">
        <v>940</v>
      </c>
      <c r="C626" s="56" t="str">
        <f>'Contractor Assumptions'!B48</f>
        <v>Ventura County Watershed Protection District</v>
      </c>
      <c r="D626" s="467" t="s">
        <v>204</v>
      </c>
      <c r="E626" s="467" t="s">
        <v>204</v>
      </c>
      <c r="F626" s="467" t="s">
        <v>204</v>
      </c>
      <c r="G626" s="467" t="s">
        <v>204</v>
      </c>
      <c r="H626" s="527" t="s">
        <v>204</v>
      </c>
      <c r="I626" s="57"/>
      <c r="J626" s="70"/>
      <c r="K626" s="70"/>
      <c r="L626" s="70"/>
      <c r="M626" s="70"/>
      <c r="N626" s="70"/>
      <c r="O626" s="70"/>
      <c r="P626" s="70"/>
      <c r="Z626" s="70"/>
      <c r="AA626" s="70"/>
      <c r="AB626" s="70"/>
      <c r="AC626" s="70"/>
      <c r="AD626" s="70"/>
      <c r="AE626" s="70"/>
      <c r="AF626" s="70"/>
      <c r="AG626" s="70"/>
      <c r="AH626" s="70"/>
      <c r="AI626" s="70"/>
      <c r="AJ626" s="70"/>
      <c r="AK626" s="70"/>
      <c r="AL626" s="70"/>
      <c r="AM626" s="70"/>
      <c r="AN626" s="70"/>
      <c r="AO626" s="70"/>
      <c r="AP626" s="70"/>
      <c r="AQ626" s="70"/>
      <c r="AR626" s="70"/>
      <c r="AS626" s="70"/>
    </row>
    <row r="627" spans="1:45" collapsed="1" x14ac:dyDescent="0.3">
      <c r="A627" s="56"/>
      <c r="B627" s="56"/>
      <c r="C627" s="408" t="s">
        <v>992</v>
      </c>
      <c r="D627" s="57"/>
      <c r="E627" s="57"/>
      <c r="F627" s="57"/>
      <c r="G627" s="57"/>
      <c r="H627" s="525"/>
      <c r="I627" s="57"/>
      <c r="J627" s="70"/>
      <c r="K627" s="70"/>
      <c r="L627" s="70"/>
      <c r="M627" s="70"/>
      <c r="N627" s="70"/>
      <c r="O627" s="70"/>
      <c r="P627" s="70"/>
      <c r="Z627" s="70"/>
      <c r="AA627" s="70"/>
      <c r="AB627" s="70"/>
      <c r="AC627" s="70"/>
      <c r="AD627" s="70"/>
      <c r="AE627" s="70"/>
      <c r="AF627" s="70"/>
      <c r="AG627" s="70"/>
      <c r="AH627" s="70"/>
      <c r="AI627" s="70"/>
      <c r="AJ627" s="70"/>
      <c r="AK627" s="70"/>
      <c r="AL627" s="70"/>
      <c r="AM627" s="70"/>
      <c r="AN627" s="70"/>
      <c r="AO627" s="70"/>
      <c r="AP627" s="70"/>
      <c r="AQ627" s="70"/>
      <c r="AR627" s="70"/>
      <c r="AS627" s="70"/>
    </row>
    <row r="628" spans="1:45" ht="15" customHeight="1" x14ac:dyDescent="0.3">
      <c r="A628" s="70"/>
      <c r="B628" s="70"/>
      <c r="C628" s="404" t="s">
        <v>992</v>
      </c>
      <c r="D628" s="70"/>
      <c r="E628" s="70"/>
      <c r="F628" s="70"/>
      <c r="G628" s="70"/>
      <c r="H628" s="507"/>
      <c r="I628" s="70"/>
      <c r="J628" s="70"/>
      <c r="K628" s="70"/>
      <c r="L628" s="70"/>
      <c r="M628" s="70"/>
      <c r="N628" s="70"/>
      <c r="O628" s="70"/>
      <c r="P628" s="70"/>
    </row>
    <row r="629" spans="1:45" hidden="1" outlineLevel="1" x14ac:dyDescent="0.3">
      <c r="A629" s="51" t="s">
        <v>414</v>
      </c>
      <c r="B629" s="51"/>
      <c r="C629" s="51" t="str">
        <f>'Contractor Assumptions'!B6</f>
        <v>Butte County</v>
      </c>
      <c r="D629" s="468" t="s">
        <v>204</v>
      </c>
      <c r="E629" s="468" t="s">
        <v>204</v>
      </c>
      <c r="F629" s="468" t="s">
        <v>204</v>
      </c>
      <c r="G629" s="468" t="s">
        <v>204</v>
      </c>
      <c r="H629" s="468" t="s">
        <v>204</v>
      </c>
      <c r="I629" s="55"/>
      <c r="J629" s="70"/>
      <c r="K629" s="70"/>
      <c r="L629" s="70"/>
      <c r="M629" s="70"/>
      <c r="N629" s="70"/>
      <c r="O629" s="70"/>
      <c r="P629" s="70"/>
    </row>
    <row r="630" spans="1:45" hidden="1" outlineLevel="1" x14ac:dyDescent="0.3">
      <c r="A630" s="51" t="s">
        <v>414</v>
      </c>
      <c r="B630" s="51"/>
      <c r="C630" s="51" t="str">
        <f>'Contractor Assumptions'!B7</f>
        <v>City of Folsom</v>
      </c>
      <c r="D630" s="395">
        <v>0.53</v>
      </c>
      <c r="E630" s="395">
        <v>0.53</v>
      </c>
      <c r="F630" s="395">
        <v>0.53</v>
      </c>
      <c r="G630" s="395">
        <v>0.53</v>
      </c>
      <c r="H630" s="395">
        <v>0.53</v>
      </c>
      <c r="I630" s="55" t="s">
        <v>1036</v>
      </c>
      <c r="J630" s="70"/>
      <c r="K630" s="70"/>
      <c r="L630" s="70"/>
      <c r="M630" s="70"/>
      <c r="N630" s="70"/>
      <c r="O630" s="70"/>
      <c r="P630" s="70"/>
    </row>
    <row r="631" spans="1:45" hidden="1" outlineLevel="1" x14ac:dyDescent="0.3">
      <c r="A631" s="51" t="s">
        <v>414</v>
      </c>
      <c r="B631" s="51"/>
      <c r="C631" s="51" t="str">
        <f>'Contractor Assumptions'!B8</f>
        <v>City of Redding</v>
      </c>
      <c r="D631" s="395">
        <v>0.40519480519480516</v>
      </c>
      <c r="E631" s="395">
        <v>0.40519480519480516</v>
      </c>
      <c r="F631" s="395">
        <v>0.40519480519480516</v>
      </c>
      <c r="G631" s="395">
        <v>0.40519480519480516</v>
      </c>
      <c r="H631" s="395">
        <v>0.40519480519480516</v>
      </c>
      <c r="I631" s="55" t="s">
        <v>1036</v>
      </c>
      <c r="J631" s="70"/>
      <c r="K631" s="70"/>
      <c r="L631" s="70"/>
      <c r="M631" s="70"/>
      <c r="N631" s="70"/>
      <c r="O631" s="70"/>
      <c r="P631" s="70"/>
    </row>
    <row r="632" spans="1:45" hidden="1" outlineLevel="1" x14ac:dyDescent="0.3">
      <c r="A632" s="51" t="s">
        <v>414</v>
      </c>
      <c r="B632" s="51"/>
      <c r="C632" s="51" t="str">
        <f>'Contractor Assumptions'!B9</f>
        <v>City of Roseville</v>
      </c>
      <c r="D632" s="395">
        <v>0.43</v>
      </c>
      <c r="E632" s="395">
        <v>0.43</v>
      </c>
      <c r="F632" s="395">
        <v>0.43</v>
      </c>
      <c r="G632" s="395">
        <v>0.43</v>
      </c>
      <c r="H632" s="395">
        <v>0.43</v>
      </c>
      <c r="I632" s="55" t="s">
        <v>1036</v>
      </c>
      <c r="J632" s="70"/>
      <c r="K632" s="70"/>
      <c r="L632" s="70"/>
      <c r="M632" s="70"/>
      <c r="N632" s="70"/>
      <c r="O632" s="70"/>
      <c r="P632" s="70"/>
    </row>
    <row r="633" spans="1:45" hidden="1" outlineLevel="1" x14ac:dyDescent="0.3">
      <c r="A633" s="51" t="s">
        <v>414</v>
      </c>
      <c r="B633" s="51"/>
      <c r="C633" s="51" t="str">
        <f>'Contractor Assumptions'!B10</f>
        <v>City of West Sacramento</v>
      </c>
      <c r="D633" s="395">
        <v>0.55000000000000004</v>
      </c>
      <c r="E633" s="395">
        <v>0.55000000000000004</v>
      </c>
      <c r="F633" s="395">
        <v>0.55000000000000004</v>
      </c>
      <c r="G633" s="395">
        <v>0.55000000000000004</v>
      </c>
      <c r="H633" s="395">
        <v>0.55000000000000004</v>
      </c>
      <c r="I633" s="55" t="s">
        <v>1036</v>
      </c>
      <c r="J633" s="70"/>
      <c r="K633" s="70"/>
      <c r="L633" s="70"/>
      <c r="M633" s="70"/>
      <c r="N633" s="70"/>
      <c r="O633" s="70"/>
      <c r="P633" s="70"/>
    </row>
    <row r="634" spans="1:45" hidden="1" outlineLevel="1" x14ac:dyDescent="0.3">
      <c r="A634" s="51" t="s">
        <v>414</v>
      </c>
      <c r="B634" s="51"/>
      <c r="C634" s="51" t="str">
        <f>'Contractor Assumptions'!B11</f>
        <v>Yuba City</v>
      </c>
      <c r="D634" s="395">
        <v>0.5</v>
      </c>
      <c r="E634" s="395">
        <v>0.5</v>
      </c>
      <c r="F634" s="395">
        <v>0.5</v>
      </c>
      <c r="G634" s="395">
        <v>0.5</v>
      </c>
      <c r="H634" s="395">
        <v>0.5</v>
      </c>
      <c r="I634" s="55" t="s">
        <v>1036</v>
      </c>
      <c r="J634" s="70"/>
      <c r="K634" s="70"/>
      <c r="L634" s="70"/>
      <c r="M634" s="70"/>
      <c r="N634" s="70"/>
      <c r="O634" s="70"/>
      <c r="P634" s="70"/>
    </row>
    <row r="635" spans="1:45" hidden="1" outlineLevel="1" x14ac:dyDescent="0.3">
      <c r="A635" s="51" t="s">
        <v>414</v>
      </c>
      <c r="B635" s="51"/>
      <c r="C635" s="51" t="str">
        <f>'Contractor Assumptions'!B12</f>
        <v>El Dorado Irrigation District</v>
      </c>
      <c r="D635" s="395">
        <v>0.57999999999999996</v>
      </c>
      <c r="E635" s="395">
        <v>0.57999999999999996</v>
      </c>
      <c r="F635" s="395">
        <v>0.57999999999999996</v>
      </c>
      <c r="G635" s="395">
        <v>0.57999999999999996</v>
      </c>
      <c r="H635" s="395">
        <v>0.57999999999999996</v>
      </c>
      <c r="I635" s="55" t="s">
        <v>1036</v>
      </c>
      <c r="J635" s="70"/>
      <c r="K635" s="70"/>
      <c r="L635" s="70"/>
      <c r="M635" s="70"/>
      <c r="N635" s="70"/>
      <c r="O635" s="70"/>
      <c r="P635" s="70"/>
    </row>
    <row r="636" spans="1:45" hidden="1" outlineLevel="1" x14ac:dyDescent="0.3">
      <c r="A636" s="51" t="s">
        <v>414</v>
      </c>
      <c r="B636" s="51"/>
      <c r="C636" s="51" t="str">
        <f>'Contractor Assumptions'!B13</f>
        <v>Napa County Flood Control &amp; Water Conservation District</v>
      </c>
      <c r="D636" s="468" t="s">
        <v>204</v>
      </c>
      <c r="E636" s="468" t="s">
        <v>204</v>
      </c>
      <c r="F636" s="468" t="s">
        <v>204</v>
      </c>
      <c r="G636" s="468" t="s">
        <v>204</v>
      </c>
      <c r="H636" s="468" t="s">
        <v>204</v>
      </c>
      <c r="I636" s="55"/>
      <c r="J636" s="70"/>
      <c r="K636" s="70"/>
      <c r="L636" s="70"/>
      <c r="M636" s="70"/>
      <c r="N636" s="70"/>
      <c r="O636" s="70"/>
      <c r="P636" s="70"/>
    </row>
    <row r="637" spans="1:45" hidden="1" outlineLevel="1" x14ac:dyDescent="0.3">
      <c r="A637" s="51" t="s">
        <v>414</v>
      </c>
      <c r="B637" s="51"/>
      <c r="C637" s="51" t="str">
        <f>'Contractor Assumptions'!B14</f>
        <v>Placer County Water Agency</v>
      </c>
      <c r="D637" s="395">
        <v>0.43</v>
      </c>
      <c r="E637" s="395">
        <v>0.43</v>
      </c>
      <c r="F637" s="395">
        <v>0.43</v>
      </c>
      <c r="G637" s="395">
        <v>0.43</v>
      </c>
      <c r="H637" s="395">
        <v>0.43</v>
      </c>
      <c r="I637" s="55" t="s">
        <v>1036</v>
      </c>
      <c r="J637" s="70"/>
      <c r="K637" s="70"/>
      <c r="L637" s="70"/>
      <c r="M637" s="70"/>
      <c r="N637" s="70"/>
      <c r="O637" s="70"/>
      <c r="P637" s="70"/>
    </row>
    <row r="638" spans="1:45" hidden="1" outlineLevel="1" x14ac:dyDescent="0.3">
      <c r="A638" s="51" t="s">
        <v>414</v>
      </c>
      <c r="B638" s="51"/>
      <c r="C638" s="51" t="str">
        <f>'Contractor Assumptions'!B15</f>
        <v>Sacramento County Water Agency</v>
      </c>
      <c r="D638" s="395">
        <v>0.53</v>
      </c>
      <c r="E638" s="395">
        <v>0.53</v>
      </c>
      <c r="F638" s="395">
        <v>0.53</v>
      </c>
      <c r="G638" s="395">
        <v>0.53</v>
      </c>
      <c r="H638" s="395">
        <v>0.53</v>
      </c>
      <c r="I638" s="55" t="s">
        <v>1036</v>
      </c>
      <c r="J638" s="70"/>
      <c r="K638" s="70"/>
      <c r="L638" s="70"/>
      <c r="M638" s="70"/>
      <c r="N638" s="70"/>
      <c r="O638" s="70"/>
      <c r="P638" s="70"/>
    </row>
    <row r="639" spans="1:45" hidden="1" outlineLevel="1" x14ac:dyDescent="0.3">
      <c r="A639" s="51" t="s">
        <v>414</v>
      </c>
      <c r="B639" s="51"/>
      <c r="C639" s="51" t="str">
        <f>'Contractor Assumptions'!B16</f>
        <v>San Juan Water District</v>
      </c>
      <c r="D639" s="395">
        <v>0.45</v>
      </c>
      <c r="E639" s="395">
        <v>0.45</v>
      </c>
      <c r="F639" s="395">
        <v>0.45</v>
      </c>
      <c r="G639" s="395">
        <v>0.45</v>
      </c>
      <c r="H639" s="395">
        <v>0.45</v>
      </c>
      <c r="I639" s="55" t="s">
        <v>1036</v>
      </c>
      <c r="J639" s="70"/>
      <c r="K639" s="70"/>
      <c r="L639" s="70"/>
      <c r="M639" s="70"/>
      <c r="N639" s="70"/>
      <c r="O639" s="70"/>
      <c r="P639" s="70"/>
    </row>
    <row r="640" spans="1:45" hidden="1" outlineLevel="1" x14ac:dyDescent="0.3">
      <c r="A640" s="51" t="s">
        <v>414</v>
      </c>
      <c r="B640" s="51"/>
      <c r="C640" s="51" t="str">
        <f>'Contractor Assumptions'!B17</f>
        <v>Shasta Contractors</v>
      </c>
      <c r="D640" s="468" t="s">
        <v>204</v>
      </c>
      <c r="E640" s="468" t="s">
        <v>204</v>
      </c>
      <c r="F640" s="468" t="s">
        <v>204</v>
      </c>
      <c r="G640" s="468" t="s">
        <v>204</v>
      </c>
      <c r="H640" s="468" t="s">
        <v>204</v>
      </c>
      <c r="I640" s="55"/>
      <c r="J640" s="70"/>
      <c r="K640" s="70"/>
      <c r="L640" s="70"/>
      <c r="M640" s="70"/>
      <c r="N640" s="70"/>
      <c r="O640" s="70"/>
      <c r="P640" s="70"/>
    </row>
    <row r="641" spans="1:16" hidden="1" outlineLevel="1" x14ac:dyDescent="0.3">
      <c r="A641" s="51" t="s">
        <v>414</v>
      </c>
      <c r="B641" s="51"/>
      <c r="C641" s="51" t="str">
        <f>'Contractor Assumptions'!B18</f>
        <v>Solano County Water Agency</v>
      </c>
      <c r="D641" s="468" t="s">
        <v>204</v>
      </c>
      <c r="E641" s="468" t="s">
        <v>204</v>
      </c>
      <c r="F641" s="468" t="s">
        <v>204</v>
      </c>
      <c r="G641" s="468" t="s">
        <v>204</v>
      </c>
      <c r="H641" s="468" t="s">
        <v>204</v>
      </c>
      <c r="I641" s="55"/>
      <c r="J641" s="70"/>
      <c r="K641" s="70"/>
      <c r="L641" s="70"/>
      <c r="M641" s="70"/>
      <c r="N641" s="70"/>
      <c r="O641" s="70"/>
      <c r="P641" s="70"/>
    </row>
    <row r="642" spans="1:16" hidden="1" outlineLevel="1" x14ac:dyDescent="0.3">
      <c r="A642" s="51" t="s">
        <v>414</v>
      </c>
      <c r="B642" s="51"/>
      <c r="C642" s="51" t="str">
        <f>'Contractor Assumptions'!B19</f>
        <v>City of Avenal</v>
      </c>
      <c r="D642" s="468" t="s">
        <v>204</v>
      </c>
      <c r="E642" s="468" t="s">
        <v>204</v>
      </c>
      <c r="F642" s="468" t="s">
        <v>204</v>
      </c>
      <c r="G642" s="468" t="s">
        <v>204</v>
      </c>
      <c r="H642" s="468" t="s">
        <v>204</v>
      </c>
      <c r="I642" s="55"/>
      <c r="J642" s="70"/>
      <c r="K642" s="70"/>
      <c r="L642" s="70"/>
      <c r="M642" s="70"/>
      <c r="N642" s="70"/>
      <c r="O642" s="70"/>
      <c r="P642" s="70"/>
    </row>
    <row r="643" spans="1:16" hidden="1" outlineLevel="1" x14ac:dyDescent="0.3">
      <c r="A643" s="51" t="s">
        <v>414</v>
      </c>
      <c r="B643" s="51"/>
      <c r="C643" s="51" t="str">
        <f>'Contractor Assumptions'!B20</f>
        <v>City of Coalinga</v>
      </c>
      <c r="D643" s="395">
        <v>0.4</v>
      </c>
      <c r="E643" s="395">
        <v>0.4</v>
      </c>
      <c r="F643" s="395">
        <v>0.4</v>
      </c>
      <c r="G643" s="395">
        <v>0.4</v>
      </c>
      <c r="H643" s="395">
        <v>0.4</v>
      </c>
      <c r="I643" s="55" t="s">
        <v>1036</v>
      </c>
      <c r="J643" s="70"/>
      <c r="K643" s="70"/>
      <c r="L643" s="70"/>
      <c r="M643" s="70"/>
      <c r="N643" s="70"/>
      <c r="O643" s="70"/>
      <c r="P643" s="70"/>
    </row>
    <row r="644" spans="1:16" hidden="1" outlineLevel="1" x14ac:dyDescent="0.3">
      <c r="A644" s="51" t="s">
        <v>414</v>
      </c>
      <c r="B644" s="51"/>
      <c r="C644" s="51" t="str">
        <f>'Contractor Assumptions'!B21</f>
        <v>City of Fresno</v>
      </c>
      <c r="D644" s="395">
        <v>0.4</v>
      </c>
      <c r="E644" s="395">
        <v>0.4</v>
      </c>
      <c r="F644" s="395">
        <v>0.4</v>
      </c>
      <c r="G644" s="395">
        <v>0.4</v>
      </c>
      <c r="H644" s="395">
        <v>0.4</v>
      </c>
      <c r="I644" s="55" t="s">
        <v>1036</v>
      </c>
      <c r="J644" s="70"/>
      <c r="K644" s="70"/>
      <c r="L644" s="70"/>
      <c r="M644" s="70"/>
      <c r="N644" s="70"/>
      <c r="O644" s="70"/>
      <c r="P644" s="70"/>
    </row>
    <row r="645" spans="1:16" hidden="1" outlineLevel="1" x14ac:dyDescent="0.3">
      <c r="A645" s="51" t="s">
        <v>414</v>
      </c>
      <c r="B645" s="51"/>
      <c r="C645" s="51" t="str">
        <f>'Contractor Assumptions'!B22</f>
        <v>City of Huron</v>
      </c>
      <c r="D645" s="468" t="s">
        <v>204</v>
      </c>
      <c r="E645" s="468" t="s">
        <v>204</v>
      </c>
      <c r="F645" s="468" t="s">
        <v>204</v>
      </c>
      <c r="G645" s="468" t="s">
        <v>204</v>
      </c>
      <c r="H645" s="468" t="s">
        <v>204</v>
      </c>
      <c r="I645" s="55"/>
      <c r="J645" s="70"/>
      <c r="K645" s="70"/>
      <c r="L645" s="70"/>
      <c r="M645" s="70"/>
      <c r="N645" s="70"/>
      <c r="O645" s="70"/>
      <c r="P645" s="70"/>
    </row>
    <row r="646" spans="1:16" hidden="1" outlineLevel="1" x14ac:dyDescent="0.3">
      <c r="A646" s="51" t="s">
        <v>414</v>
      </c>
      <c r="B646" s="51"/>
      <c r="C646" s="51" t="str">
        <f>'Contractor Assumptions'!B23</f>
        <v>City of Lindsay</v>
      </c>
      <c r="D646" s="468" t="s">
        <v>204</v>
      </c>
      <c r="E646" s="468" t="s">
        <v>204</v>
      </c>
      <c r="F646" s="468" t="s">
        <v>204</v>
      </c>
      <c r="G646" s="468" t="s">
        <v>204</v>
      </c>
      <c r="H646" s="468" t="s">
        <v>204</v>
      </c>
      <c r="I646" s="55"/>
      <c r="J646" s="70"/>
      <c r="K646" s="70"/>
      <c r="L646" s="70"/>
      <c r="M646" s="70"/>
      <c r="N646" s="70"/>
      <c r="O646" s="70"/>
      <c r="P646" s="70"/>
    </row>
    <row r="647" spans="1:16" hidden="1" outlineLevel="1" x14ac:dyDescent="0.3">
      <c r="A647" s="51" t="s">
        <v>414</v>
      </c>
      <c r="B647" s="51"/>
      <c r="C647" s="51" t="str">
        <f>'Contractor Assumptions'!B24</f>
        <v>City of Orange Cove</v>
      </c>
      <c r="D647" s="468" t="s">
        <v>204</v>
      </c>
      <c r="E647" s="468" t="s">
        <v>204</v>
      </c>
      <c r="F647" s="468" t="s">
        <v>204</v>
      </c>
      <c r="G647" s="468" t="s">
        <v>204</v>
      </c>
      <c r="H647" s="468" t="s">
        <v>204</v>
      </c>
      <c r="I647" s="55"/>
      <c r="J647" s="70"/>
      <c r="K647" s="70"/>
      <c r="L647" s="70"/>
      <c r="M647" s="70"/>
      <c r="N647" s="70"/>
      <c r="O647" s="70"/>
      <c r="P647" s="70"/>
    </row>
    <row r="648" spans="1:16" hidden="1" outlineLevel="1" x14ac:dyDescent="0.3">
      <c r="A648" s="51" t="s">
        <v>414</v>
      </c>
      <c r="B648" s="51"/>
      <c r="C648" s="51" t="str">
        <f>'Contractor Assumptions'!B25</f>
        <v>City of Tracy</v>
      </c>
      <c r="D648" s="395">
        <v>0.61</v>
      </c>
      <c r="E648" s="395">
        <v>0.61</v>
      </c>
      <c r="F648" s="395">
        <v>0.61</v>
      </c>
      <c r="G648" s="395">
        <v>0.61</v>
      </c>
      <c r="H648" s="395">
        <v>0.61</v>
      </c>
      <c r="I648" s="55" t="s">
        <v>1036</v>
      </c>
      <c r="J648" s="70"/>
      <c r="K648" s="70"/>
      <c r="L648" s="70"/>
      <c r="M648" s="70"/>
      <c r="N648" s="70"/>
      <c r="O648" s="70"/>
      <c r="P648" s="70"/>
    </row>
    <row r="649" spans="1:16" hidden="1" outlineLevel="1" x14ac:dyDescent="0.3">
      <c r="A649" s="51" t="s">
        <v>414</v>
      </c>
      <c r="B649" s="51"/>
      <c r="C649" s="51" t="str">
        <f>'Contractor Assumptions'!B26</f>
        <v>Kern County Water Agency</v>
      </c>
      <c r="D649" s="468" t="s">
        <v>204</v>
      </c>
      <c r="E649" s="468" t="s">
        <v>204</v>
      </c>
      <c r="F649" s="468" t="s">
        <v>204</v>
      </c>
      <c r="G649" s="468" t="s">
        <v>204</v>
      </c>
      <c r="H649" s="468" t="s">
        <v>204</v>
      </c>
      <c r="I649" s="55"/>
      <c r="J649" s="70"/>
      <c r="K649" s="70"/>
      <c r="L649" s="70"/>
      <c r="M649" s="70"/>
      <c r="N649" s="70"/>
      <c r="O649" s="70"/>
      <c r="P649" s="70"/>
    </row>
    <row r="650" spans="1:16" hidden="1" outlineLevel="1" x14ac:dyDescent="0.3">
      <c r="A650" s="51" t="s">
        <v>414</v>
      </c>
      <c r="B650" s="51"/>
      <c r="C650" s="51" t="str">
        <f>'Contractor Assumptions'!B27</f>
        <v>Other Friant-Kern M&amp;I Contractors</v>
      </c>
      <c r="D650" s="468" t="s">
        <v>204</v>
      </c>
      <c r="E650" s="468" t="s">
        <v>204</v>
      </c>
      <c r="F650" s="468" t="s">
        <v>204</v>
      </c>
      <c r="G650" s="468" t="s">
        <v>204</v>
      </c>
      <c r="H650" s="468" t="s">
        <v>204</v>
      </c>
      <c r="I650" s="55"/>
      <c r="J650" s="70"/>
      <c r="K650" s="70"/>
      <c r="L650" s="70"/>
      <c r="M650" s="70"/>
      <c r="N650" s="70"/>
      <c r="O650" s="70"/>
      <c r="P650" s="70"/>
    </row>
    <row r="651" spans="1:16" hidden="1" outlineLevel="1" x14ac:dyDescent="0.3">
      <c r="A651" s="51" t="s">
        <v>414</v>
      </c>
      <c r="B651" s="51"/>
      <c r="C651" s="51" t="str">
        <f>'Contractor Assumptions'!B28</f>
        <v>Stockton-East Water District</v>
      </c>
      <c r="D651" s="395">
        <v>0.61</v>
      </c>
      <c r="E651" s="395">
        <v>0.61</v>
      </c>
      <c r="F651" s="395">
        <v>0.61</v>
      </c>
      <c r="G651" s="395">
        <v>0.61</v>
      </c>
      <c r="H651" s="395">
        <v>0.61</v>
      </c>
      <c r="I651" s="55" t="s">
        <v>1036</v>
      </c>
      <c r="J651" s="70"/>
      <c r="K651" s="70"/>
      <c r="L651" s="70"/>
      <c r="M651" s="70"/>
      <c r="N651" s="70"/>
      <c r="O651" s="70"/>
      <c r="P651" s="70"/>
    </row>
    <row r="652" spans="1:16" hidden="1" outlineLevel="1" x14ac:dyDescent="0.3">
      <c r="A652" s="51" t="s">
        <v>414</v>
      </c>
      <c r="B652" s="51"/>
      <c r="C652" s="51" t="str">
        <f>'Contractor Assumptions'!B29</f>
        <v>Alameda County Flood Control and Water Conservation District, Zone 7</v>
      </c>
      <c r="D652" s="395">
        <v>0.63</v>
      </c>
      <c r="E652" s="395">
        <v>0.63</v>
      </c>
      <c r="F652" s="395">
        <v>0.63</v>
      </c>
      <c r="G652" s="395">
        <v>0.63</v>
      </c>
      <c r="H652" s="395">
        <v>0.63</v>
      </c>
      <c r="I652" s="55"/>
      <c r="J652" s="70"/>
      <c r="K652" s="70"/>
      <c r="L652" s="70"/>
      <c r="M652" s="70"/>
      <c r="N652" s="70"/>
      <c r="O652" s="70"/>
      <c r="P652" s="70"/>
    </row>
    <row r="653" spans="1:16" hidden="1" outlineLevel="1" x14ac:dyDescent="0.3">
      <c r="A653" s="51" t="s">
        <v>414</v>
      </c>
      <c r="B653" s="51"/>
      <c r="C653" s="51" t="str">
        <f>'Contractor Assumptions'!B30</f>
        <v>Alameda County Water District</v>
      </c>
      <c r="D653" s="395">
        <v>0.63</v>
      </c>
      <c r="E653" s="395">
        <v>0.63</v>
      </c>
      <c r="F653" s="395">
        <v>0.63</v>
      </c>
      <c r="G653" s="395">
        <v>0.63</v>
      </c>
      <c r="H653" s="395">
        <v>0.63</v>
      </c>
      <c r="I653" s="55" t="s">
        <v>1036</v>
      </c>
      <c r="J653" s="70"/>
      <c r="K653" s="70"/>
      <c r="L653" s="70"/>
      <c r="M653" s="70"/>
      <c r="N653" s="70"/>
      <c r="O653" s="70"/>
      <c r="P653" s="70"/>
    </row>
    <row r="654" spans="1:16" hidden="1" outlineLevel="1" x14ac:dyDescent="0.3">
      <c r="A654" s="51" t="s">
        <v>414</v>
      </c>
      <c r="B654" s="51"/>
      <c r="C654" s="51" t="str">
        <f>'Contractor Assumptions'!B31</f>
        <v>Contra Costa Water District</v>
      </c>
      <c r="D654" s="395">
        <v>0.65</v>
      </c>
      <c r="E654" s="395">
        <v>0.65</v>
      </c>
      <c r="F654" s="395">
        <v>0.65</v>
      </c>
      <c r="G654" s="395">
        <v>0.65</v>
      </c>
      <c r="H654" s="395">
        <v>0.65</v>
      </c>
      <c r="I654" s="55" t="s">
        <v>1036</v>
      </c>
      <c r="J654" s="70"/>
      <c r="K654" s="70"/>
      <c r="L654" s="70"/>
      <c r="M654" s="70"/>
      <c r="N654" s="70"/>
      <c r="O654" s="70"/>
      <c r="P654" s="70"/>
    </row>
    <row r="655" spans="1:16" hidden="1" outlineLevel="1" x14ac:dyDescent="0.3">
      <c r="A655" s="51" t="s">
        <v>414</v>
      </c>
      <c r="B655" s="51"/>
      <c r="C655" s="51" t="str">
        <f>'Contractor Assumptions'!B32</f>
        <v>East Bay Municipal Utilities District</v>
      </c>
      <c r="D655" s="395">
        <v>0.64</v>
      </c>
      <c r="E655" s="395">
        <v>0.64</v>
      </c>
      <c r="F655" s="395">
        <v>0.64</v>
      </c>
      <c r="G655" s="395">
        <v>0.64</v>
      </c>
      <c r="H655" s="395">
        <v>0.64</v>
      </c>
      <c r="I655" s="55" t="s">
        <v>1036</v>
      </c>
      <c r="J655" s="70"/>
      <c r="K655" s="70"/>
      <c r="L655" s="70"/>
      <c r="M655" s="70"/>
      <c r="N655" s="70"/>
      <c r="O655" s="70"/>
      <c r="P655" s="70"/>
    </row>
    <row r="656" spans="1:16" hidden="1" outlineLevel="1" x14ac:dyDescent="0.3">
      <c r="A656" s="51" t="s">
        <v>414</v>
      </c>
      <c r="B656" s="51"/>
      <c r="C656" s="51" t="str">
        <f>'Contractor Assumptions'!B33</f>
        <v>San Benito County Water District, Zone 6</v>
      </c>
      <c r="D656" s="395">
        <v>0.52</v>
      </c>
      <c r="E656" s="395">
        <v>0.52</v>
      </c>
      <c r="F656" s="395">
        <v>0.52</v>
      </c>
      <c r="G656" s="395">
        <v>0.52</v>
      </c>
      <c r="H656" s="395">
        <v>0.52</v>
      </c>
      <c r="I656" s="55" t="s">
        <v>1036</v>
      </c>
      <c r="J656" s="71"/>
      <c r="K656" s="71"/>
      <c r="L656" s="71"/>
      <c r="M656" s="71"/>
      <c r="N656" s="71"/>
      <c r="O656" s="71"/>
      <c r="P656" s="70"/>
    </row>
    <row r="657" spans="1:16" hidden="1" outlineLevel="1" x14ac:dyDescent="0.3">
      <c r="A657" s="51" t="s">
        <v>414</v>
      </c>
      <c r="B657" s="51"/>
      <c r="C657" s="51" t="str">
        <f>'Contractor Assumptions'!B34</f>
        <v>Santa Clara Valley Water District</v>
      </c>
      <c r="D657" s="395">
        <v>0.67</v>
      </c>
      <c r="E657" s="395">
        <v>0.67</v>
      </c>
      <c r="F657" s="395">
        <v>0.67</v>
      </c>
      <c r="G657" s="395">
        <v>0.67</v>
      </c>
      <c r="H657" s="395">
        <v>0.67</v>
      </c>
      <c r="I657" s="55" t="s">
        <v>1036</v>
      </c>
      <c r="J657" s="70"/>
      <c r="K657" s="70"/>
      <c r="L657" s="70"/>
      <c r="M657" s="70"/>
      <c r="N657" s="70"/>
      <c r="O657" s="70"/>
      <c r="P657" s="70"/>
    </row>
    <row r="658" spans="1:16" hidden="1" outlineLevel="1" x14ac:dyDescent="0.3">
      <c r="A658" s="51" t="s">
        <v>414</v>
      </c>
      <c r="B658" s="51"/>
      <c r="C658" s="51" t="str">
        <f>'Contractor Assumptions'!B35</f>
        <v>San Luis Obispo County Flood Control &amp; Water Conservation District</v>
      </c>
      <c r="D658" s="395">
        <v>0.66</v>
      </c>
      <c r="E658" s="395">
        <v>0.66</v>
      </c>
      <c r="F658" s="395">
        <v>0.66</v>
      </c>
      <c r="G658" s="395">
        <v>0.66</v>
      </c>
      <c r="H658" s="395">
        <v>0.66</v>
      </c>
      <c r="I658" s="55" t="s">
        <v>1036</v>
      </c>
      <c r="J658" s="70"/>
      <c r="K658" s="70"/>
      <c r="L658" s="70"/>
      <c r="M658" s="70"/>
      <c r="N658" s="70"/>
      <c r="O658" s="70"/>
      <c r="P658" s="70"/>
    </row>
    <row r="659" spans="1:16" hidden="1" outlineLevel="1" x14ac:dyDescent="0.3">
      <c r="A659" s="51" t="s">
        <v>414</v>
      </c>
      <c r="B659" s="51"/>
      <c r="C659" s="51" t="str">
        <f>'Contractor Assumptions'!B36</f>
        <v>Santa Barbara County Flood Control &amp; Water Conservation District</v>
      </c>
      <c r="D659" s="468" t="s">
        <v>204</v>
      </c>
      <c r="E659" s="468" t="s">
        <v>204</v>
      </c>
      <c r="F659" s="468" t="s">
        <v>204</v>
      </c>
      <c r="G659" s="468" t="s">
        <v>204</v>
      </c>
      <c r="H659" s="468" t="s">
        <v>204</v>
      </c>
      <c r="I659" s="55"/>
      <c r="J659" s="70"/>
      <c r="K659" s="70"/>
      <c r="L659" s="70"/>
      <c r="M659" s="70"/>
      <c r="N659" s="70"/>
      <c r="O659" s="70"/>
      <c r="P659" s="70"/>
    </row>
    <row r="660" spans="1:16" hidden="1" outlineLevel="1" x14ac:dyDescent="0.3">
      <c r="A660" s="51" t="s">
        <v>414</v>
      </c>
      <c r="B660" s="51"/>
      <c r="C660" s="51" t="str">
        <f>'Contractor Assumptions'!B37</f>
        <v>Antelope Valley-East Kern Water Agency</v>
      </c>
      <c r="D660" s="395">
        <v>0.5</v>
      </c>
      <c r="E660" s="395">
        <v>0.5</v>
      </c>
      <c r="F660" s="395">
        <v>0.5</v>
      </c>
      <c r="G660" s="395">
        <v>0.5</v>
      </c>
      <c r="H660" s="395">
        <v>0.5</v>
      </c>
      <c r="I660" s="55" t="s">
        <v>1036</v>
      </c>
      <c r="J660" s="70"/>
      <c r="K660" s="70"/>
      <c r="L660" s="70"/>
      <c r="M660" s="70"/>
      <c r="N660" s="70"/>
      <c r="O660" s="70"/>
      <c r="P660" s="70"/>
    </row>
    <row r="661" spans="1:16" hidden="1" outlineLevel="1" x14ac:dyDescent="0.3">
      <c r="A661" s="51" t="s">
        <v>414</v>
      </c>
      <c r="B661" s="51"/>
      <c r="C661" s="51" t="str">
        <f>'Contractor Assumptions'!B38</f>
        <v>Santa Clarita Water Division</v>
      </c>
      <c r="D661" s="395">
        <v>0.61</v>
      </c>
      <c r="E661" s="395">
        <v>0.61</v>
      </c>
      <c r="F661" s="395">
        <v>0.61</v>
      </c>
      <c r="G661" s="395">
        <v>0.61</v>
      </c>
      <c r="H661" s="395">
        <v>0.61</v>
      </c>
      <c r="I661" s="55" t="s">
        <v>1036</v>
      </c>
      <c r="J661" s="70"/>
      <c r="K661" s="70"/>
      <c r="L661" s="70"/>
      <c r="M661" s="70"/>
      <c r="N661" s="70"/>
      <c r="O661" s="70"/>
      <c r="P661" s="70"/>
    </row>
    <row r="662" spans="1:16" hidden="1" outlineLevel="1" x14ac:dyDescent="0.3">
      <c r="A662" s="51" t="s">
        <v>414</v>
      </c>
      <c r="B662" s="51"/>
      <c r="C662" s="51" t="str">
        <f>'Contractor Assumptions'!B39</f>
        <v>Coachella Valley Water District</v>
      </c>
      <c r="D662" s="468" t="s">
        <v>204</v>
      </c>
      <c r="E662" s="468" t="s">
        <v>204</v>
      </c>
      <c r="F662" s="468" t="s">
        <v>204</v>
      </c>
      <c r="G662" s="468" t="s">
        <v>204</v>
      </c>
      <c r="H662" s="468" t="s">
        <v>204</v>
      </c>
      <c r="I662" s="55"/>
      <c r="J662" s="70"/>
      <c r="K662" s="70"/>
      <c r="L662" s="70"/>
      <c r="M662" s="70"/>
      <c r="N662" s="70"/>
      <c r="O662" s="70"/>
      <c r="P662" s="70"/>
    </row>
    <row r="663" spans="1:16" hidden="1" outlineLevel="1" x14ac:dyDescent="0.3">
      <c r="A663" s="51" t="s">
        <v>414</v>
      </c>
      <c r="B663" s="51"/>
      <c r="C663" s="51" t="str">
        <f>'Contractor Assumptions'!B40</f>
        <v>Crestline-Lake Arrowhead Water Agency</v>
      </c>
      <c r="D663" s="468" t="s">
        <v>204</v>
      </c>
      <c r="E663" s="468" t="s">
        <v>204</v>
      </c>
      <c r="F663" s="468" t="s">
        <v>204</v>
      </c>
      <c r="G663" s="468" t="s">
        <v>204</v>
      </c>
      <c r="H663" s="468" t="s">
        <v>204</v>
      </c>
      <c r="I663" s="55"/>
      <c r="J663" s="70"/>
      <c r="K663" s="70"/>
      <c r="L663" s="70"/>
      <c r="M663" s="70"/>
      <c r="N663" s="70"/>
      <c r="O663" s="70"/>
      <c r="P663" s="70"/>
    </row>
    <row r="664" spans="1:16" hidden="1" outlineLevel="1" x14ac:dyDescent="0.3">
      <c r="A664" s="51" t="s">
        <v>414</v>
      </c>
      <c r="B664" s="51"/>
      <c r="C664" s="51" t="str">
        <f>'Contractor Assumptions'!B41</f>
        <v>Desert Water Agency</v>
      </c>
      <c r="D664" s="468" t="s">
        <v>204</v>
      </c>
      <c r="E664" s="468" t="s">
        <v>204</v>
      </c>
      <c r="F664" s="468" t="s">
        <v>204</v>
      </c>
      <c r="G664" s="468" t="s">
        <v>204</v>
      </c>
      <c r="H664" s="468" t="s">
        <v>204</v>
      </c>
      <c r="I664" s="55"/>
      <c r="J664" s="70"/>
      <c r="K664" s="70"/>
      <c r="L664" s="70"/>
      <c r="M664" s="70"/>
      <c r="N664" s="70"/>
      <c r="O664" s="70"/>
      <c r="P664" s="70"/>
    </row>
    <row r="665" spans="1:16" hidden="1" outlineLevel="1" x14ac:dyDescent="0.3">
      <c r="A665" s="51" t="s">
        <v>414</v>
      </c>
      <c r="B665" s="51"/>
      <c r="C665" s="51" t="str">
        <f>'Contractor Assumptions'!B42</f>
        <v>Metropolitan Water District of Southern California</v>
      </c>
      <c r="D665" s="395">
        <v>0.62</v>
      </c>
      <c r="E665" s="395">
        <v>0.62</v>
      </c>
      <c r="F665" s="395">
        <v>0.62</v>
      </c>
      <c r="G665" s="395">
        <v>0.62</v>
      </c>
      <c r="H665" s="395">
        <v>0.62</v>
      </c>
      <c r="I665" s="55" t="s">
        <v>1036</v>
      </c>
      <c r="J665" s="70"/>
      <c r="K665" s="70"/>
      <c r="L665" s="70"/>
      <c r="M665" s="70"/>
      <c r="N665" s="70"/>
      <c r="O665" s="70"/>
      <c r="P665" s="70"/>
    </row>
    <row r="666" spans="1:16" hidden="1" outlineLevel="1" x14ac:dyDescent="0.3">
      <c r="A666" s="51" t="s">
        <v>414</v>
      </c>
      <c r="B666" s="51"/>
      <c r="C666" s="51" t="str">
        <f>'Contractor Assumptions'!B43</f>
        <v>Mojave Water Agency</v>
      </c>
      <c r="D666" s="395">
        <v>0.64</v>
      </c>
      <c r="E666" s="395">
        <v>0.64</v>
      </c>
      <c r="F666" s="395">
        <v>0.64</v>
      </c>
      <c r="G666" s="395">
        <v>0.64</v>
      </c>
      <c r="H666" s="395">
        <v>0.64</v>
      </c>
      <c r="I666" s="55" t="s">
        <v>1036</v>
      </c>
      <c r="J666" s="70"/>
      <c r="K666" s="70"/>
      <c r="L666" s="70"/>
      <c r="M666" s="70"/>
      <c r="N666" s="70"/>
      <c r="O666" s="70"/>
      <c r="P666" s="70"/>
    </row>
    <row r="667" spans="1:16" hidden="1" outlineLevel="1" x14ac:dyDescent="0.3">
      <c r="A667" s="51" t="s">
        <v>414</v>
      </c>
      <c r="B667" s="51"/>
      <c r="C667" s="51" t="str">
        <f>'Contractor Assumptions'!B44</f>
        <v>Palmdale Water District &amp; Littlerock Creek Irrigation District</v>
      </c>
      <c r="D667" s="395">
        <v>0.61</v>
      </c>
      <c r="E667" s="395">
        <v>0.61</v>
      </c>
      <c r="F667" s="395">
        <v>0.61</v>
      </c>
      <c r="G667" s="395">
        <v>0.61</v>
      </c>
      <c r="H667" s="395">
        <v>0.61</v>
      </c>
      <c r="I667" s="55" t="s">
        <v>1036</v>
      </c>
      <c r="J667" s="70"/>
      <c r="K667" s="70"/>
      <c r="L667" s="70"/>
      <c r="M667" s="70"/>
      <c r="N667" s="70"/>
      <c r="O667" s="70"/>
      <c r="P667" s="70"/>
    </row>
    <row r="668" spans="1:16" hidden="1" outlineLevel="1" x14ac:dyDescent="0.3">
      <c r="A668" s="51" t="s">
        <v>414</v>
      </c>
      <c r="B668" s="51"/>
      <c r="C668" s="51" t="str">
        <f>'Contractor Assumptions'!B45</f>
        <v>San Bernardino Valley Municipal Water District</v>
      </c>
      <c r="D668" s="395">
        <v>0.64</v>
      </c>
      <c r="E668" s="395">
        <v>0.64</v>
      </c>
      <c r="F668" s="395">
        <v>0.64</v>
      </c>
      <c r="G668" s="395">
        <v>0.64</v>
      </c>
      <c r="H668" s="395">
        <v>0.64</v>
      </c>
      <c r="I668" s="55" t="s">
        <v>1036</v>
      </c>
      <c r="J668" s="70"/>
      <c r="K668" s="70"/>
      <c r="L668" s="70"/>
      <c r="M668" s="70"/>
      <c r="N668" s="70"/>
      <c r="O668" s="70"/>
      <c r="P668" s="70"/>
    </row>
    <row r="669" spans="1:16" hidden="1" outlineLevel="1" x14ac:dyDescent="0.3">
      <c r="A669" s="51" t="s">
        <v>414</v>
      </c>
      <c r="B669" s="51"/>
      <c r="C669" s="51" t="str">
        <f>'Contractor Assumptions'!B46</f>
        <v>San Gabriel Valley Municipal Water District</v>
      </c>
      <c r="D669" s="468" t="s">
        <v>204</v>
      </c>
      <c r="E669" s="468" t="s">
        <v>204</v>
      </c>
      <c r="F669" s="468" t="s">
        <v>204</v>
      </c>
      <c r="G669" s="468" t="s">
        <v>204</v>
      </c>
      <c r="H669" s="468" t="s">
        <v>204</v>
      </c>
      <c r="I669" s="55"/>
      <c r="J669" s="70"/>
      <c r="K669" s="70"/>
      <c r="L669" s="70"/>
      <c r="M669" s="70"/>
      <c r="N669" s="70"/>
      <c r="O669" s="70"/>
      <c r="P669" s="70"/>
    </row>
    <row r="670" spans="1:16" hidden="1" outlineLevel="1" x14ac:dyDescent="0.3">
      <c r="A670" s="51" t="s">
        <v>414</v>
      </c>
      <c r="B670" s="51"/>
      <c r="C670" s="51" t="str">
        <f>'Contractor Assumptions'!B47</f>
        <v>San Gorgonio Pass Water Agency</v>
      </c>
      <c r="D670" s="395">
        <v>0.64</v>
      </c>
      <c r="E670" s="395">
        <v>0.64</v>
      </c>
      <c r="F670" s="395">
        <v>0.64</v>
      </c>
      <c r="G670" s="395">
        <v>0.64</v>
      </c>
      <c r="H670" s="395">
        <v>0.64</v>
      </c>
      <c r="I670" s="55" t="s">
        <v>1036</v>
      </c>
      <c r="J670" s="70"/>
      <c r="K670" s="70"/>
      <c r="L670" s="70"/>
      <c r="M670" s="70"/>
      <c r="N670" s="70"/>
      <c r="O670" s="70"/>
      <c r="P670" s="70"/>
    </row>
    <row r="671" spans="1:16" hidden="1" outlineLevel="1" x14ac:dyDescent="0.3">
      <c r="A671" s="51" t="s">
        <v>414</v>
      </c>
      <c r="B671" s="51"/>
      <c r="C671" s="51" t="str">
        <f>'Contractor Assumptions'!B48</f>
        <v>Ventura County Watershed Protection District</v>
      </c>
      <c r="D671" s="468" t="s">
        <v>204</v>
      </c>
      <c r="E671" s="468" t="s">
        <v>204</v>
      </c>
      <c r="F671" s="468" t="s">
        <v>204</v>
      </c>
      <c r="G671" s="468" t="s">
        <v>204</v>
      </c>
      <c r="H671" s="468" t="s">
        <v>204</v>
      </c>
      <c r="I671" s="55"/>
      <c r="J671" s="70"/>
      <c r="K671" s="70"/>
      <c r="L671" s="70"/>
      <c r="M671" s="70"/>
      <c r="N671" s="70"/>
      <c r="O671" s="70"/>
      <c r="P671" s="70"/>
    </row>
    <row r="672" spans="1:16" hidden="1" outlineLevel="1" x14ac:dyDescent="0.3">
      <c r="A672" s="51" t="s">
        <v>417</v>
      </c>
      <c r="B672" s="51"/>
      <c r="C672" s="51" t="str">
        <f t="shared" ref="C672:C703" si="12">C629</f>
        <v>Butte County</v>
      </c>
      <c r="D672" s="468" t="s">
        <v>204</v>
      </c>
      <c r="E672" s="468" t="s">
        <v>204</v>
      </c>
      <c r="F672" s="468" t="s">
        <v>204</v>
      </c>
      <c r="G672" s="468" t="s">
        <v>204</v>
      </c>
      <c r="H672" s="468" t="s">
        <v>204</v>
      </c>
      <c r="I672" s="55"/>
      <c r="J672" s="70"/>
      <c r="K672" s="70"/>
      <c r="L672" s="70"/>
      <c r="M672" s="70"/>
      <c r="N672" s="70"/>
      <c r="O672" s="70"/>
      <c r="P672" s="70"/>
    </row>
    <row r="673" spans="1:16" hidden="1" outlineLevel="1" x14ac:dyDescent="0.3">
      <c r="A673" s="51" t="s">
        <v>417</v>
      </c>
      <c r="B673" s="51"/>
      <c r="C673" s="51" t="str">
        <f t="shared" si="12"/>
        <v>City of Folsom</v>
      </c>
      <c r="D673" s="395">
        <v>0.67</v>
      </c>
      <c r="E673" s="395">
        <v>0.67</v>
      </c>
      <c r="F673" s="395">
        <v>0.67</v>
      </c>
      <c r="G673" s="395">
        <v>0.67</v>
      </c>
      <c r="H673" s="395">
        <v>0.67</v>
      </c>
      <c r="I673" s="55" t="s">
        <v>1036</v>
      </c>
      <c r="J673" s="70"/>
      <c r="K673" s="70"/>
      <c r="L673" s="70"/>
      <c r="M673" s="70"/>
      <c r="N673" s="70"/>
      <c r="O673" s="70"/>
      <c r="P673" s="70"/>
    </row>
    <row r="674" spans="1:16" hidden="1" outlineLevel="1" x14ac:dyDescent="0.3">
      <c r="A674" s="51" t="s">
        <v>417</v>
      </c>
      <c r="B674" s="51"/>
      <c r="C674" s="51" t="str">
        <f t="shared" si="12"/>
        <v>City of Redding</v>
      </c>
      <c r="D674" s="395">
        <v>0.62</v>
      </c>
      <c r="E674" s="395">
        <v>0.62</v>
      </c>
      <c r="F674" s="395">
        <v>0.62</v>
      </c>
      <c r="G674" s="395">
        <v>0.62</v>
      </c>
      <c r="H674" s="395">
        <v>0.62</v>
      </c>
      <c r="I674" s="55" t="s">
        <v>1036</v>
      </c>
      <c r="J674" s="70"/>
      <c r="K674" s="70"/>
      <c r="L674" s="70"/>
      <c r="M674" s="70"/>
      <c r="N674" s="70"/>
      <c r="O674" s="70"/>
      <c r="P674" s="70"/>
    </row>
    <row r="675" spans="1:16" hidden="1" outlineLevel="1" x14ac:dyDescent="0.3">
      <c r="A675" s="51" t="s">
        <v>417</v>
      </c>
      <c r="B675" s="51"/>
      <c r="C675" s="51" t="str">
        <f t="shared" si="12"/>
        <v>City of Roseville</v>
      </c>
      <c r="D675" s="395">
        <v>0.66</v>
      </c>
      <c r="E675" s="395">
        <v>0.66</v>
      </c>
      <c r="F675" s="395">
        <v>0.66</v>
      </c>
      <c r="G675" s="395">
        <v>0.66</v>
      </c>
      <c r="H675" s="395">
        <v>0.66</v>
      </c>
      <c r="I675" s="55" t="s">
        <v>1036</v>
      </c>
      <c r="J675" s="70"/>
      <c r="K675" s="70"/>
      <c r="L675" s="70"/>
      <c r="M675" s="70"/>
      <c r="N675" s="70"/>
      <c r="O675" s="70"/>
      <c r="P675" s="70"/>
    </row>
    <row r="676" spans="1:16" hidden="1" outlineLevel="1" x14ac:dyDescent="0.3">
      <c r="A676" s="51" t="s">
        <v>417</v>
      </c>
      <c r="B676" s="51"/>
      <c r="C676" s="51" t="str">
        <f t="shared" si="12"/>
        <v>City of West Sacramento</v>
      </c>
      <c r="D676" s="395">
        <v>0.68</v>
      </c>
      <c r="E676" s="395">
        <v>0.68</v>
      </c>
      <c r="F676" s="395">
        <v>0.68</v>
      </c>
      <c r="G676" s="395">
        <v>0.68</v>
      </c>
      <c r="H676" s="395">
        <v>0.68</v>
      </c>
      <c r="I676" s="55" t="s">
        <v>1036</v>
      </c>
      <c r="J676" s="70"/>
      <c r="K676" s="70"/>
      <c r="L676" s="70"/>
      <c r="M676" s="70"/>
      <c r="N676" s="70"/>
      <c r="O676" s="70"/>
      <c r="P676" s="70"/>
    </row>
    <row r="677" spans="1:16" hidden="1" outlineLevel="1" x14ac:dyDescent="0.3">
      <c r="A677" s="51" t="s">
        <v>417</v>
      </c>
      <c r="B677" s="51"/>
      <c r="C677" s="51" t="str">
        <f t="shared" si="12"/>
        <v>Yuba City</v>
      </c>
      <c r="D677" s="395">
        <v>0.71</v>
      </c>
      <c r="E677" s="395">
        <v>0.71</v>
      </c>
      <c r="F677" s="395">
        <v>0.71</v>
      </c>
      <c r="G677" s="395">
        <v>0.71</v>
      </c>
      <c r="H677" s="395">
        <v>0.71</v>
      </c>
      <c r="I677" s="55" t="s">
        <v>1036</v>
      </c>
      <c r="J677" s="70"/>
      <c r="K677" s="70"/>
      <c r="L677" s="70"/>
      <c r="M677" s="70"/>
      <c r="N677" s="70"/>
      <c r="O677" s="70"/>
      <c r="P677" s="70"/>
    </row>
    <row r="678" spans="1:16" hidden="1" outlineLevel="1" x14ac:dyDescent="0.3">
      <c r="A678" s="51" t="s">
        <v>417</v>
      </c>
      <c r="B678" s="51"/>
      <c r="C678" s="51" t="str">
        <f t="shared" si="12"/>
        <v>El Dorado Irrigation District</v>
      </c>
      <c r="D678" s="395">
        <v>0.68</v>
      </c>
      <c r="E678" s="395">
        <v>0.68</v>
      </c>
      <c r="F678" s="395">
        <v>0.68</v>
      </c>
      <c r="G678" s="395">
        <v>0.68</v>
      </c>
      <c r="H678" s="395">
        <v>0.68</v>
      </c>
      <c r="I678" s="55" t="s">
        <v>1036</v>
      </c>
      <c r="J678" s="70"/>
      <c r="K678" s="70"/>
      <c r="L678" s="70"/>
      <c r="M678" s="70"/>
      <c r="N678" s="70"/>
      <c r="O678" s="70"/>
      <c r="P678" s="70"/>
    </row>
    <row r="679" spans="1:16" hidden="1" outlineLevel="1" x14ac:dyDescent="0.3">
      <c r="A679" s="51" t="s">
        <v>417</v>
      </c>
      <c r="B679" s="51"/>
      <c r="C679" s="51" t="str">
        <f t="shared" si="12"/>
        <v>Napa County Flood Control &amp; Water Conservation District</v>
      </c>
      <c r="D679" s="468" t="s">
        <v>204</v>
      </c>
      <c r="E679" s="468" t="s">
        <v>204</v>
      </c>
      <c r="F679" s="468" t="s">
        <v>204</v>
      </c>
      <c r="G679" s="468" t="s">
        <v>204</v>
      </c>
      <c r="H679" s="468" t="s">
        <v>204</v>
      </c>
      <c r="I679" s="55"/>
      <c r="J679" s="70"/>
      <c r="K679" s="70"/>
      <c r="L679" s="70"/>
      <c r="M679" s="70"/>
      <c r="N679" s="70"/>
      <c r="O679" s="70"/>
      <c r="P679" s="70"/>
    </row>
    <row r="680" spans="1:16" hidden="1" outlineLevel="1" x14ac:dyDescent="0.3">
      <c r="A680" s="51" t="s">
        <v>417</v>
      </c>
      <c r="B680" s="51"/>
      <c r="C680" s="51" t="str">
        <f t="shared" si="12"/>
        <v>Placer County Water Agency</v>
      </c>
      <c r="D680" s="395">
        <v>0.66</v>
      </c>
      <c r="E680" s="395">
        <v>0.66</v>
      </c>
      <c r="F680" s="395">
        <v>0.66</v>
      </c>
      <c r="G680" s="395">
        <v>0.66</v>
      </c>
      <c r="H680" s="395">
        <v>0.66</v>
      </c>
      <c r="I680" s="55" t="s">
        <v>1036</v>
      </c>
      <c r="J680" s="70"/>
      <c r="K680" s="70"/>
      <c r="L680" s="70"/>
      <c r="M680" s="70"/>
      <c r="N680" s="70"/>
      <c r="O680" s="70"/>
      <c r="P680" s="70"/>
    </row>
    <row r="681" spans="1:16" hidden="1" outlineLevel="1" x14ac:dyDescent="0.3">
      <c r="A681" s="51" t="s">
        <v>417</v>
      </c>
      <c r="B681" s="51"/>
      <c r="C681" s="51" t="str">
        <f t="shared" si="12"/>
        <v>Sacramento County Water Agency</v>
      </c>
      <c r="D681" s="395">
        <v>0.67</v>
      </c>
      <c r="E681" s="395">
        <v>0.67</v>
      </c>
      <c r="F681" s="395">
        <v>0.67</v>
      </c>
      <c r="G681" s="395">
        <v>0.67</v>
      </c>
      <c r="H681" s="395">
        <v>0.67</v>
      </c>
      <c r="I681" s="55" t="s">
        <v>1036</v>
      </c>
      <c r="J681" s="70"/>
      <c r="K681" s="70"/>
      <c r="L681" s="70"/>
      <c r="M681" s="70"/>
      <c r="N681" s="70"/>
      <c r="O681" s="70"/>
      <c r="P681" s="70"/>
    </row>
    <row r="682" spans="1:16" hidden="1" outlineLevel="1" x14ac:dyDescent="0.3">
      <c r="A682" s="51" t="s">
        <v>417</v>
      </c>
      <c r="B682" s="51"/>
      <c r="C682" s="51" t="str">
        <f t="shared" si="12"/>
        <v>San Juan Water District</v>
      </c>
      <c r="D682" s="395">
        <v>0.66</v>
      </c>
      <c r="E682" s="395">
        <v>0.66</v>
      </c>
      <c r="F682" s="395">
        <v>0.66</v>
      </c>
      <c r="G682" s="395">
        <v>0.66</v>
      </c>
      <c r="H682" s="395">
        <v>0.66</v>
      </c>
      <c r="I682" s="55" t="s">
        <v>1036</v>
      </c>
      <c r="J682" s="70"/>
      <c r="K682" s="70"/>
      <c r="L682" s="70"/>
      <c r="M682" s="70"/>
      <c r="N682" s="70"/>
      <c r="O682" s="70"/>
      <c r="P682" s="70"/>
    </row>
    <row r="683" spans="1:16" hidden="1" outlineLevel="1" x14ac:dyDescent="0.3">
      <c r="A683" s="51" t="s">
        <v>417</v>
      </c>
      <c r="B683" s="51"/>
      <c r="C683" s="51" t="str">
        <f t="shared" si="12"/>
        <v>Shasta Contractors</v>
      </c>
      <c r="D683" s="468" t="s">
        <v>204</v>
      </c>
      <c r="E683" s="468" t="s">
        <v>204</v>
      </c>
      <c r="F683" s="468" t="s">
        <v>204</v>
      </c>
      <c r="G683" s="468" t="s">
        <v>204</v>
      </c>
      <c r="H683" s="468" t="s">
        <v>204</v>
      </c>
      <c r="I683" s="55"/>
      <c r="J683" s="70"/>
      <c r="K683" s="70"/>
      <c r="L683" s="70"/>
      <c r="M683" s="70"/>
      <c r="N683" s="70"/>
      <c r="O683" s="70"/>
      <c r="P683" s="70"/>
    </row>
    <row r="684" spans="1:16" hidden="1" outlineLevel="1" x14ac:dyDescent="0.3">
      <c r="A684" s="51" t="s">
        <v>417</v>
      </c>
      <c r="B684" s="51"/>
      <c r="C684" s="51" t="str">
        <f t="shared" si="12"/>
        <v>Solano County Water Agency</v>
      </c>
      <c r="D684" s="468" t="s">
        <v>204</v>
      </c>
      <c r="E684" s="468" t="s">
        <v>204</v>
      </c>
      <c r="F684" s="468" t="s">
        <v>204</v>
      </c>
      <c r="G684" s="468" t="s">
        <v>204</v>
      </c>
      <c r="H684" s="468" t="s">
        <v>204</v>
      </c>
      <c r="I684" s="55"/>
      <c r="J684" s="70"/>
      <c r="K684" s="70"/>
      <c r="L684" s="70"/>
      <c r="M684" s="70"/>
      <c r="N684" s="70"/>
      <c r="O684" s="70"/>
      <c r="P684" s="70"/>
    </row>
    <row r="685" spans="1:16" hidden="1" outlineLevel="1" x14ac:dyDescent="0.3">
      <c r="A685" s="51" t="s">
        <v>417</v>
      </c>
      <c r="B685" s="51"/>
      <c r="C685" s="51" t="str">
        <f t="shared" si="12"/>
        <v>City of Avenal</v>
      </c>
      <c r="D685" s="468" t="s">
        <v>204</v>
      </c>
      <c r="E685" s="468" t="s">
        <v>204</v>
      </c>
      <c r="F685" s="468" t="s">
        <v>204</v>
      </c>
      <c r="G685" s="468" t="s">
        <v>204</v>
      </c>
      <c r="H685" s="468" t="s">
        <v>204</v>
      </c>
      <c r="I685" s="55"/>
      <c r="J685" s="70"/>
      <c r="K685" s="70"/>
      <c r="L685" s="70"/>
      <c r="M685" s="70"/>
      <c r="N685" s="70"/>
      <c r="O685" s="70"/>
      <c r="P685" s="70"/>
    </row>
    <row r="686" spans="1:16" hidden="1" outlineLevel="1" x14ac:dyDescent="0.3">
      <c r="A686" s="51" t="s">
        <v>417</v>
      </c>
      <c r="B686" s="51"/>
      <c r="C686" s="51" t="str">
        <f t="shared" si="12"/>
        <v>City of Coalinga</v>
      </c>
      <c r="D686" s="395">
        <v>0.62</v>
      </c>
      <c r="E686" s="395">
        <v>0.62</v>
      </c>
      <c r="F686" s="395">
        <v>0.62</v>
      </c>
      <c r="G686" s="395">
        <v>0.62</v>
      </c>
      <c r="H686" s="395">
        <v>0.62</v>
      </c>
      <c r="I686" s="55" t="s">
        <v>1036</v>
      </c>
      <c r="J686" s="70"/>
      <c r="K686" s="70"/>
      <c r="L686" s="70"/>
      <c r="M686" s="70"/>
      <c r="N686" s="70"/>
      <c r="O686" s="70"/>
      <c r="P686" s="70"/>
    </row>
    <row r="687" spans="1:16" hidden="1" outlineLevel="1" x14ac:dyDescent="0.3">
      <c r="A687" s="51" t="s">
        <v>417</v>
      </c>
      <c r="B687" s="51"/>
      <c r="C687" s="51" t="str">
        <f t="shared" si="12"/>
        <v>City of Fresno</v>
      </c>
      <c r="D687" s="395">
        <v>0.62</v>
      </c>
      <c r="E687" s="395">
        <v>0.62</v>
      </c>
      <c r="F687" s="395">
        <v>0.62</v>
      </c>
      <c r="G687" s="395">
        <v>0.62</v>
      </c>
      <c r="H687" s="395">
        <v>0.62</v>
      </c>
      <c r="I687" s="55" t="s">
        <v>1036</v>
      </c>
      <c r="J687" s="70"/>
      <c r="K687" s="70"/>
      <c r="L687" s="70"/>
      <c r="M687" s="70"/>
      <c r="N687" s="70"/>
      <c r="O687" s="70"/>
      <c r="P687" s="70"/>
    </row>
    <row r="688" spans="1:16" hidden="1" outlineLevel="1" x14ac:dyDescent="0.3">
      <c r="A688" s="51" t="s">
        <v>417</v>
      </c>
      <c r="B688" s="51"/>
      <c r="C688" s="51" t="str">
        <f t="shared" si="12"/>
        <v>City of Huron</v>
      </c>
      <c r="D688" s="468" t="s">
        <v>204</v>
      </c>
      <c r="E688" s="468" t="s">
        <v>204</v>
      </c>
      <c r="F688" s="468" t="s">
        <v>204</v>
      </c>
      <c r="G688" s="468" t="s">
        <v>204</v>
      </c>
      <c r="H688" s="468" t="s">
        <v>204</v>
      </c>
      <c r="I688" s="55"/>
      <c r="J688" s="70"/>
      <c r="K688" s="70"/>
      <c r="L688" s="70"/>
      <c r="M688" s="70"/>
      <c r="N688" s="70"/>
      <c r="O688" s="70"/>
      <c r="P688" s="70"/>
    </row>
    <row r="689" spans="1:16" hidden="1" outlineLevel="1" x14ac:dyDescent="0.3">
      <c r="A689" s="51" t="s">
        <v>417</v>
      </c>
      <c r="B689" s="51"/>
      <c r="C689" s="51" t="str">
        <f t="shared" si="12"/>
        <v>City of Lindsay</v>
      </c>
      <c r="D689" s="468" t="s">
        <v>204</v>
      </c>
      <c r="E689" s="468" t="s">
        <v>204</v>
      </c>
      <c r="F689" s="468" t="s">
        <v>204</v>
      </c>
      <c r="G689" s="468" t="s">
        <v>204</v>
      </c>
      <c r="H689" s="468" t="s">
        <v>204</v>
      </c>
      <c r="I689" s="55"/>
      <c r="J689" s="70"/>
      <c r="K689" s="70"/>
      <c r="L689" s="70"/>
      <c r="M689" s="70"/>
      <c r="N689" s="70"/>
      <c r="O689" s="70"/>
      <c r="P689" s="70"/>
    </row>
    <row r="690" spans="1:16" hidden="1" outlineLevel="1" x14ac:dyDescent="0.3">
      <c r="A690" s="51" t="s">
        <v>417</v>
      </c>
      <c r="B690" s="51"/>
      <c r="C690" s="51" t="str">
        <f t="shared" si="12"/>
        <v>City of Orange Cove</v>
      </c>
      <c r="D690" s="468" t="s">
        <v>204</v>
      </c>
      <c r="E690" s="468" t="s">
        <v>204</v>
      </c>
      <c r="F690" s="468" t="s">
        <v>204</v>
      </c>
      <c r="G690" s="468" t="s">
        <v>204</v>
      </c>
      <c r="H690" s="468" t="s">
        <v>204</v>
      </c>
      <c r="I690" s="55"/>
      <c r="J690" s="70"/>
      <c r="K690" s="70"/>
      <c r="L690" s="70"/>
      <c r="M690" s="70"/>
      <c r="N690" s="70"/>
      <c r="O690" s="70"/>
      <c r="P690" s="70"/>
    </row>
    <row r="691" spans="1:16" hidden="1" outlineLevel="1" x14ac:dyDescent="0.3">
      <c r="A691" s="51" t="s">
        <v>417</v>
      </c>
      <c r="B691" s="51"/>
      <c r="C691" s="51" t="str">
        <f t="shared" si="12"/>
        <v>City of Tracy</v>
      </c>
      <c r="D691" s="395">
        <v>0.78</v>
      </c>
      <c r="E691" s="395">
        <v>0.78</v>
      </c>
      <c r="F691" s="395">
        <v>0.78</v>
      </c>
      <c r="G691" s="395">
        <v>0.78</v>
      </c>
      <c r="H691" s="395">
        <v>0.78</v>
      </c>
      <c r="I691" s="55" t="s">
        <v>1036</v>
      </c>
      <c r="J691" s="70"/>
      <c r="K691" s="70"/>
      <c r="L691" s="70"/>
      <c r="M691" s="70"/>
      <c r="N691" s="70"/>
      <c r="O691" s="70"/>
      <c r="P691" s="70"/>
    </row>
    <row r="692" spans="1:16" hidden="1" outlineLevel="1" x14ac:dyDescent="0.3">
      <c r="A692" s="51" t="s">
        <v>417</v>
      </c>
      <c r="B692" s="51"/>
      <c r="C692" s="51" t="str">
        <f t="shared" si="12"/>
        <v>Kern County Water Agency</v>
      </c>
      <c r="D692" s="468" t="s">
        <v>204</v>
      </c>
      <c r="E692" s="468" t="s">
        <v>204</v>
      </c>
      <c r="F692" s="468" t="s">
        <v>204</v>
      </c>
      <c r="G692" s="468" t="s">
        <v>204</v>
      </c>
      <c r="H692" s="468" t="s">
        <v>204</v>
      </c>
      <c r="I692" s="55"/>
      <c r="J692" s="70"/>
      <c r="K692" s="70"/>
      <c r="L692" s="70"/>
      <c r="M692" s="70"/>
      <c r="N692" s="70"/>
      <c r="O692" s="70"/>
      <c r="P692" s="70"/>
    </row>
    <row r="693" spans="1:16" hidden="1" outlineLevel="1" x14ac:dyDescent="0.3">
      <c r="A693" s="51" t="s">
        <v>417</v>
      </c>
      <c r="B693" s="51"/>
      <c r="C693" s="51" t="str">
        <f t="shared" si="12"/>
        <v>Other Friant-Kern M&amp;I Contractors</v>
      </c>
      <c r="D693" s="468" t="s">
        <v>204</v>
      </c>
      <c r="E693" s="468" t="s">
        <v>204</v>
      </c>
      <c r="F693" s="468" t="s">
        <v>204</v>
      </c>
      <c r="G693" s="468" t="s">
        <v>204</v>
      </c>
      <c r="H693" s="468" t="s">
        <v>204</v>
      </c>
      <c r="I693" s="55"/>
      <c r="J693" s="70"/>
      <c r="K693" s="70"/>
      <c r="L693" s="70"/>
      <c r="M693" s="70"/>
      <c r="N693" s="70"/>
      <c r="O693" s="70"/>
      <c r="P693" s="70"/>
    </row>
    <row r="694" spans="1:16" hidden="1" outlineLevel="1" x14ac:dyDescent="0.3">
      <c r="A694" s="51" t="s">
        <v>417</v>
      </c>
      <c r="B694" s="51"/>
      <c r="C694" s="51" t="str">
        <f t="shared" si="12"/>
        <v>Stockton-East Water District</v>
      </c>
      <c r="D694" s="395">
        <v>0.78</v>
      </c>
      <c r="E694" s="395">
        <v>0.78</v>
      </c>
      <c r="F694" s="395">
        <v>0.78</v>
      </c>
      <c r="G694" s="395">
        <v>0.78</v>
      </c>
      <c r="H694" s="395">
        <v>0.78</v>
      </c>
      <c r="I694" s="55" t="s">
        <v>1036</v>
      </c>
      <c r="J694" s="70"/>
      <c r="K694" s="70"/>
      <c r="L694" s="70"/>
      <c r="M694" s="70"/>
      <c r="N694" s="70"/>
      <c r="O694" s="70"/>
      <c r="P694" s="70"/>
    </row>
    <row r="695" spans="1:16" hidden="1" outlineLevel="1" x14ac:dyDescent="0.3">
      <c r="A695" s="51" t="s">
        <v>417</v>
      </c>
      <c r="B695" s="51"/>
      <c r="C695" s="51" t="str">
        <f t="shared" si="12"/>
        <v>Alameda County Flood Control and Water Conservation District, Zone 7</v>
      </c>
      <c r="D695" s="469">
        <v>0</v>
      </c>
      <c r="E695" s="469">
        <v>0</v>
      </c>
      <c r="F695" s="469">
        <v>0</v>
      </c>
      <c r="G695" s="469">
        <v>0</v>
      </c>
      <c r="H695" s="469">
        <v>0</v>
      </c>
      <c r="I695" s="55"/>
      <c r="J695" s="70"/>
      <c r="K695" s="70"/>
      <c r="L695" s="70"/>
      <c r="M695" s="70"/>
      <c r="N695" s="70"/>
      <c r="O695" s="70"/>
      <c r="P695" s="70"/>
    </row>
    <row r="696" spans="1:16" hidden="1" outlineLevel="1" x14ac:dyDescent="0.3">
      <c r="A696" s="51" t="s">
        <v>417</v>
      </c>
      <c r="B696" s="51"/>
      <c r="C696" s="51" t="str">
        <f t="shared" si="12"/>
        <v>Alameda County Water District</v>
      </c>
      <c r="D696" s="395">
        <v>0.77</v>
      </c>
      <c r="E696" s="395">
        <v>0.77</v>
      </c>
      <c r="F696" s="395">
        <v>0.77</v>
      </c>
      <c r="G696" s="395">
        <v>0.77</v>
      </c>
      <c r="H696" s="395">
        <v>0.77</v>
      </c>
      <c r="I696" s="55" t="s">
        <v>1036</v>
      </c>
      <c r="J696" s="70"/>
      <c r="K696" s="70"/>
      <c r="L696" s="70"/>
      <c r="M696" s="70"/>
      <c r="N696" s="70"/>
      <c r="O696" s="70"/>
      <c r="P696" s="70"/>
    </row>
    <row r="697" spans="1:16" hidden="1" outlineLevel="1" x14ac:dyDescent="0.3">
      <c r="A697" s="51" t="s">
        <v>417</v>
      </c>
      <c r="B697" s="51"/>
      <c r="C697" s="51" t="str">
        <f t="shared" si="12"/>
        <v>Contra Costa Water District</v>
      </c>
      <c r="D697" s="395">
        <v>0.8</v>
      </c>
      <c r="E697" s="395">
        <v>0.8</v>
      </c>
      <c r="F697" s="395">
        <v>0.8</v>
      </c>
      <c r="G697" s="395">
        <v>0.8</v>
      </c>
      <c r="H697" s="395">
        <v>0.8</v>
      </c>
      <c r="I697" s="55" t="s">
        <v>1036</v>
      </c>
      <c r="J697" s="70"/>
      <c r="K697" s="70"/>
      <c r="L697" s="70"/>
      <c r="M697" s="70"/>
      <c r="N697" s="70"/>
      <c r="O697" s="70"/>
      <c r="P697" s="70"/>
    </row>
    <row r="698" spans="1:16" hidden="1" outlineLevel="1" x14ac:dyDescent="0.3">
      <c r="A698" s="51" t="s">
        <v>417</v>
      </c>
      <c r="B698" s="51"/>
      <c r="C698" s="51" t="str">
        <f t="shared" si="12"/>
        <v>East Bay Municipal Utilities District</v>
      </c>
      <c r="D698" s="395">
        <v>0.79</v>
      </c>
      <c r="E698" s="395">
        <v>0.79</v>
      </c>
      <c r="F698" s="395">
        <v>0.79</v>
      </c>
      <c r="G698" s="395">
        <v>0.79</v>
      </c>
      <c r="H698" s="395">
        <v>0.79</v>
      </c>
      <c r="I698" s="55" t="s">
        <v>1036</v>
      </c>
      <c r="J698" s="70"/>
      <c r="K698" s="70"/>
      <c r="L698" s="70"/>
      <c r="M698" s="70"/>
      <c r="N698" s="70"/>
      <c r="O698" s="70"/>
      <c r="P698" s="70"/>
    </row>
    <row r="699" spans="1:16" hidden="1" outlineLevel="1" x14ac:dyDescent="0.3">
      <c r="A699" s="51" t="s">
        <v>417</v>
      </c>
      <c r="B699" s="51"/>
      <c r="C699" s="51" t="str">
        <f t="shared" si="12"/>
        <v>San Benito County Water District, Zone 6</v>
      </c>
      <c r="D699" s="395">
        <v>0.63</v>
      </c>
      <c r="E699" s="395">
        <v>0.63</v>
      </c>
      <c r="F699" s="395">
        <v>0.63</v>
      </c>
      <c r="G699" s="395">
        <v>0.63</v>
      </c>
      <c r="H699" s="395">
        <v>0.63</v>
      </c>
      <c r="I699" s="55" t="s">
        <v>1036</v>
      </c>
      <c r="J699" s="71"/>
      <c r="K699" s="71"/>
      <c r="L699" s="71"/>
      <c r="M699" s="71"/>
      <c r="N699" s="71"/>
      <c r="O699" s="71"/>
      <c r="P699" s="70"/>
    </row>
    <row r="700" spans="1:16" hidden="1" outlineLevel="1" x14ac:dyDescent="0.3">
      <c r="A700" s="51" t="s">
        <v>417</v>
      </c>
      <c r="B700" s="51"/>
      <c r="C700" s="51" t="str">
        <f t="shared" si="12"/>
        <v>Santa Clara Valley Water District</v>
      </c>
      <c r="D700" s="395">
        <v>0.72</v>
      </c>
      <c r="E700" s="395">
        <v>0.72</v>
      </c>
      <c r="F700" s="395">
        <v>0.72</v>
      </c>
      <c r="G700" s="395">
        <v>0.72</v>
      </c>
      <c r="H700" s="395">
        <v>0.72</v>
      </c>
      <c r="I700" s="55" t="s">
        <v>1036</v>
      </c>
      <c r="J700" s="70"/>
      <c r="K700" s="70"/>
      <c r="L700" s="70"/>
      <c r="M700" s="70"/>
      <c r="N700" s="70"/>
      <c r="O700" s="70"/>
      <c r="P700" s="70"/>
    </row>
    <row r="701" spans="1:16" hidden="1" outlineLevel="1" x14ac:dyDescent="0.3">
      <c r="A701" s="51" t="s">
        <v>417</v>
      </c>
      <c r="B701" s="51"/>
      <c r="C701" s="51" t="str">
        <f t="shared" si="12"/>
        <v>San Luis Obispo County Flood Control &amp; Water Conservation District</v>
      </c>
      <c r="D701" s="395">
        <v>0.88</v>
      </c>
      <c r="E701" s="395">
        <v>0.88</v>
      </c>
      <c r="F701" s="395">
        <v>0.88</v>
      </c>
      <c r="G701" s="395">
        <v>0.88</v>
      </c>
      <c r="H701" s="395">
        <v>0.88</v>
      </c>
      <c r="I701" s="55" t="s">
        <v>1036</v>
      </c>
      <c r="J701" s="70"/>
      <c r="K701" s="70"/>
      <c r="L701" s="70"/>
      <c r="M701" s="70"/>
      <c r="N701" s="70"/>
      <c r="O701" s="70"/>
      <c r="P701" s="70"/>
    </row>
    <row r="702" spans="1:16" hidden="1" outlineLevel="1" x14ac:dyDescent="0.3">
      <c r="A702" s="51" t="s">
        <v>417</v>
      </c>
      <c r="B702" s="51"/>
      <c r="C702" s="51" t="str">
        <f t="shared" si="12"/>
        <v>Santa Barbara County Flood Control &amp; Water Conservation District</v>
      </c>
      <c r="D702" s="468" t="s">
        <v>204</v>
      </c>
      <c r="E702" s="468" t="s">
        <v>204</v>
      </c>
      <c r="F702" s="468" t="s">
        <v>204</v>
      </c>
      <c r="G702" s="468" t="s">
        <v>204</v>
      </c>
      <c r="H702" s="468" t="s">
        <v>204</v>
      </c>
      <c r="I702" s="55"/>
      <c r="J702" s="70"/>
      <c r="K702" s="70"/>
      <c r="L702" s="70"/>
      <c r="M702" s="70"/>
      <c r="N702" s="70"/>
      <c r="O702" s="70"/>
      <c r="P702" s="70"/>
    </row>
    <row r="703" spans="1:16" hidden="1" outlineLevel="1" x14ac:dyDescent="0.3">
      <c r="A703" s="51" t="s">
        <v>417</v>
      </c>
      <c r="B703" s="51"/>
      <c r="C703" s="51" t="str">
        <f t="shared" si="12"/>
        <v>Antelope Valley-East Kern Water Agency</v>
      </c>
      <c r="D703" s="395">
        <v>0.65</v>
      </c>
      <c r="E703" s="395">
        <v>0.65</v>
      </c>
      <c r="F703" s="395">
        <v>0.65</v>
      </c>
      <c r="G703" s="395">
        <v>0.65</v>
      </c>
      <c r="H703" s="395">
        <v>0.65</v>
      </c>
      <c r="I703" s="55" t="s">
        <v>1036</v>
      </c>
      <c r="J703" s="70"/>
      <c r="K703" s="70"/>
      <c r="L703" s="70"/>
      <c r="M703" s="70"/>
      <c r="N703" s="70"/>
      <c r="O703" s="70"/>
      <c r="P703" s="70"/>
    </row>
    <row r="704" spans="1:16" hidden="1" outlineLevel="1" x14ac:dyDescent="0.3">
      <c r="A704" s="51" t="s">
        <v>417</v>
      </c>
      <c r="B704" s="51"/>
      <c r="C704" s="51" t="str">
        <f t="shared" ref="C704:C735" si="13">C661</f>
        <v>Santa Clarita Water Division</v>
      </c>
      <c r="D704" s="395">
        <v>0.68</v>
      </c>
      <c r="E704" s="395">
        <v>0.68</v>
      </c>
      <c r="F704" s="395">
        <v>0.68</v>
      </c>
      <c r="G704" s="395">
        <v>0.68</v>
      </c>
      <c r="H704" s="395">
        <v>0.68</v>
      </c>
      <c r="I704" s="55" t="s">
        <v>1036</v>
      </c>
      <c r="J704" s="70"/>
      <c r="K704" s="70"/>
      <c r="L704" s="70"/>
      <c r="M704" s="70"/>
      <c r="N704" s="70"/>
      <c r="O704" s="70"/>
      <c r="P704" s="70"/>
    </row>
    <row r="705" spans="1:16" hidden="1" outlineLevel="1" x14ac:dyDescent="0.3">
      <c r="A705" s="51" t="s">
        <v>417</v>
      </c>
      <c r="B705" s="51"/>
      <c r="C705" s="51" t="str">
        <f t="shared" si="13"/>
        <v>Coachella Valley Water District</v>
      </c>
      <c r="D705" s="468" t="s">
        <v>204</v>
      </c>
      <c r="E705" s="468" t="s">
        <v>204</v>
      </c>
      <c r="F705" s="468" t="s">
        <v>204</v>
      </c>
      <c r="G705" s="468" t="s">
        <v>204</v>
      </c>
      <c r="H705" s="468" t="s">
        <v>204</v>
      </c>
      <c r="I705" s="55"/>
      <c r="J705" s="70"/>
      <c r="K705" s="70"/>
      <c r="L705" s="70"/>
      <c r="M705" s="70"/>
      <c r="N705" s="70"/>
      <c r="O705" s="70"/>
      <c r="P705" s="70"/>
    </row>
    <row r="706" spans="1:16" hidden="1" outlineLevel="1" x14ac:dyDescent="0.3">
      <c r="A706" s="51" t="s">
        <v>417</v>
      </c>
      <c r="B706" s="51"/>
      <c r="C706" s="51" t="str">
        <f t="shared" si="13"/>
        <v>Crestline-Lake Arrowhead Water Agency</v>
      </c>
      <c r="D706" s="468" t="s">
        <v>204</v>
      </c>
      <c r="E706" s="468" t="s">
        <v>204</v>
      </c>
      <c r="F706" s="468" t="s">
        <v>204</v>
      </c>
      <c r="G706" s="468" t="s">
        <v>204</v>
      </c>
      <c r="H706" s="468" t="s">
        <v>204</v>
      </c>
      <c r="I706" s="55"/>
      <c r="J706" s="70"/>
      <c r="K706" s="70"/>
      <c r="L706" s="70"/>
      <c r="M706" s="70"/>
      <c r="N706" s="70"/>
      <c r="O706" s="70"/>
      <c r="P706" s="70"/>
    </row>
    <row r="707" spans="1:16" hidden="1" outlineLevel="1" x14ac:dyDescent="0.3">
      <c r="A707" s="51" t="s">
        <v>417</v>
      </c>
      <c r="B707" s="51"/>
      <c r="C707" s="51" t="str">
        <f t="shared" si="13"/>
        <v>Desert Water Agency</v>
      </c>
      <c r="D707" s="468" t="s">
        <v>204</v>
      </c>
      <c r="E707" s="468" t="s">
        <v>204</v>
      </c>
      <c r="F707" s="468" t="s">
        <v>204</v>
      </c>
      <c r="G707" s="468" t="s">
        <v>204</v>
      </c>
      <c r="H707" s="468" t="s">
        <v>204</v>
      </c>
      <c r="I707" s="55"/>
      <c r="J707" s="70"/>
      <c r="K707" s="70"/>
      <c r="L707" s="70"/>
      <c r="M707" s="70"/>
      <c r="N707" s="70"/>
      <c r="O707" s="70"/>
      <c r="P707" s="70"/>
    </row>
    <row r="708" spans="1:16" hidden="1" outlineLevel="1" x14ac:dyDescent="0.3">
      <c r="A708" s="51" t="s">
        <v>417</v>
      </c>
      <c r="B708" s="51"/>
      <c r="C708" s="51" t="str">
        <f t="shared" si="13"/>
        <v>Metropolitan Water District of Southern California</v>
      </c>
      <c r="D708" s="395">
        <v>0.82</v>
      </c>
      <c r="E708" s="395">
        <v>0.82</v>
      </c>
      <c r="F708" s="395">
        <v>0.82</v>
      </c>
      <c r="G708" s="395">
        <v>0.82</v>
      </c>
      <c r="H708" s="395">
        <v>0.82</v>
      </c>
      <c r="I708" s="55" t="s">
        <v>1036</v>
      </c>
      <c r="J708" s="70"/>
      <c r="K708" s="70"/>
      <c r="L708" s="70"/>
      <c r="M708" s="70"/>
      <c r="N708" s="70"/>
      <c r="O708" s="70"/>
      <c r="P708" s="70"/>
    </row>
    <row r="709" spans="1:16" hidden="1" outlineLevel="1" x14ac:dyDescent="0.3">
      <c r="A709" s="51" t="s">
        <v>417</v>
      </c>
      <c r="B709" s="51"/>
      <c r="C709" s="51" t="str">
        <f t="shared" si="13"/>
        <v>Mojave Water Agency</v>
      </c>
      <c r="D709" s="395">
        <v>0.77</v>
      </c>
      <c r="E709" s="395">
        <v>0.77</v>
      </c>
      <c r="F709" s="395">
        <v>0.77</v>
      </c>
      <c r="G709" s="395">
        <v>0.77</v>
      </c>
      <c r="H709" s="395">
        <v>0.77</v>
      </c>
      <c r="I709" s="55" t="s">
        <v>1036</v>
      </c>
      <c r="J709" s="70"/>
      <c r="K709" s="70"/>
      <c r="L709" s="70"/>
      <c r="M709" s="70"/>
      <c r="N709" s="70"/>
      <c r="O709" s="70"/>
      <c r="P709" s="70"/>
    </row>
    <row r="710" spans="1:16" hidden="1" outlineLevel="1" x14ac:dyDescent="0.3">
      <c r="A710" s="51" t="s">
        <v>417</v>
      </c>
      <c r="B710" s="51"/>
      <c r="C710" s="51" t="str">
        <f t="shared" si="13"/>
        <v>Palmdale Water District &amp; Littlerock Creek Irrigation District</v>
      </c>
      <c r="D710" s="395">
        <v>0.68</v>
      </c>
      <c r="E710" s="395">
        <v>0.68</v>
      </c>
      <c r="F710" s="395">
        <v>0.68</v>
      </c>
      <c r="G710" s="395">
        <v>0.68</v>
      </c>
      <c r="H710" s="395">
        <v>0.68</v>
      </c>
      <c r="I710" s="55" t="s">
        <v>1036</v>
      </c>
      <c r="J710" s="70"/>
      <c r="K710" s="70"/>
      <c r="L710" s="70"/>
      <c r="M710" s="70"/>
      <c r="N710" s="70"/>
      <c r="O710" s="70"/>
      <c r="P710" s="70"/>
    </row>
    <row r="711" spans="1:16" hidden="1" outlineLevel="1" x14ac:dyDescent="0.3">
      <c r="A711" s="51" t="s">
        <v>417</v>
      </c>
      <c r="B711" s="51"/>
      <c r="C711" s="51" t="str">
        <f t="shared" si="13"/>
        <v>San Bernardino Valley Municipal Water District</v>
      </c>
      <c r="D711" s="395">
        <v>0.77</v>
      </c>
      <c r="E711" s="395">
        <v>0.77</v>
      </c>
      <c r="F711" s="395">
        <v>0.77</v>
      </c>
      <c r="G711" s="395">
        <v>0.77</v>
      </c>
      <c r="H711" s="395">
        <v>0.77</v>
      </c>
      <c r="I711" s="55" t="s">
        <v>1036</v>
      </c>
      <c r="J711" s="70"/>
      <c r="K711" s="70"/>
      <c r="L711" s="70"/>
      <c r="M711" s="70"/>
      <c r="N711" s="70"/>
      <c r="O711" s="70"/>
      <c r="P711" s="70"/>
    </row>
    <row r="712" spans="1:16" hidden="1" outlineLevel="1" x14ac:dyDescent="0.3">
      <c r="A712" s="51" t="s">
        <v>417</v>
      </c>
      <c r="B712" s="51"/>
      <c r="C712" s="51" t="str">
        <f t="shared" si="13"/>
        <v>San Gabriel Valley Municipal Water District</v>
      </c>
      <c r="D712" s="468" t="s">
        <v>204</v>
      </c>
      <c r="E712" s="468" t="s">
        <v>204</v>
      </c>
      <c r="F712" s="468" t="s">
        <v>204</v>
      </c>
      <c r="G712" s="468" t="s">
        <v>204</v>
      </c>
      <c r="H712" s="468" t="s">
        <v>204</v>
      </c>
      <c r="I712" s="55"/>
      <c r="J712" s="70"/>
      <c r="K712" s="70"/>
      <c r="L712" s="70"/>
      <c r="M712" s="70"/>
      <c r="N712" s="70"/>
      <c r="O712" s="70"/>
      <c r="P712" s="70"/>
    </row>
    <row r="713" spans="1:16" hidden="1" outlineLevel="1" x14ac:dyDescent="0.3">
      <c r="A713" s="51" t="s">
        <v>417</v>
      </c>
      <c r="B713" s="51"/>
      <c r="C713" s="51" t="str">
        <f t="shared" si="13"/>
        <v>San Gorgonio Pass Water Agency</v>
      </c>
      <c r="D713" s="395">
        <v>0.85</v>
      </c>
      <c r="E713" s="395">
        <v>0.85</v>
      </c>
      <c r="F713" s="395">
        <v>0.85</v>
      </c>
      <c r="G713" s="395">
        <v>0.85</v>
      </c>
      <c r="H713" s="395">
        <v>0.85</v>
      </c>
      <c r="I713" s="55" t="s">
        <v>1036</v>
      </c>
      <c r="J713" s="70"/>
      <c r="K713" s="70"/>
      <c r="L713" s="70"/>
      <c r="M713" s="70"/>
      <c r="N713" s="70"/>
      <c r="O713" s="70"/>
      <c r="P713" s="70"/>
    </row>
    <row r="714" spans="1:16" hidden="1" outlineLevel="1" x14ac:dyDescent="0.3">
      <c r="A714" s="51" t="s">
        <v>417</v>
      </c>
      <c r="B714" s="51"/>
      <c r="C714" s="51" t="str">
        <f t="shared" si="13"/>
        <v>Ventura County Watershed Protection District</v>
      </c>
      <c r="D714" s="468" t="s">
        <v>204</v>
      </c>
      <c r="E714" s="468" t="s">
        <v>204</v>
      </c>
      <c r="F714" s="468" t="s">
        <v>204</v>
      </c>
      <c r="G714" s="468" t="s">
        <v>204</v>
      </c>
      <c r="H714" s="468" t="s">
        <v>204</v>
      </c>
      <c r="I714" s="55"/>
      <c r="J714" s="70"/>
      <c r="K714" s="70"/>
      <c r="L714" s="70"/>
      <c r="M714" s="70"/>
      <c r="N714" s="70"/>
      <c r="O714" s="70"/>
      <c r="P714" s="70"/>
    </row>
    <row r="715" spans="1:16" hidden="1" outlineLevel="1" x14ac:dyDescent="0.3">
      <c r="A715" s="51" t="s">
        <v>419</v>
      </c>
      <c r="B715" s="51"/>
      <c r="C715" s="51" t="str">
        <f t="shared" si="13"/>
        <v>Butte County</v>
      </c>
      <c r="D715" s="468" t="s">
        <v>204</v>
      </c>
      <c r="E715" s="468" t="s">
        <v>204</v>
      </c>
      <c r="F715" s="468" t="s">
        <v>204</v>
      </c>
      <c r="G715" s="468" t="s">
        <v>204</v>
      </c>
      <c r="H715" s="468" t="s">
        <v>204</v>
      </c>
      <c r="I715" s="55"/>
      <c r="J715" s="70"/>
      <c r="K715" s="70"/>
      <c r="L715" s="70"/>
      <c r="M715" s="70"/>
      <c r="N715" s="70"/>
      <c r="O715" s="70"/>
      <c r="P715" s="70"/>
    </row>
    <row r="716" spans="1:16" hidden="1" outlineLevel="1" x14ac:dyDescent="0.3">
      <c r="A716" s="51" t="s">
        <v>419</v>
      </c>
      <c r="B716" s="51"/>
      <c r="C716" s="51" t="str">
        <f t="shared" si="13"/>
        <v>City of Folsom</v>
      </c>
      <c r="D716" s="55">
        <v>84</v>
      </c>
      <c r="E716" s="55">
        <v>84</v>
      </c>
      <c r="F716" s="55">
        <v>84</v>
      </c>
      <c r="G716" s="55">
        <v>84</v>
      </c>
      <c r="H716" s="55">
        <v>84</v>
      </c>
      <c r="I716" s="55" t="s">
        <v>1037</v>
      </c>
      <c r="J716" s="70"/>
      <c r="K716" s="70"/>
      <c r="L716" s="70"/>
      <c r="M716" s="70"/>
      <c r="N716" s="70"/>
      <c r="O716" s="70"/>
      <c r="P716" s="70"/>
    </row>
    <row r="717" spans="1:16" hidden="1" outlineLevel="1" x14ac:dyDescent="0.3">
      <c r="A717" s="51" t="s">
        <v>419</v>
      </c>
      <c r="B717" s="51"/>
      <c r="C717" s="51" t="str">
        <f t="shared" si="13"/>
        <v>City of Redding</v>
      </c>
      <c r="D717" s="55">
        <v>84</v>
      </c>
      <c r="E717" s="55">
        <v>84</v>
      </c>
      <c r="F717" s="55">
        <v>84</v>
      </c>
      <c r="G717" s="55">
        <v>84</v>
      </c>
      <c r="H717" s="55">
        <v>84</v>
      </c>
      <c r="I717" s="55" t="s">
        <v>1037</v>
      </c>
      <c r="J717" s="70"/>
      <c r="K717" s="70"/>
      <c r="L717" s="70"/>
      <c r="M717" s="70"/>
      <c r="N717" s="70"/>
      <c r="O717" s="70"/>
      <c r="P717" s="70"/>
    </row>
    <row r="718" spans="1:16" hidden="1" outlineLevel="1" x14ac:dyDescent="0.3">
      <c r="A718" s="51" t="s">
        <v>419</v>
      </c>
      <c r="B718" s="51"/>
      <c r="C718" s="51" t="str">
        <f t="shared" si="13"/>
        <v>City of Roseville</v>
      </c>
      <c r="D718" s="55">
        <v>84</v>
      </c>
      <c r="E718" s="55">
        <v>84</v>
      </c>
      <c r="F718" s="55">
        <v>84</v>
      </c>
      <c r="G718" s="55">
        <v>84</v>
      </c>
      <c r="H718" s="55">
        <v>84</v>
      </c>
      <c r="I718" s="55" t="s">
        <v>1037</v>
      </c>
      <c r="J718" s="70"/>
      <c r="K718" s="70"/>
      <c r="L718" s="70"/>
      <c r="M718" s="70"/>
      <c r="N718" s="70"/>
      <c r="O718" s="70"/>
      <c r="P718" s="70"/>
    </row>
    <row r="719" spans="1:16" hidden="1" outlineLevel="1" x14ac:dyDescent="0.3">
      <c r="A719" s="51" t="s">
        <v>419</v>
      </c>
      <c r="B719" s="51"/>
      <c r="C719" s="51" t="str">
        <f t="shared" si="13"/>
        <v>City of West Sacramento</v>
      </c>
      <c r="D719" s="55">
        <v>84</v>
      </c>
      <c r="E719" s="55">
        <v>84</v>
      </c>
      <c r="F719" s="55">
        <v>84</v>
      </c>
      <c r="G719" s="55">
        <v>84</v>
      </c>
      <c r="H719" s="55">
        <v>84</v>
      </c>
      <c r="I719" s="55" t="s">
        <v>1037</v>
      </c>
      <c r="J719" s="70"/>
      <c r="K719" s="70"/>
      <c r="L719" s="70"/>
      <c r="M719" s="70"/>
      <c r="N719" s="70"/>
      <c r="O719" s="70"/>
      <c r="P719" s="70"/>
    </row>
    <row r="720" spans="1:16" hidden="1" outlineLevel="1" x14ac:dyDescent="0.3">
      <c r="A720" s="51" t="s">
        <v>419</v>
      </c>
      <c r="B720" s="51"/>
      <c r="C720" s="51" t="str">
        <f t="shared" si="13"/>
        <v>Yuba City</v>
      </c>
      <c r="D720" s="55">
        <v>84</v>
      </c>
      <c r="E720" s="55">
        <v>84</v>
      </c>
      <c r="F720" s="55">
        <v>84</v>
      </c>
      <c r="G720" s="55">
        <v>84</v>
      </c>
      <c r="H720" s="55">
        <v>84</v>
      </c>
      <c r="I720" s="55" t="s">
        <v>1037</v>
      </c>
      <c r="J720" s="70"/>
      <c r="K720" s="70"/>
      <c r="L720" s="70"/>
      <c r="M720" s="70"/>
      <c r="N720" s="70"/>
      <c r="O720" s="70"/>
      <c r="P720" s="70"/>
    </row>
    <row r="721" spans="1:16" hidden="1" outlineLevel="1" x14ac:dyDescent="0.3">
      <c r="A721" s="51" t="s">
        <v>419</v>
      </c>
      <c r="B721" s="51"/>
      <c r="C721" s="51" t="str">
        <f t="shared" si="13"/>
        <v>El Dorado Irrigation District</v>
      </c>
      <c r="D721" s="55">
        <v>84</v>
      </c>
      <c r="E721" s="55">
        <v>84</v>
      </c>
      <c r="F721" s="55">
        <v>84</v>
      </c>
      <c r="G721" s="55">
        <v>84</v>
      </c>
      <c r="H721" s="55">
        <v>84</v>
      </c>
      <c r="I721" s="55" t="s">
        <v>1037</v>
      </c>
      <c r="J721" s="70"/>
      <c r="K721" s="70"/>
      <c r="L721" s="70"/>
      <c r="M721" s="70"/>
      <c r="N721" s="70"/>
      <c r="O721" s="70"/>
      <c r="P721" s="70"/>
    </row>
    <row r="722" spans="1:16" hidden="1" outlineLevel="1" x14ac:dyDescent="0.3">
      <c r="A722" s="51" t="s">
        <v>419</v>
      </c>
      <c r="B722" s="51"/>
      <c r="C722" s="51" t="str">
        <f t="shared" si="13"/>
        <v>Napa County Flood Control &amp; Water Conservation District</v>
      </c>
      <c r="D722" s="468" t="s">
        <v>204</v>
      </c>
      <c r="E722" s="468" t="s">
        <v>204</v>
      </c>
      <c r="F722" s="468" t="s">
        <v>204</v>
      </c>
      <c r="G722" s="468" t="s">
        <v>204</v>
      </c>
      <c r="H722" s="468" t="s">
        <v>204</v>
      </c>
      <c r="I722" s="55"/>
      <c r="J722" s="70"/>
      <c r="K722" s="70"/>
      <c r="L722" s="70"/>
      <c r="M722" s="70"/>
      <c r="N722" s="70"/>
      <c r="O722" s="70"/>
      <c r="P722" s="70"/>
    </row>
    <row r="723" spans="1:16" hidden="1" outlineLevel="1" x14ac:dyDescent="0.3">
      <c r="A723" s="51" t="s">
        <v>419</v>
      </c>
      <c r="B723" s="51"/>
      <c r="C723" s="51" t="str">
        <f t="shared" si="13"/>
        <v>Placer County Water Agency</v>
      </c>
      <c r="D723" s="55">
        <v>84</v>
      </c>
      <c r="E723" s="55">
        <v>84</v>
      </c>
      <c r="F723" s="55">
        <v>84</v>
      </c>
      <c r="G723" s="55">
        <v>84</v>
      </c>
      <c r="H723" s="55">
        <v>84</v>
      </c>
      <c r="I723" s="55" t="s">
        <v>1037</v>
      </c>
      <c r="J723" s="70"/>
      <c r="K723" s="70"/>
      <c r="L723" s="70"/>
      <c r="M723" s="70"/>
      <c r="N723" s="70"/>
      <c r="O723" s="70"/>
      <c r="P723" s="70"/>
    </row>
    <row r="724" spans="1:16" hidden="1" outlineLevel="1" x14ac:dyDescent="0.3">
      <c r="A724" s="51" t="s">
        <v>419</v>
      </c>
      <c r="B724" s="51"/>
      <c r="C724" s="51" t="str">
        <f t="shared" si="13"/>
        <v>Sacramento County Water Agency</v>
      </c>
      <c r="D724" s="55">
        <v>84</v>
      </c>
      <c r="E724" s="55">
        <v>84</v>
      </c>
      <c r="F724" s="55">
        <v>84</v>
      </c>
      <c r="G724" s="55">
        <v>84</v>
      </c>
      <c r="H724" s="55">
        <v>84</v>
      </c>
      <c r="I724" s="55" t="s">
        <v>1037</v>
      </c>
      <c r="J724" s="70"/>
      <c r="K724" s="70"/>
      <c r="L724" s="70"/>
      <c r="M724" s="70"/>
      <c r="N724" s="70"/>
      <c r="O724" s="70"/>
      <c r="P724" s="70"/>
    </row>
    <row r="725" spans="1:16" hidden="1" outlineLevel="1" x14ac:dyDescent="0.3">
      <c r="A725" s="51" t="s">
        <v>419</v>
      </c>
      <c r="B725" s="51"/>
      <c r="C725" s="51" t="str">
        <f t="shared" si="13"/>
        <v>San Juan Water District</v>
      </c>
      <c r="D725" s="55">
        <v>84</v>
      </c>
      <c r="E725" s="55">
        <v>84</v>
      </c>
      <c r="F725" s="55">
        <v>84</v>
      </c>
      <c r="G725" s="55">
        <v>84</v>
      </c>
      <c r="H725" s="55">
        <v>84</v>
      </c>
      <c r="I725" s="55" t="s">
        <v>1037</v>
      </c>
      <c r="J725" s="70"/>
      <c r="K725" s="70"/>
      <c r="L725" s="70"/>
      <c r="M725" s="70"/>
      <c r="N725" s="70"/>
      <c r="O725" s="70"/>
      <c r="P725" s="70"/>
    </row>
    <row r="726" spans="1:16" hidden="1" outlineLevel="1" x14ac:dyDescent="0.3">
      <c r="A726" s="51" t="s">
        <v>419</v>
      </c>
      <c r="B726" s="51"/>
      <c r="C726" s="51" t="str">
        <f t="shared" si="13"/>
        <v>Shasta Contractors</v>
      </c>
      <c r="D726" s="468" t="s">
        <v>204</v>
      </c>
      <c r="E726" s="468" t="s">
        <v>204</v>
      </c>
      <c r="F726" s="468" t="s">
        <v>204</v>
      </c>
      <c r="G726" s="468" t="s">
        <v>204</v>
      </c>
      <c r="H726" s="468" t="s">
        <v>204</v>
      </c>
      <c r="I726" s="55"/>
      <c r="J726" s="70"/>
      <c r="K726" s="70"/>
      <c r="L726" s="70"/>
      <c r="M726" s="70"/>
      <c r="N726" s="70"/>
      <c r="O726" s="70"/>
      <c r="P726" s="70"/>
    </row>
    <row r="727" spans="1:16" hidden="1" outlineLevel="1" x14ac:dyDescent="0.3">
      <c r="A727" s="51" t="s">
        <v>419</v>
      </c>
      <c r="B727" s="51"/>
      <c r="C727" s="51" t="str">
        <f t="shared" si="13"/>
        <v>Solano County Water Agency</v>
      </c>
      <c r="D727" s="468" t="s">
        <v>204</v>
      </c>
      <c r="E727" s="468" t="s">
        <v>204</v>
      </c>
      <c r="F727" s="468" t="s">
        <v>204</v>
      </c>
      <c r="G727" s="468" t="s">
        <v>204</v>
      </c>
      <c r="H727" s="468" t="s">
        <v>204</v>
      </c>
      <c r="I727" s="55"/>
      <c r="J727" s="70"/>
      <c r="K727" s="70"/>
      <c r="L727" s="70"/>
      <c r="M727" s="70"/>
      <c r="N727" s="70"/>
      <c r="O727" s="70"/>
      <c r="P727" s="70"/>
    </row>
    <row r="728" spans="1:16" hidden="1" outlineLevel="1" x14ac:dyDescent="0.3">
      <c r="A728" s="51" t="s">
        <v>419</v>
      </c>
      <c r="B728" s="51"/>
      <c r="C728" s="51" t="str">
        <f t="shared" si="13"/>
        <v>City of Avenal</v>
      </c>
      <c r="D728" s="468" t="s">
        <v>204</v>
      </c>
      <c r="E728" s="468" t="s">
        <v>204</v>
      </c>
      <c r="F728" s="468" t="s">
        <v>204</v>
      </c>
      <c r="G728" s="468" t="s">
        <v>204</v>
      </c>
      <c r="H728" s="468" t="s">
        <v>204</v>
      </c>
      <c r="I728" s="55"/>
      <c r="J728" s="70"/>
      <c r="K728" s="70"/>
      <c r="L728" s="70"/>
      <c r="M728" s="70"/>
      <c r="N728" s="70"/>
      <c r="O728" s="70"/>
      <c r="P728" s="70"/>
    </row>
    <row r="729" spans="1:16" hidden="1" outlineLevel="1" x14ac:dyDescent="0.3">
      <c r="A729" s="51" t="s">
        <v>419</v>
      </c>
      <c r="B729" s="51"/>
      <c r="C729" s="51" t="str">
        <f t="shared" si="13"/>
        <v>City of Coalinga</v>
      </c>
      <c r="D729" s="55">
        <v>84</v>
      </c>
      <c r="E729" s="55">
        <v>84</v>
      </c>
      <c r="F729" s="55">
        <v>84</v>
      </c>
      <c r="G729" s="55">
        <v>84</v>
      </c>
      <c r="H729" s="55">
        <v>84</v>
      </c>
      <c r="I729" s="55" t="s">
        <v>1037</v>
      </c>
      <c r="J729" s="70"/>
      <c r="K729" s="70"/>
      <c r="L729" s="70"/>
      <c r="M729" s="70"/>
      <c r="N729" s="70"/>
      <c r="O729" s="70"/>
      <c r="P729" s="70"/>
    </row>
    <row r="730" spans="1:16" hidden="1" outlineLevel="1" x14ac:dyDescent="0.3">
      <c r="A730" s="51" t="s">
        <v>419</v>
      </c>
      <c r="B730" s="51"/>
      <c r="C730" s="51" t="str">
        <f t="shared" si="13"/>
        <v>City of Fresno</v>
      </c>
      <c r="D730" s="55">
        <v>84</v>
      </c>
      <c r="E730" s="55">
        <v>84</v>
      </c>
      <c r="F730" s="55">
        <v>84</v>
      </c>
      <c r="G730" s="55">
        <v>84</v>
      </c>
      <c r="H730" s="55">
        <v>84</v>
      </c>
      <c r="I730" s="55" t="s">
        <v>1037</v>
      </c>
      <c r="J730" s="70"/>
      <c r="K730" s="70"/>
      <c r="L730" s="70"/>
      <c r="M730" s="70"/>
      <c r="N730" s="70"/>
      <c r="O730" s="70"/>
      <c r="P730" s="70"/>
    </row>
    <row r="731" spans="1:16" hidden="1" outlineLevel="1" x14ac:dyDescent="0.3">
      <c r="A731" s="51" t="s">
        <v>419</v>
      </c>
      <c r="B731" s="51"/>
      <c r="C731" s="51" t="str">
        <f t="shared" si="13"/>
        <v>City of Huron</v>
      </c>
      <c r="D731" s="468" t="s">
        <v>204</v>
      </c>
      <c r="E731" s="468" t="s">
        <v>204</v>
      </c>
      <c r="F731" s="468" t="s">
        <v>204</v>
      </c>
      <c r="G731" s="468" t="s">
        <v>204</v>
      </c>
      <c r="H731" s="468" t="s">
        <v>204</v>
      </c>
      <c r="I731" s="55"/>
      <c r="J731" s="70"/>
      <c r="K731" s="70"/>
      <c r="L731" s="70"/>
      <c r="M731" s="70"/>
      <c r="N731" s="70"/>
      <c r="O731" s="70"/>
      <c r="P731" s="70"/>
    </row>
    <row r="732" spans="1:16" hidden="1" outlineLevel="1" x14ac:dyDescent="0.3">
      <c r="A732" s="51" t="s">
        <v>419</v>
      </c>
      <c r="B732" s="51"/>
      <c r="C732" s="51" t="str">
        <f t="shared" si="13"/>
        <v>City of Lindsay</v>
      </c>
      <c r="D732" s="468" t="s">
        <v>204</v>
      </c>
      <c r="E732" s="468" t="s">
        <v>204</v>
      </c>
      <c r="F732" s="468" t="s">
        <v>204</v>
      </c>
      <c r="G732" s="468" t="s">
        <v>204</v>
      </c>
      <c r="H732" s="468" t="s">
        <v>204</v>
      </c>
      <c r="I732" s="55"/>
      <c r="J732" s="70"/>
      <c r="K732" s="70"/>
      <c r="L732" s="70"/>
      <c r="M732" s="70"/>
      <c r="N732" s="70"/>
      <c r="O732" s="70"/>
      <c r="P732" s="70"/>
    </row>
    <row r="733" spans="1:16" hidden="1" outlineLevel="1" x14ac:dyDescent="0.3">
      <c r="A733" s="51" t="s">
        <v>419</v>
      </c>
      <c r="B733" s="51"/>
      <c r="C733" s="51" t="str">
        <f t="shared" si="13"/>
        <v>City of Orange Cove</v>
      </c>
      <c r="D733" s="468" t="s">
        <v>204</v>
      </c>
      <c r="E733" s="468" t="s">
        <v>204</v>
      </c>
      <c r="F733" s="468" t="s">
        <v>204</v>
      </c>
      <c r="G733" s="468" t="s">
        <v>204</v>
      </c>
      <c r="H733" s="468" t="s">
        <v>204</v>
      </c>
      <c r="I733" s="55"/>
      <c r="J733" s="70"/>
      <c r="K733" s="70"/>
      <c r="L733" s="70"/>
      <c r="M733" s="70"/>
      <c r="N733" s="70"/>
      <c r="O733" s="70"/>
      <c r="P733" s="70"/>
    </row>
    <row r="734" spans="1:16" hidden="1" outlineLevel="1" x14ac:dyDescent="0.3">
      <c r="A734" s="51" t="s">
        <v>419</v>
      </c>
      <c r="B734" s="51"/>
      <c r="C734" s="51" t="str">
        <f t="shared" si="13"/>
        <v>City of Tracy</v>
      </c>
      <c r="D734" s="55">
        <v>84</v>
      </c>
      <c r="E734" s="55">
        <v>84</v>
      </c>
      <c r="F734" s="55">
        <v>84</v>
      </c>
      <c r="G734" s="55">
        <v>84</v>
      </c>
      <c r="H734" s="55">
        <v>84</v>
      </c>
      <c r="I734" s="55" t="s">
        <v>1037</v>
      </c>
      <c r="J734" s="70"/>
      <c r="K734" s="70"/>
      <c r="L734" s="70"/>
      <c r="M734" s="70"/>
      <c r="N734" s="70"/>
      <c r="O734" s="70"/>
      <c r="P734" s="70"/>
    </row>
    <row r="735" spans="1:16" hidden="1" outlineLevel="1" x14ac:dyDescent="0.3">
      <c r="A735" s="51" t="s">
        <v>419</v>
      </c>
      <c r="B735" s="51"/>
      <c r="C735" s="51" t="str">
        <f t="shared" si="13"/>
        <v>Kern County Water Agency</v>
      </c>
      <c r="D735" s="468" t="s">
        <v>204</v>
      </c>
      <c r="E735" s="468" t="s">
        <v>204</v>
      </c>
      <c r="F735" s="468" t="s">
        <v>204</v>
      </c>
      <c r="G735" s="468" t="s">
        <v>204</v>
      </c>
      <c r="H735" s="468" t="s">
        <v>204</v>
      </c>
      <c r="I735" s="55"/>
      <c r="J735" s="70"/>
      <c r="K735" s="70"/>
      <c r="L735" s="70"/>
      <c r="M735" s="70"/>
      <c r="N735" s="70"/>
      <c r="O735" s="70"/>
      <c r="P735" s="70"/>
    </row>
    <row r="736" spans="1:16" hidden="1" outlineLevel="1" x14ac:dyDescent="0.3">
      <c r="A736" s="51" t="s">
        <v>419</v>
      </c>
      <c r="B736" s="51"/>
      <c r="C736" s="51" t="str">
        <f t="shared" ref="C736:C758" si="14">C693</f>
        <v>Other Friant-Kern M&amp;I Contractors</v>
      </c>
      <c r="D736" s="468" t="s">
        <v>204</v>
      </c>
      <c r="E736" s="468" t="s">
        <v>204</v>
      </c>
      <c r="F736" s="468" t="s">
        <v>204</v>
      </c>
      <c r="G736" s="468" t="s">
        <v>204</v>
      </c>
      <c r="H736" s="468" t="s">
        <v>204</v>
      </c>
      <c r="I736" s="55"/>
      <c r="J736" s="70"/>
      <c r="K736" s="70"/>
      <c r="L736" s="70"/>
      <c r="M736" s="70"/>
      <c r="N736" s="70"/>
      <c r="O736" s="70"/>
      <c r="P736" s="70"/>
    </row>
    <row r="737" spans="1:16" hidden="1" outlineLevel="1" x14ac:dyDescent="0.3">
      <c r="A737" s="51" t="s">
        <v>419</v>
      </c>
      <c r="B737" s="51"/>
      <c r="C737" s="51" t="str">
        <f t="shared" si="14"/>
        <v>Stockton-East Water District</v>
      </c>
      <c r="D737" s="55">
        <v>84</v>
      </c>
      <c r="E737" s="55">
        <v>84</v>
      </c>
      <c r="F737" s="55">
        <v>84</v>
      </c>
      <c r="G737" s="55">
        <v>84</v>
      </c>
      <c r="H737" s="55">
        <v>84</v>
      </c>
      <c r="I737" s="55" t="s">
        <v>1037</v>
      </c>
      <c r="J737" s="70"/>
      <c r="K737" s="70"/>
      <c r="L737" s="70"/>
      <c r="M737" s="70"/>
      <c r="N737" s="70"/>
      <c r="O737" s="70"/>
      <c r="P737" s="70"/>
    </row>
    <row r="738" spans="1:16" hidden="1" outlineLevel="1" x14ac:dyDescent="0.3">
      <c r="A738" s="51" t="s">
        <v>419</v>
      </c>
      <c r="B738" s="51"/>
      <c r="C738" s="51" t="str">
        <f t="shared" si="14"/>
        <v>Alameda County Flood Control and Water Conservation District, Zone 7</v>
      </c>
      <c r="D738" s="55">
        <v>84</v>
      </c>
      <c r="E738" s="55">
        <v>84</v>
      </c>
      <c r="F738" s="55">
        <v>84</v>
      </c>
      <c r="G738" s="55">
        <v>84</v>
      </c>
      <c r="H738" s="55">
        <v>84</v>
      </c>
      <c r="I738" s="55"/>
      <c r="J738" s="70"/>
      <c r="K738" s="70"/>
      <c r="L738" s="70"/>
      <c r="M738" s="70"/>
      <c r="N738" s="70"/>
      <c r="O738" s="70"/>
      <c r="P738" s="70"/>
    </row>
    <row r="739" spans="1:16" hidden="1" outlineLevel="1" x14ac:dyDescent="0.3">
      <c r="A739" s="51" t="s">
        <v>419</v>
      </c>
      <c r="B739" s="51"/>
      <c r="C739" s="51" t="str">
        <f t="shared" si="14"/>
        <v>Alameda County Water District</v>
      </c>
      <c r="D739" s="55">
        <v>84</v>
      </c>
      <c r="E739" s="55">
        <v>84</v>
      </c>
      <c r="F739" s="55">
        <v>84</v>
      </c>
      <c r="G739" s="55">
        <v>84</v>
      </c>
      <c r="H739" s="55">
        <v>84</v>
      </c>
      <c r="I739" s="55" t="s">
        <v>1037</v>
      </c>
      <c r="J739" s="70"/>
      <c r="K739" s="70"/>
      <c r="L739" s="70"/>
      <c r="M739" s="70"/>
      <c r="N739" s="70"/>
      <c r="O739" s="70"/>
      <c r="P739" s="70"/>
    </row>
    <row r="740" spans="1:16" hidden="1" outlineLevel="1" x14ac:dyDescent="0.3">
      <c r="A740" s="51" t="s">
        <v>419</v>
      </c>
      <c r="B740" s="51"/>
      <c r="C740" s="51" t="str">
        <f t="shared" si="14"/>
        <v>Contra Costa Water District</v>
      </c>
      <c r="D740" s="55">
        <v>84</v>
      </c>
      <c r="E740" s="55">
        <v>84</v>
      </c>
      <c r="F740" s="55">
        <v>84</v>
      </c>
      <c r="G740" s="55">
        <v>84</v>
      </c>
      <c r="H740" s="55">
        <v>84</v>
      </c>
      <c r="I740" s="55" t="s">
        <v>1037</v>
      </c>
      <c r="J740" s="70"/>
      <c r="K740" s="70"/>
      <c r="L740" s="70"/>
      <c r="M740" s="70"/>
      <c r="N740" s="70"/>
      <c r="O740" s="70"/>
      <c r="P740" s="70"/>
    </row>
    <row r="741" spans="1:16" hidden="1" outlineLevel="1" x14ac:dyDescent="0.3">
      <c r="A741" s="51" t="s">
        <v>419</v>
      </c>
      <c r="B741" s="51"/>
      <c r="C741" s="51" t="str">
        <f t="shared" si="14"/>
        <v>East Bay Municipal Utilities District</v>
      </c>
      <c r="D741" s="55">
        <v>84</v>
      </c>
      <c r="E741" s="55">
        <v>84</v>
      </c>
      <c r="F741" s="55">
        <v>84</v>
      </c>
      <c r="G741" s="55">
        <v>84</v>
      </c>
      <c r="H741" s="55">
        <v>84</v>
      </c>
      <c r="I741" s="55" t="s">
        <v>1037</v>
      </c>
      <c r="J741" s="70"/>
      <c r="K741" s="70"/>
      <c r="L741" s="70"/>
      <c r="M741" s="70"/>
      <c r="N741" s="70"/>
      <c r="O741" s="70"/>
      <c r="P741" s="70"/>
    </row>
    <row r="742" spans="1:16" hidden="1" outlineLevel="1" x14ac:dyDescent="0.3">
      <c r="A742" s="51" t="s">
        <v>419</v>
      </c>
      <c r="B742" s="51"/>
      <c r="C742" s="51" t="str">
        <f t="shared" si="14"/>
        <v>San Benito County Water District, Zone 6</v>
      </c>
      <c r="D742" s="55">
        <v>84</v>
      </c>
      <c r="E742" s="55">
        <v>84</v>
      </c>
      <c r="F742" s="55">
        <v>84</v>
      </c>
      <c r="G742" s="55">
        <v>84</v>
      </c>
      <c r="H742" s="55">
        <v>84</v>
      </c>
      <c r="I742" s="55" t="s">
        <v>1037</v>
      </c>
      <c r="J742" s="71"/>
      <c r="K742" s="70"/>
      <c r="L742" s="70"/>
      <c r="M742" s="70"/>
      <c r="N742" s="70"/>
      <c r="O742" s="70"/>
      <c r="P742" s="70"/>
    </row>
    <row r="743" spans="1:16" hidden="1" outlineLevel="1" x14ac:dyDescent="0.3">
      <c r="A743" s="51" t="s">
        <v>419</v>
      </c>
      <c r="B743" s="51"/>
      <c r="C743" s="51" t="str">
        <f t="shared" si="14"/>
        <v>Santa Clara Valley Water District</v>
      </c>
      <c r="D743" s="55">
        <v>84</v>
      </c>
      <c r="E743" s="55">
        <v>84</v>
      </c>
      <c r="F743" s="55">
        <v>84</v>
      </c>
      <c r="G743" s="55">
        <v>84</v>
      </c>
      <c r="H743" s="55">
        <v>84</v>
      </c>
      <c r="I743" s="55" t="s">
        <v>1037</v>
      </c>
      <c r="J743" s="70"/>
      <c r="K743" s="70"/>
      <c r="L743" s="70"/>
      <c r="M743" s="70"/>
      <c r="N743" s="70"/>
      <c r="O743" s="70"/>
      <c r="P743" s="70"/>
    </row>
    <row r="744" spans="1:16" hidden="1" outlineLevel="1" x14ac:dyDescent="0.3">
      <c r="A744" s="51" t="s">
        <v>419</v>
      </c>
      <c r="B744" s="51"/>
      <c r="C744" s="51" t="str">
        <f t="shared" si="14"/>
        <v>San Luis Obispo County Flood Control &amp; Water Conservation District</v>
      </c>
      <c r="D744" s="55">
        <v>84</v>
      </c>
      <c r="E744" s="55">
        <v>84</v>
      </c>
      <c r="F744" s="55">
        <v>84</v>
      </c>
      <c r="G744" s="55">
        <v>84</v>
      </c>
      <c r="H744" s="55">
        <v>84</v>
      </c>
      <c r="I744" s="55" t="s">
        <v>1037</v>
      </c>
      <c r="J744" s="70"/>
      <c r="K744" s="70"/>
      <c r="L744" s="70"/>
      <c r="M744" s="70"/>
      <c r="N744" s="70"/>
      <c r="O744" s="70"/>
      <c r="P744" s="70"/>
    </row>
    <row r="745" spans="1:16" hidden="1" outlineLevel="1" x14ac:dyDescent="0.3">
      <c r="A745" s="51" t="s">
        <v>419</v>
      </c>
      <c r="B745" s="51"/>
      <c r="C745" s="51" t="str">
        <f t="shared" si="14"/>
        <v>Santa Barbara County Flood Control &amp; Water Conservation District</v>
      </c>
      <c r="D745" s="468" t="s">
        <v>204</v>
      </c>
      <c r="E745" s="468" t="s">
        <v>204</v>
      </c>
      <c r="F745" s="468" t="s">
        <v>204</v>
      </c>
      <c r="G745" s="468" t="s">
        <v>204</v>
      </c>
      <c r="H745" s="468" t="s">
        <v>204</v>
      </c>
      <c r="I745" s="55"/>
      <c r="J745" s="70"/>
      <c r="K745" s="70"/>
      <c r="L745" s="70"/>
      <c r="M745" s="70"/>
      <c r="N745" s="70"/>
      <c r="O745" s="70"/>
      <c r="P745" s="70"/>
    </row>
    <row r="746" spans="1:16" hidden="1" outlineLevel="1" x14ac:dyDescent="0.3">
      <c r="A746" s="51" t="s">
        <v>419</v>
      </c>
      <c r="B746" s="51"/>
      <c r="C746" s="51" t="str">
        <f t="shared" si="14"/>
        <v>Antelope Valley-East Kern Water Agency</v>
      </c>
      <c r="D746" s="55">
        <v>84</v>
      </c>
      <c r="E746" s="55">
        <v>84</v>
      </c>
      <c r="F746" s="55">
        <v>84</v>
      </c>
      <c r="G746" s="55">
        <v>84</v>
      </c>
      <c r="H746" s="55">
        <v>84</v>
      </c>
      <c r="I746" s="55" t="s">
        <v>1037</v>
      </c>
      <c r="J746" s="70"/>
      <c r="K746" s="70"/>
      <c r="L746" s="70"/>
      <c r="M746" s="70"/>
      <c r="N746" s="70"/>
      <c r="O746" s="70"/>
      <c r="P746" s="70"/>
    </row>
    <row r="747" spans="1:16" hidden="1" outlineLevel="1" x14ac:dyDescent="0.3">
      <c r="A747" s="51" t="s">
        <v>419</v>
      </c>
      <c r="B747" s="51"/>
      <c r="C747" s="51" t="str">
        <f t="shared" si="14"/>
        <v>Santa Clarita Water Division</v>
      </c>
      <c r="D747" s="55">
        <v>84</v>
      </c>
      <c r="E747" s="55">
        <v>84</v>
      </c>
      <c r="F747" s="55">
        <v>84</v>
      </c>
      <c r="G747" s="55">
        <v>84</v>
      </c>
      <c r="H747" s="55">
        <v>84</v>
      </c>
      <c r="I747" s="55" t="s">
        <v>1037</v>
      </c>
      <c r="J747" s="70"/>
      <c r="K747" s="70"/>
      <c r="L747" s="70"/>
      <c r="M747" s="70"/>
      <c r="N747" s="70"/>
      <c r="O747" s="70"/>
      <c r="P747" s="70"/>
    </row>
    <row r="748" spans="1:16" hidden="1" outlineLevel="1" x14ac:dyDescent="0.3">
      <c r="A748" s="51" t="s">
        <v>419</v>
      </c>
      <c r="B748" s="51"/>
      <c r="C748" s="51" t="str">
        <f t="shared" si="14"/>
        <v>Coachella Valley Water District</v>
      </c>
      <c r="D748" s="468" t="s">
        <v>204</v>
      </c>
      <c r="E748" s="468" t="s">
        <v>204</v>
      </c>
      <c r="F748" s="468" t="s">
        <v>204</v>
      </c>
      <c r="G748" s="468" t="s">
        <v>204</v>
      </c>
      <c r="H748" s="468" t="s">
        <v>204</v>
      </c>
      <c r="I748" s="55"/>
      <c r="J748" s="70"/>
      <c r="K748" s="70"/>
      <c r="L748" s="70"/>
      <c r="M748" s="70"/>
      <c r="N748" s="70"/>
      <c r="O748" s="70"/>
      <c r="P748" s="70"/>
    </row>
    <row r="749" spans="1:16" hidden="1" outlineLevel="1" x14ac:dyDescent="0.3">
      <c r="A749" s="51" t="s">
        <v>419</v>
      </c>
      <c r="B749" s="51"/>
      <c r="C749" s="51" t="str">
        <f t="shared" si="14"/>
        <v>Crestline-Lake Arrowhead Water Agency</v>
      </c>
      <c r="D749" s="468" t="s">
        <v>204</v>
      </c>
      <c r="E749" s="468" t="s">
        <v>204</v>
      </c>
      <c r="F749" s="468" t="s">
        <v>204</v>
      </c>
      <c r="G749" s="468" t="s">
        <v>204</v>
      </c>
      <c r="H749" s="468" t="s">
        <v>204</v>
      </c>
      <c r="I749" s="55"/>
      <c r="J749" s="70"/>
      <c r="K749" s="70"/>
      <c r="L749" s="70"/>
      <c r="M749" s="70"/>
      <c r="N749" s="70"/>
      <c r="O749" s="70"/>
      <c r="P749" s="70"/>
    </row>
    <row r="750" spans="1:16" hidden="1" outlineLevel="1" x14ac:dyDescent="0.3">
      <c r="A750" s="51" t="s">
        <v>419</v>
      </c>
      <c r="B750" s="51"/>
      <c r="C750" s="51" t="str">
        <f t="shared" si="14"/>
        <v>Desert Water Agency</v>
      </c>
      <c r="D750" s="468" t="s">
        <v>204</v>
      </c>
      <c r="E750" s="468" t="s">
        <v>204</v>
      </c>
      <c r="F750" s="468" t="s">
        <v>204</v>
      </c>
      <c r="G750" s="468" t="s">
        <v>204</v>
      </c>
      <c r="H750" s="468" t="s">
        <v>204</v>
      </c>
      <c r="I750" s="55"/>
      <c r="J750" s="70"/>
      <c r="K750" s="70"/>
      <c r="L750" s="70"/>
      <c r="M750" s="70"/>
      <c r="N750" s="70"/>
      <c r="O750" s="70"/>
      <c r="P750" s="70"/>
    </row>
    <row r="751" spans="1:16" hidden="1" outlineLevel="1" x14ac:dyDescent="0.3">
      <c r="A751" s="51" t="s">
        <v>419</v>
      </c>
      <c r="B751" s="51"/>
      <c r="C751" s="51" t="str">
        <f t="shared" si="14"/>
        <v>Metropolitan Water District of Southern California</v>
      </c>
      <c r="D751" s="55">
        <v>84</v>
      </c>
      <c r="E751" s="55">
        <v>84</v>
      </c>
      <c r="F751" s="55">
        <v>84</v>
      </c>
      <c r="G751" s="55">
        <v>84</v>
      </c>
      <c r="H751" s="55">
        <v>84</v>
      </c>
      <c r="I751" s="55" t="s">
        <v>1037</v>
      </c>
      <c r="J751" s="70"/>
      <c r="K751" s="70"/>
      <c r="L751" s="70"/>
      <c r="M751" s="70"/>
      <c r="N751" s="70"/>
      <c r="O751" s="70"/>
      <c r="P751" s="70"/>
    </row>
    <row r="752" spans="1:16" hidden="1" outlineLevel="1" x14ac:dyDescent="0.3">
      <c r="A752" s="51" t="s">
        <v>419</v>
      </c>
      <c r="B752" s="51"/>
      <c r="C752" s="51" t="str">
        <f t="shared" si="14"/>
        <v>Mojave Water Agency</v>
      </c>
      <c r="D752" s="55">
        <v>84</v>
      </c>
      <c r="E752" s="55">
        <v>84</v>
      </c>
      <c r="F752" s="55">
        <v>84</v>
      </c>
      <c r="G752" s="55">
        <v>84</v>
      </c>
      <c r="H752" s="55">
        <v>84</v>
      </c>
      <c r="I752" s="55" t="s">
        <v>1037</v>
      </c>
      <c r="J752" s="70"/>
      <c r="K752" s="70"/>
      <c r="L752" s="70"/>
      <c r="M752" s="70"/>
      <c r="N752" s="70"/>
      <c r="O752" s="70"/>
      <c r="P752" s="70"/>
    </row>
    <row r="753" spans="1:16" hidden="1" outlineLevel="1" x14ac:dyDescent="0.3">
      <c r="A753" s="51" t="s">
        <v>419</v>
      </c>
      <c r="B753" s="51"/>
      <c r="C753" s="51" t="str">
        <f t="shared" si="14"/>
        <v>Palmdale Water District &amp; Littlerock Creek Irrigation District</v>
      </c>
      <c r="D753" s="55">
        <v>84</v>
      </c>
      <c r="E753" s="55">
        <v>84</v>
      </c>
      <c r="F753" s="55">
        <v>84</v>
      </c>
      <c r="G753" s="55">
        <v>84</v>
      </c>
      <c r="H753" s="55">
        <v>84</v>
      </c>
      <c r="I753" s="55" t="s">
        <v>1037</v>
      </c>
      <c r="J753" s="70"/>
      <c r="K753" s="70"/>
      <c r="L753" s="70"/>
      <c r="M753" s="70"/>
      <c r="N753" s="70"/>
      <c r="O753" s="70"/>
      <c r="P753" s="70"/>
    </row>
    <row r="754" spans="1:16" hidden="1" outlineLevel="1" x14ac:dyDescent="0.3">
      <c r="A754" s="51" t="s">
        <v>419</v>
      </c>
      <c r="B754" s="51"/>
      <c r="C754" s="51" t="str">
        <f t="shared" si="14"/>
        <v>San Bernardino Valley Municipal Water District</v>
      </c>
      <c r="D754" s="55">
        <v>84</v>
      </c>
      <c r="E754" s="55">
        <v>84</v>
      </c>
      <c r="F754" s="55">
        <v>84</v>
      </c>
      <c r="G754" s="55">
        <v>84</v>
      </c>
      <c r="H754" s="55">
        <v>84</v>
      </c>
      <c r="I754" s="55" t="s">
        <v>1037</v>
      </c>
      <c r="J754" s="70"/>
      <c r="K754" s="70"/>
      <c r="L754" s="70"/>
      <c r="M754" s="70"/>
      <c r="N754" s="70"/>
      <c r="O754" s="70"/>
      <c r="P754" s="70"/>
    </row>
    <row r="755" spans="1:16" hidden="1" outlineLevel="1" x14ac:dyDescent="0.3">
      <c r="A755" s="51" t="s">
        <v>419</v>
      </c>
      <c r="B755" s="51"/>
      <c r="C755" s="51" t="str">
        <f t="shared" si="14"/>
        <v>San Gabriel Valley Municipal Water District</v>
      </c>
      <c r="D755" s="468" t="s">
        <v>204</v>
      </c>
      <c r="E755" s="468" t="s">
        <v>204</v>
      </c>
      <c r="F755" s="468" t="s">
        <v>204</v>
      </c>
      <c r="G755" s="468" t="s">
        <v>204</v>
      </c>
      <c r="H755" s="468" t="s">
        <v>204</v>
      </c>
      <c r="I755" s="55"/>
      <c r="J755" s="70"/>
      <c r="K755" s="70"/>
      <c r="L755" s="70"/>
      <c r="M755" s="70"/>
      <c r="N755" s="70"/>
      <c r="O755" s="70"/>
      <c r="P755" s="70"/>
    </row>
    <row r="756" spans="1:16" hidden="1" outlineLevel="1" x14ac:dyDescent="0.3">
      <c r="A756" s="51" t="s">
        <v>419</v>
      </c>
      <c r="B756" s="51"/>
      <c r="C756" s="51" t="str">
        <f t="shared" si="14"/>
        <v>San Gorgonio Pass Water Agency</v>
      </c>
      <c r="D756" s="55">
        <v>84</v>
      </c>
      <c r="E756" s="55">
        <v>84</v>
      </c>
      <c r="F756" s="55">
        <v>84</v>
      </c>
      <c r="G756" s="55">
        <v>84</v>
      </c>
      <c r="H756" s="55">
        <v>84</v>
      </c>
      <c r="I756" s="55" t="s">
        <v>1037</v>
      </c>
      <c r="J756" s="70"/>
      <c r="K756" s="70"/>
      <c r="L756" s="70"/>
      <c r="M756" s="70"/>
      <c r="N756" s="70"/>
      <c r="O756" s="70"/>
      <c r="P756" s="70"/>
    </row>
    <row r="757" spans="1:16" hidden="1" outlineLevel="1" x14ac:dyDescent="0.3">
      <c r="A757" s="51" t="s">
        <v>419</v>
      </c>
      <c r="B757" s="51"/>
      <c r="C757" s="51" t="str">
        <f t="shared" si="14"/>
        <v>Ventura County Watershed Protection District</v>
      </c>
      <c r="D757" s="468" t="s">
        <v>204</v>
      </c>
      <c r="E757" s="468" t="s">
        <v>204</v>
      </c>
      <c r="F757" s="468" t="s">
        <v>204</v>
      </c>
      <c r="G757" s="468" t="s">
        <v>204</v>
      </c>
      <c r="H757" s="468" t="s">
        <v>204</v>
      </c>
      <c r="I757" s="55"/>
      <c r="J757" s="70"/>
      <c r="K757" s="70"/>
      <c r="L757" s="70"/>
      <c r="M757" s="70"/>
      <c r="N757" s="70"/>
      <c r="O757" s="70"/>
      <c r="P757" s="70"/>
    </row>
    <row r="758" spans="1:16" hidden="1" outlineLevel="1" x14ac:dyDescent="0.3">
      <c r="A758" s="51" t="s">
        <v>421</v>
      </c>
      <c r="B758" s="51"/>
      <c r="C758" s="51" t="str">
        <f t="shared" si="14"/>
        <v>Butte County</v>
      </c>
      <c r="D758" s="468" t="s">
        <v>204</v>
      </c>
      <c r="E758" s="468" t="s">
        <v>204</v>
      </c>
      <c r="F758" s="468" t="s">
        <v>204</v>
      </c>
      <c r="G758" s="468" t="s">
        <v>204</v>
      </c>
      <c r="H758" s="468" t="s">
        <v>204</v>
      </c>
      <c r="I758" s="55"/>
      <c r="J758" s="70"/>
      <c r="K758" s="70"/>
      <c r="L758" s="70"/>
      <c r="M758" s="70"/>
      <c r="N758" s="70"/>
      <c r="O758" s="70"/>
      <c r="P758" s="70"/>
    </row>
    <row r="759" spans="1:16" hidden="1" outlineLevel="1" x14ac:dyDescent="0.3">
      <c r="A759" s="51" t="s">
        <v>421</v>
      </c>
      <c r="B759" s="51"/>
      <c r="C759" s="51" t="str">
        <f t="shared" ref="C759:C800" si="15">C716</f>
        <v>City of Folsom</v>
      </c>
      <c r="D759" s="55">
        <v>95</v>
      </c>
      <c r="E759" s="55">
        <v>95</v>
      </c>
      <c r="F759" s="55">
        <v>95</v>
      </c>
      <c r="G759" s="55">
        <v>95</v>
      </c>
      <c r="H759" s="55">
        <v>95</v>
      </c>
      <c r="I759" s="55" t="s">
        <v>1038</v>
      </c>
      <c r="J759" s="70"/>
      <c r="K759" s="70"/>
      <c r="L759" s="70"/>
      <c r="M759" s="70"/>
      <c r="N759" s="70"/>
      <c r="O759" s="70"/>
      <c r="P759" s="70"/>
    </row>
    <row r="760" spans="1:16" hidden="1" outlineLevel="1" x14ac:dyDescent="0.3">
      <c r="A760" s="51" t="s">
        <v>421</v>
      </c>
      <c r="B760" s="51"/>
      <c r="C760" s="51" t="str">
        <f t="shared" si="15"/>
        <v>City of Redding</v>
      </c>
      <c r="D760" s="55">
        <v>95</v>
      </c>
      <c r="E760" s="55">
        <v>95</v>
      </c>
      <c r="F760" s="55">
        <v>95</v>
      </c>
      <c r="G760" s="55">
        <v>95</v>
      </c>
      <c r="H760" s="55">
        <v>95</v>
      </c>
      <c r="I760" s="55" t="s">
        <v>1038</v>
      </c>
      <c r="J760" s="70"/>
      <c r="K760" s="70"/>
      <c r="L760" s="70"/>
      <c r="M760" s="70"/>
      <c r="N760" s="70"/>
      <c r="O760" s="70"/>
      <c r="P760" s="70"/>
    </row>
    <row r="761" spans="1:16" hidden="1" outlineLevel="1" x14ac:dyDescent="0.3">
      <c r="A761" s="51" t="s">
        <v>421</v>
      </c>
      <c r="B761" s="51"/>
      <c r="C761" s="51" t="str">
        <f t="shared" si="15"/>
        <v>City of Roseville</v>
      </c>
      <c r="D761" s="55">
        <v>95</v>
      </c>
      <c r="E761" s="55">
        <v>95</v>
      </c>
      <c r="F761" s="55">
        <v>95</v>
      </c>
      <c r="G761" s="55">
        <v>95</v>
      </c>
      <c r="H761" s="55">
        <v>95</v>
      </c>
      <c r="I761" s="55" t="s">
        <v>1038</v>
      </c>
      <c r="J761" s="70"/>
      <c r="K761" s="70"/>
      <c r="L761" s="70"/>
      <c r="M761" s="70"/>
      <c r="N761" s="70"/>
      <c r="O761" s="70"/>
      <c r="P761" s="70"/>
    </row>
    <row r="762" spans="1:16" hidden="1" outlineLevel="1" x14ac:dyDescent="0.3">
      <c r="A762" s="51" t="s">
        <v>421</v>
      </c>
      <c r="B762" s="51"/>
      <c r="C762" s="51" t="str">
        <f t="shared" si="15"/>
        <v>City of West Sacramento</v>
      </c>
      <c r="D762" s="55">
        <v>95</v>
      </c>
      <c r="E762" s="55">
        <v>95</v>
      </c>
      <c r="F762" s="55">
        <v>95</v>
      </c>
      <c r="G762" s="55">
        <v>95</v>
      </c>
      <c r="H762" s="55">
        <v>95</v>
      </c>
      <c r="I762" s="55" t="s">
        <v>1038</v>
      </c>
      <c r="J762" s="70"/>
      <c r="K762" s="70"/>
      <c r="L762" s="70"/>
      <c r="M762" s="70"/>
      <c r="N762" s="70"/>
      <c r="O762" s="70"/>
      <c r="P762" s="70"/>
    </row>
    <row r="763" spans="1:16" hidden="1" outlineLevel="1" x14ac:dyDescent="0.3">
      <c r="A763" s="51" t="s">
        <v>421</v>
      </c>
      <c r="B763" s="51"/>
      <c r="C763" s="51" t="str">
        <f t="shared" si="15"/>
        <v>Yuba City</v>
      </c>
      <c r="D763" s="55">
        <v>95</v>
      </c>
      <c r="E763" s="55">
        <v>95</v>
      </c>
      <c r="F763" s="55">
        <v>95</v>
      </c>
      <c r="G763" s="55">
        <v>95</v>
      </c>
      <c r="H763" s="55">
        <v>95</v>
      </c>
      <c r="I763" s="55" t="s">
        <v>1038</v>
      </c>
      <c r="J763" s="70"/>
      <c r="K763" s="70"/>
      <c r="L763" s="70"/>
      <c r="M763" s="70"/>
      <c r="N763" s="70"/>
      <c r="O763" s="70"/>
      <c r="P763" s="70"/>
    </row>
    <row r="764" spans="1:16" hidden="1" outlineLevel="1" x14ac:dyDescent="0.3">
      <c r="A764" s="51" t="s">
        <v>421</v>
      </c>
      <c r="B764" s="51"/>
      <c r="C764" s="51" t="str">
        <f t="shared" si="15"/>
        <v>El Dorado Irrigation District</v>
      </c>
      <c r="D764" s="55">
        <v>95</v>
      </c>
      <c r="E764" s="55">
        <v>95</v>
      </c>
      <c r="F764" s="55">
        <v>95</v>
      </c>
      <c r="G764" s="55">
        <v>95</v>
      </c>
      <c r="H764" s="55">
        <v>95</v>
      </c>
      <c r="I764" s="55" t="s">
        <v>1038</v>
      </c>
      <c r="J764" s="70"/>
      <c r="K764" s="70"/>
      <c r="L764" s="70"/>
      <c r="M764" s="70"/>
      <c r="N764" s="70"/>
      <c r="O764" s="70"/>
      <c r="P764" s="70"/>
    </row>
    <row r="765" spans="1:16" hidden="1" outlineLevel="1" x14ac:dyDescent="0.3">
      <c r="A765" s="51" t="s">
        <v>421</v>
      </c>
      <c r="B765" s="51"/>
      <c r="C765" s="51" t="str">
        <f t="shared" si="15"/>
        <v>Napa County Flood Control &amp; Water Conservation District</v>
      </c>
      <c r="D765" s="468" t="s">
        <v>204</v>
      </c>
      <c r="E765" s="468" t="s">
        <v>204</v>
      </c>
      <c r="F765" s="468" t="s">
        <v>204</v>
      </c>
      <c r="G765" s="468" t="s">
        <v>204</v>
      </c>
      <c r="H765" s="468" t="s">
        <v>204</v>
      </c>
      <c r="I765" s="55"/>
      <c r="J765" s="70"/>
      <c r="K765" s="70"/>
      <c r="L765" s="70"/>
      <c r="M765" s="70"/>
      <c r="N765" s="70"/>
      <c r="O765" s="70"/>
      <c r="P765" s="70"/>
    </row>
    <row r="766" spans="1:16" hidden="1" outlineLevel="1" x14ac:dyDescent="0.3">
      <c r="A766" s="51" t="s">
        <v>421</v>
      </c>
      <c r="B766" s="51"/>
      <c r="C766" s="51" t="str">
        <f t="shared" si="15"/>
        <v>Placer County Water Agency</v>
      </c>
      <c r="D766" s="55">
        <v>95</v>
      </c>
      <c r="E766" s="55">
        <v>95</v>
      </c>
      <c r="F766" s="55">
        <v>95</v>
      </c>
      <c r="G766" s="55">
        <v>95</v>
      </c>
      <c r="H766" s="55">
        <v>95</v>
      </c>
      <c r="I766" s="55" t="s">
        <v>1038</v>
      </c>
      <c r="J766" s="70"/>
      <c r="K766" s="70"/>
      <c r="L766" s="70"/>
      <c r="M766" s="70"/>
      <c r="N766" s="70"/>
      <c r="O766" s="70"/>
      <c r="P766" s="70"/>
    </row>
    <row r="767" spans="1:16" hidden="1" outlineLevel="1" x14ac:dyDescent="0.3">
      <c r="A767" s="51" t="s">
        <v>421</v>
      </c>
      <c r="B767" s="51"/>
      <c r="C767" s="51" t="str">
        <f t="shared" si="15"/>
        <v>Sacramento County Water Agency</v>
      </c>
      <c r="D767" s="55">
        <v>95</v>
      </c>
      <c r="E767" s="55">
        <v>95</v>
      </c>
      <c r="F767" s="55">
        <v>95</v>
      </c>
      <c r="G767" s="55">
        <v>95</v>
      </c>
      <c r="H767" s="55">
        <v>95</v>
      </c>
      <c r="I767" s="55" t="s">
        <v>1038</v>
      </c>
      <c r="J767" s="70"/>
      <c r="K767" s="70"/>
      <c r="L767" s="70"/>
      <c r="M767" s="70"/>
      <c r="N767" s="70"/>
      <c r="O767" s="70"/>
      <c r="P767" s="70"/>
    </row>
    <row r="768" spans="1:16" hidden="1" outlineLevel="1" x14ac:dyDescent="0.3">
      <c r="A768" s="51" t="s">
        <v>421</v>
      </c>
      <c r="B768" s="51"/>
      <c r="C768" s="51" t="str">
        <f t="shared" si="15"/>
        <v>San Juan Water District</v>
      </c>
      <c r="D768" s="55">
        <v>95</v>
      </c>
      <c r="E768" s="55">
        <v>95</v>
      </c>
      <c r="F768" s="55">
        <v>95</v>
      </c>
      <c r="G768" s="55">
        <v>95</v>
      </c>
      <c r="H768" s="55">
        <v>95</v>
      </c>
      <c r="I768" s="55" t="s">
        <v>1038</v>
      </c>
      <c r="J768" s="70"/>
      <c r="K768" s="70"/>
      <c r="L768" s="70"/>
      <c r="M768" s="70"/>
      <c r="N768" s="70"/>
      <c r="O768" s="70"/>
      <c r="P768" s="70"/>
    </row>
    <row r="769" spans="1:16" hidden="1" outlineLevel="1" x14ac:dyDescent="0.3">
      <c r="A769" s="51" t="s">
        <v>421</v>
      </c>
      <c r="B769" s="51"/>
      <c r="C769" s="51" t="str">
        <f t="shared" si="15"/>
        <v>Shasta Contractors</v>
      </c>
      <c r="D769" s="468" t="s">
        <v>204</v>
      </c>
      <c r="E769" s="468" t="s">
        <v>204</v>
      </c>
      <c r="F769" s="468" t="s">
        <v>204</v>
      </c>
      <c r="G769" s="468" t="s">
        <v>204</v>
      </c>
      <c r="H769" s="468" t="s">
        <v>204</v>
      </c>
      <c r="I769" s="55"/>
      <c r="J769" s="70"/>
      <c r="K769" s="70"/>
      <c r="L769" s="70"/>
      <c r="M769" s="70"/>
      <c r="N769" s="70"/>
      <c r="O769" s="70"/>
      <c r="P769" s="70"/>
    </row>
    <row r="770" spans="1:16" hidden="1" outlineLevel="1" x14ac:dyDescent="0.3">
      <c r="A770" s="51" t="s">
        <v>421</v>
      </c>
      <c r="B770" s="51"/>
      <c r="C770" s="51" t="str">
        <f t="shared" si="15"/>
        <v>Solano County Water Agency</v>
      </c>
      <c r="D770" s="468" t="s">
        <v>204</v>
      </c>
      <c r="E770" s="468" t="s">
        <v>204</v>
      </c>
      <c r="F770" s="468" t="s">
        <v>204</v>
      </c>
      <c r="G770" s="468" t="s">
        <v>204</v>
      </c>
      <c r="H770" s="468" t="s">
        <v>204</v>
      </c>
      <c r="I770" s="55"/>
      <c r="J770" s="70"/>
      <c r="K770" s="70"/>
      <c r="L770" s="70"/>
      <c r="M770" s="70"/>
      <c r="N770" s="70"/>
      <c r="O770" s="70"/>
      <c r="P770" s="70"/>
    </row>
    <row r="771" spans="1:16" hidden="1" outlineLevel="1" x14ac:dyDescent="0.3">
      <c r="A771" s="51" t="s">
        <v>421</v>
      </c>
      <c r="B771" s="51"/>
      <c r="C771" s="51" t="str">
        <f t="shared" si="15"/>
        <v>City of Avenal</v>
      </c>
      <c r="D771" s="468" t="s">
        <v>204</v>
      </c>
      <c r="E771" s="468" t="s">
        <v>204</v>
      </c>
      <c r="F771" s="468" t="s">
        <v>204</v>
      </c>
      <c r="G771" s="468" t="s">
        <v>204</v>
      </c>
      <c r="H771" s="468" t="s">
        <v>204</v>
      </c>
      <c r="I771" s="55"/>
      <c r="J771" s="70"/>
      <c r="K771" s="70"/>
      <c r="L771" s="70"/>
      <c r="M771" s="70"/>
      <c r="N771" s="70"/>
      <c r="O771" s="70"/>
      <c r="P771" s="70"/>
    </row>
    <row r="772" spans="1:16" hidden="1" outlineLevel="1" x14ac:dyDescent="0.3">
      <c r="A772" s="51" t="s">
        <v>421</v>
      </c>
      <c r="B772" s="51"/>
      <c r="C772" s="51" t="str">
        <f t="shared" si="15"/>
        <v>City of Coalinga</v>
      </c>
      <c r="D772" s="55">
        <v>95</v>
      </c>
      <c r="E772" s="55">
        <v>95</v>
      </c>
      <c r="F772" s="55">
        <v>95</v>
      </c>
      <c r="G772" s="55">
        <v>95</v>
      </c>
      <c r="H772" s="55">
        <v>95</v>
      </c>
      <c r="I772" s="55" t="s">
        <v>1038</v>
      </c>
      <c r="J772" s="70"/>
      <c r="K772" s="70"/>
      <c r="L772" s="70"/>
      <c r="M772" s="70"/>
      <c r="N772" s="70"/>
      <c r="O772" s="70"/>
      <c r="P772" s="70"/>
    </row>
    <row r="773" spans="1:16" hidden="1" outlineLevel="1" x14ac:dyDescent="0.3">
      <c r="A773" s="51" t="s">
        <v>421</v>
      </c>
      <c r="B773" s="51"/>
      <c r="C773" s="51" t="str">
        <f t="shared" si="15"/>
        <v>City of Fresno</v>
      </c>
      <c r="D773" s="55">
        <v>95</v>
      </c>
      <c r="E773" s="55">
        <v>95</v>
      </c>
      <c r="F773" s="55">
        <v>95</v>
      </c>
      <c r="G773" s="55">
        <v>95</v>
      </c>
      <c r="H773" s="55">
        <v>95</v>
      </c>
      <c r="I773" s="55" t="s">
        <v>1038</v>
      </c>
      <c r="J773" s="70"/>
      <c r="K773" s="70"/>
      <c r="L773" s="70"/>
      <c r="M773" s="70"/>
      <c r="N773" s="70"/>
      <c r="O773" s="70"/>
      <c r="P773" s="70"/>
    </row>
    <row r="774" spans="1:16" hidden="1" outlineLevel="1" x14ac:dyDescent="0.3">
      <c r="A774" s="51" t="s">
        <v>421</v>
      </c>
      <c r="B774" s="51"/>
      <c r="C774" s="51" t="str">
        <f t="shared" si="15"/>
        <v>City of Huron</v>
      </c>
      <c r="D774" s="468" t="s">
        <v>204</v>
      </c>
      <c r="E774" s="468" t="s">
        <v>204</v>
      </c>
      <c r="F774" s="468" t="s">
        <v>204</v>
      </c>
      <c r="G774" s="468" t="s">
        <v>204</v>
      </c>
      <c r="H774" s="468" t="s">
        <v>204</v>
      </c>
      <c r="I774" s="55"/>
      <c r="J774" s="70"/>
      <c r="K774" s="70"/>
      <c r="L774" s="70"/>
      <c r="M774" s="70"/>
      <c r="N774" s="70"/>
      <c r="O774" s="70"/>
      <c r="P774" s="70"/>
    </row>
    <row r="775" spans="1:16" hidden="1" outlineLevel="1" x14ac:dyDescent="0.3">
      <c r="A775" s="51" t="s">
        <v>421</v>
      </c>
      <c r="B775" s="51"/>
      <c r="C775" s="51" t="str">
        <f t="shared" si="15"/>
        <v>City of Lindsay</v>
      </c>
      <c r="D775" s="468" t="s">
        <v>204</v>
      </c>
      <c r="E775" s="468" t="s">
        <v>204</v>
      </c>
      <c r="F775" s="468" t="s">
        <v>204</v>
      </c>
      <c r="G775" s="468" t="s">
        <v>204</v>
      </c>
      <c r="H775" s="468" t="s">
        <v>204</v>
      </c>
      <c r="I775" s="55"/>
      <c r="J775" s="70"/>
      <c r="K775" s="70"/>
      <c r="L775" s="70"/>
      <c r="M775" s="70"/>
      <c r="N775" s="70"/>
      <c r="O775" s="70"/>
      <c r="P775" s="70"/>
    </row>
    <row r="776" spans="1:16" hidden="1" outlineLevel="1" x14ac:dyDescent="0.3">
      <c r="A776" s="51" t="s">
        <v>421</v>
      </c>
      <c r="B776" s="51"/>
      <c r="C776" s="51" t="str">
        <f t="shared" si="15"/>
        <v>City of Orange Cove</v>
      </c>
      <c r="D776" s="468" t="s">
        <v>204</v>
      </c>
      <c r="E776" s="468" t="s">
        <v>204</v>
      </c>
      <c r="F776" s="468" t="s">
        <v>204</v>
      </c>
      <c r="G776" s="468" t="s">
        <v>204</v>
      </c>
      <c r="H776" s="468" t="s">
        <v>204</v>
      </c>
      <c r="I776" s="55"/>
      <c r="J776" s="70"/>
      <c r="K776" s="70"/>
      <c r="L776" s="70"/>
      <c r="M776" s="70"/>
      <c r="N776" s="70"/>
      <c r="O776" s="70"/>
      <c r="P776" s="70"/>
    </row>
    <row r="777" spans="1:16" hidden="1" outlineLevel="1" x14ac:dyDescent="0.3">
      <c r="A777" s="51" t="s">
        <v>421</v>
      </c>
      <c r="B777" s="51"/>
      <c r="C777" s="51" t="str">
        <f t="shared" si="15"/>
        <v>City of Tracy</v>
      </c>
      <c r="D777" s="55">
        <v>95</v>
      </c>
      <c r="E777" s="55">
        <v>95</v>
      </c>
      <c r="F777" s="55">
        <v>95</v>
      </c>
      <c r="G777" s="55">
        <v>95</v>
      </c>
      <c r="H777" s="55">
        <v>95</v>
      </c>
      <c r="I777" s="55" t="s">
        <v>1038</v>
      </c>
      <c r="J777" s="70"/>
      <c r="K777" s="70"/>
      <c r="L777" s="70"/>
      <c r="M777" s="70"/>
      <c r="N777" s="70"/>
      <c r="O777" s="70"/>
      <c r="P777" s="70"/>
    </row>
    <row r="778" spans="1:16" hidden="1" outlineLevel="1" x14ac:dyDescent="0.3">
      <c r="A778" s="51" t="s">
        <v>421</v>
      </c>
      <c r="B778" s="51"/>
      <c r="C778" s="51" t="str">
        <f t="shared" si="15"/>
        <v>Kern County Water Agency</v>
      </c>
      <c r="D778" s="468" t="s">
        <v>204</v>
      </c>
      <c r="E778" s="468" t="s">
        <v>204</v>
      </c>
      <c r="F778" s="468" t="s">
        <v>204</v>
      </c>
      <c r="G778" s="468" t="s">
        <v>204</v>
      </c>
      <c r="H778" s="468" t="s">
        <v>204</v>
      </c>
      <c r="I778" s="55"/>
      <c r="J778" s="70"/>
      <c r="K778" s="70"/>
      <c r="L778" s="70"/>
      <c r="M778" s="70"/>
      <c r="N778" s="70"/>
      <c r="O778" s="70"/>
      <c r="P778" s="70"/>
    </row>
    <row r="779" spans="1:16" hidden="1" outlineLevel="1" x14ac:dyDescent="0.3">
      <c r="A779" s="51" t="s">
        <v>421</v>
      </c>
      <c r="B779" s="51"/>
      <c r="C779" s="51" t="str">
        <f t="shared" si="15"/>
        <v>Other Friant-Kern M&amp;I Contractors</v>
      </c>
      <c r="D779" s="468" t="s">
        <v>204</v>
      </c>
      <c r="E779" s="468" t="s">
        <v>204</v>
      </c>
      <c r="F779" s="468" t="s">
        <v>204</v>
      </c>
      <c r="G779" s="468" t="s">
        <v>204</v>
      </c>
      <c r="H779" s="468" t="s">
        <v>204</v>
      </c>
      <c r="I779" s="55"/>
      <c r="J779" s="70"/>
      <c r="K779" s="70"/>
      <c r="L779" s="70"/>
      <c r="M779" s="70"/>
      <c r="N779" s="70"/>
      <c r="O779" s="70"/>
      <c r="P779" s="70"/>
    </row>
    <row r="780" spans="1:16" hidden="1" outlineLevel="1" x14ac:dyDescent="0.3">
      <c r="A780" s="51" t="s">
        <v>421</v>
      </c>
      <c r="B780" s="51"/>
      <c r="C780" s="51" t="str">
        <f t="shared" si="15"/>
        <v>Stockton-East Water District</v>
      </c>
      <c r="D780" s="55">
        <v>95</v>
      </c>
      <c r="E780" s="55">
        <v>95</v>
      </c>
      <c r="F780" s="55">
        <v>95</v>
      </c>
      <c r="G780" s="55">
        <v>95</v>
      </c>
      <c r="H780" s="55">
        <v>95</v>
      </c>
      <c r="I780" s="55" t="s">
        <v>1038</v>
      </c>
      <c r="J780" s="70"/>
      <c r="K780" s="70"/>
      <c r="L780" s="70"/>
      <c r="M780" s="70"/>
      <c r="N780" s="70"/>
      <c r="O780" s="70"/>
      <c r="P780" s="70"/>
    </row>
    <row r="781" spans="1:16" hidden="1" outlineLevel="1" x14ac:dyDescent="0.3">
      <c r="A781" s="51" t="s">
        <v>421</v>
      </c>
      <c r="B781" s="51"/>
      <c r="C781" s="51" t="str">
        <f t="shared" si="15"/>
        <v>Alameda County Flood Control and Water Conservation District, Zone 7</v>
      </c>
      <c r="D781" s="55">
        <v>95</v>
      </c>
      <c r="E781" s="55">
        <v>95</v>
      </c>
      <c r="F781" s="55">
        <v>95</v>
      </c>
      <c r="G781" s="55">
        <v>95</v>
      </c>
      <c r="H781" s="55">
        <v>95</v>
      </c>
      <c r="I781" s="55" t="s">
        <v>1038</v>
      </c>
      <c r="J781" s="70"/>
      <c r="K781" s="70"/>
      <c r="L781" s="70"/>
      <c r="M781" s="70"/>
      <c r="N781" s="70"/>
      <c r="O781" s="70"/>
      <c r="P781" s="70"/>
    </row>
    <row r="782" spans="1:16" hidden="1" outlineLevel="1" x14ac:dyDescent="0.3">
      <c r="A782" s="51" t="s">
        <v>421</v>
      </c>
      <c r="B782" s="51"/>
      <c r="C782" s="51" t="str">
        <f t="shared" si="15"/>
        <v>Alameda County Water District</v>
      </c>
      <c r="D782" s="55">
        <v>95</v>
      </c>
      <c r="E782" s="55">
        <v>95</v>
      </c>
      <c r="F782" s="55">
        <v>95</v>
      </c>
      <c r="G782" s="55">
        <v>95</v>
      </c>
      <c r="H782" s="55">
        <v>95</v>
      </c>
      <c r="I782" s="55" t="s">
        <v>1038</v>
      </c>
      <c r="J782" s="70"/>
      <c r="K782" s="70"/>
      <c r="L782" s="70"/>
      <c r="M782" s="70"/>
      <c r="N782" s="70"/>
      <c r="O782" s="70"/>
      <c r="P782" s="70"/>
    </row>
    <row r="783" spans="1:16" hidden="1" outlineLevel="1" x14ac:dyDescent="0.3">
      <c r="A783" s="51" t="s">
        <v>421</v>
      </c>
      <c r="B783" s="51"/>
      <c r="C783" s="51" t="str">
        <f t="shared" si="15"/>
        <v>Contra Costa Water District</v>
      </c>
      <c r="D783" s="55">
        <v>95</v>
      </c>
      <c r="E783" s="55">
        <v>95</v>
      </c>
      <c r="F783" s="55">
        <v>95</v>
      </c>
      <c r="G783" s="55">
        <v>95</v>
      </c>
      <c r="H783" s="55">
        <v>95</v>
      </c>
      <c r="I783" s="55" t="s">
        <v>1038</v>
      </c>
      <c r="J783" s="70"/>
      <c r="K783" s="70"/>
      <c r="L783" s="70"/>
      <c r="M783" s="70"/>
      <c r="N783" s="70"/>
      <c r="O783" s="70"/>
      <c r="P783" s="70"/>
    </row>
    <row r="784" spans="1:16" hidden="1" outlineLevel="1" x14ac:dyDescent="0.3">
      <c r="A784" s="51" t="s">
        <v>421</v>
      </c>
      <c r="B784" s="51"/>
      <c r="C784" s="51" t="str">
        <f t="shared" si="15"/>
        <v>East Bay Municipal Utilities District</v>
      </c>
      <c r="D784" s="55">
        <v>95</v>
      </c>
      <c r="E784" s="55">
        <v>95</v>
      </c>
      <c r="F784" s="55">
        <v>95</v>
      </c>
      <c r="G784" s="55">
        <v>95</v>
      </c>
      <c r="H784" s="55">
        <v>95</v>
      </c>
      <c r="I784" s="55" t="s">
        <v>1038</v>
      </c>
      <c r="J784" s="70"/>
      <c r="K784" s="70"/>
      <c r="L784" s="70"/>
      <c r="M784" s="70"/>
      <c r="N784" s="70"/>
      <c r="O784" s="70"/>
      <c r="P784" s="70"/>
    </row>
    <row r="785" spans="1:16" hidden="1" outlineLevel="1" x14ac:dyDescent="0.3">
      <c r="A785" s="51" t="s">
        <v>421</v>
      </c>
      <c r="B785" s="51"/>
      <c r="C785" s="51" t="str">
        <f t="shared" si="15"/>
        <v>San Benito County Water District, Zone 6</v>
      </c>
      <c r="D785" s="55">
        <v>95</v>
      </c>
      <c r="E785" s="55">
        <v>95</v>
      </c>
      <c r="F785" s="55">
        <v>95</v>
      </c>
      <c r="G785" s="55">
        <v>95</v>
      </c>
      <c r="H785" s="55">
        <v>95</v>
      </c>
      <c r="I785" s="55" t="s">
        <v>1038</v>
      </c>
      <c r="J785" s="71"/>
      <c r="K785" s="71"/>
      <c r="L785" s="71"/>
      <c r="M785" s="71"/>
      <c r="N785" s="71"/>
      <c r="O785" s="71"/>
      <c r="P785" s="70"/>
    </row>
    <row r="786" spans="1:16" hidden="1" outlineLevel="1" x14ac:dyDescent="0.3">
      <c r="A786" s="51" t="s">
        <v>421</v>
      </c>
      <c r="B786" s="51"/>
      <c r="C786" s="51" t="str">
        <f t="shared" si="15"/>
        <v>Santa Clara Valley Water District</v>
      </c>
      <c r="D786" s="55">
        <v>95</v>
      </c>
      <c r="E786" s="55">
        <v>95</v>
      </c>
      <c r="F786" s="55">
        <v>95</v>
      </c>
      <c r="G786" s="55">
        <v>95</v>
      </c>
      <c r="H786" s="55">
        <v>95</v>
      </c>
      <c r="I786" s="55" t="s">
        <v>1038</v>
      </c>
      <c r="J786" s="70"/>
      <c r="K786" s="70"/>
      <c r="L786" s="70"/>
      <c r="M786" s="70"/>
      <c r="N786" s="70"/>
      <c r="O786" s="70"/>
      <c r="P786" s="70"/>
    </row>
    <row r="787" spans="1:16" hidden="1" outlineLevel="1" x14ac:dyDescent="0.3">
      <c r="A787" s="51" t="s">
        <v>421</v>
      </c>
      <c r="B787" s="51"/>
      <c r="C787" s="51" t="str">
        <f t="shared" si="15"/>
        <v>San Luis Obispo County Flood Control &amp; Water Conservation District</v>
      </c>
      <c r="D787" s="55">
        <v>95</v>
      </c>
      <c r="E787" s="55">
        <v>95</v>
      </c>
      <c r="F787" s="55">
        <v>95</v>
      </c>
      <c r="G787" s="55">
        <v>95</v>
      </c>
      <c r="H787" s="55">
        <v>95</v>
      </c>
      <c r="I787" s="55" t="s">
        <v>1038</v>
      </c>
      <c r="J787" s="70"/>
      <c r="K787" s="70"/>
      <c r="L787" s="70"/>
      <c r="M787" s="70"/>
      <c r="N787" s="70"/>
      <c r="O787" s="70"/>
      <c r="P787" s="70"/>
    </row>
    <row r="788" spans="1:16" hidden="1" outlineLevel="1" x14ac:dyDescent="0.3">
      <c r="A788" s="51" t="s">
        <v>421</v>
      </c>
      <c r="B788" s="51"/>
      <c r="C788" s="51" t="str">
        <f t="shared" si="15"/>
        <v>Santa Barbara County Flood Control &amp; Water Conservation District</v>
      </c>
      <c r="D788" s="468" t="s">
        <v>204</v>
      </c>
      <c r="E788" s="468" t="s">
        <v>204</v>
      </c>
      <c r="F788" s="468" t="s">
        <v>204</v>
      </c>
      <c r="G788" s="468" t="s">
        <v>204</v>
      </c>
      <c r="H788" s="468" t="s">
        <v>204</v>
      </c>
      <c r="I788" s="55"/>
      <c r="J788" s="70"/>
      <c r="K788" s="70"/>
      <c r="L788" s="70"/>
      <c r="M788" s="70"/>
      <c r="N788" s="70"/>
      <c r="O788" s="70"/>
      <c r="P788" s="70"/>
    </row>
    <row r="789" spans="1:16" hidden="1" outlineLevel="1" x14ac:dyDescent="0.3">
      <c r="A789" s="51" t="s">
        <v>421</v>
      </c>
      <c r="B789" s="51"/>
      <c r="C789" s="51" t="str">
        <f t="shared" si="15"/>
        <v>Antelope Valley-East Kern Water Agency</v>
      </c>
      <c r="D789" s="55">
        <v>95</v>
      </c>
      <c r="E789" s="55">
        <v>95</v>
      </c>
      <c r="F789" s="55">
        <v>95</v>
      </c>
      <c r="G789" s="55">
        <v>95</v>
      </c>
      <c r="H789" s="55">
        <v>95</v>
      </c>
      <c r="I789" s="55" t="s">
        <v>1038</v>
      </c>
      <c r="J789" s="70"/>
      <c r="K789" s="70"/>
      <c r="L789" s="70"/>
      <c r="M789" s="70"/>
      <c r="N789" s="70"/>
      <c r="O789" s="70"/>
      <c r="P789" s="70"/>
    </row>
    <row r="790" spans="1:16" hidden="1" outlineLevel="1" x14ac:dyDescent="0.3">
      <c r="A790" s="51" t="s">
        <v>421</v>
      </c>
      <c r="B790" s="51"/>
      <c r="C790" s="51" t="str">
        <f t="shared" si="15"/>
        <v>Santa Clarita Water Division</v>
      </c>
      <c r="D790" s="55">
        <v>95</v>
      </c>
      <c r="E790" s="55">
        <v>95</v>
      </c>
      <c r="F790" s="55">
        <v>95</v>
      </c>
      <c r="G790" s="55">
        <v>95</v>
      </c>
      <c r="H790" s="55">
        <v>95</v>
      </c>
      <c r="I790" s="55" t="s">
        <v>1038</v>
      </c>
      <c r="J790" s="70"/>
      <c r="K790" s="70"/>
      <c r="L790" s="70"/>
      <c r="M790" s="70"/>
      <c r="N790" s="70"/>
      <c r="O790" s="70"/>
      <c r="P790" s="70"/>
    </row>
    <row r="791" spans="1:16" hidden="1" outlineLevel="1" x14ac:dyDescent="0.3">
      <c r="A791" s="51" t="s">
        <v>421</v>
      </c>
      <c r="B791" s="51"/>
      <c r="C791" s="51" t="str">
        <f t="shared" si="15"/>
        <v>Coachella Valley Water District</v>
      </c>
      <c r="D791" s="468" t="s">
        <v>204</v>
      </c>
      <c r="E791" s="468" t="s">
        <v>204</v>
      </c>
      <c r="F791" s="468" t="s">
        <v>204</v>
      </c>
      <c r="G791" s="468" t="s">
        <v>204</v>
      </c>
      <c r="H791" s="468" t="s">
        <v>204</v>
      </c>
      <c r="I791" s="55"/>
      <c r="J791" s="70"/>
      <c r="K791" s="70"/>
      <c r="L791" s="70"/>
      <c r="M791" s="70"/>
      <c r="N791" s="70"/>
      <c r="O791" s="70"/>
      <c r="P791" s="70"/>
    </row>
    <row r="792" spans="1:16" hidden="1" outlineLevel="1" x14ac:dyDescent="0.3">
      <c r="A792" s="51" t="s">
        <v>421</v>
      </c>
      <c r="B792" s="51"/>
      <c r="C792" s="51" t="str">
        <f t="shared" si="15"/>
        <v>Crestline-Lake Arrowhead Water Agency</v>
      </c>
      <c r="D792" s="468" t="s">
        <v>204</v>
      </c>
      <c r="E792" s="468" t="s">
        <v>204</v>
      </c>
      <c r="F792" s="468" t="s">
        <v>204</v>
      </c>
      <c r="G792" s="468" t="s">
        <v>204</v>
      </c>
      <c r="H792" s="468" t="s">
        <v>204</v>
      </c>
      <c r="I792" s="55"/>
      <c r="J792" s="70"/>
      <c r="K792" s="70"/>
      <c r="L792" s="70"/>
      <c r="M792" s="70"/>
      <c r="N792" s="70"/>
      <c r="O792" s="70"/>
      <c r="P792" s="70"/>
    </row>
    <row r="793" spans="1:16" hidden="1" outlineLevel="1" x14ac:dyDescent="0.3">
      <c r="A793" s="51" t="s">
        <v>421</v>
      </c>
      <c r="B793" s="51"/>
      <c r="C793" s="51" t="str">
        <f t="shared" si="15"/>
        <v>Desert Water Agency</v>
      </c>
      <c r="D793" s="468" t="s">
        <v>204</v>
      </c>
      <c r="E793" s="468" t="s">
        <v>204</v>
      </c>
      <c r="F793" s="468" t="s">
        <v>204</v>
      </c>
      <c r="G793" s="468" t="s">
        <v>204</v>
      </c>
      <c r="H793" s="468" t="s">
        <v>204</v>
      </c>
      <c r="I793" s="55"/>
      <c r="J793" s="70"/>
      <c r="K793" s="70"/>
      <c r="L793" s="70"/>
      <c r="M793" s="70"/>
      <c r="N793" s="70"/>
      <c r="O793" s="70"/>
      <c r="P793" s="70"/>
    </row>
    <row r="794" spans="1:16" hidden="1" outlineLevel="1" x14ac:dyDescent="0.3">
      <c r="A794" s="51" t="s">
        <v>421</v>
      </c>
      <c r="B794" s="51"/>
      <c r="C794" s="51" t="str">
        <f t="shared" si="15"/>
        <v>Metropolitan Water District of Southern California</v>
      </c>
      <c r="D794" s="55">
        <v>95</v>
      </c>
      <c r="E794" s="55">
        <v>95</v>
      </c>
      <c r="F794" s="55">
        <v>95</v>
      </c>
      <c r="G794" s="55">
        <v>95</v>
      </c>
      <c r="H794" s="55">
        <v>95</v>
      </c>
      <c r="I794" s="55" t="s">
        <v>1038</v>
      </c>
      <c r="J794" s="70"/>
      <c r="K794" s="70"/>
      <c r="L794" s="70"/>
      <c r="M794" s="70"/>
      <c r="N794" s="70"/>
      <c r="O794" s="70"/>
      <c r="P794" s="70"/>
    </row>
    <row r="795" spans="1:16" hidden="1" outlineLevel="1" x14ac:dyDescent="0.3">
      <c r="A795" s="51" t="s">
        <v>421</v>
      </c>
      <c r="B795" s="51"/>
      <c r="C795" s="51" t="str">
        <f t="shared" si="15"/>
        <v>Mojave Water Agency</v>
      </c>
      <c r="D795" s="55">
        <v>95</v>
      </c>
      <c r="E795" s="55">
        <v>95</v>
      </c>
      <c r="F795" s="55">
        <v>95</v>
      </c>
      <c r="G795" s="55">
        <v>95</v>
      </c>
      <c r="H795" s="55">
        <v>95</v>
      </c>
      <c r="I795" s="55" t="s">
        <v>1038</v>
      </c>
      <c r="J795" s="70"/>
      <c r="K795" s="70"/>
      <c r="L795" s="70"/>
      <c r="M795" s="70"/>
      <c r="N795" s="70"/>
      <c r="O795" s="70"/>
      <c r="P795" s="70"/>
    </row>
    <row r="796" spans="1:16" hidden="1" outlineLevel="1" x14ac:dyDescent="0.3">
      <c r="A796" s="51" t="s">
        <v>421</v>
      </c>
      <c r="B796" s="51"/>
      <c r="C796" s="51" t="str">
        <f t="shared" si="15"/>
        <v>Palmdale Water District &amp; Littlerock Creek Irrigation District</v>
      </c>
      <c r="D796" s="55">
        <v>95</v>
      </c>
      <c r="E796" s="55">
        <v>95</v>
      </c>
      <c r="F796" s="55">
        <v>95</v>
      </c>
      <c r="G796" s="55">
        <v>95</v>
      </c>
      <c r="H796" s="55">
        <v>95</v>
      </c>
      <c r="I796" s="55" t="s">
        <v>1038</v>
      </c>
      <c r="J796" s="70"/>
      <c r="K796" s="70"/>
      <c r="L796" s="70"/>
      <c r="M796" s="70"/>
      <c r="N796" s="70"/>
      <c r="O796" s="70"/>
      <c r="P796" s="70"/>
    </row>
    <row r="797" spans="1:16" hidden="1" outlineLevel="1" x14ac:dyDescent="0.3">
      <c r="A797" s="51" t="s">
        <v>421</v>
      </c>
      <c r="B797" s="51"/>
      <c r="C797" s="51" t="str">
        <f t="shared" si="15"/>
        <v>San Bernardino Valley Municipal Water District</v>
      </c>
      <c r="D797" s="55">
        <v>95</v>
      </c>
      <c r="E797" s="55">
        <v>95</v>
      </c>
      <c r="F797" s="55">
        <v>95</v>
      </c>
      <c r="G797" s="55">
        <v>95</v>
      </c>
      <c r="H797" s="55">
        <v>95</v>
      </c>
      <c r="I797" s="55" t="s">
        <v>1038</v>
      </c>
      <c r="J797" s="70"/>
      <c r="K797" s="70"/>
      <c r="L797" s="70"/>
      <c r="M797" s="70"/>
      <c r="N797" s="70"/>
      <c r="O797" s="70"/>
      <c r="P797" s="70"/>
    </row>
    <row r="798" spans="1:16" hidden="1" outlineLevel="1" x14ac:dyDescent="0.3">
      <c r="A798" s="51" t="s">
        <v>421</v>
      </c>
      <c r="B798" s="51"/>
      <c r="C798" s="51" t="str">
        <f t="shared" si="15"/>
        <v>San Gabriel Valley Municipal Water District</v>
      </c>
      <c r="D798" s="468" t="s">
        <v>204</v>
      </c>
      <c r="E798" s="468" t="s">
        <v>204</v>
      </c>
      <c r="F798" s="468" t="s">
        <v>204</v>
      </c>
      <c r="G798" s="468" t="s">
        <v>204</v>
      </c>
      <c r="H798" s="468" t="s">
        <v>204</v>
      </c>
      <c r="I798" s="55"/>
      <c r="J798" s="70"/>
      <c r="K798" s="70"/>
      <c r="L798" s="70"/>
      <c r="M798" s="70"/>
      <c r="N798" s="70"/>
      <c r="O798" s="70"/>
      <c r="P798" s="70"/>
    </row>
    <row r="799" spans="1:16" hidden="1" outlineLevel="1" x14ac:dyDescent="0.3">
      <c r="A799" s="51" t="s">
        <v>421</v>
      </c>
      <c r="B799" s="51"/>
      <c r="C799" s="51" t="str">
        <f t="shared" si="15"/>
        <v>San Gorgonio Pass Water Agency</v>
      </c>
      <c r="D799" s="55">
        <v>95</v>
      </c>
      <c r="E799" s="55">
        <v>95</v>
      </c>
      <c r="F799" s="55">
        <v>95</v>
      </c>
      <c r="G799" s="55">
        <v>95</v>
      </c>
      <c r="H799" s="55">
        <v>95</v>
      </c>
      <c r="I799" s="55" t="s">
        <v>1038</v>
      </c>
      <c r="J799" s="70"/>
      <c r="K799" s="70"/>
      <c r="L799" s="70"/>
      <c r="M799" s="70"/>
      <c r="N799" s="70"/>
      <c r="O799" s="70"/>
      <c r="P799" s="70"/>
    </row>
    <row r="800" spans="1:16" hidden="1" outlineLevel="1" x14ac:dyDescent="0.3">
      <c r="A800" s="51" t="s">
        <v>421</v>
      </c>
      <c r="B800" s="51"/>
      <c r="C800" s="51" t="str">
        <f t="shared" si="15"/>
        <v>Ventura County Watershed Protection District</v>
      </c>
      <c r="D800" s="468" t="s">
        <v>204</v>
      </c>
      <c r="E800" s="468" t="s">
        <v>204</v>
      </c>
      <c r="F800" s="468" t="s">
        <v>204</v>
      </c>
      <c r="G800" s="468" t="s">
        <v>204</v>
      </c>
      <c r="H800" s="468" t="s">
        <v>204</v>
      </c>
      <c r="I800" s="55"/>
      <c r="J800" s="70"/>
      <c r="K800" s="70"/>
      <c r="L800" s="70"/>
      <c r="M800" s="70"/>
      <c r="N800" s="70"/>
      <c r="O800" s="70"/>
      <c r="P800" s="70"/>
    </row>
    <row r="801" collapsed="1" x14ac:dyDescent="0.3"/>
  </sheetData>
  <autoFilter ref="D583:H800" xr:uid="{5F48D4DD-471F-4C68-88DC-86D73A80421F}">
    <filterColumn colId="0">
      <filters blank="1">
        <filter val="-"/>
        <filter val="1,162,000"/>
        <filter val="1,263"/>
        <filter val="1,331"/>
        <filter val="1,355"/>
        <filter val="1,435"/>
        <filter val="1,590"/>
        <filter val="10,095"/>
        <filter val="14,725"/>
        <filter val="2,137"/>
        <filter val="2,152"/>
        <filter val="2,271"/>
        <filter val="2,398"/>
        <filter val="2,550"/>
        <filter val="2,755"/>
        <filter val="2025"/>
        <filter val="208"/>
        <filter val="216"/>
        <filter val="340"/>
        <filter val="4,614"/>
        <filter val="40,000"/>
        <filter val="414"/>
        <filter val="444"/>
        <filter val="56%"/>
        <filter val="6,642"/>
        <filter val="69%"/>
        <filter val="700"/>
        <filter val="84"/>
        <filter val="867"/>
        <filter val="95"/>
        <filter val="957"/>
        <filter val="976"/>
      </filters>
    </filterColumn>
  </autoFilter>
  <dataConsolidate link="1">
    <dataRefs count="1">
      <dataRef ref="A1:A1048576" sheet="DEMANDS" r:id="rId1"/>
    </dataRefs>
  </dataConsolidate>
  <mergeCells count="5">
    <mergeCell ref="A581:H581"/>
    <mergeCell ref="A2:H8"/>
    <mergeCell ref="A17:H17"/>
    <mergeCell ref="A18:H18"/>
    <mergeCell ref="A256:H256"/>
  </mergeCells>
  <phoneticPr fontId="10" type="noConversion"/>
  <pageMargins left="0.7" right="0.7" top="0.75" bottom="0.75" header="0.3" footer="0.3"/>
  <pageSetup scale="82" orientation="portrait" r:id="rId2"/>
  <ignoredErrors>
    <ignoredError sqref="D257"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C2924-A7AE-4227-81BB-78FABC79BD60}">
  <sheetPr codeName="Sheet39"/>
  <dimension ref="A1:Q139"/>
  <sheetViews>
    <sheetView workbookViewId="0"/>
  </sheetViews>
  <sheetFormatPr defaultRowHeight="14.4" x14ac:dyDescent="0.3"/>
  <cols>
    <col min="1" max="1" width="65.33203125" bestFit="1" customWidth="1"/>
    <col min="2" max="6" width="10.5546875" bestFit="1" customWidth="1"/>
    <col min="7" max="7" width="10.5546875" customWidth="1"/>
    <col min="11" max="11" width="65.109375" bestFit="1" customWidth="1"/>
    <col min="12" max="12" width="14.33203125" bestFit="1" customWidth="1"/>
    <col min="13" max="16" width="11.109375" bestFit="1" customWidth="1"/>
    <col min="17" max="17" width="186.88671875" bestFit="1" customWidth="1"/>
    <col min="18" max="18" width="29.44140625" bestFit="1" customWidth="1"/>
    <col min="19" max="19" width="31.6640625" bestFit="1" customWidth="1"/>
    <col min="20" max="21" width="10.5546875" bestFit="1" customWidth="1"/>
  </cols>
  <sheetData>
    <row r="1" spans="1:17" ht="21" x14ac:dyDescent="0.4">
      <c r="A1" s="336" t="s">
        <v>1039</v>
      </c>
      <c r="K1" s="336" t="s">
        <v>32</v>
      </c>
    </row>
    <row r="2" spans="1:17" x14ac:dyDescent="0.3">
      <c r="A2" s="125" t="s">
        <v>193</v>
      </c>
      <c r="B2" s="126">
        <v>2025</v>
      </c>
      <c r="C2" s="126">
        <v>2030</v>
      </c>
      <c r="D2" s="126">
        <v>2035</v>
      </c>
      <c r="E2" s="126">
        <v>2040</v>
      </c>
      <c r="F2" s="126">
        <v>2045</v>
      </c>
      <c r="G2" s="376" t="s">
        <v>153</v>
      </c>
      <c r="K2" s="131" t="s">
        <v>193</v>
      </c>
      <c r="L2" s="132">
        <v>2025</v>
      </c>
      <c r="M2" s="132">
        <v>2030</v>
      </c>
      <c r="N2" s="132">
        <v>2035</v>
      </c>
      <c r="O2" s="132">
        <v>2040</v>
      </c>
      <c r="P2" s="132">
        <v>2045</v>
      </c>
      <c r="Q2" s="1" t="s">
        <v>153</v>
      </c>
    </row>
    <row r="3" spans="1:17" x14ac:dyDescent="0.3">
      <c r="A3" s="39" t="str">
        <f>K3</f>
        <v>Butte County</v>
      </c>
      <c r="B3" s="470" t="s">
        <v>204</v>
      </c>
      <c r="C3" s="470" t="s">
        <v>204</v>
      </c>
      <c r="D3" s="470" t="s">
        <v>204</v>
      </c>
      <c r="E3" s="470" t="s">
        <v>204</v>
      </c>
      <c r="F3" s="470" t="s">
        <v>204</v>
      </c>
      <c r="G3" s="146"/>
      <c r="K3" s="56" t="str">
        <f>'Contractor Assumptions'!B6</f>
        <v>Butte County</v>
      </c>
      <c r="L3" s="57" t="s">
        <v>204</v>
      </c>
      <c r="M3" s="57" t="s">
        <v>204</v>
      </c>
      <c r="N3" s="57" t="s">
        <v>204</v>
      </c>
      <c r="O3" s="57" t="s">
        <v>204</v>
      </c>
      <c r="P3" s="57" t="s">
        <v>204</v>
      </c>
    </row>
    <row r="4" spans="1:17" x14ac:dyDescent="0.3">
      <c r="A4" s="39" t="str">
        <f t="shared" ref="A4:A45" si="0">K4</f>
        <v>City of Folsom</v>
      </c>
      <c r="B4" s="146">
        <f>IFERROR(AVERAGEIFS(uwmp_table_7_2_w!G$2:G$900,uwmp_table_7_2_w!$F$2:$F$900,"Demand totals",uwmp_table_7_2_w!$B$2:$B$900,'Contractor Assumptions'!$F7),0) + IFERROR(AVERAGEIFS(uwmp_table_7_2_r!G$2:G$900,uwmp_table_7_2_r!$F$2:$F$900,"Demand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20518</v>
      </c>
      <c r="C4" s="146">
        <f>IFERROR(AVERAGEIFS(uwmp_table_7_2_w!H$2:H$900,uwmp_table_7_2_w!$F$2:$F$900,"Demand totals",uwmp_table_7_2_w!$B$2:$B$900,'Contractor Assumptions'!$F7),0) + IFERROR(AVERAGEIFS(uwmp_table_7_2_r!H$2:H$900,uwmp_table_7_2_r!$F$2:$F$900,"Demand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22745</v>
      </c>
      <c r="D4" s="146">
        <f>IFERROR(AVERAGEIFS(uwmp_table_7_2_w!I$2:I$900,uwmp_table_7_2_w!$F$2:$F$900,"Demand totals",uwmp_table_7_2_w!$B$2:$B$900,'Contractor Assumptions'!$F7),0) + IFERROR(AVERAGEIFS(uwmp_table_7_2_r!I$2:I$900,uwmp_table_7_2_r!$F$2:$F$900,"Demand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24214</v>
      </c>
      <c r="E4" s="146">
        <f>IFERROR(AVERAGEIFS(uwmp_table_7_2_w!J$2:J$900,uwmp_table_7_2_w!$F$2:$F$900,"Demand totals",uwmp_table_7_2_w!$B$2:$B$900,'Contractor Assumptions'!$F7),0) + IFERROR(AVERAGEIFS(uwmp_table_7_2_r!J$2:J$900,uwmp_table_7_2_r!$F$2:$F$900,"Demand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25145</v>
      </c>
      <c r="F4" s="146">
        <f>IFERROR(AVERAGEIFS(uwmp_table_7_2_w!K$2:K$900,uwmp_table_7_2_w!$F$2:$F$900,"Demand totals",uwmp_table_7_2_w!$B$2:$B$900,'Contractor Assumptions'!$F7),0) + IFERROR(AVERAGEIFS(uwmp_table_7_2_r!K$2:K$900,uwmp_table_7_2_r!$F$2:$F$900,"Demand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25520</v>
      </c>
      <c r="G4" s="40" t="s">
        <v>1005</v>
      </c>
      <c r="K4" s="56" t="str">
        <f>'Contractor Assumptions'!B7</f>
        <v>City of Folsom</v>
      </c>
      <c r="L4" s="163">
        <f>(SUM('Demand Assumptions'!D260,'Demand Assumptions'!D306,'Demand Assumptions'!D352,'Demand Assumptions'!D398,'Demand Assumptions'!D490)/(1-0.05)) - SUM('Demand Assumptions'!D260,'Demand Assumptions'!D306,'Demand Assumptions'!D352,'Demand Assumptions'!D398,'Demand Assumptions'!D490)</f>
        <v>957.15789473684345</v>
      </c>
      <c r="M4" s="163">
        <f>(SUM('Demand Assumptions'!E260,'Demand Assumptions'!E306,'Demand Assumptions'!E352,'Demand Assumptions'!E398,'Demand Assumptions'!E490)/(1-0.05)) - SUM('Demand Assumptions'!E260,'Demand Assumptions'!E306,'Demand Assumptions'!E352,'Demand Assumptions'!E398,'Demand Assumptions'!E490)</f>
        <v>1061.78947368421</v>
      </c>
      <c r="N4" s="163">
        <f>(SUM('Demand Assumptions'!F260,'Demand Assumptions'!F306,'Demand Assumptions'!F352,'Demand Assumptions'!F398,'Demand Assumptions'!F490)/(1-0.05)) - SUM('Demand Assumptions'!F260,'Demand Assumptions'!F306,'Demand Assumptions'!F352,'Demand Assumptions'!F398,'Demand Assumptions'!F490)</f>
        <v>1130.8421052631602</v>
      </c>
      <c r="O4" s="163">
        <f>(SUM('Demand Assumptions'!G260,'Demand Assumptions'!G306,'Demand Assumptions'!G352,'Demand Assumptions'!G398,'Demand Assumptions'!G490)/(1-0.05)) - SUM('Demand Assumptions'!G260,'Demand Assumptions'!G306,'Demand Assumptions'!G352,'Demand Assumptions'!G398,'Demand Assumptions'!G490)</f>
        <v>1174.5789473684235</v>
      </c>
      <c r="P4" s="163">
        <f>(SUM('Demand Assumptions'!H260,'Demand Assumptions'!H306,'Demand Assumptions'!H352,'Demand Assumptions'!H398,'Demand Assumptions'!H490)/(1-0.05)) - SUM('Demand Assumptions'!H260,'Demand Assumptions'!H306,'Demand Assumptions'!H352,'Demand Assumptions'!H398,'Demand Assumptions'!H490)</f>
        <v>1192.21052631579</v>
      </c>
      <c r="Q4" t="s">
        <v>1040</v>
      </c>
    </row>
    <row r="5" spans="1:17" x14ac:dyDescent="0.3">
      <c r="A5" s="39" t="str">
        <f t="shared" si="0"/>
        <v>City of Redding</v>
      </c>
      <c r="B5" s="146">
        <f>IFERROR(AVERAGEIFS(uwmp_table_7_2_w!G$2:G$900,uwmp_table_7_2_w!$F$2:$F$900,"Demand totals",uwmp_table_7_2_w!$B$2:$B$900,'Contractor Assumptions'!$F8),0) + IFERROR(AVERAGEIFS(uwmp_table_7_2_r!G$2:G$900,uwmp_table_7_2_r!$F$2:$F$900,"Demand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27055.315285600002</v>
      </c>
      <c r="C5" s="146">
        <f>IFERROR(AVERAGEIFS(uwmp_table_7_2_w!H$2:H$900,uwmp_table_7_2_w!$F$2:$F$900,"Demand totals",uwmp_table_7_2_w!$B$2:$B$900,'Contractor Assumptions'!$F8),0) + IFERROR(AVERAGEIFS(uwmp_table_7_2_r!H$2:H$900,uwmp_table_7_2_r!$F$2:$F$900,"Demand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27635.335089249998</v>
      </c>
      <c r="D5" s="146">
        <f>IFERROR(AVERAGEIFS(uwmp_table_7_2_w!I$2:I$900,uwmp_table_7_2_w!$F$2:$F$900,"Demand totals",uwmp_table_7_2_w!$B$2:$B$900,'Contractor Assumptions'!$F8),0) + IFERROR(AVERAGEIFS(uwmp_table_7_2_r!I$2:I$900,uwmp_table_7_2_r!$F$2:$F$900,"Demand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28236.837107849999</v>
      </c>
      <c r="E5" s="146">
        <f>IFERROR(AVERAGEIFS(uwmp_table_7_2_w!J$2:J$900,uwmp_table_7_2_w!$F$2:$F$900,"Demand totals",uwmp_table_7_2_w!$B$2:$B$900,'Contractor Assumptions'!$F8),0) + IFERROR(AVERAGEIFS(uwmp_table_7_2_r!J$2:J$900,uwmp_table_7_2_r!$F$2:$F$900,"Demand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28847.54579</v>
      </c>
      <c r="F5" s="146">
        <f>IFERROR(AVERAGEIFS(uwmp_table_7_2_w!K$2:K$900,uwmp_table_7_2_w!$F$2:$F$900,"Demand totals",uwmp_table_7_2_w!$B$2:$B$900,'Contractor Assumptions'!$F8),0) + IFERROR(AVERAGEIFS(uwmp_table_7_2_r!K$2:K$900,uwmp_table_7_2_r!$F$2:$F$900,"Demand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29479.736687100001</v>
      </c>
      <c r="G5" s="40"/>
      <c r="K5" s="56" t="str">
        <f>'Contractor Assumptions'!B8</f>
        <v>City of Redding</v>
      </c>
      <c r="L5" s="163">
        <f>(SUM('Demand Assumptions'!D261,'Demand Assumptions'!D307,'Demand Assumptions'!D353,'Demand Assumptions'!D399,'Demand Assumptions'!D491)/(1-0.05)) - SUM('Demand Assumptions'!D261,'Demand Assumptions'!D307,'Demand Assumptions'!D353,'Demand Assumptions'!D399,'Demand Assumptions'!D491)</f>
        <v>413.57894736842172</v>
      </c>
      <c r="M5" s="163">
        <f>(SUM('Demand Assumptions'!E261,'Demand Assumptions'!E307,'Demand Assumptions'!E353,'Demand Assumptions'!E399,'Demand Assumptions'!E491)/(1-0.05)) - SUM('Demand Assumptions'!E261,'Demand Assumptions'!E307,'Demand Assumptions'!E353,'Demand Assumptions'!E399,'Demand Assumptions'!E491)</f>
        <v>422.26315789473665</v>
      </c>
      <c r="N5" s="163">
        <f>(SUM('Demand Assumptions'!F261,'Demand Assumptions'!F307,'Demand Assumptions'!F353,'Demand Assumptions'!F399,'Demand Assumptions'!F491)/(1-0.05)) - SUM('Demand Assumptions'!F261,'Demand Assumptions'!F307,'Demand Assumptions'!F353,'Demand Assumptions'!F399,'Demand Assumptions'!F491)</f>
        <v>431.15789473684163</v>
      </c>
      <c r="O5" s="163">
        <f>(SUM('Demand Assumptions'!G261,'Demand Assumptions'!G307,'Demand Assumptions'!G353,'Demand Assumptions'!G399,'Demand Assumptions'!G491)/(1-0.05)) - SUM('Demand Assumptions'!G261,'Demand Assumptions'!G307,'Demand Assumptions'!G353,'Demand Assumptions'!G399,'Demand Assumptions'!G491)</f>
        <v>440.15789473684163</v>
      </c>
      <c r="P5" s="163">
        <f>(SUM('Demand Assumptions'!H261,'Demand Assumptions'!H307,'Demand Assumptions'!H353,'Demand Assumptions'!H399,'Demand Assumptions'!H491)/(1-0.05)) - SUM('Demand Assumptions'!H261,'Demand Assumptions'!H307,'Demand Assumptions'!H353,'Demand Assumptions'!H399,'Demand Assumptions'!H491)</f>
        <v>449.4210526315801</v>
      </c>
      <c r="Q5" t="s">
        <v>1040</v>
      </c>
    </row>
    <row r="6" spans="1:17" x14ac:dyDescent="0.3">
      <c r="A6" s="39" t="str">
        <f t="shared" si="0"/>
        <v>City of Roseville</v>
      </c>
      <c r="B6" s="146">
        <f>IFERROR(AVERAGEIFS(uwmp_table_7_2_w!G$2:G$900,uwmp_table_7_2_w!$F$2:$F$900,"Demand totals",uwmp_table_7_2_w!$B$2:$B$900,'Contractor Assumptions'!$F9),0) + IFERROR(AVERAGEIFS(uwmp_table_7_2_r!G$2:G$900,uwmp_table_7_2_r!$F$2:$F$900,"Demand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51589</v>
      </c>
      <c r="C6" s="146">
        <f>IFERROR(AVERAGEIFS(uwmp_table_7_2_w!H$2:H$900,uwmp_table_7_2_w!$F$2:$F$900,"Demand totals",uwmp_table_7_2_w!$B$2:$B$900,'Contractor Assumptions'!$F9),0) + IFERROR(AVERAGEIFS(uwmp_table_7_2_r!H$2:H$900,uwmp_table_7_2_r!$F$2:$F$900,"Demand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56989</v>
      </c>
      <c r="D6" s="146">
        <f>IFERROR(AVERAGEIFS(uwmp_table_7_2_w!I$2:I$900,uwmp_table_7_2_w!$F$2:$F$900,"Demand totals",uwmp_table_7_2_w!$B$2:$B$900,'Contractor Assumptions'!$F9),0) + IFERROR(AVERAGEIFS(uwmp_table_7_2_r!I$2:I$900,uwmp_table_7_2_r!$F$2:$F$900,"Demand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E6" s="146">
        <f>IFERROR(AVERAGEIFS(uwmp_table_7_2_w!J$2:J$900,uwmp_table_7_2_w!$F$2:$F$900,"Demand totals",uwmp_table_7_2_w!$B$2:$B$900,'Contractor Assumptions'!$F9),0) + IFERROR(AVERAGEIFS(uwmp_table_7_2_r!J$2:J$900,uwmp_table_7_2_r!$F$2:$F$900,"Demand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F6" s="146">
        <f>IFERROR(AVERAGEIFS(uwmp_table_7_2_w!K$2:K$900,uwmp_table_7_2_w!$F$2:$F$900,"Demand totals",uwmp_table_7_2_w!$B$2:$B$900,'Contractor Assumptions'!$F9),0) + IFERROR(AVERAGEIFS(uwmp_table_7_2_r!K$2:K$900,uwmp_table_7_2_r!$F$2:$F$900,"Demand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G6" s="40" t="s">
        <v>1041</v>
      </c>
      <c r="K6" s="56" t="str">
        <f>'Contractor Assumptions'!B9</f>
        <v>City of Roseville</v>
      </c>
      <c r="L6" s="163">
        <f>(SUM('Demand Assumptions'!D262,'Demand Assumptions'!D308,'Demand Assumptions'!D354,'Demand Assumptions'!D400,'Demand Assumptions'!D492)/(1-0.25)) - SUM('Demand Assumptions'!D262,'Demand Assumptions'!D308,'Demand Assumptions'!D354,'Demand Assumptions'!D400,'Demand Assumptions'!D492)</f>
        <v>14724.666666666664</v>
      </c>
      <c r="M6" s="163">
        <f>(SUM('Demand Assumptions'!E262,'Demand Assumptions'!E308,'Demand Assumptions'!E354,'Demand Assumptions'!E400,'Demand Assumptions'!E492)/(1-0.25)) - SUM('Demand Assumptions'!E262,'Demand Assumptions'!E308,'Demand Assumptions'!E354,'Demand Assumptions'!E400,'Demand Assumptions'!E492)</f>
        <v>16010</v>
      </c>
      <c r="N6" s="163">
        <f>(SUM('Demand Assumptions'!F262,'Demand Assumptions'!F308,'Demand Assumptions'!F354,'Demand Assumptions'!F400,'Demand Assumptions'!F492)/(1-0.25)) - SUM('Demand Assumptions'!F262,'Demand Assumptions'!F308,'Demand Assumptions'!F354,'Demand Assumptions'!F400,'Demand Assumptions'!F492)</f>
        <v>17424</v>
      </c>
      <c r="O6" s="163">
        <f>(SUM('Demand Assumptions'!G262,'Demand Assumptions'!G308,'Demand Assumptions'!G354,'Demand Assumptions'!G400,'Demand Assumptions'!G492)/(1-0.25)) - SUM('Demand Assumptions'!G262,'Demand Assumptions'!G308,'Demand Assumptions'!G354,'Demand Assumptions'!G400,'Demand Assumptions'!G492)</f>
        <v>17424</v>
      </c>
      <c r="P6" s="163">
        <f>(SUM('Demand Assumptions'!H262,'Demand Assumptions'!H308,'Demand Assumptions'!H354,'Demand Assumptions'!H400,'Demand Assumptions'!H492)/(1-0.25)) - SUM('Demand Assumptions'!H262,'Demand Assumptions'!H308,'Demand Assumptions'!H354,'Demand Assumptions'!H400,'Demand Assumptions'!H492)</f>
        <v>17424</v>
      </c>
      <c r="Q6" t="s">
        <v>1042</v>
      </c>
    </row>
    <row r="7" spans="1:17" x14ac:dyDescent="0.3">
      <c r="A7" s="39" t="str">
        <f t="shared" si="0"/>
        <v>City of West Sacramento</v>
      </c>
      <c r="B7" s="146">
        <f>IFERROR(AVERAGEIFS(uwmp_table_7_2_w!G$2:G$900,uwmp_table_7_2_w!$F$2:$F$900,"Demand totals",uwmp_table_7_2_w!$B$2:$B$900,'Contractor Assumptions'!$F10),0) + IFERROR(AVERAGEIFS(uwmp_table_7_2_r!G$2:G$900,uwmp_table_7_2_r!$F$2:$F$900,"Demand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14628</v>
      </c>
      <c r="C7" s="146">
        <f>IFERROR(AVERAGEIFS(uwmp_table_7_2_w!H$2:H$900,uwmp_table_7_2_w!$F$2:$F$900,"Demand totals",uwmp_table_7_2_w!$B$2:$B$900,'Contractor Assumptions'!$F10),0) + IFERROR(AVERAGEIFS(uwmp_table_7_2_r!H$2:H$900,uwmp_table_7_2_r!$F$2:$F$900,"Demand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16720</v>
      </c>
      <c r="D7" s="146">
        <f>IFERROR(AVERAGEIFS(uwmp_table_7_2_w!I$2:I$900,uwmp_table_7_2_w!$F$2:$F$900,"Demand totals",uwmp_table_7_2_w!$B$2:$B$900,'Contractor Assumptions'!$F10),0) + IFERROR(AVERAGEIFS(uwmp_table_7_2_r!I$2:I$900,uwmp_table_7_2_r!$F$2:$F$900,"Demand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17390</v>
      </c>
      <c r="E7" s="146">
        <f>IFERROR(AVERAGEIFS(uwmp_table_7_2_w!J$2:J$900,uwmp_table_7_2_w!$F$2:$F$900,"Demand totals",uwmp_table_7_2_w!$B$2:$B$900,'Contractor Assumptions'!$F10),0) + IFERROR(AVERAGEIFS(uwmp_table_7_2_r!J$2:J$900,uwmp_table_7_2_r!$F$2:$F$900,"Demand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18260</v>
      </c>
      <c r="F7" s="146">
        <f>IFERROR(AVERAGEIFS(uwmp_table_7_2_w!K$2:K$900,uwmp_table_7_2_w!$F$2:$F$900,"Demand totals",uwmp_table_7_2_w!$B$2:$B$900,'Contractor Assumptions'!$F10),0) + IFERROR(AVERAGEIFS(uwmp_table_7_2_r!K$2:K$900,uwmp_table_7_2_r!$F$2:$F$900,"Demand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20400</v>
      </c>
      <c r="G7" s="40"/>
      <c r="K7" s="56" t="str">
        <f>'Contractor Assumptions'!B10</f>
        <v>City of West Sacramento</v>
      </c>
      <c r="L7" s="163">
        <f>(SUM('Demand Assumptions'!D263,'Demand Assumptions'!D309,'Demand Assumptions'!D355,'Demand Assumptions'!D401,'Demand Assumptions'!D493)/(1-0.05)) - SUM('Demand Assumptions'!D263,'Demand Assumptions'!D309,'Demand Assumptions'!D355,'Demand Assumptions'!D401,'Demand Assumptions'!D493)</f>
        <v>444.10526315789502</v>
      </c>
      <c r="M7" s="163">
        <f>(SUM('Demand Assumptions'!E263,'Demand Assumptions'!E309,'Demand Assumptions'!E355,'Demand Assumptions'!E401,'Demand Assumptions'!E493)/(1-0.05)) - SUM('Demand Assumptions'!E263,'Demand Assumptions'!E309,'Demand Assumptions'!E355,'Demand Assumptions'!E401,'Demand Assumptions'!E493)</f>
        <v>491.05263157894842</v>
      </c>
      <c r="N7" s="163">
        <f>(SUM('Demand Assumptions'!F263,'Demand Assumptions'!F309,'Demand Assumptions'!F355,'Demand Assumptions'!F401,'Demand Assumptions'!F493)/(1-0.05)) - SUM('Demand Assumptions'!F263,'Demand Assumptions'!F309,'Demand Assumptions'!F355,'Demand Assumptions'!F401,'Demand Assumptions'!F493)</f>
        <v>524.73684210526335</v>
      </c>
      <c r="O7" s="163">
        <f>(SUM('Demand Assumptions'!G263,'Demand Assumptions'!G309,'Demand Assumptions'!G355,'Demand Assumptions'!G401,'Demand Assumptions'!G493)/(1-0.05)) - SUM('Demand Assumptions'!G263,'Demand Assumptions'!G309,'Demand Assumptions'!G355,'Demand Assumptions'!G401,'Demand Assumptions'!G493)</f>
        <v>542.63157894736833</v>
      </c>
      <c r="P7" s="163">
        <f>(SUM('Demand Assumptions'!H263,'Demand Assumptions'!H309,'Demand Assumptions'!H355,'Demand Assumptions'!H401,'Demand Assumptions'!H493)/(1-0.05)) - SUM('Demand Assumptions'!H263,'Demand Assumptions'!H309,'Demand Assumptions'!H355,'Demand Assumptions'!H401,'Demand Assumptions'!H493)</f>
        <v>610</v>
      </c>
      <c r="Q7" t="s">
        <v>1043</v>
      </c>
    </row>
    <row r="8" spans="1:17" x14ac:dyDescent="0.3">
      <c r="A8" s="39" t="str">
        <f t="shared" si="0"/>
        <v>Yuba City</v>
      </c>
      <c r="B8" s="146">
        <v>14935</v>
      </c>
      <c r="C8" s="146">
        <v>15480</v>
      </c>
      <c r="D8" s="146">
        <v>16150</v>
      </c>
      <c r="E8" s="146">
        <v>16995</v>
      </c>
      <c r="F8" s="146">
        <v>17830</v>
      </c>
      <c r="G8" s="40" t="s">
        <v>1044</v>
      </c>
      <c r="K8" s="56" t="str">
        <f>'Contractor Assumptions'!B11</f>
        <v>Yuba City</v>
      </c>
      <c r="L8" s="163">
        <f>(SUM('Demand Assumptions'!D264,'Demand Assumptions'!D310,'Demand Assumptions'!D356,'Demand Assumptions'!D402,'Demand Assumptions'!D494)/(1-0.05)) - SUM('Demand Assumptions'!D264,'Demand Assumptions'!D310,'Demand Assumptions'!D356,'Demand Assumptions'!D402,'Demand Assumptions'!D494)</f>
        <v>699.73684210526335</v>
      </c>
      <c r="M8" s="163">
        <f>(SUM('Demand Assumptions'!E264,'Demand Assumptions'!E310,'Demand Assumptions'!E356,'Demand Assumptions'!E402,'Demand Assumptions'!E494)/(1-0.05)) - SUM('Demand Assumptions'!E264,'Demand Assumptions'!E310,'Demand Assumptions'!E356,'Demand Assumptions'!E402,'Demand Assumptions'!E494)</f>
        <v>725.26315789473665</v>
      </c>
      <c r="N8" s="163">
        <f>(SUM('Demand Assumptions'!F264,'Demand Assumptions'!F310,'Demand Assumptions'!F356,'Demand Assumptions'!F402,'Demand Assumptions'!F494)/(1-0.05)) - SUM('Demand Assumptions'!F264,'Demand Assumptions'!F310,'Demand Assumptions'!F356,'Demand Assumptions'!F402,'Demand Assumptions'!F494)</f>
        <v>756.84210526315837</v>
      </c>
      <c r="O8" s="163">
        <f>(SUM('Demand Assumptions'!G264,'Demand Assumptions'!G310,'Demand Assumptions'!G356,'Demand Assumptions'!G402,'Demand Assumptions'!G494)/(1-0.05)) - SUM('Demand Assumptions'!G264,'Demand Assumptions'!G310,'Demand Assumptions'!G356,'Demand Assumptions'!G402,'Demand Assumptions'!G494)</f>
        <v>796.05263157894842</v>
      </c>
      <c r="P8" s="163">
        <f>(SUM('Demand Assumptions'!H264,'Demand Assumptions'!H310,'Demand Assumptions'!H356,'Demand Assumptions'!H402,'Demand Assumptions'!H494)/(1-0.05)) - SUM('Demand Assumptions'!H264,'Demand Assumptions'!H310,'Demand Assumptions'!H356,'Demand Assumptions'!H402,'Demand Assumptions'!H494)</f>
        <v>835.26315789473665</v>
      </c>
      <c r="Q8" t="s">
        <v>1040</v>
      </c>
    </row>
    <row r="9" spans="1:17" x14ac:dyDescent="0.3">
      <c r="A9" s="39" t="str">
        <f t="shared" si="0"/>
        <v>El Dorado Irrigation District</v>
      </c>
      <c r="B9" s="146">
        <f>IFERROR(AVERAGEIFS(uwmp_table_7_2_w!G$2:G$900,uwmp_table_7_2_w!$F$2:$F$900,"Demand totals",uwmp_table_7_2_w!$B$2:$B$900,'Contractor Assumptions'!$F12),0) + IFERROR(AVERAGEIFS(uwmp_table_7_2_r!G$2:G$900,uwmp_table_7_2_r!$F$2:$F$900,"Demand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38980</v>
      </c>
      <c r="C9" s="146">
        <f>IFERROR(AVERAGEIFS(uwmp_table_7_2_w!H$2:H$900,uwmp_table_7_2_w!$F$2:$F$900,"Demand totals",uwmp_table_7_2_w!$B$2:$B$900,'Contractor Assumptions'!$F12),0) + IFERROR(AVERAGEIFS(uwmp_table_7_2_r!H$2:H$900,uwmp_table_7_2_r!$F$2:$F$900,"Demand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39770</v>
      </c>
      <c r="D9" s="146">
        <f>IFERROR(AVERAGEIFS(uwmp_table_7_2_w!I$2:I$900,uwmp_table_7_2_w!$F$2:$F$900,"Demand totals",uwmp_table_7_2_w!$B$2:$B$900,'Contractor Assumptions'!$F12),0) + IFERROR(AVERAGEIFS(uwmp_table_7_2_r!I$2:I$900,uwmp_table_7_2_r!$F$2:$F$900,"Demand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40920</v>
      </c>
      <c r="E9" s="146">
        <f>IFERROR(AVERAGEIFS(uwmp_table_7_2_w!J$2:J$900,uwmp_table_7_2_w!$F$2:$F$900,"Demand totals",uwmp_table_7_2_w!$B$2:$B$900,'Contractor Assumptions'!$F12),0) + IFERROR(AVERAGEIFS(uwmp_table_7_2_r!J$2:J$900,uwmp_table_7_2_r!$F$2:$F$900,"Demand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42130</v>
      </c>
      <c r="F9" s="146">
        <f>IFERROR(AVERAGEIFS(uwmp_table_7_2_w!K$2:K$900,uwmp_table_7_2_w!$F$2:$F$900,"Demand totals",uwmp_table_7_2_w!$B$2:$B$900,'Contractor Assumptions'!$F12),0) + IFERROR(AVERAGEIFS(uwmp_table_7_2_r!K$2:K$900,uwmp_table_7_2_r!$F$2:$F$900,"Demand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43320</v>
      </c>
      <c r="G9" s="40" t="s">
        <v>1008</v>
      </c>
      <c r="K9" s="56" t="str">
        <f>'Contractor Assumptions'!B12</f>
        <v>El Dorado Irrigation District</v>
      </c>
      <c r="L9" s="163">
        <f>(SUM('Demand Assumptions'!D265,'Demand Assumptions'!D311,'Demand Assumptions'!D357,'Demand Assumptions'!D403,'Demand Assumptions'!D495)/(1-0.05)) - SUM('Demand Assumptions'!D265,'Demand Assumptions'!D311,'Demand Assumptions'!D357,'Demand Assumptions'!D403,'Demand Assumptions'!D495)</f>
        <v>1263.1578947368434</v>
      </c>
      <c r="M9" s="163">
        <f>(SUM('Demand Assumptions'!E265,'Demand Assumptions'!E311,'Demand Assumptions'!E357,'Demand Assumptions'!E403,'Demand Assumptions'!E495)/(1-0.05)) - SUM('Demand Assumptions'!E265,'Demand Assumptions'!E311,'Demand Assumptions'!E357,'Demand Assumptions'!E403,'Demand Assumptions'!E495)</f>
        <v>1263.1578947368434</v>
      </c>
      <c r="N9" s="163">
        <f>(SUM('Demand Assumptions'!F265,'Demand Assumptions'!F311,'Demand Assumptions'!F357,'Demand Assumptions'!F403,'Demand Assumptions'!F495)/(1-0.05)) - SUM('Demand Assumptions'!F265,'Demand Assumptions'!F311,'Demand Assumptions'!F357,'Demand Assumptions'!F403,'Demand Assumptions'!F495)</f>
        <v>1263.1578947368434</v>
      </c>
      <c r="O9" s="163">
        <f>(SUM('Demand Assumptions'!G265,'Demand Assumptions'!G311,'Demand Assumptions'!G357,'Demand Assumptions'!G403,'Demand Assumptions'!G495)/(1-0.05)) - SUM('Demand Assumptions'!G265,'Demand Assumptions'!G311,'Demand Assumptions'!G357,'Demand Assumptions'!G403,'Demand Assumptions'!G495)</f>
        <v>1263.1578947368434</v>
      </c>
      <c r="P9" s="163">
        <f>(SUM('Demand Assumptions'!H265,'Demand Assumptions'!H311,'Demand Assumptions'!H357,'Demand Assumptions'!H403,'Demand Assumptions'!H495)/(1-0.05)) - SUM('Demand Assumptions'!H265,'Demand Assumptions'!H311,'Demand Assumptions'!H357,'Demand Assumptions'!H403,'Demand Assumptions'!H495)</f>
        <v>1263.1578947368434</v>
      </c>
      <c r="Q9" t="s">
        <v>1040</v>
      </c>
    </row>
    <row r="10" spans="1:17" x14ac:dyDescent="0.3">
      <c r="A10" s="39" t="str">
        <f t="shared" si="0"/>
        <v>Napa County Flood Control &amp; Water Conservation District</v>
      </c>
      <c r="B10" s="470" t="s">
        <v>204</v>
      </c>
      <c r="C10" s="470" t="s">
        <v>204</v>
      </c>
      <c r="D10" s="470" t="s">
        <v>204</v>
      </c>
      <c r="E10" s="470" t="s">
        <v>204</v>
      </c>
      <c r="F10" s="470" t="s">
        <v>204</v>
      </c>
      <c r="G10" s="40"/>
      <c r="K10" s="56" t="str">
        <f>'Contractor Assumptions'!B13</f>
        <v>Napa County Flood Control &amp; Water Conservation District</v>
      </c>
      <c r="L10" s="57" t="s">
        <v>204</v>
      </c>
      <c r="M10" s="57" t="s">
        <v>204</v>
      </c>
      <c r="N10" s="57" t="s">
        <v>204</v>
      </c>
      <c r="O10" s="57" t="s">
        <v>204</v>
      </c>
      <c r="P10" s="57" t="s">
        <v>204</v>
      </c>
    </row>
    <row r="11" spans="1:17" x14ac:dyDescent="0.3">
      <c r="A11" s="39" t="str">
        <f t="shared" si="0"/>
        <v>Placer County Water Agency</v>
      </c>
      <c r="B11" s="146">
        <f>IFERROR(AVERAGEIFS(uwmp_table_7_2_w!G$2:G$900,uwmp_table_7_2_w!$F$2:$F$900,"Demand totals",uwmp_table_7_2_w!$B$2:$B$900,'Contractor Assumptions'!$F14),0) + IFERROR(AVERAGEIFS(uwmp_table_7_2_r!G$2:G$900,uwmp_table_7_2_r!$F$2:$F$900,"Demand totals",uwmp_table_7_2_r!$B$2:$B$900,'Contractor Assumptions'!$F14),0)*IFERROR(VLOOKUP(VLOOKUP('Contractor Assumptions'!$F14,uwmp_table_7_2_r!$B$2:$L$900,11,FALSE),'Demand Assumptions'!$A$11:$C$13,2,FALSE), VLOOKUP(VLOOKUP('Contractor Assumptions'!$F14,uwmp_table_7_2_w!$B$2:$L$900,11,FALSE),'Demand Assumptions'!$A$11:$C$13,2,FALSE))</f>
        <v>174724</v>
      </c>
      <c r="C11" s="146">
        <v>184171</v>
      </c>
      <c r="D11" s="146">
        <v>197460</v>
      </c>
      <c r="E11" s="146">
        <v>226988</v>
      </c>
      <c r="F11" s="146">
        <v>253416</v>
      </c>
      <c r="G11" s="40" t="s">
        <v>1045</v>
      </c>
      <c r="K11" s="56" t="str">
        <f>'Contractor Assumptions'!B14</f>
        <v>Placer County Water Agency</v>
      </c>
      <c r="L11" s="163">
        <f>(SUM('Demand Assumptions'!D267,'Demand Assumptions'!D313,'Demand Assumptions'!D359,'Demand Assumptions'!D405,'Demand Assumptions'!D497)/(1-0.05)) - SUM('Demand Assumptions'!D267,'Demand Assumptions'!D313,'Demand Assumptions'!D359,'Demand Assumptions'!D405,'Demand Assumptions'!D497)</f>
        <v>1590.1052631578968</v>
      </c>
      <c r="M11" s="163">
        <f>(SUM('Demand Assumptions'!E267,'Demand Assumptions'!E313,'Demand Assumptions'!E359,'Demand Assumptions'!E405,'Demand Assumptions'!E497)/(1-0.05)) - SUM('Demand Assumptions'!E267,'Demand Assumptions'!E313,'Demand Assumptions'!E359,'Demand Assumptions'!E405,'Demand Assumptions'!E497)</f>
        <v>1848.3157894736869</v>
      </c>
      <c r="N11" s="163">
        <f>(SUM('Demand Assumptions'!F267,'Demand Assumptions'!F313,'Demand Assumptions'!F359,'Demand Assumptions'!F405,'Demand Assumptions'!F497)/(1-0.05)) - SUM('Demand Assumptions'!F267,'Demand Assumptions'!F313,'Demand Assumptions'!F359,'Demand Assumptions'!F405,'Demand Assumptions'!F497)</f>
        <v>2142.3684210526335</v>
      </c>
      <c r="O11" s="163">
        <f>(SUM('Demand Assumptions'!G267,'Demand Assumptions'!G313,'Demand Assumptions'!G359,'Demand Assumptions'!G405,'Demand Assumptions'!G497)/(1-0.05)) - SUM('Demand Assumptions'!G267,'Demand Assumptions'!G313,'Demand Assumptions'!G359,'Demand Assumptions'!G405,'Demand Assumptions'!G497)</f>
        <v>2478.0526315789466</v>
      </c>
      <c r="P11" s="163">
        <f>(SUM('Demand Assumptions'!H267,'Demand Assumptions'!H313,'Demand Assumptions'!H359,'Demand Assumptions'!H405,'Demand Assumptions'!H497)/(1-0.05)) - SUM('Demand Assumptions'!H267,'Demand Assumptions'!H313,'Demand Assumptions'!H359,'Demand Assumptions'!H405,'Demand Assumptions'!H497)</f>
        <v>2633.3684210526335</v>
      </c>
      <c r="Q11" t="s">
        <v>1040</v>
      </c>
    </row>
    <row r="12" spans="1:17" x14ac:dyDescent="0.3">
      <c r="A12" s="39" t="str">
        <f t="shared" si="0"/>
        <v>Sacramento County Water Agency</v>
      </c>
      <c r="B12" s="146">
        <v>53778</v>
      </c>
      <c r="C12" s="146">
        <v>63580</v>
      </c>
      <c r="D12" s="146">
        <v>72614</v>
      </c>
      <c r="E12" s="146">
        <v>80276</v>
      </c>
      <c r="F12" s="146">
        <v>88096</v>
      </c>
      <c r="G12" s="40" t="s">
        <v>1046</v>
      </c>
      <c r="K12" s="56" t="str">
        <f>'Contractor Assumptions'!B15</f>
        <v>Sacramento County Water Agency</v>
      </c>
      <c r="L12" s="163">
        <f>(SUM('Demand Assumptions'!D268,'Demand Assumptions'!D314,'Demand Assumptions'!D360,'Demand Assumptions'!D406,'Demand Assumptions'!D498)/(1-0.05)) - SUM('Demand Assumptions'!D268,'Demand Assumptions'!D314,'Demand Assumptions'!D360,'Demand Assumptions'!D406,'Demand Assumptions'!D498)</f>
        <v>2271.4736842105267</v>
      </c>
      <c r="M12" s="163">
        <f>(SUM('Demand Assumptions'!E268,'Demand Assumptions'!E314,'Demand Assumptions'!E360,'Demand Assumptions'!E406,'Demand Assumptions'!E498)/(1-0.05)) - SUM('Demand Assumptions'!E268,'Demand Assumptions'!E314,'Demand Assumptions'!E360,'Demand Assumptions'!E406,'Demand Assumptions'!E498)</f>
        <v>2683.7894736842136</v>
      </c>
      <c r="N12" s="163">
        <f>(SUM('Demand Assumptions'!F268,'Demand Assumptions'!F314,'Demand Assumptions'!F360,'Demand Assumptions'!F406,'Demand Assumptions'!F498)/(1-0.05)) - SUM('Demand Assumptions'!F268,'Demand Assumptions'!F314,'Demand Assumptions'!F360,'Demand Assumptions'!F406,'Demand Assumptions'!F498)</f>
        <v>3095.1052631579005</v>
      </c>
      <c r="O12" s="163">
        <f>(SUM('Demand Assumptions'!G268,'Demand Assumptions'!G314,'Demand Assumptions'!G360,'Demand Assumptions'!G406,'Demand Assumptions'!G498)/(1-0.05)) - SUM('Demand Assumptions'!G268,'Demand Assumptions'!G314,'Demand Assumptions'!G360,'Demand Assumptions'!G406,'Demand Assumptions'!G498)</f>
        <v>3439.6315789473738</v>
      </c>
      <c r="P12" s="163">
        <f>(SUM('Demand Assumptions'!H268,'Demand Assumptions'!H314,'Demand Assumptions'!H360,'Demand Assumptions'!H406,'Demand Assumptions'!H498)/(1-0.05)) - SUM('Demand Assumptions'!H268,'Demand Assumptions'!H314,'Demand Assumptions'!H360,'Demand Assumptions'!H406,'Demand Assumptions'!H498)</f>
        <v>3786.3684210526408</v>
      </c>
      <c r="Q12" t="s">
        <v>1040</v>
      </c>
    </row>
    <row r="13" spans="1:17" x14ac:dyDescent="0.3">
      <c r="A13" s="39" t="str">
        <f t="shared" si="0"/>
        <v>San Juan Water District</v>
      </c>
      <c r="B13" s="146">
        <f>11300+41700</f>
        <v>53000</v>
      </c>
      <c r="C13" s="146">
        <f>11400 + 42200</f>
        <v>53600</v>
      </c>
      <c r="D13" s="146">
        <f>11300 + 41900</f>
        <v>53200</v>
      </c>
      <c r="E13" s="146">
        <f>11400 + 42600</f>
        <v>54000</v>
      </c>
      <c r="F13" s="146">
        <f>11500 + 43200</f>
        <v>54700</v>
      </c>
      <c r="G13" s="40" t="s">
        <v>1047</v>
      </c>
      <c r="K13" s="56" t="str">
        <f>'Contractor Assumptions'!B16</f>
        <v>San Juan Water District</v>
      </c>
      <c r="L13" s="163">
        <f>(SUM('Demand Assumptions'!D269,'Demand Assumptions'!D315,'Demand Assumptions'!D361,'Demand Assumptions'!D407,'Demand Assumptions'!D499)/(1-0.05)) - SUM('Demand Assumptions'!D269,'Demand Assumptions'!D315,'Demand Assumptions'!D361,'Demand Assumptions'!D407,'Demand Assumptions'!D499)</f>
        <v>2398.0526315789466</v>
      </c>
      <c r="M13" s="163">
        <f>(SUM('Demand Assumptions'!E269,'Demand Assumptions'!E315,'Demand Assumptions'!E361,'Demand Assumptions'!E407,'Demand Assumptions'!E499)/(1-0.05)) - SUM('Demand Assumptions'!E269,'Demand Assumptions'!E315,'Demand Assumptions'!E361,'Demand Assumptions'!E407,'Demand Assumptions'!E499)</f>
        <v>2423.736842105267</v>
      </c>
      <c r="N13" s="163">
        <f>(SUM('Demand Assumptions'!F269,'Demand Assumptions'!F315,'Demand Assumptions'!F361,'Demand Assumptions'!F407,'Demand Assumptions'!F499)/(1-0.05)) - SUM('Demand Assumptions'!F269,'Demand Assumptions'!F315,'Demand Assumptions'!F361,'Demand Assumptions'!F407,'Demand Assumptions'!F499)</f>
        <v>2397.1052631579005</v>
      </c>
      <c r="O13" s="163">
        <f>(SUM('Demand Assumptions'!G269,'Demand Assumptions'!G315,'Demand Assumptions'!G361,'Demand Assumptions'!G407,'Demand Assumptions'!G499)/(1-0.05)) - SUM('Demand Assumptions'!G269,'Demand Assumptions'!G315,'Demand Assumptions'!G361,'Demand Assumptions'!G407,'Demand Assumptions'!G499)</f>
        <v>2431.8947368421068</v>
      </c>
      <c r="P13" s="163">
        <f>(SUM('Demand Assumptions'!H269,'Demand Assumptions'!H315,'Demand Assumptions'!H361,'Demand Assumptions'!H407,'Demand Assumptions'!H499)/(1-0.05)) - SUM('Demand Assumptions'!H269,'Demand Assumptions'!H315,'Demand Assumptions'!H361,'Demand Assumptions'!H407,'Demand Assumptions'!H499)</f>
        <v>2462.1578947368471</v>
      </c>
      <c r="Q13" t="s">
        <v>1040</v>
      </c>
    </row>
    <row r="14" spans="1:17" x14ac:dyDescent="0.3">
      <c r="A14" s="39" t="str">
        <f t="shared" si="0"/>
        <v>Shasta Contractors</v>
      </c>
      <c r="B14" s="470" t="s">
        <v>204</v>
      </c>
      <c r="C14" s="470" t="s">
        <v>204</v>
      </c>
      <c r="D14" s="470" t="s">
        <v>204</v>
      </c>
      <c r="E14" s="470" t="s">
        <v>204</v>
      </c>
      <c r="F14" s="470" t="s">
        <v>204</v>
      </c>
      <c r="G14" s="40" t="s">
        <v>1048</v>
      </c>
      <c r="K14" s="56" t="str">
        <f>'Contractor Assumptions'!B17</f>
        <v>Shasta Contractors</v>
      </c>
      <c r="L14" s="57" t="s">
        <v>204</v>
      </c>
      <c r="M14" s="57" t="s">
        <v>204</v>
      </c>
      <c r="N14" s="57" t="s">
        <v>204</v>
      </c>
      <c r="O14" s="57" t="s">
        <v>204</v>
      </c>
      <c r="P14" s="57" t="s">
        <v>204</v>
      </c>
    </row>
    <row r="15" spans="1:17" x14ac:dyDescent="0.3">
      <c r="A15" s="39" t="str">
        <f t="shared" si="0"/>
        <v>Solano County Water Agency</v>
      </c>
      <c r="B15" s="470" t="s">
        <v>204</v>
      </c>
      <c r="C15" s="470" t="s">
        <v>204</v>
      </c>
      <c r="D15" s="470" t="s">
        <v>204</v>
      </c>
      <c r="E15" s="470" t="s">
        <v>204</v>
      </c>
      <c r="F15" s="470" t="s">
        <v>204</v>
      </c>
      <c r="G15" s="40"/>
      <c r="K15" s="56" t="str">
        <f>'Contractor Assumptions'!B18</f>
        <v>Solano County Water Agency</v>
      </c>
      <c r="L15" s="57" t="s">
        <v>204</v>
      </c>
      <c r="M15" s="57" t="s">
        <v>204</v>
      </c>
      <c r="N15" s="57" t="s">
        <v>204</v>
      </c>
      <c r="O15" s="57" t="s">
        <v>204</v>
      </c>
      <c r="P15" s="57" t="s">
        <v>204</v>
      </c>
    </row>
    <row r="16" spans="1:17" x14ac:dyDescent="0.3">
      <c r="A16" s="39" t="str">
        <f t="shared" si="0"/>
        <v>City of Avenal</v>
      </c>
      <c r="B16" s="470" t="s">
        <v>204</v>
      </c>
      <c r="C16" s="470" t="s">
        <v>204</v>
      </c>
      <c r="D16" s="470" t="s">
        <v>204</v>
      </c>
      <c r="E16" s="470" t="s">
        <v>204</v>
      </c>
      <c r="F16" s="470" t="s">
        <v>204</v>
      </c>
      <c r="G16" s="40"/>
      <c r="H16" s="240"/>
      <c r="K16" s="56" t="str">
        <f>'Contractor Assumptions'!B19</f>
        <v>City of Avenal</v>
      </c>
      <c r="L16" s="57" t="s">
        <v>204</v>
      </c>
      <c r="M16" s="57" t="s">
        <v>204</v>
      </c>
      <c r="N16" s="57" t="s">
        <v>204</v>
      </c>
      <c r="O16" s="57" t="s">
        <v>204</v>
      </c>
      <c r="P16" s="57" t="s">
        <v>204</v>
      </c>
    </row>
    <row r="17" spans="1:17" x14ac:dyDescent="0.3">
      <c r="A17" s="39" t="str">
        <f t="shared" si="0"/>
        <v>City of Coalinga</v>
      </c>
      <c r="B17" s="146">
        <f>IFERROR(AVERAGEIFS(uwmp_table_7_2_w!G$2:G$900,uwmp_table_7_2_w!$F$2:$F$900,"Demand totals",uwmp_table_7_2_w!$B$2:$B$900,'Contractor Assumptions'!$F20),0) + IFERROR(AVERAGEIFS(uwmp_table_7_2_r!G$2:G$900,uwmp_table_7_2_r!$F$2:$F$900,"Demand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4627.8828777999997</v>
      </c>
      <c r="C17" s="146">
        <f>IFERROR(AVERAGEIFS(uwmp_table_7_2_w!H$2:H$900,uwmp_table_7_2_w!$F$2:$F$900,"Demand totals",uwmp_table_7_2_w!$B$2:$B$900,'Contractor Assumptions'!$F20),0) + IFERROR(AVERAGEIFS(uwmp_table_7_2_r!H$2:H$900,uwmp_table_7_2_r!$F$2:$F$900,"Demand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5253.9359992</v>
      </c>
      <c r="D17" s="146">
        <f>IFERROR(AVERAGEIFS(uwmp_table_7_2_w!I$2:I$900,uwmp_table_7_2_w!$F$2:$F$900,"Demand totals",uwmp_table_7_2_w!$B$2:$B$900,'Contractor Assumptions'!$F20),0) + IFERROR(AVERAGEIFS(uwmp_table_7_2_r!I$2:I$900,uwmp_table_7_2_r!$F$2:$F$900,"Demand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5968.98686825</v>
      </c>
      <c r="E17" s="146">
        <f>IFERROR(AVERAGEIFS(uwmp_table_7_2_w!J$2:J$900,uwmp_table_7_2_w!$F$2:$F$900,"Demand totals",uwmp_table_7_2_w!$B$2:$B$900,'Contractor Assumptions'!$F20),0) + IFERROR(AVERAGEIFS(uwmp_table_7_2_r!J$2:J$900,uwmp_table_7_2_r!$F$2:$F$900,"Demand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6773.03548495</v>
      </c>
      <c r="F17" s="146">
        <f>E17</f>
        <v>6773.03548495</v>
      </c>
      <c r="G17" s="40" t="s">
        <v>1049</v>
      </c>
      <c r="K17" s="56" t="str">
        <f>'Contractor Assumptions'!B20</f>
        <v>City of Coalinga</v>
      </c>
      <c r="L17" s="163">
        <f>(SUM('Demand Assumptions'!D273,'Demand Assumptions'!D319,'Demand Assumptions'!D365,'Demand Assumptions'!D411,'Demand Assumptions'!D503)/(1-0.05)) - SUM('Demand Assumptions'!D273,'Demand Assumptions'!D319,'Demand Assumptions'!D365,'Demand Assumptions'!D411,'Demand Assumptions'!D503)</f>
        <v>216.11431280526358</v>
      </c>
      <c r="M17" s="163">
        <f>(SUM('Demand Assumptions'!E273,'Demand Assumptions'!E319,'Demand Assumptions'!E365,'Demand Assumptions'!E411,'Demand Assumptions'!E503)/(1-0.05)) - SUM('Demand Assumptions'!E273,'Demand Assumptions'!E319,'Demand Assumptions'!E365,'Demand Assumptions'!E411,'Demand Assumptions'!E503)</f>
        <v>245.34950758684226</v>
      </c>
      <c r="N17" s="163">
        <f>(SUM('Demand Assumptions'!F273,'Demand Assumptions'!F319,'Demand Assumptions'!F365,'Demand Assumptions'!F411,'Demand Assumptions'!F503)/(1-0.05)) - SUM('Demand Assumptions'!F273,'Demand Assumptions'!F319,'Demand Assumptions'!F365,'Demand Assumptions'!F411,'Demand Assumptions'!F503)</f>
        <v>278.62271269736902</v>
      </c>
      <c r="O17" s="163">
        <f>(SUM('Demand Assumptions'!G273,'Demand Assumptions'!G319,'Demand Assumptions'!G365,'Demand Assumptions'!G411,'Demand Assumptions'!G503)/(1-0.05)) - SUM('Demand Assumptions'!G273,'Demand Assumptions'!G319,'Demand Assumptions'!G365,'Demand Assumptions'!G411,'Demand Assumptions'!G503)</f>
        <v>316.25696896315822</v>
      </c>
      <c r="P17" s="163">
        <f>O17</f>
        <v>316.25696896315822</v>
      </c>
      <c r="Q17" t="s">
        <v>1040</v>
      </c>
    </row>
    <row r="18" spans="1:17" x14ac:dyDescent="0.3">
      <c r="A18" s="39" t="str">
        <f t="shared" si="0"/>
        <v>City of Fresno</v>
      </c>
      <c r="B18" s="146">
        <f>IFERROR(AVERAGEIFS(uwmp_table_7_2_w!G$2:G$900,uwmp_table_7_2_w!$F$2:$F$900,"Demand totals",uwmp_table_7_2_w!$B$2:$B$900,'Contractor Assumptions'!$F21),0) + IFERROR(AVERAGEIFS(uwmp_table_7_2_r!G$2:G$900,uwmp_table_7_2_r!$F$2:$F$900,"Demand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199204</v>
      </c>
      <c r="C18" s="146">
        <f>IFERROR(AVERAGEIFS(uwmp_table_7_2_w!H$2:H$900,uwmp_table_7_2_w!$F$2:$F$900,"Demand totals",uwmp_table_7_2_w!$B$2:$B$900,'Contractor Assumptions'!$F21),0) + IFERROR(AVERAGEIFS(uwmp_table_7_2_r!H$2:H$900,uwmp_table_7_2_r!$F$2:$F$900,"Demand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212756</v>
      </c>
      <c r="D18" s="146">
        <f>IFERROR(AVERAGEIFS(uwmp_table_7_2_w!I$2:I$900,uwmp_table_7_2_w!$F$2:$F$900,"Demand totals",uwmp_table_7_2_w!$B$2:$B$900,'Contractor Assumptions'!$F21),0) + IFERROR(AVERAGEIFS(uwmp_table_7_2_r!I$2:I$900,uwmp_table_7_2_r!$F$2:$F$900,"Demand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222310</v>
      </c>
      <c r="E18" s="146">
        <f>IFERROR(AVERAGEIFS(uwmp_table_7_2_w!J$2:J$900,uwmp_table_7_2_w!$F$2:$F$900,"Demand totals",uwmp_table_7_2_w!$B$2:$B$900,'Contractor Assumptions'!$F21),0) + IFERROR(AVERAGEIFS(uwmp_table_7_2_r!J$2:J$900,uwmp_table_7_2_r!$F$2:$F$900,"Demand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231876</v>
      </c>
      <c r="F18" s="146">
        <f>IFERROR(AVERAGEIFS(uwmp_table_7_2_w!K$2:K$900,uwmp_table_7_2_w!$F$2:$F$900,"Demand totals",uwmp_table_7_2_w!$B$2:$B$900,'Contractor Assumptions'!$F21),0) + IFERROR(AVERAGEIFS(uwmp_table_7_2_r!K$2:K$900,uwmp_table_7_2_r!$F$2:$F$900,"Demand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241447</v>
      </c>
      <c r="G18" s="40"/>
      <c r="K18" s="56" t="str">
        <f>'Contractor Assumptions'!B21</f>
        <v>City of Fresno</v>
      </c>
      <c r="L18" s="163">
        <f>(SUM('Demand Assumptions'!D274,'Demand Assumptions'!D320,'Demand Assumptions'!D366,'Demand Assumptions'!D412,'Demand Assumptions'!D504)/(1-0.05)) - SUM('Demand Assumptions'!D274,'Demand Assumptions'!D320,'Demand Assumptions'!D366,'Demand Assumptions'!D412,'Demand Assumptions'!D504)</f>
        <v>6642.473684210534</v>
      </c>
      <c r="M18" s="163">
        <f>(SUM('Demand Assumptions'!E274,'Demand Assumptions'!E320,'Demand Assumptions'!E366,'Demand Assumptions'!E412,'Demand Assumptions'!E504)/(1-0.05)) - SUM('Demand Assumptions'!E274,'Demand Assumptions'!E320,'Demand Assumptions'!E366,'Demand Assumptions'!E412,'Demand Assumptions'!E504)</f>
        <v>7171.3684210526408</v>
      </c>
      <c r="N18" s="163">
        <f>(SUM('Demand Assumptions'!F274,'Demand Assumptions'!F320,'Demand Assumptions'!F366,'Demand Assumptions'!F412,'Demand Assumptions'!F504)/(1-0.05)) - SUM('Demand Assumptions'!F274,'Demand Assumptions'!F320,'Demand Assumptions'!F366,'Demand Assumptions'!F412,'Demand Assumptions'!F504)</f>
        <v>7505.3684210526408</v>
      </c>
      <c r="O18" s="163">
        <f>(SUM('Demand Assumptions'!G274,'Demand Assumptions'!G320,'Demand Assumptions'!G366,'Demand Assumptions'!G412,'Demand Assumptions'!G504)/(1-0.05)) - SUM('Demand Assumptions'!G274,'Demand Assumptions'!G320,'Demand Assumptions'!G366,'Demand Assumptions'!G412,'Demand Assumptions'!G504)</f>
        <v>7839.9473684210679</v>
      </c>
      <c r="P18" s="163">
        <f>(SUM('Demand Assumptions'!H274,'Demand Assumptions'!H320,'Demand Assumptions'!H366,'Demand Assumptions'!H412,'Demand Assumptions'!H504)/(1-0.05)) - SUM('Demand Assumptions'!H274,'Demand Assumptions'!H320,'Demand Assumptions'!H366,'Demand Assumptions'!H412,'Demand Assumptions'!H504)</f>
        <v>8174.7894736842136</v>
      </c>
      <c r="Q18" t="s">
        <v>1040</v>
      </c>
    </row>
    <row r="19" spans="1:17" x14ac:dyDescent="0.3">
      <c r="A19" s="39" t="str">
        <f t="shared" si="0"/>
        <v>City of Huron</v>
      </c>
      <c r="B19" s="470" t="s">
        <v>204</v>
      </c>
      <c r="C19" s="470" t="s">
        <v>204</v>
      </c>
      <c r="D19" s="470" t="s">
        <v>204</v>
      </c>
      <c r="E19" s="470" t="s">
        <v>204</v>
      </c>
      <c r="F19" s="470" t="s">
        <v>204</v>
      </c>
      <c r="G19" s="40"/>
      <c r="K19" s="56" t="str">
        <f>'Contractor Assumptions'!B22</f>
        <v>City of Huron</v>
      </c>
      <c r="L19" s="57" t="s">
        <v>204</v>
      </c>
      <c r="M19" s="57" t="s">
        <v>204</v>
      </c>
      <c r="N19" s="57" t="s">
        <v>204</v>
      </c>
      <c r="O19" s="57" t="s">
        <v>204</v>
      </c>
      <c r="P19" s="57" t="s">
        <v>204</v>
      </c>
    </row>
    <row r="20" spans="1:17" x14ac:dyDescent="0.3">
      <c r="A20" s="39" t="str">
        <f t="shared" si="0"/>
        <v>City of Lindsay</v>
      </c>
      <c r="B20" s="470" t="s">
        <v>204</v>
      </c>
      <c r="C20" s="470" t="s">
        <v>204</v>
      </c>
      <c r="D20" s="470" t="s">
        <v>204</v>
      </c>
      <c r="E20" s="470" t="s">
        <v>204</v>
      </c>
      <c r="F20" s="470" t="s">
        <v>204</v>
      </c>
      <c r="G20" s="40"/>
      <c r="K20" s="56" t="str">
        <f>'Contractor Assumptions'!B23</f>
        <v>City of Lindsay</v>
      </c>
      <c r="L20" s="57" t="s">
        <v>204</v>
      </c>
      <c r="M20" s="57" t="s">
        <v>204</v>
      </c>
      <c r="N20" s="57" t="s">
        <v>204</v>
      </c>
      <c r="O20" s="57" t="s">
        <v>204</v>
      </c>
      <c r="P20" s="57" t="s">
        <v>204</v>
      </c>
    </row>
    <row r="21" spans="1:17" x14ac:dyDescent="0.3">
      <c r="A21" s="39" t="str">
        <f t="shared" si="0"/>
        <v>City of Orange Cove</v>
      </c>
      <c r="B21" s="470" t="s">
        <v>204</v>
      </c>
      <c r="C21" s="470" t="s">
        <v>204</v>
      </c>
      <c r="D21" s="470" t="s">
        <v>204</v>
      </c>
      <c r="E21" s="470" t="s">
        <v>204</v>
      </c>
      <c r="F21" s="470" t="s">
        <v>204</v>
      </c>
      <c r="G21" s="40"/>
      <c r="K21" s="56" t="str">
        <f>'Contractor Assumptions'!B24</f>
        <v>City of Orange Cove</v>
      </c>
      <c r="L21" s="57" t="s">
        <v>204</v>
      </c>
      <c r="M21" s="57" t="s">
        <v>204</v>
      </c>
      <c r="N21" s="57" t="s">
        <v>204</v>
      </c>
      <c r="O21" s="57" t="s">
        <v>204</v>
      </c>
      <c r="P21" s="57" t="s">
        <v>204</v>
      </c>
    </row>
    <row r="22" spans="1:17" x14ac:dyDescent="0.3">
      <c r="A22" s="39" t="str">
        <f t="shared" si="0"/>
        <v>City of Tracy</v>
      </c>
      <c r="B22" s="146">
        <f>IFERROR(AVERAGEIFS(uwmp_table_7_2_w!G$2:G$900,uwmp_table_7_2_w!$F$2:$F$900,"Demand totals",uwmp_table_7_2_w!$B$2:$B$900,'Contractor Assumptions'!$F25),0) + IFERROR(AVERAGEIFS(uwmp_table_7_2_r!G$2:G$900,uwmp_table_7_2_r!$F$2:$F$900,"Demand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21508.62</v>
      </c>
      <c r="C22" s="146">
        <f>IFERROR(AVERAGEIFS(uwmp_table_7_2_w!H$2:H$900,uwmp_table_7_2_w!$F$2:$F$900,"Demand totals",uwmp_table_7_2_w!$B$2:$B$900,'Contractor Assumptions'!$F25),0) + IFERROR(AVERAGEIFS(uwmp_table_7_2_r!H$2:H$900,uwmp_table_7_2_r!$F$2:$F$900,"Demand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25167.38</v>
      </c>
      <c r="D22" s="146">
        <f>IFERROR(AVERAGEIFS(uwmp_table_7_2_w!I$2:I$900,uwmp_table_7_2_w!$F$2:$F$900,"Demand totals",uwmp_table_7_2_w!$B$2:$B$900,'Contractor Assumptions'!$F25),0) + IFERROR(AVERAGEIFS(uwmp_table_7_2_r!I$2:I$900,uwmp_table_7_2_r!$F$2:$F$900,"Demand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28870.85</v>
      </c>
      <c r="E22" s="146">
        <f>IFERROR(AVERAGEIFS(uwmp_table_7_2_w!J$2:J$900,uwmp_table_7_2_w!$F$2:$F$900,"Demand totals",uwmp_table_7_2_w!$B$2:$B$900,'Contractor Assumptions'!$F25),0) + IFERROR(AVERAGEIFS(uwmp_table_7_2_r!J$2:J$900,uwmp_table_7_2_r!$F$2:$F$900,"Demand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32603.439999999999</v>
      </c>
      <c r="F22" s="146">
        <f>IFERROR(AVERAGEIFS(uwmp_table_7_2_w!K$2:K$900,uwmp_table_7_2_w!$F$2:$F$900,"Demand totals",uwmp_table_7_2_w!$B$2:$B$900,'Contractor Assumptions'!$F25),0) + IFERROR(AVERAGEIFS(uwmp_table_7_2_r!K$2:K$900,uwmp_table_7_2_r!$F$2:$F$900,"Demand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39378.79</v>
      </c>
      <c r="G22" s="40"/>
      <c r="K22" s="56" t="str">
        <f>'Contractor Assumptions'!B25</f>
        <v>City of Tracy</v>
      </c>
      <c r="L22" s="163">
        <f>(SUM('Demand Assumptions'!D278,'Demand Assumptions'!D324,'Demand Assumptions'!D370,'Demand Assumptions'!D416,'Demand Assumptions'!D508)/(1-0.05)) - SUM('Demand Assumptions'!D278,'Demand Assumptions'!D324,'Demand Assumptions'!D370,'Demand Assumptions'!D416,'Demand Assumptions'!D508)</f>
        <v>975.77842105263335</v>
      </c>
      <c r="M22" s="163">
        <f>(SUM('Demand Assumptions'!E278,'Demand Assumptions'!E324,'Demand Assumptions'!E370,'Demand Assumptions'!E416,'Demand Assumptions'!E508)/(1-0.05)) - SUM('Demand Assumptions'!E278,'Demand Assumptions'!E324,'Demand Assumptions'!E370,'Demand Assumptions'!E416,'Demand Assumptions'!E508)</f>
        <v>1099.0915789473693</v>
      </c>
      <c r="N22" s="163">
        <f>(SUM('Demand Assumptions'!F278,'Demand Assumptions'!F324,'Demand Assumptions'!F370,'Demand Assumptions'!F416,'Demand Assumptions'!F508)/(1-0.05)) - SUM('Demand Assumptions'!F278,'Demand Assumptions'!F324,'Demand Assumptions'!F370,'Demand Assumptions'!F416,'Demand Assumptions'!F508)</f>
        <v>1224.5800000000017</v>
      </c>
      <c r="O22" s="163">
        <f>(SUM('Demand Assumptions'!G278,'Demand Assumptions'!G324,'Demand Assumptions'!G370,'Demand Assumptions'!G416,'Demand Assumptions'!G508)/(1-0.05)) - SUM('Demand Assumptions'!G278,'Demand Assumptions'!G324,'Demand Assumptions'!G370,'Demand Assumptions'!G416,'Demand Assumptions'!G508)</f>
        <v>1351.405789473687</v>
      </c>
      <c r="P22" s="163">
        <f>(SUM('Demand Assumptions'!H278,'Demand Assumptions'!H324,'Demand Assumptions'!H370,'Demand Assumptions'!H416,'Demand Assumptions'!H508)/(1-0.05)) - SUM('Demand Assumptions'!H278,'Demand Assumptions'!H324,'Demand Assumptions'!H370,'Demand Assumptions'!H416,'Demand Assumptions'!H508)</f>
        <v>1573.8542105263186</v>
      </c>
      <c r="Q22" t="s">
        <v>1040</v>
      </c>
    </row>
    <row r="23" spans="1:17" x14ac:dyDescent="0.3">
      <c r="A23" s="39" t="str">
        <f t="shared" si="0"/>
        <v>Kern County Water Agency</v>
      </c>
      <c r="B23" s="470" t="s">
        <v>204</v>
      </c>
      <c r="C23" s="470" t="s">
        <v>204</v>
      </c>
      <c r="D23" s="470" t="s">
        <v>204</v>
      </c>
      <c r="E23" s="470" t="s">
        <v>204</v>
      </c>
      <c r="F23" s="470" t="s">
        <v>204</v>
      </c>
      <c r="G23" s="40"/>
      <c r="K23" s="56" t="str">
        <f>'Contractor Assumptions'!B26</f>
        <v>Kern County Water Agency</v>
      </c>
      <c r="L23" s="57" t="s">
        <v>204</v>
      </c>
      <c r="M23" s="57" t="s">
        <v>204</v>
      </c>
      <c r="N23" s="57" t="s">
        <v>204</v>
      </c>
      <c r="O23" s="57" t="s">
        <v>204</v>
      </c>
      <c r="P23" s="57" t="s">
        <v>204</v>
      </c>
    </row>
    <row r="24" spans="1:17" x14ac:dyDescent="0.3">
      <c r="A24" s="39" t="str">
        <f t="shared" si="0"/>
        <v>Other Friant-Kern M&amp;I Contractors</v>
      </c>
      <c r="B24" s="470" t="s">
        <v>204</v>
      </c>
      <c r="C24" s="470" t="s">
        <v>204</v>
      </c>
      <c r="D24" s="470" t="s">
        <v>204</v>
      </c>
      <c r="E24" s="470" t="s">
        <v>204</v>
      </c>
      <c r="F24" s="470" t="s">
        <v>204</v>
      </c>
      <c r="G24" s="40"/>
      <c r="K24" s="56" t="str">
        <f>'Contractor Assumptions'!B27</f>
        <v>Other Friant-Kern M&amp;I Contractors</v>
      </c>
      <c r="L24" s="57" t="s">
        <v>204</v>
      </c>
      <c r="M24" s="57" t="s">
        <v>204</v>
      </c>
      <c r="N24" s="57" t="s">
        <v>204</v>
      </c>
      <c r="O24" s="57" t="s">
        <v>204</v>
      </c>
      <c r="P24" s="57" t="s">
        <v>204</v>
      </c>
    </row>
    <row r="25" spans="1:17" x14ac:dyDescent="0.3">
      <c r="A25" s="39" t="str">
        <f t="shared" si="0"/>
        <v>Stockton-East Water District</v>
      </c>
      <c r="B25" s="146">
        <v>82340</v>
      </c>
      <c r="C25" s="146">
        <v>86558</v>
      </c>
      <c r="D25" s="470" t="s">
        <v>204</v>
      </c>
      <c r="E25" s="470" t="s">
        <v>204</v>
      </c>
      <c r="F25" s="470" t="s">
        <v>204</v>
      </c>
      <c r="G25" s="40" t="s">
        <v>1050</v>
      </c>
      <c r="K25" s="56" t="str">
        <f>'Contractor Assumptions'!B28</f>
        <v>Stockton-East Water District</v>
      </c>
      <c r="L25" s="163">
        <f>(SUM('Demand Assumptions'!D281,'Demand Assumptions'!D327,'Demand Assumptions'!D373,'Demand Assumptions'!D419,'Demand Assumptions'!D511)/(1-0.05)) - SUM('Demand Assumptions'!D281,'Demand Assumptions'!D327,'Demand Assumptions'!D373,'Demand Assumptions'!D419,'Demand Assumptions'!D511)</f>
        <v>2755.1578947368471</v>
      </c>
      <c r="M25" s="163">
        <f>(SUM('Demand Assumptions'!E281,'Demand Assumptions'!E327,'Demand Assumptions'!E373,'Demand Assumptions'!E419,'Demand Assumptions'!E511)/(1-0.05)) - SUM('Demand Assumptions'!E281,'Demand Assumptions'!E327,'Demand Assumptions'!E373,'Demand Assumptions'!E419,'Demand Assumptions'!E511)</f>
        <v>2895.2105263157937</v>
      </c>
      <c r="N25" s="163">
        <f>(SUM('Demand Assumptions'!F281,'Demand Assumptions'!F327,'Demand Assumptions'!F373,'Demand Assumptions'!F419,'Demand Assumptions'!F511)/(1-0.05)) - SUM('Demand Assumptions'!F281,'Demand Assumptions'!F327,'Demand Assumptions'!F373,'Demand Assumptions'!F419,'Demand Assumptions'!F511)</f>
        <v>3147.7894736842136</v>
      </c>
      <c r="O25" s="163">
        <f>(SUM('Demand Assumptions'!G281,'Demand Assumptions'!G327,'Demand Assumptions'!G373,'Demand Assumptions'!G419,'Demand Assumptions'!G511)/(1-0.05)) - SUM('Demand Assumptions'!G281,'Demand Assumptions'!G327,'Demand Assumptions'!G373,'Demand Assumptions'!G419,'Demand Assumptions'!G511)</f>
        <v>3398.7894736842136</v>
      </c>
      <c r="P25" s="163">
        <f>(SUM('Demand Assumptions'!H281,'Demand Assumptions'!H327,'Demand Assumptions'!H373,'Demand Assumptions'!H419,'Demand Assumptions'!H511)/(1-0.05)) - SUM('Demand Assumptions'!H281,'Demand Assumptions'!H327,'Demand Assumptions'!H373,'Demand Assumptions'!H419,'Demand Assumptions'!H511)</f>
        <v>3399.6315789473738</v>
      </c>
    </row>
    <row r="26" spans="1:17" x14ac:dyDescent="0.3">
      <c r="A26" s="39" t="str">
        <f t="shared" si="0"/>
        <v>Alameda County Flood Control and Water Conservation District, Zone 7</v>
      </c>
      <c r="B26" s="146">
        <f>IFERROR(AVERAGEIFS(uwmp_table_7_2_w!G$2:G$900,uwmp_table_7_2_w!$F$2:$F$900,"Demand totals",uwmp_table_7_2_w!$B$2:$B$900,'Contractor Assumptions'!$F29),0) + IFERROR(AVERAGEIFS(uwmp_table_7_2_r!G$2:G$900,uwmp_table_7_2_r!$F$2:$F$900,"Demand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50300</v>
      </c>
      <c r="C26" s="146">
        <f>IFERROR(AVERAGEIFS(uwmp_table_7_2_w!H$2:H$900,uwmp_table_7_2_w!$F$2:$F$900,"Demand totals",uwmp_table_7_2_w!$B$2:$B$900,'Contractor Assumptions'!$F29),0) + IFERROR(AVERAGEIFS(uwmp_table_7_2_r!H$2:H$900,uwmp_table_7_2_r!$F$2:$F$900,"Demand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52800</v>
      </c>
      <c r="D26" s="146">
        <f>IFERROR(AVERAGEIFS(uwmp_table_7_2_w!I$2:I$900,uwmp_table_7_2_w!$F$2:$F$900,"Demand totals",uwmp_table_7_2_w!$B$2:$B$900,'Contractor Assumptions'!$F29),0) + IFERROR(AVERAGEIFS(uwmp_table_7_2_r!I$2:I$900,uwmp_table_7_2_r!$F$2:$F$900,"Demand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53800</v>
      </c>
      <c r="E26" s="146">
        <f>IFERROR(AVERAGEIFS(uwmp_table_7_2_w!J$2:J$900,uwmp_table_7_2_w!$F$2:$F$900,"Demand totals",uwmp_table_7_2_w!$B$2:$B$900,'Contractor Assumptions'!$F29),0) + IFERROR(AVERAGEIFS(uwmp_table_7_2_r!J$2:J$900,uwmp_table_7_2_r!$F$2:$F$900,"Demand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55300</v>
      </c>
      <c r="F26" s="146">
        <f>IFERROR(AVERAGEIFS(uwmp_table_7_2_w!K$2:K$900,uwmp_table_7_2_w!$F$2:$F$900,"Demand totals",uwmp_table_7_2_w!$B$2:$B$900,'Contractor Assumptions'!$F29),0) + IFERROR(AVERAGEIFS(uwmp_table_7_2_r!K$2:K$900,uwmp_table_7_2_r!$F$2:$F$900,"Demand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55300</v>
      </c>
      <c r="G26" s="40" t="s">
        <v>1051</v>
      </c>
      <c r="K26" s="56" t="str">
        <f>'Contractor Assumptions'!B29</f>
        <v>Alameda County Flood Control and Water Conservation District, Zone 7</v>
      </c>
      <c r="L26" s="163">
        <f>(SUM('Demand Assumptions'!D282,'Demand Assumptions'!D328,'Demand Assumptions'!D374,'Demand Assumptions'!D420,'Demand Assumptions'!D512)/(1-0.05)) - SUM('Demand Assumptions'!D282,'Demand Assumptions'!D328,'Demand Assumptions'!D374,'Demand Assumptions'!D420,'Demand Assumptions'!D512)</f>
        <v>2151.6490161842157</v>
      </c>
      <c r="M26" s="163">
        <f>(SUM('Demand Assumptions'!E282,'Demand Assumptions'!E328,'Demand Assumptions'!E374,'Demand Assumptions'!E420,'Demand Assumptions'!E512)/(1-0.05)) - SUM('Demand Assumptions'!E282,'Demand Assumptions'!E328,'Demand Assumptions'!E374,'Demand Assumptions'!E420,'Demand Assumptions'!E512)</f>
        <v>2254.8865572552677</v>
      </c>
      <c r="N26" s="163">
        <f>(SUM('Demand Assumptions'!F282,'Demand Assumptions'!F328,'Demand Assumptions'!F374,'Demand Assumptions'!F420,'Demand Assumptions'!F512)/(1-0.05)) - SUM('Demand Assumptions'!F282,'Demand Assumptions'!F328,'Demand Assumptions'!F374,'Demand Assumptions'!F420,'Demand Assumptions'!F512)</f>
        <v>2316.7030456947396</v>
      </c>
      <c r="O26" s="163">
        <f>(SUM('Demand Assumptions'!G282,'Demand Assumptions'!G328,'Demand Assumptions'!G374,'Demand Assumptions'!G420,'Demand Assumptions'!G512)/(1-0.05)) - SUM('Demand Assumptions'!G282,'Demand Assumptions'!G328,'Demand Assumptions'!G374,'Demand Assumptions'!G420,'Demand Assumptions'!G512)</f>
        <v>2360.8280722552663</v>
      </c>
      <c r="P26" s="163">
        <f>(SUM('Demand Assumptions'!H282,'Demand Assumptions'!H328,'Demand Assumptions'!H374,'Demand Assumptions'!H420,'Demand Assumptions'!H512)/(1-0.05)) - SUM('Demand Assumptions'!H282,'Demand Assumptions'!H328,'Demand Assumptions'!H374,'Demand Assumptions'!H420,'Demand Assumptions'!H512)</f>
        <v>2375.0912301499993</v>
      </c>
    </row>
    <row r="27" spans="1:17" x14ac:dyDescent="0.3">
      <c r="A27" s="39" t="str">
        <f t="shared" si="0"/>
        <v>Alameda County Water District</v>
      </c>
      <c r="B27" s="146">
        <f>IFERROR(AVERAGEIFS(uwmp_table_7_2_w!G$2:G$900,uwmp_table_7_2_w!$F$2:$F$900,"Demand totals",uwmp_table_7_2_w!$B$2:$B$900,'Contractor Assumptions'!$F30),0) + IFERROR(AVERAGEIFS(uwmp_table_7_2_r!G$2:G$900,uwmp_table_7_2_r!$F$2:$F$900,"Demand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60900</v>
      </c>
      <c r="C27" s="146">
        <f>IFERROR(AVERAGEIFS(uwmp_table_7_2_w!H$2:H$900,uwmp_table_7_2_w!$F$2:$F$900,"Demand totals",uwmp_table_7_2_w!$B$2:$B$900,'Contractor Assumptions'!$F30),0) + IFERROR(AVERAGEIFS(uwmp_table_7_2_r!H$2:H$900,uwmp_table_7_2_r!$F$2:$F$900,"Demand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60400</v>
      </c>
      <c r="D27" s="146">
        <f>IFERROR(AVERAGEIFS(uwmp_table_7_2_w!I$2:I$900,uwmp_table_7_2_w!$F$2:$F$900,"Demand totals",uwmp_table_7_2_w!$B$2:$B$900,'Contractor Assumptions'!$F30),0) + IFERROR(AVERAGEIFS(uwmp_table_7_2_r!I$2:I$900,uwmp_table_7_2_r!$F$2:$F$900,"Demand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60100</v>
      </c>
      <c r="E27" s="146">
        <f>IFERROR(AVERAGEIFS(uwmp_table_7_2_w!J$2:J$900,uwmp_table_7_2_w!$F$2:$F$900,"Demand totals",uwmp_table_7_2_w!$B$2:$B$900,'Contractor Assumptions'!$F30),0) + IFERROR(AVERAGEIFS(uwmp_table_7_2_r!J$2:J$900,uwmp_table_7_2_r!$F$2:$F$900,"Demand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60200</v>
      </c>
      <c r="F27" s="146">
        <f>IFERROR(AVERAGEIFS(uwmp_table_7_2_w!K$2:K$900,uwmp_table_7_2_w!$F$2:$F$900,"Demand totals",uwmp_table_7_2_w!$B$2:$B$900,'Contractor Assumptions'!$F30),0) + IFERROR(AVERAGEIFS(uwmp_table_7_2_r!K$2:K$900,uwmp_table_7_2_r!$F$2:$F$900,"Demand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67500</v>
      </c>
      <c r="G27" s="40"/>
      <c r="K27" s="56" t="str">
        <f>'Contractor Assumptions'!B30</f>
        <v>Alameda County Water District</v>
      </c>
      <c r="L27" s="163">
        <f>(SUM('Demand Assumptions'!D283,'Demand Assumptions'!D329,'Demand Assumptions'!D375,'Demand Assumptions'!D421,'Demand Assumptions'!D513)/(1-0.05)) - SUM('Demand Assumptions'!D283,'Demand Assumptions'!D329,'Demand Assumptions'!D375,'Demand Assumptions'!D421,'Demand Assumptions'!D513)</f>
        <v>2136.8421052631602</v>
      </c>
      <c r="M27" s="163">
        <f>(SUM('Demand Assumptions'!E283,'Demand Assumptions'!E329,'Demand Assumptions'!E375,'Demand Assumptions'!E421,'Demand Assumptions'!E513)/(1-0.05)) - SUM('Demand Assumptions'!E283,'Demand Assumptions'!E329,'Demand Assumptions'!E375,'Demand Assumptions'!E421,'Demand Assumptions'!E513)</f>
        <v>2115.7894736842136</v>
      </c>
      <c r="N27" s="163">
        <f>(SUM('Demand Assumptions'!F283,'Demand Assumptions'!F329,'Demand Assumptions'!F375,'Demand Assumptions'!F421,'Demand Assumptions'!F513)/(1-0.05)) - SUM('Demand Assumptions'!F283,'Demand Assumptions'!F329,'Demand Assumptions'!F375,'Demand Assumptions'!F421,'Demand Assumptions'!F513)</f>
        <v>2105.2631578947403</v>
      </c>
      <c r="O27" s="163">
        <f>(SUM('Demand Assumptions'!G283,'Demand Assumptions'!G329,'Demand Assumptions'!G375,'Demand Assumptions'!G421,'Demand Assumptions'!G513)/(1-0.05)) - SUM('Demand Assumptions'!G283,'Demand Assumptions'!G329,'Demand Assumptions'!G375,'Demand Assumptions'!G421,'Demand Assumptions'!G513)</f>
        <v>2110.5263157894733</v>
      </c>
      <c r="P27" s="163">
        <f>(SUM('Demand Assumptions'!H283,'Demand Assumptions'!H329,'Demand Assumptions'!H375,'Demand Assumptions'!H421,'Demand Assumptions'!H513)/(1-0.05)) - SUM('Demand Assumptions'!H283,'Demand Assumptions'!H329,'Demand Assumptions'!H375,'Demand Assumptions'!H421,'Demand Assumptions'!H513)</f>
        <v>2489.4736842105267</v>
      </c>
      <c r="Q27" t="s">
        <v>1040</v>
      </c>
    </row>
    <row r="28" spans="1:17" x14ac:dyDescent="0.3">
      <c r="A28" s="39" t="str">
        <f t="shared" si="0"/>
        <v>Contra Costa Water District</v>
      </c>
      <c r="B28" s="146">
        <f>IFERROR(AVERAGEIFS(uwmp_table_7_2_w!G$2:G$900,uwmp_table_7_2_w!$F$2:$F$900,"Demand totals",uwmp_table_7_2_w!$B$2:$B$900,'Contractor Assumptions'!$F31),0) + IFERROR(AVERAGEIFS(uwmp_table_7_2_r!G$2:G$900,uwmp_table_7_2_r!$F$2:$F$900,"Demand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238900</v>
      </c>
      <c r="C28" s="146">
        <f>IFERROR(AVERAGEIFS(uwmp_table_7_2_w!H$2:H$900,uwmp_table_7_2_w!$F$2:$F$900,"Demand totals",uwmp_table_7_2_w!$B$2:$B$900,'Contractor Assumptions'!$F31),0) + IFERROR(AVERAGEIFS(uwmp_table_7_2_r!H$2:H$900,uwmp_table_7_2_r!$F$2:$F$900,"Demand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255900</v>
      </c>
      <c r="D28" s="146">
        <f>IFERROR(AVERAGEIFS(uwmp_table_7_2_w!I$2:I$900,uwmp_table_7_2_w!$F$2:$F$900,"Demand totals",uwmp_table_7_2_w!$B$2:$B$900,'Contractor Assumptions'!$F31),0) + IFERROR(AVERAGEIFS(uwmp_table_7_2_r!I$2:I$900,uwmp_table_7_2_r!$F$2:$F$900,"Demand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267400</v>
      </c>
      <c r="E28" s="146">
        <f>IFERROR(AVERAGEIFS(uwmp_table_7_2_w!J$2:J$900,uwmp_table_7_2_w!$F$2:$F$900,"Demand totals",uwmp_table_7_2_w!$B$2:$B$900,'Contractor Assumptions'!$F31),0) + IFERROR(AVERAGEIFS(uwmp_table_7_2_r!J$2:J$900,uwmp_table_7_2_r!$F$2:$F$900,"Demand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277400</v>
      </c>
      <c r="F28" s="146">
        <f>IFERROR(AVERAGEIFS(uwmp_table_7_2_w!K$2:K$900,uwmp_table_7_2_w!$F$2:$F$900,"Demand totals",uwmp_table_7_2_w!$B$2:$B$900,'Contractor Assumptions'!$F31),0) + IFERROR(AVERAGEIFS(uwmp_table_7_2_r!K$2:K$900,uwmp_table_7_2_r!$F$2:$F$900,"Demand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283600</v>
      </c>
      <c r="G28" s="40"/>
      <c r="K28" s="56" t="str">
        <f>'Contractor Assumptions'!B31</f>
        <v>Contra Costa Water District</v>
      </c>
      <c r="L28" s="163">
        <v>2550</v>
      </c>
      <c r="M28" s="163">
        <v>4200</v>
      </c>
      <c r="N28" s="163">
        <v>5540</v>
      </c>
      <c r="O28" s="163">
        <v>6540</v>
      </c>
      <c r="P28" s="163">
        <v>7310</v>
      </c>
      <c r="Q28" t="s">
        <v>1052</v>
      </c>
    </row>
    <row r="29" spans="1:17" x14ac:dyDescent="0.3">
      <c r="A29" s="39" t="str">
        <f t="shared" si="0"/>
        <v>East Bay Municipal Utilities District</v>
      </c>
      <c r="B29" s="146">
        <f>IFERROR(AVERAGEIFS(uwmp_table_7_2_w!G$2:G$900,uwmp_table_7_2_w!$F$2:$F$900,"Demand totals",uwmp_table_7_2_w!$B$2:$B$900,'Contractor Assumptions'!$F32),0) + IFERROR(AVERAGEIFS(uwmp_table_7_2_r!G$2:G$900,uwmp_table_7_2_r!$F$2:$F$900,"Demand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218971.28587319999</v>
      </c>
      <c r="C29" s="146">
        <f>IFERROR(AVERAGEIFS(uwmp_table_7_2_w!H$2:H$900,uwmp_table_7_2_w!$F$2:$F$900,"Demand totals",uwmp_table_7_2_w!$B$2:$B$900,'Contractor Assumptions'!$F32),0) + IFERROR(AVERAGEIFS(uwmp_table_7_2_r!H$2:H$900,uwmp_table_7_2_r!$F$2:$F$900,"Demand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226971.87649815</v>
      </c>
      <c r="D29" s="146">
        <f>IFERROR(AVERAGEIFS(uwmp_table_7_2_w!I$2:I$900,uwmp_table_7_2_w!$F$2:$F$900,"Demand totals",uwmp_table_7_2_w!$B$2:$B$900,'Contractor Assumptions'!$F32),0) + IFERROR(AVERAGEIFS(uwmp_table_7_2_r!I$2:I$900,uwmp_table_7_2_r!$F$2:$F$900,"Demand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235113.63596419999</v>
      </c>
      <c r="E29" s="146">
        <f>IFERROR(AVERAGEIFS(uwmp_table_7_2_w!J$2:J$900,uwmp_table_7_2_w!$F$2:$F$900,"Demand totals",uwmp_table_7_2_w!$B$2:$B$900,'Contractor Assumptions'!$F32),0) + IFERROR(AVERAGEIFS(uwmp_table_7_2_r!J$2:J$900,uwmp_table_7_2_r!$F$2:$F$900,"Demand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247257.22518665</v>
      </c>
      <c r="F29" s="146">
        <f>IFERROR(AVERAGEIFS(uwmp_table_7_2_w!K$2:K$900,uwmp_table_7_2_w!$F$2:$F$900,"Demand totals",uwmp_table_7_2_w!$B$2:$B$900,'Contractor Assumptions'!$F32),0) + IFERROR(AVERAGEIFS(uwmp_table_7_2_r!K$2:K$900,uwmp_table_7_2_r!$F$2:$F$900,"Demand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256218.37770864999</v>
      </c>
      <c r="G29" s="40"/>
      <c r="K29" s="56" t="str">
        <f>'Contractor Assumptions'!B32</f>
        <v>East Bay Municipal Utilities District</v>
      </c>
      <c r="L29" s="192">
        <f>(SUM('Demand Assumptions'!D285,'Demand Assumptions'!D331,'Demand Assumptions'!D377,'Demand Assumptions'!D423,'Demand Assumptions'!D515)/(1-0.05)) - SUM('Demand Assumptions'!D285,'Demand Assumptions'!D331,'Demand Assumptions'!D377,'Demand Assumptions'!D423,'Demand Assumptions'!D515)</f>
        <v>0</v>
      </c>
      <c r="M29" s="192">
        <f>(SUM('Demand Assumptions'!E285,'Demand Assumptions'!E331,'Demand Assumptions'!E377,'Demand Assumptions'!E423,'Demand Assumptions'!E515)/(1-0.05)) - SUM('Demand Assumptions'!E285,'Demand Assumptions'!E331,'Demand Assumptions'!E377,'Demand Assumptions'!E423,'Demand Assumptions'!E515)</f>
        <v>0</v>
      </c>
      <c r="N29" s="192">
        <f>(SUM('Demand Assumptions'!F285,'Demand Assumptions'!F331,'Demand Assumptions'!F377,'Demand Assumptions'!F423,'Demand Assumptions'!F515)/(1-0.05)) - SUM('Demand Assumptions'!F285,'Demand Assumptions'!F331,'Demand Assumptions'!F377,'Demand Assumptions'!F423,'Demand Assumptions'!F515)</f>
        <v>0</v>
      </c>
      <c r="O29" s="192">
        <f>(SUM('Demand Assumptions'!G285,'Demand Assumptions'!G331,'Demand Assumptions'!G377,'Demand Assumptions'!G423,'Demand Assumptions'!G515)/(1-0.05)) - SUM('Demand Assumptions'!G285,'Demand Assumptions'!G331,'Demand Assumptions'!G377,'Demand Assumptions'!G423,'Demand Assumptions'!G515)</f>
        <v>0</v>
      </c>
      <c r="P29" s="192">
        <f>(SUM('Demand Assumptions'!H285,'Demand Assumptions'!H331,'Demand Assumptions'!H377,'Demand Assumptions'!H423,'Demand Assumptions'!H515)/(1-0.05)) - SUM('Demand Assumptions'!H285,'Demand Assumptions'!H331,'Demand Assumptions'!H377,'Demand Assumptions'!H423,'Demand Assumptions'!H515)</f>
        <v>0</v>
      </c>
    </row>
    <row r="30" spans="1:17" x14ac:dyDescent="0.3">
      <c r="A30" s="39" t="str">
        <f t="shared" si="0"/>
        <v>San Benito County Water District, Zone 6</v>
      </c>
      <c r="B30" s="146">
        <f>IFERROR(AVERAGEIFS(uwmp_table_7_2_w!G$2:G$900,uwmp_table_7_2_w!$F$2:$F$900,"Demand totals",uwmp_table_7_2_w!$B$2:$B$900,'Contractor Assumptions'!$F33),0) + IFERROR(AVERAGEIFS(uwmp_table_7_2_r!G$2:G$900,uwmp_table_7_2_r!$F$2:$F$900,"Demand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C30" s="146">
        <f>IFERROR(AVERAGEIFS(uwmp_table_7_2_w!H$2:H$900,uwmp_table_7_2_w!$F$2:$F$900,"Demand totals",uwmp_table_7_2_w!$B$2:$B$900,'Contractor Assumptions'!$F33),0) + IFERROR(AVERAGEIFS(uwmp_table_7_2_r!H$2:H$900,uwmp_table_7_2_r!$F$2:$F$900,"Demand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D30" s="146">
        <f>IFERROR(AVERAGEIFS(uwmp_table_7_2_w!I$2:I$900,uwmp_table_7_2_w!$F$2:$F$900,"Demand totals",uwmp_table_7_2_w!$B$2:$B$900,'Contractor Assumptions'!$F33),0) + IFERROR(AVERAGEIFS(uwmp_table_7_2_r!I$2:I$900,uwmp_table_7_2_r!$F$2:$F$900,"Demand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E30" s="146">
        <f>IFERROR(AVERAGEIFS(uwmp_table_7_2_w!J$2:J$900,uwmp_table_7_2_w!$F$2:$F$900,"Demand totals",uwmp_table_7_2_w!$B$2:$B$900,'Contractor Assumptions'!$F33),0) + IFERROR(AVERAGEIFS(uwmp_table_7_2_r!J$2:J$900,uwmp_table_7_2_r!$F$2:$F$900,"Demand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F30" s="146">
        <f>E30</f>
        <v>6765</v>
      </c>
      <c r="G30" s="40" t="s">
        <v>1053</v>
      </c>
      <c r="K30" s="56" t="str">
        <f>'Contractor Assumptions'!B33</f>
        <v>San Benito County Water District, Zone 6</v>
      </c>
      <c r="L30" s="163">
        <f>(SUM('Demand Assumptions'!D286,'Demand Assumptions'!D332,'Demand Assumptions'!D378,'Demand Assumptions'!D424,'Demand Assumptions'!D516)/(1-0.05)) - SUM('Demand Assumptions'!D286,'Demand Assumptions'!D332,'Demand Assumptions'!D378,'Demand Assumptions'!D424,'Demand Assumptions'!D516)</f>
        <v>340.05263157894751</v>
      </c>
      <c r="M30" s="163">
        <f>(SUM('Demand Assumptions'!E286,'Demand Assumptions'!E332,'Demand Assumptions'!E378,'Demand Assumptions'!E424,'Demand Assumptions'!E516)/(1-0.05)) - SUM('Demand Assumptions'!E286,'Demand Assumptions'!E332,'Demand Assumptions'!E378,'Demand Assumptions'!E424,'Demand Assumptions'!E516)</f>
        <v>402.15789473684254</v>
      </c>
      <c r="N30" s="163">
        <f>(SUM('Demand Assumptions'!F286,'Demand Assumptions'!F332,'Demand Assumptions'!F378,'Demand Assumptions'!F424,'Demand Assumptions'!F516)/(1-0.05)) - SUM('Demand Assumptions'!F286,'Demand Assumptions'!F332,'Demand Assumptions'!F378,'Demand Assumptions'!F424,'Demand Assumptions'!F516)</f>
        <v>472.4210526315801</v>
      </c>
      <c r="O30" s="163">
        <f>(SUM('Demand Assumptions'!G286,'Demand Assumptions'!G332,'Demand Assumptions'!G378,'Demand Assumptions'!G424,'Demand Assumptions'!G516)/(1-0.05)) - SUM('Demand Assumptions'!G286,'Demand Assumptions'!G332,'Demand Assumptions'!G378,'Demand Assumptions'!G424,'Demand Assumptions'!G516)</f>
        <v>544.73684210526335</v>
      </c>
      <c r="P30" s="163">
        <f>(SUM('Demand Assumptions'!H286,'Demand Assumptions'!H332,'Demand Assumptions'!H378,'Demand Assumptions'!H424,'Demand Assumptions'!H516)/(1-0.05)) - SUM('Demand Assumptions'!H286,'Demand Assumptions'!H332,'Demand Assumptions'!H378,'Demand Assumptions'!H424,'Demand Assumptions'!H516)</f>
        <v>544.73684210526335</v>
      </c>
    </row>
    <row r="31" spans="1:17" x14ac:dyDescent="0.3">
      <c r="A31" s="39" t="str">
        <f t="shared" si="0"/>
        <v>Santa Clara Valley Water District</v>
      </c>
      <c r="B31" s="146">
        <f>IFERROR(AVERAGEIFS(uwmp_table_7_2_w!G$2:G$900,uwmp_table_7_2_w!$F$2:$F$900,"Demand totals",uwmp_table_7_2_w!$B$2:$B$900,'Contractor Assumptions'!$F34),0) + IFERROR(AVERAGEIFS(uwmp_table_7_2_r!G$2:G$900,uwmp_table_7_2_r!$F$2:$F$900,"Demand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331900</v>
      </c>
      <c r="C31" s="146">
        <f>IFERROR(AVERAGEIFS(uwmp_table_7_2_w!H$2:H$900,uwmp_table_7_2_w!$F$2:$F$900,"Demand totals",uwmp_table_7_2_w!$B$2:$B$900,'Contractor Assumptions'!$F34),0) + IFERROR(AVERAGEIFS(uwmp_table_7_2_r!H$2:H$900,uwmp_table_7_2_r!$F$2:$F$900,"Demand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323800</v>
      </c>
      <c r="D31" s="146">
        <f>IFERROR(AVERAGEIFS(uwmp_table_7_2_w!I$2:I$900,uwmp_table_7_2_w!$F$2:$F$900,"Demand totals",uwmp_table_7_2_w!$B$2:$B$900,'Contractor Assumptions'!$F34),0) + IFERROR(AVERAGEIFS(uwmp_table_7_2_r!I$2:I$900,uwmp_table_7_2_r!$F$2:$F$900,"Demand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328100</v>
      </c>
      <c r="E31" s="146">
        <f>IFERROR(AVERAGEIFS(uwmp_table_7_2_w!J$2:J$900,uwmp_table_7_2_w!$F$2:$F$900,"Demand totals",uwmp_table_7_2_w!$B$2:$B$900,'Contractor Assumptions'!$F34),0) + IFERROR(AVERAGEIFS(uwmp_table_7_2_r!J$2:J$900,uwmp_table_7_2_r!$F$2:$F$900,"Demand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333400</v>
      </c>
      <c r="F31" s="146">
        <f>IFERROR(AVERAGEIFS(uwmp_table_7_2_w!K$2:K$900,uwmp_table_7_2_w!$F$2:$F$900,"Demand totals",uwmp_table_7_2_w!$B$2:$B$900,'Contractor Assumptions'!$F34),0) + IFERROR(AVERAGEIFS(uwmp_table_7_2_r!K$2:K$900,uwmp_table_7_2_r!$F$2:$F$900,"Demand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342000</v>
      </c>
      <c r="G31" s="40"/>
      <c r="K31" s="56" t="str">
        <f>'Contractor Assumptions'!B34</f>
        <v>Santa Clara Valley Water District</v>
      </c>
      <c r="L31" s="163">
        <v>40000</v>
      </c>
      <c r="M31" s="163">
        <v>53000</v>
      </c>
      <c r="N31" s="163">
        <v>58000</v>
      </c>
      <c r="O31" s="163">
        <v>62000</v>
      </c>
      <c r="P31" s="163">
        <v>62000</v>
      </c>
      <c r="Q31" t="s">
        <v>1054</v>
      </c>
    </row>
    <row r="32" spans="1:17" x14ac:dyDescent="0.3">
      <c r="A32" s="39" t="str">
        <f t="shared" si="0"/>
        <v>San Luis Obispo County Flood Control &amp; Water Conservation District</v>
      </c>
      <c r="B32" s="146">
        <f>IFERROR(AVERAGEIFS(uwmp_table_7_2_w!G$2:G$900,uwmp_table_7_2_w!$F$2:$F$900,"Demand totals",uwmp_table_7_2_w!$B$2:$B$900,'Contractor Assumptions'!$F35),0) + IFERROR(AVERAGEIFS(uwmp_table_7_2_r!G$2:G$900,uwmp_table_7_2_r!$F$2:$F$900,"Demand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C32" s="146">
        <f>IFERROR(AVERAGEIFS(uwmp_table_7_2_w!H$2:H$900,uwmp_table_7_2_w!$F$2:$F$900,"Demand totals",uwmp_table_7_2_w!$B$2:$B$900,'Contractor Assumptions'!$F35),0) + IFERROR(AVERAGEIFS(uwmp_table_7_2_r!H$2:H$900,uwmp_table_7_2_r!$F$2:$F$900,"Demand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D32" s="146">
        <f>IFERROR(AVERAGEIFS(uwmp_table_7_2_w!I$2:I$900,uwmp_table_7_2_w!$F$2:$F$900,"Demand totals",uwmp_table_7_2_w!$B$2:$B$900,'Contractor Assumptions'!$F35),0) + IFERROR(AVERAGEIFS(uwmp_table_7_2_r!I$2:I$900,uwmp_table_7_2_r!$F$2:$F$900,"Demand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E32" s="146">
        <f>IFERROR(AVERAGEIFS(uwmp_table_7_2_w!J$2:J$900,uwmp_table_7_2_w!$F$2:$F$900,"Demand totals",uwmp_table_7_2_w!$B$2:$B$900,'Contractor Assumptions'!$F35),0) + IFERROR(AVERAGEIFS(uwmp_table_7_2_r!J$2:J$900,uwmp_table_7_2_r!$F$2:$F$900,"Demand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F32" s="146">
        <f>IFERROR(AVERAGEIFS(uwmp_table_7_2_w!K$2:K$900,uwmp_table_7_2_w!$F$2:$F$900,"Demand totals",uwmp_table_7_2_w!$B$2:$B$900,'Contractor Assumptions'!$F35),0) + IFERROR(AVERAGEIFS(uwmp_table_7_2_r!K$2:K$900,uwmp_table_7_2_r!$F$2:$F$900,"Demand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G32" s="186" t="s">
        <v>1055</v>
      </c>
      <c r="K32" s="56" t="str">
        <f>'Contractor Assumptions'!B35</f>
        <v>San Luis Obispo County Flood Control &amp; Water Conservation District</v>
      </c>
      <c r="L32" s="163">
        <f>(SUM('Demand Assumptions'!D288,'Demand Assumptions'!D334,'Demand Assumptions'!D380,'Demand Assumptions'!D426,'Demand Assumptions'!D518)/(1-0.05)) - SUM('Demand Assumptions'!D288,'Demand Assumptions'!D334,'Demand Assumptions'!D380,'Demand Assumptions'!D426,'Demand Assumptions'!D518)</f>
        <v>208</v>
      </c>
      <c r="M32" s="163">
        <f>(SUM('Demand Assumptions'!E288,'Demand Assumptions'!E334,'Demand Assumptions'!E380,'Demand Assumptions'!E426,'Demand Assumptions'!E518)/(1-0.05)) - SUM('Demand Assumptions'!E288,'Demand Assumptions'!E334,'Demand Assumptions'!E380,'Demand Assumptions'!E426,'Demand Assumptions'!E518)</f>
        <v>213.63157894736833</v>
      </c>
      <c r="N32" s="163">
        <f>(SUM('Demand Assumptions'!F288,'Demand Assumptions'!F334,'Demand Assumptions'!F380,'Demand Assumptions'!F426,'Demand Assumptions'!F518)/(1-0.05)) - SUM('Demand Assumptions'!F288,'Demand Assumptions'!F334,'Demand Assumptions'!F380,'Demand Assumptions'!F426,'Demand Assumptions'!F518)</f>
        <v>219</v>
      </c>
      <c r="O32" s="163">
        <f>(SUM('Demand Assumptions'!G288,'Demand Assumptions'!G334,'Demand Assumptions'!G380,'Demand Assumptions'!G426,'Demand Assumptions'!G518)/(1-0.05)) - SUM('Demand Assumptions'!G288,'Demand Assumptions'!G334,'Demand Assumptions'!G380,'Demand Assumptions'!G426,'Demand Assumptions'!G518)</f>
        <v>224.52631578947421</v>
      </c>
      <c r="P32" s="163">
        <f>(SUM('Demand Assumptions'!H288,'Demand Assumptions'!H334,'Demand Assumptions'!H380,'Demand Assumptions'!H426,'Demand Assumptions'!H518)/(1-0.05)) - SUM('Demand Assumptions'!H288,'Demand Assumptions'!H334,'Demand Assumptions'!H380,'Demand Assumptions'!H426,'Demand Assumptions'!H518)</f>
        <v>230.10526315789502</v>
      </c>
    </row>
    <row r="33" spans="1:17" x14ac:dyDescent="0.3">
      <c r="A33" s="39" t="str">
        <f t="shared" si="0"/>
        <v>Santa Barbara County Flood Control &amp; Water Conservation District</v>
      </c>
      <c r="B33" s="470" t="s">
        <v>204</v>
      </c>
      <c r="C33" s="470" t="s">
        <v>204</v>
      </c>
      <c r="D33" s="470" t="s">
        <v>204</v>
      </c>
      <c r="E33" s="470" t="s">
        <v>204</v>
      </c>
      <c r="F33" s="470" t="s">
        <v>204</v>
      </c>
      <c r="G33" s="40"/>
      <c r="K33" s="56" t="str">
        <f>'Contractor Assumptions'!B36</f>
        <v>Santa Barbara County Flood Control &amp; Water Conservation District</v>
      </c>
      <c r="L33" s="57" t="s">
        <v>204</v>
      </c>
      <c r="M33" s="57" t="s">
        <v>204</v>
      </c>
      <c r="N33" s="57" t="s">
        <v>204</v>
      </c>
      <c r="O33" s="57" t="s">
        <v>204</v>
      </c>
      <c r="P33" s="57" t="s">
        <v>204</v>
      </c>
    </row>
    <row r="34" spans="1:17" x14ac:dyDescent="0.3">
      <c r="A34" s="39" t="str">
        <f t="shared" si="0"/>
        <v>Antelope Valley-East Kern Water Agency</v>
      </c>
      <c r="B34" s="146">
        <f>IFERROR(AVERAGEIFS(uwmp_table_7_2_w!G$2:G$900,uwmp_table_7_2_w!$F$2:$F$900,"Demand totals",uwmp_table_7_2_w!$B$2:$B$900,'Contractor Assumptions'!$F37),0) + IFERROR(AVERAGEIFS(uwmp_table_7_2_r!G$2:G$900,uwmp_table_7_2_r!$F$2:$F$900,"Demand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44440</v>
      </c>
      <c r="C34" s="146">
        <f>IFERROR(AVERAGEIFS(uwmp_table_7_2_w!H$2:H$900,uwmp_table_7_2_w!$F$2:$F$900,"Demand totals",uwmp_table_7_2_w!$B$2:$B$900,'Contractor Assumptions'!$F37),0) + IFERROR(AVERAGEIFS(uwmp_table_7_2_r!H$2:H$900,uwmp_table_7_2_r!$F$2:$F$900,"Demand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50990</v>
      </c>
      <c r="D34" s="146">
        <f>IFERROR(AVERAGEIFS(uwmp_table_7_2_w!I$2:I$900,uwmp_table_7_2_w!$F$2:$F$900,"Demand totals",uwmp_table_7_2_w!$B$2:$B$900,'Contractor Assumptions'!$F37),0) + IFERROR(AVERAGEIFS(uwmp_table_7_2_r!I$2:I$900,uwmp_table_7_2_r!$F$2:$F$900,"Demand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51880</v>
      </c>
      <c r="E34" s="146">
        <f>IFERROR(AVERAGEIFS(uwmp_table_7_2_w!J$2:J$900,uwmp_table_7_2_w!$F$2:$F$900,"Demand totals",uwmp_table_7_2_w!$B$2:$B$900,'Contractor Assumptions'!$F37),0) + IFERROR(AVERAGEIFS(uwmp_table_7_2_r!J$2:J$900,uwmp_table_7_2_r!$F$2:$F$900,"Demand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55210</v>
      </c>
      <c r="F34" s="146">
        <f>IFERROR(AVERAGEIFS(uwmp_table_7_2_w!K$2:K$900,uwmp_table_7_2_w!$F$2:$F$900,"Demand totals",uwmp_table_7_2_w!$B$2:$B$900,'Contractor Assumptions'!$F37),0) + IFERROR(AVERAGEIFS(uwmp_table_7_2_r!K$2:K$900,uwmp_table_7_2_r!$F$2:$F$900,"Demand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57590</v>
      </c>
      <c r="G34" s="40"/>
      <c r="K34" s="56" t="str">
        <f>'Contractor Assumptions'!B37</f>
        <v>Antelope Valley-East Kern Water Agency</v>
      </c>
      <c r="L34" s="163">
        <f>(SUM('Demand Assumptions'!D290,'Demand Assumptions'!D336,'Demand Assumptions'!D382,'Demand Assumptions'!D428,'Demand Assumptions'!D520)/(1-0.05)) - SUM('Demand Assumptions'!D290,'Demand Assumptions'!D336,'Demand Assumptions'!D382,'Demand Assumptions'!D428,'Demand Assumptions'!D520)</f>
        <v>1331.4468430993911</v>
      </c>
      <c r="M34" s="163">
        <f>(SUM('Demand Assumptions'!E290,'Demand Assumptions'!E336,'Demand Assumptions'!E382,'Demand Assumptions'!E428,'Demand Assumptions'!E520)/(1-0.05)) - SUM('Demand Assumptions'!E290,'Demand Assumptions'!E336,'Demand Assumptions'!E382,'Demand Assumptions'!E428,'Demand Assumptions'!E520)</f>
        <v>1527.6715228484209</v>
      </c>
      <c r="N34" s="163">
        <f>(SUM('Demand Assumptions'!F290,'Demand Assumptions'!F336,'Demand Assumptions'!F382,'Demand Assumptions'!F428,'Demand Assumptions'!F520)/(1-0.05)) - SUM('Demand Assumptions'!F290,'Demand Assumptions'!F336,'Demand Assumptions'!F382,'Demand Assumptions'!F428,'Demand Assumptions'!F520)</f>
        <v>1554.2996014228702</v>
      </c>
      <c r="O34" s="163">
        <f>(SUM('Demand Assumptions'!G290,'Demand Assumptions'!G336,'Demand Assumptions'!G382,'Demand Assumptions'!G428,'Demand Assumptions'!G520)/(1-0.05)) - SUM('Demand Assumptions'!G290,'Demand Assumptions'!G336,'Demand Assumptions'!G382,'Demand Assumptions'!G428,'Demand Assumptions'!G520)</f>
        <v>1654.0715085907104</v>
      </c>
      <c r="P34" s="163">
        <f>(SUM('Demand Assumptions'!H290,'Demand Assumptions'!H336,'Demand Assumptions'!H382,'Demand Assumptions'!H428,'Demand Assumptions'!H520)/(1-0.05)) - SUM('Demand Assumptions'!H290,'Demand Assumptions'!H336,'Demand Assumptions'!H382,'Demand Assumptions'!H428,'Demand Assumptions'!H520)</f>
        <v>1725.3895584731072</v>
      </c>
    </row>
    <row r="35" spans="1:17" x14ac:dyDescent="0.3">
      <c r="A35" s="39" t="str">
        <f t="shared" si="0"/>
        <v>Santa Clarita Water Division</v>
      </c>
      <c r="B35" s="146">
        <f>IFERROR(AVERAGEIFS(uwmp_table_7_2_w!G$2:G$900,uwmp_table_7_2_w!$F$2:$F$900,"Demand totals",uwmp_table_7_2_w!$B$2:$B$900,'Contractor Assumptions'!$F38),0) + IFERROR(AVERAGEIFS(uwmp_table_7_2_r!G$2:G$900,uwmp_table_7_2_r!$F$2:$F$900,"Demand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76499</v>
      </c>
      <c r="C35" s="146">
        <f>IFERROR(AVERAGEIFS(uwmp_table_7_2_w!H$2:H$900,uwmp_table_7_2_w!$F$2:$F$900,"Demand totals",uwmp_table_7_2_w!$B$2:$B$900,'Contractor Assumptions'!$F38),0) + IFERROR(AVERAGEIFS(uwmp_table_7_2_r!H$2:H$900,uwmp_table_7_2_r!$F$2:$F$900,"Demand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81646</v>
      </c>
      <c r="D35" s="146">
        <f>IFERROR(AVERAGEIFS(uwmp_table_7_2_w!I$2:I$900,uwmp_table_7_2_w!$F$2:$F$900,"Demand totals",uwmp_table_7_2_w!$B$2:$B$900,'Contractor Assumptions'!$F38),0) + IFERROR(AVERAGEIFS(uwmp_table_7_2_r!I$2:I$900,uwmp_table_7_2_r!$F$2:$F$900,"Demand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88741</v>
      </c>
      <c r="E35" s="146">
        <f>IFERROR(AVERAGEIFS(uwmp_table_7_2_w!J$2:J$900,uwmp_table_7_2_w!$F$2:$F$900,"Demand totals",uwmp_table_7_2_w!$B$2:$B$900,'Contractor Assumptions'!$F38),0) + IFERROR(AVERAGEIFS(uwmp_table_7_2_r!J$2:J$900,uwmp_table_7_2_r!$F$2:$F$900,"Demand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93548</v>
      </c>
      <c r="F35" s="146">
        <f>IFERROR(AVERAGEIFS(uwmp_table_7_2_w!K$2:K$900,uwmp_table_7_2_w!$F$2:$F$900,"Demand totals",uwmp_table_7_2_w!$B$2:$B$900,'Contractor Assumptions'!$F38),0) + IFERROR(AVERAGEIFS(uwmp_table_7_2_r!K$2:K$900,uwmp_table_7_2_r!$F$2:$F$900,"Demand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97449</v>
      </c>
      <c r="G35" s="40"/>
      <c r="K35" s="56" t="str">
        <f>'Contractor Assumptions'!B38</f>
        <v>Santa Clarita Water Division</v>
      </c>
      <c r="L35" s="163">
        <f>(SUM('Demand Assumptions'!D291,'Demand Assumptions'!D337,'Demand Assumptions'!D383,'Demand Assumptions'!D429,'Demand Assumptions'!D521)/(1-0.05)) - SUM('Demand Assumptions'!D291,'Demand Assumptions'!D337,'Demand Assumptions'!D383,'Demand Assumptions'!D429,'Demand Assumptions'!D521)</f>
        <v>10095.025822368421</v>
      </c>
      <c r="M35" s="163">
        <f>(SUM('Demand Assumptions'!E291,'Demand Assumptions'!E337,'Demand Assumptions'!E383,'Demand Assumptions'!E429,'Demand Assumptions'!E521)/(1-0.05)) - SUM('Demand Assumptions'!E291,'Demand Assumptions'!E337,'Demand Assumptions'!E383,'Demand Assumptions'!E429,'Demand Assumptions'!E521)</f>
        <v>10628.043185789487</v>
      </c>
      <c r="N35" s="163">
        <f>(SUM('Demand Assumptions'!F291,'Demand Assumptions'!F337,'Demand Assumptions'!F383,'Demand Assumptions'!F429,'Demand Assumptions'!F521)/(1-0.05)) - SUM('Demand Assumptions'!F291,'Demand Assumptions'!F337,'Demand Assumptions'!F383,'Demand Assumptions'!F429,'Demand Assumptions'!F521)</f>
        <v>11322.580962368433</v>
      </c>
      <c r="O35" s="163">
        <f>(SUM('Demand Assumptions'!G291,'Demand Assumptions'!G337,'Demand Assumptions'!G383,'Demand Assumptions'!G429,'Demand Assumptions'!G521)/(1-0.05)) - SUM('Demand Assumptions'!G291,'Demand Assumptions'!G337,'Demand Assumptions'!G383,'Demand Assumptions'!G429,'Demand Assumptions'!G521)</f>
        <v>11677.925871315791</v>
      </c>
      <c r="P35" s="163">
        <f>(SUM('Demand Assumptions'!H291,'Demand Assumptions'!H337,'Demand Assumptions'!H383,'Demand Assumptions'!H429,'Demand Assumptions'!H521)/(1-0.05)) - SUM('Demand Assumptions'!H291,'Demand Assumptions'!H337,'Demand Assumptions'!H383,'Demand Assumptions'!H429,'Demand Assumptions'!H521)</f>
        <v>11952.510573684209</v>
      </c>
      <c r="Q35" t="s">
        <v>1040</v>
      </c>
    </row>
    <row r="36" spans="1:17" x14ac:dyDescent="0.3">
      <c r="A36" s="39" t="str">
        <f t="shared" si="0"/>
        <v>Coachella Valley Water District</v>
      </c>
      <c r="B36" s="470" t="s">
        <v>204</v>
      </c>
      <c r="C36" s="470" t="s">
        <v>204</v>
      </c>
      <c r="D36" s="470" t="s">
        <v>204</v>
      </c>
      <c r="E36" s="470" t="s">
        <v>204</v>
      </c>
      <c r="F36" s="470" t="s">
        <v>204</v>
      </c>
      <c r="G36" s="40"/>
      <c r="K36" s="56" t="str">
        <f>'Contractor Assumptions'!B39</f>
        <v>Coachella Valley Water District</v>
      </c>
      <c r="L36" s="163">
        <f>(SUM('Demand Assumptions'!D292,'Demand Assumptions'!D338,'Demand Assumptions'!D384,'Demand Assumptions'!D430,'Demand Assumptions'!D522)/(1-0.05)) - SUM('Demand Assumptions'!D292,'Demand Assumptions'!D338,'Demand Assumptions'!D384,'Demand Assumptions'!D430,'Demand Assumptions'!D522)</f>
        <v>0</v>
      </c>
      <c r="M36" s="163">
        <f>(SUM('Demand Assumptions'!E292,'Demand Assumptions'!E338,'Demand Assumptions'!E384,'Demand Assumptions'!E430,'Demand Assumptions'!E522)/(1-0.05)) - SUM('Demand Assumptions'!E292,'Demand Assumptions'!E338,'Demand Assumptions'!E384,'Demand Assumptions'!E430,'Demand Assumptions'!E522)</f>
        <v>0</v>
      </c>
      <c r="N36" s="163">
        <f>(SUM('Demand Assumptions'!F292,'Demand Assumptions'!F338,'Demand Assumptions'!F384,'Demand Assumptions'!F430,'Demand Assumptions'!F522)/(1-0.05)) - SUM('Demand Assumptions'!F292,'Demand Assumptions'!F338,'Demand Assumptions'!F384,'Demand Assumptions'!F430,'Demand Assumptions'!F522)</f>
        <v>0</v>
      </c>
      <c r="O36" s="163">
        <f>(SUM('Demand Assumptions'!G292,'Demand Assumptions'!G338,'Demand Assumptions'!G384,'Demand Assumptions'!G430,'Demand Assumptions'!G522)/(1-0.05)) - SUM('Demand Assumptions'!G292,'Demand Assumptions'!G338,'Demand Assumptions'!G384,'Demand Assumptions'!G430,'Demand Assumptions'!G522)</f>
        <v>0</v>
      </c>
      <c r="P36" s="163">
        <f>(SUM('Demand Assumptions'!H292,'Demand Assumptions'!H338,'Demand Assumptions'!H384,'Demand Assumptions'!H430,'Demand Assumptions'!H522)/(1-0.05)) - SUM('Demand Assumptions'!H292,'Demand Assumptions'!H338,'Demand Assumptions'!H384,'Demand Assumptions'!H430,'Demand Assumptions'!H522)</f>
        <v>0</v>
      </c>
      <c r="Q36" t="s">
        <v>1040</v>
      </c>
    </row>
    <row r="37" spans="1:17" x14ac:dyDescent="0.3">
      <c r="A37" s="39" t="str">
        <f t="shared" si="0"/>
        <v>Crestline-Lake Arrowhead Water Agency</v>
      </c>
      <c r="B37" s="470" t="s">
        <v>204</v>
      </c>
      <c r="C37" s="470" t="s">
        <v>204</v>
      </c>
      <c r="D37" s="470" t="s">
        <v>204</v>
      </c>
      <c r="E37" s="470" t="s">
        <v>204</v>
      </c>
      <c r="F37" s="470" t="s">
        <v>204</v>
      </c>
      <c r="G37" s="40"/>
      <c r="K37" s="56" t="str">
        <f>'Contractor Assumptions'!B40</f>
        <v>Crestline-Lake Arrowhead Water Agency</v>
      </c>
      <c r="L37" s="57" t="s">
        <v>204</v>
      </c>
      <c r="M37" s="57" t="s">
        <v>204</v>
      </c>
      <c r="N37" s="57" t="s">
        <v>204</v>
      </c>
      <c r="O37" s="57" t="s">
        <v>204</v>
      </c>
      <c r="P37" s="57" t="s">
        <v>204</v>
      </c>
    </row>
    <row r="38" spans="1:17" x14ac:dyDescent="0.3">
      <c r="A38" s="39" t="str">
        <f t="shared" si="0"/>
        <v>Desert Water Agency</v>
      </c>
      <c r="B38" s="470" t="s">
        <v>204</v>
      </c>
      <c r="C38" s="470" t="s">
        <v>204</v>
      </c>
      <c r="D38" s="470" t="s">
        <v>204</v>
      </c>
      <c r="E38" s="470" t="s">
        <v>204</v>
      </c>
      <c r="F38" s="470" t="s">
        <v>204</v>
      </c>
      <c r="G38" s="40"/>
      <c r="K38" s="56" t="str">
        <f>'Contractor Assumptions'!B41</f>
        <v>Desert Water Agency</v>
      </c>
      <c r="L38" s="163">
        <f>(SUM('Demand Assumptions'!D294,'Demand Assumptions'!D340,'Demand Assumptions'!D386,'Demand Assumptions'!D432,'Demand Assumptions'!D524)/(1-0.05)) - SUM('Demand Assumptions'!D294,'Demand Assumptions'!D340,'Demand Assumptions'!D386,'Demand Assumptions'!D432,'Demand Assumptions'!D524)</f>
        <v>0</v>
      </c>
      <c r="M38" s="163">
        <f>(SUM('Demand Assumptions'!E294,'Demand Assumptions'!E340,'Demand Assumptions'!E386,'Demand Assumptions'!E432,'Demand Assumptions'!E524)/(1-0.05)) - SUM('Demand Assumptions'!E294,'Demand Assumptions'!E340,'Demand Assumptions'!E386,'Demand Assumptions'!E432,'Demand Assumptions'!E524)</f>
        <v>0</v>
      </c>
      <c r="N38" s="163">
        <f>(SUM('Demand Assumptions'!F294,'Demand Assumptions'!F340,'Demand Assumptions'!F386,'Demand Assumptions'!F432,'Demand Assumptions'!F524)/(1-0.05)) - SUM('Demand Assumptions'!F294,'Demand Assumptions'!F340,'Demand Assumptions'!F386,'Demand Assumptions'!F432,'Demand Assumptions'!F524)</f>
        <v>0</v>
      </c>
      <c r="O38" s="163">
        <f>(SUM('Demand Assumptions'!G294,'Demand Assumptions'!G340,'Demand Assumptions'!G386,'Demand Assumptions'!G432,'Demand Assumptions'!G524)/(1-0.05)) - SUM('Demand Assumptions'!G294,'Demand Assumptions'!G340,'Demand Assumptions'!G386,'Demand Assumptions'!G432,'Demand Assumptions'!G524)</f>
        <v>0</v>
      </c>
      <c r="P38" s="163">
        <f>(SUM('Demand Assumptions'!H294,'Demand Assumptions'!H340,'Demand Assumptions'!H386,'Demand Assumptions'!H432,'Demand Assumptions'!H524)/(1-0.05)) - SUM('Demand Assumptions'!H294,'Demand Assumptions'!H340,'Demand Assumptions'!H386,'Demand Assumptions'!H432,'Demand Assumptions'!H524)</f>
        <v>0</v>
      </c>
      <c r="Q38" t="s">
        <v>1040</v>
      </c>
    </row>
    <row r="39" spans="1:17" x14ac:dyDescent="0.3">
      <c r="A39" s="39" t="str">
        <f t="shared" si="0"/>
        <v>Metropolitan Water District of Southern California</v>
      </c>
      <c r="B39" s="146">
        <f>'Met 2020 UWMP Demand Data'!D5</f>
        <v>4925000</v>
      </c>
      <c r="C39" s="146">
        <f>'Met 2020 UWMP Demand Data'!E5</f>
        <v>5032000</v>
      </c>
      <c r="D39" s="146">
        <f>'Met 2020 UWMP Demand Data'!F5</f>
        <v>5156000</v>
      </c>
      <c r="E39" s="146">
        <f>'Met 2020 UWMP Demand Data'!G5</f>
        <v>5261000</v>
      </c>
      <c r="F39" s="146">
        <f>'Met 2020 UWMP Demand Data'!H5</f>
        <v>5374000</v>
      </c>
      <c r="G39" s="40" t="s">
        <v>1024</v>
      </c>
      <c r="K39" s="56" t="str">
        <f>'Contractor Assumptions'!B42</f>
        <v>Metropolitan Water District of Southern California</v>
      </c>
      <c r="L39" s="163">
        <f>'Met 2020 UWMP Demand Data'!D11</f>
        <v>1162000</v>
      </c>
      <c r="M39" s="163">
        <f>'Met 2020 UWMP Demand Data'!E11</f>
        <v>1211000</v>
      </c>
      <c r="N39" s="163">
        <f>'Met 2020 UWMP Demand Data'!F11</f>
        <v>1263000</v>
      </c>
      <c r="O39" s="163">
        <f>'Met 2020 UWMP Demand Data'!G11</f>
        <v>1325000</v>
      </c>
      <c r="P39" s="163">
        <f>'Met 2020 UWMP Demand Data'!H11</f>
        <v>1389000</v>
      </c>
      <c r="Q39" t="s">
        <v>1034</v>
      </c>
    </row>
    <row r="40" spans="1:17" x14ac:dyDescent="0.3">
      <c r="A40" s="39" t="str">
        <f t="shared" si="0"/>
        <v>Mojave Water Agency</v>
      </c>
      <c r="B40" s="146">
        <f>IFERROR(AVERAGEIFS(uwmp_table_7_2_w!G$2:G$900,uwmp_table_7_2_w!$F$2:$F$900,"Demand totals",uwmp_table_7_2_w!$B$2:$B$900,'Contractor Assumptions'!$F43),0) + IFERROR(AVERAGEIFS(uwmp_table_7_2_r!G$2:G$900,uwmp_table_7_2_r!$F$2:$F$900,"Demand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130800</v>
      </c>
      <c r="C40" s="146">
        <f>IFERROR(AVERAGEIFS(uwmp_table_7_2_w!H$2:H$900,uwmp_table_7_2_w!$F$2:$F$900,"Demand totals",uwmp_table_7_2_w!$B$2:$B$900,'Contractor Assumptions'!$F43),0) + IFERROR(AVERAGEIFS(uwmp_table_7_2_r!H$2:H$900,uwmp_table_7_2_r!$F$2:$F$900,"Demand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135300</v>
      </c>
      <c r="D40" s="146">
        <f>IFERROR(AVERAGEIFS(uwmp_table_7_2_w!I$2:I$900,uwmp_table_7_2_w!$F$2:$F$900,"Demand totals",uwmp_table_7_2_w!$B$2:$B$900,'Contractor Assumptions'!$F43),0) + IFERROR(AVERAGEIFS(uwmp_table_7_2_r!I$2:I$900,uwmp_table_7_2_r!$F$2:$F$900,"Demand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137700</v>
      </c>
      <c r="E40" s="146">
        <f>IFERROR(AVERAGEIFS(uwmp_table_7_2_w!J$2:J$900,uwmp_table_7_2_w!$F$2:$F$900,"Demand totals",uwmp_table_7_2_w!$B$2:$B$900,'Contractor Assumptions'!$F43),0) + IFERROR(AVERAGEIFS(uwmp_table_7_2_r!J$2:J$900,uwmp_table_7_2_r!$F$2:$F$900,"Demand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140200</v>
      </c>
      <c r="F40" s="146">
        <v>143100</v>
      </c>
      <c r="G40" s="40" t="s">
        <v>1056</v>
      </c>
      <c r="K40" s="56" t="str">
        <f>'Contractor Assumptions'!B43</f>
        <v>Mojave Water Agency</v>
      </c>
      <c r="L40" s="163">
        <f>(SUM('Demand Assumptions'!D296,'Demand Assumptions'!D342,'Demand Assumptions'!D388,'Demand Assumptions'!D434,'Demand Assumptions'!D526)/(1-0.05)) - SUM('Demand Assumptions'!D296,'Demand Assumptions'!D342,'Demand Assumptions'!D388,'Demand Assumptions'!D434,'Demand Assumptions'!D526)</f>
        <v>4614.3947368421068</v>
      </c>
      <c r="M40" s="163">
        <f>(SUM('Demand Assumptions'!E296,'Demand Assumptions'!E342,'Demand Assumptions'!E388,'Demand Assumptions'!E434,'Demand Assumptions'!E526)/(1-0.05)) - SUM('Demand Assumptions'!E296,'Demand Assumptions'!E342,'Demand Assumptions'!E388,'Demand Assumptions'!E434,'Demand Assumptions'!E526)</f>
        <v>4775.0263157894806</v>
      </c>
      <c r="N40" s="163">
        <f>(SUM('Demand Assumptions'!F296,'Demand Assumptions'!F342,'Demand Assumptions'!F388,'Demand Assumptions'!F434,'Demand Assumptions'!F526)/(1-0.05)) - SUM('Demand Assumptions'!F296,'Demand Assumptions'!F342,'Demand Assumptions'!F388,'Demand Assumptions'!F434,'Demand Assumptions'!F526)</f>
        <v>4857.3421052631602</v>
      </c>
      <c r="O40" s="163">
        <f>(SUM('Demand Assumptions'!G296,'Demand Assumptions'!G342,'Demand Assumptions'!G388,'Demand Assumptions'!G434,'Demand Assumptions'!G526)/(1-0.05)) - SUM('Demand Assumptions'!G296,'Demand Assumptions'!G342,'Demand Assumptions'!G388,'Demand Assumptions'!G434,'Demand Assumptions'!G526)</f>
        <v>4936.0894736842165</v>
      </c>
      <c r="P40" s="163">
        <f>(SUM('Demand Assumptions'!H296,'Demand Assumptions'!H342,'Demand Assumptions'!H388,'Demand Assumptions'!H434,'Demand Assumptions'!H526)/(1-0.05)) - SUM('Demand Assumptions'!H296,'Demand Assumptions'!H342,'Demand Assumptions'!H388,'Demand Assumptions'!H434,'Demand Assumptions'!H526)</f>
        <v>5034.3000000000029</v>
      </c>
      <c r="Q40" t="s">
        <v>1040</v>
      </c>
    </row>
    <row r="41" spans="1:17" x14ac:dyDescent="0.3">
      <c r="A41" s="39" t="str">
        <f t="shared" si="0"/>
        <v>Palmdale Water District &amp; Littlerock Creek Irrigation District</v>
      </c>
      <c r="B41" s="146">
        <f>IFERROR(AVERAGEIFS(uwmp_table_7_2_w!G$2:G$900,uwmp_table_7_2_w!$F$2:$F$900,"Demand totals",uwmp_table_7_2_w!$B$2:$B$900,'Contractor Assumptions'!$F44),0) + IFERROR(AVERAGEIFS(uwmp_table_7_2_r!G$2:G$900,uwmp_table_7_2_r!$F$2:$F$900,"Demand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20220</v>
      </c>
      <c r="C41" s="146">
        <f>IFERROR(AVERAGEIFS(uwmp_table_7_2_w!H$2:H$900,uwmp_table_7_2_w!$F$2:$F$900,"Demand totals",uwmp_table_7_2_w!$B$2:$B$900,'Contractor Assumptions'!$F44),0) + IFERROR(AVERAGEIFS(uwmp_table_7_2_r!H$2:H$900,uwmp_table_7_2_r!$F$2:$F$900,"Demand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21310</v>
      </c>
      <c r="D41" s="146">
        <f>IFERROR(AVERAGEIFS(uwmp_table_7_2_w!I$2:I$900,uwmp_table_7_2_w!$F$2:$F$900,"Demand totals",uwmp_table_7_2_w!$B$2:$B$900,'Contractor Assumptions'!$F44),0) + IFERROR(AVERAGEIFS(uwmp_table_7_2_r!I$2:I$900,uwmp_table_7_2_r!$F$2:$F$900,"Demand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22980</v>
      </c>
      <c r="E41" s="146">
        <f>IFERROR(AVERAGEIFS(uwmp_table_7_2_w!J$2:J$900,uwmp_table_7_2_w!$F$2:$F$900,"Demand totals",uwmp_table_7_2_w!$B$2:$B$900,'Contractor Assumptions'!$F44),0) + IFERROR(AVERAGEIFS(uwmp_table_7_2_r!J$2:J$900,uwmp_table_7_2_r!$F$2:$F$900,"Demand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24780</v>
      </c>
      <c r="F41" s="146">
        <f>IFERROR(AVERAGEIFS(uwmp_table_7_2_w!K$2:K$900,uwmp_table_7_2_w!$F$2:$F$900,"Demand totals",uwmp_table_7_2_w!$B$2:$B$900,'Contractor Assumptions'!$F44),0) + IFERROR(AVERAGEIFS(uwmp_table_7_2_r!K$2:K$900,uwmp_table_7_2_r!$F$2:$F$900,"Demand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26250</v>
      </c>
      <c r="G41" s="40" t="s">
        <v>1057</v>
      </c>
      <c r="K41" s="56" t="str">
        <f>'Contractor Assumptions'!B44</f>
        <v>Palmdale Water District &amp; Littlerock Creek Irrigation District</v>
      </c>
      <c r="L41" s="163">
        <f>(SUM('Demand Assumptions'!D297,'Demand Assumptions'!D343,'Demand Assumptions'!D389,'Demand Assumptions'!D435,'Demand Assumptions'!D527)/(1-0.05)) - SUM('Demand Assumptions'!D297,'Demand Assumptions'!D343,'Demand Assumptions'!D389,'Demand Assumptions'!D435,'Demand Assumptions'!D527)</f>
        <v>867.36842105263349</v>
      </c>
      <c r="M41" s="163">
        <f>(SUM('Demand Assumptions'!E297,'Demand Assumptions'!E343,'Demand Assumptions'!E389,'Demand Assumptions'!E435,'Demand Assumptions'!E527)/(1-0.05)) - SUM('Demand Assumptions'!E297,'Demand Assumptions'!E343,'Demand Assumptions'!E389,'Demand Assumptions'!E435,'Demand Assumptions'!E527)</f>
        <v>893.15789473684345</v>
      </c>
      <c r="N41" s="163">
        <f>(SUM('Demand Assumptions'!F297,'Demand Assumptions'!F343,'Demand Assumptions'!F389,'Demand Assumptions'!F435,'Demand Assumptions'!F527)/(1-0.05)) - SUM('Demand Assumptions'!F297,'Demand Assumptions'!F343,'Demand Assumptions'!F389,'Demand Assumptions'!F435,'Demand Assumptions'!F527)</f>
        <v>949.4736842105267</v>
      </c>
      <c r="O41" s="163">
        <f>(SUM('Demand Assumptions'!G297,'Demand Assumptions'!G343,'Demand Assumptions'!G389,'Demand Assumptions'!G435,'Demand Assumptions'!G527)/(1-0.05)) - SUM('Demand Assumptions'!G297,'Demand Assumptions'!G343,'Demand Assumptions'!G389,'Demand Assumptions'!G435,'Demand Assumptions'!G527)</f>
        <v>1012.6315789473701</v>
      </c>
      <c r="P41" s="163">
        <f>(SUM('Demand Assumptions'!H297,'Demand Assumptions'!H343,'Demand Assumptions'!H389,'Demand Assumptions'!H435,'Demand Assumptions'!H527)/(1-0.05)) - SUM('Demand Assumptions'!H297,'Demand Assumptions'!H343,'Demand Assumptions'!H389,'Demand Assumptions'!H435,'Demand Assumptions'!H527)</f>
        <v>1079.4736842105267</v>
      </c>
      <c r="Q41" t="s">
        <v>1040</v>
      </c>
    </row>
    <row r="42" spans="1:17" x14ac:dyDescent="0.3">
      <c r="A42" s="39" t="str">
        <f t="shared" si="0"/>
        <v>San Bernardino Valley Municipal Water District</v>
      </c>
      <c r="B42" s="146">
        <v>332053</v>
      </c>
      <c r="C42" s="146">
        <v>342420</v>
      </c>
      <c r="D42" s="146">
        <v>353212</v>
      </c>
      <c r="E42" s="146">
        <v>363023</v>
      </c>
      <c r="F42" s="146">
        <v>373374</v>
      </c>
      <c r="G42" s="40" t="s">
        <v>1058</v>
      </c>
      <c r="K42" s="56" t="str">
        <f>'Contractor Assumptions'!B45</f>
        <v>San Bernardino Valley Municipal Water District</v>
      </c>
      <c r="L42" s="192">
        <f>0.05*27108</f>
        <v>1355.4</v>
      </c>
      <c r="M42" s="192">
        <f>0.05*28209</f>
        <v>1410.45</v>
      </c>
      <c r="N42" s="192">
        <f>0.05*28702</f>
        <v>1435.1000000000001</v>
      </c>
      <c r="O42" s="192">
        <f>0.05*29288</f>
        <v>1464.4</v>
      </c>
      <c r="P42" s="192">
        <f>0.05*29984</f>
        <v>1499.2</v>
      </c>
      <c r="Q42" t="s">
        <v>5990</v>
      </c>
    </row>
    <row r="43" spans="1:17" x14ac:dyDescent="0.3">
      <c r="A43" s="39" t="str">
        <f t="shared" si="0"/>
        <v>San Gabriel Valley Municipal Water District</v>
      </c>
      <c r="B43" s="470" t="s">
        <v>204</v>
      </c>
      <c r="C43" s="470" t="s">
        <v>204</v>
      </c>
      <c r="D43" s="470" t="s">
        <v>204</v>
      </c>
      <c r="E43" s="470" t="s">
        <v>204</v>
      </c>
      <c r="F43" s="470" t="s">
        <v>204</v>
      </c>
      <c r="G43" s="40"/>
      <c r="K43" s="56" t="str">
        <f>'Contractor Assumptions'!B46</f>
        <v>San Gabriel Valley Municipal Water District</v>
      </c>
      <c r="L43" s="57" t="s">
        <v>204</v>
      </c>
      <c r="M43" s="57" t="s">
        <v>204</v>
      </c>
      <c r="N43" s="57" t="s">
        <v>204</v>
      </c>
      <c r="O43" s="57" t="s">
        <v>204</v>
      </c>
      <c r="P43" s="57" t="s">
        <v>204</v>
      </c>
    </row>
    <row r="44" spans="1:17" x14ac:dyDescent="0.3">
      <c r="A44" s="39" t="str">
        <f t="shared" si="0"/>
        <v>San Gorgonio Pass Water Agency</v>
      </c>
      <c r="B44" s="146">
        <f>IFERROR(AVERAGEIFS(uwmp_table_7_2_w!G$2:G$900,uwmp_table_7_2_w!$F$2:$F$900,"Demand totals",uwmp_table_7_2_w!$B$2:$B$900,'Contractor Assumptions'!$F47),0) + IFERROR(AVERAGEIFS(uwmp_table_7_2_r!G$2:G$900,uwmp_table_7_2_r!$F$2:$F$900,"Demand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30400</v>
      </c>
      <c r="C44" s="146">
        <f>IFERROR(AVERAGEIFS(uwmp_table_7_2_w!H$2:H$900,uwmp_table_7_2_w!$F$2:$F$900,"Demand totals",uwmp_table_7_2_w!$B$2:$B$900,'Contractor Assumptions'!$F47),0) + IFERROR(AVERAGEIFS(uwmp_table_7_2_r!H$2:H$900,uwmp_table_7_2_r!$F$2:$F$900,"Demand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32900</v>
      </c>
      <c r="D44" s="146">
        <f>IFERROR(AVERAGEIFS(uwmp_table_7_2_w!I$2:I$900,uwmp_table_7_2_w!$F$2:$F$900,"Demand totals",uwmp_table_7_2_w!$B$2:$B$900,'Contractor Assumptions'!$F47),0) + IFERROR(AVERAGEIFS(uwmp_table_7_2_r!I$2:I$900,uwmp_table_7_2_r!$F$2:$F$900,"Demand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35600</v>
      </c>
      <c r="E44" s="146">
        <f>IFERROR(AVERAGEIFS(uwmp_table_7_2_w!J$2:J$900,uwmp_table_7_2_w!$F$2:$F$900,"Demand totals",uwmp_table_7_2_w!$B$2:$B$900,'Contractor Assumptions'!$F47),0) + IFERROR(AVERAGEIFS(uwmp_table_7_2_r!J$2:J$900,uwmp_table_7_2_r!$F$2:$F$900,"Demand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38100</v>
      </c>
      <c r="F44" s="146">
        <f>IFERROR(AVERAGEIFS(uwmp_table_7_2_w!K$2:K$900,uwmp_table_7_2_w!$F$2:$F$900,"Demand totals",uwmp_table_7_2_w!$B$2:$B$900,'Contractor Assumptions'!$F47),0) + IFERROR(AVERAGEIFS(uwmp_table_7_2_r!K$2:K$900,uwmp_table_7_2_r!$F$2:$F$900,"Demand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40300</v>
      </c>
      <c r="G44" s="40"/>
      <c r="K44" s="56" t="str">
        <f>'Contractor Assumptions'!B47</f>
        <v>San Gorgonio Pass Water Agency</v>
      </c>
      <c r="L44" s="163">
        <f>(SUM('Demand Assumptions'!D300,'Demand Assumptions'!D346,'Demand Assumptions'!D392,'Demand Assumptions'!D438,'Demand Assumptions'!D530)/(1-0.05)) - SUM('Demand Assumptions'!D300,'Demand Assumptions'!D346,'Demand Assumptions'!D392,'Demand Assumptions'!D438,'Demand Assumptions'!D530)</f>
        <v>1434.8421052631602</v>
      </c>
      <c r="M44" s="163">
        <f>(SUM('Demand Assumptions'!E300,'Demand Assumptions'!E346,'Demand Assumptions'!E392,'Demand Assumptions'!E438,'Demand Assumptions'!E530)/(1-0.05)) - SUM('Demand Assumptions'!E300,'Demand Assumptions'!E346,'Demand Assumptions'!E392,'Demand Assumptions'!E438,'Demand Assumptions'!E530)</f>
        <v>1646.4947368421053</v>
      </c>
      <c r="N44" s="163">
        <f>(SUM('Demand Assumptions'!F300,'Demand Assumptions'!F346,'Demand Assumptions'!F392,'Demand Assumptions'!F438,'Demand Assumptions'!F530)/(1-0.05)) - SUM('Demand Assumptions'!F300,'Demand Assumptions'!F346,'Demand Assumptions'!F392,'Demand Assumptions'!F438,'Demand Assumptions'!F530)</f>
        <v>1769.6526315789524</v>
      </c>
      <c r="O44" s="163">
        <f>(SUM('Demand Assumptions'!G300,'Demand Assumptions'!G346,'Demand Assumptions'!G392,'Demand Assumptions'!G438,'Demand Assumptions'!G530)/(1-0.05)) - SUM('Demand Assumptions'!G300,'Demand Assumptions'!G346,'Demand Assumptions'!G392,'Demand Assumptions'!G438,'Demand Assumptions'!G530)</f>
        <v>1880.7578947368456</v>
      </c>
      <c r="P44" s="163">
        <f>(SUM('Demand Assumptions'!H300,'Demand Assumptions'!H346,'Demand Assumptions'!H392,'Demand Assumptions'!H438,'Demand Assumptions'!H530)/(1-0.05)) - SUM('Demand Assumptions'!H300,'Demand Assumptions'!H346,'Demand Assumptions'!H392,'Demand Assumptions'!H438,'Demand Assumptions'!H530)</f>
        <v>1979.1263157894791</v>
      </c>
      <c r="Q44" t="s">
        <v>1040</v>
      </c>
    </row>
    <row r="45" spans="1:17" x14ac:dyDescent="0.3">
      <c r="A45" s="39" t="str">
        <f t="shared" si="0"/>
        <v>Ventura County Watershed Protection District</v>
      </c>
      <c r="B45" s="470" t="s">
        <v>204</v>
      </c>
      <c r="C45" s="470" t="s">
        <v>204</v>
      </c>
      <c r="D45" s="470" t="s">
        <v>204</v>
      </c>
      <c r="E45" s="470" t="s">
        <v>204</v>
      </c>
      <c r="F45" s="470" t="s">
        <v>204</v>
      </c>
      <c r="G45" s="146"/>
      <c r="K45" s="56" t="str">
        <f>'Contractor Assumptions'!B48</f>
        <v>Ventura County Watershed Protection District</v>
      </c>
      <c r="L45" s="57" t="s">
        <v>204</v>
      </c>
      <c r="M45" s="57" t="s">
        <v>204</v>
      </c>
      <c r="N45" s="57" t="s">
        <v>204</v>
      </c>
      <c r="O45" s="57" t="s">
        <v>204</v>
      </c>
      <c r="P45" s="57" t="s">
        <v>204</v>
      </c>
    </row>
    <row r="46" spans="1:17" x14ac:dyDescent="0.3">
      <c r="B46">
        <f>82340+87660</f>
        <v>170000</v>
      </c>
    </row>
    <row r="47" spans="1:17" x14ac:dyDescent="0.3">
      <c r="L47" s="337"/>
    </row>
    <row r="48" spans="1:17" ht="21" x14ac:dyDescent="0.4">
      <c r="A48" s="336" t="s">
        <v>1059</v>
      </c>
    </row>
    <row r="49" spans="1:8" x14ac:dyDescent="0.3">
      <c r="A49" s="125" t="s">
        <v>193</v>
      </c>
      <c r="B49" s="126">
        <v>2025</v>
      </c>
      <c r="C49" s="126">
        <v>2030</v>
      </c>
      <c r="D49" s="126">
        <v>2035</v>
      </c>
      <c r="E49" s="126">
        <v>2040</v>
      </c>
      <c r="F49" s="126">
        <v>2045</v>
      </c>
      <c r="G49" s="376" t="s">
        <v>153</v>
      </c>
    </row>
    <row r="50" spans="1:8" x14ac:dyDescent="0.3">
      <c r="A50" s="39" t="str">
        <f>K3</f>
        <v>Butte County</v>
      </c>
      <c r="B50" s="470" t="s">
        <v>204</v>
      </c>
      <c r="C50" s="470" t="s">
        <v>204</v>
      </c>
      <c r="D50" s="470" t="s">
        <v>204</v>
      </c>
      <c r="E50" s="470" t="s">
        <v>204</v>
      </c>
      <c r="F50" s="470" t="s">
        <v>204</v>
      </c>
      <c r="G50" s="146"/>
    </row>
    <row r="51" spans="1:8" x14ac:dyDescent="0.3">
      <c r="A51" s="39" t="str">
        <f t="shared" ref="A51:A92" si="1">K4</f>
        <v>City of Folsom</v>
      </c>
      <c r="B51" s="146">
        <f>IFERROR(AVERAGEIFS(uwmp_table_7_3_w!H$2:H$900,uwmp_table_7_3_w!$G$2:$G$900,"Demand totals",uwmp_table_7_3_w!$B$2:$B$900,'Contractor Assumptions'!$F7),0) + IFERROR(AVERAGEIFS(uwmp_table_7_3_r!H$2:H$900,uwmp_table_7_3_r!$G$2:$G$900,"Demand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20517</v>
      </c>
      <c r="C51" s="146">
        <f>IFERROR(AVERAGEIFS(uwmp_table_7_3_w!I$2:I$900,uwmp_table_7_3_w!$G$2:$G$900,"Demand totals",uwmp_table_7_3_w!$B$2:$B$900,'Contractor Assumptions'!$F7),0) + IFERROR(AVERAGEIFS(uwmp_table_7_3_r!I$2:I$900,uwmp_table_7_3_r!$G$2:$G$900,"Demand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22746</v>
      </c>
      <c r="D51" s="146">
        <f>IFERROR(AVERAGEIFS(uwmp_table_7_3_w!J$2:J$900,uwmp_table_7_3_w!$G$2:$G$900,"Demand totals",uwmp_table_7_3_w!$B$2:$B$900,'Contractor Assumptions'!$F7),0) + IFERROR(AVERAGEIFS(uwmp_table_7_3_r!J$2:J$900,uwmp_table_7_3_r!$G$2:$G$900,"Demand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24214</v>
      </c>
      <c r="E51" s="146">
        <f>IFERROR(AVERAGEIFS(uwmp_table_7_3_w!K$2:K$900,uwmp_table_7_3_w!$G$2:$G$900,"Demand totals",uwmp_table_7_3_w!$B$2:$B$900,'Contractor Assumptions'!$F7),0) + IFERROR(AVERAGEIFS(uwmp_table_7_3_r!K$2:K$900,uwmp_table_7_3_r!$G$2:$G$900,"Demand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25145</v>
      </c>
      <c r="F51" s="146">
        <f>IFERROR(AVERAGEIFS(uwmp_table_7_3_w!L$2:L$900,uwmp_table_7_3_w!$G$2:$G$900,"Demand totals",uwmp_table_7_3_w!$B$2:$B$900,'Contractor Assumptions'!$F7),0) + IFERROR(AVERAGEIFS(uwmp_table_7_3_r!L$2:L$900,uwmp_table_7_3_r!$G$2:$G$900,"Demand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25519</v>
      </c>
      <c r="G51" s="40" t="s">
        <v>1060</v>
      </c>
    </row>
    <row r="52" spans="1:8" x14ac:dyDescent="0.3">
      <c r="A52" s="39" t="str">
        <f t="shared" si="1"/>
        <v>City of Redding</v>
      </c>
      <c r="B52" s="146">
        <f>IFERROR(AVERAGEIFS(uwmp_table_7_3_w!H$2:H$900,uwmp_table_7_3_w!$G$2:$G$900,"Demand totals",uwmp_table_7_3_w!$B$2:$B$900,'Contractor Assumptions'!$F8),0) + IFERROR(AVERAGEIFS(uwmp_table_7_3_r!H$2:H$900,uwmp_table_7_3_r!$G$2:$G$900,"Demand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24115.3207253</v>
      </c>
      <c r="C52" s="146">
        <f>IFERROR(AVERAGEIFS(uwmp_table_7_3_w!I$2:I$900,uwmp_table_7_3_w!$G$2:$G$900,"Demand totals",uwmp_table_7_3_w!$B$2:$B$900,'Contractor Assumptions'!$F8),0) + IFERROR(AVERAGEIFS(uwmp_table_7_3_r!I$2:I$900,uwmp_table_7_3_r!$G$2:$G$900,"Demand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24621.68722055</v>
      </c>
      <c r="D52" s="146">
        <f>IFERROR(AVERAGEIFS(uwmp_table_7_3_w!J$2:J$900,uwmp_table_7_3_w!$G$2:$G$900,"Demand totals",uwmp_table_7_3_w!$B$2:$B$900,'Contractor Assumptions'!$F8),0) + IFERROR(AVERAGEIFS(uwmp_table_7_3_r!J$2:J$900,uwmp_table_7_3_r!$G$2:$G$900,"Demand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25140.329267199999</v>
      </c>
      <c r="E52" s="146">
        <f>IFERROR(AVERAGEIFS(uwmp_table_7_3_w!K$2:K$900,uwmp_table_7_3_w!$G$2:$G$900,"Demand totals",uwmp_table_7_3_w!$B$2:$B$900,'Contractor Assumptions'!$F8),0) + IFERROR(AVERAGEIFS(uwmp_table_7_3_r!K$2:K$900,uwmp_table_7_3_r!$G$2:$G$900,"Demand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25668.177977399999</v>
      </c>
      <c r="F52" s="146">
        <f>IFERROR(AVERAGEIFS(uwmp_table_7_3_w!L$2:L$900,uwmp_table_7_3_w!$G$2:$G$900,"Demand totals",uwmp_table_7_3_w!$B$2:$B$900,'Contractor Assumptions'!$F8),0) + IFERROR(AVERAGEIFS(uwmp_table_7_3_r!L$2:L$900,uwmp_table_7_3_r!$G$2:$G$900,"Demand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26205.23335115</v>
      </c>
      <c r="G52" s="40"/>
    </row>
    <row r="53" spans="1:8" x14ac:dyDescent="0.3">
      <c r="A53" s="39" t="str">
        <f t="shared" si="1"/>
        <v>City of Roseville</v>
      </c>
      <c r="B53" s="146">
        <f>IFERROR(AVERAGEIFS(uwmp_table_7_3_w!H$2:H$900,uwmp_table_7_3_w!$G$2:$G$900,"Demand totals",uwmp_table_7_3_w!$B$2:$B$900,'Contractor Assumptions'!$F9),0) + IFERROR(AVERAGEIFS(uwmp_table_7_3_r!H$2:H$900,uwmp_table_7_3_r!$G$2:$G$900,"Demand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51589</v>
      </c>
      <c r="C53" s="146">
        <f>IFERROR(AVERAGEIFS(uwmp_table_7_3_w!I$2:I$900,uwmp_table_7_3_w!$G$2:$G$900,"Demand totals",uwmp_table_7_3_w!$B$2:$B$900,'Contractor Assumptions'!$F9),0) + IFERROR(AVERAGEIFS(uwmp_table_7_3_r!I$2:I$900,uwmp_table_7_3_r!$G$2:$G$900,"Demand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56990</v>
      </c>
      <c r="D53" s="146">
        <f>IFERROR(AVERAGEIFS(uwmp_table_7_3_w!J$2:J$900,uwmp_table_7_3_w!$G$2:$G$900,"Demand totals",uwmp_table_7_3_w!$B$2:$B$900,'Contractor Assumptions'!$F9),0) + IFERROR(AVERAGEIFS(uwmp_table_7_3_r!J$2:J$900,uwmp_table_7_3_r!$G$2:$G$900,"Demand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E53" s="146">
        <f>IFERROR(AVERAGEIFS(uwmp_table_7_3_w!K$2:K$900,uwmp_table_7_3_w!$G$2:$G$900,"Demand totals",uwmp_table_7_3_w!$B$2:$B$900,'Contractor Assumptions'!$F9),0) + IFERROR(AVERAGEIFS(uwmp_table_7_3_r!K$2:K$900,uwmp_table_7_3_r!$G$2:$G$900,"Demand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F53" s="146">
        <f>IFERROR(AVERAGEIFS(uwmp_table_7_3_w!L$2:L$900,uwmp_table_7_3_w!$G$2:$G$900,"Demand totals",uwmp_table_7_3_w!$B$2:$B$900,'Contractor Assumptions'!$F9),0) + IFERROR(AVERAGEIFS(uwmp_table_7_3_r!L$2:L$900,uwmp_table_7_3_r!$G$2:$G$900,"Demand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G53" s="40" t="s">
        <v>1061</v>
      </c>
    </row>
    <row r="54" spans="1:8" x14ac:dyDescent="0.3">
      <c r="A54" s="39" t="str">
        <f t="shared" si="1"/>
        <v>City of West Sacramento</v>
      </c>
      <c r="B54" s="146">
        <f>IFERROR(AVERAGEIFS(uwmp_table_7_3_w!H$2:H$900,uwmp_table_7_3_w!$G$2:$G$900,"Demand totals",uwmp_table_7_3_w!$B$2:$B$900,'Contractor Assumptions'!$F10),0) + IFERROR(AVERAGEIFS(uwmp_table_7_3_r!H$2:H$900,uwmp_table_7_3_r!$G$2:$G$900,"Demand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15351</v>
      </c>
      <c r="C54" s="146">
        <f>IFERROR(AVERAGEIFS(uwmp_table_7_3_w!I$2:I$900,uwmp_table_7_3_w!$G$2:$G$900,"Demand totals",uwmp_table_7_3_w!$B$2:$B$900,'Contractor Assumptions'!$F10),0) + IFERROR(AVERAGEIFS(uwmp_table_7_3_r!I$2:I$900,uwmp_table_7_3_r!$G$2:$G$900,"Demand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17556</v>
      </c>
      <c r="D54" s="146">
        <f>IFERROR(AVERAGEIFS(uwmp_table_7_3_w!J$2:J$900,uwmp_table_7_3_w!$G$2:$G$900,"Demand totals",uwmp_table_7_3_w!$B$2:$B$900,'Contractor Assumptions'!$F10),0) + IFERROR(AVERAGEIFS(uwmp_table_7_3_r!J$2:J$900,uwmp_table_7_3_r!$G$2:$G$900,"Demand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18260</v>
      </c>
      <c r="E54" s="146">
        <f>IFERROR(AVERAGEIFS(uwmp_table_7_3_w!K$2:K$900,uwmp_table_7_3_w!$G$2:$G$900,"Demand totals",uwmp_table_7_3_w!$B$2:$B$900,'Contractor Assumptions'!$F10),0) + IFERROR(AVERAGEIFS(uwmp_table_7_3_r!K$2:K$900,uwmp_table_7_3_r!$G$2:$G$900,"Demand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19173</v>
      </c>
      <c r="F54" s="146">
        <f>IFERROR(AVERAGEIFS(uwmp_table_7_3_w!L$2:L$900,uwmp_table_7_3_w!$G$2:$G$900,"Demand totals",uwmp_table_7_3_w!$B$2:$B$900,'Contractor Assumptions'!$F10),0) + IFERROR(AVERAGEIFS(uwmp_table_7_3_r!L$2:L$900,uwmp_table_7_3_r!$G$2:$G$900,"Demand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21420</v>
      </c>
      <c r="G54" s="40"/>
    </row>
    <row r="55" spans="1:8" x14ac:dyDescent="0.3">
      <c r="A55" s="39" t="str">
        <f t="shared" si="1"/>
        <v>Yuba City</v>
      </c>
      <c r="B55" s="146">
        <f>IFERROR(AVERAGEIFS(uwmp_table_7_3_w!H$2:H$900,uwmp_table_7_3_w!$G$2:$G$900,"Demand totals",uwmp_table_7_3_w!$B$2:$B$900,'Contractor Assumptions'!$F11),0) + IFERROR(AVERAGEIFS(uwmp_table_7_3_r!H$2:H$900,uwmp_table_7_3_r!$G$2:$G$900,"Demand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15628</v>
      </c>
      <c r="C55" s="146">
        <f>IFERROR(AVERAGEIFS(uwmp_table_7_3_w!I$2:I$900,uwmp_table_7_3_w!$G$2:$G$900,"Demand totals",uwmp_table_7_3_w!$B$2:$B$900,'Contractor Assumptions'!$F11),0) + IFERROR(AVERAGEIFS(uwmp_table_7_3_r!I$2:I$900,uwmp_table_7_3_r!$G$2:$G$900,"Demand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16254</v>
      </c>
      <c r="D55" s="146">
        <f>IFERROR(AVERAGEIFS(uwmp_table_7_3_w!J$2:J$900,uwmp_table_7_3_w!$G$2:$G$900,"Demand totals",uwmp_table_7_3_w!$B$2:$B$900,'Contractor Assumptions'!$F11),0) + IFERROR(AVERAGEIFS(uwmp_table_7_3_r!J$2:J$900,uwmp_table_7_3_r!$G$2:$G$900,"Demand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16958</v>
      </c>
      <c r="E55" s="146">
        <f>IFERROR(AVERAGEIFS(uwmp_table_7_3_w!K$2:K$900,uwmp_table_7_3_w!$G$2:$G$900,"Demand totals",uwmp_table_7_3_w!$B$2:$B$900,'Contractor Assumptions'!$F11),0) + IFERROR(AVERAGEIFS(uwmp_table_7_3_r!K$2:K$900,uwmp_table_7_3_r!$G$2:$G$900,"Demand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17845</v>
      </c>
      <c r="F55" s="146">
        <f>IFERROR(AVERAGEIFS(uwmp_table_7_3_w!L$2:L$900,uwmp_table_7_3_w!$G$2:$G$900,"Demand totals",uwmp_table_7_3_w!$B$2:$B$900,'Contractor Assumptions'!$F11),0) + IFERROR(AVERAGEIFS(uwmp_table_7_3_r!L$2:L$900,uwmp_table_7_3_r!$G$2:$G$900,"Demand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18722</v>
      </c>
      <c r="G55" s="40" t="s">
        <v>1062</v>
      </c>
    </row>
    <row r="56" spans="1:8" x14ac:dyDescent="0.3">
      <c r="A56" s="39" t="str">
        <f t="shared" si="1"/>
        <v>El Dorado Irrigation District</v>
      </c>
      <c r="B56" s="146">
        <f>IFERROR(AVERAGEIFS(uwmp_table_7_3_w!H$2:H$900,uwmp_table_7_3_w!$G$2:$G$900,"Demand totals",uwmp_table_7_3_w!$B$2:$B$900,'Contractor Assumptions'!$F12),0) + IFERROR(AVERAGEIFS(uwmp_table_7_3_r!H$2:H$900,uwmp_table_7_3_r!$G$2:$G$900,"Demand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40930</v>
      </c>
      <c r="C56" s="146">
        <f>IFERROR(AVERAGEIFS(uwmp_table_7_3_w!I$2:I$900,uwmp_table_7_3_w!$G$2:$G$900,"Demand totals",uwmp_table_7_3_w!$B$2:$B$900,'Contractor Assumptions'!$F12),0) + IFERROR(AVERAGEIFS(uwmp_table_7_3_r!I$2:I$900,uwmp_table_7_3_r!$G$2:$G$900,"Demand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41760</v>
      </c>
      <c r="D56" s="146">
        <f>IFERROR(AVERAGEIFS(uwmp_table_7_3_w!J$2:J$900,uwmp_table_7_3_w!$G$2:$G$900,"Demand totals",uwmp_table_7_3_w!$B$2:$B$900,'Contractor Assumptions'!$F12),0) + IFERROR(AVERAGEIFS(uwmp_table_7_3_r!J$2:J$900,uwmp_table_7_3_r!$G$2:$G$900,"Demand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42970</v>
      </c>
      <c r="E56" s="146">
        <f>IFERROR(AVERAGEIFS(uwmp_table_7_3_w!K$2:K$900,uwmp_table_7_3_w!$G$2:$G$900,"Demand totals",uwmp_table_7_3_w!$B$2:$B$900,'Contractor Assumptions'!$F12),0) + IFERROR(AVERAGEIFS(uwmp_table_7_3_r!K$2:K$900,uwmp_table_7_3_r!$G$2:$G$900,"Demand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44240</v>
      </c>
      <c r="F56" s="146">
        <f>IFERROR(AVERAGEIFS(uwmp_table_7_3_w!L$2:L$900,uwmp_table_7_3_w!$G$2:$G$900,"Demand totals",uwmp_table_7_3_w!$B$2:$B$900,'Contractor Assumptions'!$F12),0) + IFERROR(AVERAGEIFS(uwmp_table_7_3_r!L$2:L$900,uwmp_table_7_3_r!$G$2:$G$900,"Demand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45490</v>
      </c>
      <c r="G56" s="40" t="s">
        <v>1063</v>
      </c>
    </row>
    <row r="57" spans="1:8" x14ac:dyDescent="0.3">
      <c r="A57" s="39" t="str">
        <f t="shared" si="1"/>
        <v>Napa County Flood Control &amp; Water Conservation District</v>
      </c>
      <c r="B57" s="470" t="s">
        <v>204</v>
      </c>
      <c r="C57" s="470" t="s">
        <v>204</v>
      </c>
      <c r="D57" s="470" t="s">
        <v>204</v>
      </c>
      <c r="E57" s="470" t="s">
        <v>204</v>
      </c>
      <c r="F57" s="470" t="s">
        <v>204</v>
      </c>
      <c r="G57" s="40"/>
    </row>
    <row r="58" spans="1:8" x14ac:dyDescent="0.3">
      <c r="A58" s="39" t="str">
        <f t="shared" si="1"/>
        <v>Placer County Water Agency</v>
      </c>
      <c r="B58" s="146">
        <v>141078</v>
      </c>
      <c r="C58" s="146">
        <v>148926</v>
      </c>
      <c r="D58" s="146">
        <v>160380</v>
      </c>
      <c r="E58" s="146">
        <v>188488</v>
      </c>
      <c r="F58" s="146">
        <v>214916</v>
      </c>
      <c r="G58" s="40" t="s">
        <v>1064</v>
      </c>
    </row>
    <row r="59" spans="1:8" x14ac:dyDescent="0.3">
      <c r="A59" s="39" t="str">
        <f t="shared" si="1"/>
        <v>Sacramento County Water Agency</v>
      </c>
      <c r="B59" s="146">
        <f>IFERROR(AVERAGEIFS(uwmp_table_7_3_w!H$2:H$900,uwmp_table_7_3_w!$G$2:$G$900,"Demand totals",uwmp_table_7_3_w!$B$2:$B$900,'Contractor Assumptions'!$F15),0) + IFERROR(AVERAGEIFS(uwmp_table_7_3_r!H$2:H$900,uwmp_table_7_3_r!$G$2:$G$900,"Demand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57540</v>
      </c>
      <c r="C59" s="146">
        <f>IFERROR(AVERAGEIFS(uwmp_table_7_3_w!I$2:I$900,uwmp_table_7_3_w!$G$2:$G$900,"Demand totals",uwmp_table_7_3_w!$B$2:$B$900,'Contractor Assumptions'!$F15),0) + IFERROR(AVERAGEIFS(uwmp_table_7_3_r!I$2:I$900,uwmp_table_7_3_r!$G$2:$G$900,"Demand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67439</v>
      </c>
      <c r="D59" s="146">
        <f>IFERROR(AVERAGEIFS(uwmp_table_7_3_w!J$2:J$900,uwmp_table_7_3_w!$G$2:$G$900,"Demand totals",uwmp_table_7_3_w!$B$2:$B$900,'Contractor Assumptions'!$F15),0) + IFERROR(AVERAGEIFS(uwmp_table_7_3_r!J$2:J$900,uwmp_table_7_3_r!$G$2:$G$900,"Demand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76532</v>
      </c>
      <c r="E59" s="146">
        <f>IFERROR(AVERAGEIFS(uwmp_table_7_3_w!K$2:K$900,uwmp_table_7_3_w!$G$2:$G$900,"Demand totals",uwmp_table_7_3_w!$B$2:$B$900,'Contractor Assumptions'!$F15),0) + IFERROR(AVERAGEIFS(uwmp_table_7_3_r!K$2:K$900,uwmp_table_7_3_r!$G$2:$G$900,"Demand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84183</v>
      </c>
      <c r="F59" s="146">
        <f>IFERROR(AVERAGEIFS(uwmp_table_7_3_w!L$2:L$900,uwmp_table_7_3_w!$G$2:$G$900,"Demand totals",uwmp_table_7_3_w!$B$2:$B$900,'Contractor Assumptions'!$F15),0) + IFERROR(AVERAGEIFS(uwmp_table_7_3_r!L$2:L$900,uwmp_table_7_3_r!$G$2:$G$900,"Demand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92104</v>
      </c>
      <c r="G59" s="40" t="s">
        <v>999</v>
      </c>
    </row>
    <row r="60" spans="1:8" x14ac:dyDescent="0.3">
      <c r="A60" s="39" t="str">
        <f t="shared" si="1"/>
        <v>San Juan Water District</v>
      </c>
      <c r="B60" s="146">
        <f>41590 + 11870</f>
        <v>53460</v>
      </c>
      <c r="C60" s="146">
        <f>42110 + 11970</f>
        <v>54080</v>
      </c>
      <c r="D60" s="146">
        <f xml:space="preserve"> 41800 + 11870</f>
        <v>53670</v>
      </c>
      <c r="E60" s="146">
        <f>42530 + 11970</f>
        <v>54500</v>
      </c>
      <c r="F60" s="146">
        <f>43160 + 12080</f>
        <v>55240</v>
      </c>
      <c r="G60" s="40" t="s">
        <v>1047</v>
      </c>
    </row>
    <row r="61" spans="1:8" x14ac:dyDescent="0.3">
      <c r="A61" s="39" t="str">
        <f t="shared" si="1"/>
        <v>Shasta Contractors</v>
      </c>
      <c r="B61" s="470" t="s">
        <v>204</v>
      </c>
      <c r="C61" s="470" t="s">
        <v>204</v>
      </c>
      <c r="D61" s="470" t="s">
        <v>204</v>
      </c>
      <c r="E61" s="470" t="s">
        <v>204</v>
      </c>
      <c r="F61" s="470" t="s">
        <v>204</v>
      </c>
      <c r="G61" s="40"/>
      <c r="H61" s="240"/>
    </row>
    <row r="62" spans="1:8" x14ac:dyDescent="0.3">
      <c r="A62" s="39" t="str">
        <f t="shared" si="1"/>
        <v>Solano County Water Agency</v>
      </c>
      <c r="B62" s="470" t="s">
        <v>204</v>
      </c>
      <c r="C62" s="470" t="s">
        <v>204</v>
      </c>
      <c r="D62" s="470" t="s">
        <v>204</v>
      </c>
      <c r="E62" s="470" t="s">
        <v>204</v>
      </c>
      <c r="F62" s="470" t="s">
        <v>204</v>
      </c>
      <c r="G62" s="40"/>
    </row>
    <row r="63" spans="1:8" x14ac:dyDescent="0.3">
      <c r="A63" s="39" t="str">
        <f t="shared" si="1"/>
        <v>City of Avenal</v>
      </c>
      <c r="B63" s="470" t="s">
        <v>204</v>
      </c>
      <c r="C63" s="470" t="s">
        <v>204</v>
      </c>
      <c r="D63" s="470" t="s">
        <v>204</v>
      </c>
      <c r="E63" s="470" t="s">
        <v>204</v>
      </c>
      <c r="F63" s="470" t="s">
        <v>204</v>
      </c>
      <c r="G63" s="40"/>
    </row>
    <row r="64" spans="1:8" x14ac:dyDescent="0.3">
      <c r="A64" s="39" t="str">
        <f t="shared" si="1"/>
        <v>City of Coalinga</v>
      </c>
      <c r="B64" s="146">
        <f>IFERROR(AVERAGEIFS(uwmp_table_7_3_w!H$2:H$900,uwmp_table_7_3_w!$G$2:$G$900,"Demand totals",uwmp_table_7_3_w!$B$2:$B$900,'Contractor Assumptions'!$F20),0) + IFERROR(AVERAGEIFS(uwmp_table_7_3_r!H$2:H$900,uwmp_table_7_3_r!$G$2:$G$900,"Demand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4627.8828777999997</v>
      </c>
      <c r="C64" s="146">
        <f>IFERROR(AVERAGEIFS(uwmp_table_7_3_w!I$2:I$900,uwmp_table_7_3_w!$G$2:$G$900,"Demand totals",uwmp_table_7_3_w!$B$2:$B$900,'Contractor Assumptions'!$F20),0) + IFERROR(AVERAGEIFS(uwmp_table_7_3_r!I$2:I$900,uwmp_table_7_3_r!$G$2:$G$900,"Demand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5253.9359992</v>
      </c>
      <c r="D64" s="146">
        <f>IFERROR(AVERAGEIFS(uwmp_table_7_3_w!J$2:J$900,uwmp_table_7_3_w!$G$2:$G$900,"Demand totals",uwmp_table_7_3_w!$B$2:$B$900,'Contractor Assumptions'!$F20),0) + IFERROR(AVERAGEIFS(uwmp_table_7_3_r!J$2:J$900,uwmp_table_7_3_r!$G$2:$G$900,"Demand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5968.98686825</v>
      </c>
      <c r="E64" s="146">
        <f>IFERROR(AVERAGEIFS(uwmp_table_7_3_w!K$2:K$900,uwmp_table_7_3_w!$G$2:$G$900,"Demand totals",uwmp_table_7_3_w!$B$2:$B$900,'Contractor Assumptions'!$F20),0) + IFERROR(AVERAGEIFS(uwmp_table_7_3_r!K$2:K$900,uwmp_table_7_3_r!$G$2:$G$900,"Demand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6773.03548495</v>
      </c>
      <c r="F64" s="146">
        <f>E64</f>
        <v>6773.03548495</v>
      </c>
      <c r="G64" s="40" t="s">
        <v>1049</v>
      </c>
    </row>
    <row r="65" spans="1:7" x14ac:dyDescent="0.3">
      <c r="A65" s="39" t="str">
        <f t="shared" si="1"/>
        <v>City of Fresno</v>
      </c>
      <c r="B65" s="146">
        <f>IFERROR(AVERAGEIFS(uwmp_table_7_3_w!H$2:H$900,uwmp_table_7_3_w!$G$2:$G$900,"Demand totals",uwmp_table_7_3_w!$B$2:$B$900,'Contractor Assumptions'!$F21),0) + IFERROR(AVERAGEIFS(uwmp_table_7_3_r!H$2:H$900,uwmp_table_7_3_r!$G$2:$G$900,"Demand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164092</v>
      </c>
      <c r="C65" s="146">
        <f>IFERROR(AVERAGEIFS(uwmp_table_7_3_w!I$2:I$900,uwmp_table_7_3_w!$G$2:$G$900,"Demand totals",uwmp_table_7_3_w!$B$2:$B$900,'Contractor Assumptions'!$F21),0) + IFERROR(AVERAGEIFS(uwmp_table_7_3_r!I$2:I$900,uwmp_table_7_3_r!$G$2:$G$900,"Demand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176132</v>
      </c>
      <c r="D65" s="146">
        <f>IFERROR(AVERAGEIFS(uwmp_table_7_3_w!J$2:J$900,uwmp_table_7_3_w!$G$2:$G$900,"Demand totals",uwmp_table_7_3_w!$B$2:$B$900,'Contractor Assumptions'!$F21),0) + IFERROR(AVERAGEIFS(uwmp_table_7_3_r!J$2:J$900,uwmp_table_7_3_r!$G$2:$G$900,"Demand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184174</v>
      </c>
      <c r="E65" s="146">
        <f>IFERROR(AVERAGEIFS(uwmp_table_7_3_w!K$2:K$900,uwmp_table_7_3_w!$G$2:$G$900,"Demand totals",uwmp_table_7_3_w!$B$2:$B$900,'Contractor Assumptions'!$F21),0) + IFERROR(AVERAGEIFS(uwmp_table_7_3_r!K$2:K$900,uwmp_table_7_3_r!$G$2:$G$900,"Demand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192228</v>
      </c>
      <c r="F65" s="146">
        <f>IFERROR(AVERAGEIFS(uwmp_table_7_3_w!L$2:L$900,uwmp_table_7_3_w!$G$2:$G$900,"Demand totals",uwmp_table_7_3_w!$B$2:$B$900,'Contractor Assumptions'!$F21),0) + IFERROR(AVERAGEIFS(uwmp_table_7_3_r!L$2:L$900,uwmp_table_7_3_r!$G$2:$G$900,"Demand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200287</v>
      </c>
      <c r="G65" s="40"/>
    </row>
    <row r="66" spans="1:7" x14ac:dyDescent="0.3">
      <c r="A66" s="39" t="str">
        <f t="shared" si="1"/>
        <v>City of Huron</v>
      </c>
      <c r="B66" s="470" t="s">
        <v>204</v>
      </c>
      <c r="C66" s="470" t="s">
        <v>204</v>
      </c>
      <c r="D66" s="470" t="s">
        <v>204</v>
      </c>
      <c r="E66" s="470" t="s">
        <v>204</v>
      </c>
      <c r="F66" s="470" t="s">
        <v>204</v>
      </c>
      <c r="G66" s="40"/>
    </row>
    <row r="67" spans="1:7" x14ac:dyDescent="0.3">
      <c r="A67" s="39" t="str">
        <f t="shared" si="1"/>
        <v>City of Lindsay</v>
      </c>
      <c r="B67" s="470" t="s">
        <v>204</v>
      </c>
      <c r="C67" s="470" t="s">
        <v>204</v>
      </c>
      <c r="D67" s="470" t="s">
        <v>204</v>
      </c>
      <c r="E67" s="470" t="s">
        <v>204</v>
      </c>
      <c r="F67" s="470" t="s">
        <v>204</v>
      </c>
      <c r="G67" s="40"/>
    </row>
    <row r="68" spans="1:7" x14ac:dyDescent="0.3">
      <c r="A68" s="39" t="str">
        <f t="shared" si="1"/>
        <v>City of Orange Cove</v>
      </c>
      <c r="B68" s="470" t="s">
        <v>204</v>
      </c>
      <c r="C68" s="470" t="s">
        <v>204</v>
      </c>
      <c r="D68" s="470" t="s">
        <v>204</v>
      </c>
      <c r="E68" s="470" t="s">
        <v>204</v>
      </c>
      <c r="F68" s="470" t="s">
        <v>204</v>
      </c>
      <c r="G68" s="40"/>
    </row>
    <row r="69" spans="1:7" x14ac:dyDescent="0.3">
      <c r="A69" s="39" t="str">
        <f t="shared" si="1"/>
        <v>City of Tracy</v>
      </c>
      <c r="B69" s="146">
        <f>IFERROR(AVERAGEIFS(uwmp_table_7_3_w!H$2:H$900,uwmp_table_7_3_w!$G$2:$G$900,"Demand totals",uwmp_table_7_3_w!$B$2:$B$900,'Contractor Assumptions'!$F25),0) + IFERROR(AVERAGEIFS(uwmp_table_7_3_r!H$2:H$900,uwmp_table_7_3_r!$G$2:$G$900,"Demand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21509</v>
      </c>
      <c r="C69" s="146">
        <f>IFERROR(AVERAGEIFS(uwmp_table_7_3_w!I$2:I$900,uwmp_table_7_3_w!$G$2:$G$900,"Demand totals",uwmp_table_7_3_w!$B$2:$B$900,'Contractor Assumptions'!$F25),0) + IFERROR(AVERAGEIFS(uwmp_table_7_3_r!I$2:I$900,uwmp_table_7_3_r!$G$2:$G$900,"Demand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25167</v>
      </c>
      <c r="D69" s="146">
        <f>IFERROR(AVERAGEIFS(uwmp_table_7_3_w!J$2:J$900,uwmp_table_7_3_w!$G$2:$G$900,"Demand totals",uwmp_table_7_3_w!$B$2:$B$900,'Contractor Assumptions'!$F25),0) + IFERROR(AVERAGEIFS(uwmp_table_7_3_r!J$2:J$900,uwmp_table_7_3_r!$G$2:$G$900,"Demand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28871</v>
      </c>
      <c r="E69" s="146">
        <f>IFERROR(AVERAGEIFS(uwmp_table_7_3_w!K$2:K$900,uwmp_table_7_3_w!$G$2:$G$900,"Demand totals",uwmp_table_7_3_w!$B$2:$B$900,'Contractor Assumptions'!$F25),0) + IFERROR(AVERAGEIFS(uwmp_table_7_3_r!K$2:K$900,uwmp_table_7_3_r!$G$2:$G$900,"Demand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32603</v>
      </c>
      <c r="F69" s="146">
        <f>IFERROR(AVERAGEIFS(uwmp_table_7_3_w!L$2:L$900,uwmp_table_7_3_w!$G$2:$G$900,"Demand totals",uwmp_table_7_3_w!$B$2:$B$900,'Contractor Assumptions'!$F25),0) + IFERROR(AVERAGEIFS(uwmp_table_7_3_r!L$2:L$900,uwmp_table_7_3_r!$G$2:$G$900,"Demand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39379</v>
      </c>
      <c r="G69" s="40"/>
    </row>
    <row r="70" spans="1:7" x14ac:dyDescent="0.3">
      <c r="A70" s="39" t="str">
        <f t="shared" si="1"/>
        <v>Kern County Water Agency</v>
      </c>
      <c r="B70" s="146">
        <f>IFERROR(AVERAGEIFS(uwmp_table_7_3_w!H$2:H$900,uwmp_table_7_3_w!$G$2:$G$900,"Demand totals",uwmp_table_7_3_w!$B$2:$B$900,'Contractor Assumptions'!$F26),0) + IFERROR(AVERAGEIFS(uwmp_table_7_3_r!H$2:H$900,uwmp_table_7_3_r!$G$2:$G$900,"Demand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62575</v>
      </c>
      <c r="C70" s="146">
        <f>IFERROR(AVERAGEIFS(uwmp_table_7_3_w!I$2:I$900,uwmp_table_7_3_w!$G$2:$G$900,"Demand totals",uwmp_table_7_3_w!$B$2:$B$900,'Contractor Assumptions'!$F26),0) + IFERROR(AVERAGEIFS(uwmp_table_7_3_r!I$2:I$900,uwmp_table_7_3_r!$G$2:$G$900,"Demand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64075</v>
      </c>
      <c r="D70" s="146">
        <f>IFERROR(AVERAGEIFS(uwmp_table_7_3_w!J$2:J$900,uwmp_table_7_3_w!$G$2:$G$900,"Demand totals",uwmp_table_7_3_w!$B$2:$B$900,'Contractor Assumptions'!$F26),0) + IFERROR(AVERAGEIFS(uwmp_table_7_3_r!J$2:J$900,uwmp_table_7_3_r!$G$2:$G$900,"Demand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E70" s="146">
        <f>IFERROR(AVERAGEIFS(uwmp_table_7_3_w!K$2:K$900,uwmp_table_7_3_w!$G$2:$G$900,"Demand totals",uwmp_table_7_3_w!$B$2:$B$900,'Contractor Assumptions'!$F26),0) + IFERROR(AVERAGEIFS(uwmp_table_7_3_r!K$2:K$900,uwmp_table_7_3_r!$G$2:$G$900,"Demand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F70" s="146">
        <f>IFERROR(AVERAGEIFS(uwmp_table_7_3_w!L$2:L$900,uwmp_table_7_3_w!$G$2:$G$900,"Demand totals",uwmp_table_7_3_w!$B$2:$B$900,'Contractor Assumptions'!$F26),0) + IFERROR(AVERAGEIFS(uwmp_table_7_3_r!L$2:L$900,uwmp_table_7_3_r!$G$2:$G$900,"Demand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G70" s="40" t="s">
        <v>1065</v>
      </c>
    </row>
    <row r="71" spans="1:7" x14ac:dyDescent="0.3">
      <c r="A71" s="39" t="str">
        <f t="shared" si="1"/>
        <v>Other Friant-Kern M&amp;I Contractors</v>
      </c>
      <c r="B71" s="470" t="s">
        <v>204</v>
      </c>
      <c r="C71" s="470" t="s">
        <v>204</v>
      </c>
      <c r="D71" s="470" t="s">
        <v>204</v>
      </c>
      <c r="E71" s="470" t="s">
        <v>204</v>
      </c>
      <c r="F71" s="470" t="s">
        <v>204</v>
      </c>
      <c r="G71" s="40"/>
    </row>
    <row r="72" spans="1:7" x14ac:dyDescent="0.3">
      <c r="A72" s="39" t="str">
        <f t="shared" si="1"/>
        <v>Stockton-East Water District</v>
      </c>
      <c r="B72" s="146">
        <v>68404</v>
      </c>
      <c r="C72" s="146">
        <v>71493</v>
      </c>
      <c r="D72" s="470" t="s">
        <v>204</v>
      </c>
      <c r="E72" s="470" t="s">
        <v>204</v>
      </c>
      <c r="F72" s="470" t="s">
        <v>204</v>
      </c>
      <c r="G72" s="40" t="s">
        <v>1066</v>
      </c>
    </row>
    <row r="73" spans="1:7" x14ac:dyDescent="0.3">
      <c r="A73" s="39" t="str">
        <f t="shared" si="1"/>
        <v>Alameda County Flood Control and Water Conservation District, Zone 7</v>
      </c>
      <c r="B73" s="146">
        <f>IFERROR(AVERAGEIFS(uwmp_table_7_3_w!H$2:H$900,uwmp_table_7_3_w!$G$2:$G$900,"Demand totals",uwmp_table_7_3_w!$B$2:$B$900,'Contractor Assumptions'!$F29),0) + IFERROR(AVERAGEIFS(uwmp_table_7_3_r!H$2:H$900,uwmp_table_7_3_r!$G$2:$G$900,"Demand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50300</v>
      </c>
      <c r="C73" s="146">
        <f>IFERROR(AVERAGEIFS(uwmp_table_7_3_w!I$2:I$900,uwmp_table_7_3_w!$G$2:$G$900,"Demand totals",uwmp_table_7_3_w!$B$2:$B$900,'Contractor Assumptions'!$F29),0) + IFERROR(AVERAGEIFS(uwmp_table_7_3_r!I$2:I$900,uwmp_table_7_3_r!$G$2:$G$900,"Demand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52800</v>
      </c>
      <c r="D73" s="146">
        <f>IFERROR(AVERAGEIFS(uwmp_table_7_3_w!J$2:J$900,uwmp_table_7_3_w!$G$2:$G$900,"Demand totals",uwmp_table_7_3_w!$B$2:$B$900,'Contractor Assumptions'!$F29),0) + IFERROR(AVERAGEIFS(uwmp_table_7_3_r!J$2:J$900,uwmp_table_7_3_r!$G$2:$G$900,"Demand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53800</v>
      </c>
      <c r="E73" s="146">
        <f>IFERROR(AVERAGEIFS(uwmp_table_7_3_w!K$2:K$900,uwmp_table_7_3_w!$G$2:$G$900,"Demand totals",uwmp_table_7_3_w!$B$2:$B$900,'Contractor Assumptions'!$F29),0) + IFERROR(AVERAGEIFS(uwmp_table_7_3_r!K$2:K$900,uwmp_table_7_3_r!$G$2:$G$900,"Demand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55300</v>
      </c>
      <c r="F73" s="146">
        <f>IFERROR(AVERAGEIFS(uwmp_table_7_3_w!L$2:L$900,uwmp_table_7_3_w!$G$2:$G$900,"Demand totals",uwmp_table_7_3_w!$B$2:$B$900,'Contractor Assumptions'!$F29),0) + IFERROR(AVERAGEIFS(uwmp_table_7_3_r!L$2:L$900,uwmp_table_7_3_r!$G$2:$G$900,"Demand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55300</v>
      </c>
      <c r="G73" s="40" t="s">
        <v>1051</v>
      </c>
    </row>
    <row r="74" spans="1:7" x14ac:dyDescent="0.3">
      <c r="A74" s="39" t="str">
        <f t="shared" si="1"/>
        <v>Alameda County Water District</v>
      </c>
      <c r="B74" s="146">
        <f>IFERROR(AVERAGEIFS(uwmp_table_7_3_w!H$2:H$900,uwmp_table_7_3_w!$G$2:$G$900,"Demand totals",uwmp_table_7_3_w!$B$2:$B$900,'Contractor Assumptions'!$F30),0) + IFERROR(AVERAGEIFS(uwmp_table_7_3_r!H$2:H$900,uwmp_table_7_3_r!$G$2:$G$900,"Demand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58200</v>
      </c>
      <c r="C74" s="146">
        <f>IFERROR(AVERAGEIFS(uwmp_table_7_3_w!I$2:I$900,uwmp_table_7_3_w!$G$2:$G$900,"Demand totals",uwmp_table_7_3_w!$B$2:$B$900,'Contractor Assumptions'!$F30),0) + IFERROR(AVERAGEIFS(uwmp_table_7_3_r!I$2:I$900,uwmp_table_7_3_r!$G$2:$G$900,"Demand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57700</v>
      </c>
      <c r="D74" s="146">
        <f>IFERROR(AVERAGEIFS(uwmp_table_7_3_w!J$2:J$900,uwmp_table_7_3_w!$G$2:$G$900,"Demand totals",uwmp_table_7_3_w!$B$2:$B$900,'Contractor Assumptions'!$F30),0) + IFERROR(AVERAGEIFS(uwmp_table_7_3_r!J$2:J$900,uwmp_table_7_3_r!$G$2:$G$900,"Demand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57400</v>
      </c>
      <c r="E74" s="146">
        <f>IFERROR(AVERAGEIFS(uwmp_table_7_3_w!K$2:K$900,uwmp_table_7_3_w!$G$2:$G$900,"Demand totals",uwmp_table_7_3_w!$B$2:$B$900,'Contractor Assumptions'!$F30),0) + IFERROR(AVERAGEIFS(uwmp_table_7_3_r!K$2:K$900,uwmp_table_7_3_r!$G$2:$G$900,"Demand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57400</v>
      </c>
      <c r="F74" s="146">
        <f>IFERROR(AVERAGEIFS(uwmp_table_7_3_w!L$2:L$900,uwmp_table_7_3_w!$G$2:$G$900,"Demand totals",uwmp_table_7_3_w!$B$2:$B$900,'Contractor Assumptions'!$F30),0) + IFERROR(AVERAGEIFS(uwmp_table_7_3_r!L$2:L$900,uwmp_table_7_3_r!$G$2:$G$900,"Demand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63900</v>
      </c>
      <c r="G74" s="40"/>
    </row>
    <row r="75" spans="1:7" x14ac:dyDescent="0.3">
      <c r="A75" s="39" t="str">
        <f t="shared" si="1"/>
        <v>Contra Costa Water District</v>
      </c>
      <c r="B75" s="146">
        <f>IFERROR(AVERAGEIFS(uwmp_table_7_3_w!H$2:H$900,uwmp_table_7_3_w!$G$2:$G$900,"Demand totals",uwmp_table_7_3_w!$B$2:$B$900,'Contractor Assumptions'!$F31),0) + IFERROR(AVERAGEIFS(uwmp_table_7_3_r!H$2:H$900,uwmp_table_7_3_r!$G$2:$G$900,"Demand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238900</v>
      </c>
      <c r="C75" s="146">
        <f>IFERROR(AVERAGEIFS(uwmp_table_7_3_w!I$2:I$900,uwmp_table_7_3_w!$G$2:$G$900,"Demand totals",uwmp_table_7_3_w!$B$2:$B$900,'Contractor Assumptions'!$F31),0) + IFERROR(AVERAGEIFS(uwmp_table_7_3_r!I$2:I$900,uwmp_table_7_3_r!$G$2:$G$900,"Demand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255900</v>
      </c>
      <c r="D75" s="146">
        <f>IFERROR(AVERAGEIFS(uwmp_table_7_3_w!J$2:J$900,uwmp_table_7_3_w!$G$2:$G$900,"Demand totals",uwmp_table_7_3_w!$B$2:$B$900,'Contractor Assumptions'!$F31),0) + IFERROR(AVERAGEIFS(uwmp_table_7_3_r!J$2:J$900,uwmp_table_7_3_r!$G$2:$G$900,"Demand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267400</v>
      </c>
      <c r="E75" s="146">
        <f>IFERROR(AVERAGEIFS(uwmp_table_7_3_w!K$2:K$900,uwmp_table_7_3_w!$G$2:$G$900,"Demand totals",uwmp_table_7_3_w!$B$2:$B$900,'Contractor Assumptions'!$F31),0) + IFERROR(AVERAGEIFS(uwmp_table_7_3_r!K$2:K$900,uwmp_table_7_3_r!$G$2:$G$900,"Demand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277400</v>
      </c>
      <c r="F75" s="146">
        <f>IFERROR(AVERAGEIFS(uwmp_table_7_3_w!L$2:L$900,uwmp_table_7_3_w!$G$2:$G$900,"Demand totals",uwmp_table_7_3_w!$B$2:$B$900,'Contractor Assumptions'!$F31),0) + IFERROR(AVERAGEIFS(uwmp_table_7_3_r!L$2:L$900,uwmp_table_7_3_r!$G$2:$G$900,"Demand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283600</v>
      </c>
      <c r="G75" s="40"/>
    </row>
    <row r="76" spans="1:7" x14ac:dyDescent="0.3">
      <c r="A76" s="39" t="str">
        <f t="shared" si="1"/>
        <v>East Bay Municipal Utilities District</v>
      </c>
      <c r="B76" s="146">
        <f>IFERROR(AVERAGEIFS(uwmp_table_7_3_w!H$2:H$900,uwmp_table_7_3_w!$G$2:$G$900,"Demand totals",uwmp_table_7_3_w!$B$2:$B$900,'Contractor Assumptions'!$F32),0) + IFERROR(AVERAGEIFS(uwmp_table_7_3_r!H$2:H$900,uwmp_table_7_3_r!$G$2:$G$900,"Demand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208346.79613649999</v>
      </c>
      <c r="C76" s="146">
        <f>IFERROR(AVERAGEIFS(uwmp_table_7_3_w!I$2:I$900,uwmp_table_7_3_w!$G$2:$G$900,"Demand totals",uwmp_table_7_3_w!$B$2:$B$900,'Contractor Assumptions'!$F32),0) + IFERROR(AVERAGEIFS(uwmp_table_7_3_r!I$2:I$900,uwmp_table_7_3_r!$G$2:$G$900,"Demand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211707.22833225</v>
      </c>
      <c r="D76" s="146">
        <f>IFERROR(AVERAGEIFS(uwmp_table_7_3_w!J$2:J$900,uwmp_table_7_3_w!$G$2:$G$900,"Demand totals",uwmp_table_7_3_w!$B$2:$B$900,'Contractor Assumptions'!$F32),0) + IFERROR(AVERAGEIFS(uwmp_table_7_3_r!J$2:J$900,uwmp_table_7_3_r!$G$2:$G$900,"Demand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215067.66052800001</v>
      </c>
      <c r="E76" s="146">
        <f>IFERROR(AVERAGEIFS(uwmp_table_7_3_w!K$2:K$900,uwmp_table_7_3_w!$G$2:$G$900,"Demand totals",uwmp_table_7_3_w!$B$2:$B$900,'Contractor Assumptions'!$F32),0) + IFERROR(AVERAGEIFS(uwmp_table_7_3_r!K$2:K$900,uwmp_table_7_3_r!$G$2:$G$900,"Demand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221788.52491949999</v>
      </c>
      <c r="F76" s="146">
        <f>IFERROR(AVERAGEIFS(uwmp_table_7_3_w!L$2:L$900,uwmp_table_7_3_w!$G$2:$G$900,"Demand totals",uwmp_table_7_3_w!$B$2:$B$900,'Contractor Assumptions'!$F32),0) + IFERROR(AVERAGEIFS(uwmp_table_7_3_r!L$2:L$900,uwmp_table_7_3_r!$G$2:$G$900,"Demand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228509.38931100001</v>
      </c>
      <c r="G76" s="40"/>
    </row>
    <row r="77" spans="1:7" x14ac:dyDescent="0.3">
      <c r="A77" s="39" t="str">
        <f t="shared" si="1"/>
        <v>San Benito County Water District, Zone 6</v>
      </c>
      <c r="B77" s="146">
        <f>IFERROR(AVERAGEIFS(uwmp_table_7_3_w!H$2:H$900,uwmp_table_7_3_w!$G$2:$G$900,"Demand totals",uwmp_table_7_3_w!$B$2:$B$900,'Contractor Assumptions'!$F33),0) + IFERROR(AVERAGEIFS(uwmp_table_7_3_r!H$2:H$900,uwmp_table_7_3_r!$G$2:$G$900,"Demand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6271</v>
      </c>
      <c r="C77" s="146">
        <f>IFERROR(AVERAGEIFS(uwmp_table_7_3_w!I$2:I$900,uwmp_table_7_3_w!$G$2:$G$900,"Demand totals",uwmp_table_7_3_w!$B$2:$B$900,'Contractor Assumptions'!$F33),0) + IFERROR(AVERAGEIFS(uwmp_table_7_3_r!I$2:I$900,uwmp_table_7_3_r!$G$2:$G$900,"Demand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7334</v>
      </c>
      <c r="D77" s="146">
        <f>IFERROR(AVERAGEIFS(uwmp_table_7_3_w!J$2:J$900,uwmp_table_7_3_w!$G$2:$G$900,"Demand totals",uwmp_table_7_3_w!$B$2:$B$900,'Contractor Assumptions'!$F33),0) + IFERROR(AVERAGEIFS(uwmp_table_7_3_r!J$2:J$900,uwmp_table_7_3_r!$G$2:$G$900,"Demand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8536</v>
      </c>
      <c r="E77" s="146">
        <f>IFERROR(AVERAGEIFS(uwmp_table_7_3_w!K$2:K$900,uwmp_table_7_3_w!$G$2:$G$900,"Demand totals",uwmp_table_7_3_w!$B$2:$B$900,'Contractor Assumptions'!$F33),0) + IFERROR(AVERAGEIFS(uwmp_table_7_3_r!K$2:K$900,uwmp_table_7_3_r!$G$2:$G$900,"Demand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9771</v>
      </c>
      <c r="F77" s="146">
        <f>IFERROR(AVERAGEIFS(uwmp_table_7_3_w!L$2:L$900,uwmp_table_7_3_w!$G$2:$G$900,"Demand totals",uwmp_table_7_3_w!$B$2:$B$900,'Contractor Assumptions'!$F33),0) + IFERROR(AVERAGEIFS(uwmp_table_7_3_r!L$2:L$900,uwmp_table_7_3_r!$G$2:$G$900,"Demand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0</v>
      </c>
      <c r="G77" s="40" t="s">
        <v>1067</v>
      </c>
    </row>
    <row r="78" spans="1:7" x14ac:dyDescent="0.3">
      <c r="A78" s="39" t="str">
        <f t="shared" si="1"/>
        <v>Santa Clara Valley Water District</v>
      </c>
      <c r="B78" s="146">
        <f>IFERROR(AVERAGEIFS(uwmp_table_7_3_w!H$2:H$900,uwmp_table_7_3_w!$G$2:$G$900,"Demand totals",uwmp_table_7_3_w!$B$2:$B$900,'Contractor Assumptions'!$F34),0) + IFERROR(AVERAGEIFS(uwmp_table_7_3_r!H$2:H$900,uwmp_table_7_3_r!$G$2:$G$900,"Demand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330000</v>
      </c>
      <c r="C78" s="146">
        <f>IFERROR(AVERAGEIFS(uwmp_table_7_3_w!I$2:I$900,uwmp_table_7_3_w!$G$2:$G$900,"Demand totals",uwmp_table_7_3_w!$B$2:$B$900,'Contractor Assumptions'!$F34),0) + IFERROR(AVERAGEIFS(uwmp_table_7_3_r!I$2:I$900,uwmp_table_7_3_r!$G$2:$G$900,"Demand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325000</v>
      </c>
      <c r="D78" s="146">
        <f>IFERROR(AVERAGEIFS(uwmp_table_7_3_w!J$2:J$900,uwmp_table_7_3_w!$G$2:$G$900,"Demand totals",uwmp_table_7_3_w!$B$2:$B$900,'Contractor Assumptions'!$F34),0) + IFERROR(AVERAGEIFS(uwmp_table_7_3_r!J$2:J$900,uwmp_table_7_3_r!$G$2:$G$900,"Demand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330000</v>
      </c>
      <c r="E78" s="146">
        <f>IFERROR(AVERAGEIFS(uwmp_table_7_3_w!K$2:K$900,uwmp_table_7_3_w!$G$2:$G$900,"Demand totals",uwmp_table_7_3_w!$B$2:$B$900,'Contractor Assumptions'!$F34),0) + IFERROR(AVERAGEIFS(uwmp_table_7_3_r!K$2:K$900,uwmp_table_7_3_r!$G$2:$G$900,"Demand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335000</v>
      </c>
      <c r="F78" s="146">
        <f>IFERROR(AVERAGEIFS(uwmp_table_7_3_w!L$2:L$900,uwmp_table_7_3_w!$G$2:$G$900,"Demand totals",uwmp_table_7_3_w!$B$2:$B$900,'Contractor Assumptions'!$F34),0) + IFERROR(AVERAGEIFS(uwmp_table_7_3_r!L$2:L$900,uwmp_table_7_3_r!$G$2:$G$900,"Demand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345000</v>
      </c>
      <c r="G78" s="40"/>
    </row>
    <row r="79" spans="1:7" x14ac:dyDescent="0.3">
      <c r="A79" s="39" t="str">
        <f t="shared" si="1"/>
        <v>San Luis Obispo County Flood Control &amp; Water Conservation District</v>
      </c>
      <c r="B79" s="146">
        <f>IFERROR(AVERAGEIFS(uwmp_table_7_3_w!H$2:H$900,uwmp_table_7_3_w!$G$2:$G$900,"Demand totals",uwmp_table_7_3_w!$B$2:$B$900,'Contractor Assumptions'!$F35),0) + IFERROR(AVERAGEIFS(uwmp_table_7_3_r!H$2:H$900,uwmp_table_7_3_r!$G$2:$G$900,"Demand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C79" s="146">
        <f>IFERROR(AVERAGEIFS(uwmp_table_7_3_w!I$2:I$900,uwmp_table_7_3_w!$G$2:$G$900,"Demand totals",uwmp_table_7_3_w!$B$2:$B$900,'Contractor Assumptions'!$F35),0) + IFERROR(AVERAGEIFS(uwmp_table_7_3_r!I$2:I$900,uwmp_table_7_3_r!$G$2:$G$900,"Demand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D79" s="146">
        <f>IFERROR(AVERAGEIFS(uwmp_table_7_3_w!J$2:J$900,uwmp_table_7_3_w!$G$2:$G$900,"Demand totals",uwmp_table_7_3_w!$B$2:$B$900,'Contractor Assumptions'!$F35),0) + IFERROR(AVERAGEIFS(uwmp_table_7_3_r!J$2:J$900,uwmp_table_7_3_r!$G$2:$G$900,"Demand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E79" s="146">
        <f>IFERROR(AVERAGEIFS(uwmp_table_7_3_w!K$2:K$900,uwmp_table_7_3_w!$G$2:$G$900,"Demand totals",uwmp_table_7_3_w!$B$2:$B$900,'Contractor Assumptions'!$F35),0) + IFERROR(AVERAGEIFS(uwmp_table_7_3_r!K$2:K$900,uwmp_table_7_3_r!$G$2:$G$900,"Demand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F79" s="146">
        <f>IFERROR(AVERAGEIFS(uwmp_table_7_3_w!L$2:L$900,uwmp_table_7_3_w!$G$2:$G$900,"Demand totals",uwmp_table_7_3_w!$B$2:$B$900,'Contractor Assumptions'!$F35),0) + IFERROR(AVERAGEIFS(uwmp_table_7_3_r!L$2:L$900,uwmp_table_7_3_r!$G$2:$G$900,"Demand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G79" s="40"/>
    </row>
    <row r="80" spans="1:7" x14ac:dyDescent="0.3">
      <c r="A80" s="39" t="str">
        <f t="shared" si="1"/>
        <v>Santa Barbara County Flood Control &amp; Water Conservation District</v>
      </c>
      <c r="B80" s="470" t="s">
        <v>204</v>
      </c>
      <c r="C80" s="470" t="s">
        <v>204</v>
      </c>
      <c r="D80" s="470" t="s">
        <v>204</v>
      </c>
      <c r="E80" s="470" t="s">
        <v>204</v>
      </c>
      <c r="F80" s="470" t="s">
        <v>204</v>
      </c>
      <c r="G80" s="40"/>
    </row>
    <row r="81" spans="1:7" x14ac:dyDescent="0.3">
      <c r="A81" s="39" t="str">
        <f t="shared" si="1"/>
        <v>Antelope Valley-East Kern Water Agency</v>
      </c>
      <c r="B81" s="146">
        <f>IFERROR(AVERAGEIFS(uwmp_table_7_3_w!H$2:H$900,uwmp_table_7_3_w!$G$2:$G$900,"Demand totals",uwmp_table_7_3_w!$B$2:$B$900,'Contractor Assumptions'!$F37),0) + IFERROR(AVERAGEIFS(uwmp_table_7_3_r!H$2:H$900,uwmp_table_7_3_r!$G$2:$G$900,"Demand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44440</v>
      </c>
      <c r="C81" s="146">
        <f>IFERROR(AVERAGEIFS(uwmp_table_7_3_w!I$2:I$900,uwmp_table_7_3_w!$G$2:$G$900,"Demand totals",uwmp_table_7_3_w!$B$2:$B$900,'Contractor Assumptions'!$F37),0) + IFERROR(AVERAGEIFS(uwmp_table_7_3_r!I$2:I$900,uwmp_table_7_3_r!$G$2:$G$900,"Demand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50990</v>
      </c>
      <c r="D81" s="146">
        <f>IFERROR(AVERAGEIFS(uwmp_table_7_3_w!J$2:J$900,uwmp_table_7_3_w!$G$2:$G$900,"Demand totals",uwmp_table_7_3_w!$B$2:$B$900,'Contractor Assumptions'!$F37),0) + IFERROR(AVERAGEIFS(uwmp_table_7_3_r!J$2:J$900,uwmp_table_7_3_r!$G$2:$G$900,"Demand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51880</v>
      </c>
      <c r="E81" s="146">
        <f>IFERROR(AVERAGEIFS(uwmp_table_7_3_w!K$2:K$900,uwmp_table_7_3_w!$G$2:$G$900,"Demand totals",uwmp_table_7_3_w!$B$2:$B$900,'Contractor Assumptions'!$F37),0) + IFERROR(AVERAGEIFS(uwmp_table_7_3_r!K$2:K$900,uwmp_table_7_3_r!$G$2:$G$900,"Demand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55210</v>
      </c>
      <c r="F81" s="146">
        <f>IFERROR(AVERAGEIFS(uwmp_table_7_3_w!L$2:L$900,uwmp_table_7_3_w!$G$2:$G$900,"Demand totals",uwmp_table_7_3_w!$B$2:$B$900,'Contractor Assumptions'!$F37),0) + IFERROR(AVERAGEIFS(uwmp_table_7_3_r!L$2:L$900,uwmp_table_7_3_r!$G$2:$G$900,"Demand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57590</v>
      </c>
      <c r="G81" s="40"/>
    </row>
    <row r="82" spans="1:7" x14ac:dyDescent="0.3">
      <c r="A82" s="39" t="str">
        <f t="shared" si="1"/>
        <v>Santa Clarita Water Division</v>
      </c>
      <c r="B82" s="146">
        <f>IFERROR(AVERAGEIFS(uwmp_table_7_3_w!H$2:H$900,uwmp_table_7_3_w!$G$2:$G$900,"Demand totals",uwmp_table_7_3_w!$B$2:$B$900,'Contractor Assumptions'!$F38),0) + IFERROR(AVERAGEIFS(uwmp_table_7_3_r!H$2:H$900,uwmp_table_7_3_r!$G$2:$G$900,"Demand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81000</v>
      </c>
      <c r="C82" s="146">
        <f>IFERROR(AVERAGEIFS(uwmp_table_7_3_w!I$2:I$900,uwmp_table_7_3_w!$G$2:$G$900,"Demand totals",uwmp_table_7_3_w!$B$2:$B$900,'Contractor Assumptions'!$F38),0) + IFERROR(AVERAGEIFS(uwmp_table_7_3_r!I$2:I$900,uwmp_table_7_3_r!$G$2:$G$900,"Demand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86600</v>
      </c>
      <c r="D82" s="146">
        <f>IFERROR(AVERAGEIFS(uwmp_table_7_3_w!J$2:J$900,uwmp_table_7_3_w!$G$2:$G$900,"Demand totals",uwmp_table_7_3_w!$B$2:$B$900,'Contractor Assumptions'!$F38),0) + IFERROR(AVERAGEIFS(uwmp_table_7_3_r!J$2:J$900,uwmp_table_7_3_r!$G$2:$G$900,"Demand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94000</v>
      </c>
      <c r="E82" s="146">
        <f>IFERROR(AVERAGEIFS(uwmp_table_7_3_w!K$2:K$900,uwmp_table_7_3_w!$G$2:$G$900,"Demand totals",uwmp_table_7_3_w!$B$2:$B$900,'Contractor Assumptions'!$F38),0) + IFERROR(AVERAGEIFS(uwmp_table_7_3_r!K$2:K$900,uwmp_table_7_3_r!$G$2:$G$900,"Demand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99200</v>
      </c>
      <c r="F82" s="146">
        <f>IFERROR(AVERAGEIFS(uwmp_table_7_3_w!L$2:L$900,uwmp_table_7_3_w!$G$2:$G$900,"Demand totals",uwmp_table_7_3_w!$B$2:$B$900,'Contractor Assumptions'!$F38),0) + IFERROR(AVERAGEIFS(uwmp_table_7_3_r!L$2:L$900,uwmp_table_7_3_r!$G$2:$G$900,"Demand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103400</v>
      </c>
      <c r="G82" s="40"/>
    </row>
    <row r="83" spans="1:7" x14ac:dyDescent="0.3">
      <c r="A83" s="39" t="str">
        <f t="shared" si="1"/>
        <v>Coachella Valley Water District</v>
      </c>
      <c r="B83" s="470" t="s">
        <v>204</v>
      </c>
      <c r="C83" s="470" t="s">
        <v>204</v>
      </c>
      <c r="D83" s="470" t="s">
        <v>204</v>
      </c>
      <c r="E83" s="470" t="s">
        <v>204</v>
      </c>
      <c r="F83" s="470" t="s">
        <v>204</v>
      </c>
      <c r="G83" s="40"/>
    </row>
    <row r="84" spans="1:7" x14ac:dyDescent="0.3">
      <c r="A84" s="39" t="str">
        <f t="shared" si="1"/>
        <v>Crestline-Lake Arrowhead Water Agency</v>
      </c>
      <c r="B84" s="470" t="s">
        <v>204</v>
      </c>
      <c r="C84" s="470" t="s">
        <v>204</v>
      </c>
      <c r="D84" s="470" t="s">
        <v>204</v>
      </c>
      <c r="E84" s="470" t="s">
        <v>204</v>
      </c>
      <c r="F84" s="470" t="s">
        <v>204</v>
      </c>
      <c r="G84" s="40"/>
    </row>
    <row r="85" spans="1:7" x14ac:dyDescent="0.3">
      <c r="A85" s="39" t="str">
        <f t="shared" si="1"/>
        <v>Desert Water Agency</v>
      </c>
      <c r="B85" s="470" t="s">
        <v>204</v>
      </c>
      <c r="C85" s="470" t="s">
        <v>204</v>
      </c>
      <c r="D85" s="470" t="s">
        <v>204</v>
      </c>
      <c r="E85" s="470" t="s">
        <v>204</v>
      </c>
      <c r="F85" s="470" t="s">
        <v>204</v>
      </c>
      <c r="G85" s="40"/>
    </row>
    <row r="86" spans="1:7" x14ac:dyDescent="0.3">
      <c r="A86" s="39" t="str">
        <f t="shared" si="1"/>
        <v>Metropolitan Water District of Southern California</v>
      </c>
      <c r="B86" s="146">
        <f>4929000 - 1162000</f>
        <v>3767000</v>
      </c>
      <c r="C86" s="146">
        <f>5037000-1211000</f>
        <v>3826000</v>
      </c>
      <c r="D86" s="146">
        <f>5160000-1263000</f>
        <v>3897000</v>
      </c>
      <c r="E86" s="146">
        <f>5265000-1325000</f>
        <v>3940000</v>
      </c>
      <c r="F86" s="146">
        <f>5378000-1389000</f>
        <v>3989000</v>
      </c>
      <c r="G86" s="40" t="s">
        <v>1068</v>
      </c>
    </row>
    <row r="87" spans="1:7" x14ac:dyDescent="0.3">
      <c r="A87" s="39" t="str">
        <f t="shared" si="1"/>
        <v>Mojave Water Agency</v>
      </c>
      <c r="B87" s="146">
        <f>IFERROR(AVERAGEIFS(uwmp_table_7_3_w!H$2:H$900,uwmp_table_7_3_w!$G$2:$G$900,"Demand totals",uwmp_table_7_3_w!$B$2:$B$900,'Contractor Assumptions'!$F43),0) + IFERROR(AVERAGEIFS(uwmp_table_7_3_r!H$2:H$900,uwmp_table_7_3_r!$G$2:$G$900,"Demand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130800</v>
      </c>
      <c r="C87" s="146">
        <f>IFERROR(AVERAGEIFS(uwmp_table_7_3_w!I$2:I$900,uwmp_table_7_3_w!$G$2:$G$900,"Demand totals",uwmp_table_7_3_w!$B$2:$B$900,'Contractor Assumptions'!$F43),0) + IFERROR(AVERAGEIFS(uwmp_table_7_3_r!I$2:I$900,uwmp_table_7_3_r!$G$2:$G$900,"Demand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135300</v>
      </c>
      <c r="D87" s="146">
        <f>IFERROR(AVERAGEIFS(uwmp_table_7_3_w!J$2:J$900,uwmp_table_7_3_w!$G$2:$G$900,"Demand totals",uwmp_table_7_3_w!$B$2:$B$900,'Contractor Assumptions'!$F43),0) + IFERROR(AVERAGEIFS(uwmp_table_7_3_r!J$2:J$900,uwmp_table_7_3_r!$G$2:$G$900,"Demand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137700</v>
      </c>
      <c r="E87" s="146">
        <f>IFERROR(AVERAGEIFS(uwmp_table_7_3_w!K$2:K$900,uwmp_table_7_3_w!$G$2:$G$900,"Demand totals",uwmp_table_7_3_w!$B$2:$B$900,'Contractor Assumptions'!$F43),0) + IFERROR(AVERAGEIFS(uwmp_table_7_3_r!K$2:K$900,uwmp_table_7_3_r!$G$2:$G$900,"Demand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140200</v>
      </c>
      <c r="F87" s="146">
        <f>IFERROR(AVERAGEIFS(uwmp_table_7_3_w!L$2:L$900,uwmp_table_7_3_w!$G$2:$G$900,"Demand totals",uwmp_table_7_3_w!$B$2:$B$900,'Contractor Assumptions'!$F43),0) + IFERROR(AVERAGEIFS(uwmp_table_7_3_r!L$2:L$900,uwmp_table_7_3_r!$G$2:$G$900,"Demand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142900</v>
      </c>
      <c r="G87" s="40" t="s">
        <v>1069</v>
      </c>
    </row>
    <row r="88" spans="1:7" x14ac:dyDescent="0.3">
      <c r="A88" s="39" t="str">
        <f t="shared" si="1"/>
        <v>Palmdale Water District &amp; Littlerock Creek Irrigation District</v>
      </c>
      <c r="B88" s="146">
        <f>IFERROR(AVERAGEIFS(uwmp_table_7_3_w!H$2:H$900,uwmp_table_7_3_w!$G$2:$G$900,"Demand totals",uwmp_table_7_3_w!$B$2:$B$900,'Contractor Assumptions'!$F44),0) + IFERROR(AVERAGEIFS(uwmp_table_7_3_r!H$2:H$900,uwmp_table_7_3_r!$G$2:$G$900,"Demand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20220</v>
      </c>
      <c r="C88" s="146">
        <f>IFERROR(AVERAGEIFS(uwmp_table_7_3_w!I$2:I$900,uwmp_table_7_3_w!$G$2:$G$900,"Demand totals",uwmp_table_7_3_w!$B$2:$B$900,'Contractor Assumptions'!$F44),0) + IFERROR(AVERAGEIFS(uwmp_table_7_3_r!I$2:I$900,uwmp_table_7_3_r!$G$2:$G$900,"Demand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21310</v>
      </c>
      <c r="D88" s="146">
        <f>IFERROR(AVERAGEIFS(uwmp_table_7_3_w!J$2:J$900,uwmp_table_7_3_w!$G$2:$G$900,"Demand totals",uwmp_table_7_3_w!$B$2:$B$900,'Contractor Assumptions'!$F44),0) + IFERROR(AVERAGEIFS(uwmp_table_7_3_r!J$2:J$900,uwmp_table_7_3_r!$G$2:$G$900,"Demand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22980</v>
      </c>
      <c r="E88" s="146">
        <f>IFERROR(AVERAGEIFS(uwmp_table_7_3_w!K$2:K$900,uwmp_table_7_3_w!$G$2:$G$900,"Demand totals",uwmp_table_7_3_w!$B$2:$B$900,'Contractor Assumptions'!$F44),0) + IFERROR(AVERAGEIFS(uwmp_table_7_3_r!K$2:K$900,uwmp_table_7_3_r!$G$2:$G$900,"Demand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24780</v>
      </c>
      <c r="F88" s="146">
        <f>IFERROR(AVERAGEIFS(uwmp_table_7_3_w!L$2:L$900,uwmp_table_7_3_w!$G$2:$G$900,"Demand totals",uwmp_table_7_3_w!$B$2:$B$900,'Contractor Assumptions'!$F44),0) + IFERROR(AVERAGEIFS(uwmp_table_7_3_r!L$2:L$900,uwmp_table_7_3_r!$G$2:$G$900,"Demand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26250</v>
      </c>
      <c r="G88" s="40"/>
    </row>
    <row r="89" spans="1:7" x14ac:dyDescent="0.3">
      <c r="A89" s="39" t="str">
        <f t="shared" si="1"/>
        <v>San Bernardino Valley Municipal Water District</v>
      </c>
      <c r="B89" s="146">
        <v>365258</v>
      </c>
      <c r="C89" s="146">
        <v>376662</v>
      </c>
      <c r="D89" s="146">
        <v>388533</v>
      </c>
      <c r="E89" s="146">
        <v>399326</v>
      </c>
      <c r="F89" s="146">
        <v>410712</v>
      </c>
      <c r="G89" s="40" t="s">
        <v>1070</v>
      </c>
    </row>
    <row r="90" spans="1:7" x14ac:dyDescent="0.3">
      <c r="A90" s="39" t="str">
        <f t="shared" si="1"/>
        <v>San Gabriel Valley Municipal Water District</v>
      </c>
      <c r="B90" s="470" t="s">
        <v>204</v>
      </c>
      <c r="C90" s="470" t="s">
        <v>204</v>
      </c>
      <c r="D90" s="470" t="s">
        <v>204</v>
      </c>
      <c r="E90" s="470" t="s">
        <v>204</v>
      </c>
      <c r="F90" s="470" t="s">
        <v>204</v>
      </c>
      <c r="G90" s="40" t="s">
        <v>1071</v>
      </c>
    </row>
    <row r="91" spans="1:7" x14ac:dyDescent="0.3">
      <c r="A91" s="39" t="str">
        <f t="shared" si="1"/>
        <v>San Gorgonio Pass Water Agency</v>
      </c>
      <c r="B91" s="146">
        <f>IFERROR(AVERAGEIFS(uwmp_table_7_3_w!H$2:H$900,uwmp_table_7_3_w!$G$2:$G$900,"Demand totals",uwmp_table_7_3_w!$B$2:$B$900,'Contractor Assumptions'!$F47),0) + IFERROR(AVERAGEIFS(uwmp_table_7_3_r!H$2:H$900,uwmp_table_7_3_r!$G$2:$G$900,"Demand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30400</v>
      </c>
      <c r="C91" s="146">
        <f>IFERROR(AVERAGEIFS(uwmp_table_7_3_w!I$2:I$900,uwmp_table_7_3_w!$G$2:$G$900,"Demand totals",uwmp_table_7_3_w!$B$2:$B$900,'Contractor Assumptions'!$F47),0) + IFERROR(AVERAGEIFS(uwmp_table_7_3_r!I$2:I$900,uwmp_table_7_3_r!$G$2:$G$900,"Demand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32900</v>
      </c>
      <c r="D91" s="146">
        <f>IFERROR(AVERAGEIFS(uwmp_table_7_3_w!J$2:J$900,uwmp_table_7_3_w!$G$2:$G$900,"Demand totals",uwmp_table_7_3_w!$B$2:$B$900,'Contractor Assumptions'!$F47),0) + IFERROR(AVERAGEIFS(uwmp_table_7_3_r!J$2:J$900,uwmp_table_7_3_r!$G$2:$G$900,"Demand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35600</v>
      </c>
      <c r="E91" s="146">
        <f>IFERROR(AVERAGEIFS(uwmp_table_7_3_w!K$2:K$900,uwmp_table_7_3_w!$G$2:$G$900,"Demand totals",uwmp_table_7_3_w!$B$2:$B$900,'Contractor Assumptions'!$F47),0) + IFERROR(AVERAGEIFS(uwmp_table_7_3_r!K$2:K$900,uwmp_table_7_3_r!$G$2:$G$900,"Demand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38100</v>
      </c>
      <c r="F91" s="146">
        <f>IFERROR(AVERAGEIFS(uwmp_table_7_3_w!L$2:L$900,uwmp_table_7_3_w!$G$2:$G$900,"Demand totals",uwmp_table_7_3_w!$B$2:$B$900,'Contractor Assumptions'!$F47),0) + IFERROR(AVERAGEIFS(uwmp_table_7_3_r!L$2:L$900,uwmp_table_7_3_r!$G$2:$G$900,"Demand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40300</v>
      </c>
      <c r="G91" s="40"/>
    </row>
    <row r="92" spans="1:7" x14ac:dyDescent="0.3">
      <c r="A92" s="39" t="str">
        <f t="shared" si="1"/>
        <v>Ventura County Watershed Protection District</v>
      </c>
      <c r="B92" s="470" t="s">
        <v>204</v>
      </c>
      <c r="C92" s="470" t="s">
        <v>204</v>
      </c>
      <c r="D92" s="470" t="s">
        <v>204</v>
      </c>
      <c r="E92" s="470" t="s">
        <v>204</v>
      </c>
      <c r="F92" s="470" t="s">
        <v>204</v>
      </c>
      <c r="G92" s="146"/>
    </row>
    <row r="95" spans="1:7" ht="21" x14ac:dyDescent="0.4">
      <c r="A95" s="336" t="s">
        <v>1072</v>
      </c>
    </row>
    <row r="96" spans="1:7" x14ac:dyDescent="0.3">
      <c r="A96" s="125" t="s">
        <v>193</v>
      </c>
      <c r="B96" s="126">
        <v>2025</v>
      </c>
      <c r="C96" s="126">
        <v>2030</v>
      </c>
      <c r="D96" s="126">
        <v>2035</v>
      </c>
      <c r="E96" s="126">
        <v>2040</v>
      </c>
      <c r="F96" s="126">
        <v>2045</v>
      </c>
      <c r="G96" s="376" t="s">
        <v>153</v>
      </c>
    </row>
    <row r="97" spans="1:7" x14ac:dyDescent="0.3">
      <c r="A97" s="39" t="str">
        <f>K3</f>
        <v>Butte County</v>
      </c>
      <c r="B97" s="470" t="s">
        <v>204</v>
      </c>
      <c r="C97" s="470" t="s">
        <v>204</v>
      </c>
      <c r="D97" s="470" t="s">
        <v>204</v>
      </c>
      <c r="E97" s="470" t="s">
        <v>204</v>
      </c>
      <c r="F97" s="470" t="s">
        <v>204</v>
      </c>
      <c r="G97" s="146"/>
    </row>
    <row r="98" spans="1:7" x14ac:dyDescent="0.3">
      <c r="A98" s="39" t="str">
        <f t="shared" ref="A98:A139" si="2">K4</f>
        <v>City of Folsom</v>
      </c>
      <c r="B98" s="146">
        <f>AVERAGEIFS(uwmp_table_7_4_r!I$2:I$99999,uwmp_table_7_4_r!$B$2:$B$99999,'Contractor Assumptions'!$F7,uwmp_table_7_4_r!$H$2:$H$99999,"Demand totals")</f>
        <v>20517</v>
      </c>
      <c r="C98" s="146">
        <f>AVERAGEIFS(uwmp_table_7_4_r!J$2:J$99999,uwmp_table_7_4_r!$B$2:$B$99999,'Contractor Assumptions'!$F7,uwmp_table_7_4_r!$H$2:$H$99999,"Demand totals")</f>
        <v>22746</v>
      </c>
      <c r="D98" s="146">
        <f>AVERAGEIFS(uwmp_table_7_4_r!K$2:K$99999,uwmp_table_7_4_r!$B$2:$B$99999,'Contractor Assumptions'!$F7,uwmp_table_7_4_r!$H$2:$H$99999,"Demand totals")</f>
        <v>24214</v>
      </c>
      <c r="E98" s="146">
        <f>AVERAGEIFS(uwmp_table_7_4_r!L$2:L$99999,uwmp_table_7_4_r!$B$2:$B$99999,'Contractor Assumptions'!$F7,uwmp_table_7_4_r!$H$2:$H$99999,"Demand totals")</f>
        <v>25145</v>
      </c>
      <c r="F98" s="146">
        <f>AVERAGEIFS(uwmp_table_7_4_r!M$2:M$99999,uwmp_table_7_4_r!$B$2:$B$99999,'Contractor Assumptions'!$F7,uwmp_table_7_4_r!$H$2:$H$99999,"Demand totals")</f>
        <v>25519</v>
      </c>
      <c r="G98" s="40" t="s">
        <v>1073</v>
      </c>
    </row>
    <row r="99" spans="1:7" x14ac:dyDescent="0.3">
      <c r="A99" s="39" t="str">
        <f t="shared" si="2"/>
        <v>City of Redding</v>
      </c>
      <c r="B99" s="146">
        <f>AVERAGEIFS(uwmp_table_7_4_r!I$2:I$99999,uwmp_table_7_4_r!$B$2:$B$99999,'Contractor Assumptions'!$F8,uwmp_table_7_4_r!$H$2:$H$99999,"Demand totals")</f>
        <v>24115.3207253</v>
      </c>
      <c r="C99" s="146">
        <f>AVERAGEIFS(uwmp_table_7_4_r!J$2:J$99999,uwmp_table_7_4_r!$B$2:$B$99999,'Contractor Assumptions'!$F8,uwmp_table_7_4_r!$H$2:$H$99999,"Demand totals")</f>
        <v>24621.68722055</v>
      </c>
      <c r="D99" s="146">
        <f>AVERAGEIFS(uwmp_table_7_4_r!K$2:K$99999,uwmp_table_7_4_r!$B$2:$B$99999,'Contractor Assumptions'!$F8,uwmp_table_7_4_r!$H$2:$H$99999,"Demand totals")</f>
        <v>25140.329267199999</v>
      </c>
      <c r="E99" s="146">
        <f>AVERAGEIFS(uwmp_table_7_4_r!L$2:L$99999,uwmp_table_7_4_r!$B$2:$B$99999,'Contractor Assumptions'!$F8,uwmp_table_7_4_r!$H$2:$H$99999,"Demand totals")</f>
        <v>25668.177977399999</v>
      </c>
      <c r="F99" s="146">
        <f>AVERAGEIFS(uwmp_table_7_4_r!M$2:M$99999,uwmp_table_7_4_r!$B$2:$B$99999,'Contractor Assumptions'!$F8,uwmp_table_7_4_r!$H$2:$H$99999,"Demand totals")</f>
        <v>26205.23335115</v>
      </c>
      <c r="G99" s="40"/>
    </row>
    <row r="100" spans="1:7" x14ac:dyDescent="0.3">
      <c r="A100" s="39" t="str">
        <f t="shared" si="2"/>
        <v>City of Roseville</v>
      </c>
      <c r="B100" s="146">
        <f>AVERAGEIFS(uwmp_table_7_4_r!I$2:I$99999,uwmp_table_7_4_r!$B$2:$B$99999,'Contractor Assumptions'!$F9,uwmp_table_7_4_r!$H$2:$H$99999,"Demand totals")</f>
        <v>51589</v>
      </c>
      <c r="C100" s="146">
        <f>AVERAGEIFS(uwmp_table_7_4_r!J$2:J$99999,uwmp_table_7_4_r!$B$2:$B$99999,'Contractor Assumptions'!$F9,uwmp_table_7_4_r!$H$2:$H$99999,"Demand totals")</f>
        <v>56990</v>
      </c>
      <c r="D100" s="146">
        <f>AVERAGEIFS(uwmp_table_7_4_r!K$2:K$99999,uwmp_table_7_4_r!$B$2:$B$99999,'Contractor Assumptions'!$F9,uwmp_table_7_4_r!$H$2:$H$99999,"Demand totals")</f>
        <v>62547</v>
      </c>
      <c r="E100" s="146">
        <f>AVERAGEIFS(uwmp_table_7_4_r!L$2:L$99999,uwmp_table_7_4_r!$B$2:$B$99999,'Contractor Assumptions'!$F9,uwmp_table_7_4_r!$H$2:$H$99999,"Demand totals")</f>
        <v>62547</v>
      </c>
      <c r="F100" s="146">
        <f>AVERAGEIFS(uwmp_table_7_4_r!M$2:M$99999,uwmp_table_7_4_r!$B$2:$B$99999,'Contractor Assumptions'!$F9,uwmp_table_7_4_r!$H$2:$H$99999,"Demand totals")</f>
        <v>62547</v>
      </c>
      <c r="G100" s="40" t="s">
        <v>995</v>
      </c>
    </row>
    <row r="101" spans="1:7" x14ac:dyDescent="0.3">
      <c r="A101" s="39" t="str">
        <f t="shared" si="2"/>
        <v>City of West Sacramento</v>
      </c>
      <c r="B101" s="146">
        <f>AVERAGEIFS(uwmp_table_7_4_r!I$2:I$99999,uwmp_table_7_4_r!$B$2:$B$99999,'Contractor Assumptions'!$F10,uwmp_table_7_4_r!$H$2:$H$99999,"Demand totals")</f>
        <v>16233</v>
      </c>
      <c r="C101" s="146">
        <f>AVERAGEIFS(uwmp_table_7_4_r!J$2:J$99999,uwmp_table_7_4_r!$B$2:$B$99999,'Contractor Assumptions'!$F10,uwmp_table_7_4_r!$H$2:$H$99999,"Demand totals")</f>
        <v>17837.400000000001</v>
      </c>
      <c r="D101" s="146">
        <f>AVERAGEIFS(uwmp_table_7_4_r!K$2:K$99999,uwmp_table_7_4_r!$B$2:$B$99999,'Contractor Assumptions'!$F10,uwmp_table_7_4_r!$H$2:$H$99999,"Demand totals")</f>
        <v>18625</v>
      </c>
      <c r="E101" s="146">
        <f>AVERAGEIFS(uwmp_table_7_4_r!L$2:L$99999,uwmp_table_7_4_r!$B$2:$B$99999,'Contractor Assumptions'!$F10,uwmp_table_7_4_r!$H$2:$H$99999,"Demand totals")</f>
        <v>20071.8</v>
      </c>
      <c r="F101" s="146">
        <f>AVERAGEIFS(uwmp_table_7_4_r!M$2:M$99999,uwmp_table_7_4_r!$B$2:$B$99999,'Contractor Assumptions'!$F10,uwmp_table_7_4_r!$H$2:$H$99999,"Demand totals")</f>
        <v>21420</v>
      </c>
      <c r="G101" s="40"/>
    </row>
    <row r="102" spans="1:7" x14ac:dyDescent="0.3">
      <c r="A102" s="39" t="str">
        <f t="shared" si="2"/>
        <v>Yuba City</v>
      </c>
      <c r="B102" s="146">
        <f>AVERAGEIFS(uwmp_table_7_4_r!I$2:I$99999,uwmp_table_7_4_r!$B$2:$B$99999,'Contractor Assumptions'!$F11,uwmp_table_7_4_r!$H$2:$H$99999,"Demand totals")</f>
        <v>15910.8</v>
      </c>
      <c r="C102" s="146">
        <f>AVERAGEIFS(uwmp_table_7_4_r!J$2:J$99999,uwmp_table_7_4_r!$B$2:$B$99999,'Contractor Assumptions'!$F11,uwmp_table_7_4_r!$H$2:$H$99999,"Demand totals")</f>
        <v>14535.4</v>
      </c>
      <c r="D102" s="146">
        <f>AVERAGEIFS(uwmp_table_7_4_r!K$2:K$99999,uwmp_table_7_4_r!$B$2:$B$99999,'Contractor Assumptions'!$F11,uwmp_table_7_4_r!$H$2:$H$99999,"Demand totals")</f>
        <v>17312.400000000001</v>
      </c>
      <c r="E102" s="146">
        <f>AVERAGEIFS(uwmp_table_7_4_r!L$2:L$99999,uwmp_table_7_4_r!$B$2:$B$99999,'Contractor Assumptions'!$F11,uwmp_table_7_4_r!$H$2:$H$99999,"Demand totals")</f>
        <v>18195.400000000001</v>
      </c>
      <c r="F102" s="146">
        <f>AVERAGEIFS(uwmp_table_7_4_r!M$2:M$99999,uwmp_table_7_4_r!$B$2:$B$99999,'Contractor Assumptions'!$F11,uwmp_table_7_4_r!$H$2:$H$99999,"Demand totals")</f>
        <v>18722</v>
      </c>
      <c r="G102" s="40" t="s">
        <v>996</v>
      </c>
    </row>
    <row r="103" spans="1:7" x14ac:dyDescent="0.3">
      <c r="A103" s="39" t="str">
        <f t="shared" si="2"/>
        <v>El Dorado Irrigation District</v>
      </c>
      <c r="B103" s="146">
        <f>AVERAGEIFS(uwmp_table_7_4_r!I$2:I$99999,uwmp_table_7_4_r!$B$2:$B$99999,'Contractor Assumptions'!$F12,uwmp_table_7_4_r!$H$2:$H$99999,"Demand totals")</f>
        <v>41270</v>
      </c>
      <c r="C103" s="146">
        <f>AVERAGEIFS(uwmp_table_7_4_r!J$2:J$99999,uwmp_table_7_4_r!$B$2:$B$99999,'Contractor Assumptions'!$F12,uwmp_table_7_4_r!$H$2:$H$99999,"Demand totals")</f>
        <v>34680</v>
      </c>
      <c r="D103" s="146">
        <f>AVERAGEIFS(uwmp_table_7_4_r!K$2:K$99999,uwmp_table_7_4_r!$B$2:$B$99999,'Contractor Assumptions'!$F12,uwmp_table_7_4_r!$H$2:$H$99999,"Demand totals")</f>
        <v>43470</v>
      </c>
      <c r="E103" s="146">
        <f>AVERAGEIFS(uwmp_table_7_4_r!L$2:L$99999,uwmp_table_7_4_r!$B$2:$B$99999,'Contractor Assumptions'!$F12,uwmp_table_7_4_r!$H$2:$H$99999,"Demand totals")</f>
        <v>44740</v>
      </c>
      <c r="F103" s="146">
        <f>AVERAGEIFS(uwmp_table_7_4_r!M$2:M$99999,uwmp_table_7_4_r!$B$2:$B$99999,'Contractor Assumptions'!$F12,uwmp_table_7_4_r!$H$2:$H$99999,"Demand totals")</f>
        <v>45490</v>
      </c>
      <c r="G103" s="40" t="s">
        <v>997</v>
      </c>
    </row>
    <row r="104" spans="1:7" x14ac:dyDescent="0.3">
      <c r="A104" s="39" t="str">
        <f t="shared" si="2"/>
        <v>Napa County Flood Control &amp; Water Conservation District</v>
      </c>
      <c r="B104" s="470" t="s">
        <v>204</v>
      </c>
      <c r="C104" s="470" t="s">
        <v>204</v>
      </c>
      <c r="D104" s="470" t="s">
        <v>204</v>
      </c>
      <c r="E104" s="470" t="s">
        <v>204</v>
      </c>
      <c r="F104" s="470" t="s">
        <v>204</v>
      </c>
      <c r="G104" s="40"/>
    </row>
    <row r="105" spans="1:7" x14ac:dyDescent="0.3">
      <c r="A105" s="39" t="str">
        <f t="shared" si="2"/>
        <v>Placer County Water Agency</v>
      </c>
      <c r="B105" s="146">
        <f>AVERAGEIFS(uwmp_table_7_4_r!I$2:I$99999,uwmp_table_7_4_r!$B$2:$B$99999,'Contractor Assumptions'!$F14,uwmp_table_7_4_r!$H$2:$H$99999,"Demand totals")</f>
        <v>145725</v>
      </c>
      <c r="C105" s="146">
        <f>AVERAGEIFS(uwmp_table_7_4_r!J$2:J$99999,uwmp_table_7_4_r!$B$2:$B$99999,'Contractor Assumptions'!$F14,uwmp_table_7_4_r!$H$2:$H$99999,"Demand totals")</f>
        <v>155170</v>
      </c>
      <c r="D105" s="146">
        <f>AVERAGEIFS(uwmp_table_7_4_r!K$2:K$99999,uwmp_table_7_4_r!$B$2:$B$99999,'Contractor Assumptions'!$F14,uwmp_table_7_4_r!$H$2:$H$99999,"Demand totals")</f>
        <v>168460</v>
      </c>
      <c r="E105" s="146">
        <f>AVERAGEIFS(uwmp_table_7_4_r!L$2:L$99999,uwmp_table_7_4_r!$B$2:$B$99999,'Contractor Assumptions'!$F14,uwmp_table_7_4_r!$H$2:$H$99999,"Demand totals")</f>
        <v>197988</v>
      </c>
      <c r="F105" s="146">
        <v>224416</v>
      </c>
      <c r="G105" s="40" t="s">
        <v>998</v>
      </c>
    </row>
    <row r="106" spans="1:7" x14ac:dyDescent="0.3">
      <c r="A106" s="39" t="str">
        <f t="shared" si="2"/>
        <v>Sacramento County Water Agency</v>
      </c>
      <c r="B106" s="146">
        <f>AVERAGEIFS(uwmp_table_7_4_r!I$2:I$99999,uwmp_table_7_4_r!$B$2:$B$99999,'Contractor Assumptions'!$F15,uwmp_table_7_4_r!$H$2:$H$99999,"Demand totals")</f>
        <v>54972</v>
      </c>
      <c r="C106" s="146">
        <f>AVERAGEIFS(uwmp_table_7_4_r!J$2:J$99999,uwmp_table_7_4_r!$B$2:$B$99999,'Contractor Assumptions'!$F15,uwmp_table_7_4_r!$H$2:$H$99999,"Demand totals")</f>
        <v>64771</v>
      </c>
      <c r="D106" s="146">
        <f>AVERAGEIFS(uwmp_table_7_4_r!K$2:K$99999,uwmp_table_7_4_r!$B$2:$B$99999,'Contractor Assumptions'!$F15,uwmp_table_7_4_r!$H$2:$H$99999,"Demand totals")</f>
        <v>73764</v>
      </c>
      <c r="E106" s="146">
        <f>AVERAGEIFS(uwmp_table_7_4_r!L$2:L$99999,uwmp_table_7_4_r!$B$2:$B$99999,'Contractor Assumptions'!$F15,uwmp_table_7_4_r!$H$2:$H$99999,"Demand totals")</f>
        <v>81315</v>
      </c>
      <c r="F106" s="146">
        <f>AVERAGEIFS(uwmp_table_7_4_r!M$2:M$99999,uwmp_table_7_4_r!$B$2:$B$99999,'Contractor Assumptions'!$F15,uwmp_table_7_4_r!$H$2:$H$99999,"Demand totals")</f>
        <v>89032</v>
      </c>
      <c r="G106" s="40" t="s">
        <v>999</v>
      </c>
    </row>
    <row r="107" spans="1:7" x14ac:dyDescent="0.3">
      <c r="A107" s="39" t="str">
        <f t="shared" si="2"/>
        <v>San Juan Water District</v>
      </c>
      <c r="B107" s="146">
        <f>AVERAGE(41590, 41730, 41870, 42010, 42150) + AVERAGE(11870, 11890, 11910, 11930, 11950)</f>
        <v>53780</v>
      </c>
      <c r="C107" s="146">
        <f>AVERAGE(42110, 42250, 42390,42530, 42670)+ AVERAGE(11870, 11890, 11910, 11930, 11950) +100</f>
        <v>54400</v>
      </c>
      <c r="D107" s="146">
        <f>AVERAGE(41800,41940,42080,42220,42360)+ AVERAGE(11870, 11890, 11910, 11930, 11950)</f>
        <v>53990</v>
      </c>
      <c r="E107" s="146">
        <f>AVERAGE(42530,42670,42810,42950,43090)+ AVERAGE(11870, 11890, 11910, 11930, 11950) +100</f>
        <v>54820</v>
      </c>
      <c r="F107" s="146">
        <f>AVERAGE(43160.433,43440,43590,43740)+ AVERAGE(12080, 12100, 12120, 12140, 12160)</f>
        <v>55602.608249999997</v>
      </c>
      <c r="G107" s="40" t="s">
        <v>1074</v>
      </c>
    </row>
    <row r="108" spans="1:7" x14ac:dyDescent="0.3">
      <c r="A108" s="39" t="str">
        <f t="shared" si="2"/>
        <v>Shasta Contractors</v>
      </c>
      <c r="B108" s="470" t="s">
        <v>204</v>
      </c>
      <c r="C108" s="470" t="s">
        <v>204</v>
      </c>
      <c r="D108" s="470" t="s">
        <v>204</v>
      </c>
      <c r="E108" s="470" t="s">
        <v>204</v>
      </c>
      <c r="F108" s="470" t="s">
        <v>204</v>
      </c>
      <c r="G108" s="40"/>
    </row>
    <row r="109" spans="1:7" x14ac:dyDescent="0.3">
      <c r="A109" s="39" t="str">
        <f t="shared" si="2"/>
        <v>Solano County Water Agency</v>
      </c>
      <c r="B109" s="470" t="s">
        <v>204</v>
      </c>
      <c r="C109" s="470" t="s">
        <v>204</v>
      </c>
      <c r="D109" s="470" t="s">
        <v>204</v>
      </c>
      <c r="E109" s="470" t="s">
        <v>204</v>
      </c>
      <c r="F109" s="470" t="s">
        <v>204</v>
      </c>
      <c r="G109" s="40"/>
    </row>
    <row r="110" spans="1:7" x14ac:dyDescent="0.3">
      <c r="A110" s="39" t="str">
        <f t="shared" si="2"/>
        <v>City of Avenal</v>
      </c>
      <c r="B110" s="470" t="s">
        <v>204</v>
      </c>
      <c r="C110" s="470" t="s">
        <v>204</v>
      </c>
      <c r="D110" s="470" t="s">
        <v>204</v>
      </c>
      <c r="E110" s="470" t="s">
        <v>204</v>
      </c>
      <c r="F110" s="470" t="s">
        <v>204</v>
      </c>
      <c r="G110" s="40"/>
    </row>
    <row r="111" spans="1:7" x14ac:dyDescent="0.3">
      <c r="A111" s="39" t="str">
        <f t="shared" si="2"/>
        <v>City of Coalinga</v>
      </c>
      <c r="B111" s="146">
        <f>AVERAGEIFS(uwmp_table_7_4_r!I$2:I$99999,uwmp_table_7_4_r!$B$2:$B$99999,'Contractor Assumptions'!$F20,uwmp_table_7_4_r!$H$2:$H$99999,"Demand totals")</f>
        <v>4627.8828777999997</v>
      </c>
      <c r="C111" s="146">
        <f>AVERAGEIFS(uwmp_table_7_4_r!J$2:J$99999,uwmp_table_7_4_r!$B$2:$B$99999,'Contractor Assumptions'!$F20,uwmp_table_7_4_r!$H$2:$H$99999,"Demand totals")</f>
        <v>5253.9359992</v>
      </c>
      <c r="D111" s="146">
        <f>AVERAGEIFS(uwmp_table_7_4_r!K$2:K$99999,uwmp_table_7_4_r!$B$2:$B$99999,'Contractor Assumptions'!$F20,uwmp_table_7_4_r!$H$2:$H$99999,"Demand totals")</f>
        <v>5968.98686825</v>
      </c>
      <c r="E111" s="146">
        <f>AVERAGEIFS(uwmp_table_7_4_r!L$2:L$99999,uwmp_table_7_4_r!$B$2:$B$99999,'Contractor Assumptions'!$F20,uwmp_table_7_4_r!$H$2:$H$99999,"Demand totals")</f>
        <v>6773.03548495</v>
      </c>
      <c r="F111" s="146">
        <v>6773</v>
      </c>
      <c r="G111" s="40"/>
    </row>
    <row r="112" spans="1:7" x14ac:dyDescent="0.3">
      <c r="A112" s="39" t="str">
        <f t="shared" si="2"/>
        <v>City of Fresno</v>
      </c>
      <c r="B112" s="146">
        <f>AVERAGEIFS(uwmp_table_7_4_r!I$2:I$99999,uwmp_table_7_4_r!$B$2:$B$99999,'Contractor Assumptions'!$F21,uwmp_table_7_4_r!$H$2:$H$99999,"Demand totals")</f>
        <v>190086</v>
      </c>
      <c r="C112" s="146">
        <f>AVERAGEIFS(uwmp_table_7_4_r!J$2:J$99999,uwmp_table_7_4_r!$B$2:$B$99999,'Contractor Assumptions'!$F21,uwmp_table_7_4_r!$H$2:$H$99999,"Demand totals")</f>
        <v>199565</v>
      </c>
      <c r="D112" s="146">
        <f>AVERAGEIFS(uwmp_table_7_4_r!K$2:K$99999,uwmp_table_7_4_r!$B$2:$B$99999,'Contractor Assumptions'!$F21,uwmp_table_7_4_r!$H$2:$H$99999,"Demand totals")</f>
        <v>206937.2</v>
      </c>
      <c r="E112" s="146">
        <f>AVERAGEIFS(uwmp_table_7_4_r!L$2:L$99999,uwmp_table_7_4_r!$B$2:$B$99999,'Contractor Assumptions'!$F21,uwmp_table_7_4_r!$H$2:$H$99999,"Demand totals")</f>
        <v>214283.4</v>
      </c>
      <c r="F112" s="146">
        <f>AVERAGEIFS(uwmp_table_7_4_r!M$2:M$99999,uwmp_table_7_4_r!$B$2:$B$99999,'Contractor Assumptions'!$F21,uwmp_table_7_4_r!$H$2:$H$99999,"Demand totals")</f>
        <v>221608.2</v>
      </c>
      <c r="G112" s="40"/>
    </row>
    <row r="113" spans="1:7" x14ac:dyDescent="0.3">
      <c r="A113" s="39" t="str">
        <f t="shared" si="2"/>
        <v>City of Huron</v>
      </c>
      <c r="B113" s="470" t="s">
        <v>204</v>
      </c>
      <c r="C113" s="470" t="s">
        <v>204</v>
      </c>
      <c r="D113" s="470" t="s">
        <v>204</v>
      </c>
      <c r="E113" s="470" t="s">
        <v>204</v>
      </c>
      <c r="F113" s="470" t="s">
        <v>204</v>
      </c>
      <c r="G113" s="40"/>
    </row>
    <row r="114" spans="1:7" x14ac:dyDescent="0.3">
      <c r="A114" s="39" t="str">
        <f t="shared" si="2"/>
        <v>City of Lindsay</v>
      </c>
      <c r="B114" s="470" t="s">
        <v>204</v>
      </c>
      <c r="C114" s="470" t="s">
        <v>204</v>
      </c>
      <c r="D114" s="470" t="s">
        <v>204</v>
      </c>
      <c r="E114" s="470" t="s">
        <v>204</v>
      </c>
      <c r="F114" s="470" t="s">
        <v>204</v>
      </c>
      <c r="G114" s="40"/>
    </row>
    <row r="115" spans="1:7" x14ac:dyDescent="0.3">
      <c r="A115" s="39" t="str">
        <f t="shared" si="2"/>
        <v>City of Orange Cove</v>
      </c>
      <c r="B115" s="470" t="s">
        <v>204</v>
      </c>
      <c r="C115" s="470" t="s">
        <v>204</v>
      </c>
      <c r="D115" s="470" t="s">
        <v>204</v>
      </c>
      <c r="E115" s="470" t="s">
        <v>204</v>
      </c>
      <c r="F115" s="470" t="s">
        <v>204</v>
      </c>
      <c r="G115" s="40"/>
    </row>
    <row r="116" spans="1:7" x14ac:dyDescent="0.3">
      <c r="A116" s="39" t="str">
        <f t="shared" si="2"/>
        <v>City of Tracy</v>
      </c>
      <c r="B116" s="146">
        <f>AVERAGEIFS(uwmp_table_7_4_r!I$2:I$99999,uwmp_table_7_4_r!$B$2:$B$99999,'Contractor Assumptions'!$F25,uwmp_table_7_4_r!$H$2:$H$99999,"Demand totals")</f>
        <v>21508.62</v>
      </c>
      <c r="C116" s="146">
        <f>AVERAGEIFS(uwmp_table_7_4_r!J$2:J$99999,uwmp_table_7_4_r!$B$2:$B$99999,'Contractor Assumptions'!$F25,uwmp_table_7_4_r!$H$2:$H$99999,"Demand totals")</f>
        <v>25167.06</v>
      </c>
      <c r="D116" s="146">
        <f>AVERAGEIFS(uwmp_table_7_4_r!K$2:K$99999,uwmp_table_7_4_r!$B$2:$B$99999,'Contractor Assumptions'!$F25,uwmp_table_7_4_r!$H$2:$H$99999,"Demand totals")</f>
        <v>28871.18</v>
      </c>
      <c r="E116" s="146">
        <f>AVERAGEIFS(uwmp_table_7_4_r!L$2:L$99999,uwmp_table_7_4_r!$B$2:$B$99999,'Contractor Assumptions'!$F25,uwmp_table_7_4_r!$H$2:$H$99999,"Demand totals")</f>
        <v>32603.45</v>
      </c>
      <c r="F116" s="146">
        <f>AVERAGEIFS(uwmp_table_7_4_r!M$2:M$99999,uwmp_table_7_4_r!$B$2:$B$99999,'Contractor Assumptions'!$F25,uwmp_table_7_4_r!$H$2:$H$99999,"Demand totals")</f>
        <v>39378.79</v>
      </c>
      <c r="G116" s="40"/>
    </row>
    <row r="117" spans="1:7" x14ac:dyDescent="0.3">
      <c r="A117" s="39" t="str">
        <f t="shared" si="2"/>
        <v>Kern County Water Agency</v>
      </c>
      <c r="B117" s="146">
        <f>IFERROR(AVERAGEIFS(uwmp_table_7_4_r!I$2:I$99999,uwmp_table_7_4_r!$B$2:$B$99999,'Contractor Assumptions'!$F26,uwmp_table_7_4_r!$H$2:$H$99999,"Demand totals"), AVERAGEIFS(uwmp_table_7_4_w!I$2:I$99999,uwmp_table_7_4_w!$B$2:$B$99999,'Contractor Assumptions'!$F26,uwmp_table_7_4_w!$H$2:$H$99999,"Demand totals"))</f>
        <v>62575</v>
      </c>
      <c r="C117" s="146">
        <f>IFERROR(AVERAGEIFS(uwmp_table_7_4_r!J$2:J$99999,uwmp_table_7_4_r!$B$2:$B$99999,'Contractor Assumptions'!$F26,uwmp_table_7_4_r!$H$2:$H$99999,"Demand totals"), AVERAGEIFS(uwmp_table_7_4_w!J$2:J$99999,uwmp_table_7_4_w!$B$2:$B$99999,'Contractor Assumptions'!$F26,uwmp_table_7_4_w!$H$2:$H$99999,"Demand totals"))</f>
        <v>64075</v>
      </c>
      <c r="D117" s="146">
        <f>IFERROR(AVERAGEIFS(uwmp_table_7_4_r!K$2:K$99999,uwmp_table_7_4_r!$B$2:$B$99999,'Contractor Assumptions'!$F26,uwmp_table_7_4_r!$H$2:$H$99999,"Demand totals"), AVERAGEIFS(uwmp_table_7_4_w!K$2:K$99999,uwmp_table_7_4_w!$B$2:$B$99999,'Contractor Assumptions'!$F26,uwmp_table_7_4_w!$H$2:$H$99999,"Demand totals"))</f>
        <v>65600</v>
      </c>
      <c r="E117" s="146">
        <f>IFERROR(AVERAGEIFS(uwmp_table_7_4_r!L$2:L$99999,uwmp_table_7_4_r!$B$2:$B$99999,'Contractor Assumptions'!$F26,uwmp_table_7_4_r!$H$2:$H$99999,"Demand totals"), AVERAGEIFS(uwmp_table_7_4_w!L$2:L$99999,uwmp_table_7_4_w!$B$2:$B$99999,'Contractor Assumptions'!$F26,uwmp_table_7_4_w!$H$2:$H$99999,"Demand totals"))</f>
        <v>65600</v>
      </c>
      <c r="F117" s="146">
        <f>IFERROR(AVERAGEIFS(uwmp_table_7_4_r!M$2:M$99999,uwmp_table_7_4_r!$B$2:$B$99999,'Contractor Assumptions'!$F26,uwmp_table_7_4_r!$H$2:$H$99999,"Demand totals"), AVERAGEIFS(uwmp_table_7_4_w!M$2:M$99999,uwmp_table_7_4_w!$B$2:$B$99999,'Contractor Assumptions'!$F26,uwmp_table_7_4_w!$H$2:$H$99999,"Demand totals"))</f>
        <v>65600</v>
      </c>
      <c r="G117" s="40" t="s">
        <v>1065</v>
      </c>
    </row>
    <row r="118" spans="1:7" x14ac:dyDescent="0.3">
      <c r="A118" s="39" t="str">
        <f t="shared" si="2"/>
        <v>Other Friant-Kern M&amp;I Contractors</v>
      </c>
      <c r="B118" s="470" t="s">
        <v>204</v>
      </c>
      <c r="C118" s="470" t="s">
        <v>204</v>
      </c>
      <c r="D118" s="470" t="s">
        <v>204</v>
      </c>
      <c r="E118" s="470" t="s">
        <v>204</v>
      </c>
      <c r="F118" s="470" t="s">
        <v>204</v>
      </c>
      <c r="G118" s="40"/>
    </row>
    <row r="119" spans="1:7" x14ac:dyDescent="0.3">
      <c r="A119" s="39" t="str">
        <f t="shared" si="2"/>
        <v>Stockton-East Water District</v>
      </c>
      <c r="B119" s="146">
        <f>AVERAGE(78796, 70837, 68415, 68230, 74276)</f>
        <v>72110.8</v>
      </c>
      <c r="C119" s="146">
        <f>AVERAGE(81885, 73926, 71504, 71319, 77365)</f>
        <v>75199.8</v>
      </c>
      <c r="D119" s="470" t="s">
        <v>204</v>
      </c>
      <c r="E119" s="470" t="s">
        <v>204</v>
      </c>
      <c r="F119" s="470" t="s">
        <v>204</v>
      </c>
      <c r="G119" s="40" t="s">
        <v>1075</v>
      </c>
    </row>
    <row r="120" spans="1:7" x14ac:dyDescent="0.3">
      <c r="A120" s="39" t="str">
        <f t="shared" si="2"/>
        <v>Alameda County Flood Control and Water Conservation District, Zone 7</v>
      </c>
      <c r="B120" s="146">
        <f>IFERROR(AVERAGEIFS(uwmp_table_7_4_r!I$2:I$99999,uwmp_table_7_4_r!$B$2:$B$99999,'Contractor Assumptions'!$F29,uwmp_table_7_4_r!$H$2:$H$99999,"Demand totals"), AVERAGEIFS(uwmp_table_7_4_w!I$2:I$99999,uwmp_table_7_4_w!$B$2:$B$99999,'Contractor Assumptions'!$F29,uwmp_table_7_4_w!$H$2:$H$99999,"Demand totals"))</f>
        <v>51750</v>
      </c>
      <c r="C120" s="146">
        <f>IFERROR(AVERAGEIFS(uwmp_table_7_4_r!J$2:J$99999,uwmp_table_7_4_r!$B$2:$B$99999,'Contractor Assumptions'!$F29,uwmp_table_7_4_r!$H$2:$H$99999,"Demand totals"), AVERAGEIFS(uwmp_table_7_4_w!J$2:J$99999,uwmp_table_7_4_w!$B$2:$B$99999,'Contractor Assumptions'!$F29,uwmp_table_7_4_w!$H$2:$H$99999,"Demand totals"))</f>
        <v>53400</v>
      </c>
      <c r="D120" s="146">
        <f>IFERROR(AVERAGEIFS(uwmp_table_7_4_r!K$2:K$99999,uwmp_table_7_4_r!$B$2:$B$99999,'Contractor Assumptions'!$F29,uwmp_table_7_4_r!$H$2:$H$99999,"Demand totals"), AVERAGEIFS(uwmp_table_7_4_w!K$2:K$99999,uwmp_table_7_4_w!$B$2:$B$99999,'Contractor Assumptions'!$F29,uwmp_table_7_4_w!$H$2:$H$99999,"Demand totals"))</f>
        <v>54420</v>
      </c>
      <c r="E120" s="146">
        <f>IFERROR(AVERAGEIFS(uwmp_table_7_4_r!L$2:L$99999,uwmp_table_7_4_r!$B$2:$B$99999,'Contractor Assumptions'!$F29,uwmp_table_7_4_r!$H$2:$H$99999,"Demand totals"), AVERAGEIFS(uwmp_table_7_4_w!L$2:L$99999,uwmp_table_7_4_w!$B$2:$B$99999,'Contractor Assumptions'!$F29,uwmp_table_7_4_w!$H$2:$H$99999,"Demand totals"))</f>
        <v>55300</v>
      </c>
      <c r="F120" s="146">
        <f>IFERROR(AVERAGEIFS(uwmp_table_7_4_r!M$2:M$99999,uwmp_table_7_4_r!$B$2:$B$99999,'Contractor Assumptions'!$F29,uwmp_table_7_4_r!$H$2:$H$99999,"Demand totals"), AVERAGEIFS(uwmp_table_7_4_w!M$2:M$99999,uwmp_table_7_4_w!$B$2:$B$99999,'Contractor Assumptions'!$F29,uwmp_table_7_4_w!$H$2:$H$99999,"Demand totals"))</f>
        <v>55300</v>
      </c>
      <c r="G120" s="40" t="s">
        <v>1051</v>
      </c>
    </row>
    <row r="121" spans="1:7" x14ac:dyDescent="0.3">
      <c r="A121" s="39" t="str">
        <f t="shared" si="2"/>
        <v>Alameda County Water District</v>
      </c>
      <c r="B121" s="146">
        <f>IFERROR(AVERAGEIFS(uwmp_table_7_4_r!I$2:I$99999,uwmp_table_7_4_r!$B$2:$B$99999,'Contractor Assumptions'!$F30,uwmp_table_7_4_r!$H$2:$H$99999,"Demand totals"), AVERAGEIFS(uwmp_table_7_4_w!I$2:I$99999,uwmp_table_7_4_w!$B$2:$B$99999,'Contractor Assumptions'!$F30,uwmp_table_7_4_w!$H$2:$H$99999,"Demand totals"))</f>
        <v>56860</v>
      </c>
      <c r="C121" s="146">
        <f>IFERROR(AVERAGEIFS(uwmp_table_7_4_r!J$2:J$99999,uwmp_table_7_4_r!$B$2:$B$99999,'Contractor Assumptions'!$F30,uwmp_table_7_4_r!$H$2:$H$99999,"Demand totals"), AVERAGEIFS(uwmp_table_7_4_w!J$2:J$99999,uwmp_table_7_4_w!$B$2:$B$99999,'Contractor Assumptions'!$F30,uwmp_table_7_4_w!$H$2:$H$99999,"Demand totals"))</f>
        <v>57500</v>
      </c>
      <c r="D121" s="146">
        <f>IFERROR(AVERAGEIFS(uwmp_table_7_4_r!K$2:K$99999,uwmp_table_7_4_r!$B$2:$B$99999,'Contractor Assumptions'!$F30,uwmp_table_7_4_r!$H$2:$H$99999,"Demand totals"), AVERAGEIFS(uwmp_table_7_4_w!K$2:K$99999,uwmp_table_7_4_w!$B$2:$B$99999,'Contractor Assumptions'!$F30,uwmp_table_7_4_w!$H$2:$H$99999,"Demand totals"))</f>
        <v>57060</v>
      </c>
      <c r="E121" s="146">
        <f>IFERROR(AVERAGEIFS(uwmp_table_7_4_r!L$2:L$99999,uwmp_table_7_4_r!$B$2:$B$99999,'Contractor Assumptions'!$F30,uwmp_table_7_4_r!$H$2:$H$99999,"Demand totals"), AVERAGEIFS(uwmp_table_7_4_w!L$2:L$99999,uwmp_table_7_4_w!$B$2:$B$99999,'Contractor Assumptions'!$F30,uwmp_table_7_4_w!$H$2:$H$99999,"Demand totals"))</f>
        <v>56720</v>
      </c>
      <c r="F121" s="146">
        <f>IFERROR(AVERAGEIFS(uwmp_table_7_4_r!M$2:M$99999,uwmp_table_7_4_r!$B$2:$B$99999,'Contractor Assumptions'!$F30,uwmp_table_7_4_r!$H$2:$H$99999,"Demand totals"), AVERAGEIFS(uwmp_table_7_4_w!M$2:M$99999,uwmp_table_7_4_w!$B$2:$B$99999,'Contractor Assumptions'!$F30,uwmp_table_7_4_w!$H$2:$H$99999,"Demand totals"))</f>
        <v>60260</v>
      </c>
      <c r="G121" s="40"/>
    </row>
    <row r="122" spans="1:7" x14ac:dyDescent="0.3">
      <c r="A122" s="39" t="str">
        <f t="shared" si="2"/>
        <v>Contra Costa Water District</v>
      </c>
      <c r="B122" s="146">
        <f>147300 +91600</f>
        <v>238900</v>
      </c>
      <c r="C122" s="146">
        <f>157300 + 98600</f>
        <v>255900</v>
      </c>
      <c r="D122" s="146">
        <f>165000 + 102400</f>
        <v>267400</v>
      </c>
      <c r="E122" s="146">
        <f>171300 + 106100</f>
        <v>277400</v>
      </c>
      <c r="F122" s="146">
        <f>107700 + 175900</f>
        <v>283600</v>
      </c>
      <c r="G122" s="40" t="s">
        <v>1076</v>
      </c>
    </row>
    <row r="123" spans="1:7" x14ac:dyDescent="0.3">
      <c r="A123" s="39" t="str">
        <f t="shared" si="2"/>
        <v>East Bay Municipal Utilities District</v>
      </c>
      <c r="B123" s="146">
        <f>IFERROR(AVERAGEIFS(uwmp_table_7_4_r!I$2:I$99999,uwmp_table_7_4_r!$B$2:$B$99999,'Contractor Assumptions'!$F32,uwmp_table_7_4_r!$H$2:$H$99999,"Demand totals"), AVERAGEIFS(uwmp_table_7_4_w!I$2:I$99999,uwmp_table_7_4_w!$B$2:$B$99999,'Contractor Assumptions'!$F32,uwmp_table_7_4_w!$H$2:$H$99999,"Demand totals"))</f>
        <v>188184.20296200001</v>
      </c>
      <c r="C123" s="146">
        <f>IFERROR(AVERAGEIFS(uwmp_table_7_4_r!J$2:J$99999,uwmp_table_7_4_r!$B$2:$B$99999,'Contractor Assumptions'!$F32,uwmp_table_7_4_r!$H$2:$H$99999,"Demand totals"), AVERAGEIFS(uwmp_table_7_4_w!J$2:J$99999,uwmp_table_7_4_w!$B$2:$B$99999,'Contractor Assumptions'!$F32,uwmp_table_7_4_w!$H$2:$H$99999,"Demand totals"))</f>
        <v>190797.87244758333</v>
      </c>
      <c r="D123" s="146">
        <f>IFERROR(AVERAGEIFS(uwmp_table_7_4_r!K$2:K$99999,uwmp_table_7_4_r!$B$2:$B$99999,'Contractor Assumptions'!$F32,uwmp_table_7_4_r!$H$2:$H$99999,"Demand totals"), AVERAGEIFS(uwmp_table_7_4_w!K$2:K$99999,uwmp_table_7_4_w!$B$2:$B$99999,'Contractor Assumptions'!$F32,uwmp_table_7_4_w!$H$2:$H$99999,"Demand totals"))</f>
        <v>192664.77922300002</v>
      </c>
      <c r="E123" s="146">
        <f>IFERROR(AVERAGEIFS(uwmp_table_7_4_r!L$2:L$99999,uwmp_table_7_4_r!$B$2:$B$99999,'Contractor Assumptions'!$F32,uwmp_table_7_4_r!$H$2:$H$99999,"Demand totals"), AVERAGEIFS(uwmp_table_7_4_w!L$2:L$99999,uwmp_table_7_4_w!$B$2:$B$99999,'Contractor Assumptions'!$F32,uwmp_table_7_4_w!$H$2:$H$99999,"Demand totals"))</f>
        <v>202372.69445516667</v>
      </c>
      <c r="F123" s="146">
        <f>IFERROR(AVERAGEIFS(uwmp_table_7_4_r!M$2:M$99999,uwmp_table_7_4_r!$B$2:$B$99999,'Contractor Assumptions'!$F32,uwmp_table_7_4_r!$H$2:$H$99999,"Demand totals"), AVERAGEIFS(uwmp_table_7_4_w!M$2:M$99999,uwmp_table_7_4_w!$B$2:$B$99999,'Contractor Assumptions'!$F32,uwmp_table_7_4_w!$H$2:$H$99999,"Demand totals"))</f>
        <v>210587.084267</v>
      </c>
      <c r="G123" s="40"/>
    </row>
    <row r="124" spans="1:7" x14ac:dyDescent="0.3">
      <c r="A124" s="39" t="str">
        <f t="shared" si="2"/>
        <v>San Benito County Water District, Zone 6</v>
      </c>
      <c r="B124" s="146">
        <f>IFERROR(AVERAGEIFS(uwmp_table_7_4_r!I$2:I$99999,uwmp_table_7_4_r!$B$2:$B$99999,'Contractor Assumptions'!$F33,uwmp_table_7_4_r!$H$2:$H$99999,"Demand totals"), AVERAGEIFS(uwmp_table_7_4_w!I$2:I$99999,uwmp_table_7_4_w!$B$2:$B$99999,'Contractor Assumptions'!$F33,uwmp_table_7_4_w!$H$2:$H$99999,"Demand totals"))</f>
        <v>6271</v>
      </c>
      <c r="C124" s="146">
        <f>IFERROR(AVERAGEIFS(uwmp_table_7_4_r!J$2:J$99999,uwmp_table_7_4_r!$B$2:$B$99999,'Contractor Assumptions'!$F33,uwmp_table_7_4_r!$H$2:$H$99999,"Demand totals"), AVERAGEIFS(uwmp_table_7_4_w!J$2:J$99999,uwmp_table_7_4_w!$B$2:$B$99999,'Contractor Assumptions'!$F33,uwmp_table_7_4_w!$H$2:$H$99999,"Demand totals"))</f>
        <v>7334</v>
      </c>
      <c r="D124" s="146">
        <f>IFERROR(AVERAGEIFS(uwmp_table_7_4_r!K$2:K$99999,uwmp_table_7_4_r!$B$2:$B$99999,'Contractor Assumptions'!$F33,uwmp_table_7_4_r!$H$2:$H$99999,"Demand totals"), AVERAGEIFS(uwmp_table_7_4_w!K$2:K$99999,uwmp_table_7_4_w!$B$2:$B$99999,'Contractor Assumptions'!$F33,uwmp_table_7_4_w!$H$2:$H$99999,"Demand totals"))</f>
        <v>8536</v>
      </c>
      <c r="E124" s="146">
        <f>IFERROR(AVERAGEIFS(uwmp_table_7_4_r!L$2:L$99999,uwmp_table_7_4_r!$B$2:$B$99999,'Contractor Assumptions'!$F33,uwmp_table_7_4_r!$H$2:$H$99999,"Demand totals"), AVERAGEIFS(uwmp_table_7_4_w!L$2:L$99999,uwmp_table_7_4_w!$B$2:$B$99999,'Contractor Assumptions'!$F33,uwmp_table_7_4_w!$H$2:$H$99999,"Demand totals"))</f>
        <v>9771</v>
      </c>
      <c r="F124" s="146">
        <v>9771</v>
      </c>
      <c r="G124" s="40" t="s">
        <v>1067</v>
      </c>
    </row>
    <row r="125" spans="1:7" x14ac:dyDescent="0.3">
      <c r="A125" s="39" t="str">
        <f t="shared" si="2"/>
        <v>Santa Clara Valley Water District</v>
      </c>
      <c r="B125" s="146">
        <f>IFERROR(AVERAGEIFS(uwmp_table_7_4_r!I$2:I$99999,uwmp_table_7_4_r!$B$2:$B$99999,'Contractor Assumptions'!$F34,uwmp_table_7_4_r!$H$2:$H$99999,"Demand totals"), AVERAGEIFS(uwmp_table_7_4_w!I$2:I$99999,uwmp_table_7_4_w!$B$2:$B$99999,'Contractor Assumptions'!$F34,uwmp_table_7_4_w!$H$2:$H$99999,"Demand totals"))</f>
        <v>330000</v>
      </c>
      <c r="C125" s="146">
        <f>IFERROR(AVERAGEIFS(uwmp_table_7_4_r!J$2:J$99999,uwmp_table_7_4_r!$B$2:$B$99999,'Contractor Assumptions'!$F34,uwmp_table_7_4_r!$H$2:$H$99999,"Demand totals"), AVERAGEIFS(uwmp_table_7_4_w!J$2:J$99999,uwmp_table_7_4_w!$B$2:$B$99999,'Contractor Assumptions'!$F34,uwmp_table_7_4_w!$H$2:$H$99999,"Demand totals"))</f>
        <v>325000</v>
      </c>
      <c r="D125" s="146">
        <f>IFERROR(AVERAGEIFS(uwmp_table_7_4_r!K$2:K$99999,uwmp_table_7_4_r!$B$2:$B$99999,'Contractor Assumptions'!$F34,uwmp_table_7_4_r!$H$2:$H$99999,"Demand totals"), AVERAGEIFS(uwmp_table_7_4_w!K$2:K$99999,uwmp_table_7_4_w!$B$2:$B$99999,'Contractor Assumptions'!$F34,uwmp_table_7_4_w!$H$2:$H$99999,"Demand totals"))</f>
        <v>330000</v>
      </c>
      <c r="E125" s="146">
        <f>IFERROR(AVERAGEIFS(uwmp_table_7_4_r!L$2:L$99999,uwmp_table_7_4_r!$B$2:$B$99999,'Contractor Assumptions'!$F34,uwmp_table_7_4_r!$H$2:$H$99999,"Demand totals"), AVERAGEIFS(uwmp_table_7_4_w!L$2:L$99999,uwmp_table_7_4_w!$B$2:$B$99999,'Contractor Assumptions'!$F34,uwmp_table_7_4_w!$H$2:$H$99999,"Demand totals"))</f>
        <v>335000</v>
      </c>
      <c r="F125" s="146">
        <f>IFERROR(AVERAGEIFS(uwmp_table_7_4_r!M$2:M$99999,uwmp_table_7_4_r!$B$2:$B$99999,'Contractor Assumptions'!$F34,uwmp_table_7_4_r!$H$2:$H$99999,"Demand totals"), AVERAGEIFS(uwmp_table_7_4_w!M$2:M$99999,uwmp_table_7_4_w!$B$2:$B$99999,'Contractor Assumptions'!$F34,uwmp_table_7_4_w!$H$2:$H$99999,"Demand totals"))</f>
        <v>345000</v>
      </c>
      <c r="G125" s="40"/>
    </row>
    <row r="126" spans="1:7" x14ac:dyDescent="0.3">
      <c r="A126" s="39" t="str">
        <f t="shared" si="2"/>
        <v>San Luis Obispo County Flood Control &amp; Water Conservation District</v>
      </c>
      <c r="B126" s="146">
        <f>IFERROR(AVERAGEIFS(uwmp_table_7_4_r!I$2:I$99999,uwmp_table_7_4_r!$B$2:$B$99999,'Contractor Assumptions'!$F35,uwmp_table_7_4_r!$H$2:$H$99999,"Demand totals"), AVERAGEIFS(uwmp_table_7_4_w!I$2:I$99999,uwmp_table_7_4_w!$B$2:$B$99999,'Contractor Assumptions'!$F35,uwmp_table_7_4_w!$H$2:$H$99999,"Demand totals"))</f>
        <v>8388.7999999999993</v>
      </c>
      <c r="C126" s="146">
        <f>IFERROR(AVERAGEIFS(uwmp_table_7_4_r!J$2:J$99999,uwmp_table_7_4_r!$B$2:$B$99999,'Contractor Assumptions'!$F35,uwmp_table_7_4_r!$H$2:$H$99999,"Demand totals"), AVERAGEIFS(uwmp_table_7_4_w!J$2:J$99999,uwmp_table_7_4_w!$B$2:$B$99999,'Contractor Assumptions'!$F35,uwmp_table_7_4_w!$H$2:$H$99999,"Demand totals"))</f>
        <v>8388.7999999999993</v>
      </c>
      <c r="D126" s="146">
        <f>IFERROR(AVERAGEIFS(uwmp_table_7_4_r!K$2:K$99999,uwmp_table_7_4_r!$B$2:$B$99999,'Contractor Assumptions'!$F35,uwmp_table_7_4_r!$H$2:$H$99999,"Demand totals"), AVERAGEIFS(uwmp_table_7_4_w!K$2:K$99999,uwmp_table_7_4_w!$B$2:$B$99999,'Contractor Assumptions'!$F35,uwmp_table_7_4_w!$H$2:$H$99999,"Demand totals"))</f>
        <v>8388.7999999999993</v>
      </c>
      <c r="E126" s="146">
        <f>IFERROR(AVERAGEIFS(uwmp_table_7_4_r!L$2:L$99999,uwmp_table_7_4_r!$B$2:$B$99999,'Contractor Assumptions'!$F35,uwmp_table_7_4_r!$H$2:$H$99999,"Demand totals"), AVERAGEIFS(uwmp_table_7_4_w!L$2:L$99999,uwmp_table_7_4_w!$B$2:$B$99999,'Contractor Assumptions'!$F35,uwmp_table_7_4_w!$H$2:$H$99999,"Demand totals"))</f>
        <v>8388.7999999999993</v>
      </c>
      <c r="F126" s="146">
        <f>IFERROR(AVERAGEIFS(uwmp_table_7_4_r!M$2:M$99999,uwmp_table_7_4_r!$B$2:$B$99999,'Contractor Assumptions'!$F35,uwmp_table_7_4_r!$H$2:$H$99999,"Demand totals"), AVERAGEIFS(uwmp_table_7_4_w!M$2:M$99999,uwmp_table_7_4_w!$B$2:$B$99999,'Contractor Assumptions'!$F35,uwmp_table_7_4_w!$H$2:$H$99999,"Demand totals"))</f>
        <v>8388.7999999999993</v>
      </c>
      <c r="G126" s="40"/>
    </row>
    <row r="127" spans="1:7" x14ac:dyDescent="0.3">
      <c r="A127" s="39" t="str">
        <f t="shared" si="2"/>
        <v>Santa Barbara County Flood Control &amp; Water Conservation District</v>
      </c>
      <c r="B127" s="470" t="s">
        <v>204</v>
      </c>
      <c r="C127" s="470" t="s">
        <v>204</v>
      </c>
      <c r="D127" s="470" t="s">
        <v>204</v>
      </c>
      <c r="E127" s="470" t="s">
        <v>204</v>
      </c>
      <c r="F127" s="470" t="s">
        <v>204</v>
      </c>
      <c r="G127" s="40"/>
    </row>
    <row r="128" spans="1:7" x14ac:dyDescent="0.3">
      <c r="A128" s="39" t="str">
        <f t="shared" si="2"/>
        <v>Antelope Valley-East Kern Water Agency</v>
      </c>
      <c r="B128" s="146">
        <f>IFERROR(AVERAGEIFS(uwmp_table_7_4_r!I$2:I$99999,uwmp_table_7_4_r!$B$2:$B$99999,'Contractor Assumptions'!$F37,uwmp_table_7_4_r!$H$2:$H$99999,"Demand totals"), AVERAGEIFS(uwmp_table_7_4_w!I$2:I$99999,uwmp_table_7_4_w!$B$2:$B$99999,'Contractor Assumptions'!$F37,uwmp_table_7_4_w!$H$2:$H$99999,"Demand totals"))</f>
        <v>44440</v>
      </c>
      <c r="C128" s="146">
        <f>IFERROR(AVERAGEIFS(uwmp_table_7_4_r!J$2:J$99999,uwmp_table_7_4_r!$B$2:$B$99999,'Contractor Assumptions'!$F37,uwmp_table_7_4_r!$H$2:$H$99999,"Demand totals"), AVERAGEIFS(uwmp_table_7_4_w!J$2:J$99999,uwmp_table_7_4_w!$B$2:$B$99999,'Contractor Assumptions'!$F37,uwmp_table_7_4_w!$H$2:$H$99999,"Demand totals"))</f>
        <v>50990</v>
      </c>
      <c r="D128" s="146">
        <f>IFERROR(AVERAGEIFS(uwmp_table_7_4_r!K$2:K$99999,uwmp_table_7_4_r!$B$2:$B$99999,'Contractor Assumptions'!$F37,uwmp_table_7_4_r!$H$2:$H$99999,"Demand totals"), AVERAGEIFS(uwmp_table_7_4_w!K$2:K$99999,uwmp_table_7_4_w!$B$2:$B$99999,'Contractor Assumptions'!$F37,uwmp_table_7_4_w!$H$2:$H$99999,"Demand totals"))</f>
        <v>51880</v>
      </c>
      <c r="E128" s="146">
        <f>IFERROR(AVERAGEIFS(uwmp_table_7_4_r!L$2:L$99999,uwmp_table_7_4_r!$B$2:$B$99999,'Contractor Assumptions'!$F37,uwmp_table_7_4_r!$H$2:$H$99999,"Demand totals"), AVERAGEIFS(uwmp_table_7_4_w!L$2:L$99999,uwmp_table_7_4_w!$B$2:$B$99999,'Contractor Assumptions'!$F37,uwmp_table_7_4_w!$H$2:$H$99999,"Demand totals"))</f>
        <v>55210</v>
      </c>
      <c r="F128" s="146">
        <f>IFERROR(AVERAGEIFS(uwmp_table_7_4_r!M$2:M$99999,uwmp_table_7_4_r!$B$2:$B$99999,'Contractor Assumptions'!$F37,uwmp_table_7_4_r!$H$2:$H$99999,"Demand totals"), AVERAGEIFS(uwmp_table_7_4_w!M$2:M$99999,uwmp_table_7_4_w!$B$2:$B$99999,'Contractor Assumptions'!$F37,uwmp_table_7_4_w!$H$2:$H$99999,"Demand totals"))</f>
        <v>57590</v>
      </c>
      <c r="G128" s="40"/>
    </row>
    <row r="129" spans="1:7" x14ac:dyDescent="0.3">
      <c r="A129" s="39" t="str">
        <f t="shared" si="2"/>
        <v>Santa Clarita Water Division</v>
      </c>
      <c r="B129" s="146">
        <f>IFERROR(AVERAGEIFS(uwmp_table_7_4_r!I$2:I$99999,uwmp_table_7_4_r!$B$2:$B$99999,'Contractor Assumptions'!$F38,uwmp_table_7_4_r!$H$2:$H$99999,"Demand totals"), AVERAGEIFS(uwmp_table_7_4_w!I$2:I$99999,uwmp_table_7_4_w!$B$2:$B$99999,'Contractor Assumptions'!$F38,uwmp_table_7_4_w!$H$2:$H$99999,"Demand totals"))</f>
        <v>77826</v>
      </c>
      <c r="C129" s="146">
        <f>IFERROR(AVERAGEIFS(uwmp_table_7_4_r!J$2:J$99999,uwmp_table_7_4_r!$B$2:$B$99999,'Contractor Assumptions'!$F38,uwmp_table_7_4_r!$H$2:$H$99999,"Demand totals"), AVERAGEIFS(uwmp_table_7_4_w!J$2:J$99999,uwmp_table_7_4_w!$B$2:$B$99999,'Contractor Assumptions'!$F38,uwmp_table_7_4_w!$H$2:$H$99999,"Demand totals"))</f>
        <v>83620</v>
      </c>
      <c r="D129" s="146">
        <f>IFERROR(AVERAGEIFS(uwmp_table_7_4_r!K$2:K$99999,uwmp_table_7_4_r!$B$2:$B$99999,'Contractor Assumptions'!$F38,uwmp_table_7_4_r!$H$2:$H$99999,"Demand totals"), AVERAGEIFS(uwmp_table_7_4_w!K$2:K$99999,uwmp_table_7_4_w!$B$2:$B$99999,'Contractor Assumptions'!$F38,uwmp_table_7_4_w!$H$2:$H$99999,"Demand totals"))</f>
        <v>90566</v>
      </c>
      <c r="E129" s="146">
        <f>IFERROR(AVERAGEIFS(uwmp_table_7_4_r!L$2:L$99999,uwmp_table_7_4_r!$B$2:$B$99999,'Contractor Assumptions'!$F38,uwmp_table_7_4_r!$H$2:$H$99999,"Demand totals"), AVERAGEIFS(uwmp_table_7_4_w!L$2:L$99999,uwmp_table_7_4_w!$B$2:$B$99999,'Contractor Assumptions'!$F38,uwmp_table_7_4_w!$H$2:$H$99999,"Demand totals"))</f>
        <v>95782</v>
      </c>
      <c r="F129" s="146">
        <f>IFERROR(AVERAGEIFS(uwmp_table_7_4_r!M$2:M$99999,uwmp_table_7_4_r!$B$2:$B$99999,'Contractor Assumptions'!$F38,uwmp_table_7_4_r!$H$2:$H$99999,"Demand totals"), AVERAGEIFS(uwmp_table_7_4_w!M$2:M$99999,uwmp_table_7_4_w!$B$2:$B$99999,'Contractor Assumptions'!$F38,uwmp_table_7_4_w!$H$2:$H$99999,"Demand totals"))</f>
        <v>99674</v>
      </c>
      <c r="G129" s="40"/>
    </row>
    <row r="130" spans="1:7" x14ac:dyDescent="0.3">
      <c r="A130" s="39" t="str">
        <f t="shared" si="2"/>
        <v>Coachella Valley Water District</v>
      </c>
      <c r="B130" s="470" t="s">
        <v>204</v>
      </c>
      <c r="C130" s="470" t="s">
        <v>204</v>
      </c>
      <c r="D130" s="470" t="s">
        <v>204</v>
      </c>
      <c r="E130" s="470" t="s">
        <v>204</v>
      </c>
      <c r="F130" s="470" t="s">
        <v>204</v>
      </c>
      <c r="G130" s="40"/>
    </row>
    <row r="131" spans="1:7" x14ac:dyDescent="0.3">
      <c r="A131" s="39" t="str">
        <f t="shared" si="2"/>
        <v>Crestline-Lake Arrowhead Water Agency</v>
      </c>
      <c r="B131" s="470" t="s">
        <v>204</v>
      </c>
      <c r="C131" s="470" t="s">
        <v>204</v>
      </c>
      <c r="D131" s="470" t="s">
        <v>204</v>
      </c>
      <c r="E131" s="470" t="s">
        <v>204</v>
      </c>
      <c r="F131" s="470" t="s">
        <v>204</v>
      </c>
      <c r="G131" s="40"/>
    </row>
    <row r="132" spans="1:7" x14ac:dyDescent="0.3">
      <c r="A132" s="39" t="str">
        <f t="shared" si="2"/>
        <v>Desert Water Agency</v>
      </c>
      <c r="B132" s="470" t="s">
        <v>204</v>
      </c>
      <c r="C132" s="470" t="s">
        <v>204</v>
      </c>
      <c r="D132" s="470" t="s">
        <v>204</v>
      </c>
      <c r="E132" s="470" t="s">
        <v>204</v>
      </c>
      <c r="F132" s="470" t="s">
        <v>204</v>
      </c>
      <c r="G132" s="40"/>
    </row>
    <row r="133" spans="1:7" x14ac:dyDescent="0.3">
      <c r="A133" s="39" t="str">
        <f t="shared" si="2"/>
        <v>Metropolitan Water District of Southern California</v>
      </c>
      <c r="B133" s="146">
        <f>4877000-1162000</f>
        <v>3715000</v>
      </c>
      <c r="C133" s="146">
        <f>5064000-1211000</f>
        <v>3853000</v>
      </c>
      <c r="D133" s="146">
        <f>5182000-1263000</f>
        <v>3919000</v>
      </c>
      <c r="E133" s="146">
        <f>5299000-1325000</f>
        <v>3974000</v>
      </c>
      <c r="F133" s="146">
        <f>5410000-1389000</f>
        <v>4021000</v>
      </c>
      <c r="G133" s="40" t="s">
        <v>1001</v>
      </c>
    </row>
    <row r="134" spans="1:7" x14ac:dyDescent="0.3">
      <c r="A134" s="39" t="str">
        <f t="shared" si="2"/>
        <v>Mojave Water Agency</v>
      </c>
      <c r="B134" s="146">
        <f>IFERROR(AVERAGEIFS(uwmp_table_7_4_r!I$2:I$99999,uwmp_table_7_4_r!$B$2:$B$99999,'Contractor Assumptions'!$F43,uwmp_table_7_4_r!$H$2:$H$99999,"Demand totals"), AVERAGEIFS(uwmp_table_7_4_w!I$2:I$99999,uwmp_table_7_4_w!$B$2:$B$99999,'Contractor Assumptions'!$F43,uwmp_table_7_4_w!$H$2:$H$99999,"Demand totals"))</f>
        <v>130800</v>
      </c>
      <c r="C134" s="146">
        <f>IFERROR(AVERAGEIFS(uwmp_table_7_4_r!J$2:J$99999,uwmp_table_7_4_r!$B$2:$B$99999,'Contractor Assumptions'!$F43,uwmp_table_7_4_r!$H$2:$H$99999,"Demand totals"), AVERAGEIFS(uwmp_table_7_4_w!J$2:J$99999,uwmp_table_7_4_w!$B$2:$B$99999,'Contractor Assumptions'!$F43,uwmp_table_7_4_w!$H$2:$H$99999,"Demand totals"))</f>
        <v>135300</v>
      </c>
      <c r="D134" s="146">
        <f>IFERROR(AVERAGEIFS(uwmp_table_7_4_r!K$2:K$99999,uwmp_table_7_4_r!$B$2:$B$99999,'Contractor Assumptions'!$F43,uwmp_table_7_4_r!$H$2:$H$99999,"Demand totals"), AVERAGEIFS(uwmp_table_7_4_w!K$2:K$99999,uwmp_table_7_4_w!$B$2:$B$99999,'Contractor Assumptions'!$F43,uwmp_table_7_4_w!$H$2:$H$99999,"Demand totals"))</f>
        <v>137700</v>
      </c>
      <c r="E134" s="146">
        <f>IFERROR(AVERAGEIFS(uwmp_table_7_4_r!L$2:L$99999,uwmp_table_7_4_r!$B$2:$B$99999,'Contractor Assumptions'!$F43,uwmp_table_7_4_r!$H$2:$H$99999,"Demand totals"), AVERAGEIFS(uwmp_table_7_4_w!L$2:L$99999,uwmp_table_7_4_w!$B$2:$B$99999,'Contractor Assumptions'!$F43,uwmp_table_7_4_w!$H$2:$H$99999,"Demand totals"))</f>
        <v>140200</v>
      </c>
      <c r="F134" s="146">
        <f>IFERROR(AVERAGEIFS(uwmp_table_7_4_r!M$2:M$99999,uwmp_table_7_4_r!$B$2:$B$99999,'Contractor Assumptions'!$F43,uwmp_table_7_4_r!$H$2:$H$99999,"Demand totals"), AVERAGEIFS(uwmp_table_7_4_w!M$2:M$99999,uwmp_table_7_4_w!$B$2:$B$99999,'Contractor Assumptions'!$F43,uwmp_table_7_4_w!$H$2:$H$99999,"Demand totals"))</f>
        <v>142900</v>
      </c>
      <c r="G134" s="40" t="s">
        <v>1077</v>
      </c>
    </row>
    <row r="135" spans="1:7" x14ac:dyDescent="0.3">
      <c r="A135" s="39" t="str">
        <f t="shared" si="2"/>
        <v>Palmdale Water District &amp; Littlerock Creek Irrigation District</v>
      </c>
      <c r="B135" s="146">
        <f>IFERROR(AVERAGEIFS(uwmp_table_7_4_r!I$2:I$99999,uwmp_table_7_4_r!$B$2:$B$99999,'Contractor Assumptions'!$F44,uwmp_table_7_4_r!$H$2:$H$99999,"Demand totals"), AVERAGEIFS(uwmp_table_7_4_w!I$2:I$99999,uwmp_table_7_4_w!$B$2:$B$99999,'Contractor Assumptions'!$F44,uwmp_table_7_4_w!$H$2:$H$99999,"Demand totals"))</f>
        <v>20220</v>
      </c>
      <c r="C135" s="146">
        <f>IFERROR(AVERAGEIFS(uwmp_table_7_4_r!J$2:J$99999,uwmp_table_7_4_r!$B$2:$B$99999,'Contractor Assumptions'!$F44,uwmp_table_7_4_r!$H$2:$H$99999,"Demand totals"), AVERAGEIFS(uwmp_table_7_4_w!J$2:J$99999,uwmp_table_7_4_w!$B$2:$B$99999,'Contractor Assumptions'!$F44,uwmp_table_7_4_w!$H$2:$H$99999,"Demand totals"))</f>
        <v>21310</v>
      </c>
      <c r="D135" s="146">
        <f>IFERROR(AVERAGEIFS(uwmp_table_7_4_r!K$2:K$99999,uwmp_table_7_4_r!$B$2:$B$99999,'Contractor Assumptions'!$F44,uwmp_table_7_4_r!$H$2:$H$99999,"Demand totals"), AVERAGEIFS(uwmp_table_7_4_w!K$2:K$99999,uwmp_table_7_4_w!$B$2:$B$99999,'Contractor Assumptions'!$F44,uwmp_table_7_4_w!$H$2:$H$99999,"Demand totals"))</f>
        <v>22980</v>
      </c>
      <c r="E135" s="146">
        <f>IFERROR(AVERAGEIFS(uwmp_table_7_4_r!L$2:L$99999,uwmp_table_7_4_r!$B$2:$B$99999,'Contractor Assumptions'!$F44,uwmp_table_7_4_r!$H$2:$H$99999,"Demand totals"), AVERAGEIFS(uwmp_table_7_4_w!L$2:L$99999,uwmp_table_7_4_w!$B$2:$B$99999,'Contractor Assumptions'!$F44,uwmp_table_7_4_w!$H$2:$H$99999,"Demand totals"))</f>
        <v>24780</v>
      </c>
      <c r="F135" s="146">
        <f>IFERROR(AVERAGEIFS(uwmp_table_7_4_r!M$2:M$99999,uwmp_table_7_4_r!$B$2:$B$99999,'Contractor Assumptions'!$F44,uwmp_table_7_4_r!$H$2:$H$99999,"Demand totals"), AVERAGEIFS(uwmp_table_7_4_w!M$2:M$99999,uwmp_table_7_4_w!$B$2:$B$99999,'Contractor Assumptions'!$F44,uwmp_table_7_4_w!$H$2:$H$99999,"Demand totals"))</f>
        <v>26250</v>
      </c>
      <c r="G135" s="146"/>
    </row>
    <row r="136" spans="1:7" x14ac:dyDescent="0.3">
      <c r="A136" s="39" t="str">
        <f t="shared" si="2"/>
        <v>San Bernardino Valley Municipal Water District</v>
      </c>
      <c r="B136" s="146">
        <v>365258</v>
      </c>
      <c r="C136" s="146">
        <v>376662</v>
      </c>
      <c r="D136" s="146">
        <v>388533</v>
      </c>
      <c r="E136" s="146">
        <v>399326</v>
      </c>
      <c r="F136" s="146">
        <v>410712</v>
      </c>
      <c r="G136" s="40" t="s">
        <v>1078</v>
      </c>
    </row>
    <row r="137" spans="1:7" x14ac:dyDescent="0.3">
      <c r="A137" s="39" t="str">
        <f t="shared" si="2"/>
        <v>San Gabriel Valley Municipal Water District</v>
      </c>
      <c r="B137" s="470" t="s">
        <v>204</v>
      </c>
      <c r="C137" s="470" t="s">
        <v>204</v>
      </c>
      <c r="D137" s="470" t="s">
        <v>204</v>
      </c>
      <c r="E137" s="470" t="s">
        <v>204</v>
      </c>
      <c r="F137" s="470" t="s">
        <v>204</v>
      </c>
      <c r="G137" s="40" t="s">
        <v>1079</v>
      </c>
    </row>
    <row r="138" spans="1:7" x14ac:dyDescent="0.3">
      <c r="A138" s="39" t="str">
        <f t="shared" si="2"/>
        <v>San Gorgonio Pass Water Agency</v>
      </c>
      <c r="B138" s="146">
        <f>IFERROR(AVERAGEIFS(uwmp_table_7_4_r!I$2:I$99999,uwmp_table_7_4_r!$B$2:$B$99999,'Contractor Assumptions'!$F47,uwmp_table_7_4_r!$H$2:$H$99999,"Demand totals"), AVERAGEIFS(uwmp_table_7_4_w!I$2:I$99999,uwmp_table_7_4_w!$B$2:$B$99999,'Contractor Assumptions'!$F47,uwmp_table_7_4_w!$H$2:$H$99999,"Demand totals"))</f>
        <v>30400</v>
      </c>
      <c r="C138" s="146">
        <f>IFERROR(AVERAGEIFS(uwmp_table_7_4_r!J$2:J$99999,uwmp_table_7_4_r!$B$2:$B$99999,'Contractor Assumptions'!$F47,uwmp_table_7_4_r!$H$2:$H$99999,"Demand totals"), AVERAGEIFS(uwmp_table_7_4_w!J$2:J$99999,uwmp_table_7_4_w!$B$2:$B$99999,'Contractor Assumptions'!$F47,uwmp_table_7_4_w!$H$2:$H$99999,"Demand totals"))</f>
        <v>32900</v>
      </c>
      <c r="D138" s="146">
        <f>IFERROR(AVERAGEIFS(uwmp_table_7_4_r!K$2:K$99999,uwmp_table_7_4_r!$B$2:$B$99999,'Contractor Assumptions'!$F47,uwmp_table_7_4_r!$H$2:$H$99999,"Demand totals"), AVERAGEIFS(uwmp_table_7_4_w!K$2:K$99999,uwmp_table_7_4_w!$B$2:$B$99999,'Contractor Assumptions'!$F47,uwmp_table_7_4_w!$H$2:$H$99999,"Demand totals"))</f>
        <v>35600</v>
      </c>
      <c r="E138" s="146">
        <f>IFERROR(AVERAGEIFS(uwmp_table_7_4_r!L$2:L$99999,uwmp_table_7_4_r!$B$2:$B$99999,'Contractor Assumptions'!$F47,uwmp_table_7_4_r!$H$2:$H$99999,"Demand totals"), AVERAGEIFS(uwmp_table_7_4_w!L$2:L$99999,uwmp_table_7_4_w!$B$2:$B$99999,'Contractor Assumptions'!$F47,uwmp_table_7_4_w!$H$2:$H$99999,"Demand totals"))</f>
        <v>38100</v>
      </c>
      <c r="F138" s="146">
        <f>IFERROR(AVERAGEIFS(uwmp_table_7_4_r!M$2:M$99999,uwmp_table_7_4_r!$B$2:$B$99999,'Contractor Assumptions'!$F47,uwmp_table_7_4_r!$H$2:$H$99999,"Demand totals"), AVERAGEIFS(uwmp_table_7_4_w!M$2:M$99999,uwmp_table_7_4_w!$B$2:$B$99999,'Contractor Assumptions'!$F47,uwmp_table_7_4_w!$H$2:$H$99999,"Demand totals"))</f>
        <v>40300</v>
      </c>
      <c r="G138" s="146"/>
    </row>
    <row r="139" spans="1:7" x14ac:dyDescent="0.3">
      <c r="A139" s="39" t="str">
        <f t="shared" si="2"/>
        <v>Ventura County Watershed Protection District</v>
      </c>
      <c r="B139" s="470" t="s">
        <v>204</v>
      </c>
      <c r="C139" s="470" t="s">
        <v>204</v>
      </c>
      <c r="D139" s="470" t="s">
        <v>204</v>
      </c>
      <c r="E139" s="470" t="s">
        <v>204</v>
      </c>
      <c r="F139" s="470" t="s">
        <v>204</v>
      </c>
      <c r="G139" s="146"/>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1C20F-DFC3-4FE5-94E9-BD685CC7AF58}">
  <sheetPr codeName="Sheet47"/>
  <dimension ref="A1:G57"/>
  <sheetViews>
    <sheetView workbookViewId="0"/>
  </sheetViews>
  <sheetFormatPr defaultRowHeight="14.4" x14ac:dyDescent="0.3"/>
  <cols>
    <col min="1" max="1" width="65.109375" bestFit="1" customWidth="1"/>
    <col min="2" max="2" width="20" bestFit="1" customWidth="1"/>
    <col min="7" max="7" width="21.44140625" bestFit="1" customWidth="1"/>
  </cols>
  <sheetData>
    <row r="1" spans="1:2" x14ac:dyDescent="0.3">
      <c r="A1" s="465" t="s">
        <v>1080</v>
      </c>
      <c r="B1" s="465" t="s">
        <v>1081</v>
      </c>
    </row>
    <row r="2" spans="1:2" x14ac:dyDescent="0.3">
      <c r="A2" s="451" t="s">
        <v>771</v>
      </c>
      <c r="B2" s="451" t="s">
        <v>856</v>
      </c>
    </row>
    <row r="3" spans="1:2" x14ac:dyDescent="0.3">
      <c r="A3" s="451" t="s">
        <v>772</v>
      </c>
      <c r="B3" s="451" t="s">
        <v>856</v>
      </c>
    </row>
    <row r="4" spans="1:2" x14ac:dyDescent="0.3">
      <c r="A4" s="451" t="s">
        <v>774</v>
      </c>
      <c r="B4" s="451" t="s">
        <v>856</v>
      </c>
    </row>
    <row r="5" spans="1:2" x14ac:dyDescent="0.3">
      <c r="A5" s="451" t="s">
        <v>797</v>
      </c>
      <c r="B5" s="451" t="s">
        <v>879</v>
      </c>
    </row>
    <row r="6" spans="1:2" x14ac:dyDescent="0.3">
      <c r="A6" s="451" t="s">
        <v>799</v>
      </c>
      <c r="B6" s="451" t="s">
        <v>879</v>
      </c>
    </row>
    <row r="7" spans="1:2" x14ac:dyDescent="0.3">
      <c r="A7" s="451" t="s">
        <v>804</v>
      </c>
      <c r="B7" s="451" t="s">
        <v>921</v>
      </c>
    </row>
    <row r="8" spans="1:2" x14ac:dyDescent="0.3">
      <c r="A8" s="451" t="s">
        <v>806</v>
      </c>
      <c r="B8" s="451" t="s">
        <v>921</v>
      </c>
    </row>
    <row r="9" spans="1:2" x14ac:dyDescent="0.3">
      <c r="A9" s="451" t="s">
        <v>808</v>
      </c>
      <c r="B9" s="451" t="s">
        <v>879</v>
      </c>
    </row>
    <row r="10" spans="1:2" x14ac:dyDescent="0.3">
      <c r="A10" s="451" t="s">
        <v>811</v>
      </c>
      <c r="B10" s="451" t="s">
        <v>879</v>
      </c>
    </row>
    <row r="11" spans="1:2" x14ac:dyDescent="0.3">
      <c r="A11" s="451" t="s">
        <v>814</v>
      </c>
      <c r="B11" s="451" t="s">
        <v>879</v>
      </c>
    </row>
    <row r="12" spans="1:2" x14ac:dyDescent="0.3">
      <c r="A12" s="451" t="s">
        <v>817</v>
      </c>
      <c r="B12" s="451" t="s">
        <v>879</v>
      </c>
    </row>
    <row r="13" spans="1:2" x14ac:dyDescent="0.3">
      <c r="A13" s="451" t="s">
        <v>827</v>
      </c>
      <c r="B13" s="451" t="s">
        <v>879</v>
      </c>
    </row>
    <row r="14" spans="1:2" x14ac:dyDescent="0.3">
      <c r="A14" s="451" t="s">
        <v>829</v>
      </c>
      <c r="B14" s="451" t="s">
        <v>879</v>
      </c>
    </row>
    <row r="15" spans="1:2" x14ac:dyDescent="0.3">
      <c r="A15" s="451" t="s">
        <v>836</v>
      </c>
      <c r="B15" s="451" t="s">
        <v>879</v>
      </c>
    </row>
    <row r="16" spans="1:2" x14ac:dyDescent="0.3">
      <c r="A16" s="451" t="s">
        <v>839</v>
      </c>
      <c r="B16" s="451" t="s">
        <v>879</v>
      </c>
    </row>
    <row r="18" spans="1:7" x14ac:dyDescent="0.3">
      <c r="A18" s="465" t="s">
        <v>797</v>
      </c>
    </row>
    <row r="19" spans="1:7" x14ac:dyDescent="0.3">
      <c r="B19" s="465">
        <v>2025</v>
      </c>
      <c r="C19" s="465">
        <v>2030</v>
      </c>
      <c r="D19" s="465">
        <v>2035</v>
      </c>
      <c r="E19" s="465">
        <v>2040</v>
      </c>
      <c r="F19" s="465">
        <v>2045</v>
      </c>
      <c r="G19" t="s">
        <v>153</v>
      </c>
    </row>
    <row r="20" spans="1:7" x14ac:dyDescent="0.3">
      <c r="A20" s="451" t="s">
        <v>1082</v>
      </c>
      <c r="B20" s="466">
        <v>34584</v>
      </c>
      <c r="C20" s="466">
        <v>37673</v>
      </c>
      <c r="D20" s="466">
        <v>42956</v>
      </c>
      <c r="E20" s="466">
        <v>48240</v>
      </c>
      <c r="F20" s="466">
        <v>52100</v>
      </c>
      <c r="G20" s="451" t="s">
        <v>1083</v>
      </c>
    </row>
    <row r="21" spans="1:7" x14ac:dyDescent="0.3">
      <c r="A21" s="451" t="s">
        <v>1084</v>
      </c>
      <c r="B21" s="451">
        <v>24000</v>
      </c>
      <c r="C21" s="451">
        <v>24000</v>
      </c>
      <c r="D21" s="451">
        <v>24000</v>
      </c>
      <c r="E21" s="451">
        <v>24000</v>
      </c>
      <c r="F21" s="451">
        <v>24000</v>
      </c>
      <c r="G21" s="451" t="s">
        <v>1083</v>
      </c>
    </row>
    <row r="22" spans="1:7" x14ac:dyDescent="0.3">
      <c r="A22" s="451" t="s">
        <v>1085</v>
      </c>
      <c r="B22" s="451">
        <v>1069</v>
      </c>
      <c r="C22" s="451">
        <v>1069</v>
      </c>
      <c r="D22" s="451">
        <v>1069</v>
      </c>
      <c r="E22" s="451">
        <v>1069</v>
      </c>
      <c r="F22" s="451">
        <v>1069</v>
      </c>
      <c r="G22" s="451" t="s">
        <v>1083</v>
      </c>
    </row>
    <row r="23" spans="1:7" x14ac:dyDescent="0.3">
      <c r="A23" s="451" t="s">
        <v>1086</v>
      </c>
      <c r="B23" s="451">
        <v>21321</v>
      </c>
      <c r="C23" s="451">
        <v>22418</v>
      </c>
      <c r="D23" s="451">
        <v>24293</v>
      </c>
      <c r="E23" s="451">
        <v>26169</v>
      </c>
      <c r="F23" s="451">
        <v>27539</v>
      </c>
      <c r="G23" s="451" t="s">
        <v>1083</v>
      </c>
    </row>
    <row r="24" spans="1:7" x14ac:dyDescent="0.3">
      <c r="A24" s="451" t="s">
        <v>1087</v>
      </c>
      <c r="B24" s="466">
        <v>11288</v>
      </c>
      <c r="C24" s="466">
        <v>12417</v>
      </c>
      <c r="D24" s="466">
        <v>13659</v>
      </c>
      <c r="E24" s="466">
        <v>15025</v>
      </c>
      <c r="F24" s="466">
        <v>16527</v>
      </c>
      <c r="G24" s="451" t="s">
        <v>1083</v>
      </c>
    </row>
    <row r="25" spans="1:7" x14ac:dyDescent="0.3">
      <c r="A25" s="451" t="s">
        <v>1088</v>
      </c>
      <c r="B25" s="466">
        <v>170000</v>
      </c>
      <c r="C25" s="466">
        <v>170000</v>
      </c>
      <c r="D25" s="466">
        <v>170000</v>
      </c>
      <c r="E25" s="466">
        <v>170000</v>
      </c>
      <c r="F25" s="466">
        <v>170000</v>
      </c>
      <c r="G25" s="451" t="s">
        <v>1083</v>
      </c>
    </row>
    <row r="26" spans="1:7" x14ac:dyDescent="0.3">
      <c r="A26" s="451"/>
      <c r="B26" s="466">
        <f>SUM(B20:B25)</f>
        <v>262262</v>
      </c>
      <c r="C26" s="466">
        <f t="shared" ref="C26:F26" si="0">SUM(C20:C25)</f>
        <v>267577</v>
      </c>
      <c r="D26" s="466">
        <f t="shared" si="0"/>
        <v>275977</v>
      </c>
      <c r="E26" s="466">
        <f t="shared" si="0"/>
        <v>284503</v>
      </c>
      <c r="F26" s="466">
        <f t="shared" si="0"/>
        <v>291235</v>
      </c>
      <c r="G26" s="451"/>
    </row>
    <row r="28" spans="1:7" x14ac:dyDescent="0.3">
      <c r="A28" t="s">
        <v>1004</v>
      </c>
      <c r="B28" s="338">
        <f>B39+B50</f>
        <v>27991</v>
      </c>
      <c r="C28" s="338">
        <f t="shared" ref="C28:F28" si="1">C39+C50</f>
        <v>28287</v>
      </c>
      <c r="D28" s="338">
        <f t="shared" si="1"/>
        <v>31563</v>
      </c>
      <c r="E28" s="338">
        <f t="shared" si="1"/>
        <v>34790</v>
      </c>
      <c r="F28" s="338">
        <f t="shared" si="1"/>
        <v>34913</v>
      </c>
    </row>
    <row r="29" spans="1:7" x14ac:dyDescent="0.3">
      <c r="A29" t="s">
        <v>439</v>
      </c>
      <c r="B29" s="338">
        <f t="shared" ref="B29:F29" si="2">B40+B51</f>
        <v>4405</v>
      </c>
      <c r="C29" s="338">
        <f t="shared" si="2"/>
        <v>4419</v>
      </c>
      <c r="D29" s="338">
        <f t="shared" si="2"/>
        <v>4917</v>
      </c>
      <c r="E29" s="338">
        <f t="shared" si="2"/>
        <v>5420</v>
      </c>
      <c r="F29" s="338">
        <f t="shared" si="2"/>
        <v>5412</v>
      </c>
    </row>
    <row r="30" spans="1:7" x14ac:dyDescent="0.3">
      <c r="A30" t="s">
        <v>443</v>
      </c>
      <c r="B30" s="338">
        <f t="shared" ref="B30:F30" si="3">B41+B52</f>
        <v>4958</v>
      </c>
      <c r="C30" s="338">
        <f t="shared" si="3"/>
        <v>7358</v>
      </c>
      <c r="D30" s="338">
        <f t="shared" si="3"/>
        <v>7637</v>
      </c>
      <c r="E30" s="338">
        <f t="shared" si="3"/>
        <v>7916</v>
      </c>
      <c r="F30" s="338">
        <f t="shared" si="3"/>
        <v>7916</v>
      </c>
    </row>
    <row r="31" spans="1:7" x14ac:dyDescent="0.3">
      <c r="A31" t="s">
        <v>447</v>
      </c>
      <c r="B31" s="338">
        <f t="shared" ref="B31:F31" si="4">B42+B53</f>
        <v>11755</v>
      </c>
      <c r="C31" s="338">
        <f t="shared" si="4"/>
        <v>11660</v>
      </c>
      <c r="D31" s="338">
        <f t="shared" si="4"/>
        <v>11828</v>
      </c>
      <c r="E31" s="338">
        <f t="shared" si="4"/>
        <v>12011</v>
      </c>
      <c r="F31" s="338">
        <f t="shared" si="4"/>
        <v>11912</v>
      </c>
    </row>
    <row r="32" spans="1:7" x14ac:dyDescent="0.3">
      <c r="A32" t="s">
        <v>1023</v>
      </c>
      <c r="B32" s="338">
        <f t="shared" ref="B32:F32" si="5">B43+B54</f>
        <v>0</v>
      </c>
      <c r="C32" s="338">
        <f t="shared" si="5"/>
        <v>0</v>
      </c>
      <c r="D32" s="338">
        <f t="shared" si="5"/>
        <v>0</v>
      </c>
      <c r="E32" s="338">
        <f t="shared" si="5"/>
        <v>0</v>
      </c>
      <c r="F32" s="338">
        <f t="shared" si="5"/>
        <v>0</v>
      </c>
    </row>
    <row r="33" spans="1:6" x14ac:dyDescent="0.3">
      <c r="A33" t="s">
        <v>450</v>
      </c>
      <c r="B33" s="338">
        <f t="shared" ref="B33:F33" si="6">B44+B55</f>
        <v>3239</v>
      </c>
      <c r="C33" s="338">
        <f t="shared" si="6"/>
        <v>3285</v>
      </c>
      <c r="D33" s="338">
        <f t="shared" si="6"/>
        <v>3863</v>
      </c>
      <c r="E33" s="338">
        <f t="shared" si="6"/>
        <v>4440</v>
      </c>
      <c r="F33" s="338">
        <f t="shared" si="6"/>
        <v>4440</v>
      </c>
    </row>
    <row r="34" spans="1:6" x14ac:dyDescent="0.3">
      <c r="A34" t="s">
        <v>1026</v>
      </c>
      <c r="B34">
        <f>SUM(B23:B25) + B22</f>
        <v>203678</v>
      </c>
      <c r="C34">
        <f t="shared" ref="C34:F34" si="7">SUM(C23:C25) + C22</f>
        <v>205904</v>
      </c>
      <c r="D34">
        <f t="shared" si="7"/>
        <v>209021</v>
      </c>
      <c r="E34">
        <f t="shared" si="7"/>
        <v>212263</v>
      </c>
      <c r="F34">
        <f t="shared" si="7"/>
        <v>215135</v>
      </c>
    </row>
    <row r="35" spans="1:6" x14ac:dyDescent="0.3">
      <c r="A35" t="s">
        <v>1089</v>
      </c>
      <c r="B35" s="338">
        <f>B26-SUM(B28:B34)</f>
        <v>6236</v>
      </c>
      <c r="C35" s="338">
        <f t="shared" ref="C35:F35" si="8">C26-SUM(C28:C34)</f>
        <v>6664</v>
      </c>
      <c r="D35" s="338">
        <f t="shared" si="8"/>
        <v>7148</v>
      </c>
      <c r="E35" s="338">
        <f t="shared" si="8"/>
        <v>7663</v>
      </c>
      <c r="F35" s="338">
        <f t="shared" si="8"/>
        <v>11507</v>
      </c>
    </row>
    <row r="36" spans="1:6" x14ac:dyDescent="0.3">
      <c r="B36" s="338">
        <f>SUM(B28:B35)</f>
        <v>262262</v>
      </c>
      <c r="C36" s="338">
        <f t="shared" ref="C36:F36" si="9">SUM(C28:C35)</f>
        <v>267577</v>
      </c>
      <c r="D36" s="338">
        <f t="shared" si="9"/>
        <v>275977</v>
      </c>
      <c r="E36" s="338">
        <f t="shared" si="9"/>
        <v>284503</v>
      </c>
      <c r="F36" s="338">
        <f t="shared" si="9"/>
        <v>291235</v>
      </c>
    </row>
    <row r="37" spans="1:6" x14ac:dyDescent="0.3">
      <c r="A37" s="465" t="s">
        <v>1082</v>
      </c>
    </row>
    <row r="38" spans="1:6" x14ac:dyDescent="0.3">
      <c r="B38" s="465">
        <v>2025</v>
      </c>
      <c r="C38" s="465">
        <v>2030</v>
      </c>
      <c r="D38" s="465">
        <v>2035</v>
      </c>
      <c r="E38" s="465">
        <v>2040</v>
      </c>
      <c r="F38" s="465">
        <v>2045</v>
      </c>
    </row>
    <row r="39" spans="1:6" x14ac:dyDescent="0.3">
      <c r="A39" t="s">
        <v>1004</v>
      </c>
      <c r="B39" s="338">
        <v>15782</v>
      </c>
      <c r="C39" s="338">
        <v>16066</v>
      </c>
      <c r="D39" s="338">
        <v>19259</v>
      </c>
      <c r="E39" s="338">
        <v>22451</v>
      </c>
      <c r="F39" s="338">
        <v>22451</v>
      </c>
    </row>
    <row r="40" spans="1:6" x14ac:dyDescent="0.3">
      <c r="A40" t="s">
        <v>439</v>
      </c>
      <c r="B40" s="338">
        <v>2927</v>
      </c>
      <c r="C40" s="338">
        <v>2976</v>
      </c>
      <c r="D40" s="338">
        <v>3494</v>
      </c>
      <c r="E40" s="338">
        <v>4012</v>
      </c>
      <c r="F40" s="338">
        <v>4012</v>
      </c>
    </row>
    <row r="41" spans="1:6" x14ac:dyDescent="0.3">
      <c r="A41" t="s">
        <v>443</v>
      </c>
      <c r="B41" s="338">
        <f>205 + 3192</f>
        <v>3397</v>
      </c>
      <c r="C41" s="338">
        <f>205 + 5592</f>
        <v>5797</v>
      </c>
      <c r="D41" s="338">
        <f>205 + 5871</f>
        <v>6076</v>
      </c>
      <c r="E41" s="338">
        <f>205 + 6150</f>
        <v>6355</v>
      </c>
      <c r="F41" s="338">
        <f>205 + 6150</f>
        <v>6355</v>
      </c>
    </row>
    <row r="42" spans="1:6" x14ac:dyDescent="0.3">
      <c r="A42" t="s">
        <v>447</v>
      </c>
      <c r="B42" s="338">
        <v>4793</v>
      </c>
      <c r="C42" s="338">
        <v>4856</v>
      </c>
      <c r="D42" s="338">
        <v>5149</v>
      </c>
      <c r="E42" s="338">
        <v>5442</v>
      </c>
      <c r="F42" s="338">
        <v>5442</v>
      </c>
    </row>
    <row r="43" spans="1:6" x14ac:dyDescent="0.3">
      <c r="A43" t="s">
        <v>1023</v>
      </c>
      <c r="B43" s="338">
        <v>0</v>
      </c>
      <c r="C43" s="338">
        <v>0</v>
      </c>
      <c r="D43" s="338">
        <v>0</v>
      </c>
      <c r="E43" s="338">
        <v>0</v>
      </c>
      <c r="F43" s="338">
        <v>0</v>
      </c>
    </row>
    <row r="44" spans="1:6" x14ac:dyDescent="0.3">
      <c r="A44" t="s">
        <v>450</v>
      </c>
      <c r="B44" s="338">
        <v>3162</v>
      </c>
      <c r="C44" s="338">
        <v>3208</v>
      </c>
      <c r="D44" s="338">
        <v>3786</v>
      </c>
      <c r="E44" s="338">
        <v>4363</v>
      </c>
      <c r="F44" s="338">
        <v>4363</v>
      </c>
    </row>
    <row r="45" spans="1:6" x14ac:dyDescent="0.3">
      <c r="A45" t="s">
        <v>1026</v>
      </c>
      <c r="B45" s="338">
        <f>1830+2898</f>
        <v>4728</v>
      </c>
      <c r="C45" s="338">
        <f>1830 + 3145</f>
        <v>4975</v>
      </c>
      <c r="D45" s="338">
        <f>1830 + 3568</f>
        <v>5398</v>
      </c>
      <c r="E45" s="338">
        <f>1830 + 3991</f>
        <v>5821</v>
      </c>
      <c r="F45" s="338">
        <f>1830 + 3991</f>
        <v>5821</v>
      </c>
    </row>
    <row r="46" spans="1:6" x14ac:dyDescent="0.3">
      <c r="A46" t="s">
        <v>1090</v>
      </c>
      <c r="B46" s="338">
        <f>SUM(B39:B45)</f>
        <v>34789</v>
      </c>
      <c r="C46" s="338">
        <f t="shared" ref="C46" si="10">SUM(C39:C45)</f>
        <v>37878</v>
      </c>
      <c r="D46" s="338">
        <f t="shared" ref="D46" si="11">SUM(D39:D45)</f>
        <v>43162</v>
      </c>
      <c r="E46" s="338">
        <f t="shared" ref="E46" si="12">SUM(E39:E45)</f>
        <v>48444</v>
      </c>
      <c r="F46" s="338">
        <f t="shared" ref="F46" si="13">SUM(F39:F45)</f>
        <v>48444</v>
      </c>
    </row>
    <row r="48" spans="1:6" x14ac:dyDescent="0.3">
      <c r="A48" s="465" t="s">
        <v>1084</v>
      </c>
    </row>
    <row r="49" spans="1:6" x14ac:dyDescent="0.3">
      <c r="B49" s="465">
        <v>2025</v>
      </c>
      <c r="C49" s="465">
        <v>2030</v>
      </c>
      <c r="D49" s="465">
        <v>2035</v>
      </c>
      <c r="E49" s="465">
        <v>2040</v>
      </c>
      <c r="F49" s="465">
        <v>2045</v>
      </c>
    </row>
    <row r="50" spans="1:6" x14ac:dyDescent="0.3">
      <c r="A50" t="s">
        <v>1004</v>
      </c>
      <c r="B50" s="338">
        <v>12209</v>
      </c>
      <c r="C50" s="338">
        <v>12221</v>
      </c>
      <c r="D50" s="338">
        <v>12304</v>
      </c>
      <c r="E50" s="338">
        <v>12339</v>
      </c>
      <c r="F50" s="338">
        <v>12462</v>
      </c>
    </row>
    <row r="51" spans="1:6" x14ac:dyDescent="0.3">
      <c r="A51" t="s">
        <v>439</v>
      </c>
      <c r="B51" s="338">
        <v>1478</v>
      </c>
      <c r="C51" s="338">
        <v>1443</v>
      </c>
      <c r="D51" s="338">
        <v>1423</v>
      </c>
      <c r="E51" s="338">
        <v>1408</v>
      </c>
      <c r="F51" s="338">
        <v>1400</v>
      </c>
    </row>
    <row r="52" spans="1:6" x14ac:dyDescent="0.3">
      <c r="A52" t="s">
        <v>443</v>
      </c>
      <c r="B52" s="338">
        <v>1561</v>
      </c>
      <c r="C52" s="338">
        <v>1561</v>
      </c>
      <c r="D52" s="338">
        <v>1561</v>
      </c>
      <c r="E52" s="338">
        <v>1561</v>
      </c>
      <c r="F52" s="338">
        <v>1561</v>
      </c>
    </row>
    <row r="53" spans="1:6" x14ac:dyDescent="0.3">
      <c r="A53" t="s">
        <v>447</v>
      </c>
      <c r="B53" s="338">
        <f xml:space="preserve"> 4868 + 2094</f>
        <v>6962</v>
      </c>
      <c r="C53" s="338">
        <f xml:space="preserve"> 4746 + 2058</f>
        <v>6804</v>
      </c>
      <c r="D53" s="338">
        <f>4651 + 2028</f>
        <v>6679</v>
      </c>
      <c r="E53" s="338">
        <f xml:space="preserve"> 4569 + 2000</f>
        <v>6569</v>
      </c>
      <c r="F53" s="338">
        <f xml:space="preserve"> 4498 + 1972</f>
        <v>6470</v>
      </c>
    </row>
    <row r="54" spans="1:6" x14ac:dyDescent="0.3">
      <c r="A54" t="s">
        <v>1023</v>
      </c>
      <c r="B54" s="338">
        <v>0</v>
      </c>
      <c r="C54" s="338">
        <v>0</v>
      </c>
      <c r="D54" s="338">
        <v>0</v>
      </c>
      <c r="E54" s="338">
        <v>0</v>
      </c>
      <c r="F54" s="338">
        <v>0</v>
      </c>
    </row>
    <row r="55" spans="1:6" x14ac:dyDescent="0.3">
      <c r="A55" t="s">
        <v>450</v>
      </c>
      <c r="B55" s="338">
        <v>77</v>
      </c>
      <c r="C55" s="338">
        <v>77</v>
      </c>
      <c r="D55" s="338">
        <v>77</v>
      </c>
      <c r="E55" s="338">
        <v>77</v>
      </c>
      <c r="F55" s="338">
        <v>77</v>
      </c>
    </row>
    <row r="56" spans="1:6" x14ac:dyDescent="0.3">
      <c r="A56" t="s">
        <v>1026</v>
      </c>
      <c r="B56" s="338">
        <f>1433 + 13</f>
        <v>1446</v>
      </c>
      <c r="C56" s="338">
        <f t="shared" ref="C56:F56" si="14">1433 + 13</f>
        <v>1446</v>
      </c>
      <c r="D56" s="338">
        <f t="shared" si="14"/>
        <v>1446</v>
      </c>
      <c r="E56" s="338">
        <f t="shared" si="14"/>
        <v>1446</v>
      </c>
      <c r="F56" s="338">
        <f t="shared" si="14"/>
        <v>1446</v>
      </c>
    </row>
    <row r="57" spans="1:6" x14ac:dyDescent="0.3">
      <c r="A57" t="s">
        <v>1090</v>
      </c>
      <c r="B57" s="338">
        <f>SUM(B50:B56)</f>
        <v>23733</v>
      </c>
      <c r="C57" s="338">
        <f t="shared" ref="C57:F57" si="15">SUM(C50:C56)</f>
        <v>23552</v>
      </c>
      <c r="D57" s="338">
        <f t="shared" si="15"/>
        <v>23490</v>
      </c>
      <c r="E57" s="338">
        <f t="shared" si="15"/>
        <v>23400</v>
      </c>
      <c r="F57" s="338">
        <f t="shared" si="15"/>
        <v>23416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1F1D1-DEC5-4434-8C36-A514122A0ED6}">
  <sheetPr codeName="Sheet28"/>
  <dimension ref="B1:Y90"/>
  <sheetViews>
    <sheetView workbookViewId="0"/>
  </sheetViews>
  <sheetFormatPr defaultRowHeight="14.4" x14ac:dyDescent="0.3"/>
  <cols>
    <col min="3" max="3" width="60.33203125" customWidth="1"/>
    <col min="4" max="4" width="24.5546875" customWidth="1"/>
    <col min="11" max="11" width="65.5546875" bestFit="1" customWidth="1"/>
    <col min="20" max="20" width="18.33203125" customWidth="1"/>
  </cols>
  <sheetData>
    <row r="1" spans="2:25" ht="25.8" x14ac:dyDescent="0.5">
      <c r="C1" s="362" t="s">
        <v>26</v>
      </c>
      <c r="D1" s="338">
        <f>M11+M21+M31+M41+M53</f>
        <v>4411000</v>
      </c>
      <c r="K1" s="362" t="s">
        <v>29</v>
      </c>
      <c r="T1" s="362" t="s">
        <v>1091</v>
      </c>
    </row>
    <row r="2" spans="2:25" x14ac:dyDescent="0.3">
      <c r="D2" s="338">
        <f>D11+D17+D26</f>
        <v>4924000</v>
      </c>
      <c r="E2" s="338"/>
    </row>
    <row r="3" spans="2:25" x14ac:dyDescent="0.3">
      <c r="C3" s="1" t="s">
        <v>1092</v>
      </c>
      <c r="D3" s="337">
        <f>'Demand Assumptions'!D295 + 'Demand Assumptions'!D341 + 'Demand Assumptions'!D387 + 'Demand Assumptions'!D433 + 'Demand Assumptions'!D479 + 'Demand Assumptions'!D525 + 'Demand Assumptions'!D571 + 'Demand Assumptions'!D620</f>
        <v>4925000</v>
      </c>
      <c r="K3" s="1" t="s">
        <v>1093</v>
      </c>
      <c r="T3" s="1" t="s">
        <v>1094</v>
      </c>
    </row>
    <row r="4" spans="2:25" x14ac:dyDescent="0.3">
      <c r="D4" s="1">
        <v>2025</v>
      </c>
      <c r="E4" s="1">
        <v>2030</v>
      </c>
      <c r="F4" s="1">
        <v>2035</v>
      </c>
      <c r="G4" s="1">
        <v>2040</v>
      </c>
      <c r="H4" s="1">
        <v>2045</v>
      </c>
      <c r="K4" s="1" t="s">
        <v>1095</v>
      </c>
      <c r="L4" s="1">
        <v>2020</v>
      </c>
      <c r="M4" s="1">
        <v>2025</v>
      </c>
      <c r="N4" s="1">
        <v>2030</v>
      </c>
      <c r="O4" s="1">
        <v>2035</v>
      </c>
      <c r="P4" s="1">
        <v>2040</v>
      </c>
      <c r="Q4" s="1">
        <v>2045</v>
      </c>
      <c r="T4" s="1" t="s">
        <v>1096</v>
      </c>
      <c r="U4" s="1">
        <v>2025</v>
      </c>
      <c r="V4" s="1">
        <v>2030</v>
      </c>
      <c r="W4" s="1">
        <v>2035</v>
      </c>
      <c r="X4" s="1">
        <v>2040</v>
      </c>
      <c r="Y4" s="1">
        <v>2045</v>
      </c>
    </row>
    <row r="5" spans="2:25" x14ac:dyDescent="0.3">
      <c r="B5" t="s">
        <v>1097</v>
      </c>
      <c r="C5" t="s">
        <v>1098</v>
      </c>
      <c r="D5" s="338">
        <v>4925000</v>
      </c>
      <c r="E5" s="338">
        <v>5032000</v>
      </c>
      <c r="F5" s="338">
        <v>5156000</v>
      </c>
      <c r="G5" s="338">
        <v>5261000</v>
      </c>
      <c r="H5" s="338">
        <v>5374000</v>
      </c>
      <c r="K5" t="s">
        <v>1099</v>
      </c>
      <c r="L5" s="338">
        <v>740000</v>
      </c>
      <c r="M5" s="338">
        <v>766000</v>
      </c>
      <c r="N5" s="338">
        <v>765000</v>
      </c>
      <c r="O5" s="338">
        <v>767000</v>
      </c>
      <c r="P5" s="338">
        <v>771000</v>
      </c>
      <c r="Q5" s="338">
        <v>776000</v>
      </c>
      <c r="T5" t="s">
        <v>1100</v>
      </c>
    </row>
    <row r="6" spans="2:25" x14ac:dyDescent="0.3">
      <c r="C6" t="s">
        <v>860</v>
      </c>
      <c r="D6" s="338">
        <v>4403000</v>
      </c>
      <c r="E6" s="338">
        <v>4514000</v>
      </c>
      <c r="F6" s="338">
        <v>4632000</v>
      </c>
      <c r="G6" s="338">
        <v>4743000</v>
      </c>
      <c r="H6" s="338">
        <v>4854000</v>
      </c>
      <c r="K6" t="s">
        <v>1101</v>
      </c>
      <c r="L6" s="338">
        <v>294000</v>
      </c>
      <c r="M6" s="338">
        <v>295000</v>
      </c>
      <c r="N6" s="338">
        <v>296000</v>
      </c>
      <c r="O6" s="338">
        <v>297000</v>
      </c>
      <c r="P6" s="338">
        <v>299000</v>
      </c>
      <c r="Q6" s="338">
        <v>300000</v>
      </c>
      <c r="T6" t="s">
        <v>1102</v>
      </c>
      <c r="U6" s="338">
        <v>875000</v>
      </c>
      <c r="V6" s="338">
        <v>877000</v>
      </c>
      <c r="W6" s="338">
        <v>876000</v>
      </c>
      <c r="X6" s="338">
        <v>876000</v>
      </c>
      <c r="Y6" s="338">
        <v>874000</v>
      </c>
    </row>
    <row r="7" spans="2:25" x14ac:dyDescent="0.3">
      <c r="C7" t="s">
        <v>1103</v>
      </c>
      <c r="D7" s="363">
        <v>144000</v>
      </c>
      <c r="E7" s="338">
        <v>134000</v>
      </c>
      <c r="F7" s="338">
        <v>130000</v>
      </c>
      <c r="G7" s="338">
        <v>123000</v>
      </c>
      <c r="H7" s="338">
        <v>123000</v>
      </c>
      <c r="K7" t="s">
        <v>1104</v>
      </c>
      <c r="L7" s="338">
        <v>297000</v>
      </c>
      <c r="M7" s="338">
        <v>320000</v>
      </c>
      <c r="N7" s="338">
        <v>339000</v>
      </c>
      <c r="O7" s="338">
        <v>352000</v>
      </c>
      <c r="P7" s="338">
        <v>362000</v>
      </c>
      <c r="Q7" s="338">
        <v>373000</v>
      </c>
      <c r="T7" t="s">
        <v>1105</v>
      </c>
      <c r="U7" s="338">
        <v>647000</v>
      </c>
      <c r="V7" s="338">
        <v>634000</v>
      </c>
      <c r="W7" s="338">
        <v>634000</v>
      </c>
      <c r="X7" s="338">
        <v>634000</v>
      </c>
      <c r="Y7" s="338">
        <v>633000</v>
      </c>
    </row>
    <row r="8" spans="2:25" x14ac:dyDescent="0.3">
      <c r="C8" t="s">
        <v>1106</v>
      </c>
      <c r="D8" s="363">
        <v>61000</v>
      </c>
      <c r="E8" s="338">
        <v>61000</v>
      </c>
      <c r="F8" s="338">
        <v>61000</v>
      </c>
      <c r="G8" s="338">
        <v>61000</v>
      </c>
      <c r="H8" s="338">
        <v>61000</v>
      </c>
      <c r="K8" t="s">
        <v>1107</v>
      </c>
      <c r="L8" s="338">
        <v>113000</v>
      </c>
      <c r="M8" s="338">
        <v>117000</v>
      </c>
      <c r="N8" s="338">
        <v>122000</v>
      </c>
      <c r="O8" s="338">
        <v>126000</v>
      </c>
      <c r="P8" s="338">
        <v>131000</v>
      </c>
      <c r="Q8" s="338">
        <v>137000</v>
      </c>
      <c r="T8" t="s">
        <v>1108</v>
      </c>
    </row>
    <row r="9" spans="2:25" x14ac:dyDescent="0.3">
      <c r="C9" t="s">
        <v>1109</v>
      </c>
      <c r="D9" s="363">
        <v>316000</v>
      </c>
      <c r="E9" s="338">
        <v>323000</v>
      </c>
      <c r="F9" s="338">
        <v>332000</v>
      </c>
      <c r="G9" s="338">
        <v>334000</v>
      </c>
      <c r="H9" s="338">
        <v>335000</v>
      </c>
      <c r="K9" t="s">
        <v>1110</v>
      </c>
      <c r="L9" s="338">
        <v>320000</v>
      </c>
      <c r="M9" s="338">
        <v>327000</v>
      </c>
      <c r="N9" s="338">
        <v>327000</v>
      </c>
      <c r="O9" s="338">
        <v>329000</v>
      </c>
      <c r="P9" s="338">
        <v>332000</v>
      </c>
      <c r="Q9" s="338">
        <v>337000</v>
      </c>
      <c r="T9" t="s">
        <v>1111</v>
      </c>
      <c r="U9" s="338">
        <v>1424000</v>
      </c>
      <c r="V9" s="338">
        <v>1403500</v>
      </c>
      <c r="W9" s="338">
        <v>1352500</v>
      </c>
      <c r="X9" s="338">
        <v>1352500</v>
      </c>
      <c r="Y9" s="338">
        <v>1380750</v>
      </c>
    </row>
    <row r="10" spans="2:25" x14ac:dyDescent="0.3">
      <c r="K10" t="s">
        <v>1112</v>
      </c>
      <c r="L10" s="338">
        <v>85000</v>
      </c>
      <c r="M10" s="338">
        <v>87000</v>
      </c>
      <c r="N10" s="338">
        <v>87000</v>
      </c>
      <c r="O10" s="338">
        <v>88000</v>
      </c>
      <c r="P10" s="338">
        <v>88000</v>
      </c>
      <c r="Q10" s="338">
        <v>89000</v>
      </c>
      <c r="T10" t="s">
        <v>1113</v>
      </c>
      <c r="U10" s="338">
        <v>1250000</v>
      </c>
      <c r="V10" s="338">
        <v>1250000</v>
      </c>
      <c r="W10" s="338">
        <v>1250000</v>
      </c>
      <c r="X10" s="338">
        <v>1250000</v>
      </c>
      <c r="Y10" s="338">
        <v>1250000</v>
      </c>
    </row>
    <row r="11" spans="2:25" x14ac:dyDescent="0.3">
      <c r="B11" t="s">
        <v>1114</v>
      </c>
      <c r="C11" t="s">
        <v>1115</v>
      </c>
      <c r="D11" s="363">
        <v>1162000</v>
      </c>
      <c r="E11" s="338">
        <v>1211000</v>
      </c>
      <c r="F11" s="338">
        <v>1263000</v>
      </c>
      <c r="G11" s="338">
        <v>1325000</v>
      </c>
      <c r="H11" s="338">
        <v>1389000</v>
      </c>
      <c r="K11" t="s">
        <v>1116</v>
      </c>
      <c r="L11" s="338">
        <v>1849000</v>
      </c>
      <c r="M11" s="338">
        <v>1912000</v>
      </c>
      <c r="N11" s="338">
        <v>1936000</v>
      </c>
      <c r="O11" s="338">
        <v>1959000</v>
      </c>
      <c r="P11" s="338">
        <v>1983000</v>
      </c>
      <c r="Q11" s="338">
        <v>2012000</v>
      </c>
      <c r="T11" t="s">
        <v>1117</v>
      </c>
      <c r="U11" s="338">
        <v>1250000</v>
      </c>
      <c r="V11" s="338">
        <v>1250000</v>
      </c>
      <c r="W11" s="338">
        <v>1250000</v>
      </c>
      <c r="X11" s="338">
        <v>1250000</v>
      </c>
      <c r="Y11" s="338">
        <v>1250000</v>
      </c>
    </row>
    <row r="12" spans="2:25" x14ac:dyDescent="0.3">
      <c r="C12" t="s">
        <v>1118</v>
      </c>
      <c r="D12" s="338">
        <v>93000</v>
      </c>
      <c r="E12" s="338">
        <v>55000</v>
      </c>
      <c r="F12" s="338">
        <v>35000</v>
      </c>
      <c r="G12" s="338">
        <v>25000</v>
      </c>
      <c r="H12" s="338">
        <v>17000</v>
      </c>
      <c r="T12" s="1" t="s">
        <v>1119</v>
      </c>
      <c r="U12" s="364">
        <v>2772000</v>
      </c>
      <c r="V12" s="364">
        <v>2761000</v>
      </c>
      <c r="W12" s="364">
        <v>2760000</v>
      </c>
      <c r="X12" s="364">
        <v>2760000</v>
      </c>
      <c r="Y12" s="364">
        <v>2757000</v>
      </c>
    </row>
    <row r="13" spans="2:25" x14ac:dyDescent="0.3">
      <c r="C13" t="s">
        <v>1120</v>
      </c>
      <c r="D13" s="338">
        <v>560000</v>
      </c>
      <c r="E13" s="338">
        <v>623000</v>
      </c>
      <c r="F13" s="338">
        <v>665000</v>
      </c>
      <c r="G13" s="338">
        <v>701000</v>
      </c>
      <c r="H13" s="338">
        <v>731000</v>
      </c>
      <c r="K13" s="1" t="s">
        <v>1121</v>
      </c>
      <c r="T13" t="s">
        <v>190</v>
      </c>
    </row>
    <row r="14" spans="2:25" x14ac:dyDescent="0.3">
      <c r="C14" t="s">
        <v>1122</v>
      </c>
      <c r="D14" s="338">
        <v>259000</v>
      </c>
      <c r="E14" s="338">
        <v>283000</v>
      </c>
      <c r="F14" s="338">
        <v>313000</v>
      </c>
      <c r="G14" s="338">
        <v>349000</v>
      </c>
      <c r="H14" s="338">
        <v>391000</v>
      </c>
      <c r="K14" s="1" t="s">
        <v>1095</v>
      </c>
      <c r="L14" s="1">
        <v>2020</v>
      </c>
      <c r="M14" s="1">
        <v>2025</v>
      </c>
      <c r="N14" s="1">
        <v>2030</v>
      </c>
      <c r="O14" s="1">
        <v>2035</v>
      </c>
      <c r="P14" s="1">
        <v>2040</v>
      </c>
      <c r="Q14" s="1">
        <v>2045</v>
      </c>
      <c r="T14" t="s">
        <v>1123</v>
      </c>
      <c r="U14" s="338">
        <v>1266000</v>
      </c>
      <c r="V14" s="338">
        <v>1222000</v>
      </c>
      <c r="W14" s="338">
        <v>1195000</v>
      </c>
      <c r="X14" s="338">
        <v>1218000</v>
      </c>
      <c r="Y14" s="338">
        <v>1247000</v>
      </c>
    </row>
    <row r="15" spans="2:25" x14ac:dyDescent="0.3">
      <c r="C15" t="s">
        <v>1124</v>
      </c>
      <c r="D15" s="338">
        <v>250000</v>
      </c>
      <c r="E15" s="338">
        <v>250000</v>
      </c>
      <c r="F15" s="338">
        <v>250000</v>
      </c>
      <c r="G15" s="338">
        <v>250000</v>
      </c>
      <c r="H15" s="338">
        <v>250000</v>
      </c>
      <c r="K15" t="s">
        <v>1099</v>
      </c>
      <c r="L15" s="338">
        <v>317000</v>
      </c>
      <c r="M15" s="338">
        <v>338000</v>
      </c>
      <c r="N15" s="338">
        <v>353000</v>
      </c>
      <c r="O15" s="338">
        <v>377000</v>
      </c>
      <c r="P15" s="338">
        <v>392000</v>
      </c>
      <c r="Q15" s="338">
        <v>409000</v>
      </c>
      <c r="T15" t="s">
        <v>1125</v>
      </c>
      <c r="U15" s="338">
        <v>278000</v>
      </c>
      <c r="V15" s="338">
        <v>278000</v>
      </c>
      <c r="W15" s="338">
        <v>278000</v>
      </c>
      <c r="X15" s="338">
        <v>278000</v>
      </c>
      <c r="Y15" s="338">
        <v>278000</v>
      </c>
    </row>
    <row r="16" spans="2:25" x14ac:dyDescent="0.3">
      <c r="K16" t="s">
        <v>1101</v>
      </c>
      <c r="L16" s="338">
        <v>93000</v>
      </c>
      <c r="M16" s="338">
        <v>95000</v>
      </c>
      <c r="N16" s="338">
        <v>96000</v>
      </c>
      <c r="O16" s="338">
        <v>99000</v>
      </c>
      <c r="P16" s="338">
        <v>101000</v>
      </c>
      <c r="Q16" s="338">
        <v>102000</v>
      </c>
      <c r="T16" s="1" t="s">
        <v>1126</v>
      </c>
      <c r="U16" s="364">
        <v>1544000</v>
      </c>
      <c r="V16" s="364">
        <v>1500000</v>
      </c>
      <c r="W16" s="364">
        <v>1473000</v>
      </c>
      <c r="X16" s="364">
        <v>1496000</v>
      </c>
      <c r="Y16" s="364">
        <v>1525000</v>
      </c>
    </row>
    <row r="17" spans="2:25" x14ac:dyDescent="0.3">
      <c r="B17" t="s">
        <v>1127</v>
      </c>
      <c r="C17" t="s">
        <v>1128</v>
      </c>
      <c r="D17" s="338">
        <v>2613000</v>
      </c>
      <c r="E17" s="338">
        <v>2712000</v>
      </c>
      <c r="F17" s="338">
        <v>2809000</v>
      </c>
      <c r="G17" s="338">
        <v>2836000</v>
      </c>
      <c r="H17" s="338">
        <v>2860000</v>
      </c>
      <c r="K17" t="s">
        <v>1104</v>
      </c>
      <c r="L17" s="338">
        <v>47000</v>
      </c>
      <c r="M17" s="338">
        <v>51000</v>
      </c>
      <c r="N17" s="338">
        <v>53000</v>
      </c>
      <c r="O17" s="338">
        <v>57000</v>
      </c>
      <c r="P17" s="338">
        <v>60000</v>
      </c>
      <c r="Q17" s="338">
        <v>63000</v>
      </c>
      <c r="T17" s="1" t="s">
        <v>1129</v>
      </c>
      <c r="U17" s="364">
        <v>1228000</v>
      </c>
      <c r="V17" s="364">
        <v>1261000</v>
      </c>
      <c r="W17" s="364">
        <v>1287000</v>
      </c>
      <c r="X17" s="364">
        <v>1264000</v>
      </c>
      <c r="Y17" s="364">
        <v>1232000</v>
      </c>
    </row>
    <row r="18" spans="2:25" x14ac:dyDescent="0.3">
      <c r="C18" t="s">
        <v>764</v>
      </c>
      <c r="D18" s="338">
        <v>1255000</v>
      </c>
      <c r="E18" s="338">
        <v>1273000</v>
      </c>
      <c r="F18" s="338">
        <v>1296000</v>
      </c>
      <c r="G18" s="338">
        <v>1311000</v>
      </c>
      <c r="H18" s="338">
        <v>1326000</v>
      </c>
      <c r="K18" t="s">
        <v>1107</v>
      </c>
      <c r="L18" s="338">
        <v>27000</v>
      </c>
      <c r="M18" s="338">
        <v>29000</v>
      </c>
      <c r="N18" s="338">
        <v>30000</v>
      </c>
      <c r="O18" s="338">
        <v>31000</v>
      </c>
      <c r="P18" s="338">
        <v>33000</v>
      </c>
      <c r="Q18" s="338">
        <v>34000</v>
      </c>
      <c r="T18" t="s">
        <v>1130</v>
      </c>
    </row>
    <row r="19" spans="2:25" x14ac:dyDescent="0.3">
      <c r="C19" t="s">
        <v>1131</v>
      </c>
      <c r="D19" s="338">
        <v>80000</v>
      </c>
      <c r="E19" s="338">
        <v>82000</v>
      </c>
      <c r="F19" s="338">
        <v>82000</v>
      </c>
      <c r="G19" s="338">
        <v>82000</v>
      </c>
      <c r="H19" s="338">
        <v>82000</v>
      </c>
      <c r="K19" t="s">
        <v>1110</v>
      </c>
      <c r="L19" s="338">
        <v>110000</v>
      </c>
      <c r="M19" s="338">
        <v>117000</v>
      </c>
      <c r="N19" s="338">
        <v>128000</v>
      </c>
      <c r="O19" s="338">
        <v>140000</v>
      </c>
      <c r="P19" s="338">
        <v>149000</v>
      </c>
      <c r="Q19" s="338">
        <v>156000</v>
      </c>
      <c r="T19" t="s">
        <v>1102</v>
      </c>
      <c r="U19">
        <v>0</v>
      </c>
      <c r="V19">
        <v>0</v>
      </c>
      <c r="W19">
        <v>0</v>
      </c>
      <c r="X19">
        <v>0</v>
      </c>
      <c r="Y19">
        <v>0</v>
      </c>
    </row>
    <row r="20" spans="2:25" x14ac:dyDescent="0.3">
      <c r="C20" t="s">
        <v>1132</v>
      </c>
      <c r="D20" s="338">
        <v>257000</v>
      </c>
      <c r="E20" s="338">
        <v>257000</v>
      </c>
      <c r="F20" s="338">
        <v>258000</v>
      </c>
      <c r="G20" s="338">
        <v>258000</v>
      </c>
      <c r="H20" s="338">
        <v>258000</v>
      </c>
      <c r="K20" t="s">
        <v>1112</v>
      </c>
      <c r="L20" s="338">
        <v>11000</v>
      </c>
      <c r="M20" s="338">
        <v>11000</v>
      </c>
      <c r="N20" s="338">
        <v>11000</v>
      </c>
      <c r="O20" s="338">
        <v>12000</v>
      </c>
      <c r="P20" s="338">
        <v>12000</v>
      </c>
      <c r="Q20" s="338">
        <v>12000</v>
      </c>
      <c r="T20" t="s">
        <v>1133</v>
      </c>
      <c r="U20">
        <v>0</v>
      </c>
      <c r="V20">
        <v>0</v>
      </c>
      <c r="W20">
        <v>0</v>
      </c>
      <c r="X20">
        <v>0</v>
      </c>
      <c r="Y20">
        <v>0</v>
      </c>
    </row>
    <row r="21" spans="2:25" x14ac:dyDescent="0.3">
      <c r="C21" t="s">
        <v>1134</v>
      </c>
      <c r="D21" s="338">
        <v>51000</v>
      </c>
      <c r="E21" s="338">
        <v>51000</v>
      </c>
      <c r="F21" s="338">
        <v>51000</v>
      </c>
      <c r="G21" s="338">
        <v>51000</v>
      </c>
      <c r="H21" s="338">
        <v>51000</v>
      </c>
      <c r="K21" t="s">
        <v>1116</v>
      </c>
      <c r="L21" s="338">
        <v>605000</v>
      </c>
      <c r="M21" s="338">
        <v>641000</v>
      </c>
      <c r="N21" s="338">
        <v>671000</v>
      </c>
      <c r="O21" s="338">
        <v>716000</v>
      </c>
      <c r="P21" s="338">
        <v>747000</v>
      </c>
      <c r="Q21" s="338">
        <v>776000</v>
      </c>
      <c r="T21" t="s">
        <v>1108</v>
      </c>
    </row>
    <row r="22" spans="2:25" x14ac:dyDescent="0.3">
      <c r="C22" t="s">
        <v>1135</v>
      </c>
      <c r="D22" s="338">
        <v>143000</v>
      </c>
      <c r="E22" s="338">
        <v>157000</v>
      </c>
      <c r="F22" s="338">
        <v>158000</v>
      </c>
      <c r="G22" s="338">
        <v>158000</v>
      </c>
      <c r="H22" s="338">
        <v>159000</v>
      </c>
      <c r="T22" t="s">
        <v>1111</v>
      </c>
      <c r="U22">
        <v>0</v>
      </c>
      <c r="V22">
        <v>0</v>
      </c>
      <c r="W22">
        <v>0</v>
      </c>
      <c r="X22">
        <v>0</v>
      </c>
      <c r="Y22">
        <v>0</v>
      </c>
    </row>
    <row r="23" spans="2:25" x14ac:dyDescent="0.3">
      <c r="C23" t="s">
        <v>1136</v>
      </c>
      <c r="D23" s="338">
        <v>550000</v>
      </c>
      <c r="E23" s="338">
        <v>613000</v>
      </c>
      <c r="F23" s="338">
        <v>687000</v>
      </c>
      <c r="G23" s="338">
        <v>698000</v>
      </c>
      <c r="H23" s="338">
        <v>706000</v>
      </c>
      <c r="K23" s="1" t="s">
        <v>1137</v>
      </c>
      <c r="T23" t="s">
        <v>1113</v>
      </c>
      <c r="U23">
        <v>0</v>
      </c>
      <c r="V23">
        <v>0</v>
      </c>
      <c r="W23">
        <v>0</v>
      </c>
      <c r="X23">
        <v>0</v>
      </c>
      <c r="Y23">
        <v>0</v>
      </c>
    </row>
    <row r="24" spans="2:25" x14ac:dyDescent="0.3">
      <c r="C24" t="s">
        <v>1138</v>
      </c>
      <c r="D24" s="338">
        <v>278000</v>
      </c>
      <c r="E24" s="338">
        <v>278000</v>
      </c>
      <c r="F24" s="338">
        <v>278000</v>
      </c>
      <c r="G24" s="338">
        <v>278000</v>
      </c>
      <c r="H24" s="338">
        <v>278000</v>
      </c>
      <c r="K24" s="1" t="s">
        <v>1095</v>
      </c>
      <c r="L24" s="1">
        <v>2020</v>
      </c>
      <c r="M24" s="1">
        <v>2025</v>
      </c>
      <c r="N24" s="1">
        <v>2030</v>
      </c>
      <c r="O24" s="1">
        <v>2035</v>
      </c>
      <c r="P24" s="1">
        <v>2040</v>
      </c>
      <c r="Q24" s="1">
        <v>2045</v>
      </c>
      <c r="T24" t="s">
        <v>1117</v>
      </c>
      <c r="U24">
        <v>0</v>
      </c>
      <c r="V24">
        <v>0</v>
      </c>
      <c r="W24">
        <v>0</v>
      </c>
      <c r="X24">
        <v>0</v>
      </c>
      <c r="Y24">
        <v>0</v>
      </c>
    </row>
    <row r="25" spans="2:25" x14ac:dyDescent="0.3">
      <c r="D25" s="240"/>
      <c r="K25" t="s">
        <v>1099</v>
      </c>
      <c r="L25" s="338">
        <v>219000</v>
      </c>
      <c r="M25" s="338">
        <v>213000</v>
      </c>
      <c r="N25" s="338">
        <v>211000</v>
      </c>
      <c r="O25" s="338">
        <v>208000</v>
      </c>
      <c r="P25" s="338">
        <v>201000</v>
      </c>
      <c r="Q25" s="338">
        <v>195000</v>
      </c>
      <c r="T25" t="s">
        <v>1139</v>
      </c>
      <c r="U25">
        <v>0</v>
      </c>
      <c r="V25">
        <v>0</v>
      </c>
      <c r="W25">
        <v>0</v>
      </c>
      <c r="X25">
        <v>0</v>
      </c>
      <c r="Y25">
        <v>0</v>
      </c>
    </row>
    <row r="26" spans="2:25" x14ac:dyDescent="0.3">
      <c r="B26" t="s">
        <v>1140</v>
      </c>
      <c r="C26" t="s">
        <v>1141</v>
      </c>
      <c r="D26" s="338">
        <v>1149000</v>
      </c>
      <c r="E26" s="338">
        <v>1110000</v>
      </c>
      <c r="F26" s="338">
        <v>1084000</v>
      </c>
      <c r="G26" s="338">
        <v>1100000</v>
      </c>
      <c r="H26" s="338">
        <v>1125000</v>
      </c>
      <c r="K26" t="s">
        <v>1101</v>
      </c>
      <c r="L26" s="338">
        <v>122000</v>
      </c>
      <c r="M26" s="338">
        <v>122000</v>
      </c>
      <c r="N26" s="338">
        <v>123000</v>
      </c>
      <c r="O26" s="338">
        <v>121000</v>
      </c>
      <c r="P26" s="338">
        <v>118000</v>
      </c>
      <c r="Q26" s="338">
        <v>115000</v>
      </c>
      <c r="T26" s="1" t="s">
        <v>1142</v>
      </c>
      <c r="U26" s="364">
        <v>1228000</v>
      </c>
      <c r="V26" s="364">
        <v>1261000</v>
      </c>
      <c r="W26" s="364">
        <v>1287000</v>
      </c>
      <c r="X26" s="364">
        <v>1264000</v>
      </c>
      <c r="Y26" s="364">
        <v>1232000</v>
      </c>
    </row>
    <row r="27" spans="2:25" x14ac:dyDescent="0.3">
      <c r="C27" t="s">
        <v>1143</v>
      </c>
      <c r="D27" s="338">
        <v>1020000</v>
      </c>
      <c r="E27" s="338">
        <v>981000</v>
      </c>
      <c r="F27" s="338">
        <v>954000</v>
      </c>
      <c r="G27" s="338">
        <v>971000</v>
      </c>
      <c r="H27" s="338">
        <v>996000</v>
      </c>
      <c r="K27" t="s">
        <v>1104</v>
      </c>
      <c r="L27" s="338">
        <v>47000</v>
      </c>
      <c r="M27" s="338">
        <v>51000</v>
      </c>
      <c r="N27" s="338">
        <v>53000</v>
      </c>
      <c r="O27" s="338">
        <v>54000</v>
      </c>
      <c r="P27" s="338">
        <v>55000</v>
      </c>
      <c r="Q27" s="338">
        <v>56000</v>
      </c>
    </row>
    <row r="28" spans="2:25" x14ac:dyDescent="0.3">
      <c r="C28" t="s">
        <v>1106</v>
      </c>
      <c r="D28" s="363">
        <v>4000</v>
      </c>
      <c r="E28" s="338">
        <v>4000</v>
      </c>
      <c r="F28" s="338">
        <v>4000</v>
      </c>
      <c r="G28" s="338">
        <v>4000</v>
      </c>
      <c r="H28" s="338">
        <v>4000</v>
      </c>
      <c r="K28" t="s">
        <v>1107</v>
      </c>
      <c r="L28" s="338">
        <v>47000</v>
      </c>
      <c r="M28" s="338">
        <v>48000</v>
      </c>
      <c r="N28" s="338">
        <v>49000</v>
      </c>
      <c r="O28" s="338">
        <v>49000</v>
      </c>
      <c r="P28" s="338">
        <v>49000</v>
      </c>
      <c r="Q28" s="338">
        <v>49000</v>
      </c>
      <c r="T28" s="1" t="s">
        <v>1144</v>
      </c>
    </row>
    <row r="29" spans="2:25" x14ac:dyDescent="0.3">
      <c r="C29" t="s">
        <v>1145</v>
      </c>
      <c r="D29" s="363">
        <v>125000</v>
      </c>
      <c r="E29" s="338">
        <v>125000</v>
      </c>
      <c r="F29" s="338">
        <v>125000</v>
      </c>
      <c r="G29" s="338">
        <v>125000</v>
      </c>
      <c r="H29" s="338">
        <v>125000</v>
      </c>
      <c r="K29" t="s">
        <v>1110</v>
      </c>
      <c r="L29" s="338">
        <v>73000</v>
      </c>
      <c r="M29" s="338">
        <v>70000</v>
      </c>
      <c r="N29" s="338">
        <v>71000</v>
      </c>
      <c r="O29" s="338">
        <v>71000</v>
      </c>
      <c r="P29" s="338">
        <v>70000</v>
      </c>
      <c r="Q29" s="338">
        <v>68000</v>
      </c>
      <c r="T29" s="1" t="s">
        <v>1096</v>
      </c>
      <c r="U29" s="1">
        <v>2025</v>
      </c>
      <c r="V29" s="1">
        <v>2030</v>
      </c>
      <c r="W29" s="1">
        <v>2035</v>
      </c>
      <c r="X29" s="1">
        <v>2040</v>
      </c>
      <c r="Y29" s="1">
        <v>2045</v>
      </c>
    </row>
    <row r="30" spans="2:25" x14ac:dyDescent="0.3">
      <c r="K30" t="s">
        <v>1112</v>
      </c>
      <c r="L30" s="338">
        <v>18000</v>
      </c>
      <c r="M30" s="338">
        <v>18000</v>
      </c>
      <c r="N30" s="338">
        <v>18000</v>
      </c>
      <c r="O30" s="338">
        <v>17000</v>
      </c>
      <c r="P30" s="338">
        <v>17000</v>
      </c>
      <c r="Q30" s="338">
        <v>16000</v>
      </c>
      <c r="T30" t="s">
        <v>1100</v>
      </c>
    </row>
    <row r="31" spans="2:25" x14ac:dyDescent="0.3">
      <c r="C31" t="s">
        <v>153</v>
      </c>
      <c r="K31" t="s">
        <v>1116</v>
      </c>
      <c r="L31" s="338">
        <v>526000</v>
      </c>
      <c r="M31" s="338">
        <v>522000</v>
      </c>
      <c r="N31" s="338">
        <v>525000</v>
      </c>
      <c r="O31" s="338">
        <v>520000</v>
      </c>
      <c r="P31" s="338">
        <v>510000</v>
      </c>
      <c r="Q31" s="338">
        <v>499000</v>
      </c>
      <c r="T31" t="s">
        <v>1102</v>
      </c>
      <c r="U31" s="338">
        <v>194000</v>
      </c>
      <c r="V31" s="338">
        <v>197000</v>
      </c>
      <c r="W31" s="338">
        <v>197000</v>
      </c>
      <c r="X31" s="338">
        <v>197000</v>
      </c>
      <c r="Y31" s="338">
        <v>197000</v>
      </c>
    </row>
    <row r="32" spans="2:25" ht="216" x14ac:dyDescent="0.3">
      <c r="C32" s="15" t="s">
        <v>1146</v>
      </c>
      <c r="T32" t="s">
        <v>1105</v>
      </c>
      <c r="U32" s="338">
        <v>734800</v>
      </c>
      <c r="V32" s="338">
        <v>772000</v>
      </c>
      <c r="W32" s="338">
        <v>794000</v>
      </c>
      <c r="X32" s="338">
        <v>816000</v>
      </c>
      <c r="Y32" s="338">
        <v>792000</v>
      </c>
    </row>
    <row r="33" spans="2:25" x14ac:dyDescent="0.3">
      <c r="K33" s="1" t="s">
        <v>1147</v>
      </c>
      <c r="T33" t="s">
        <v>1108</v>
      </c>
    </row>
    <row r="34" spans="2:25" x14ac:dyDescent="0.3">
      <c r="E34" s="338"/>
      <c r="K34" s="1" t="s">
        <v>1095</v>
      </c>
      <c r="L34" s="1">
        <v>2020</v>
      </c>
      <c r="M34" s="1">
        <v>2025</v>
      </c>
      <c r="N34" s="1">
        <v>2030</v>
      </c>
      <c r="O34" s="1">
        <v>2035</v>
      </c>
      <c r="P34" s="1">
        <v>2040</v>
      </c>
      <c r="Q34" s="1">
        <v>2045</v>
      </c>
      <c r="T34" t="s">
        <v>1111</v>
      </c>
      <c r="U34" s="338">
        <v>1410000</v>
      </c>
      <c r="V34" s="338">
        <v>1403500</v>
      </c>
      <c r="W34" s="338">
        <v>1403500</v>
      </c>
      <c r="X34" s="338">
        <v>1365000</v>
      </c>
      <c r="Y34" s="338">
        <v>1380750</v>
      </c>
    </row>
    <row r="35" spans="2:25" x14ac:dyDescent="0.3">
      <c r="B35" s="1" t="s">
        <v>1148</v>
      </c>
      <c r="K35" t="s">
        <v>1099</v>
      </c>
      <c r="L35" s="338">
        <v>70000</v>
      </c>
      <c r="M35" s="338">
        <v>72000</v>
      </c>
      <c r="N35" s="338">
        <v>73000</v>
      </c>
      <c r="O35" s="338">
        <v>74000</v>
      </c>
      <c r="P35" s="338">
        <v>75000</v>
      </c>
      <c r="Q35" s="338">
        <v>76000</v>
      </c>
      <c r="T35" t="s">
        <v>1113</v>
      </c>
      <c r="U35" s="338">
        <v>1250000</v>
      </c>
      <c r="V35" s="338">
        <v>1250000</v>
      </c>
      <c r="W35" s="338">
        <v>1250000</v>
      </c>
      <c r="X35" s="338">
        <v>1250000</v>
      </c>
      <c r="Y35" s="338">
        <v>1250000</v>
      </c>
    </row>
    <row r="36" spans="2:25" x14ac:dyDescent="0.3">
      <c r="D36" s="1">
        <v>2025</v>
      </c>
      <c r="E36" s="1">
        <v>2030</v>
      </c>
      <c r="F36" s="1">
        <v>2035</v>
      </c>
      <c r="G36" s="1">
        <v>2040</v>
      </c>
      <c r="H36" s="1">
        <v>2045</v>
      </c>
      <c r="K36" t="s">
        <v>1101</v>
      </c>
      <c r="L36" s="338">
        <v>27000</v>
      </c>
      <c r="M36" s="338">
        <v>27000</v>
      </c>
      <c r="N36" s="338">
        <v>28000</v>
      </c>
      <c r="O36" s="338">
        <v>28000</v>
      </c>
      <c r="P36" s="338">
        <v>28000</v>
      </c>
      <c r="Q36" s="338">
        <v>28000</v>
      </c>
      <c r="T36" t="s">
        <v>1117</v>
      </c>
      <c r="U36" s="338">
        <v>1250000</v>
      </c>
      <c r="V36" s="338">
        <v>1250000</v>
      </c>
      <c r="W36" s="338">
        <v>1250000</v>
      </c>
      <c r="X36" s="338">
        <v>1250000</v>
      </c>
      <c r="Y36" s="338">
        <v>1250000</v>
      </c>
    </row>
    <row r="37" spans="2:25" x14ac:dyDescent="0.3">
      <c r="B37" t="s">
        <v>1097</v>
      </c>
      <c r="C37" t="s">
        <v>1098</v>
      </c>
      <c r="D37" s="338">
        <v>4929000</v>
      </c>
      <c r="E37" s="338">
        <v>5037000</v>
      </c>
      <c r="F37" s="338">
        <v>5160000</v>
      </c>
      <c r="G37" s="338">
        <v>5265000</v>
      </c>
      <c r="H37" s="338">
        <v>5378000</v>
      </c>
      <c r="K37" t="s">
        <v>1104</v>
      </c>
      <c r="L37" s="338">
        <v>25000</v>
      </c>
      <c r="M37" s="338">
        <v>27000</v>
      </c>
      <c r="N37" s="338">
        <v>29000</v>
      </c>
      <c r="O37" s="338">
        <v>30000</v>
      </c>
      <c r="P37" s="338">
        <v>31000</v>
      </c>
      <c r="Q37" s="338">
        <v>32000</v>
      </c>
      <c r="T37" s="1" t="s">
        <v>1119</v>
      </c>
      <c r="U37" s="364">
        <v>2178800</v>
      </c>
      <c r="V37" s="364">
        <v>2219000</v>
      </c>
      <c r="W37" s="364">
        <v>2241000</v>
      </c>
      <c r="X37" s="364">
        <v>2263000</v>
      </c>
      <c r="Y37" s="364">
        <v>2239000</v>
      </c>
    </row>
    <row r="38" spans="2:25" x14ac:dyDescent="0.3">
      <c r="C38" t="s">
        <v>860</v>
      </c>
      <c r="D38" s="338">
        <v>4397000</v>
      </c>
      <c r="E38" s="338">
        <v>4507000</v>
      </c>
      <c r="F38" s="338">
        <v>4626000</v>
      </c>
      <c r="G38" s="338">
        <v>4737000</v>
      </c>
      <c r="H38" s="338">
        <v>4848000</v>
      </c>
      <c r="K38" t="s">
        <v>1107</v>
      </c>
      <c r="L38" s="338">
        <v>14000</v>
      </c>
      <c r="M38" s="338">
        <v>15000</v>
      </c>
      <c r="N38" s="338">
        <v>15000</v>
      </c>
      <c r="O38" s="338">
        <v>16000</v>
      </c>
      <c r="P38" s="338">
        <v>16000</v>
      </c>
      <c r="Q38" s="338">
        <v>17000</v>
      </c>
      <c r="T38" t="s">
        <v>190</v>
      </c>
    </row>
    <row r="39" spans="2:25" x14ac:dyDescent="0.3">
      <c r="C39" t="s">
        <v>1103</v>
      </c>
      <c r="D39" s="338">
        <v>144000</v>
      </c>
      <c r="E39" s="338">
        <v>134000</v>
      </c>
      <c r="F39" s="338">
        <v>130000</v>
      </c>
      <c r="G39" s="338">
        <v>122000</v>
      </c>
      <c r="H39" s="338">
        <v>123000</v>
      </c>
      <c r="K39" t="s">
        <v>1110</v>
      </c>
      <c r="L39" s="338">
        <v>17000</v>
      </c>
      <c r="M39" s="338">
        <v>18000</v>
      </c>
      <c r="N39" s="338">
        <v>18000</v>
      </c>
      <c r="O39" s="338">
        <v>18000</v>
      </c>
      <c r="P39" s="338">
        <v>19000</v>
      </c>
      <c r="Q39" s="338">
        <v>19000</v>
      </c>
      <c r="T39" t="s">
        <v>1123</v>
      </c>
      <c r="U39" s="338">
        <v>1314000</v>
      </c>
      <c r="V39" s="338">
        <v>1292000</v>
      </c>
      <c r="W39" s="338">
        <v>1259000</v>
      </c>
      <c r="X39" s="338">
        <v>1261000</v>
      </c>
      <c r="Y39" s="338">
        <v>1286000</v>
      </c>
    </row>
    <row r="40" spans="2:25" x14ac:dyDescent="0.3">
      <c r="C40" t="s">
        <v>1106</v>
      </c>
      <c r="D40" s="338">
        <v>61000</v>
      </c>
      <c r="E40" s="338">
        <v>61000</v>
      </c>
      <c r="F40" s="338">
        <v>61000</v>
      </c>
      <c r="G40" s="338">
        <v>61000</v>
      </c>
      <c r="H40" s="338">
        <v>61000</v>
      </c>
      <c r="K40" t="s">
        <v>1112</v>
      </c>
      <c r="L40" s="338">
        <v>7000</v>
      </c>
      <c r="M40" s="338">
        <v>7000</v>
      </c>
      <c r="N40" s="338">
        <v>7000</v>
      </c>
      <c r="O40" s="338">
        <v>7000</v>
      </c>
      <c r="P40" s="338">
        <v>7000</v>
      </c>
      <c r="Q40" s="338">
        <v>7000</v>
      </c>
      <c r="T40" t="s">
        <v>1125</v>
      </c>
      <c r="U40" s="338">
        <v>278000</v>
      </c>
      <c r="V40" s="338">
        <v>278000</v>
      </c>
      <c r="W40" s="338">
        <v>278000</v>
      </c>
      <c r="X40" s="338">
        <v>278000</v>
      </c>
      <c r="Y40" s="338">
        <v>278000</v>
      </c>
    </row>
    <row r="41" spans="2:25" x14ac:dyDescent="0.3">
      <c r="C41" t="s">
        <v>1109</v>
      </c>
      <c r="D41" s="338">
        <v>327000</v>
      </c>
      <c r="E41" s="338">
        <v>334000</v>
      </c>
      <c r="F41" s="338">
        <v>343000</v>
      </c>
      <c r="G41" s="338">
        <v>345000</v>
      </c>
      <c r="H41" s="338">
        <v>346000</v>
      </c>
      <c r="K41" t="s">
        <v>1116</v>
      </c>
      <c r="L41" s="338">
        <v>160000</v>
      </c>
      <c r="M41" s="338">
        <v>166000</v>
      </c>
      <c r="N41" s="338">
        <v>170000</v>
      </c>
      <c r="O41" s="338">
        <v>173000</v>
      </c>
      <c r="P41" s="338">
        <v>176000</v>
      </c>
      <c r="Q41" s="338">
        <v>179000</v>
      </c>
      <c r="T41" s="1" t="s">
        <v>1126</v>
      </c>
      <c r="U41" s="338">
        <v>1592000</v>
      </c>
      <c r="V41" s="338">
        <v>1570000</v>
      </c>
      <c r="W41" s="338">
        <v>1537000</v>
      </c>
      <c r="X41" s="338">
        <v>1539000</v>
      </c>
      <c r="Y41" s="338">
        <v>1564000</v>
      </c>
    </row>
    <row r="42" spans="2:25" x14ac:dyDescent="0.3">
      <c r="T42" s="1" t="s">
        <v>1129</v>
      </c>
      <c r="U42" s="338">
        <v>586800</v>
      </c>
      <c r="V42" s="338">
        <v>649000</v>
      </c>
      <c r="W42" s="338">
        <v>704000</v>
      </c>
      <c r="X42" s="338">
        <v>724000</v>
      </c>
      <c r="Y42" s="338">
        <v>675000</v>
      </c>
    </row>
    <row r="43" spans="2:25" x14ac:dyDescent="0.3">
      <c r="B43" t="s">
        <v>1114</v>
      </c>
      <c r="C43" t="s">
        <v>1115</v>
      </c>
      <c r="D43" s="338">
        <v>1162000</v>
      </c>
      <c r="E43" s="338">
        <v>1211000</v>
      </c>
      <c r="F43" s="338">
        <v>1263000</v>
      </c>
      <c r="G43" s="338">
        <v>1325000</v>
      </c>
      <c r="H43" s="338">
        <v>1389000</v>
      </c>
      <c r="K43" s="1" t="s">
        <v>1149</v>
      </c>
      <c r="T43" t="s">
        <v>1130</v>
      </c>
    </row>
    <row r="44" spans="2:25" x14ac:dyDescent="0.3">
      <c r="C44" t="s">
        <v>1118</v>
      </c>
      <c r="D44" s="338">
        <v>93000</v>
      </c>
      <c r="E44" s="338">
        <v>55000</v>
      </c>
      <c r="F44" s="338">
        <v>35000</v>
      </c>
      <c r="G44" s="338">
        <v>25000</v>
      </c>
      <c r="H44" s="338">
        <v>17000</v>
      </c>
      <c r="K44" s="1" t="s">
        <v>1095</v>
      </c>
      <c r="L44" s="1">
        <v>2020</v>
      </c>
      <c r="M44" s="1">
        <v>2025</v>
      </c>
      <c r="N44" s="1">
        <v>2030</v>
      </c>
      <c r="O44" s="1">
        <v>2035</v>
      </c>
      <c r="P44" s="1">
        <v>2040</v>
      </c>
      <c r="Q44" s="1">
        <v>2045</v>
      </c>
      <c r="T44" t="s">
        <v>1102</v>
      </c>
      <c r="U44">
        <v>0</v>
      </c>
      <c r="V44">
        <v>0</v>
      </c>
      <c r="W44">
        <v>0</v>
      </c>
      <c r="X44">
        <v>0</v>
      </c>
      <c r="Y44">
        <v>0</v>
      </c>
    </row>
    <row r="45" spans="2:25" x14ac:dyDescent="0.3">
      <c r="C45" t="s">
        <v>1120</v>
      </c>
      <c r="D45" s="338">
        <v>560000</v>
      </c>
      <c r="E45" s="338">
        <v>623000</v>
      </c>
      <c r="F45" s="338">
        <v>665000</v>
      </c>
      <c r="G45" s="338">
        <v>701000</v>
      </c>
      <c r="H45" s="338">
        <v>731000</v>
      </c>
      <c r="K45" t="s">
        <v>1099</v>
      </c>
      <c r="L45" s="338">
        <v>440000</v>
      </c>
      <c r="M45" s="338">
        <v>467000</v>
      </c>
      <c r="N45" s="338">
        <v>485000</v>
      </c>
      <c r="O45" s="338">
        <v>499000</v>
      </c>
      <c r="P45" s="338">
        <v>521000</v>
      </c>
      <c r="Q45" s="338">
        <v>546000</v>
      </c>
      <c r="T45" t="s">
        <v>1133</v>
      </c>
      <c r="U45">
        <v>0</v>
      </c>
      <c r="V45">
        <v>0</v>
      </c>
      <c r="W45">
        <v>0</v>
      </c>
      <c r="X45">
        <v>0</v>
      </c>
      <c r="Y45">
        <v>0</v>
      </c>
    </row>
    <row r="46" spans="2:25" x14ac:dyDescent="0.3">
      <c r="C46" t="s">
        <v>1122</v>
      </c>
      <c r="D46" s="338">
        <v>259000</v>
      </c>
      <c r="E46" s="338">
        <v>283000</v>
      </c>
      <c r="F46" s="338">
        <v>313000</v>
      </c>
      <c r="G46" s="338">
        <v>349000</v>
      </c>
      <c r="H46" s="338">
        <v>391000</v>
      </c>
      <c r="K46" t="s">
        <v>1101</v>
      </c>
      <c r="L46" s="338">
        <v>151000</v>
      </c>
      <c r="M46" s="338">
        <v>155000</v>
      </c>
      <c r="N46" s="338">
        <v>157000</v>
      </c>
      <c r="O46" s="338">
        <v>162000</v>
      </c>
      <c r="P46" s="338">
        <v>168000</v>
      </c>
      <c r="Q46" s="338">
        <v>173000</v>
      </c>
      <c r="T46" t="s">
        <v>1108</v>
      </c>
    </row>
    <row r="47" spans="2:25" x14ac:dyDescent="0.3">
      <c r="C47" t="s">
        <v>1124</v>
      </c>
      <c r="D47" s="338">
        <v>250000</v>
      </c>
      <c r="E47" s="338">
        <v>250000</v>
      </c>
      <c r="F47" s="338">
        <v>250000</v>
      </c>
      <c r="G47" s="338">
        <v>250000</v>
      </c>
      <c r="H47" s="338">
        <v>250000</v>
      </c>
      <c r="K47" t="s">
        <v>1104</v>
      </c>
      <c r="L47" s="338">
        <v>78000</v>
      </c>
      <c r="M47" s="338">
        <v>89000</v>
      </c>
      <c r="N47" s="338">
        <v>97000</v>
      </c>
      <c r="O47" s="338">
        <v>106000</v>
      </c>
      <c r="P47" s="338">
        <v>116000</v>
      </c>
      <c r="Q47" s="338">
        <v>126000</v>
      </c>
      <c r="T47" t="s">
        <v>1111</v>
      </c>
      <c r="U47">
        <v>0</v>
      </c>
      <c r="V47">
        <v>0</v>
      </c>
      <c r="W47">
        <v>0</v>
      </c>
      <c r="X47">
        <v>0</v>
      </c>
      <c r="Y47">
        <v>0</v>
      </c>
    </row>
    <row r="48" spans="2:25" x14ac:dyDescent="0.3">
      <c r="K48" t="s">
        <v>1107</v>
      </c>
      <c r="L48" s="338">
        <v>32000</v>
      </c>
      <c r="M48" s="338">
        <v>35000</v>
      </c>
      <c r="N48" s="338">
        <v>38000</v>
      </c>
      <c r="O48" s="338">
        <v>40000</v>
      </c>
      <c r="P48" s="338">
        <v>44000</v>
      </c>
      <c r="Q48" s="338">
        <v>48000</v>
      </c>
      <c r="T48" t="s">
        <v>1113</v>
      </c>
      <c r="U48">
        <v>0</v>
      </c>
      <c r="V48">
        <v>0</v>
      </c>
      <c r="W48">
        <v>0</v>
      </c>
      <c r="X48">
        <v>0</v>
      </c>
      <c r="Y48">
        <v>0</v>
      </c>
    </row>
    <row r="49" spans="2:25" x14ac:dyDescent="0.3">
      <c r="B49" t="s">
        <v>1127</v>
      </c>
      <c r="C49" t="s">
        <v>1128</v>
      </c>
      <c r="D49" s="338">
        <v>2501000</v>
      </c>
      <c r="E49" s="338">
        <v>2604000</v>
      </c>
      <c r="F49" s="338">
        <v>2702000</v>
      </c>
      <c r="G49" s="338">
        <v>2722000</v>
      </c>
      <c r="H49" s="338">
        <v>2743000</v>
      </c>
      <c r="K49" t="s">
        <v>1110</v>
      </c>
      <c r="L49" s="338">
        <v>137000</v>
      </c>
      <c r="M49" s="338">
        <v>149000</v>
      </c>
      <c r="N49" s="338">
        <v>165000</v>
      </c>
      <c r="O49" s="338">
        <v>183000</v>
      </c>
      <c r="P49" s="338">
        <v>202000</v>
      </c>
      <c r="Q49" s="338">
        <v>220000</v>
      </c>
      <c r="T49" t="s">
        <v>1117</v>
      </c>
      <c r="U49">
        <v>0</v>
      </c>
      <c r="V49">
        <v>0</v>
      </c>
      <c r="W49">
        <v>0</v>
      </c>
      <c r="X49">
        <v>0</v>
      </c>
      <c r="Y49">
        <v>0</v>
      </c>
    </row>
    <row r="50" spans="2:25" x14ac:dyDescent="0.3">
      <c r="C50" t="s">
        <v>764</v>
      </c>
      <c r="D50" s="338">
        <v>1278000</v>
      </c>
      <c r="E50" s="338">
        <v>1300000</v>
      </c>
      <c r="F50" s="338">
        <v>1324000</v>
      </c>
      <c r="G50" s="338">
        <v>1333000</v>
      </c>
      <c r="H50" s="338">
        <v>1344000</v>
      </c>
      <c r="K50" t="s">
        <v>1112</v>
      </c>
      <c r="L50" s="338">
        <v>24000</v>
      </c>
      <c r="M50" s="338">
        <v>25000</v>
      </c>
      <c r="N50" s="338">
        <v>27000</v>
      </c>
      <c r="O50" s="338">
        <v>29000</v>
      </c>
      <c r="P50" s="338">
        <v>31000</v>
      </c>
      <c r="Q50" s="338">
        <v>32000</v>
      </c>
      <c r="T50" t="s">
        <v>1139</v>
      </c>
      <c r="U50">
        <v>0</v>
      </c>
      <c r="V50">
        <v>0</v>
      </c>
      <c r="W50">
        <v>0</v>
      </c>
      <c r="X50">
        <v>0</v>
      </c>
      <c r="Y50">
        <v>0</v>
      </c>
    </row>
    <row r="51" spans="2:25" x14ac:dyDescent="0.3">
      <c r="C51" t="s">
        <v>1131</v>
      </c>
      <c r="D51" s="338">
        <v>78000</v>
      </c>
      <c r="E51" s="338">
        <v>80000</v>
      </c>
      <c r="F51" s="338">
        <v>80000</v>
      </c>
      <c r="G51" s="338">
        <v>80000</v>
      </c>
      <c r="H51" s="338">
        <v>80000</v>
      </c>
      <c r="K51" t="s">
        <v>1150</v>
      </c>
      <c r="L51" s="338">
        <v>862000</v>
      </c>
      <c r="M51" s="338">
        <v>920000</v>
      </c>
      <c r="N51" s="338">
        <v>968000</v>
      </c>
      <c r="O51" s="338">
        <v>1020000</v>
      </c>
      <c r="P51" s="338">
        <v>1081000</v>
      </c>
      <c r="Q51" s="338">
        <v>1145000</v>
      </c>
      <c r="T51" s="1" t="s">
        <v>1142</v>
      </c>
      <c r="U51" s="338">
        <v>586800</v>
      </c>
      <c r="V51" s="338">
        <v>649000</v>
      </c>
      <c r="W51" s="338">
        <v>704000</v>
      </c>
      <c r="X51" s="338">
        <v>724000</v>
      </c>
      <c r="Y51" s="338">
        <v>675000</v>
      </c>
    </row>
    <row r="52" spans="2:25" x14ac:dyDescent="0.3">
      <c r="C52" t="s">
        <v>1132</v>
      </c>
      <c r="D52" s="338">
        <v>119000</v>
      </c>
      <c r="E52" s="338">
        <v>119000</v>
      </c>
      <c r="F52" s="338">
        <v>119000</v>
      </c>
      <c r="G52" s="338">
        <v>119000</v>
      </c>
      <c r="H52" s="338">
        <v>119000</v>
      </c>
      <c r="K52" t="s">
        <v>1124</v>
      </c>
      <c r="L52" s="338">
        <v>250000</v>
      </c>
      <c r="M52" s="338">
        <v>250000</v>
      </c>
      <c r="N52" s="338">
        <v>250000</v>
      </c>
      <c r="O52" s="338">
        <v>250000</v>
      </c>
      <c r="P52" s="338">
        <v>250000</v>
      </c>
      <c r="Q52" s="338">
        <v>250000</v>
      </c>
    </row>
    <row r="53" spans="2:25" x14ac:dyDescent="0.3">
      <c r="C53" t="s">
        <v>1134</v>
      </c>
      <c r="D53" s="338">
        <v>56000</v>
      </c>
      <c r="E53" s="338">
        <v>56000</v>
      </c>
      <c r="F53" s="338">
        <v>56000</v>
      </c>
      <c r="G53" s="338">
        <v>56000</v>
      </c>
      <c r="H53" s="338">
        <v>56000</v>
      </c>
      <c r="K53" t="s">
        <v>1115</v>
      </c>
      <c r="L53" s="338">
        <v>1112000</v>
      </c>
      <c r="M53" s="338">
        <v>1170000</v>
      </c>
      <c r="N53" s="338">
        <v>1218000</v>
      </c>
      <c r="O53" s="338">
        <v>1270000</v>
      </c>
      <c r="P53" s="338">
        <v>1331000</v>
      </c>
      <c r="Q53" s="338">
        <v>1395000</v>
      </c>
    </row>
    <row r="54" spans="2:25" x14ac:dyDescent="0.3">
      <c r="C54" t="s">
        <v>1135</v>
      </c>
      <c r="D54" s="338">
        <v>143000</v>
      </c>
      <c r="E54" s="338">
        <v>157000</v>
      </c>
      <c r="F54" s="338">
        <v>158000</v>
      </c>
      <c r="G54" s="338">
        <v>158000</v>
      </c>
      <c r="H54" s="338">
        <v>159000</v>
      </c>
      <c r="T54" s="1" t="s">
        <v>1151</v>
      </c>
    </row>
    <row r="55" spans="2:25" x14ac:dyDescent="0.3">
      <c r="C55" t="s">
        <v>1136</v>
      </c>
      <c r="D55" s="338">
        <v>550000</v>
      </c>
      <c r="E55" s="338">
        <v>613000</v>
      </c>
      <c r="F55" s="338">
        <v>687000</v>
      </c>
      <c r="G55" s="338">
        <v>698000</v>
      </c>
      <c r="H55" s="338">
        <v>706000</v>
      </c>
      <c r="T55" s="1" t="s">
        <v>1096</v>
      </c>
      <c r="U55" s="1">
        <v>2025</v>
      </c>
      <c r="V55" s="1">
        <v>2030</v>
      </c>
      <c r="W55" s="1">
        <v>2035</v>
      </c>
      <c r="X55" s="1">
        <v>2040</v>
      </c>
      <c r="Y55" s="1">
        <v>2045</v>
      </c>
    </row>
    <row r="56" spans="2:25" x14ac:dyDescent="0.3">
      <c r="C56" t="s">
        <v>1138</v>
      </c>
      <c r="D56" s="338">
        <v>278000</v>
      </c>
      <c r="E56" s="338">
        <v>278000</v>
      </c>
      <c r="F56" s="338">
        <v>278000</v>
      </c>
      <c r="G56" s="338">
        <v>278000</v>
      </c>
      <c r="H56" s="338">
        <v>278000</v>
      </c>
      <c r="T56" t="s">
        <v>1100</v>
      </c>
    </row>
    <row r="57" spans="2:25" x14ac:dyDescent="0.3">
      <c r="T57" t="s">
        <v>1102</v>
      </c>
      <c r="U57" s="338">
        <v>875000</v>
      </c>
      <c r="V57" s="338">
        <v>877000</v>
      </c>
      <c r="W57" s="338">
        <v>876000</v>
      </c>
      <c r="X57" s="338">
        <v>876000</v>
      </c>
      <c r="Y57" s="338">
        <v>874000</v>
      </c>
    </row>
    <row r="58" spans="2:25" x14ac:dyDescent="0.3">
      <c r="B58" t="s">
        <v>1140</v>
      </c>
      <c r="C58" t="s">
        <v>1141</v>
      </c>
      <c r="D58" s="338">
        <v>1266000</v>
      </c>
      <c r="E58" s="338">
        <v>1222000</v>
      </c>
      <c r="F58" s="338">
        <v>1195000</v>
      </c>
      <c r="G58" s="338">
        <v>1218000</v>
      </c>
      <c r="H58" s="338">
        <v>1247000</v>
      </c>
      <c r="T58" t="s">
        <v>1105</v>
      </c>
      <c r="U58" s="338">
        <v>1774000</v>
      </c>
      <c r="V58" s="338">
        <v>1766000</v>
      </c>
      <c r="W58" s="338">
        <v>1764000</v>
      </c>
      <c r="X58" s="338">
        <v>1762000</v>
      </c>
      <c r="Y58" s="338">
        <v>1761000</v>
      </c>
    </row>
    <row r="59" spans="2:25" x14ac:dyDescent="0.3">
      <c r="C59" t="s">
        <v>1143</v>
      </c>
      <c r="D59" s="338">
        <v>1125000</v>
      </c>
      <c r="E59" s="338">
        <v>1081000</v>
      </c>
      <c r="F59" s="338">
        <v>1055000</v>
      </c>
      <c r="G59" s="338">
        <v>1078000</v>
      </c>
      <c r="H59" s="338">
        <v>1107000</v>
      </c>
      <c r="T59" t="s">
        <v>1108</v>
      </c>
    </row>
    <row r="60" spans="2:25" x14ac:dyDescent="0.3">
      <c r="C60" t="s">
        <v>1106</v>
      </c>
      <c r="D60" s="338">
        <v>4000</v>
      </c>
      <c r="E60" s="338">
        <v>4000</v>
      </c>
      <c r="F60" s="338">
        <v>4000</v>
      </c>
      <c r="G60" s="338">
        <v>4000</v>
      </c>
      <c r="H60" s="338">
        <v>4000</v>
      </c>
      <c r="T60" t="s">
        <v>1111</v>
      </c>
      <c r="U60" s="338">
        <v>1453000</v>
      </c>
      <c r="V60" s="338">
        <v>1390500</v>
      </c>
      <c r="W60" s="338">
        <v>1390500</v>
      </c>
      <c r="X60" s="338">
        <v>1339500</v>
      </c>
      <c r="Y60" s="338">
        <v>1367750</v>
      </c>
    </row>
    <row r="61" spans="2:25" x14ac:dyDescent="0.3">
      <c r="C61" t="s">
        <v>1145</v>
      </c>
      <c r="D61" s="338">
        <v>136000</v>
      </c>
      <c r="E61" s="338">
        <v>136000</v>
      </c>
      <c r="F61" s="338">
        <v>136000</v>
      </c>
      <c r="G61" s="338">
        <v>136000</v>
      </c>
      <c r="H61" s="338">
        <v>136000</v>
      </c>
      <c r="T61" t="s">
        <v>1113</v>
      </c>
      <c r="U61" s="338">
        <v>1250000</v>
      </c>
      <c r="V61" s="338">
        <v>1250000</v>
      </c>
      <c r="W61" s="338">
        <v>1250000</v>
      </c>
      <c r="X61" s="338">
        <v>1250000</v>
      </c>
      <c r="Y61" s="338">
        <v>1250000</v>
      </c>
    </row>
    <row r="62" spans="2:25" x14ac:dyDescent="0.3">
      <c r="T62" t="s">
        <v>1117</v>
      </c>
      <c r="U62" s="338">
        <v>1250000</v>
      </c>
      <c r="V62" s="338">
        <v>1250000</v>
      </c>
      <c r="W62" s="338">
        <v>1250000</v>
      </c>
      <c r="X62" s="338">
        <v>1250000</v>
      </c>
      <c r="Y62" s="338">
        <v>1250000</v>
      </c>
    </row>
    <row r="63" spans="2:25" x14ac:dyDescent="0.3">
      <c r="T63" s="1" t="s">
        <v>1119</v>
      </c>
      <c r="U63" s="364">
        <v>3899000</v>
      </c>
      <c r="V63" s="364">
        <v>3893000</v>
      </c>
      <c r="W63" s="364">
        <v>3890000</v>
      </c>
      <c r="X63" s="364">
        <v>3888000</v>
      </c>
      <c r="Y63" s="364">
        <v>3885000</v>
      </c>
    </row>
    <row r="64" spans="2:25" x14ac:dyDescent="0.3">
      <c r="B64" s="1" t="s">
        <v>1152</v>
      </c>
      <c r="T64" t="s">
        <v>190</v>
      </c>
    </row>
    <row r="65" spans="2:25" x14ac:dyDescent="0.3">
      <c r="D65" s="1">
        <v>2025</v>
      </c>
      <c r="E65" s="1">
        <v>2030</v>
      </c>
      <c r="F65" s="1">
        <v>2035</v>
      </c>
      <c r="G65" s="1">
        <v>2040</v>
      </c>
      <c r="H65" s="1">
        <v>2045</v>
      </c>
      <c r="T65" t="s">
        <v>1123</v>
      </c>
      <c r="U65" s="338">
        <v>1149000</v>
      </c>
      <c r="V65" s="338">
        <v>1110000</v>
      </c>
      <c r="W65" s="338">
        <v>1084000</v>
      </c>
      <c r="X65" s="338">
        <v>1100000</v>
      </c>
      <c r="Y65" s="338">
        <v>1125000</v>
      </c>
    </row>
    <row r="66" spans="2:25" x14ac:dyDescent="0.3">
      <c r="B66" t="s">
        <v>1097</v>
      </c>
      <c r="C66" t="s">
        <v>1098</v>
      </c>
      <c r="D66" s="338">
        <v>4877000</v>
      </c>
      <c r="E66" s="338">
        <v>5064000</v>
      </c>
      <c r="F66" s="338">
        <v>5182000</v>
      </c>
      <c r="G66" s="338">
        <v>5299000</v>
      </c>
      <c r="H66" s="338">
        <v>5410000</v>
      </c>
      <c r="T66" t="s">
        <v>1125</v>
      </c>
      <c r="U66" s="338">
        <v>278000</v>
      </c>
      <c r="V66" s="338">
        <v>278000</v>
      </c>
      <c r="W66" s="338">
        <v>278000</v>
      </c>
      <c r="X66" s="338">
        <v>278000</v>
      </c>
      <c r="Y66" s="338">
        <v>278000</v>
      </c>
    </row>
    <row r="67" spans="2:25" x14ac:dyDescent="0.3">
      <c r="C67" t="s">
        <v>860</v>
      </c>
      <c r="D67" s="338">
        <v>4414000</v>
      </c>
      <c r="E67" s="338">
        <v>4540000</v>
      </c>
      <c r="F67" s="338">
        <v>4658000</v>
      </c>
      <c r="G67" s="338">
        <v>4777000</v>
      </c>
      <c r="H67" s="338">
        <v>4889000</v>
      </c>
      <c r="T67" s="1" t="s">
        <v>1126</v>
      </c>
      <c r="U67" s="364">
        <v>1427000</v>
      </c>
      <c r="V67" s="364">
        <v>1388000</v>
      </c>
      <c r="W67" s="364">
        <v>1362000</v>
      </c>
      <c r="X67" s="364">
        <v>1378000</v>
      </c>
      <c r="Y67" s="364">
        <v>1403000</v>
      </c>
    </row>
    <row r="68" spans="2:25" x14ac:dyDescent="0.3">
      <c r="C68" t="s">
        <v>1103</v>
      </c>
      <c r="D68" s="338">
        <v>147000</v>
      </c>
      <c r="E68" s="338">
        <v>143000</v>
      </c>
      <c r="F68" s="338">
        <v>135000</v>
      </c>
      <c r="G68" s="338">
        <v>129000</v>
      </c>
      <c r="H68" s="338">
        <v>126000</v>
      </c>
      <c r="T68" s="1" t="s">
        <v>1129</v>
      </c>
      <c r="U68" s="364">
        <v>2472000</v>
      </c>
      <c r="V68" s="364">
        <v>2505000</v>
      </c>
      <c r="W68" s="364">
        <v>2528000</v>
      </c>
      <c r="X68" s="364">
        <v>2510000</v>
      </c>
      <c r="Y68" s="364">
        <v>2482000</v>
      </c>
    </row>
    <row r="69" spans="2:25" x14ac:dyDescent="0.3">
      <c r="C69" t="s">
        <v>1106</v>
      </c>
      <c r="D69" s="338">
        <v>61000</v>
      </c>
      <c r="E69" s="338">
        <v>61000</v>
      </c>
      <c r="F69" s="338">
        <v>61000</v>
      </c>
      <c r="G69" s="338">
        <v>61000</v>
      </c>
      <c r="H69" s="338">
        <v>61000</v>
      </c>
      <c r="T69" t="s">
        <v>1130</v>
      </c>
    </row>
    <row r="70" spans="2:25" x14ac:dyDescent="0.3">
      <c r="C70" t="s">
        <v>1109</v>
      </c>
      <c r="D70" s="338">
        <v>255000</v>
      </c>
      <c r="E70" s="338">
        <v>319000</v>
      </c>
      <c r="F70" s="338">
        <v>327000</v>
      </c>
      <c r="G70" s="338">
        <v>332000</v>
      </c>
      <c r="H70" s="338">
        <v>334000</v>
      </c>
      <c r="T70" t="s">
        <v>1102</v>
      </c>
      <c r="U70">
        <v>0</v>
      </c>
      <c r="V70">
        <v>0</v>
      </c>
      <c r="W70">
        <v>0</v>
      </c>
      <c r="X70">
        <v>0</v>
      </c>
      <c r="Y70">
        <v>0</v>
      </c>
    </row>
    <row r="71" spans="2:25" x14ac:dyDescent="0.3">
      <c r="T71" t="s">
        <v>1133</v>
      </c>
      <c r="U71">
        <v>13000</v>
      </c>
      <c r="V71">
        <v>13000</v>
      </c>
      <c r="W71">
        <v>13000</v>
      </c>
      <c r="X71">
        <v>13000</v>
      </c>
      <c r="Y71">
        <v>13000</v>
      </c>
    </row>
    <row r="72" spans="2:25" x14ac:dyDescent="0.3">
      <c r="B72" t="s">
        <v>1114</v>
      </c>
      <c r="C72" t="s">
        <v>1115</v>
      </c>
      <c r="D72" s="338">
        <v>1162000</v>
      </c>
      <c r="E72" s="338">
        <v>1211000</v>
      </c>
      <c r="F72" s="338">
        <v>1263000</v>
      </c>
      <c r="G72" s="338">
        <v>1325000</v>
      </c>
      <c r="H72" s="338">
        <v>1389000</v>
      </c>
      <c r="T72" t="s">
        <v>1108</v>
      </c>
    </row>
    <row r="73" spans="2:25" x14ac:dyDescent="0.3">
      <c r="C73" t="s">
        <v>1118</v>
      </c>
      <c r="D73" s="338">
        <v>93000</v>
      </c>
      <c r="E73" s="338">
        <v>55000</v>
      </c>
      <c r="F73" s="338">
        <v>35000</v>
      </c>
      <c r="G73" s="338">
        <v>25000</v>
      </c>
      <c r="H73" s="338">
        <v>17000</v>
      </c>
      <c r="T73" t="s">
        <v>1111</v>
      </c>
      <c r="U73">
        <v>0</v>
      </c>
      <c r="V73">
        <v>0</v>
      </c>
      <c r="W73">
        <v>0</v>
      </c>
      <c r="X73">
        <v>0</v>
      </c>
      <c r="Y73">
        <v>0</v>
      </c>
    </row>
    <row r="74" spans="2:25" x14ac:dyDescent="0.3">
      <c r="C74" t="s">
        <v>1120</v>
      </c>
      <c r="D74" s="338">
        <v>560000</v>
      </c>
      <c r="E74" s="338">
        <v>623000</v>
      </c>
      <c r="F74" s="338">
        <v>665000</v>
      </c>
      <c r="G74" s="338">
        <v>701000</v>
      </c>
      <c r="H74" s="338">
        <v>731000</v>
      </c>
      <c r="T74" t="s">
        <v>1113</v>
      </c>
      <c r="U74">
        <v>0</v>
      </c>
      <c r="V74">
        <v>0</v>
      </c>
      <c r="W74">
        <v>0</v>
      </c>
      <c r="X74">
        <v>0</v>
      </c>
      <c r="Y74">
        <v>0</v>
      </c>
    </row>
    <row r="75" spans="2:25" x14ac:dyDescent="0.3">
      <c r="C75" t="s">
        <v>1122</v>
      </c>
      <c r="D75" s="338">
        <v>259000</v>
      </c>
      <c r="E75" s="338">
        <v>283000</v>
      </c>
      <c r="F75" s="338">
        <v>313000</v>
      </c>
      <c r="G75" s="338">
        <v>349000</v>
      </c>
      <c r="H75" s="338">
        <v>391000</v>
      </c>
      <c r="T75" t="s">
        <v>1117</v>
      </c>
      <c r="U75">
        <v>0</v>
      </c>
      <c r="V75">
        <v>0</v>
      </c>
      <c r="W75">
        <v>0</v>
      </c>
      <c r="X75">
        <v>0</v>
      </c>
      <c r="Y75">
        <v>0</v>
      </c>
    </row>
    <row r="76" spans="2:25" x14ac:dyDescent="0.3">
      <c r="C76" t="s">
        <v>1124</v>
      </c>
      <c r="D76" s="338">
        <v>250000</v>
      </c>
      <c r="E76" s="338">
        <v>250000</v>
      </c>
      <c r="F76" s="338">
        <v>250000</v>
      </c>
      <c r="G76" s="338">
        <v>250000</v>
      </c>
      <c r="H76" s="338">
        <v>250000</v>
      </c>
      <c r="T76" t="s">
        <v>1139</v>
      </c>
      <c r="U76">
        <v>13000</v>
      </c>
      <c r="V76">
        <v>13000</v>
      </c>
      <c r="W76">
        <v>13000</v>
      </c>
      <c r="X76">
        <v>13000</v>
      </c>
      <c r="Y76">
        <v>13000</v>
      </c>
    </row>
    <row r="77" spans="2:25" x14ac:dyDescent="0.3">
      <c r="T77" s="1" t="s">
        <v>1142</v>
      </c>
      <c r="U77" s="364">
        <v>2485000</v>
      </c>
      <c r="V77" s="364">
        <v>2518000</v>
      </c>
      <c r="W77" s="364">
        <v>2541000</v>
      </c>
      <c r="X77" s="364">
        <v>2523000</v>
      </c>
      <c r="Y77" s="364">
        <v>2495000</v>
      </c>
    </row>
    <row r="78" spans="2:25" x14ac:dyDescent="0.3">
      <c r="B78" t="s">
        <v>1127</v>
      </c>
      <c r="C78" t="s">
        <v>1128</v>
      </c>
      <c r="D78" s="338">
        <v>2400000</v>
      </c>
      <c r="E78" s="338">
        <v>2561000</v>
      </c>
      <c r="F78" s="338">
        <v>2660000</v>
      </c>
      <c r="G78" s="338">
        <v>2713000</v>
      </c>
      <c r="H78" s="338">
        <v>2736000</v>
      </c>
    </row>
    <row r="79" spans="2:25" x14ac:dyDescent="0.3">
      <c r="C79" t="s">
        <v>764</v>
      </c>
      <c r="D79" s="338">
        <v>1240000</v>
      </c>
      <c r="E79" s="338">
        <v>1293000</v>
      </c>
      <c r="F79" s="338">
        <v>1316000</v>
      </c>
      <c r="G79" s="338">
        <v>1333000</v>
      </c>
      <c r="H79" s="338">
        <v>1345000</v>
      </c>
    </row>
    <row r="80" spans="2:25" x14ac:dyDescent="0.3">
      <c r="C80" t="s">
        <v>1131</v>
      </c>
      <c r="D80" s="338">
        <v>77000</v>
      </c>
      <c r="E80" s="338">
        <v>76000</v>
      </c>
      <c r="F80" s="338">
        <v>77000</v>
      </c>
      <c r="G80" s="338">
        <v>77000</v>
      </c>
      <c r="H80" s="338">
        <v>77000</v>
      </c>
    </row>
    <row r="81" spans="2:8" x14ac:dyDescent="0.3">
      <c r="C81" t="s">
        <v>1132</v>
      </c>
      <c r="D81" s="338">
        <v>118000</v>
      </c>
      <c r="E81" s="338">
        <v>118000</v>
      </c>
      <c r="F81" s="338">
        <v>118000</v>
      </c>
      <c r="G81" s="338">
        <v>118000</v>
      </c>
      <c r="H81" s="338">
        <v>118000</v>
      </c>
    </row>
    <row r="82" spans="2:8" x14ac:dyDescent="0.3">
      <c r="C82" t="s">
        <v>1134</v>
      </c>
      <c r="D82" s="338">
        <v>56000</v>
      </c>
      <c r="E82" s="338">
        <v>56000</v>
      </c>
      <c r="F82" s="338">
        <v>56000</v>
      </c>
      <c r="G82" s="338">
        <v>56000</v>
      </c>
      <c r="H82" s="338">
        <v>56000</v>
      </c>
    </row>
    <row r="83" spans="2:8" x14ac:dyDescent="0.3">
      <c r="C83" t="s">
        <v>1135</v>
      </c>
      <c r="D83" s="338">
        <v>139000</v>
      </c>
      <c r="E83" s="338">
        <v>152000</v>
      </c>
      <c r="F83" s="338">
        <v>158000</v>
      </c>
      <c r="G83" s="338">
        <v>158000</v>
      </c>
      <c r="H83" s="338">
        <v>159000</v>
      </c>
    </row>
    <row r="84" spans="2:8" x14ac:dyDescent="0.3">
      <c r="C84" t="s">
        <v>1136</v>
      </c>
      <c r="D84" s="338">
        <v>491000</v>
      </c>
      <c r="E84" s="338">
        <v>588000</v>
      </c>
      <c r="F84" s="338">
        <v>658000</v>
      </c>
      <c r="G84" s="338">
        <v>694000</v>
      </c>
      <c r="H84" s="338">
        <v>703000</v>
      </c>
    </row>
    <row r="85" spans="2:8" x14ac:dyDescent="0.3">
      <c r="C85" t="s">
        <v>1138</v>
      </c>
      <c r="D85" s="338">
        <v>278000</v>
      </c>
      <c r="E85" s="338">
        <v>278000</v>
      </c>
      <c r="F85" s="338">
        <v>278000</v>
      </c>
      <c r="G85" s="338">
        <v>278000</v>
      </c>
      <c r="H85" s="338">
        <v>278000</v>
      </c>
    </row>
    <row r="87" spans="2:8" x14ac:dyDescent="0.3">
      <c r="B87" t="s">
        <v>1140</v>
      </c>
      <c r="C87" t="s">
        <v>1141</v>
      </c>
      <c r="D87" s="338">
        <v>1314000</v>
      </c>
      <c r="E87" s="338">
        <v>1292000</v>
      </c>
      <c r="F87" s="338">
        <v>1259000</v>
      </c>
      <c r="G87" s="338">
        <v>1261000</v>
      </c>
      <c r="H87" s="338">
        <v>1286000</v>
      </c>
    </row>
    <row r="88" spans="2:8" x14ac:dyDescent="0.3">
      <c r="C88" t="s">
        <v>1143</v>
      </c>
      <c r="D88" s="338">
        <v>1221000</v>
      </c>
      <c r="E88" s="338">
        <v>1164000</v>
      </c>
      <c r="F88" s="338">
        <v>1130000</v>
      </c>
      <c r="G88" s="338">
        <v>1132000</v>
      </c>
      <c r="H88" s="338">
        <v>1158000</v>
      </c>
    </row>
    <row r="89" spans="2:8" x14ac:dyDescent="0.3">
      <c r="C89" t="s">
        <v>1106</v>
      </c>
      <c r="D89" s="338">
        <v>8000</v>
      </c>
      <c r="E89" s="338">
        <v>4000</v>
      </c>
      <c r="F89" s="338">
        <v>4000</v>
      </c>
      <c r="G89" s="338">
        <v>4000</v>
      </c>
      <c r="H89" s="338">
        <v>4000</v>
      </c>
    </row>
    <row r="90" spans="2:8" x14ac:dyDescent="0.3">
      <c r="C90" t="s">
        <v>1145</v>
      </c>
      <c r="D90" s="338">
        <v>85000</v>
      </c>
      <c r="E90" s="338">
        <v>124000</v>
      </c>
      <c r="F90" s="338">
        <v>124000</v>
      </c>
      <c r="G90" s="338">
        <v>124000</v>
      </c>
      <c r="H90" s="338">
        <v>124000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94FB-A5C8-4F35-AB34-DFE3E8A93D49}">
  <sheetPr codeName="Sheet40"/>
  <dimension ref="A1:M34"/>
  <sheetViews>
    <sheetView workbookViewId="0"/>
  </sheetViews>
  <sheetFormatPr defaultRowHeight="14.4" x14ac:dyDescent="0.3"/>
  <cols>
    <col min="1" max="1" width="16" customWidth="1"/>
    <col min="2" max="2" width="19" bestFit="1" customWidth="1"/>
    <col min="3" max="4" width="15.6640625" bestFit="1" customWidth="1"/>
    <col min="6" max="6" width="34" bestFit="1" customWidth="1"/>
    <col min="8" max="8" width="39.88671875" customWidth="1"/>
    <col min="9" max="9" width="27" bestFit="1" customWidth="1"/>
    <col min="10" max="10" width="10.109375" bestFit="1" customWidth="1"/>
    <col min="11" max="11" width="15.6640625" bestFit="1" customWidth="1"/>
    <col min="13" max="13" width="31.6640625" bestFit="1" customWidth="1"/>
  </cols>
  <sheetData>
    <row r="1" spans="1:13" x14ac:dyDescent="0.3">
      <c r="A1" t="s">
        <v>1153</v>
      </c>
    </row>
    <row r="2" spans="1:13" x14ac:dyDescent="0.3">
      <c r="A2" t="s">
        <v>1154</v>
      </c>
      <c r="H2" s="142" t="s">
        <v>1155</v>
      </c>
    </row>
    <row r="3" spans="1:13" ht="18" x14ac:dyDescent="0.35">
      <c r="A3" s="396" t="s">
        <v>1156</v>
      </c>
      <c r="B3" s="1"/>
      <c r="C3" s="1"/>
      <c r="D3" s="1"/>
      <c r="H3" s="396" t="s">
        <v>1157</v>
      </c>
    </row>
    <row r="4" spans="1:13" x14ac:dyDescent="0.3">
      <c r="A4" s="3" t="s">
        <v>1158</v>
      </c>
      <c r="B4" s="3" t="s">
        <v>1159</v>
      </c>
      <c r="C4" s="3" t="s">
        <v>1160</v>
      </c>
      <c r="D4" s="3" t="s">
        <v>1161</v>
      </c>
      <c r="F4" s="237" t="s">
        <v>1162</v>
      </c>
      <c r="H4" s="3" t="s">
        <v>1158</v>
      </c>
      <c r="I4" s="3" t="s">
        <v>1159</v>
      </c>
      <c r="J4" s="3" t="s">
        <v>1160</v>
      </c>
      <c r="K4" s="3" t="s">
        <v>1161</v>
      </c>
      <c r="M4" s="237" t="s">
        <v>1163</v>
      </c>
    </row>
    <row r="5" spans="1:13" x14ac:dyDescent="0.3">
      <c r="A5" s="565" t="s">
        <v>1164</v>
      </c>
      <c r="B5" s="2" t="s">
        <v>1165</v>
      </c>
      <c r="C5" s="2">
        <v>13</v>
      </c>
      <c r="D5" s="2" t="s">
        <v>1166</v>
      </c>
      <c r="F5" s="397">
        <f>SUMIFS($C$5:$C$34,$D$5:$D$34,"Interior")/SUM(C5:C34)</f>
        <v>0.8423153692614771</v>
      </c>
      <c r="H5" s="565" t="s">
        <v>1167</v>
      </c>
      <c r="I5" s="2" t="s">
        <v>1168</v>
      </c>
      <c r="J5" s="2">
        <v>40</v>
      </c>
      <c r="K5" s="2" t="s">
        <v>1166</v>
      </c>
      <c r="M5" s="397">
        <f>1-(J10/100)</f>
        <v>0.95</v>
      </c>
    </row>
    <row r="6" spans="1:13" x14ac:dyDescent="0.3">
      <c r="A6" s="565"/>
      <c r="B6" s="2" t="s">
        <v>1169</v>
      </c>
      <c r="C6" s="2">
        <v>22</v>
      </c>
      <c r="D6" s="2" t="s">
        <v>1170</v>
      </c>
      <c r="H6" s="565"/>
      <c r="I6" s="2" t="s">
        <v>1171</v>
      </c>
      <c r="J6" s="2">
        <v>20</v>
      </c>
      <c r="K6" s="2" t="s">
        <v>1166</v>
      </c>
    </row>
    <row r="7" spans="1:13" x14ac:dyDescent="0.3">
      <c r="A7" s="565"/>
      <c r="B7" s="2" t="s">
        <v>1172</v>
      </c>
      <c r="C7" s="2">
        <v>28</v>
      </c>
      <c r="D7" s="2" t="s">
        <v>1166</v>
      </c>
      <c r="H7" s="565"/>
      <c r="I7" s="2" t="s">
        <v>1173</v>
      </c>
      <c r="J7" s="2">
        <v>20</v>
      </c>
      <c r="K7" s="2" t="s">
        <v>1166</v>
      </c>
    </row>
    <row r="8" spans="1:13" x14ac:dyDescent="0.3">
      <c r="A8" s="565"/>
      <c r="B8" s="2" t="s">
        <v>1174</v>
      </c>
      <c r="C8" s="2">
        <v>37</v>
      </c>
      <c r="D8" s="2" t="s">
        <v>1166</v>
      </c>
      <c r="H8" s="565"/>
      <c r="I8" s="2" t="s">
        <v>1175</v>
      </c>
      <c r="J8" s="2">
        <v>10</v>
      </c>
      <c r="K8" s="2" t="s">
        <v>1166</v>
      </c>
    </row>
    <row r="9" spans="1:13" x14ac:dyDescent="0.3">
      <c r="A9" s="565" t="s">
        <v>1176</v>
      </c>
      <c r="B9" s="2" t="s">
        <v>1165</v>
      </c>
      <c r="C9" s="2">
        <v>7</v>
      </c>
      <c r="D9" s="2" t="s">
        <v>1166</v>
      </c>
      <c r="H9" s="565"/>
      <c r="I9" s="2" t="s">
        <v>1177</v>
      </c>
      <c r="J9" s="2">
        <v>5</v>
      </c>
      <c r="K9" s="2" t="s">
        <v>1166</v>
      </c>
    </row>
    <row r="10" spans="1:13" x14ac:dyDescent="0.3">
      <c r="A10" s="565"/>
      <c r="B10" s="2" t="s">
        <v>1169</v>
      </c>
      <c r="C10" s="2">
        <v>7</v>
      </c>
      <c r="D10" s="2" t="s">
        <v>1170</v>
      </c>
      <c r="H10" s="565"/>
      <c r="I10" s="2" t="s">
        <v>1169</v>
      </c>
      <c r="J10" s="2">
        <v>5</v>
      </c>
      <c r="K10" s="2" t="s">
        <v>1170</v>
      </c>
    </row>
    <row r="11" spans="1:13" x14ac:dyDescent="0.3">
      <c r="A11" s="565"/>
      <c r="B11" s="2" t="s">
        <v>1172</v>
      </c>
      <c r="C11" s="2">
        <v>20</v>
      </c>
      <c r="D11" s="2" t="s">
        <v>1166</v>
      </c>
      <c r="H11" s="565" t="s">
        <v>1178</v>
      </c>
      <c r="I11" s="2" t="s">
        <v>1179</v>
      </c>
      <c r="J11" s="2">
        <v>42</v>
      </c>
      <c r="K11" s="2" t="s">
        <v>1166</v>
      </c>
    </row>
    <row r="12" spans="1:13" x14ac:dyDescent="0.3">
      <c r="A12" s="565"/>
      <c r="B12" s="2" t="s">
        <v>1174</v>
      </c>
      <c r="C12" s="2">
        <v>35</v>
      </c>
      <c r="D12" s="2" t="s">
        <v>1166</v>
      </c>
      <c r="H12" s="565"/>
      <c r="I12" s="2" t="s">
        <v>1180</v>
      </c>
      <c r="J12" s="2">
        <v>19</v>
      </c>
      <c r="K12" s="2" t="s">
        <v>1166</v>
      </c>
    </row>
    <row r="13" spans="1:13" x14ac:dyDescent="0.3">
      <c r="A13" s="565"/>
      <c r="B13" s="2" t="s">
        <v>1181</v>
      </c>
      <c r="C13" s="2">
        <v>15</v>
      </c>
      <c r="D13" s="2" t="s">
        <v>1166</v>
      </c>
      <c r="H13" s="565"/>
      <c r="I13" s="2" t="s">
        <v>1182</v>
      </c>
      <c r="J13" s="2">
        <v>14</v>
      </c>
      <c r="K13" s="2" t="s">
        <v>1166</v>
      </c>
    </row>
    <row r="14" spans="1:13" x14ac:dyDescent="0.3">
      <c r="A14" s="565"/>
      <c r="B14" s="2" t="s">
        <v>1183</v>
      </c>
      <c r="C14" s="2">
        <v>9</v>
      </c>
      <c r="D14" s="2" t="s">
        <v>1166</v>
      </c>
      <c r="H14" s="565"/>
      <c r="I14" s="2" t="s">
        <v>1184</v>
      </c>
      <c r="J14" s="2">
        <v>13</v>
      </c>
      <c r="K14" s="2" t="s">
        <v>1166</v>
      </c>
    </row>
    <row r="15" spans="1:13" x14ac:dyDescent="0.3">
      <c r="A15" s="565"/>
      <c r="B15" s="2" t="s">
        <v>687</v>
      </c>
      <c r="C15" s="2">
        <v>7</v>
      </c>
      <c r="D15" s="2" t="s">
        <v>1166</v>
      </c>
      <c r="H15" s="565"/>
      <c r="I15" s="2" t="s">
        <v>1185</v>
      </c>
      <c r="J15" s="2">
        <v>3</v>
      </c>
      <c r="K15" s="2" t="s">
        <v>1166</v>
      </c>
    </row>
    <row r="16" spans="1:13" x14ac:dyDescent="0.3">
      <c r="A16" s="565" t="s">
        <v>1186</v>
      </c>
      <c r="B16" s="2" t="s">
        <v>1165</v>
      </c>
      <c r="C16" s="2">
        <v>14</v>
      </c>
      <c r="D16" s="2" t="s">
        <v>1166</v>
      </c>
      <c r="H16" s="565"/>
      <c r="I16" s="2" t="s">
        <v>1187</v>
      </c>
      <c r="J16" s="2">
        <v>9</v>
      </c>
      <c r="K16" s="2" t="s">
        <v>1166</v>
      </c>
    </row>
    <row r="17" spans="1:4" x14ac:dyDescent="0.3">
      <c r="A17" s="565"/>
      <c r="B17" s="2" t="s">
        <v>1169</v>
      </c>
      <c r="C17" s="2">
        <v>16</v>
      </c>
      <c r="D17" s="2" t="s">
        <v>1170</v>
      </c>
    </row>
    <row r="18" spans="1:4" x14ac:dyDescent="0.3">
      <c r="A18" s="565"/>
      <c r="B18" s="2" t="s">
        <v>1172</v>
      </c>
      <c r="C18" s="2">
        <v>12</v>
      </c>
      <c r="D18" s="2" t="s">
        <v>1166</v>
      </c>
    </row>
    <row r="19" spans="1:4" x14ac:dyDescent="0.3">
      <c r="A19" s="565"/>
      <c r="B19" s="2" t="s">
        <v>1174</v>
      </c>
      <c r="C19" s="2">
        <v>30</v>
      </c>
      <c r="D19" s="2" t="s">
        <v>1166</v>
      </c>
    </row>
    <row r="20" spans="1:4" x14ac:dyDescent="0.3">
      <c r="A20" s="565"/>
      <c r="B20" s="2" t="s">
        <v>1188</v>
      </c>
      <c r="C20" s="2">
        <v>1</v>
      </c>
      <c r="D20" s="2" t="s">
        <v>1170</v>
      </c>
    </row>
    <row r="21" spans="1:4" x14ac:dyDescent="0.3">
      <c r="A21" s="565"/>
      <c r="B21" s="2" t="s">
        <v>1183</v>
      </c>
      <c r="C21" s="2">
        <v>16</v>
      </c>
      <c r="D21" s="2" t="s">
        <v>1166</v>
      </c>
    </row>
    <row r="22" spans="1:4" x14ac:dyDescent="0.3">
      <c r="A22" s="565"/>
      <c r="B22" s="2" t="s">
        <v>687</v>
      </c>
      <c r="C22" s="2">
        <v>12</v>
      </c>
      <c r="D22" s="2" t="s">
        <v>1166</v>
      </c>
    </row>
    <row r="23" spans="1:4" x14ac:dyDescent="0.3">
      <c r="A23" s="565" t="s">
        <v>1189</v>
      </c>
      <c r="B23" s="2" t="s">
        <v>1165</v>
      </c>
      <c r="C23" s="2">
        <v>52</v>
      </c>
      <c r="D23" s="2" t="s">
        <v>1166</v>
      </c>
    </row>
    <row r="24" spans="1:4" x14ac:dyDescent="0.3">
      <c r="A24" s="565"/>
      <c r="B24" s="2" t="s">
        <v>1169</v>
      </c>
      <c r="C24" s="2">
        <v>4</v>
      </c>
      <c r="D24" s="2" t="s">
        <v>1170</v>
      </c>
    </row>
    <row r="25" spans="1:4" x14ac:dyDescent="0.3">
      <c r="A25" s="565"/>
      <c r="B25" s="2" t="s">
        <v>1172</v>
      </c>
      <c r="C25" s="2">
        <v>1</v>
      </c>
      <c r="D25" s="2" t="s">
        <v>1166</v>
      </c>
    </row>
    <row r="26" spans="1:4" x14ac:dyDescent="0.3">
      <c r="A26" s="565"/>
      <c r="B26" s="2" t="s">
        <v>1174</v>
      </c>
      <c r="C26" s="2">
        <v>31</v>
      </c>
      <c r="D26" s="2" t="s">
        <v>1166</v>
      </c>
    </row>
    <row r="27" spans="1:4" x14ac:dyDescent="0.3">
      <c r="A27" s="565"/>
      <c r="B27" s="2" t="s">
        <v>687</v>
      </c>
      <c r="C27" s="2">
        <v>12</v>
      </c>
      <c r="D27" s="2" t="s">
        <v>1166</v>
      </c>
    </row>
    <row r="28" spans="1:4" x14ac:dyDescent="0.3">
      <c r="A28" s="565" t="s">
        <v>1190</v>
      </c>
      <c r="B28" s="2" t="s">
        <v>1165</v>
      </c>
      <c r="C28" s="2">
        <v>7</v>
      </c>
      <c r="D28" s="2" t="s">
        <v>1166</v>
      </c>
    </row>
    <row r="29" spans="1:4" x14ac:dyDescent="0.3">
      <c r="A29" s="565"/>
      <c r="B29" s="2" t="s">
        <v>1169</v>
      </c>
      <c r="C29" s="2">
        <v>28</v>
      </c>
      <c r="D29" s="2" t="s">
        <v>1170</v>
      </c>
    </row>
    <row r="30" spans="1:4" x14ac:dyDescent="0.3">
      <c r="A30" s="565"/>
      <c r="B30" s="2" t="s">
        <v>1172</v>
      </c>
      <c r="C30" s="2">
        <v>11</v>
      </c>
      <c r="D30" s="2" t="s">
        <v>1166</v>
      </c>
    </row>
    <row r="31" spans="1:4" x14ac:dyDescent="0.3">
      <c r="A31" s="565"/>
      <c r="B31" s="2" t="s">
        <v>1174</v>
      </c>
      <c r="C31" s="2">
        <v>45</v>
      </c>
      <c r="D31" s="2" t="s">
        <v>1166</v>
      </c>
    </row>
    <row r="32" spans="1:4" x14ac:dyDescent="0.3">
      <c r="A32" s="565"/>
      <c r="B32" s="2" t="s">
        <v>1188</v>
      </c>
      <c r="C32" s="2">
        <v>1</v>
      </c>
      <c r="D32" s="2" t="s">
        <v>1170</v>
      </c>
    </row>
    <row r="33" spans="1:4" x14ac:dyDescent="0.3">
      <c r="A33" s="565"/>
      <c r="B33" s="2" t="s">
        <v>1183</v>
      </c>
      <c r="C33" s="2">
        <v>3</v>
      </c>
      <c r="D33" s="2" t="s">
        <v>1166</v>
      </c>
    </row>
    <row r="34" spans="1:4" x14ac:dyDescent="0.3">
      <c r="A34" s="565"/>
      <c r="B34" s="2" t="s">
        <v>687</v>
      </c>
      <c r="C34" s="2">
        <v>5</v>
      </c>
      <c r="D34" s="2" t="s">
        <v>1166</v>
      </c>
    </row>
  </sheetData>
  <mergeCells count="7">
    <mergeCell ref="A23:A27"/>
    <mergeCell ref="A28:A34"/>
    <mergeCell ref="H5:H10"/>
    <mergeCell ref="H11:H16"/>
    <mergeCell ref="A5:A8"/>
    <mergeCell ref="A9:A15"/>
    <mergeCell ref="A16:A22"/>
  </mergeCells>
  <hyperlinks>
    <hyperlink ref="H2" r:id="rId1" location="industrial" xr:uid="{42136BA3-43DE-4DF1-A881-2F29894E203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EA2F9-DBE6-41A4-9279-59228F9E5DF5}">
  <sheetPr codeName="Sheet41">
    <tabColor rgb="FF7030A0"/>
  </sheetPr>
  <dimension ref="A1:J2688"/>
  <sheetViews>
    <sheetView workbookViewId="0"/>
  </sheetViews>
  <sheetFormatPr defaultRowHeight="14.4" x14ac:dyDescent="0.3"/>
  <cols>
    <col min="1" max="1" width="10" bestFit="1" customWidth="1"/>
    <col min="2" max="2" width="63.5546875" bestFit="1" customWidth="1"/>
    <col min="3" max="3" width="64.44140625" bestFit="1" customWidth="1"/>
    <col min="4" max="4" width="21.109375" bestFit="1" customWidth="1"/>
    <col min="5" max="5" width="28.88671875" bestFit="1" customWidth="1"/>
    <col min="6" max="6" width="25.33203125" bestFit="1" customWidth="1"/>
    <col min="7" max="7" width="41.88671875" bestFit="1" customWidth="1"/>
    <col min="8" max="8" width="132.44140625" bestFit="1" customWidth="1"/>
    <col min="9" max="9" width="24.109375" bestFit="1" customWidth="1"/>
    <col min="10" max="10" width="14.109375" bestFit="1" customWidth="1"/>
  </cols>
  <sheetData>
    <row r="1" spans="1:10" x14ac:dyDescent="0.3">
      <c r="A1" t="s">
        <v>1191</v>
      </c>
      <c r="B1" t="s">
        <v>1192</v>
      </c>
      <c r="C1" t="s">
        <v>1193</v>
      </c>
      <c r="D1" t="s">
        <v>1194</v>
      </c>
      <c r="E1" t="s">
        <v>1195</v>
      </c>
      <c r="F1" t="s">
        <v>1196</v>
      </c>
      <c r="G1" t="s">
        <v>1197</v>
      </c>
      <c r="H1" t="s">
        <v>1198</v>
      </c>
      <c r="I1" t="s">
        <v>1199</v>
      </c>
      <c r="J1" t="s">
        <v>1200</v>
      </c>
    </row>
    <row r="2" spans="1:10" x14ac:dyDescent="0.3">
      <c r="A2">
        <v>13</v>
      </c>
      <c r="B2" t="s">
        <v>1201</v>
      </c>
      <c r="C2" t="s">
        <v>1202</v>
      </c>
      <c r="D2" t="s">
        <v>1203</v>
      </c>
      <c r="E2" t="s">
        <v>1204</v>
      </c>
      <c r="F2">
        <v>5973</v>
      </c>
      <c r="G2" t="s">
        <v>698</v>
      </c>
      <c r="I2" t="s">
        <v>1205</v>
      </c>
      <c r="J2">
        <v>162</v>
      </c>
    </row>
    <row r="3" spans="1:10" x14ac:dyDescent="0.3">
      <c r="A3">
        <v>13</v>
      </c>
      <c r="B3" t="s">
        <v>1201</v>
      </c>
      <c r="C3" t="s">
        <v>1202</v>
      </c>
      <c r="D3" t="s">
        <v>1203</v>
      </c>
      <c r="E3" t="s">
        <v>1204</v>
      </c>
      <c r="F3">
        <v>5973</v>
      </c>
      <c r="G3" t="s">
        <v>700</v>
      </c>
      <c r="I3" t="s">
        <v>1205</v>
      </c>
      <c r="J3">
        <v>809</v>
      </c>
    </row>
    <row r="4" spans="1:10" x14ac:dyDescent="0.3">
      <c r="A4">
        <v>13</v>
      </c>
      <c r="B4" t="s">
        <v>1201</v>
      </c>
      <c r="C4" t="s">
        <v>1202</v>
      </c>
      <c r="D4" t="s">
        <v>1203</v>
      </c>
      <c r="E4" t="s">
        <v>1204</v>
      </c>
      <c r="F4">
        <v>5973</v>
      </c>
      <c r="G4" t="s">
        <v>701</v>
      </c>
      <c r="I4" t="s">
        <v>1205</v>
      </c>
      <c r="J4">
        <v>0</v>
      </c>
    </row>
    <row r="5" spans="1:10" x14ac:dyDescent="0.3">
      <c r="A5">
        <v>13</v>
      </c>
      <c r="B5" t="s">
        <v>1201</v>
      </c>
      <c r="C5" t="s">
        <v>1202</v>
      </c>
      <c r="D5" t="s">
        <v>1203</v>
      </c>
      <c r="E5" t="s">
        <v>1204</v>
      </c>
      <c r="F5">
        <v>5973</v>
      </c>
      <c r="G5" t="s">
        <v>702</v>
      </c>
      <c r="H5" t="s">
        <v>1206</v>
      </c>
      <c r="I5" t="s">
        <v>1205</v>
      </c>
      <c r="J5">
        <v>82</v>
      </c>
    </row>
    <row r="6" spans="1:10" x14ac:dyDescent="0.3">
      <c r="A6">
        <v>13</v>
      </c>
      <c r="B6" t="s">
        <v>1201</v>
      </c>
      <c r="C6" t="s">
        <v>1202</v>
      </c>
      <c r="D6" t="s">
        <v>1203</v>
      </c>
      <c r="E6" t="s">
        <v>1204</v>
      </c>
      <c r="F6">
        <v>5973</v>
      </c>
      <c r="G6" t="s">
        <v>691</v>
      </c>
      <c r="I6" t="s">
        <v>1205</v>
      </c>
      <c r="J6">
        <v>1</v>
      </c>
    </row>
    <row r="7" spans="1:10" x14ac:dyDescent="0.3">
      <c r="A7">
        <v>13</v>
      </c>
      <c r="B7" t="s">
        <v>1201</v>
      </c>
      <c r="C7" t="s">
        <v>1202</v>
      </c>
      <c r="D7" t="s">
        <v>1203</v>
      </c>
      <c r="E7" t="s">
        <v>1204</v>
      </c>
      <c r="F7">
        <v>5973</v>
      </c>
      <c r="G7" t="s">
        <v>686</v>
      </c>
      <c r="I7" t="s">
        <v>1205</v>
      </c>
      <c r="J7">
        <v>987</v>
      </c>
    </row>
    <row r="8" spans="1:10" x14ac:dyDescent="0.3">
      <c r="A8">
        <v>13</v>
      </c>
      <c r="B8" t="s">
        <v>1201</v>
      </c>
      <c r="C8" t="s">
        <v>1202</v>
      </c>
      <c r="D8" t="s">
        <v>1203</v>
      </c>
      <c r="E8" t="s">
        <v>1204</v>
      </c>
      <c r="F8">
        <v>5973</v>
      </c>
      <c r="G8" t="s">
        <v>696</v>
      </c>
      <c r="I8" t="s">
        <v>1205</v>
      </c>
      <c r="J8">
        <v>2606</v>
      </c>
    </row>
    <row r="9" spans="1:10" x14ac:dyDescent="0.3">
      <c r="A9">
        <v>23</v>
      </c>
      <c r="B9" t="s">
        <v>801</v>
      </c>
      <c r="C9" t="s">
        <v>1202</v>
      </c>
      <c r="D9" t="s">
        <v>159</v>
      </c>
      <c r="E9" t="s">
        <v>159</v>
      </c>
      <c r="F9">
        <v>6868</v>
      </c>
      <c r="G9" t="s">
        <v>701</v>
      </c>
      <c r="I9" t="s">
        <v>1205</v>
      </c>
      <c r="J9">
        <v>2410</v>
      </c>
    </row>
    <row r="10" spans="1:10" x14ac:dyDescent="0.3">
      <c r="A10">
        <v>23</v>
      </c>
      <c r="B10" t="s">
        <v>801</v>
      </c>
      <c r="C10" t="s">
        <v>1202</v>
      </c>
      <c r="D10" t="s">
        <v>159</v>
      </c>
      <c r="E10" t="s">
        <v>159</v>
      </c>
      <c r="F10">
        <v>6868</v>
      </c>
      <c r="G10" t="s">
        <v>700</v>
      </c>
      <c r="I10" t="s">
        <v>1205</v>
      </c>
      <c r="J10">
        <v>4245</v>
      </c>
    </row>
    <row r="11" spans="1:10" x14ac:dyDescent="0.3">
      <c r="A11">
        <v>23</v>
      </c>
      <c r="B11" t="s">
        <v>801</v>
      </c>
      <c r="C11" t="s">
        <v>1202</v>
      </c>
      <c r="D11" t="s">
        <v>159</v>
      </c>
      <c r="E11" t="s">
        <v>159</v>
      </c>
      <c r="F11">
        <v>6868</v>
      </c>
      <c r="G11" t="s">
        <v>703</v>
      </c>
      <c r="I11" t="s">
        <v>1205</v>
      </c>
      <c r="J11">
        <v>1064</v>
      </c>
    </row>
    <row r="12" spans="1:10" x14ac:dyDescent="0.3">
      <c r="A12">
        <v>23</v>
      </c>
      <c r="B12" t="s">
        <v>801</v>
      </c>
      <c r="C12" t="s">
        <v>1202</v>
      </c>
      <c r="D12" t="s">
        <v>159</v>
      </c>
      <c r="E12" t="s">
        <v>159</v>
      </c>
      <c r="F12">
        <v>6868</v>
      </c>
      <c r="G12" t="s">
        <v>702</v>
      </c>
      <c r="I12" t="s">
        <v>1205</v>
      </c>
      <c r="J12">
        <v>5463</v>
      </c>
    </row>
    <row r="13" spans="1:10" x14ac:dyDescent="0.3">
      <c r="A13">
        <v>23</v>
      </c>
      <c r="B13" t="s">
        <v>801</v>
      </c>
      <c r="C13" t="s">
        <v>1202</v>
      </c>
      <c r="D13" t="s">
        <v>159</v>
      </c>
      <c r="E13" t="s">
        <v>159</v>
      </c>
      <c r="F13">
        <v>6868</v>
      </c>
      <c r="G13" t="s">
        <v>687</v>
      </c>
      <c r="H13" t="s">
        <v>1207</v>
      </c>
      <c r="I13" t="s">
        <v>1205</v>
      </c>
      <c r="J13">
        <v>83</v>
      </c>
    </row>
    <row r="14" spans="1:10" x14ac:dyDescent="0.3">
      <c r="A14">
        <v>23</v>
      </c>
      <c r="B14" t="s">
        <v>801</v>
      </c>
      <c r="C14" t="s">
        <v>1202</v>
      </c>
      <c r="D14" t="s">
        <v>159</v>
      </c>
      <c r="E14" t="s">
        <v>159</v>
      </c>
      <c r="F14">
        <v>6868</v>
      </c>
      <c r="G14" t="s">
        <v>686</v>
      </c>
      <c r="H14" t="s">
        <v>1208</v>
      </c>
      <c r="I14" t="s">
        <v>1205</v>
      </c>
      <c r="J14">
        <v>4483</v>
      </c>
    </row>
    <row r="15" spans="1:10" x14ac:dyDescent="0.3">
      <c r="A15">
        <v>23</v>
      </c>
      <c r="B15" t="s">
        <v>801</v>
      </c>
      <c r="C15" t="s">
        <v>1202</v>
      </c>
      <c r="D15" t="s">
        <v>159</v>
      </c>
      <c r="E15" t="s">
        <v>159</v>
      </c>
      <c r="F15">
        <v>6868</v>
      </c>
      <c r="G15" t="s">
        <v>687</v>
      </c>
      <c r="H15" t="s">
        <v>1209</v>
      </c>
      <c r="I15" t="s">
        <v>1210</v>
      </c>
      <c r="J15">
        <v>1569</v>
      </c>
    </row>
    <row r="16" spans="1:10" x14ac:dyDescent="0.3">
      <c r="A16">
        <v>23</v>
      </c>
      <c r="B16" t="s">
        <v>801</v>
      </c>
      <c r="C16" t="s">
        <v>1202</v>
      </c>
      <c r="D16" t="s">
        <v>159</v>
      </c>
      <c r="E16" t="s">
        <v>159</v>
      </c>
      <c r="F16">
        <v>6868</v>
      </c>
      <c r="G16" t="s">
        <v>698</v>
      </c>
      <c r="I16" t="s">
        <v>1205</v>
      </c>
      <c r="J16">
        <v>7813</v>
      </c>
    </row>
    <row r="17" spans="1:10" x14ac:dyDescent="0.3">
      <c r="A17">
        <v>23</v>
      </c>
      <c r="B17" t="s">
        <v>801</v>
      </c>
      <c r="C17" t="s">
        <v>1202</v>
      </c>
      <c r="D17" t="s">
        <v>159</v>
      </c>
      <c r="E17" t="s">
        <v>159</v>
      </c>
      <c r="F17">
        <v>6868</v>
      </c>
      <c r="G17" t="s">
        <v>696</v>
      </c>
      <c r="I17" t="s">
        <v>1205</v>
      </c>
      <c r="J17">
        <v>18762</v>
      </c>
    </row>
    <row r="18" spans="1:10" x14ac:dyDescent="0.3">
      <c r="A18">
        <v>23</v>
      </c>
      <c r="B18" t="s">
        <v>801</v>
      </c>
      <c r="C18" t="s">
        <v>1202</v>
      </c>
      <c r="D18" t="s">
        <v>159</v>
      </c>
      <c r="E18" t="s">
        <v>159</v>
      </c>
      <c r="F18">
        <v>6868</v>
      </c>
      <c r="G18" t="s">
        <v>706</v>
      </c>
      <c r="H18" t="s">
        <v>1211</v>
      </c>
      <c r="I18" t="s">
        <v>1210</v>
      </c>
      <c r="J18">
        <v>463</v>
      </c>
    </row>
    <row r="19" spans="1:10" x14ac:dyDescent="0.3">
      <c r="A19">
        <v>23</v>
      </c>
      <c r="B19" t="s">
        <v>801</v>
      </c>
      <c r="C19" t="s">
        <v>1202</v>
      </c>
      <c r="D19" t="s">
        <v>159</v>
      </c>
      <c r="E19" t="s">
        <v>159</v>
      </c>
      <c r="F19">
        <v>6868</v>
      </c>
      <c r="G19" t="s">
        <v>706</v>
      </c>
      <c r="H19" t="s">
        <v>1212</v>
      </c>
      <c r="I19" t="s">
        <v>1210</v>
      </c>
      <c r="J19">
        <v>7190</v>
      </c>
    </row>
    <row r="20" spans="1:10" x14ac:dyDescent="0.3">
      <c r="A20">
        <v>23</v>
      </c>
      <c r="B20" t="s">
        <v>801</v>
      </c>
      <c r="C20" t="s">
        <v>1202</v>
      </c>
      <c r="D20" t="s">
        <v>159</v>
      </c>
      <c r="E20" t="s">
        <v>159</v>
      </c>
      <c r="F20">
        <v>6868</v>
      </c>
      <c r="G20" t="s">
        <v>705</v>
      </c>
      <c r="I20" t="s">
        <v>1210</v>
      </c>
      <c r="J20">
        <v>0</v>
      </c>
    </row>
    <row r="21" spans="1:10" x14ac:dyDescent="0.3">
      <c r="A21">
        <v>30</v>
      </c>
      <c r="B21" t="s">
        <v>1213</v>
      </c>
      <c r="C21" t="s">
        <v>1202</v>
      </c>
      <c r="D21" t="s">
        <v>159</v>
      </c>
      <c r="E21" t="s">
        <v>159</v>
      </c>
      <c r="F21">
        <v>5557</v>
      </c>
      <c r="G21" t="s">
        <v>700</v>
      </c>
      <c r="H21" t="s">
        <v>1214</v>
      </c>
      <c r="I21" t="s">
        <v>1205</v>
      </c>
      <c r="J21">
        <v>1422</v>
      </c>
    </row>
    <row r="22" spans="1:10" x14ac:dyDescent="0.3">
      <c r="A22">
        <v>30</v>
      </c>
      <c r="B22" t="s">
        <v>1213</v>
      </c>
      <c r="C22" t="s">
        <v>1202</v>
      </c>
      <c r="D22" t="s">
        <v>159</v>
      </c>
      <c r="E22" t="s">
        <v>159</v>
      </c>
      <c r="F22">
        <v>5557</v>
      </c>
      <c r="G22" t="s">
        <v>701</v>
      </c>
      <c r="I22" t="s">
        <v>1205</v>
      </c>
      <c r="J22">
        <v>68</v>
      </c>
    </row>
    <row r="23" spans="1:10" x14ac:dyDescent="0.3">
      <c r="A23">
        <v>30</v>
      </c>
      <c r="B23" t="s">
        <v>1213</v>
      </c>
      <c r="C23" t="s">
        <v>1202</v>
      </c>
      <c r="D23" t="s">
        <v>159</v>
      </c>
      <c r="E23" t="s">
        <v>159</v>
      </c>
      <c r="F23">
        <v>5557</v>
      </c>
      <c r="G23" t="s">
        <v>702</v>
      </c>
      <c r="I23" t="s">
        <v>1205</v>
      </c>
      <c r="J23">
        <v>77</v>
      </c>
    </row>
    <row r="24" spans="1:10" x14ac:dyDescent="0.3">
      <c r="A24">
        <v>30</v>
      </c>
      <c r="B24" t="s">
        <v>1213</v>
      </c>
      <c r="C24" t="s">
        <v>1202</v>
      </c>
      <c r="D24" t="s">
        <v>159</v>
      </c>
      <c r="E24" t="s">
        <v>159</v>
      </c>
      <c r="F24">
        <v>5557</v>
      </c>
      <c r="G24" t="s">
        <v>686</v>
      </c>
      <c r="I24" t="s">
        <v>1205</v>
      </c>
      <c r="J24">
        <v>970</v>
      </c>
    </row>
    <row r="25" spans="1:10" x14ac:dyDescent="0.3">
      <c r="A25">
        <v>30</v>
      </c>
      <c r="B25" t="s">
        <v>1213</v>
      </c>
      <c r="C25" t="s">
        <v>1202</v>
      </c>
      <c r="D25" t="s">
        <v>159</v>
      </c>
      <c r="E25" t="s">
        <v>159</v>
      </c>
      <c r="F25">
        <v>5557</v>
      </c>
      <c r="G25" t="s">
        <v>687</v>
      </c>
      <c r="H25" t="s">
        <v>1215</v>
      </c>
      <c r="I25" t="s">
        <v>1216</v>
      </c>
      <c r="J25">
        <v>386</v>
      </c>
    </row>
    <row r="26" spans="1:10" x14ac:dyDescent="0.3">
      <c r="A26">
        <v>30</v>
      </c>
      <c r="B26" t="s">
        <v>1213</v>
      </c>
      <c r="C26" t="s">
        <v>1202</v>
      </c>
      <c r="D26" t="s">
        <v>159</v>
      </c>
      <c r="E26" t="s">
        <v>159</v>
      </c>
      <c r="F26">
        <v>5557</v>
      </c>
      <c r="G26" t="s">
        <v>696</v>
      </c>
      <c r="I26" t="s">
        <v>1205</v>
      </c>
      <c r="J26">
        <v>2994</v>
      </c>
    </row>
    <row r="27" spans="1:10" x14ac:dyDescent="0.3">
      <c r="A27">
        <v>30</v>
      </c>
      <c r="B27" t="s">
        <v>1213</v>
      </c>
      <c r="C27" t="s">
        <v>1202</v>
      </c>
      <c r="D27" t="s">
        <v>159</v>
      </c>
      <c r="E27" t="s">
        <v>159</v>
      </c>
      <c r="F27">
        <v>5557</v>
      </c>
      <c r="G27" t="s">
        <v>698</v>
      </c>
      <c r="I27" t="s">
        <v>1205</v>
      </c>
      <c r="J27">
        <v>3465</v>
      </c>
    </row>
    <row r="28" spans="1:10" x14ac:dyDescent="0.3">
      <c r="A28">
        <v>55</v>
      </c>
      <c r="B28" t="s">
        <v>1217</v>
      </c>
      <c r="C28" t="s">
        <v>1202</v>
      </c>
      <c r="D28" t="s">
        <v>1203</v>
      </c>
      <c r="E28" t="s">
        <v>1204</v>
      </c>
      <c r="F28">
        <v>5577</v>
      </c>
      <c r="G28" t="s">
        <v>686</v>
      </c>
      <c r="I28" t="s">
        <v>1210</v>
      </c>
      <c r="J28">
        <v>2305</v>
      </c>
    </row>
    <row r="29" spans="1:10" x14ac:dyDescent="0.3">
      <c r="A29">
        <v>55</v>
      </c>
      <c r="B29" t="s">
        <v>1217</v>
      </c>
      <c r="C29" t="s">
        <v>1202</v>
      </c>
      <c r="D29" t="s">
        <v>1203</v>
      </c>
      <c r="E29" t="s">
        <v>1204</v>
      </c>
      <c r="F29">
        <v>5577</v>
      </c>
      <c r="G29" t="s">
        <v>684</v>
      </c>
      <c r="I29" t="s">
        <v>1210</v>
      </c>
      <c r="J29">
        <v>186</v>
      </c>
    </row>
    <row r="30" spans="1:10" x14ac:dyDescent="0.3">
      <c r="A30">
        <v>55</v>
      </c>
      <c r="B30" t="s">
        <v>1217</v>
      </c>
      <c r="C30" t="s">
        <v>1202</v>
      </c>
      <c r="D30" t="s">
        <v>1203</v>
      </c>
      <c r="E30" t="s">
        <v>1204</v>
      </c>
      <c r="F30">
        <v>5577</v>
      </c>
      <c r="G30" t="s">
        <v>701</v>
      </c>
      <c r="I30" t="s">
        <v>1210</v>
      </c>
      <c r="J30">
        <v>82</v>
      </c>
    </row>
    <row r="31" spans="1:10" x14ac:dyDescent="0.3">
      <c r="A31">
        <v>55</v>
      </c>
      <c r="B31" t="s">
        <v>1217</v>
      </c>
      <c r="C31" t="s">
        <v>1202</v>
      </c>
      <c r="D31" t="s">
        <v>1203</v>
      </c>
      <c r="E31" t="s">
        <v>1204</v>
      </c>
      <c r="F31">
        <v>5577</v>
      </c>
      <c r="G31" t="s">
        <v>686</v>
      </c>
      <c r="I31" t="s">
        <v>1205</v>
      </c>
      <c r="J31">
        <v>676</v>
      </c>
    </row>
    <row r="32" spans="1:10" x14ac:dyDescent="0.3">
      <c r="A32">
        <v>55</v>
      </c>
      <c r="B32" t="s">
        <v>1217</v>
      </c>
      <c r="C32" t="s">
        <v>1202</v>
      </c>
      <c r="D32" t="s">
        <v>1203</v>
      </c>
      <c r="E32" t="s">
        <v>1204</v>
      </c>
      <c r="F32">
        <v>5577</v>
      </c>
      <c r="G32" t="s">
        <v>705</v>
      </c>
      <c r="H32" t="s">
        <v>1218</v>
      </c>
      <c r="I32" t="s">
        <v>1205</v>
      </c>
      <c r="J32">
        <v>1407</v>
      </c>
    </row>
    <row r="33" spans="1:10" x14ac:dyDescent="0.3">
      <c r="A33">
        <v>55</v>
      </c>
      <c r="B33" t="s">
        <v>1217</v>
      </c>
      <c r="C33" t="s">
        <v>1202</v>
      </c>
      <c r="D33" t="s">
        <v>1203</v>
      </c>
      <c r="E33" t="s">
        <v>1204</v>
      </c>
      <c r="F33">
        <v>5577</v>
      </c>
      <c r="G33" t="s">
        <v>700</v>
      </c>
      <c r="H33" t="s">
        <v>1219</v>
      </c>
      <c r="I33" t="s">
        <v>1205</v>
      </c>
      <c r="J33">
        <v>1091</v>
      </c>
    </row>
    <row r="34" spans="1:10" x14ac:dyDescent="0.3">
      <c r="A34">
        <v>55</v>
      </c>
      <c r="B34" t="s">
        <v>1217</v>
      </c>
      <c r="C34" t="s">
        <v>1202</v>
      </c>
      <c r="D34" t="s">
        <v>1203</v>
      </c>
      <c r="E34" t="s">
        <v>1204</v>
      </c>
      <c r="F34">
        <v>5577</v>
      </c>
      <c r="G34" t="s">
        <v>698</v>
      </c>
      <c r="I34" t="s">
        <v>1205</v>
      </c>
      <c r="J34">
        <v>150</v>
      </c>
    </row>
    <row r="35" spans="1:10" x14ac:dyDescent="0.3">
      <c r="A35">
        <v>55</v>
      </c>
      <c r="B35" t="s">
        <v>1217</v>
      </c>
      <c r="C35" t="s">
        <v>1202</v>
      </c>
      <c r="D35" t="s">
        <v>1203</v>
      </c>
      <c r="E35" t="s">
        <v>1204</v>
      </c>
      <c r="F35">
        <v>5577</v>
      </c>
      <c r="G35" t="s">
        <v>696</v>
      </c>
      <c r="I35" t="s">
        <v>1205</v>
      </c>
      <c r="J35">
        <v>1846</v>
      </c>
    </row>
    <row r="36" spans="1:10" x14ac:dyDescent="0.3">
      <c r="A36">
        <v>64</v>
      </c>
      <c r="B36" t="s">
        <v>1220</v>
      </c>
      <c r="C36" t="s">
        <v>1202</v>
      </c>
      <c r="D36" t="s">
        <v>159</v>
      </c>
      <c r="E36" t="s">
        <v>159</v>
      </c>
      <c r="F36">
        <v>6851</v>
      </c>
      <c r="G36" t="s">
        <v>698</v>
      </c>
      <c r="I36" t="s">
        <v>1205</v>
      </c>
      <c r="J36">
        <v>11374</v>
      </c>
    </row>
    <row r="37" spans="1:10" x14ac:dyDescent="0.3">
      <c r="A37">
        <v>64</v>
      </c>
      <c r="B37" t="s">
        <v>1220</v>
      </c>
      <c r="C37" t="s">
        <v>1202</v>
      </c>
      <c r="D37" t="s">
        <v>159</v>
      </c>
      <c r="E37" t="s">
        <v>159</v>
      </c>
      <c r="F37">
        <v>6851</v>
      </c>
      <c r="G37" t="s">
        <v>691</v>
      </c>
      <c r="H37" t="s">
        <v>1221</v>
      </c>
      <c r="I37" t="s">
        <v>1205</v>
      </c>
      <c r="J37">
        <v>20912</v>
      </c>
    </row>
    <row r="38" spans="1:10" x14ac:dyDescent="0.3">
      <c r="A38">
        <v>64</v>
      </c>
      <c r="B38" t="s">
        <v>1220</v>
      </c>
      <c r="C38" t="s">
        <v>1202</v>
      </c>
      <c r="D38" t="s">
        <v>159</v>
      </c>
      <c r="E38" t="s">
        <v>159</v>
      </c>
      <c r="F38">
        <v>6851</v>
      </c>
      <c r="G38" t="s">
        <v>702</v>
      </c>
      <c r="H38" t="s">
        <v>1222</v>
      </c>
      <c r="I38" t="s">
        <v>1210</v>
      </c>
      <c r="J38">
        <v>349</v>
      </c>
    </row>
    <row r="39" spans="1:10" x14ac:dyDescent="0.3">
      <c r="A39">
        <v>64</v>
      </c>
      <c r="B39" t="s">
        <v>1220</v>
      </c>
      <c r="C39" t="s">
        <v>1202</v>
      </c>
      <c r="D39" t="s">
        <v>159</v>
      </c>
      <c r="E39" t="s">
        <v>159</v>
      </c>
      <c r="F39">
        <v>6851</v>
      </c>
      <c r="G39" t="s">
        <v>687</v>
      </c>
      <c r="H39" t="s">
        <v>1223</v>
      </c>
      <c r="I39" t="s">
        <v>1205</v>
      </c>
      <c r="J39">
        <v>796</v>
      </c>
    </row>
    <row r="40" spans="1:10" x14ac:dyDescent="0.3">
      <c r="A40">
        <v>64</v>
      </c>
      <c r="B40" t="s">
        <v>1220</v>
      </c>
      <c r="C40" t="s">
        <v>1202</v>
      </c>
      <c r="D40" t="s">
        <v>159</v>
      </c>
      <c r="E40" t="s">
        <v>159</v>
      </c>
      <c r="F40">
        <v>6851</v>
      </c>
      <c r="G40" t="s">
        <v>686</v>
      </c>
      <c r="I40" t="s">
        <v>1205</v>
      </c>
      <c r="J40">
        <v>3282</v>
      </c>
    </row>
    <row r="41" spans="1:10" x14ac:dyDescent="0.3">
      <c r="A41">
        <v>64</v>
      </c>
      <c r="B41" t="s">
        <v>1220</v>
      </c>
      <c r="C41" t="s">
        <v>1202</v>
      </c>
      <c r="D41" t="s">
        <v>159</v>
      </c>
      <c r="E41" t="s">
        <v>159</v>
      </c>
      <c r="F41">
        <v>6851</v>
      </c>
      <c r="G41" t="s">
        <v>696</v>
      </c>
      <c r="I41" t="s">
        <v>1205</v>
      </c>
      <c r="J41">
        <v>20098</v>
      </c>
    </row>
    <row r="42" spans="1:10" x14ac:dyDescent="0.3">
      <c r="A42">
        <v>82</v>
      </c>
      <c r="B42" t="s">
        <v>1224</v>
      </c>
      <c r="C42" t="s">
        <v>1202</v>
      </c>
      <c r="D42" t="s">
        <v>159</v>
      </c>
      <c r="E42" t="s">
        <v>159</v>
      </c>
      <c r="F42">
        <v>6783</v>
      </c>
      <c r="G42" t="s">
        <v>698</v>
      </c>
      <c r="I42" t="s">
        <v>1205</v>
      </c>
      <c r="J42">
        <v>1368.7239810999999</v>
      </c>
    </row>
    <row r="43" spans="1:10" x14ac:dyDescent="0.3">
      <c r="A43">
        <v>82</v>
      </c>
      <c r="B43" t="s">
        <v>1224</v>
      </c>
      <c r="C43" t="s">
        <v>1202</v>
      </c>
      <c r="D43" t="s">
        <v>159</v>
      </c>
      <c r="E43" t="s">
        <v>159</v>
      </c>
      <c r="F43">
        <v>6783</v>
      </c>
      <c r="G43" t="s">
        <v>696</v>
      </c>
      <c r="I43" t="s">
        <v>1205</v>
      </c>
      <c r="J43">
        <v>10013.78105455</v>
      </c>
    </row>
    <row r="44" spans="1:10" x14ac:dyDescent="0.3">
      <c r="A44">
        <v>82</v>
      </c>
      <c r="B44" t="s">
        <v>1224</v>
      </c>
      <c r="C44" t="s">
        <v>1202</v>
      </c>
      <c r="D44" t="s">
        <v>159</v>
      </c>
      <c r="E44" t="s">
        <v>159</v>
      </c>
      <c r="F44">
        <v>6783</v>
      </c>
      <c r="G44" t="s">
        <v>700</v>
      </c>
      <c r="H44" t="s">
        <v>1225</v>
      </c>
      <c r="I44" t="s">
        <v>1205</v>
      </c>
      <c r="J44">
        <v>1595.821682</v>
      </c>
    </row>
    <row r="45" spans="1:10" x14ac:dyDescent="0.3">
      <c r="A45">
        <v>82</v>
      </c>
      <c r="B45" t="s">
        <v>1224</v>
      </c>
      <c r="C45" t="s">
        <v>1202</v>
      </c>
      <c r="D45" t="s">
        <v>159</v>
      </c>
      <c r="E45" t="s">
        <v>159</v>
      </c>
      <c r="F45">
        <v>6783</v>
      </c>
      <c r="G45" t="s">
        <v>702</v>
      </c>
      <c r="H45" t="s">
        <v>1226</v>
      </c>
      <c r="I45" t="s">
        <v>1205</v>
      </c>
      <c r="J45">
        <v>2528.7635884000001</v>
      </c>
    </row>
    <row r="46" spans="1:10" x14ac:dyDescent="0.3">
      <c r="A46">
        <v>82</v>
      </c>
      <c r="B46" t="s">
        <v>1224</v>
      </c>
      <c r="C46" t="s">
        <v>1202</v>
      </c>
      <c r="D46" t="s">
        <v>159</v>
      </c>
      <c r="E46" t="s">
        <v>159</v>
      </c>
      <c r="F46">
        <v>6783</v>
      </c>
      <c r="G46" t="s">
        <v>686</v>
      </c>
      <c r="H46" t="s">
        <v>1227</v>
      </c>
      <c r="I46" t="s">
        <v>1205</v>
      </c>
      <c r="J46">
        <v>116.6177383</v>
      </c>
    </row>
    <row r="47" spans="1:10" x14ac:dyDescent="0.3">
      <c r="A47">
        <v>87</v>
      </c>
      <c r="B47" t="s">
        <v>1228</v>
      </c>
      <c r="C47" t="s">
        <v>1202</v>
      </c>
      <c r="D47" t="s">
        <v>159</v>
      </c>
      <c r="E47" t="s">
        <v>159</v>
      </c>
      <c r="F47">
        <v>5448</v>
      </c>
      <c r="G47" t="s">
        <v>684</v>
      </c>
      <c r="I47" t="s">
        <v>1210</v>
      </c>
      <c r="J47">
        <v>4912</v>
      </c>
    </row>
    <row r="48" spans="1:10" x14ac:dyDescent="0.3">
      <c r="A48">
        <v>87</v>
      </c>
      <c r="B48" t="s">
        <v>1228</v>
      </c>
      <c r="C48" t="s">
        <v>1202</v>
      </c>
      <c r="D48" t="s">
        <v>159</v>
      </c>
      <c r="E48" t="s">
        <v>159</v>
      </c>
      <c r="F48">
        <v>5448</v>
      </c>
      <c r="G48" t="s">
        <v>686</v>
      </c>
      <c r="I48" t="s">
        <v>1205</v>
      </c>
      <c r="J48">
        <v>710</v>
      </c>
    </row>
    <row r="49" spans="1:10" x14ac:dyDescent="0.3">
      <c r="A49">
        <v>87</v>
      </c>
      <c r="B49" t="s">
        <v>1228</v>
      </c>
      <c r="C49" t="s">
        <v>1202</v>
      </c>
      <c r="D49" t="s">
        <v>159</v>
      </c>
      <c r="E49" t="s">
        <v>159</v>
      </c>
      <c r="F49">
        <v>5448</v>
      </c>
      <c r="G49" t="s">
        <v>687</v>
      </c>
      <c r="H49" t="s">
        <v>1229</v>
      </c>
      <c r="I49" t="s">
        <v>1205</v>
      </c>
      <c r="J49">
        <v>28</v>
      </c>
    </row>
    <row r="50" spans="1:10" x14ac:dyDescent="0.3">
      <c r="A50">
        <v>87</v>
      </c>
      <c r="B50" t="s">
        <v>1228</v>
      </c>
      <c r="C50" t="s">
        <v>1202</v>
      </c>
      <c r="D50" t="s">
        <v>159</v>
      </c>
      <c r="E50" t="s">
        <v>159</v>
      </c>
      <c r="F50">
        <v>5448</v>
      </c>
      <c r="G50" t="s">
        <v>702</v>
      </c>
      <c r="I50" t="s">
        <v>1205</v>
      </c>
      <c r="J50">
        <v>588</v>
      </c>
    </row>
    <row r="51" spans="1:10" x14ac:dyDescent="0.3">
      <c r="A51">
        <v>87</v>
      </c>
      <c r="B51" t="s">
        <v>1228</v>
      </c>
      <c r="C51" t="s">
        <v>1202</v>
      </c>
      <c r="D51" t="s">
        <v>159</v>
      </c>
      <c r="E51" t="s">
        <v>159</v>
      </c>
      <c r="F51">
        <v>5448</v>
      </c>
      <c r="G51" t="s">
        <v>703</v>
      </c>
      <c r="H51" t="s">
        <v>1230</v>
      </c>
      <c r="I51" t="s">
        <v>1205</v>
      </c>
      <c r="J51">
        <v>517</v>
      </c>
    </row>
    <row r="52" spans="1:10" x14ac:dyDescent="0.3">
      <c r="A52">
        <v>87</v>
      </c>
      <c r="B52" t="s">
        <v>1228</v>
      </c>
      <c r="C52" t="s">
        <v>1202</v>
      </c>
      <c r="D52" t="s">
        <v>159</v>
      </c>
      <c r="E52" t="s">
        <v>159</v>
      </c>
      <c r="F52">
        <v>5448</v>
      </c>
      <c r="G52" t="s">
        <v>701</v>
      </c>
      <c r="I52" t="s">
        <v>1205</v>
      </c>
      <c r="J52">
        <v>2</v>
      </c>
    </row>
    <row r="53" spans="1:10" x14ac:dyDescent="0.3">
      <c r="A53">
        <v>87</v>
      </c>
      <c r="B53" t="s">
        <v>1228</v>
      </c>
      <c r="C53" t="s">
        <v>1202</v>
      </c>
      <c r="D53" t="s">
        <v>159</v>
      </c>
      <c r="E53" t="s">
        <v>159</v>
      </c>
      <c r="F53">
        <v>5448</v>
      </c>
      <c r="G53" t="s">
        <v>700</v>
      </c>
      <c r="I53" t="s">
        <v>1205</v>
      </c>
      <c r="J53">
        <v>1736</v>
      </c>
    </row>
    <row r="54" spans="1:10" x14ac:dyDescent="0.3">
      <c r="A54">
        <v>87</v>
      </c>
      <c r="B54" t="s">
        <v>1228</v>
      </c>
      <c r="C54" t="s">
        <v>1202</v>
      </c>
      <c r="D54" t="s">
        <v>159</v>
      </c>
      <c r="E54" t="s">
        <v>159</v>
      </c>
      <c r="F54">
        <v>5448</v>
      </c>
      <c r="G54" t="s">
        <v>696</v>
      </c>
      <c r="I54" t="s">
        <v>1205</v>
      </c>
      <c r="J54">
        <v>6486</v>
      </c>
    </row>
    <row r="55" spans="1:10" x14ac:dyDescent="0.3">
      <c r="A55">
        <v>93</v>
      </c>
      <c r="B55" t="s">
        <v>1231</v>
      </c>
      <c r="C55" t="s">
        <v>1202</v>
      </c>
      <c r="D55" t="s">
        <v>159</v>
      </c>
      <c r="E55" t="s">
        <v>159</v>
      </c>
      <c r="F55">
        <v>5447</v>
      </c>
      <c r="G55" t="s">
        <v>702</v>
      </c>
      <c r="I55" t="s">
        <v>1205</v>
      </c>
      <c r="J55">
        <v>715</v>
      </c>
    </row>
    <row r="56" spans="1:10" x14ac:dyDescent="0.3">
      <c r="A56">
        <v>93</v>
      </c>
      <c r="B56" t="s">
        <v>1231</v>
      </c>
      <c r="C56" t="s">
        <v>1202</v>
      </c>
      <c r="D56" t="s">
        <v>159</v>
      </c>
      <c r="E56" t="s">
        <v>159</v>
      </c>
      <c r="F56">
        <v>5447</v>
      </c>
      <c r="G56" t="s">
        <v>703</v>
      </c>
      <c r="I56" t="s">
        <v>1205</v>
      </c>
      <c r="J56">
        <v>860</v>
      </c>
    </row>
    <row r="57" spans="1:10" x14ac:dyDescent="0.3">
      <c r="A57">
        <v>93</v>
      </c>
      <c r="B57" t="s">
        <v>1231</v>
      </c>
      <c r="C57" t="s">
        <v>1202</v>
      </c>
      <c r="D57" t="s">
        <v>159</v>
      </c>
      <c r="E57" t="s">
        <v>159</v>
      </c>
      <c r="F57">
        <v>5447</v>
      </c>
      <c r="G57" t="s">
        <v>700</v>
      </c>
      <c r="I57" t="s">
        <v>1205</v>
      </c>
      <c r="J57">
        <v>1776</v>
      </c>
    </row>
    <row r="58" spans="1:10" x14ac:dyDescent="0.3">
      <c r="A58">
        <v>93</v>
      </c>
      <c r="B58" t="s">
        <v>1231</v>
      </c>
      <c r="C58" t="s">
        <v>1202</v>
      </c>
      <c r="D58" t="s">
        <v>159</v>
      </c>
      <c r="E58" t="s">
        <v>159</v>
      </c>
      <c r="F58">
        <v>5447</v>
      </c>
      <c r="G58" t="s">
        <v>698</v>
      </c>
      <c r="I58" t="s">
        <v>1205</v>
      </c>
      <c r="J58">
        <v>2072</v>
      </c>
    </row>
    <row r="59" spans="1:10" x14ac:dyDescent="0.3">
      <c r="A59">
        <v>93</v>
      </c>
      <c r="B59" t="s">
        <v>1231</v>
      </c>
      <c r="C59" t="s">
        <v>1202</v>
      </c>
      <c r="D59" t="s">
        <v>159</v>
      </c>
      <c r="E59" t="s">
        <v>159</v>
      </c>
      <c r="F59">
        <v>5447</v>
      </c>
      <c r="G59" t="s">
        <v>696</v>
      </c>
      <c r="I59" t="s">
        <v>1205</v>
      </c>
      <c r="J59">
        <v>7994</v>
      </c>
    </row>
    <row r="60" spans="1:10" x14ac:dyDescent="0.3">
      <c r="A60">
        <v>93</v>
      </c>
      <c r="B60" t="s">
        <v>1231</v>
      </c>
      <c r="C60" t="s">
        <v>1202</v>
      </c>
      <c r="D60" t="s">
        <v>159</v>
      </c>
      <c r="E60" t="s">
        <v>159</v>
      </c>
      <c r="F60">
        <v>5447</v>
      </c>
      <c r="G60" t="s">
        <v>686</v>
      </c>
      <c r="I60" t="s">
        <v>1205</v>
      </c>
      <c r="J60">
        <v>518</v>
      </c>
    </row>
    <row r="61" spans="1:10" x14ac:dyDescent="0.3">
      <c r="A61">
        <v>94</v>
      </c>
      <c r="B61" t="s">
        <v>1232</v>
      </c>
      <c r="C61" t="s">
        <v>1202</v>
      </c>
      <c r="D61" t="s">
        <v>159</v>
      </c>
      <c r="E61" t="s">
        <v>159</v>
      </c>
      <c r="F61">
        <v>7274</v>
      </c>
      <c r="G61" t="s">
        <v>686</v>
      </c>
      <c r="H61" t="s">
        <v>1233</v>
      </c>
      <c r="I61" t="s">
        <v>1205</v>
      </c>
      <c r="J61">
        <v>365.19765415000001</v>
      </c>
    </row>
    <row r="62" spans="1:10" x14ac:dyDescent="0.3">
      <c r="A62">
        <v>94</v>
      </c>
      <c r="B62" t="s">
        <v>1232</v>
      </c>
      <c r="C62" t="s">
        <v>1202</v>
      </c>
      <c r="D62" t="s">
        <v>159</v>
      </c>
      <c r="E62" t="s">
        <v>159</v>
      </c>
      <c r="F62">
        <v>7274</v>
      </c>
      <c r="G62" t="s">
        <v>687</v>
      </c>
      <c r="H62" t="s">
        <v>1234</v>
      </c>
      <c r="I62" t="s">
        <v>1205</v>
      </c>
      <c r="J62">
        <v>110.47996259999999</v>
      </c>
    </row>
    <row r="63" spans="1:10" x14ac:dyDescent="0.3">
      <c r="A63">
        <v>94</v>
      </c>
      <c r="B63" t="s">
        <v>1232</v>
      </c>
      <c r="C63" t="s">
        <v>1202</v>
      </c>
      <c r="D63" t="s">
        <v>159</v>
      </c>
      <c r="E63" t="s">
        <v>159</v>
      </c>
      <c r="F63">
        <v>7274</v>
      </c>
      <c r="G63" t="s">
        <v>705</v>
      </c>
      <c r="H63" t="s">
        <v>1235</v>
      </c>
      <c r="I63" t="s">
        <v>1205</v>
      </c>
      <c r="J63">
        <v>67.515532699999994</v>
      </c>
    </row>
    <row r="64" spans="1:10" x14ac:dyDescent="0.3">
      <c r="A64">
        <v>94</v>
      </c>
      <c r="B64" t="s">
        <v>1232</v>
      </c>
      <c r="C64" t="s">
        <v>1202</v>
      </c>
      <c r="D64" t="s">
        <v>159</v>
      </c>
      <c r="E64" t="s">
        <v>159</v>
      </c>
      <c r="F64">
        <v>7274</v>
      </c>
      <c r="G64" t="s">
        <v>703</v>
      </c>
      <c r="H64" t="s">
        <v>1236</v>
      </c>
      <c r="I64" t="s">
        <v>1205</v>
      </c>
      <c r="J64">
        <v>92.066635500000004</v>
      </c>
    </row>
    <row r="65" spans="1:10" x14ac:dyDescent="0.3">
      <c r="A65">
        <v>94</v>
      </c>
      <c r="B65" t="s">
        <v>1232</v>
      </c>
      <c r="C65" t="s">
        <v>1202</v>
      </c>
      <c r="D65" t="s">
        <v>159</v>
      </c>
      <c r="E65" t="s">
        <v>159</v>
      </c>
      <c r="F65">
        <v>7274</v>
      </c>
      <c r="G65" t="s">
        <v>701</v>
      </c>
      <c r="I65" t="s">
        <v>1205</v>
      </c>
      <c r="J65">
        <v>64.446644849999998</v>
      </c>
    </row>
    <row r="66" spans="1:10" x14ac:dyDescent="0.3">
      <c r="A66">
        <v>94</v>
      </c>
      <c r="B66" t="s">
        <v>1232</v>
      </c>
      <c r="C66" t="s">
        <v>1202</v>
      </c>
      <c r="D66" t="s">
        <v>159</v>
      </c>
      <c r="E66" t="s">
        <v>159</v>
      </c>
      <c r="F66">
        <v>7274</v>
      </c>
      <c r="G66" t="s">
        <v>700</v>
      </c>
      <c r="I66" t="s">
        <v>1205</v>
      </c>
      <c r="J66">
        <v>217.89103735</v>
      </c>
    </row>
    <row r="67" spans="1:10" x14ac:dyDescent="0.3">
      <c r="A67">
        <v>94</v>
      </c>
      <c r="B67" t="s">
        <v>1232</v>
      </c>
      <c r="C67" t="s">
        <v>1202</v>
      </c>
      <c r="D67" t="s">
        <v>159</v>
      </c>
      <c r="E67" t="s">
        <v>159</v>
      </c>
      <c r="F67">
        <v>7274</v>
      </c>
      <c r="G67" t="s">
        <v>698</v>
      </c>
      <c r="I67" t="s">
        <v>1205</v>
      </c>
      <c r="J67">
        <v>263.92435510000001</v>
      </c>
    </row>
    <row r="68" spans="1:10" x14ac:dyDescent="0.3">
      <c r="A68">
        <v>94</v>
      </c>
      <c r="B68" t="s">
        <v>1232</v>
      </c>
      <c r="C68" t="s">
        <v>1202</v>
      </c>
      <c r="D68" t="s">
        <v>159</v>
      </c>
      <c r="E68" t="s">
        <v>159</v>
      </c>
      <c r="F68">
        <v>7274</v>
      </c>
      <c r="G68" t="s">
        <v>696</v>
      </c>
      <c r="I68" t="s">
        <v>1205</v>
      </c>
      <c r="J68">
        <v>607.63979429999995</v>
      </c>
    </row>
    <row r="69" spans="1:10" x14ac:dyDescent="0.3">
      <c r="A69">
        <v>102</v>
      </c>
      <c r="B69" t="s">
        <v>1237</v>
      </c>
      <c r="C69" t="s">
        <v>1202</v>
      </c>
      <c r="D69" t="s">
        <v>1203</v>
      </c>
      <c r="E69" t="s">
        <v>1204</v>
      </c>
      <c r="F69">
        <v>5765</v>
      </c>
      <c r="G69" t="s">
        <v>698</v>
      </c>
      <c r="I69" t="s">
        <v>1205</v>
      </c>
      <c r="J69">
        <v>217.89103735</v>
      </c>
    </row>
    <row r="70" spans="1:10" x14ac:dyDescent="0.3">
      <c r="A70">
        <v>102</v>
      </c>
      <c r="B70" t="s">
        <v>1237</v>
      </c>
      <c r="C70" t="s">
        <v>1202</v>
      </c>
      <c r="D70" t="s">
        <v>1203</v>
      </c>
      <c r="E70" t="s">
        <v>1204</v>
      </c>
      <c r="F70">
        <v>5765</v>
      </c>
      <c r="G70" t="s">
        <v>696</v>
      </c>
      <c r="I70" t="s">
        <v>1205</v>
      </c>
      <c r="J70">
        <v>1841.3327099999999</v>
      </c>
    </row>
    <row r="71" spans="1:10" x14ac:dyDescent="0.3">
      <c r="A71">
        <v>102</v>
      </c>
      <c r="B71" t="s">
        <v>1237</v>
      </c>
      <c r="C71" t="s">
        <v>1202</v>
      </c>
      <c r="D71" t="s">
        <v>1203</v>
      </c>
      <c r="E71" t="s">
        <v>1204</v>
      </c>
      <c r="F71">
        <v>5765</v>
      </c>
      <c r="G71" t="s">
        <v>700</v>
      </c>
      <c r="I71" t="s">
        <v>1205</v>
      </c>
      <c r="J71">
        <v>76.722196249999996</v>
      </c>
    </row>
    <row r="72" spans="1:10" x14ac:dyDescent="0.3">
      <c r="A72">
        <v>102</v>
      </c>
      <c r="B72" t="s">
        <v>1237</v>
      </c>
      <c r="C72" t="s">
        <v>1202</v>
      </c>
      <c r="D72" t="s">
        <v>1203</v>
      </c>
      <c r="E72" t="s">
        <v>1204</v>
      </c>
      <c r="F72">
        <v>5765</v>
      </c>
      <c r="G72" t="s">
        <v>701</v>
      </c>
      <c r="I72" t="s">
        <v>1205</v>
      </c>
      <c r="J72">
        <v>46.033317750000002</v>
      </c>
    </row>
    <row r="73" spans="1:10" x14ac:dyDescent="0.3">
      <c r="A73">
        <v>102</v>
      </c>
      <c r="B73" t="s">
        <v>1237</v>
      </c>
      <c r="C73" t="s">
        <v>1202</v>
      </c>
      <c r="D73" t="s">
        <v>1203</v>
      </c>
      <c r="E73" t="s">
        <v>1204</v>
      </c>
      <c r="F73">
        <v>5765</v>
      </c>
      <c r="G73" t="s">
        <v>703</v>
      </c>
      <c r="I73" t="s">
        <v>1205</v>
      </c>
      <c r="J73">
        <v>61.377757000000003</v>
      </c>
    </row>
    <row r="74" spans="1:10" x14ac:dyDescent="0.3">
      <c r="A74">
        <v>102</v>
      </c>
      <c r="B74" t="s">
        <v>1237</v>
      </c>
      <c r="C74" t="s">
        <v>1202</v>
      </c>
      <c r="D74" t="s">
        <v>1203</v>
      </c>
      <c r="E74" t="s">
        <v>1204</v>
      </c>
      <c r="F74">
        <v>5765</v>
      </c>
      <c r="G74" t="s">
        <v>702</v>
      </c>
      <c r="I74" t="s">
        <v>1205</v>
      </c>
      <c r="J74">
        <v>98.204411199999996</v>
      </c>
    </row>
    <row r="75" spans="1:10" x14ac:dyDescent="0.3">
      <c r="A75">
        <v>102</v>
      </c>
      <c r="B75" t="s">
        <v>1237</v>
      </c>
      <c r="C75" t="s">
        <v>1202</v>
      </c>
      <c r="D75" t="s">
        <v>1203</v>
      </c>
      <c r="E75" t="s">
        <v>1204</v>
      </c>
      <c r="F75">
        <v>5765</v>
      </c>
      <c r="G75" t="s">
        <v>686</v>
      </c>
      <c r="I75" t="s">
        <v>1205</v>
      </c>
      <c r="J75">
        <v>227.09770090000001</v>
      </c>
    </row>
    <row r="76" spans="1:10" x14ac:dyDescent="0.3">
      <c r="A76">
        <v>107</v>
      </c>
      <c r="B76" t="s">
        <v>1238</v>
      </c>
      <c r="C76" t="s">
        <v>1202</v>
      </c>
      <c r="D76" t="s">
        <v>159</v>
      </c>
      <c r="E76" t="s">
        <v>159</v>
      </c>
      <c r="F76">
        <v>7175</v>
      </c>
      <c r="G76" t="s">
        <v>698</v>
      </c>
      <c r="I76" t="s">
        <v>1205</v>
      </c>
      <c r="J76">
        <v>435.78207470000001</v>
      </c>
    </row>
    <row r="77" spans="1:10" x14ac:dyDescent="0.3">
      <c r="A77">
        <v>107</v>
      </c>
      <c r="B77" t="s">
        <v>1238</v>
      </c>
      <c r="C77" t="s">
        <v>1202</v>
      </c>
      <c r="D77" t="s">
        <v>159</v>
      </c>
      <c r="E77" t="s">
        <v>159</v>
      </c>
      <c r="F77">
        <v>7175</v>
      </c>
      <c r="G77" t="s">
        <v>700</v>
      </c>
      <c r="I77" t="s">
        <v>1205</v>
      </c>
      <c r="J77">
        <v>380.5420934</v>
      </c>
    </row>
    <row r="78" spans="1:10" x14ac:dyDescent="0.3">
      <c r="A78">
        <v>107</v>
      </c>
      <c r="B78" t="s">
        <v>1238</v>
      </c>
      <c r="C78" t="s">
        <v>1202</v>
      </c>
      <c r="D78" t="s">
        <v>159</v>
      </c>
      <c r="E78" t="s">
        <v>159</v>
      </c>
      <c r="F78">
        <v>7175</v>
      </c>
      <c r="G78" t="s">
        <v>701</v>
      </c>
      <c r="I78" t="s">
        <v>1205</v>
      </c>
      <c r="J78">
        <v>3.0688878499999999</v>
      </c>
    </row>
    <row r="79" spans="1:10" x14ac:dyDescent="0.3">
      <c r="A79">
        <v>107</v>
      </c>
      <c r="B79" t="s">
        <v>1238</v>
      </c>
      <c r="C79" t="s">
        <v>1202</v>
      </c>
      <c r="D79" t="s">
        <v>159</v>
      </c>
      <c r="E79" t="s">
        <v>159</v>
      </c>
      <c r="F79">
        <v>7175</v>
      </c>
      <c r="G79" t="s">
        <v>696</v>
      </c>
      <c r="I79" t="s">
        <v>1205</v>
      </c>
      <c r="J79">
        <v>3572.1854573999999</v>
      </c>
    </row>
    <row r="80" spans="1:10" x14ac:dyDescent="0.3">
      <c r="A80">
        <v>107</v>
      </c>
      <c r="B80" t="s">
        <v>1238</v>
      </c>
      <c r="C80" t="s">
        <v>1202</v>
      </c>
      <c r="D80" t="s">
        <v>159</v>
      </c>
      <c r="E80" t="s">
        <v>159</v>
      </c>
      <c r="F80">
        <v>7175</v>
      </c>
      <c r="G80" t="s">
        <v>686</v>
      </c>
      <c r="I80" t="s">
        <v>1205</v>
      </c>
      <c r="J80">
        <v>533.98648590000005</v>
      </c>
    </row>
    <row r="81" spans="1:10" x14ac:dyDescent="0.3">
      <c r="A81">
        <v>107</v>
      </c>
      <c r="B81" t="s">
        <v>1238</v>
      </c>
      <c r="C81" t="s">
        <v>1202</v>
      </c>
      <c r="D81" t="s">
        <v>159</v>
      </c>
      <c r="E81" t="s">
        <v>159</v>
      </c>
      <c r="F81">
        <v>7175</v>
      </c>
      <c r="G81" t="s">
        <v>702</v>
      </c>
      <c r="I81" t="s">
        <v>1205</v>
      </c>
      <c r="J81">
        <v>371.33542985000003</v>
      </c>
    </row>
    <row r="82" spans="1:10" x14ac:dyDescent="0.3">
      <c r="A82">
        <v>110</v>
      </c>
      <c r="B82" t="s">
        <v>1239</v>
      </c>
      <c r="C82" t="s">
        <v>1202</v>
      </c>
      <c r="D82" t="s">
        <v>1203</v>
      </c>
      <c r="E82" t="s">
        <v>1204</v>
      </c>
      <c r="F82">
        <v>7792</v>
      </c>
      <c r="G82" t="s">
        <v>687</v>
      </c>
      <c r="I82" t="s">
        <v>1205</v>
      </c>
      <c r="J82">
        <v>1473.54075277273</v>
      </c>
    </row>
    <row r="83" spans="1:10" x14ac:dyDescent="0.3">
      <c r="A83">
        <v>110</v>
      </c>
      <c r="B83" t="s">
        <v>1239</v>
      </c>
      <c r="C83" t="s">
        <v>1202</v>
      </c>
      <c r="D83" t="s">
        <v>1203</v>
      </c>
      <c r="E83" t="s">
        <v>1204</v>
      </c>
      <c r="F83">
        <v>7792</v>
      </c>
      <c r="G83" t="s">
        <v>696</v>
      </c>
      <c r="I83" t="s">
        <v>1205</v>
      </c>
      <c r="J83">
        <v>4068</v>
      </c>
    </row>
    <row r="84" spans="1:10" x14ac:dyDescent="0.3">
      <c r="A84">
        <v>110</v>
      </c>
      <c r="B84" t="s">
        <v>1239</v>
      </c>
      <c r="C84" t="s">
        <v>1202</v>
      </c>
      <c r="D84" t="s">
        <v>1203</v>
      </c>
      <c r="E84" t="s">
        <v>1204</v>
      </c>
      <c r="F84">
        <v>7792</v>
      </c>
      <c r="G84" t="s">
        <v>700</v>
      </c>
      <c r="I84" t="s">
        <v>1205</v>
      </c>
      <c r="J84">
        <v>2173.8519996053001</v>
      </c>
    </row>
    <row r="85" spans="1:10" x14ac:dyDescent="0.3">
      <c r="A85">
        <v>110</v>
      </c>
      <c r="B85" t="s">
        <v>1239</v>
      </c>
      <c r="C85" t="s">
        <v>1202</v>
      </c>
      <c r="D85" t="s">
        <v>1203</v>
      </c>
      <c r="E85" t="s">
        <v>1204</v>
      </c>
      <c r="F85">
        <v>7792</v>
      </c>
      <c r="G85" t="s">
        <v>698</v>
      </c>
      <c r="I85" t="s">
        <v>1205</v>
      </c>
      <c r="J85">
        <v>844</v>
      </c>
    </row>
    <row r="86" spans="1:10" x14ac:dyDescent="0.3">
      <c r="A86">
        <v>117</v>
      </c>
      <c r="B86" t="s">
        <v>1240</v>
      </c>
      <c r="C86" t="s">
        <v>1202</v>
      </c>
      <c r="D86" t="s">
        <v>159</v>
      </c>
      <c r="E86" t="s">
        <v>159</v>
      </c>
      <c r="F86">
        <v>7816</v>
      </c>
      <c r="G86" t="s">
        <v>691</v>
      </c>
      <c r="I86" t="s">
        <v>1205</v>
      </c>
      <c r="J86">
        <v>2.9</v>
      </c>
    </row>
    <row r="87" spans="1:10" x14ac:dyDescent="0.3">
      <c r="A87">
        <v>117</v>
      </c>
      <c r="B87" t="s">
        <v>1240</v>
      </c>
      <c r="C87" t="s">
        <v>1202</v>
      </c>
      <c r="D87" t="s">
        <v>159</v>
      </c>
      <c r="E87" t="s">
        <v>159</v>
      </c>
      <c r="F87">
        <v>7816</v>
      </c>
      <c r="G87" t="s">
        <v>686</v>
      </c>
      <c r="I87" t="s">
        <v>1205</v>
      </c>
      <c r="J87">
        <v>3076.29</v>
      </c>
    </row>
    <row r="88" spans="1:10" x14ac:dyDescent="0.3">
      <c r="A88">
        <v>117</v>
      </c>
      <c r="B88" t="s">
        <v>1240</v>
      </c>
      <c r="C88" t="s">
        <v>1202</v>
      </c>
      <c r="D88" t="s">
        <v>159</v>
      </c>
      <c r="E88" t="s">
        <v>159</v>
      </c>
      <c r="F88">
        <v>7816</v>
      </c>
      <c r="G88" t="s">
        <v>702</v>
      </c>
      <c r="I88" t="s">
        <v>1205</v>
      </c>
      <c r="J88">
        <v>932.53</v>
      </c>
    </row>
    <row r="89" spans="1:10" x14ac:dyDescent="0.3">
      <c r="A89">
        <v>117</v>
      </c>
      <c r="B89" t="s">
        <v>1240</v>
      </c>
      <c r="C89" t="s">
        <v>1202</v>
      </c>
      <c r="D89" t="s">
        <v>159</v>
      </c>
      <c r="E89" t="s">
        <v>159</v>
      </c>
      <c r="F89">
        <v>7816</v>
      </c>
      <c r="G89" t="s">
        <v>701</v>
      </c>
      <c r="I89" t="s">
        <v>1205</v>
      </c>
      <c r="J89">
        <v>1512.59</v>
      </c>
    </row>
    <row r="90" spans="1:10" x14ac:dyDescent="0.3">
      <c r="A90">
        <v>117</v>
      </c>
      <c r="B90" t="s">
        <v>1240</v>
      </c>
      <c r="C90" t="s">
        <v>1202</v>
      </c>
      <c r="D90" t="s">
        <v>159</v>
      </c>
      <c r="E90" t="s">
        <v>159</v>
      </c>
      <c r="F90">
        <v>7816</v>
      </c>
      <c r="G90" t="s">
        <v>700</v>
      </c>
      <c r="I90" t="s">
        <v>1205</v>
      </c>
      <c r="J90">
        <v>3494.8</v>
      </c>
    </row>
    <row r="91" spans="1:10" x14ac:dyDescent="0.3">
      <c r="A91">
        <v>117</v>
      </c>
      <c r="B91" t="s">
        <v>1240</v>
      </c>
      <c r="C91" t="s">
        <v>1202</v>
      </c>
      <c r="D91" t="s">
        <v>159</v>
      </c>
      <c r="E91" t="s">
        <v>159</v>
      </c>
      <c r="F91">
        <v>7816</v>
      </c>
      <c r="G91" t="s">
        <v>696</v>
      </c>
      <c r="H91" t="s">
        <v>1241</v>
      </c>
      <c r="I91" t="s">
        <v>1205</v>
      </c>
      <c r="J91">
        <v>9131.34</v>
      </c>
    </row>
    <row r="92" spans="1:10" x14ac:dyDescent="0.3">
      <c r="A92">
        <v>123</v>
      </c>
      <c r="B92" t="s">
        <v>1242</v>
      </c>
      <c r="C92" t="s">
        <v>1202</v>
      </c>
      <c r="D92" t="s">
        <v>1203</v>
      </c>
      <c r="E92" t="s">
        <v>1204</v>
      </c>
      <c r="F92">
        <v>5757</v>
      </c>
      <c r="G92" t="s">
        <v>687</v>
      </c>
      <c r="H92" t="s">
        <v>1243</v>
      </c>
      <c r="I92" t="s">
        <v>1205</v>
      </c>
      <c r="J92">
        <v>250</v>
      </c>
    </row>
    <row r="93" spans="1:10" x14ac:dyDescent="0.3">
      <c r="A93">
        <v>123</v>
      </c>
      <c r="B93" t="s">
        <v>1242</v>
      </c>
      <c r="C93" t="s">
        <v>1202</v>
      </c>
      <c r="D93" t="s">
        <v>1203</v>
      </c>
      <c r="E93" t="s">
        <v>1204</v>
      </c>
      <c r="F93">
        <v>5757</v>
      </c>
      <c r="G93" t="s">
        <v>686</v>
      </c>
      <c r="H93" t="s">
        <v>1244</v>
      </c>
      <c r="I93" t="s">
        <v>1205</v>
      </c>
      <c r="J93">
        <v>3134</v>
      </c>
    </row>
    <row r="94" spans="1:10" x14ac:dyDescent="0.3">
      <c r="A94">
        <v>123</v>
      </c>
      <c r="B94" t="s">
        <v>1242</v>
      </c>
      <c r="C94" t="s">
        <v>1202</v>
      </c>
      <c r="D94" t="s">
        <v>1203</v>
      </c>
      <c r="E94" t="s">
        <v>1204</v>
      </c>
      <c r="F94">
        <v>5757</v>
      </c>
      <c r="G94" t="s">
        <v>703</v>
      </c>
      <c r="H94" t="s">
        <v>1245</v>
      </c>
      <c r="I94" t="s">
        <v>1205</v>
      </c>
      <c r="J94">
        <v>3527</v>
      </c>
    </row>
    <row r="95" spans="1:10" x14ac:dyDescent="0.3">
      <c r="A95">
        <v>123</v>
      </c>
      <c r="B95" t="s">
        <v>1242</v>
      </c>
      <c r="C95" t="s">
        <v>1202</v>
      </c>
      <c r="D95" t="s">
        <v>1203</v>
      </c>
      <c r="E95" t="s">
        <v>1204</v>
      </c>
      <c r="F95">
        <v>5757</v>
      </c>
      <c r="G95" t="s">
        <v>701</v>
      </c>
      <c r="I95" t="s">
        <v>1205</v>
      </c>
      <c r="J95">
        <v>314</v>
      </c>
    </row>
    <row r="96" spans="1:10" x14ac:dyDescent="0.3">
      <c r="A96">
        <v>123</v>
      </c>
      <c r="B96" t="s">
        <v>1242</v>
      </c>
      <c r="C96" t="s">
        <v>1202</v>
      </c>
      <c r="D96" t="s">
        <v>1203</v>
      </c>
      <c r="E96" t="s">
        <v>1204</v>
      </c>
      <c r="F96">
        <v>5757</v>
      </c>
      <c r="G96" t="s">
        <v>700</v>
      </c>
      <c r="I96" t="s">
        <v>1205</v>
      </c>
      <c r="J96">
        <v>6904</v>
      </c>
    </row>
    <row r="97" spans="1:10" x14ac:dyDescent="0.3">
      <c r="A97">
        <v>123</v>
      </c>
      <c r="B97" t="s">
        <v>1242</v>
      </c>
      <c r="C97" t="s">
        <v>1202</v>
      </c>
      <c r="D97" t="s">
        <v>1203</v>
      </c>
      <c r="E97" t="s">
        <v>1204</v>
      </c>
      <c r="F97">
        <v>5757</v>
      </c>
      <c r="G97" t="s">
        <v>698</v>
      </c>
      <c r="I97" t="s">
        <v>1205</v>
      </c>
      <c r="J97">
        <v>1534</v>
      </c>
    </row>
    <row r="98" spans="1:10" x14ac:dyDescent="0.3">
      <c r="A98">
        <v>123</v>
      </c>
      <c r="B98" t="s">
        <v>1242</v>
      </c>
      <c r="C98" t="s">
        <v>1202</v>
      </c>
      <c r="D98" t="s">
        <v>1203</v>
      </c>
      <c r="E98" t="s">
        <v>1204</v>
      </c>
      <c r="F98">
        <v>5757</v>
      </c>
      <c r="G98" t="s">
        <v>696</v>
      </c>
      <c r="I98" t="s">
        <v>1205</v>
      </c>
      <c r="J98">
        <v>29986</v>
      </c>
    </row>
    <row r="99" spans="1:10" x14ac:dyDescent="0.3">
      <c r="A99">
        <v>124</v>
      </c>
      <c r="B99" t="s">
        <v>1246</v>
      </c>
      <c r="C99" t="s">
        <v>1202</v>
      </c>
      <c r="D99" t="s">
        <v>1203</v>
      </c>
      <c r="E99" t="s">
        <v>1204</v>
      </c>
      <c r="F99">
        <v>6589</v>
      </c>
      <c r="G99" t="s">
        <v>702</v>
      </c>
      <c r="I99" t="s">
        <v>1205</v>
      </c>
      <c r="J99">
        <v>150.37550465000001</v>
      </c>
    </row>
    <row r="100" spans="1:10" x14ac:dyDescent="0.3">
      <c r="A100">
        <v>124</v>
      </c>
      <c r="B100" t="s">
        <v>1246</v>
      </c>
      <c r="C100" t="s">
        <v>1202</v>
      </c>
      <c r="D100" t="s">
        <v>1203</v>
      </c>
      <c r="E100" t="s">
        <v>1204</v>
      </c>
      <c r="F100">
        <v>6589</v>
      </c>
      <c r="G100" t="s">
        <v>686</v>
      </c>
      <c r="H100" t="s">
        <v>1247</v>
      </c>
      <c r="I100" t="s">
        <v>1205</v>
      </c>
      <c r="J100">
        <v>343.71543919999999</v>
      </c>
    </row>
    <row r="101" spans="1:10" x14ac:dyDescent="0.3">
      <c r="A101">
        <v>124</v>
      </c>
      <c r="B101" t="s">
        <v>1246</v>
      </c>
      <c r="C101" t="s">
        <v>1202</v>
      </c>
      <c r="D101" t="s">
        <v>1203</v>
      </c>
      <c r="E101" t="s">
        <v>1204</v>
      </c>
      <c r="F101">
        <v>6589</v>
      </c>
      <c r="G101" t="s">
        <v>698</v>
      </c>
      <c r="H101" t="s">
        <v>1248</v>
      </c>
      <c r="I101" t="s">
        <v>1205</v>
      </c>
      <c r="J101">
        <v>1374.8617568</v>
      </c>
    </row>
    <row r="102" spans="1:10" x14ac:dyDescent="0.3">
      <c r="A102">
        <v>124</v>
      </c>
      <c r="B102" t="s">
        <v>1246</v>
      </c>
      <c r="C102" t="s">
        <v>1202</v>
      </c>
      <c r="D102" t="s">
        <v>1203</v>
      </c>
      <c r="E102" t="s">
        <v>1204</v>
      </c>
      <c r="F102">
        <v>6589</v>
      </c>
      <c r="G102" t="s">
        <v>696</v>
      </c>
      <c r="H102" t="s">
        <v>1249</v>
      </c>
      <c r="I102" t="s">
        <v>1205</v>
      </c>
      <c r="J102">
        <v>1371.79286895</v>
      </c>
    </row>
    <row r="103" spans="1:10" x14ac:dyDescent="0.3">
      <c r="A103">
        <v>129</v>
      </c>
      <c r="B103" t="s">
        <v>1250</v>
      </c>
      <c r="C103" t="s">
        <v>1202</v>
      </c>
      <c r="D103" t="s">
        <v>159</v>
      </c>
      <c r="E103" t="s">
        <v>159</v>
      </c>
      <c r="F103">
        <v>7821</v>
      </c>
      <c r="G103" t="s">
        <v>686</v>
      </c>
      <c r="I103" t="s">
        <v>1205</v>
      </c>
      <c r="J103">
        <v>1275</v>
      </c>
    </row>
    <row r="104" spans="1:10" x14ac:dyDescent="0.3">
      <c r="A104">
        <v>129</v>
      </c>
      <c r="B104" t="s">
        <v>1250</v>
      </c>
      <c r="C104" t="s">
        <v>1202</v>
      </c>
      <c r="D104" t="s">
        <v>159</v>
      </c>
      <c r="E104" t="s">
        <v>159</v>
      </c>
      <c r="F104">
        <v>7821</v>
      </c>
      <c r="G104" t="s">
        <v>702</v>
      </c>
      <c r="I104" t="s">
        <v>1216</v>
      </c>
      <c r="J104">
        <v>301</v>
      </c>
    </row>
    <row r="105" spans="1:10" x14ac:dyDescent="0.3">
      <c r="A105">
        <v>129</v>
      </c>
      <c r="B105" t="s">
        <v>1250</v>
      </c>
      <c r="C105" t="s">
        <v>1202</v>
      </c>
      <c r="D105" t="s">
        <v>159</v>
      </c>
      <c r="E105" t="s">
        <v>159</v>
      </c>
      <c r="F105">
        <v>7821</v>
      </c>
      <c r="G105" t="s">
        <v>702</v>
      </c>
      <c r="I105" t="s">
        <v>1205</v>
      </c>
      <c r="J105">
        <v>559</v>
      </c>
    </row>
    <row r="106" spans="1:10" x14ac:dyDescent="0.3">
      <c r="A106">
        <v>129</v>
      </c>
      <c r="B106" t="s">
        <v>1250</v>
      </c>
      <c r="C106" t="s">
        <v>1202</v>
      </c>
      <c r="D106" t="s">
        <v>159</v>
      </c>
      <c r="E106" t="s">
        <v>159</v>
      </c>
      <c r="F106">
        <v>7821</v>
      </c>
      <c r="G106" t="s">
        <v>703</v>
      </c>
      <c r="I106" t="s">
        <v>1205</v>
      </c>
      <c r="J106">
        <v>23</v>
      </c>
    </row>
    <row r="107" spans="1:10" x14ac:dyDescent="0.3">
      <c r="A107">
        <v>129</v>
      </c>
      <c r="B107" t="s">
        <v>1250</v>
      </c>
      <c r="C107" t="s">
        <v>1202</v>
      </c>
      <c r="D107" t="s">
        <v>159</v>
      </c>
      <c r="E107" t="s">
        <v>159</v>
      </c>
      <c r="F107">
        <v>7821</v>
      </c>
      <c r="G107" t="s">
        <v>701</v>
      </c>
      <c r="I107" t="s">
        <v>1205</v>
      </c>
      <c r="J107">
        <v>172</v>
      </c>
    </row>
    <row r="108" spans="1:10" x14ac:dyDescent="0.3">
      <c r="A108">
        <v>129</v>
      </c>
      <c r="B108" t="s">
        <v>1250</v>
      </c>
      <c r="C108" t="s">
        <v>1202</v>
      </c>
      <c r="D108" t="s">
        <v>159</v>
      </c>
      <c r="E108" t="s">
        <v>159</v>
      </c>
      <c r="F108">
        <v>7821</v>
      </c>
      <c r="G108" t="s">
        <v>700</v>
      </c>
      <c r="I108" t="s">
        <v>1205</v>
      </c>
      <c r="J108">
        <v>1992</v>
      </c>
    </row>
    <row r="109" spans="1:10" x14ac:dyDescent="0.3">
      <c r="A109">
        <v>129</v>
      </c>
      <c r="B109" t="s">
        <v>1250</v>
      </c>
      <c r="C109" t="s">
        <v>1202</v>
      </c>
      <c r="D109" t="s">
        <v>159</v>
      </c>
      <c r="E109" t="s">
        <v>159</v>
      </c>
      <c r="F109">
        <v>7821</v>
      </c>
      <c r="G109" t="s">
        <v>698</v>
      </c>
      <c r="I109" t="s">
        <v>1205</v>
      </c>
      <c r="J109">
        <v>81</v>
      </c>
    </row>
    <row r="110" spans="1:10" x14ac:dyDescent="0.3">
      <c r="A110">
        <v>129</v>
      </c>
      <c r="B110" t="s">
        <v>1250</v>
      </c>
      <c r="C110" t="s">
        <v>1202</v>
      </c>
      <c r="D110" t="s">
        <v>159</v>
      </c>
      <c r="E110" t="s">
        <v>159</v>
      </c>
      <c r="F110">
        <v>7821</v>
      </c>
      <c r="G110" t="s">
        <v>696</v>
      </c>
      <c r="I110" t="s">
        <v>1205</v>
      </c>
      <c r="J110">
        <v>3966</v>
      </c>
    </row>
    <row r="111" spans="1:10" x14ac:dyDescent="0.3">
      <c r="A111">
        <v>159</v>
      </c>
      <c r="B111" t="s">
        <v>1251</v>
      </c>
      <c r="C111" t="s">
        <v>1202</v>
      </c>
      <c r="D111" t="s">
        <v>1203</v>
      </c>
      <c r="E111" t="s">
        <v>1204</v>
      </c>
      <c r="F111">
        <v>6161</v>
      </c>
      <c r="G111" t="s">
        <v>687</v>
      </c>
      <c r="H111" t="s">
        <v>1252</v>
      </c>
      <c r="I111" t="s">
        <v>1205</v>
      </c>
      <c r="J111">
        <v>293</v>
      </c>
    </row>
    <row r="112" spans="1:10" x14ac:dyDescent="0.3">
      <c r="A112">
        <v>159</v>
      </c>
      <c r="B112" t="s">
        <v>1251</v>
      </c>
      <c r="C112" t="s">
        <v>1202</v>
      </c>
      <c r="D112" t="s">
        <v>1203</v>
      </c>
      <c r="E112" t="s">
        <v>1204</v>
      </c>
      <c r="F112">
        <v>6161</v>
      </c>
      <c r="G112" t="s">
        <v>705</v>
      </c>
      <c r="H112" t="s">
        <v>1253</v>
      </c>
      <c r="I112" t="s">
        <v>1205</v>
      </c>
      <c r="J112">
        <v>0</v>
      </c>
    </row>
    <row r="113" spans="1:10" x14ac:dyDescent="0.3">
      <c r="A113">
        <v>159</v>
      </c>
      <c r="B113" t="s">
        <v>1251</v>
      </c>
      <c r="C113" t="s">
        <v>1202</v>
      </c>
      <c r="D113" t="s">
        <v>1203</v>
      </c>
      <c r="E113" t="s">
        <v>1204</v>
      </c>
      <c r="F113">
        <v>6161</v>
      </c>
      <c r="G113" t="s">
        <v>696</v>
      </c>
      <c r="I113" t="s">
        <v>1205</v>
      </c>
      <c r="J113">
        <v>8580</v>
      </c>
    </row>
    <row r="114" spans="1:10" x14ac:dyDescent="0.3">
      <c r="A114">
        <v>159</v>
      </c>
      <c r="B114" t="s">
        <v>1251</v>
      </c>
      <c r="C114" t="s">
        <v>1202</v>
      </c>
      <c r="D114" t="s">
        <v>1203</v>
      </c>
      <c r="E114" t="s">
        <v>1204</v>
      </c>
      <c r="F114">
        <v>6161</v>
      </c>
      <c r="G114" t="s">
        <v>698</v>
      </c>
      <c r="I114" t="s">
        <v>1205</v>
      </c>
      <c r="J114">
        <v>339</v>
      </c>
    </row>
    <row r="115" spans="1:10" x14ac:dyDescent="0.3">
      <c r="A115">
        <v>159</v>
      </c>
      <c r="B115" t="s">
        <v>1251</v>
      </c>
      <c r="C115" t="s">
        <v>1202</v>
      </c>
      <c r="D115" t="s">
        <v>1203</v>
      </c>
      <c r="E115" t="s">
        <v>1204</v>
      </c>
      <c r="F115">
        <v>6161</v>
      </c>
      <c r="G115" t="s">
        <v>700</v>
      </c>
      <c r="H115" t="s">
        <v>1254</v>
      </c>
      <c r="I115" t="s">
        <v>1205</v>
      </c>
      <c r="J115">
        <v>197</v>
      </c>
    </row>
    <row r="116" spans="1:10" x14ac:dyDescent="0.3">
      <c r="A116">
        <v>159</v>
      </c>
      <c r="B116" t="s">
        <v>1251</v>
      </c>
      <c r="C116" t="s">
        <v>1202</v>
      </c>
      <c r="D116" t="s">
        <v>1203</v>
      </c>
      <c r="E116" t="s">
        <v>1204</v>
      </c>
      <c r="F116">
        <v>6161</v>
      </c>
      <c r="G116" t="s">
        <v>701</v>
      </c>
      <c r="I116" t="s">
        <v>1205</v>
      </c>
      <c r="J116">
        <v>172</v>
      </c>
    </row>
    <row r="117" spans="1:10" x14ac:dyDescent="0.3">
      <c r="A117">
        <v>159</v>
      </c>
      <c r="B117" t="s">
        <v>1251</v>
      </c>
      <c r="C117" t="s">
        <v>1202</v>
      </c>
      <c r="D117" t="s">
        <v>1203</v>
      </c>
      <c r="E117" t="s">
        <v>1204</v>
      </c>
      <c r="F117">
        <v>6161</v>
      </c>
      <c r="G117" t="s">
        <v>703</v>
      </c>
      <c r="H117" t="s">
        <v>1254</v>
      </c>
      <c r="I117" t="s">
        <v>1205</v>
      </c>
      <c r="J117">
        <v>1020</v>
      </c>
    </row>
    <row r="118" spans="1:10" x14ac:dyDescent="0.3">
      <c r="A118">
        <v>159</v>
      </c>
      <c r="B118" t="s">
        <v>1251</v>
      </c>
      <c r="C118" t="s">
        <v>1202</v>
      </c>
      <c r="D118" t="s">
        <v>1203</v>
      </c>
      <c r="E118" t="s">
        <v>1204</v>
      </c>
      <c r="F118">
        <v>6161</v>
      </c>
      <c r="G118" t="s">
        <v>702</v>
      </c>
      <c r="H118" t="s">
        <v>1255</v>
      </c>
      <c r="I118" t="s">
        <v>1205</v>
      </c>
      <c r="J118">
        <v>193</v>
      </c>
    </row>
    <row r="119" spans="1:10" x14ac:dyDescent="0.3">
      <c r="A119">
        <v>159</v>
      </c>
      <c r="B119" t="s">
        <v>1251</v>
      </c>
      <c r="C119" t="s">
        <v>1202</v>
      </c>
      <c r="D119" t="s">
        <v>1203</v>
      </c>
      <c r="E119" t="s">
        <v>1204</v>
      </c>
      <c r="F119">
        <v>6161</v>
      </c>
      <c r="G119" t="s">
        <v>686</v>
      </c>
      <c r="H119" t="s">
        <v>1254</v>
      </c>
      <c r="I119" t="s">
        <v>1205</v>
      </c>
      <c r="J119">
        <v>1326</v>
      </c>
    </row>
    <row r="120" spans="1:10" x14ac:dyDescent="0.3">
      <c r="A120">
        <v>159</v>
      </c>
      <c r="B120" t="s">
        <v>1251</v>
      </c>
      <c r="C120" t="s">
        <v>1202</v>
      </c>
      <c r="D120" t="s">
        <v>1203</v>
      </c>
      <c r="E120" t="s">
        <v>1204</v>
      </c>
      <c r="F120">
        <v>6161</v>
      </c>
      <c r="G120" t="s">
        <v>684</v>
      </c>
      <c r="I120" t="s">
        <v>1205</v>
      </c>
      <c r="J120">
        <v>51</v>
      </c>
    </row>
    <row r="121" spans="1:10" x14ac:dyDescent="0.3">
      <c r="A121">
        <v>159</v>
      </c>
      <c r="B121" t="s">
        <v>1251</v>
      </c>
      <c r="C121" t="s">
        <v>1202</v>
      </c>
      <c r="D121" t="s">
        <v>1203</v>
      </c>
      <c r="E121" t="s">
        <v>1204</v>
      </c>
      <c r="F121">
        <v>6161</v>
      </c>
      <c r="G121" t="s">
        <v>702</v>
      </c>
      <c r="H121" t="s">
        <v>1256</v>
      </c>
      <c r="I121" t="s">
        <v>1216</v>
      </c>
      <c r="J121">
        <v>1647</v>
      </c>
    </row>
    <row r="122" spans="1:10" x14ac:dyDescent="0.3">
      <c r="A122">
        <v>167</v>
      </c>
      <c r="B122" t="s">
        <v>1257</v>
      </c>
      <c r="C122" t="s">
        <v>1202</v>
      </c>
      <c r="D122" t="s">
        <v>1203</v>
      </c>
      <c r="E122" t="s">
        <v>1204</v>
      </c>
      <c r="F122">
        <v>5807</v>
      </c>
      <c r="G122" t="s">
        <v>703</v>
      </c>
      <c r="I122" t="s">
        <v>1205</v>
      </c>
      <c r="J122">
        <v>1060</v>
      </c>
    </row>
    <row r="123" spans="1:10" x14ac:dyDescent="0.3">
      <c r="A123">
        <v>167</v>
      </c>
      <c r="B123" t="s">
        <v>1257</v>
      </c>
      <c r="C123" t="s">
        <v>1202</v>
      </c>
      <c r="D123" t="s">
        <v>1203</v>
      </c>
      <c r="E123" t="s">
        <v>1204</v>
      </c>
      <c r="F123">
        <v>5807</v>
      </c>
      <c r="G123" t="s">
        <v>700</v>
      </c>
      <c r="I123" t="s">
        <v>1205</v>
      </c>
      <c r="J123">
        <v>530</v>
      </c>
    </row>
    <row r="124" spans="1:10" x14ac:dyDescent="0.3">
      <c r="A124">
        <v>167</v>
      </c>
      <c r="B124" t="s">
        <v>1257</v>
      </c>
      <c r="C124" t="s">
        <v>1202</v>
      </c>
      <c r="D124" t="s">
        <v>1203</v>
      </c>
      <c r="E124" t="s">
        <v>1204</v>
      </c>
      <c r="F124">
        <v>5807</v>
      </c>
      <c r="G124" t="s">
        <v>696</v>
      </c>
      <c r="I124" t="s">
        <v>1205</v>
      </c>
      <c r="J124">
        <v>5611</v>
      </c>
    </row>
    <row r="125" spans="1:10" x14ac:dyDescent="0.3">
      <c r="A125">
        <v>167</v>
      </c>
      <c r="B125" t="s">
        <v>1257</v>
      </c>
      <c r="C125" t="s">
        <v>1202</v>
      </c>
      <c r="D125" t="s">
        <v>1203</v>
      </c>
      <c r="E125" t="s">
        <v>1204</v>
      </c>
      <c r="F125">
        <v>5807</v>
      </c>
      <c r="G125" t="s">
        <v>691</v>
      </c>
      <c r="I125" t="s">
        <v>1205</v>
      </c>
      <c r="J125">
        <v>5</v>
      </c>
    </row>
    <row r="126" spans="1:10" x14ac:dyDescent="0.3">
      <c r="A126">
        <v>167</v>
      </c>
      <c r="B126" t="s">
        <v>1257</v>
      </c>
      <c r="C126" t="s">
        <v>1202</v>
      </c>
      <c r="D126" t="s">
        <v>1203</v>
      </c>
      <c r="E126" t="s">
        <v>1204</v>
      </c>
      <c r="F126">
        <v>5807</v>
      </c>
      <c r="G126" t="s">
        <v>705</v>
      </c>
      <c r="I126" t="s">
        <v>1205</v>
      </c>
      <c r="J126">
        <v>4</v>
      </c>
    </row>
    <row r="127" spans="1:10" x14ac:dyDescent="0.3">
      <c r="A127">
        <v>167</v>
      </c>
      <c r="B127" t="s">
        <v>1257</v>
      </c>
      <c r="C127" t="s">
        <v>1202</v>
      </c>
      <c r="D127" t="s">
        <v>1203</v>
      </c>
      <c r="E127" t="s">
        <v>1204</v>
      </c>
      <c r="F127">
        <v>5807</v>
      </c>
      <c r="G127" t="s">
        <v>684</v>
      </c>
      <c r="I127" t="s">
        <v>1205</v>
      </c>
      <c r="J127">
        <v>2572</v>
      </c>
    </row>
    <row r="128" spans="1:10" x14ac:dyDescent="0.3">
      <c r="A128">
        <v>167</v>
      </c>
      <c r="B128" t="s">
        <v>1257</v>
      </c>
      <c r="C128" t="s">
        <v>1202</v>
      </c>
      <c r="D128" t="s">
        <v>1203</v>
      </c>
      <c r="E128" t="s">
        <v>1204</v>
      </c>
      <c r="F128">
        <v>5807</v>
      </c>
      <c r="G128" t="s">
        <v>686</v>
      </c>
      <c r="I128" t="s">
        <v>1205</v>
      </c>
      <c r="J128">
        <v>1486</v>
      </c>
    </row>
    <row r="129" spans="1:10" x14ac:dyDescent="0.3">
      <c r="A129">
        <v>170</v>
      </c>
      <c r="B129" t="s">
        <v>1258</v>
      </c>
      <c r="C129" t="s">
        <v>1202</v>
      </c>
      <c r="D129" t="s">
        <v>1203</v>
      </c>
      <c r="E129" t="s">
        <v>1204</v>
      </c>
      <c r="F129">
        <v>5955</v>
      </c>
      <c r="G129" t="s">
        <v>698</v>
      </c>
      <c r="I129" t="s">
        <v>1205</v>
      </c>
      <c r="J129">
        <v>2497</v>
      </c>
    </row>
    <row r="130" spans="1:10" x14ac:dyDescent="0.3">
      <c r="A130">
        <v>170</v>
      </c>
      <c r="B130" t="s">
        <v>1258</v>
      </c>
      <c r="C130" t="s">
        <v>1202</v>
      </c>
      <c r="D130" t="s">
        <v>1203</v>
      </c>
      <c r="E130" t="s">
        <v>1204</v>
      </c>
      <c r="F130">
        <v>5955</v>
      </c>
      <c r="G130" t="s">
        <v>696</v>
      </c>
      <c r="I130" t="s">
        <v>1205</v>
      </c>
      <c r="J130">
        <v>1390</v>
      </c>
    </row>
    <row r="131" spans="1:10" x14ac:dyDescent="0.3">
      <c r="A131">
        <v>170</v>
      </c>
      <c r="B131" t="s">
        <v>1258</v>
      </c>
      <c r="C131" t="s">
        <v>1202</v>
      </c>
      <c r="D131" t="s">
        <v>1203</v>
      </c>
      <c r="E131" t="s">
        <v>1204</v>
      </c>
      <c r="F131">
        <v>5955</v>
      </c>
      <c r="G131" t="s">
        <v>700</v>
      </c>
      <c r="I131" t="s">
        <v>1205</v>
      </c>
      <c r="J131">
        <v>687</v>
      </c>
    </row>
    <row r="132" spans="1:10" x14ac:dyDescent="0.3">
      <c r="A132">
        <v>170</v>
      </c>
      <c r="B132" t="s">
        <v>1258</v>
      </c>
      <c r="C132" t="s">
        <v>1202</v>
      </c>
      <c r="D132" t="s">
        <v>1203</v>
      </c>
      <c r="E132" t="s">
        <v>1204</v>
      </c>
      <c r="F132">
        <v>5955</v>
      </c>
      <c r="G132" t="s">
        <v>703</v>
      </c>
      <c r="I132" t="s">
        <v>1205</v>
      </c>
      <c r="J132">
        <v>102</v>
      </c>
    </row>
    <row r="133" spans="1:10" x14ac:dyDescent="0.3">
      <c r="A133">
        <v>170</v>
      </c>
      <c r="B133" t="s">
        <v>1258</v>
      </c>
      <c r="C133" t="s">
        <v>1202</v>
      </c>
      <c r="D133" t="s">
        <v>1203</v>
      </c>
      <c r="E133" t="s">
        <v>1204</v>
      </c>
      <c r="F133">
        <v>5955</v>
      </c>
      <c r="G133" t="s">
        <v>702</v>
      </c>
      <c r="I133" t="s">
        <v>1205</v>
      </c>
      <c r="J133">
        <v>30</v>
      </c>
    </row>
    <row r="134" spans="1:10" x14ac:dyDescent="0.3">
      <c r="A134">
        <v>170</v>
      </c>
      <c r="B134" t="s">
        <v>1258</v>
      </c>
      <c r="C134" t="s">
        <v>1202</v>
      </c>
      <c r="D134" t="s">
        <v>1203</v>
      </c>
      <c r="E134" t="s">
        <v>1204</v>
      </c>
      <c r="F134">
        <v>5955</v>
      </c>
      <c r="G134" t="s">
        <v>705</v>
      </c>
      <c r="H134" t="s">
        <v>1259</v>
      </c>
      <c r="I134" t="s">
        <v>1205</v>
      </c>
      <c r="J134">
        <v>1014</v>
      </c>
    </row>
    <row r="135" spans="1:10" x14ac:dyDescent="0.3">
      <c r="A135">
        <v>170</v>
      </c>
      <c r="B135" t="s">
        <v>1258</v>
      </c>
      <c r="C135" t="s">
        <v>1202</v>
      </c>
      <c r="D135" t="s">
        <v>1203</v>
      </c>
      <c r="E135" t="s">
        <v>1204</v>
      </c>
      <c r="F135">
        <v>5955</v>
      </c>
      <c r="G135" t="s">
        <v>686</v>
      </c>
      <c r="I135" t="s">
        <v>1205</v>
      </c>
      <c r="J135">
        <v>146</v>
      </c>
    </row>
    <row r="136" spans="1:10" x14ac:dyDescent="0.3">
      <c r="A136">
        <v>170</v>
      </c>
      <c r="B136" t="s">
        <v>1258</v>
      </c>
      <c r="C136" t="s">
        <v>1202</v>
      </c>
      <c r="D136" t="s">
        <v>1203</v>
      </c>
      <c r="E136" t="s">
        <v>1204</v>
      </c>
      <c r="F136">
        <v>5955</v>
      </c>
      <c r="G136" t="s">
        <v>691</v>
      </c>
      <c r="H136" t="s">
        <v>1260</v>
      </c>
      <c r="I136" t="s">
        <v>1205</v>
      </c>
      <c r="J136">
        <v>9</v>
      </c>
    </row>
    <row r="137" spans="1:10" x14ac:dyDescent="0.3">
      <c r="A137">
        <v>178</v>
      </c>
      <c r="B137" t="s">
        <v>1261</v>
      </c>
      <c r="C137" t="s">
        <v>1202</v>
      </c>
      <c r="D137" t="s">
        <v>1203</v>
      </c>
      <c r="E137" t="s">
        <v>1204</v>
      </c>
      <c r="F137">
        <v>5494</v>
      </c>
      <c r="G137" t="s">
        <v>701</v>
      </c>
      <c r="I137" t="s">
        <v>1205</v>
      </c>
      <c r="J137">
        <v>102</v>
      </c>
    </row>
    <row r="138" spans="1:10" x14ac:dyDescent="0.3">
      <c r="A138">
        <v>178</v>
      </c>
      <c r="B138" t="s">
        <v>1261</v>
      </c>
      <c r="C138" t="s">
        <v>1202</v>
      </c>
      <c r="D138" t="s">
        <v>1203</v>
      </c>
      <c r="E138" t="s">
        <v>1204</v>
      </c>
      <c r="F138">
        <v>5494</v>
      </c>
      <c r="G138" t="s">
        <v>702</v>
      </c>
      <c r="I138" t="s">
        <v>1205</v>
      </c>
      <c r="J138">
        <v>565</v>
      </c>
    </row>
    <row r="139" spans="1:10" x14ac:dyDescent="0.3">
      <c r="A139">
        <v>178</v>
      </c>
      <c r="B139" t="s">
        <v>1261</v>
      </c>
      <c r="C139" t="s">
        <v>1202</v>
      </c>
      <c r="D139" t="s">
        <v>1203</v>
      </c>
      <c r="E139" t="s">
        <v>1204</v>
      </c>
      <c r="F139">
        <v>5494</v>
      </c>
      <c r="G139" t="s">
        <v>691</v>
      </c>
      <c r="H139" t="s">
        <v>1262</v>
      </c>
      <c r="I139" t="s">
        <v>1205</v>
      </c>
      <c r="J139">
        <v>18</v>
      </c>
    </row>
    <row r="140" spans="1:10" x14ac:dyDescent="0.3">
      <c r="A140">
        <v>178</v>
      </c>
      <c r="B140" t="s">
        <v>1261</v>
      </c>
      <c r="C140" t="s">
        <v>1202</v>
      </c>
      <c r="D140" t="s">
        <v>1203</v>
      </c>
      <c r="E140" t="s">
        <v>1204</v>
      </c>
      <c r="F140">
        <v>5494</v>
      </c>
      <c r="G140" t="s">
        <v>692</v>
      </c>
      <c r="H140" t="s">
        <v>1263</v>
      </c>
      <c r="I140" t="s">
        <v>1210</v>
      </c>
      <c r="J140">
        <v>5203</v>
      </c>
    </row>
    <row r="141" spans="1:10" x14ac:dyDescent="0.3">
      <c r="A141">
        <v>178</v>
      </c>
      <c r="B141" t="s">
        <v>1261</v>
      </c>
      <c r="C141" t="s">
        <v>1202</v>
      </c>
      <c r="D141" t="s">
        <v>1203</v>
      </c>
      <c r="E141" t="s">
        <v>1204</v>
      </c>
      <c r="F141">
        <v>5494</v>
      </c>
      <c r="G141" t="s">
        <v>686</v>
      </c>
      <c r="I141" t="s">
        <v>1205</v>
      </c>
      <c r="J141">
        <v>380</v>
      </c>
    </row>
    <row r="142" spans="1:10" x14ac:dyDescent="0.3">
      <c r="A142">
        <v>178</v>
      </c>
      <c r="B142" t="s">
        <v>1261</v>
      </c>
      <c r="C142" t="s">
        <v>1202</v>
      </c>
      <c r="D142" t="s">
        <v>1203</v>
      </c>
      <c r="E142" t="s">
        <v>1204</v>
      </c>
      <c r="F142">
        <v>5494</v>
      </c>
      <c r="G142" t="s">
        <v>691</v>
      </c>
      <c r="H142" t="s">
        <v>1264</v>
      </c>
      <c r="I142" t="s">
        <v>1205</v>
      </c>
      <c r="J142">
        <v>345</v>
      </c>
    </row>
    <row r="143" spans="1:10" x14ac:dyDescent="0.3">
      <c r="A143">
        <v>178</v>
      </c>
      <c r="B143" t="s">
        <v>1261</v>
      </c>
      <c r="C143" t="s">
        <v>1202</v>
      </c>
      <c r="D143" t="s">
        <v>1203</v>
      </c>
      <c r="E143" t="s">
        <v>1204</v>
      </c>
      <c r="F143">
        <v>5494</v>
      </c>
      <c r="G143" t="s">
        <v>696</v>
      </c>
      <c r="I143" t="s">
        <v>1205</v>
      </c>
      <c r="J143">
        <v>2302</v>
      </c>
    </row>
    <row r="144" spans="1:10" x14ac:dyDescent="0.3">
      <c r="A144">
        <v>178</v>
      </c>
      <c r="B144" t="s">
        <v>1261</v>
      </c>
      <c r="C144" t="s">
        <v>1202</v>
      </c>
      <c r="D144" t="s">
        <v>1203</v>
      </c>
      <c r="E144" t="s">
        <v>1204</v>
      </c>
      <c r="F144">
        <v>5494</v>
      </c>
      <c r="G144" t="s">
        <v>698</v>
      </c>
      <c r="I144" t="s">
        <v>1205</v>
      </c>
      <c r="J144">
        <v>468</v>
      </c>
    </row>
    <row r="145" spans="1:10" x14ac:dyDescent="0.3">
      <c r="A145">
        <v>193</v>
      </c>
      <c r="B145" t="s">
        <v>1265</v>
      </c>
      <c r="C145" t="s">
        <v>1202</v>
      </c>
      <c r="D145" t="s">
        <v>1203</v>
      </c>
      <c r="E145" t="s">
        <v>1204</v>
      </c>
      <c r="F145">
        <v>5906</v>
      </c>
      <c r="G145" t="s">
        <v>698</v>
      </c>
      <c r="I145" t="s">
        <v>1205</v>
      </c>
      <c r="J145">
        <v>2034</v>
      </c>
    </row>
    <row r="146" spans="1:10" x14ac:dyDescent="0.3">
      <c r="A146">
        <v>193</v>
      </c>
      <c r="B146" t="s">
        <v>1265</v>
      </c>
      <c r="C146" t="s">
        <v>1202</v>
      </c>
      <c r="D146" t="s">
        <v>1203</v>
      </c>
      <c r="E146" t="s">
        <v>1204</v>
      </c>
      <c r="F146">
        <v>5906</v>
      </c>
      <c r="G146" t="s">
        <v>700</v>
      </c>
      <c r="H146" t="s">
        <v>1266</v>
      </c>
      <c r="I146" t="s">
        <v>1205</v>
      </c>
      <c r="J146">
        <v>2095</v>
      </c>
    </row>
    <row r="147" spans="1:10" x14ac:dyDescent="0.3">
      <c r="A147">
        <v>193</v>
      </c>
      <c r="B147" t="s">
        <v>1265</v>
      </c>
      <c r="C147" t="s">
        <v>1202</v>
      </c>
      <c r="D147" t="s">
        <v>1203</v>
      </c>
      <c r="E147" t="s">
        <v>1204</v>
      </c>
      <c r="F147">
        <v>5906</v>
      </c>
      <c r="G147" t="s">
        <v>691</v>
      </c>
      <c r="H147" t="s">
        <v>1267</v>
      </c>
      <c r="I147" t="s">
        <v>1205</v>
      </c>
      <c r="J147">
        <v>9</v>
      </c>
    </row>
    <row r="148" spans="1:10" x14ac:dyDescent="0.3">
      <c r="A148">
        <v>193</v>
      </c>
      <c r="B148" t="s">
        <v>1265</v>
      </c>
      <c r="C148" t="s">
        <v>1202</v>
      </c>
      <c r="D148" t="s">
        <v>1203</v>
      </c>
      <c r="E148" t="s">
        <v>1204</v>
      </c>
      <c r="F148">
        <v>5906</v>
      </c>
      <c r="G148" t="s">
        <v>686</v>
      </c>
      <c r="J148">
        <v>292</v>
      </c>
    </row>
    <row r="149" spans="1:10" x14ac:dyDescent="0.3">
      <c r="A149">
        <v>193</v>
      </c>
      <c r="B149" t="s">
        <v>1265</v>
      </c>
      <c r="C149" t="s">
        <v>1202</v>
      </c>
      <c r="D149" t="s">
        <v>1203</v>
      </c>
      <c r="E149" t="s">
        <v>1204</v>
      </c>
      <c r="F149">
        <v>5906</v>
      </c>
      <c r="G149" t="s">
        <v>696</v>
      </c>
      <c r="I149" t="s">
        <v>1205</v>
      </c>
      <c r="J149">
        <v>5135</v>
      </c>
    </row>
    <row r="150" spans="1:10" x14ac:dyDescent="0.3">
      <c r="A150">
        <v>197</v>
      </c>
      <c r="B150" t="s">
        <v>1268</v>
      </c>
      <c r="C150" t="s">
        <v>1202</v>
      </c>
      <c r="D150" t="s">
        <v>159</v>
      </c>
      <c r="E150" t="s">
        <v>159</v>
      </c>
      <c r="F150">
        <v>5480</v>
      </c>
      <c r="G150" t="s">
        <v>696</v>
      </c>
      <c r="I150" t="s">
        <v>1205</v>
      </c>
      <c r="J150">
        <v>831</v>
      </c>
    </row>
    <row r="151" spans="1:10" x14ac:dyDescent="0.3">
      <c r="A151">
        <v>197</v>
      </c>
      <c r="B151" t="s">
        <v>1268</v>
      </c>
      <c r="C151" t="s">
        <v>1202</v>
      </c>
      <c r="D151" t="s">
        <v>159</v>
      </c>
      <c r="E151" t="s">
        <v>159</v>
      </c>
      <c r="F151">
        <v>5480</v>
      </c>
      <c r="G151" t="s">
        <v>700</v>
      </c>
      <c r="I151" t="s">
        <v>1205</v>
      </c>
      <c r="J151">
        <v>117</v>
      </c>
    </row>
    <row r="152" spans="1:10" x14ac:dyDescent="0.3">
      <c r="A152">
        <v>197</v>
      </c>
      <c r="B152" t="s">
        <v>1268</v>
      </c>
      <c r="C152" t="s">
        <v>1202</v>
      </c>
      <c r="D152" t="s">
        <v>159</v>
      </c>
      <c r="E152" t="s">
        <v>159</v>
      </c>
      <c r="F152">
        <v>5480</v>
      </c>
      <c r="G152" t="s">
        <v>686</v>
      </c>
      <c r="H152" t="s">
        <v>1269</v>
      </c>
      <c r="I152" t="s">
        <v>1205</v>
      </c>
      <c r="J152">
        <v>119</v>
      </c>
    </row>
    <row r="153" spans="1:10" x14ac:dyDescent="0.3">
      <c r="A153">
        <v>198</v>
      </c>
      <c r="B153" t="s">
        <v>1270</v>
      </c>
      <c r="C153" t="s">
        <v>1202</v>
      </c>
      <c r="D153" t="s">
        <v>159</v>
      </c>
      <c r="E153" t="s">
        <v>159</v>
      </c>
      <c r="F153">
        <v>7825</v>
      </c>
      <c r="G153" t="s">
        <v>700</v>
      </c>
      <c r="I153" t="s">
        <v>1205</v>
      </c>
      <c r="J153">
        <v>445</v>
      </c>
    </row>
    <row r="154" spans="1:10" x14ac:dyDescent="0.3">
      <c r="A154">
        <v>198</v>
      </c>
      <c r="B154" t="s">
        <v>1270</v>
      </c>
      <c r="C154" t="s">
        <v>1202</v>
      </c>
      <c r="D154" t="s">
        <v>159</v>
      </c>
      <c r="E154" t="s">
        <v>159</v>
      </c>
      <c r="F154">
        <v>7825</v>
      </c>
      <c r="G154" t="s">
        <v>686</v>
      </c>
      <c r="I154" t="s">
        <v>1205</v>
      </c>
      <c r="J154">
        <v>246</v>
      </c>
    </row>
    <row r="155" spans="1:10" x14ac:dyDescent="0.3">
      <c r="A155">
        <v>198</v>
      </c>
      <c r="B155" t="s">
        <v>1270</v>
      </c>
      <c r="C155" t="s">
        <v>1202</v>
      </c>
      <c r="D155" t="s">
        <v>159</v>
      </c>
      <c r="E155" t="s">
        <v>159</v>
      </c>
      <c r="F155">
        <v>7825</v>
      </c>
      <c r="G155" t="s">
        <v>698</v>
      </c>
      <c r="I155" t="s">
        <v>1205</v>
      </c>
      <c r="J155">
        <v>177</v>
      </c>
    </row>
    <row r="156" spans="1:10" x14ac:dyDescent="0.3">
      <c r="A156">
        <v>198</v>
      </c>
      <c r="B156" t="s">
        <v>1270</v>
      </c>
      <c r="C156" t="s">
        <v>1202</v>
      </c>
      <c r="D156" t="s">
        <v>159</v>
      </c>
      <c r="E156" t="s">
        <v>159</v>
      </c>
      <c r="F156">
        <v>7825</v>
      </c>
      <c r="G156" t="s">
        <v>696</v>
      </c>
      <c r="I156" t="s">
        <v>1205</v>
      </c>
      <c r="J156">
        <v>1464</v>
      </c>
    </row>
    <row r="157" spans="1:10" x14ac:dyDescent="0.3">
      <c r="A157">
        <v>241</v>
      </c>
      <c r="B157" t="s">
        <v>1271</v>
      </c>
      <c r="C157" t="s">
        <v>1202</v>
      </c>
      <c r="D157" t="s">
        <v>1203</v>
      </c>
      <c r="E157" t="s">
        <v>1204</v>
      </c>
      <c r="F157">
        <v>5667</v>
      </c>
      <c r="G157" t="s">
        <v>698</v>
      </c>
      <c r="I157" t="s">
        <v>1205</v>
      </c>
      <c r="J157">
        <v>395</v>
      </c>
    </row>
    <row r="158" spans="1:10" x14ac:dyDescent="0.3">
      <c r="A158">
        <v>241</v>
      </c>
      <c r="B158" t="s">
        <v>1271</v>
      </c>
      <c r="C158" t="s">
        <v>1202</v>
      </c>
      <c r="D158" t="s">
        <v>1203</v>
      </c>
      <c r="E158" t="s">
        <v>1204</v>
      </c>
      <c r="F158">
        <v>5667</v>
      </c>
      <c r="G158" t="s">
        <v>687</v>
      </c>
      <c r="I158" t="s">
        <v>1205</v>
      </c>
      <c r="J158">
        <v>2</v>
      </c>
    </row>
    <row r="159" spans="1:10" x14ac:dyDescent="0.3">
      <c r="A159">
        <v>241</v>
      </c>
      <c r="B159" t="s">
        <v>1271</v>
      </c>
      <c r="C159" t="s">
        <v>1202</v>
      </c>
      <c r="D159" t="s">
        <v>1203</v>
      </c>
      <c r="E159" t="s">
        <v>1204</v>
      </c>
      <c r="F159">
        <v>5667</v>
      </c>
      <c r="G159" t="s">
        <v>686</v>
      </c>
      <c r="I159" t="s">
        <v>1205</v>
      </c>
      <c r="J159">
        <v>394</v>
      </c>
    </row>
    <row r="160" spans="1:10" x14ac:dyDescent="0.3">
      <c r="A160">
        <v>241</v>
      </c>
      <c r="B160" t="s">
        <v>1271</v>
      </c>
      <c r="C160" t="s">
        <v>1202</v>
      </c>
      <c r="D160" t="s">
        <v>1203</v>
      </c>
      <c r="E160" t="s">
        <v>1204</v>
      </c>
      <c r="F160">
        <v>5667</v>
      </c>
      <c r="G160" t="s">
        <v>696</v>
      </c>
      <c r="I160" t="s">
        <v>1205</v>
      </c>
      <c r="J160">
        <v>1570</v>
      </c>
    </row>
    <row r="161" spans="1:10" x14ac:dyDescent="0.3">
      <c r="A161">
        <v>241</v>
      </c>
      <c r="B161" t="s">
        <v>1271</v>
      </c>
      <c r="C161" t="s">
        <v>1202</v>
      </c>
      <c r="D161" t="s">
        <v>1203</v>
      </c>
      <c r="E161" t="s">
        <v>1204</v>
      </c>
      <c r="F161">
        <v>5667</v>
      </c>
      <c r="G161" t="s">
        <v>701</v>
      </c>
      <c r="I161" t="s">
        <v>1205</v>
      </c>
      <c r="J161">
        <v>16</v>
      </c>
    </row>
    <row r="162" spans="1:10" x14ac:dyDescent="0.3">
      <c r="A162">
        <v>241</v>
      </c>
      <c r="B162" t="s">
        <v>1271</v>
      </c>
      <c r="C162" t="s">
        <v>1202</v>
      </c>
      <c r="D162" t="s">
        <v>1203</v>
      </c>
      <c r="E162" t="s">
        <v>1204</v>
      </c>
      <c r="F162">
        <v>5667</v>
      </c>
      <c r="G162" t="s">
        <v>700</v>
      </c>
      <c r="H162" t="s">
        <v>1272</v>
      </c>
      <c r="I162" t="s">
        <v>1205</v>
      </c>
      <c r="J162">
        <v>485</v>
      </c>
    </row>
    <row r="163" spans="1:10" x14ac:dyDescent="0.3">
      <c r="A163">
        <v>241</v>
      </c>
      <c r="B163" t="s">
        <v>1271</v>
      </c>
      <c r="C163" t="s">
        <v>1202</v>
      </c>
      <c r="D163" t="s">
        <v>1203</v>
      </c>
      <c r="E163" t="s">
        <v>1204</v>
      </c>
      <c r="F163">
        <v>5667</v>
      </c>
      <c r="G163" t="s">
        <v>702</v>
      </c>
      <c r="I163" t="s">
        <v>1205</v>
      </c>
      <c r="J163">
        <v>259</v>
      </c>
    </row>
    <row r="164" spans="1:10" x14ac:dyDescent="0.3">
      <c r="A164">
        <v>262</v>
      </c>
      <c r="B164" t="s">
        <v>1273</v>
      </c>
      <c r="C164" t="s">
        <v>1202</v>
      </c>
      <c r="D164" t="s">
        <v>1203</v>
      </c>
      <c r="E164" t="s">
        <v>1204</v>
      </c>
      <c r="F164">
        <v>5902</v>
      </c>
      <c r="G164" t="s">
        <v>686</v>
      </c>
      <c r="J164">
        <v>1469.9972801500001</v>
      </c>
    </row>
    <row r="165" spans="1:10" x14ac:dyDescent="0.3">
      <c r="A165">
        <v>262</v>
      </c>
      <c r="B165" t="s">
        <v>1273</v>
      </c>
      <c r="C165" t="s">
        <v>1202</v>
      </c>
      <c r="D165" t="s">
        <v>1203</v>
      </c>
      <c r="E165" t="s">
        <v>1204</v>
      </c>
      <c r="F165">
        <v>5902</v>
      </c>
      <c r="G165" t="s">
        <v>687</v>
      </c>
      <c r="H165" t="s">
        <v>1274</v>
      </c>
      <c r="I165" t="s">
        <v>1205</v>
      </c>
      <c r="J165">
        <v>144.23772894999999</v>
      </c>
    </row>
    <row r="166" spans="1:10" x14ac:dyDescent="0.3">
      <c r="A166">
        <v>262</v>
      </c>
      <c r="B166" t="s">
        <v>1273</v>
      </c>
      <c r="C166" t="s">
        <v>1202</v>
      </c>
      <c r="D166" t="s">
        <v>1203</v>
      </c>
      <c r="E166" t="s">
        <v>1204</v>
      </c>
      <c r="F166">
        <v>5902</v>
      </c>
      <c r="G166" t="s">
        <v>696</v>
      </c>
      <c r="I166" t="s">
        <v>1205</v>
      </c>
      <c r="J166">
        <v>3200.85002755</v>
      </c>
    </row>
    <row r="167" spans="1:10" x14ac:dyDescent="0.3">
      <c r="A167">
        <v>262</v>
      </c>
      <c r="B167" t="s">
        <v>1273</v>
      </c>
      <c r="C167" t="s">
        <v>1202</v>
      </c>
      <c r="D167" t="s">
        <v>1203</v>
      </c>
      <c r="E167" t="s">
        <v>1204</v>
      </c>
      <c r="F167">
        <v>5902</v>
      </c>
      <c r="G167" t="s">
        <v>698</v>
      </c>
      <c r="I167" t="s">
        <v>1205</v>
      </c>
      <c r="J167">
        <v>619.91534569999999</v>
      </c>
    </row>
    <row r="168" spans="1:10" x14ac:dyDescent="0.3">
      <c r="A168">
        <v>262</v>
      </c>
      <c r="B168" t="s">
        <v>1273</v>
      </c>
      <c r="C168" t="s">
        <v>1202</v>
      </c>
      <c r="D168" t="s">
        <v>1203</v>
      </c>
      <c r="E168" t="s">
        <v>1204</v>
      </c>
      <c r="F168">
        <v>5902</v>
      </c>
      <c r="G168" t="s">
        <v>700</v>
      </c>
      <c r="I168" t="s">
        <v>1205</v>
      </c>
      <c r="J168">
        <v>420.43763545000002</v>
      </c>
    </row>
    <row r="169" spans="1:10" x14ac:dyDescent="0.3">
      <c r="A169">
        <v>262</v>
      </c>
      <c r="B169" t="s">
        <v>1273</v>
      </c>
      <c r="C169" t="s">
        <v>1202</v>
      </c>
      <c r="D169" t="s">
        <v>1203</v>
      </c>
      <c r="E169" t="s">
        <v>1204</v>
      </c>
      <c r="F169">
        <v>5902</v>
      </c>
      <c r="G169" t="s">
        <v>701</v>
      </c>
      <c r="I169" t="s">
        <v>1205</v>
      </c>
      <c r="J169">
        <v>705.84420550000004</v>
      </c>
    </row>
    <row r="170" spans="1:10" x14ac:dyDescent="0.3">
      <c r="A170">
        <v>262</v>
      </c>
      <c r="B170" t="s">
        <v>1273</v>
      </c>
      <c r="C170" t="s">
        <v>1202</v>
      </c>
      <c r="D170" t="s">
        <v>1203</v>
      </c>
      <c r="E170" t="s">
        <v>1204</v>
      </c>
      <c r="F170">
        <v>5902</v>
      </c>
      <c r="G170" t="s">
        <v>703</v>
      </c>
      <c r="I170" t="s">
        <v>1205</v>
      </c>
      <c r="J170">
        <v>6.1377756999999997</v>
      </c>
    </row>
    <row r="171" spans="1:10" x14ac:dyDescent="0.3">
      <c r="A171">
        <v>262</v>
      </c>
      <c r="B171" t="s">
        <v>1273</v>
      </c>
      <c r="C171" t="s">
        <v>1202</v>
      </c>
      <c r="D171" t="s">
        <v>1203</v>
      </c>
      <c r="E171" t="s">
        <v>1204</v>
      </c>
      <c r="F171">
        <v>5902</v>
      </c>
      <c r="G171" t="s">
        <v>702</v>
      </c>
      <c r="H171" t="s">
        <v>1275</v>
      </c>
      <c r="I171" t="s">
        <v>1205</v>
      </c>
      <c r="J171">
        <v>18.4133271</v>
      </c>
    </row>
    <row r="172" spans="1:10" x14ac:dyDescent="0.3">
      <c r="A172">
        <v>262</v>
      </c>
      <c r="B172" t="s">
        <v>1273</v>
      </c>
      <c r="C172" t="s">
        <v>1202</v>
      </c>
      <c r="D172" t="s">
        <v>1203</v>
      </c>
      <c r="E172" t="s">
        <v>1204</v>
      </c>
      <c r="F172">
        <v>5902</v>
      </c>
      <c r="G172" t="s">
        <v>687</v>
      </c>
      <c r="H172" t="s">
        <v>1276</v>
      </c>
      <c r="I172" t="s">
        <v>1205</v>
      </c>
      <c r="J172">
        <v>61.377757000000003</v>
      </c>
    </row>
    <row r="173" spans="1:10" x14ac:dyDescent="0.3">
      <c r="A173">
        <v>262</v>
      </c>
      <c r="B173" t="s">
        <v>1273</v>
      </c>
      <c r="C173" t="s">
        <v>1202</v>
      </c>
      <c r="D173" t="s">
        <v>1203</v>
      </c>
      <c r="E173" t="s">
        <v>1204</v>
      </c>
      <c r="F173">
        <v>5902</v>
      </c>
      <c r="G173" t="s">
        <v>687</v>
      </c>
      <c r="H173" t="s">
        <v>1277</v>
      </c>
      <c r="I173" t="s">
        <v>1205</v>
      </c>
      <c r="J173">
        <v>12.275551399999999</v>
      </c>
    </row>
    <row r="174" spans="1:10" x14ac:dyDescent="0.3">
      <c r="A174">
        <v>263</v>
      </c>
      <c r="B174" t="s">
        <v>1278</v>
      </c>
      <c r="C174" t="s">
        <v>1202</v>
      </c>
      <c r="D174" t="s">
        <v>159</v>
      </c>
      <c r="E174" t="s">
        <v>159</v>
      </c>
      <c r="F174">
        <v>5651</v>
      </c>
      <c r="G174" t="s">
        <v>700</v>
      </c>
      <c r="I174" t="s">
        <v>1205</v>
      </c>
      <c r="J174">
        <v>1041</v>
      </c>
    </row>
    <row r="175" spans="1:10" x14ac:dyDescent="0.3">
      <c r="A175">
        <v>263</v>
      </c>
      <c r="B175" t="s">
        <v>1278</v>
      </c>
      <c r="C175" t="s">
        <v>1202</v>
      </c>
      <c r="D175" t="s">
        <v>159</v>
      </c>
      <c r="E175" t="s">
        <v>159</v>
      </c>
      <c r="F175">
        <v>5651</v>
      </c>
      <c r="G175" t="s">
        <v>701</v>
      </c>
      <c r="H175" t="s">
        <v>1279</v>
      </c>
      <c r="I175" t="s">
        <v>1205</v>
      </c>
      <c r="J175">
        <v>733</v>
      </c>
    </row>
    <row r="176" spans="1:10" x14ac:dyDescent="0.3">
      <c r="A176">
        <v>263</v>
      </c>
      <c r="B176" t="s">
        <v>1278</v>
      </c>
      <c r="C176" t="s">
        <v>1202</v>
      </c>
      <c r="D176" t="s">
        <v>159</v>
      </c>
      <c r="E176" t="s">
        <v>159</v>
      </c>
      <c r="F176">
        <v>5651</v>
      </c>
      <c r="G176" t="s">
        <v>703</v>
      </c>
      <c r="H176" t="s">
        <v>1280</v>
      </c>
      <c r="I176" t="s">
        <v>1205</v>
      </c>
      <c r="J176">
        <v>848</v>
      </c>
    </row>
    <row r="177" spans="1:10" x14ac:dyDescent="0.3">
      <c r="A177">
        <v>263</v>
      </c>
      <c r="B177" t="s">
        <v>1278</v>
      </c>
      <c r="C177" t="s">
        <v>1202</v>
      </c>
      <c r="D177" t="s">
        <v>159</v>
      </c>
      <c r="E177" t="s">
        <v>159</v>
      </c>
      <c r="F177">
        <v>5651</v>
      </c>
      <c r="G177" t="s">
        <v>702</v>
      </c>
      <c r="H177" t="s">
        <v>1281</v>
      </c>
      <c r="I177" t="s">
        <v>1216</v>
      </c>
      <c r="J177">
        <v>92</v>
      </c>
    </row>
    <row r="178" spans="1:10" x14ac:dyDescent="0.3">
      <c r="A178">
        <v>263</v>
      </c>
      <c r="B178" t="s">
        <v>1278</v>
      </c>
      <c r="C178" t="s">
        <v>1202</v>
      </c>
      <c r="D178" t="s">
        <v>159</v>
      </c>
      <c r="E178" t="s">
        <v>159</v>
      </c>
      <c r="F178">
        <v>5651</v>
      </c>
      <c r="G178" t="s">
        <v>702</v>
      </c>
      <c r="H178" t="s">
        <v>1282</v>
      </c>
      <c r="I178" t="s">
        <v>1205</v>
      </c>
      <c r="J178">
        <v>1280</v>
      </c>
    </row>
    <row r="179" spans="1:10" x14ac:dyDescent="0.3">
      <c r="A179">
        <v>263</v>
      </c>
      <c r="B179" t="s">
        <v>1278</v>
      </c>
      <c r="C179" t="s">
        <v>1202</v>
      </c>
      <c r="D179" t="s">
        <v>159</v>
      </c>
      <c r="E179" t="s">
        <v>159</v>
      </c>
      <c r="F179">
        <v>5651</v>
      </c>
      <c r="G179" t="s">
        <v>686</v>
      </c>
      <c r="H179" t="s">
        <v>1269</v>
      </c>
      <c r="I179" t="s">
        <v>1205</v>
      </c>
      <c r="J179">
        <v>462</v>
      </c>
    </row>
    <row r="180" spans="1:10" x14ac:dyDescent="0.3">
      <c r="A180">
        <v>263</v>
      </c>
      <c r="B180" t="s">
        <v>1278</v>
      </c>
      <c r="C180" t="s">
        <v>1202</v>
      </c>
      <c r="D180" t="s">
        <v>159</v>
      </c>
      <c r="E180" t="s">
        <v>159</v>
      </c>
      <c r="F180">
        <v>5651</v>
      </c>
      <c r="G180" t="s">
        <v>698</v>
      </c>
      <c r="I180" t="s">
        <v>1205</v>
      </c>
      <c r="J180">
        <v>1048</v>
      </c>
    </row>
    <row r="181" spans="1:10" x14ac:dyDescent="0.3">
      <c r="A181">
        <v>263</v>
      </c>
      <c r="B181" t="s">
        <v>1278</v>
      </c>
      <c r="C181" t="s">
        <v>1202</v>
      </c>
      <c r="D181" t="s">
        <v>159</v>
      </c>
      <c r="E181" t="s">
        <v>159</v>
      </c>
      <c r="F181">
        <v>5651</v>
      </c>
      <c r="G181" t="s">
        <v>696</v>
      </c>
      <c r="I181" t="s">
        <v>1205</v>
      </c>
      <c r="J181">
        <v>3627</v>
      </c>
    </row>
    <row r="182" spans="1:10" x14ac:dyDescent="0.3">
      <c r="A182">
        <v>264</v>
      </c>
      <c r="B182" t="s">
        <v>1283</v>
      </c>
      <c r="C182" t="s">
        <v>1202</v>
      </c>
      <c r="D182" t="s">
        <v>159</v>
      </c>
      <c r="E182" t="s">
        <v>159</v>
      </c>
      <c r="F182">
        <v>6905</v>
      </c>
      <c r="G182" t="s">
        <v>687</v>
      </c>
      <c r="H182" t="s">
        <v>1284</v>
      </c>
      <c r="I182" t="s">
        <v>1205</v>
      </c>
      <c r="J182">
        <v>36.8266542</v>
      </c>
    </row>
    <row r="183" spans="1:10" x14ac:dyDescent="0.3">
      <c r="A183">
        <v>264</v>
      </c>
      <c r="B183" t="s">
        <v>1283</v>
      </c>
      <c r="C183" t="s">
        <v>1202</v>
      </c>
      <c r="D183" t="s">
        <v>159</v>
      </c>
      <c r="E183" t="s">
        <v>159</v>
      </c>
      <c r="F183">
        <v>6905</v>
      </c>
      <c r="G183" t="s">
        <v>702</v>
      </c>
      <c r="H183" t="s">
        <v>1285</v>
      </c>
      <c r="I183" t="s">
        <v>1210</v>
      </c>
      <c r="J183">
        <v>567.74425225000005</v>
      </c>
    </row>
    <row r="184" spans="1:10" x14ac:dyDescent="0.3">
      <c r="A184">
        <v>264</v>
      </c>
      <c r="B184" t="s">
        <v>1283</v>
      </c>
      <c r="C184" t="s">
        <v>1202</v>
      </c>
      <c r="D184" t="s">
        <v>159</v>
      </c>
      <c r="E184" t="s">
        <v>159</v>
      </c>
      <c r="F184">
        <v>6905</v>
      </c>
      <c r="G184" t="s">
        <v>702</v>
      </c>
      <c r="H184" t="s">
        <v>1286</v>
      </c>
      <c r="I184" t="s">
        <v>1205</v>
      </c>
      <c r="J184">
        <v>1414.7572988500001</v>
      </c>
    </row>
    <row r="185" spans="1:10" x14ac:dyDescent="0.3">
      <c r="A185">
        <v>264</v>
      </c>
      <c r="B185" t="s">
        <v>1283</v>
      </c>
      <c r="C185" t="s">
        <v>1202</v>
      </c>
      <c r="D185" t="s">
        <v>159</v>
      </c>
      <c r="E185" t="s">
        <v>159</v>
      </c>
      <c r="F185">
        <v>6905</v>
      </c>
      <c r="G185" t="s">
        <v>700</v>
      </c>
      <c r="H185" t="s">
        <v>1287</v>
      </c>
      <c r="I185" t="s">
        <v>1205</v>
      </c>
      <c r="J185">
        <v>589.2264672</v>
      </c>
    </row>
    <row r="186" spans="1:10" x14ac:dyDescent="0.3">
      <c r="A186">
        <v>264</v>
      </c>
      <c r="B186" t="s">
        <v>1283</v>
      </c>
      <c r="C186" t="s">
        <v>1202</v>
      </c>
      <c r="D186" t="s">
        <v>159</v>
      </c>
      <c r="E186" t="s">
        <v>159</v>
      </c>
      <c r="F186">
        <v>6905</v>
      </c>
      <c r="G186" t="s">
        <v>698</v>
      </c>
      <c r="I186" t="s">
        <v>1205</v>
      </c>
      <c r="J186">
        <v>355.99099059999998</v>
      </c>
    </row>
    <row r="187" spans="1:10" x14ac:dyDescent="0.3">
      <c r="A187">
        <v>264</v>
      </c>
      <c r="B187" t="s">
        <v>1283</v>
      </c>
      <c r="C187" t="s">
        <v>1202</v>
      </c>
      <c r="D187" t="s">
        <v>159</v>
      </c>
      <c r="E187" t="s">
        <v>159</v>
      </c>
      <c r="F187">
        <v>6905</v>
      </c>
      <c r="G187" t="s">
        <v>696</v>
      </c>
      <c r="I187" t="s">
        <v>1205</v>
      </c>
      <c r="J187">
        <v>8289.0660828500004</v>
      </c>
    </row>
    <row r="188" spans="1:10" x14ac:dyDescent="0.3">
      <c r="A188">
        <v>264</v>
      </c>
      <c r="B188" t="s">
        <v>1283</v>
      </c>
      <c r="C188" t="s">
        <v>1202</v>
      </c>
      <c r="D188" t="s">
        <v>159</v>
      </c>
      <c r="E188" t="s">
        <v>159</v>
      </c>
      <c r="F188">
        <v>6905</v>
      </c>
      <c r="G188" t="s">
        <v>686</v>
      </c>
      <c r="I188" t="s">
        <v>1205</v>
      </c>
      <c r="J188">
        <v>1067.9729718000001</v>
      </c>
    </row>
    <row r="189" spans="1:10" x14ac:dyDescent="0.3">
      <c r="A189">
        <v>283</v>
      </c>
      <c r="B189" t="s">
        <v>1288</v>
      </c>
      <c r="C189" t="s">
        <v>1202</v>
      </c>
      <c r="D189" t="s">
        <v>1203</v>
      </c>
      <c r="E189" t="s">
        <v>1204</v>
      </c>
      <c r="F189">
        <v>5636</v>
      </c>
      <c r="G189" t="s">
        <v>696</v>
      </c>
      <c r="I189" t="s">
        <v>1205</v>
      </c>
      <c r="J189">
        <v>5333</v>
      </c>
    </row>
    <row r="190" spans="1:10" x14ac:dyDescent="0.3">
      <c r="A190">
        <v>283</v>
      </c>
      <c r="B190" t="s">
        <v>1288</v>
      </c>
      <c r="C190" t="s">
        <v>1202</v>
      </c>
      <c r="D190" t="s">
        <v>1203</v>
      </c>
      <c r="E190" t="s">
        <v>1204</v>
      </c>
      <c r="F190">
        <v>5636</v>
      </c>
      <c r="G190" t="s">
        <v>698</v>
      </c>
      <c r="I190" t="s">
        <v>1205</v>
      </c>
      <c r="J190">
        <v>1891</v>
      </c>
    </row>
    <row r="191" spans="1:10" x14ac:dyDescent="0.3">
      <c r="A191">
        <v>283</v>
      </c>
      <c r="B191" t="s">
        <v>1288</v>
      </c>
      <c r="C191" t="s">
        <v>1202</v>
      </c>
      <c r="D191" t="s">
        <v>1203</v>
      </c>
      <c r="E191" t="s">
        <v>1204</v>
      </c>
      <c r="F191">
        <v>5636</v>
      </c>
      <c r="G191" t="s">
        <v>700</v>
      </c>
      <c r="I191" t="s">
        <v>1205</v>
      </c>
      <c r="J191">
        <v>4045</v>
      </c>
    </row>
    <row r="192" spans="1:10" x14ac:dyDescent="0.3">
      <c r="A192">
        <v>283</v>
      </c>
      <c r="B192" t="s">
        <v>1288</v>
      </c>
      <c r="C192" t="s">
        <v>1202</v>
      </c>
      <c r="D192" t="s">
        <v>1203</v>
      </c>
      <c r="E192" t="s">
        <v>1204</v>
      </c>
      <c r="F192">
        <v>5636</v>
      </c>
      <c r="G192" t="s">
        <v>702</v>
      </c>
      <c r="H192" t="s">
        <v>1282</v>
      </c>
      <c r="I192" t="s">
        <v>1205</v>
      </c>
      <c r="J192">
        <v>1247</v>
      </c>
    </row>
    <row r="193" spans="1:10" x14ac:dyDescent="0.3">
      <c r="A193">
        <v>283</v>
      </c>
      <c r="B193" t="s">
        <v>1288</v>
      </c>
      <c r="C193" t="s">
        <v>1202</v>
      </c>
      <c r="D193" t="s">
        <v>1203</v>
      </c>
      <c r="E193" t="s">
        <v>1204</v>
      </c>
      <c r="F193">
        <v>5636</v>
      </c>
      <c r="G193" t="s">
        <v>686</v>
      </c>
      <c r="H193" t="s">
        <v>1289</v>
      </c>
      <c r="I193" t="s">
        <v>1205</v>
      </c>
      <c r="J193">
        <v>731</v>
      </c>
    </row>
    <row r="194" spans="1:10" x14ac:dyDescent="0.3">
      <c r="A194">
        <v>285</v>
      </c>
      <c r="B194" t="s">
        <v>1290</v>
      </c>
      <c r="C194" t="s">
        <v>1202</v>
      </c>
      <c r="D194" t="s">
        <v>1203</v>
      </c>
      <c r="E194" t="s">
        <v>1204</v>
      </c>
      <c r="F194">
        <v>5744</v>
      </c>
      <c r="G194" t="s">
        <v>698</v>
      </c>
      <c r="I194" t="s">
        <v>1205</v>
      </c>
      <c r="J194">
        <v>4275</v>
      </c>
    </row>
    <row r="195" spans="1:10" x14ac:dyDescent="0.3">
      <c r="A195">
        <v>285</v>
      </c>
      <c r="B195" t="s">
        <v>1290</v>
      </c>
      <c r="C195" t="s">
        <v>1202</v>
      </c>
      <c r="D195" t="s">
        <v>1203</v>
      </c>
      <c r="E195" t="s">
        <v>1204</v>
      </c>
      <c r="F195">
        <v>5744</v>
      </c>
      <c r="G195" t="s">
        <v>696</v>
      </c>
      <c r="I195" t="s">
        <v>1205</v>
      </c>
      <c r="J195">
        <v>7940</v>
      </c>
    </row>
    <row r="196" spans="1:10" x14ac:dyDescent="0.3">
      <c r="A196">
        <v>285</v>
      </c>
      <c r="B196" t="s">
        <v>1290</v>
      </c>
      <c r="C196" t="s">
        <v>1202</v>
      </c>
      <c r="D196" t="s">
        <v>1203</v>
      </c>
      <c r="E196" t="s">
        <v>1204</v>
      </c>
      <c r="F196">
        <v>5744</v>
      </c>
      <c r="G196" t="s">
        <v>691</v>
      </c>
      <c r="H196" t="s">
        <v>1291</v>
      </c>
      <c r="I196" t="s">
        <v>1205</v>
      </c>
      <c r="J196">
        <v>0</v>
      </c>
    </row>
    <row r="197" spans="1:10" x14ac:dyDescent="0.3">
      <c r="A197">
        <v>285</v>
      </c>
      <c r="B197" t="s">
        <v>1290</v>
      </c>
      <c r="C197" t="s">
        <v>1202</v>
      </c>
      <c r="D197" t="s">
        <v>1203</v>
      </c>
      <c r="E197" t="s">
        <v>1204</v>
      </c>
      <c r="F197">
        <v>5744</v>
      </c>
      <c r="G197" t="s">
        <v>700</v>
      </c>
      <c r="I197" t="s">
        <v>1205</v>
      </c>
      <c r="J197">
        <v>2738</v>
      </c>
    </row>
    <row r="198" spans="1:10" x14ac:dyDescent="0.3">
      <c r="A198">
        <v>285</v>
      </c>
      <c r="B198" t="s">
        <v>1290</v>
      </c>
      <c r="C198" t="s">
        <v>1202</v>
      </c>
      <c r="D198" t="s">
        <v>1203</v>
      </c>
      <c r="E198" t="s">
        <v>1204</v>
      </c>
      <c r="F198">
        <v>5744</v>
      </c>
      <c r="G198" t="s">
        <v>703</v>
      </c>
      <c r="H198" t="s">
        <v>1292</v>
      </c>
      <c r="I198" t="s">
        <v>1205</v>
      </c>
      <c r="J198">
        <v>155</v>
      </c>
    </row>
    <row r="199" spans="1:10" x14ac:dyDescent="0.3">
      <c r="A199">
        <v>285</v>
      </c>
      <c r="B199" t="s">
        <v>1290</v>
      </c>
      <c r="C199" t="s">
        <v>1202</v>
      </c>
      <c r="D199" t="s">
        <v>1203</v>
      </c>
      <c r="E199" t="s">
        <v>1204</v>
      </c>
      <c r="F199">
        <v>5744</v>
      </c>
      <c r="G199" t="s">
        <v>691</v>
      </c>
      <c r="H199" t="s">
        <v>1293</v>
      </c>
      <c r="I199" t="s">
        <v>1205</v>
      </c>
      <c r="J199">
        <v>11</v>
      </c>
    </row>
    <row r="200" spans="1:10" x14ac:dyDescent="0.3">
      <c r="A200">
        <v>285</v>
      </c>
      <c r="B200" t="s">
        <v>1290</v>
      </c>
      <c r="C200" t="s">
        <v>1202</v>
      </c>
      <c r="D200" t="s">
        <v>1203</v>
      </c>
      <c r="E200" t="s">
        <v>1204</v>
      </c>
      <c r="F200">
        <v>5744</v>
      </c>
      <c r="G200" t="s">
        <v>686</v>
      </c>
      <c r="I200" t="s">
        <v>1205</v>
      </c>
      <c r="J200">
        <v>614</v>
      </c>
    </row>
    <row r="201" spans="1:10" x14ac:dyDescent="0.3">
      <c r="A201">
        <v>285</v>
      </c>
      <c r="B201" t="s">
        <v>1290</v>
      </c>
      <c r="C201" t="s">
        <v>1202</v>
      </c>
      <c r="D201" t="s">
        <v>1203</v>
      </c>
      <c r="E201" t="s">
        <v>1204</v>
      </c>
      <c r="F201">
        <v>5744</v>
      </c>
      <c r="G201" t="s">
        <v>690</v>
      </c>
      <c r="H201" t="s">
        <v>1294</v>
      </c>
      <c r="I201" t="s">
        <v>1210</v>
      </c>
      <c r="J201">
        <v>152</v>
      </c>
    </row>
    <row r="202" spans="1:10" x14ac:dyDescent="0.3">
      <c r="A202">
        <v>286</v>
      </c>
      <c r="B202" t="s">
        <v>1295</v>
      </c>
      <c r="C202" t="s">
        <v>1202</v>
      </c>
      <c r="D202" t="s">
        <v>1203</v>
      </c>
      <c r="E202" t="s">
        <v>1204</v>
      </c>
      <c r="F202">
        <v>5826</v>
      </c>
      <c r="G202" t="s">
        <v>687</v>
      </c>
      <c r="H202" t="s">
        <v>1296</v>
      </c>
      <c r="I202" t="s">
        <v>1205</v>
      </c>
      <c r="J202">
        <v>0</v>
      </c>
    </row>
    <row r="203" spans="1:10" x14ac:dyDescent="0.3">
      <c r="A203">
        <v>286</v>
      </c>
      <c r="B203" t="s">
        <v>1295</v>
      </c>
      <c r="C203" t="s">
        <v>1202</v>
      </c>
      <c r="D203" t="s">
        <v>1203</v>
      </c>
      <c r="E203" t="s">
        <v>1204</v>
      </c>
      <c r="F203">
        <v>5826</v>
      </c>
      <c r="G203" t="s">
        <v>686</v>
      </c>
      <c r="I203" t="s">
        <v>1205</v>
      </c>
      <c r="J203">
        <v>217.89103735</v>
      </c>
    </row>
    <row r="204" spans="1:10" x14ac:dyDescent="0.3">
      <c r="A204">
        <v>286</v>
      </c>
      <c r="B204" t="s">
        <v>1295</v>
      </c>
      <c r="C204" t="s">
        <v>1202</v>
      </c>
      <c r="D204" t="s">
        <v>1203</v>
      </c>
      <c r="E204" t="s">
        <v>1204</v>
      </c>
      <c r="F204">
        <v>5826</v>
      </c>
      <c r="G204" t="s">
        <v>702</v>
      </c>
      <c r="I204" t="s">
        <v>1205</v>
      </c>
      <c r="J204">
        <v>211.75326165000001</v>
      </c>
    </row>
    <row r="205" spans="1:10" x14ac:dyDescent="0.3">
      <c r="A205">
        <v>286</v>
      </c>
      <c r="B205" t="s">
        <v>1295</v>
      </c>
      <c r="C205" t="s">
        <v>1202</v>
      </c>
      <c r="D205" t="s">
        <v>1203</v>
      </c>
      <c r="E205" t="s">
        <v>1204</v>
      </c>
      <c r="F205">
        <v>5826</v>
      </c>
      <c r="G205" t="s">
        <v>703</v>
      </c>
      <c r="I205" t="s">
        <v>1205</v>
      </c>
      <c r="J205">
        <v>110.47996259999999</v>
      </c>
    </row>
    <row r="206" spans="1:10" x14ac:dyDescent="0.3">
      <c r="A206">
        <v>286</v>
      </c>
      <c r="B206" t="s">
        <v>1295</v>
      </c>
      <c r="C206" t="s">
        <v>1202</v>
      </c>
      <c r="D206" t="s">
        <v>1203</v>
      </c>
      <c r="E206" t="s">
        <v>1204</v>
      </c>
      <c r="F206">
        <v>5826</v>
      </c>
      <c r="G206" t="s">
        <v>701</v>
      </c>
      <c r="I206" t="s">
        <v>1205</v>
      </c>
      <c r="J206">
        <v>466.4709532</v>
      </c>
    </row>
    <row r="207" spans="1:10" x14ac:dyDescent="0.3">
      <c r="A207">
        <v>286</v>
      </c>
      <c r="B207" t="s">
        <v>1295</v>
      </c>
      <c r="C207" t="s">
        <v>1202</v>
      </c>
      <c r="D207" t="s">
        <v>1203</v>
      </c>
      <c r="E207" t="s">
        <v>1204</v>
      </c>
      <c r="F207">
        <v>5826</v>
      </c>
      <c r="G207" t="s">
        <v>696</v>
      </c>
      <c r="I207" t="s">
        <v>1205</v>
      </c>
      <c r="J207">
        <v>1663.3372147</v>
      </c>
    </row>
    <row r="208" spans="1:10" x14ac:dyDescent="0.3">
      <c r="A208">
        <v>286</v>
      </c>
      <c r="B208" t="s">
        <v>1295</v>
      </c>
      <c r="C208" t="s">
        <v>1202</v>
      </c>
      <c r="D208" t="s">
        <v>1203</v>
      </c>
      <c r="E208" t="s">
        <v>1204</v>
      </c>
      <c r="F208">
        <v>5826</v>
      </c>
      <c r="G208" t="s">
        <v>698</v>
      </c>
      <c r="I208" t="s">
        <v>1205</v>
      </c>
      <c r="J208">
        <v>702.77531765000003</v>
      </c>
    </row>
    <row r="209" spans="1:10" x14ac:dyDescent="0.3">
      <c r="A209">
        <v>286</v>
      </c>
      <c r="B209" t="s">
        <v>1295</v>
      </c>
      <c r="C209" t="s">
        <v>1202</v>
      </c>
      <c r="D209" t="s">
        <v>1203</v>
      </c>
      <c r="E209" t="s">
        <v>1204</v>
      </c>
      <c r="F209">
        <v>5826</v>
      </c>
      <c r="G209" t="s">
        <v>700</v>
      </c>
      <c r="I209" t="s">
        <v>1205</v>
      </c>
      <c r="J209">
        <v>527.84871020000003</v>
      </c>
    </row>
    <row r="210" spans="1:10" x14ac:dyDescent="0.3">
      <c r="A210">
        <v>351</v>
      </c>
      <c r="B210" t="s">
        <v>1297</v>
      </c>
      <c r="C210" t="s">
        <v>1202</v>
      </c>
      <c r="D210" t="s">
        <v>1203</v>
      </c>
      <c r="E210" t="s">
        <v>1204</v>
      </c>
      <c r="F210">
        <v>5475</v>
      </c>
      <c r="G210" t="s">
        <v>686</v>
      </c>
      <c r="I210" t="s">
        <v>1205</v>
      </c>
      <c r="J210">
        <v>1304</v>
      </c>
    </row>
    <row r="211" spans="1:10" x14ac:dyDescent="0.3">
      <c r="A211">
        <v>351</v>
      </c>
      <c r="B211" t="s">
        <v>1297</v>
      </c>
      <c r="C211" t="s">
        <v>1202</v>
      </c>
      <c r="D211" t="s">
        <v>1203</v>
      </c>
      <c r="E211" t="s">
        <v>1204</v>
      </c>
      <c r="F211">
        <v>5475</v>
      </c>
      <c r="G211" t="s">
        <v>691</v>
      </c>
      <c r="I211" t="s">
        <v>1205</v>
      </c>
      <c r="J211">
        <v>4</v>
      </c>
    </row>
    <row r="212" spans="1:10" x14ac:dyDescent="0.3">
      <c r="A212">
        <v>351</v>
      </c>
      <c r="B212" t="s">
        <v>1297</v>
      </c>
      <c r="C212" t="s">
        <v>1202</v>
      </c>
      <c r="D212" t="s">
        <v>1203</v>
      </c>
      <c r="E212" t="s">
        <v>1204</v>
      </c>
      <c r="F212">
        <v>5475</v>
      </c>
      <c r="G212" t="s">
        <v>705</v>
      </c>
      <c r="I212" t="s">
        <v>1205</v>
      </c>
      <c r="J212">
        <v>174</v>
      </c>
    </row>
    <row r="213" spans="1:10" x14ac:dyDescent="0.3">
      <c r="A213">
        <v>351</v>
      </c>
      <c r="B213" t="s">
        <v>1297</v>
      </c>
      <c r="C213" t="s">
        <v>1202</v>
      </c>
      <c r="D213" t="s">
        <v>1203</v>
      </c>
      <c r="E213" t="s">
        <v>1204</v>
      </c>
      <c r="F213">
        <v>5475</v>
      </c>
      <c r="G213" t="s">
        <v>684</v>
      </c>
      <c r="I213" t="s">
        <v>1210</v>
      </c>
      <c r="J213">
        <v>1379</v>
      </c>
    </row>
    <row r="214" spans="1:10" x14ac:dyDescent="0.3">
      <c r="A214">
        <v>351</v>
      </c>
      <c r="B214" t="s">
        <v>1297</v>
      </c>
      <c r="C214" t="s">
        <v>1202</v>
      </c>
      <c r="D214" t="s">
        <v>1203</v>
      </c>
      <c r="E214" t="s">
        <v>1204</v>
      </c>
      <c r="F214">
        <v>5475</v>
      </c>
      <c r="G214" t="s">
        <v>696</v>
      </c>
      <c r="I214" t="s">
        <v>1205</v>
      </c>
      <c r="J214">
        <v>2839</v>
      </c>
    </row>
    <row r="215" spans="1:10" x14ac:dyDescent="0.3">
      <c r="A215">
        <v>351</v>
      </c>
      <c r="B215" t="s">
        <v>1297</v>
      </c>
      <c r="C215" t="s">
        <v>1202</v>
      </c>
      <c r="D215" t="s">
        <v>1203</v>
      </c>
      <c r="E215" t="s">
        <v>1204</v>
      </c>
      <c r="F215">
        <v>5475</v>
      </c>
      <c r="G215" t="s">
        <v>702</v>
      </c>
      <c r="I215" t="s">
        <v>1205</v>
      </c>
      <c r="J215">
        <v>157</v>
      </c>
    </row>
    <row r="216" spans="1:10" x14ac:dyDescent="0.3">
      <c r="A216">
        <v>351</v>
      </c>
      <c r="B216" t="s">
        <v>1297</v>
      </c>
      <c r="C216" t="s">
        <v>1202</v>
      </c>
      <c r="D216" t="s">
        <v>1203</v>
      </c>
      <c r="E216" t="s">
        <v>1204</v>
      </c>
      <c r="F216">
        <v>5475</v>
      </c>
      <c r="G216" t="s">
        <v>703</v>
      </c>
      <c r="I216" t="s">
        <v>1205</v>
      </c>
      <c r="J216">
        <v>141</v>
      </c>
    </row>
    <row r="217" spans="1:10" x14ac:dyDescent="0.3">
      <c r="A217">
        <v>351</v>
      </c>
      <c r="B217" t="s">
        <v>1297</v>
      </c>
      <c r="C217" t="s">
        <v>1202</v>
      </c>
      <c r="D217" t="s">
        <v>1203</v>
      </c>
      <c r="E217" t="s">
        <v>1204</v>
      </c>
      <c r="F217">
        <v>5475</v>
      </c>
      <c r="G217" t="s">
        <v>700</v>
      </c>
      <c r="I217" t="s">
        <v>1205</v>
      </c>
      <c r="J217">
        <v>189</v>
      </c>
    </row>
    <row r="218" spans="1:10" x14ac:dyDescent="0.3">
      <c r="A218">
        <v>351</v>
      </c>
      <c r="B218" t="s">
        <v>1297</v>
      </c>
      <c r="C218" t="s">
        <v>1202</v>
      </c>
      <c r="D218" t="s">
        <v>1203</v>
      </c>
      <c r="E218" t="s">
        <v>1204</v>
      </c>
      <c r="F218">
        <v>5475</v>
      </c>
      <c r="G218" t="s">
        <v>698</v>
      </c>
      <c r="I218" t="s">
        <v>1205</v>
      </c>
      <c r="J218">
        <v>9</v>
      </c>
    </row>
    <row r="219" spans="1:10" x14ac:dyDescent="0.3">
      <c r="A219">
        <v>351</v>
      </c>
      <c r="B219" t="s">
        <v>1297</v>
      </c>
      <c r="C219" t="s">
        <v>1202</v>
      </c>
      <c r="D219" t="s">
        <v>1203</v>
      </c>
      <c r="E219" t="s">
        <v>1204</v>
      </c>
      <c r="F219">
        <v>5475</v>
      </c>
      <c r="G219" t="s">
        <v>702</v>
      </c>
      <c r="I219" t="s">
        <v>1210</v>
      </c>
      <c r="J219">
        <v>400</v>
      </c>
    </row>
    <row r="220" spans="1:10" x14ac:dyDescent="0.3">
      <c r="A220">
        <v>353</v>
      </c>
      <c r="B220" t="s">
        <v>1298</v>
      </c>
      <c r="C220" t="s">
        <v>1202</v>
      </c>
      <c r="D220" t="s">
        <v>1203</v>
      </c>
      <c r="E220" t="s">
        <v>1204</v>
      </c>
      <c r="F220">
        <v>7537</v>
      </c>
      <c r="G220" t="s">
        <v>686</v>
      </c>
      <c r="J220">
        <v>405.09319620000002</v>
      </c>
    </row>
    <row r="221" spans="1:10" x14ac:dyDescent="0.3">
      <c r="A221">
        <v>353</v>
      </c>
      <c r="B221" t="s">
        <v>1298</v>
      </c>
      <c r="C221" t="s">
        <v>1202</v>
      </c>
      <c r="D221" t="s">
        <v>1203</v>
      </c>
      <c r="E221" t="s">
        <v>1204</v>
      </c>
      <c r="F221">
        <v>7537</v>
      </c>
      <c r="G221" t="s">
        <v>687</v>
      </c>
      <c r="J221">
        <v>46.033317750000002</v>
      </c>
    </row>
    <row r="222" spans="1:10" x14ac:dyDescent="0.3">
      <c r="A222">
        <v>353</v>
      </c>
      <c r="B222" t="s">
        <v>1298</v>
      </c>
      <c r="C222" t="s">
        <v>1202</v>
      </c>
      <c r="D222" t="s">
        <v>1203</v>
      </c>
      <c r="E222" t="s">
        <v>1204</v>
      </c>
      <c r="F222">
        <v>7537</v>
      </c>
      <c r="G222" t="s">
        <v>702</v>
      </c>
      <c r="H222" t="s">
        <v>1275</v>
      </c>
      <c r="J222">
        <v>279.26879435000001</v>
      </c>
    </row>
    <row r="223" spans="1:10" x14ac:dyDescent="0.3">
      <c r="A223">
        <v>353</v>
      </c>
      <c r="B223" t="s">
        <v>1298</v>
      </c>
      <c r="C223" t="s">
        <v>1202</v>
      </c>
      <c r="D223" t="s">
        <v>1203</v>
      </c>
      <c r="E223" t="s">
        <v>1204</v>
      </c>
      <c r="F223">
        <v>7537</v>
      </c>
      <c r="G223" t="s">
        <v>696</v>
      </c>
      <c r="J223">
        <v>3707.2165227999999</v>
      </c>
    </row>
    <row r="224" spans="1:10" x14ac:dyDescent="0.3">
      <c r="A224">
        <v>353</v>
      </c>
      <c r="B224" t="s">
        <v>1298</v>
      </c>
      <c r="C224" t="s">
        <v>1202</v>
      </c>
      <c r="D224" t="s">
        <v>1203</v>
      </c>
      <c r="E224" t="s">
        <v>1204</v>
      </c>
      <c r="F224">
        <v>7537</v>
      </c>
      <c r="G224" t="s">
        <v>700</v>
      </c>
      <c r="H224" t="s">
        <v>1272</v>
      </c>
      <c r="J224">
        <v>681.29310269999996</v>
      </c>
    </row>
    <row r="225" spans="1:10" x14ac:dyDescent="0.3">
      <c r="A225">
        <v>353</v>
      </c>
      <c r="B225" t="s">
        <v>1298</v>
      </c>
      <c r="C225" t="s">
        <v>1202</v>
      </c>
      <c r="D225" t="s">
        <v>1203</v>
      </c>
      <c r="E225" t="s">
        <v>1204</v>
      </c>
      <c r="F225">
        <v>7537</v>
      </c>
      <c r="G225" t="s">
        <v>698</v>
      </c>
      <c r="J225">
        <v>610.70868214999996</v>
      </c>
    </row>
    <row r="226" spans="1:10" x14ac:dyDescent="0.3">
      <c r="A226">
        <v>353</v>
      </c>
      <c r="B226" t="s">
        <v>1298</v>
      </c>
      <c r="C226" t="s">
        <v>1202</v>
      </c>
      <c r="D226" t="s">
        <v>1203</v>
      </c>
      <c r="E226" t="s">
        <v>1204</v>
      </c>
      <c r="F226">
        <v>7537</v>
      </c>
      <c r="G226" t="s">
        <v>701</v>
      </c>
      <c r="J226">
        <v>12.275551399999999</v>
      </c>
    </row>
    <row r="227" spans="1:10" x14ac:dyDescent="0.3">
      <c r="A227">
        <v>368</v>
      </c>
      <c r="B227" t="s">
        <v>1299</v>
      </c>
      <c r="C227" t="s">
        <v>1202</v>
      </c>
      <c r="D227" t="s">
        <v>1203</v>
      </c>
      <c r="E227" t="s">
        <v>1204</v>
      </c>
      <c r="F227">
        <v>5562</v>
      </c>
      <c r="G227" t="s">
        <v>700</v>
      </c>
      <c r="I227" t="s">
        <v>1205</v>
      </c>
      <c r="J227">
        <v>3814</v>
      </c>
    </row>
    <row r="228" spans="1:10" x14ac:dyDescent="0.3">
      <c r="A228">
        <v>368</v>
      </c>
      <c r="B228" t="s">
        <v>1299</v>
      </c>
      <c r="C228" t="s">
        <v>1202</v>
      </c>
      <c r="D228" t="s">
        <v>1203</v>
      </c>
      <c r="E228" t="s">
        <v>1204</v>
      </c>
      <c r="F228">
        <v>5562</v>
      </c>
      <c r="G228" t="s">
        <v>701</v>
      </c>
      <c r="I228" t="s">
        <v>1205</v>
      </c>
      <c r="J228">
        <v>150</v>
      </c>
    </row>
    <row r="229" spans="1:10" x14ac:dyDescent="0.3">
      <c r="A229">
        <v>368</v>
      </c>
      <c r="B229" t="s">
        <v>1299</v>
      </c>
      <c r="C229" t="s">
        <v>1202</v>
      </c>
      <c r="D229" t="s">
        <v>1203</v>
      </c>
      <c r="E229" t="s">
        <v>1204</v>
      </c>
      <c r="F229">
        <v>5562</v>
      </c>
      <c r="G229" t="s">
        <v>687</v>
      </c>
      <c r="H229" t="s">
        <v>1300</v>
      </c>
      <c r="I229" t="s">
        <v>1205</v>
      </c>
      <c r="J229">
        <v>826</v>
      </c>
    </row>
    <row r="230" spans="1:10" x14ac:dyDescent="0.3">
      <c r="A230">
        <v>368</v>
      </c>
      <c r="B230" t="s">
        <v>1299</v>
      </c>
      <c r="C230" t="s">
        <v>1202</v>
      </c>
      <c r="D230" t="s">
        <v>1203</v>
      </c>
      <c r="E230" t="s">
        <v>1204</v>
      </c>
      <c r="F230">
        <v>5562</v>
      </c>
      <c r="G230" t="s">
        <v>687</v>
      </c>
      <c r="H230" t="s">
        <v>1301</v>
      </c>
      <c r="I230" t="s">
        <v>1205</v>
      </c>
      <c r="J230">
        <v>30</v>
      </c>
    </row>
    <row r="231" spans="1:10" x14ac:dyDescent="0.3">
      <c r="A231">
        <v>368</v>
      </c>
      <c r="B231" t="s">
        <v>1299</v>
      </c>
      <c r="C231" t="s">
        <v>1202</v>
      </c>
      <c r="D231" t="s">
        <v>1203</v>
      </c>
      <c r="E231" t="s">
        <v>1204</v>
      </c>
      <c r="F231">
        <v>5562</v>
      </c>
      <c r="G231" t="s">
        <v>687</v>
      </c>
      <c r="H231" t="s">
        <v>1302</v>
      </c>
      <c r="I231" t="s">
        <v>1205</v>
      </c>
      <c r="J231">
        <v>1</v>
      </c>
    </row>
    <row r="232" spans="1:10" x14ac:dyDescent="0.3">
      <c r="A232">
        <v>368</v>
      </c>
      <c r="B232" t="s">
        <v>1299</v>
      </c>
      <c r="C232" t="s">
        <v>1202</v>
      </c>
      <c r="D232" t="s">
        <v>1203</v>
      </c>
      <c r="E232" t="s">
        <v>1204</v>
      </c>
      <c r="F232">
        <v>5562</v>
      </c>
      <c r="G232" t="s">
        <v>687</v>
      </c>
      <c r="H232" t="s">
        <v>1303</v>
      </c>
      <c r="I232" t="s">
        <v>1205</v>
      </c>
      <c r="J232">
        <v>62</v>
      </c>
    </row>
    <row r="233" spans="1:10" x14ac:dyDescent="0.3">
      <c r="A233">
        <v>368</v>
      </c>
      <c r="B233" t="s">
        <v>1299</v>
      </c>
      <c r="C233" t="s">
        <v>1202</v>
      </c>
      <c r="D233" t="s">
        <v>1203</v>
      </c>
      <c r="E233" t="s">
        <v>1204</v>
      </c>
      <c r="F233">
        <v>5562</v>
      </c>
      <c r="G233" t="s">
        <v>686</v>
      </c>
      <c r="I233" t="s">
        <v>1205</v>
      </c>
      <c r="J233">
        <v>2849</v>
      </c>
    </row>
    <row r="234" spans="1:10" x14ac:dyDescent="0.3">
      <c r="A234">
        <v>368</v>
      </c>
      <c r="B234" t="s">
        <v>1299</v>
      </c>
      <c r="C234" t="s">
        <v>1202</v>
      </c>
      <c r="D234" t="s">
        <v>1203</v>
      </c>
      <c r="E234" t="s">
        <v>1204</v>
      </c>
      <c r="F234">
        <v>5562</v>
      </c>
      <c r="G234" t="s">
        <v>687</v>
      </c>
      <c r="H234" t="s">
        <v>1304</v>
      </c>
      <c r="I234" t="s">
        <v>1205</v>
      </c>
      <c r="J234">
        <v>11723</v>
      </c>
    </row>
    <row r="235" spans="1:10" x14ac:dyDescent="0.3">
      <c r="A235">
        <v>369</v>
      </c>
      <c r="B235" t="s">
        <v>1305</v>
      </c>
      <c r="C235" t="s">
        <v>1202</v>
      </c>
      <c r="D235" t="s">
        <v>1203</v>
      </c>
      <c r="E235" t="s">
        <v>1204</v>
      </c>
      <c r="F235">
        <v>5748</v>
      </c>
      <c r="G235" t="s">
        <v>687</v>
      </c>
      <c r="H235" t="s">
        <v>1306</v>
      </c>
      <c r="I235" t="s">
        <v>1205</v>
      </c>
      <c r="J235">
        <v>5133</v>
      </c>
    </row>
    <row r="236" spans="1:10" x14ac:dyDescent="0.3">
      <c r="A236">
        <v>369</v>
      </c>
      <c r="B236" t="s">
        <v>1305</v>
      </c>
      <c r="C236" t="s">
        <v>1202</v>
      </c>
      <c r="D236" t="s">
        <v>1203</v>
      </c>
      <c r="E236" t="s">
        <v>1204</v>
      </c>
      <c r="F236">
        <v>5748</v>
      </c>
      <c r="G236" t="s">
        <v>700</v>
      </c>
      <c r="I236" t="s">
        <v>1205</v>
      </c>
      <c r="J236">
        <v>3001</v>
      </c>
    </row>
    <row r="237" spans="1:10" x14ac:dyDescent="0.3">
      <c r="A237">
        <v>369</v>
      </c>
      <c r="B237" t="s">
        <v>1305</v>
      </c>
      <c r="C237" t="s">
        <v>1202</v>
      </c>
      <c r="D237" t="s">
        <v>1203</v>
      </c>
      <c r="E237" t="s">
        <v>1204</v>
      </c>
      <c r="F237">
        <v>5748</v>
      </c>
      <c r="G237" t="s">
        <v>701</v>
      </c>
      <c r="I237" t="s">
        <v>1205</v>
      </c>
      <c r="J237">
        <v>13</v>
      </c>
    </row>
    <row r="238" spans="1:10" x14ac:dyDescent="0.3">
      <c r="A238">
        <v>369</v>
      </c>
      <c r="B238" t="s">
        <v>1305</v>
      </c>
      <c r="C238" t="s">
        <v>1202</v>
      </c>
      <c r="D238" t="s">
        <v>1203</v>
      </c>
      <c r="E238" t="s">
        <v>1204</v>
      </c>
      <c r="F238">
        <v>5748</v>
      </c>
      <c r="G238" t="s">
        <v>703</v>
      </c>
      <c r="H238" t="s">
        <v>1307</v>
      </c>
      <c r="I238" t="s">
        <v>1205</v>
      </c>
      <c r="J238">
        <v>393</v>
      </c>
    </row>
    <row r="239" spans="1:10" x14ac:dyDescent="0.3">
      <c r="A239">
        <v>369</v>
      </c>
      <c r="B239" t="s">
        <v>1305</v>
      </c>
      <c r="C239" t="s">
        <v>1202</v>
      </c>
      <c r="D239" t="s">
        <v>1203</v>
      </c>
      <c r="E239" t="s">
        <v>1204</v>
      </c>
      <c r="F239">
        <v>5748</v>
      </c>
      <c r="G239" t="s">
        <v>687</v>
      </c>
      <c r="H239" t="s">
        <v>1308</v>
      </c>
      <c r="I239" t="s">
        <v>1205</v>
      </c>
      <c r="J239">
        <v>13</v>
      </c>
    </row>
    <row r="240" spans="1:10" x14ac:dyDescent="0.3">
      <c r="A240">
        <v>369</v>
      </c>
      <c r="B240" t="s">
        <v>1305</v>
      </c>
      <c r="C240" t="s">
        <v>1202</v>
      </c>
      <c r="D240" t="s">
        <v>1203</v>
      </c>
      <c r="E240" t="s">
        <v>1204</v>
      </c>
      <c r="F240">
        <v>5748</v>
      </c>
      <c r="G240" t="s">
        <v>705</v>
      </c>
      <c r="H240" t="s">
        <v>688</v>
      </c>
      <c r="I240" t="s">
        <v>1205</v>
      </c>
      <c r="J240">
        <v>6</v>
      </c>
    </row>
    <row r="241" spans="1:10" x14ac:dyDescent="0.3">
      <c r="A241">
        <v>369</v>
      </c>
      <c r="B241" t="s">
        <v>1305</v>
      </c>
      <c r="C241" t="s">
        <v>1202</v>
      </c>
      <c r="D241" t="s">
        <v>1203</v>
      </c>
      <c r="E241" t="s">
        <v>1204</v>
      </c>
      <c r="F241">
        <v>5748</v>
      </c>
      <c r="G241" t="s">
        <v>687</v>
      </c>
      <c r="H241" t="s">
        <v>1302</v>
      </c>
      <c r="I241" t="s">
        <v>1205</v>
      </c>
      <c r="J241">
        <v>443</v>
      </c>
    </row>
    <row r="242" spans="1:10" x14ac:dyDescent="0.3">
      <c r="A242">
        <v>369</v>
      </c>
      <c r="B242" t="s">
        <v>1305</v>
      </c>
      <c r="C242" t="s">
        <v>1202</v>
      </c>
      <c r="D242" t="s">
        <v>1203</v>
      </c>
      <c r="E242" t="s">
        <v>1204</v>
      </c>
      <c r="F242">
        <v>5748</v>
      </c>
      <c r="G242" t="s">
        <v>686</v>
      </c>
      <c r="I242" t="s">
        <v>1205</v>
      </c>
      <c r="J242">
        <v>124</v>
      </c>
    </row>
    <row r="243" spans="1:10" x14ac:dyDescent="0.3">
      <c r="A243">
        <v>369</v>
      </c>
      <c r="B243" t="s">
        <v>1305</v>
      </c>
      <c r="C243" t="s">
        <v>1202</v>
      </c>
      <c r="D243" t="s">
        <v>1203</v>
      </c>
      <c r="E243" t="s">
        <v>1204</v>
      </c>
      <c r="F243">
        <v>5748</v>
      </c>
      <c r="G243" t="s">
        <v>687</v>
      </c>
      <c r="H243" t="s">
        <v>1309</v>
      </c>
      <c r="I243" t="s">
        <v>1205</v>
      </c>
      <c r="J243">
        <v>13</v>
      </c>
    </row>
    <row r="244" spans="1:10" x14ac:dyDescent="0.3">
      <c r="A244">
        <v>372</v>
      </c>
      <c r="B244" t="s">
        <v>1310</v>
      </c>
      <c r="C244" t="s">
        <v>1202</v>
      </c>
      <c r="D244" t="s">
        <v>1203</v>
      </c>
      <c r="E244" t="s">
        <v>1204</v>
      </c>
      <c r="F244">
        <v>5790</v>
      </c>
      <c r="G244" t="s">
        <v>703</v>
      </c>
      <c r="H244" t="s">
        <v>1311</v>
      </c>
      <c r="I244" t="s">
        <v>1205</v>
      </c>
      <c r="J244">
        <v>12.275551399999999</v>
      </c>
    </row>
    <row r="245" spans="1:10" x14ac:dyDescent="0.3">
      <c r="A245">
        <v>372</v>
      </c>
      <c r="B245" t="s">
        <v>1310</v>
      </c>
      <c r="C245" t="s">
        <v>1202</v>
      </c>
      <c r="D245" t="s">
        <v>1203</v>
      </c>
      <c r="E245" t="s">
        <v>1204</v>
      </c>
      <c r="F245">
        <v>5790</v>
      </c>
      <c r="G245" t="s">
        <v>700</v>
      </c>
      <c r="H245" t="s">
        <v>1311</v>
      </c>
      <c r="I245" t="s">
        <v>1205</v>
      </c>
      <c r="J245">
        <v>55.239981299999997</v>
      </c>
    </row>
    <row r="246" spans="1:10" x14ac:dyDescent="0.3">
      <c r="A246">
        <v>372</v>
      </c>
      <c r="B246" t="s">
        <v>1310</v>
      </c>
      <c r="C246" t="s">
        <v>1202</v>
      </c>
      <c r="D246" t="s">
        <v>1203</v>
      </c>
      <c r="E246" t="s">
        <v>1204</v>
      </c>
      <c r="F246">
        <v>5790</v>
      </c>
      <c r="G246" t="s">
        <v>696</v>
      </c>
      <c r="H246" t="s">
        <v>1312</v>
      </c>
      <c r="I246" t="s">
        <v>1205</v>
      </c>
      <c r="J246">
        <v>82.859971950000002</v>
      </c>
    </row>
    <row r="247" spans="1:10" x14ac:dyDescent="0.3">
      <c r="A247">
        <v>372</v>
      </c>
      <c r="B247" t="s">
        <v>1310</v>
      </c>
      <c r="C247" t="s">
        <v>1202</v>
      </c>
      <c r="D247" t="s">
        <v>1203</v>
      </c>
      <c r="E247" t="s">
        <v>1204</v>
      </c>
      <c r="F247">
        <v>5790</v>
      </c>
      <c r="G247" t="s">
        <v>686</v>
      </c>
      <c r="H247" t="s">
        <v>1313</v>
      </c>
      <c r="I247" t="s">
        <v>1205</v>
      </c>
      <c r="J247">
        <v>116.6177383</v>
      </c>
    </row>
    <row r="248" spans="1:10" x14ac:dyDescent="0.3">
      <c r="A248">
        <v>372</v>
      </c>
      <c r="B248" t="s">
        <v>1310</v>
      </c>
      <c r="C248" t="s">
        <v>1202</v>
      </c>
      <c r="D248" t="s">
        <v>1203</v>
      </c>
      <c r="E248" t="s">
        <v>1204</v>
      </c>
      <c r="F248">
        <v>5790</v>
      </c>
      <c r="G248" t="s">
        <v>687</v>
      </c>
      <c r="H248" t="s">
        <v>1314</v>
      </c>
      <c r="I248" t="s">
        <v>1205</v>
      </c>
      <c r="J248">
        <v>1528.3061493</v>
      </c>
    </row>
    <row r="249" spans="1:10" x14ac:dyDescent="0.3">
      <c r="A249">
        <v>372</v>
      </c>
      <c r="B249" t="s">
        <v>1310</v>
      </c>
      <c r="C249" t="s">
        <v>1202</v>
      </c>
      <c r="D249" t="s">
        <v>1203</v>
      </c>
      <c r="E249" t="s">
        <v>1204</v>
      </c>
      <c r="F249">
        <v>5790</v>
      </c>
      <c r="G249" t="s">
        <v>703</v>
      </c>
      <c r="H249" t="s">
        <v>1313</v>
      </c>
      <c r="I249" t="s">
        <v>1205</v>
      </c>
      <c r="J249">
        <v>92.066635500000004</v>
      </c>
    </row>
    <row r="250" spans="1:10" x14ac:dyDescent="0.3">
      <c r="A250">
        <v>372</v>
      </c>
      <c r="B250" t="s">
        <v>1310</v>
      </c>
      <c r="C250" t="s">
        <v>1202</v>
      </c>
      <c r="D250" t="s">
        <v>1203</v>
      </c>
      <c r="E250" t="s">
        <v>1204</v>
      </c>
      <c r="F250">
        <v>5790</v>
      </c>
      <c r="G250" t="s">
        <v>700</v>
      </c>
      <c r="H250" t="s">
        <v>1313</v>
      </c>
      <c r="I250" t="s">
        <v>1205</v>
      </c>
      <c r="J250">
        <v>675.15532700000006</v>
      </c>
    </row>
    <row r="251" spans="1:10" x14ac:dyDescent="0.3">
      <c r="A251">
        <v>372</v>
      </c>
      <c r="B251" t="s">
        <v>1310</v>
      </c>
      <c r="C251" t="s">
        <v>1202</v>
      </c>
      <c r="D251" t="s">
        <v>1203</v>
      </c>
      <c r="E251" t="s">
        <v>1204</v>
      </c>
      <c r="F251">
        <v>5790</v>
      </c>
      <c r="G251" t="s">
        <v>696</v>
      </c>
      <c r="H251" t="s">
        <v>1315</v>
      </c>
      <c r="I251" t="s">
        <v>1205</v>
      </c>
      <c r="J251">
        <v>546.26203729999997</v>
      </c>
    </row>
    <row r="252" spans="1:10" x14ac:dyDescent="0.3">
      <c r="A252">
        <v>372</v>
      </c>
      <c r="B252" t="s">
        <v>1310</v>
      </c>
      <c r="C252" t="s">
        <v>1202</v>
      </c>
      <c r="D252" t="s">
        <v>1203</v>
      </c>
      <c r="E252" t="s">
        <v>1204</v>
      </c>
      <c r="F252">
        <v>5790</v>
      </c>
      <c r="G252" t="s">
        <v>686</v>
      </c>
      <c r="H252" t="s">
        <v>1316</v>
      </c>
      <c r="I252" t="s">
        <v>1205</v>
      </c>
      <c r="J252">
        <v>6.1377756999999997</v>
      </c>
    </row>
    <row r="253" spans="1:10" x14ac:dyDescent="0.3">
      <c r="A253">
        <v>372</v>
      </c>
      <c r="B253" t="s">
        <v>1310</v>
      </c>
      <c r="C253" t="s">
        <v>1202</v>
      </c>
      <c r="D253" t="s">
        <v>1203</v>
      </c>
      <c r="E253" t="s">
        <v>1204</v>
      </c>
      <c r="F253">
        <v>5790</v>
      </c>
      <c r="G253" t="s">
        <v>700</v>
      </c>
      <c r="H253" t="s">
        <v>1316</v>
      </c>
      <c r="I253" t="s">
        <v>1205</v>
      </c>
      <c r="J253">
        <v>18.4133271</v>
      </c>
    </row>
    <row r="254" spans="1:10" x14ac:dyDescent="0.3">
      <c r="A254">
        <v>372</v>
      </c>
      <c r="B254" t="s">
        <v>1310</v>
      </c>
      <c r="C254" t="s">
        <v>1202</v>
      </c>
      <c r="D254" t="s">
        <v>1203</v>
      </c>
      <c r="E254" t="s">
        <v>1204</v>
      </c>
      <c r="F254">
        <v>5790</v>
      </c>
      <c r="G254" t="s">
        <v>696</v>
      </c>
      <c r="H254" t="s">
        <v>1317</v>
      </c>
      <c r="I254" t="s">
        <v>1205</v>
      </c>
      <c r="J254">
        <v>24.551102799999999</v>
      </c>
    </row>
    <row r="255" spans="1:10" x14ac:dyDescent="0.3">
      <c r="A255">
        <v>372</v>
      </c>
      <c r="B255" t="s">
        <v>1310</v>
      </c>
      <c r="C255" t="s">
        <v>1202</v>
      </c>
      <c r="D255" t="s">
        <v>1203</v>
      </c>
      <c r="E255" t="s">
        <v>1204</v>
      </c>
      <c r="F255">
        <v>5790</v>
      </c>
      <c r="G255" t="s">
        <v>686</v>
      </c>
      <c r="H255" t="s">
        <v>1318</v>
      </c>
      <c r="I255" t="s">
        <v>1205</v>
      </c>
      <c r="J255">
        <v>113.54885045</v>
      </c>
    </row>
    <row r="256" spans="1:10" x14ac:dyDescent="0.3">
      <c r="A256">
        <v>372</v>
      </c>
      <c r="B256" t="s">
        <v>1310</v>
      </c>
      <c r="C256" t="s">
        <v>1202</v>
      </c>
      <c r="D256" t="s">
        <v>1203</v>
      </c>
      <c r="E256" t="s">
        <v>1204</v>
      </c>
      <c r="F256">
        <v>5790</v>
      </c>
      <c r="G256" t="s">
        <v>687</v>
      </c>
      <c r="H256" t="s">
        <v>1319</v>
      </c>
      <c r="I256" t="s">
        <v>1205</v>
      </c>
      <c r="J256">
        <v>6.1377756999999997</v>
      </c>
    </row>
    <row r="257" spans="1:10" x14ac:dyDescent="0.3">
      <c r="A257">
        <v>372</v>
      </c>
      <c r="B257" t="s">
        <v>1310</v>
      </c>
      <c r="C257" t="s">
        <v>1202</v>
      </c>
      <c r="D257" t="s">
        <v>1203</v>
      </c>
      <c r="E257" t="s">
        <v>1204</v>
      </c>
      <c r="F257">
        <v>5790</v>
      </c>
      <c r="G257" t="s">
        <v>696</v>
      </c>
      <c r="H257" t="s">
        <v>1320</v>
      </c>
      <c r="I257" t="s">
        <v>1205</v>
      </c>
      <c r="J257">
        <v>837.80638305000002</v>
      </c>
    </row>
    <row r="258" spans="1:10" x14ac:dyDescent="0.3">
      <c r="A258">
        <v>372</v>
      </c>
      <c r="B258" t="s">
        <v>1310</v>
      </c>
      <c r="C258" t="s">
        <v>1202</v>
      </c>
      <c r="D258" t="s">
        <v>1203</v>
      </c>
      <c r="E258" t="s">
        <v>1204</v>
      </c>
      <c r="F258">
        <v>5790</v>
      </c>
      <c r="G258" t="s">
        <v>686</v>
      </c>
      <c r="H258" t="s">
        <v>1321</v>
      </c>
      <c r="I258" t="s">
        <v>1205</v>
      </c>
      <c r="J258">
        <v>12.275551399999999</v>
      </c>
    </row>
    <row r="259" spans="1:10" x14ac:dyDescent="0.3">
      <c r="A259">
        <v>372</v>
      </c>
      <c r="B259" t="s">
        <v>1310</v>
      </c>
      <c r="C259" t="s">
        <v>1202</v>
      </c>
      <c r="D259" t="s">
        <v>1203</v>
      </c>
      <c r="E259" t="s">
        <v>1204</v>
      </c>
      <c r="F259">
        <v>5790</v>
      </c>
      <c r="G259" t="s">
        <v>700</v>
      </c>
      <c r="H259" t="s">
        <v>1321</v>
      </c>
      <c r="I259" t="s">
        <v>1205</v>
      </c>
      <c r="J259">
        <v>9.20666355</v>
      </c>
    </row>
    <row r="260" spans="1:10" x14ac:dyDescent="0.3">
      <c r="A260">
        <v>372</v>
      </c>
      <c r="B260" t="s">
        <v>1310</v>
      </c>
      <c r="C260" t="s">
        <v>1202</v>
      </c>
      <c r="D260" t="s">
        <v>1203</v>
      </c>
      <c r="E260" t="s">
        <v>1204</v>
      </c>
      <c r="F260">
        <v>5790</v>
      </c>
      <c r="G260" t="s">
        <v>696</v>
      </c>
      <c r="H260" t="s">
        <v>1322</v>
      </c>
      <c r="I260" t="s">
        <v>1205</v>
      </c>
      <c r="J260">
        <v>82.859971950000002</v>
      </c>
    </row>
    <row r="261" spans="1:10" x14ac:dyDescent="0.3">
      <c r="A261">
        <v>372</v>
      </c>
      <c r="B261" t="s">
        <v>1310</v>
      </c>
      <c r="C261" t="s">
        <v>1202</v>
      </c>
      <c r="D261" t="s">
        <v>1203</v>
      </c>
      <c r="E261" t="s">
        <v>1204</v>
      </c>
      <c r="F261">
        <v>5790</v>
      </c>
      <c r="G261" t="s">
        <v>686</v>
      </c>
      <c r="H261" t="s">
        <v>1323</v>
      </c>
      <c r="I261" t="s">
        <v>1205</v>
      </c>
      <c r="J261">
        <v>1043.421869</v>
      </c>
    </row>
    <row r="262" spans="1:10" x14ac:dyDescent="0.3">
      <c r="A262">
        <v>372</v>
      </c>
      <c r="B262" t="s">
        <v>1310</v>
      </c>
      <c r="C262" t="s">
        <v>1202</v>
      </c>
      <c r="D262" t="s">
        <v>1203</v>
      </c>
      <c r="E262" t="s">
        <v>1204</v>
      </c>
      <c r="F262">
        <v>5790</v>
      </c>
      <c r="G262" t="s">
        <v>687</v>
      </c>
      <c r="H262" t="s">
        <v>1324</v>
      </c>
      <c r="I262" t="s">
        <v>1205</v>
      </c>
      <c r="J262">
        <v>58.30886915</v>
      </c>
    </row>
    <row r="263" spans="1:10" x14ac:dyDescent="0.3">
      <c r="A263">
        <v>372</v>
      </c>
      <c r="B263" t="s">
        <v>1310</v>
      </c>
      <c r="C263" t="s">
        <v>1202</v>
      </c>
      <c r="D263" t="s">
        <v>1203</v>
      </c>
      <c r="E263" t="s">
        <v>1204</v>
      </c>
      <c r="F263">
        <v>5790</v>
      </c>
      <c r="G263" t="s">
        <v>703</v>
      </c>
      <c r="H263" t="s">
        <v>1323</v>
      </c>
      <c r="I263" t="s">
        <v>1205</v>
      </c>
      <c r="J263">
        <v>650.60422419999998</v>
      </c>
    </row>
    <row r="264" spans="1:10" x14ac:dyDescent="0.3">
      <c r="A264">
        <v>372</v>
      </c>
      <c r="B264" t="s">
        <v>1310</v>
      </c>
      <c r="C264" t="s">
        <v>1202</v>
      </c>
      <c r="D264" t="s">
        <v>1203</v>
      </c>
      <c r="E264" t="s">
        <v>1204</v>
      </c>
      <c r="F264">
        <v>5790</v>
      </c>
      <c r="G264" t="s">
        <v>700</v>
      </c>
      <c r="H264" t="s">
        <v>1323</v>
      </c>
      <c r="I264" t="s">
        <v>1205</v>
      </c>
      <c r="J264">
        <v>3130.2656069999998</v>
      </c>
    </row>
    <row r="265" spans="1:10" x14ac:dyDescent="0.3">
      <c r="A265">
        <v>372</v>
      </c>
      <c r="B265" t="s">
        <v>1310</v>
      </c>
      <c r="C265" t="s">
        <v>1202</v>
      </c>
      <c r="D265" t="s">
        <v>1203</v>
      </c>
      <c r="E265" t="s">
        <v>1204</v>
      </c>
      <c r="F265">
        <v>5790</v>
      </c>
      <c r="G265" t="s">
        <v>703</v>
      </c>
      <c r="H265" t="s">
        <v>1318</v>
      </c>
      <c r="I265" t="s">
        <v>1205</v>
      </c>
      <c r="J265">
        <v>58.30886915</v>
      </c>
    </row>
    <row r="266" spans="1:10" x14ac:dyDescent="0.3">
      <c r="A266">
        <v>372</v>
      </c>
      <c r="B266" t="s">
        <v>1310</v>
      </c>
      <c r="C266" t="s">
        <v>1202</v>
      </c>
      <c r="D266" t="s">
        <v>1203</v>
      </c>
      <c r="E266" t="s">
        <v>1204</v>
      </c>
      <c r="F266">
        <v>5790</v>
      </c>
      <c r="G266" t="s">
        <v>700</v>
      </c>
      <c r="H266" t="s">
        <v>1318</v>
      </c>
      <c r="I266" t="s">
        <v>1205</v>
      </c>
      <c r="J266">
        <v>1012.7329905</v>
      </c>
    </row>
    <row r="267" spans="1:10" x14ac:dyDescent="0.3">
      <c r="A267">
        <v>372</v>
      </c>
      <c r="B267" t="s">
        <v>1310</v>
      </c>
      <c r="C267" t="s">
        <v>1202</v>
      </c>
      <c r="D267" t="s">
        <v>1203</v>
      </c>
      <c r="E267" t="s">
        <v>1204</v>
      </c>
      <c r="F267">
        <v>5790</v>
      </c>
      <c r="G267" t="s">
        <v>696</v>
      </c>
      <c r="H267" t="s">
        <v>1325</v>
      </c>
      <c r="I267" t="s">
        <v>1205</v>
      </c>
      <c r="J267">
        <v>153.44439249999999</v>
      </c>
    </row>
    <row r="268" spans="1:10" x14ac:dyDescent="0.3">
      <c r="A268">
        <v>372</v>
      </c>
      <c r="B268" t="s">
        <v>1310</v>
      </c>
      <c r="C268" t="s">
        <v>1202</v>
      </c>
      <c r="D268" t="s">
        <v>1203</v>
      </c>
      <c r="E268" t="s">
        <v>1204</v>
      </c>
      <c r="F268">
        <v>5790</v>
      </c>
      <c r="G268" t="s">
        <v>686</v>
      </c>
      <c r="H268" t="s">
        <v>1326</v>
      </c>
      <c r="I268" t="s">
        <v>1205</v>
      </c>
      <c r="J268">
        <v>184.13327100000001</v>
      </c>
    </row>
    <row r="269" spans="1:10" x14ac:dyDescent="0.3">
      <c r="A269">
        <v>372</v>
      </c>
      <c r="B269" t="s">
        <v>1310</v>
      </c>
      <c r="C269" t="s">
        <v>1202</v>
      </c>
      <c r="D269" t="s">
        <v>1203</v>
      </c>
      <c r="E269" t="s">
        <v>1204</v>
      </c>
      <c r="F269">
        <v>5790</v>
      </c>
      <c r="G269" t="s">
        <v>687</v>
      </c>
      <c r="H269" t="s">
        <v>1327</v>
      </c>
      <c r="I269" t="s">
        <v>1205</v>
      </c>
      <c r="J269">
        <v>82.859971950000002</v>
      </c>
    </row>
    <row r="270" spans="1:10" x14ac:dyDescent="0.3">
      <c r="A270">
        <v>372</v>
      </c>
      <c r="B270" t="s">
        <v>1310</v>
      </c>
      <c r="C270" t="s">
        <v>1202</v>
      </c>
      <c r="D270" t="s">
        <v>1203</v>
      </c>
      <c r="E270" t="s">
        <v>1204</v>
      </c>
      <c r="F270">
        <v>5790</v>
      </c>
      <c r="G270" t="s">
        <v>703</v>
      </c>
      <c r="H270" t="s">
        <v>1326</v>
      </c>
      <c r="I270" t="s">
        <v>1205</v>
      </c>
      <c r="J270">
        <v>340.64655134999998</v>
      </c>
    </row>
    <row r="271" spans="1:10" x14ac:dyDescent="0.3">
      <c r="A271">
        <v>372</v>
      </c>
      <c r="B271" t="s">
        <v>1310</v>
      </c>
      <c r="C271" t="s">
        <v>1202</v>
      </c>
      <c r="D271" t="s">
        <v>1203</v>
      </c>
      <c r="E271" t="s">
        <v>1204</v>
      </c>
      <c r="F271">
        <v>5790</v>
      </c>
      <c r="G271" t="s">
        <v>700</v>
      </c>
      <c r="H271" t="s">
        <v>1326</v>
      </c>
      <c r="I271" t="s">
        <v>1205</v>
      </c>
      <c r="J271">
        <v>481.81539244999999</v>
      </c>
    </row>
    <row r="272" spans="1:10" x14ac:dyDescent="0.3">
      <c r="A272">
        <v>372</v>
      </c>
      <c r="B272" t="s">
        <v>1310</v>
      </c>
      <c r="C272" t="s">
        <v>1202</v>
      </c>
      <c r="D272" t="s">
        <v>1203</v>
      </c>
      <c r="E272" t="s">
        <v>1204</v>
      </c>
      <c r="F272">
        <v>5790</v>
      </c>
      <c r="G272" t="s">
        <v>696</v>
      </c>
      <c r="H272" t="s">
        <v>1328</v>
      </c>
      <c r="I272" t="s">
        <v>1205</v>
      </c>
      <c r="J272">
        <v>3366.5699714500001</v>
      </c>
    </row>
    <row r="273" spans="1:10" x14ac:dyDescent="0.3">
      <c r="A273">
        <v>372</v>
      </c>
      <c r="B273" t="s">
        <v>1310</v>
      </c>
      <c r="C273" t="s">
        <v>1202</v>
      </c>
      <c r="D273" t="s">
        <v>1203</v>
      </c>
      <c r="E273" t="s">
        <v>1204</v>
      </c>
      <c r="F273">
        <v>5790</v>
      </c>
      <c r="G273" t="s">
        <v>686</v>
      </c>
      <c r="H273" t="s">
        <v>1329</v>
      </c>
      <c r="I273" t="s">
        <v>1205</v>
      </c>
      <c r="J273">
        <v>58.30886915</v>
      </c>
    </row>
    <row r="274" spans="1:10" x14ac:dyDescent="0.3">
      <c r="A274">
        <v>372</v>
      </c>
      <c r="B274" t="s">
        <v>1310</v>
      </c>
      <c r="C274" t="s">
        <v>1202</v>
      </c>
      <c r="D274" t="s">
        <v>1203</v>
      </c>
      <c r="E274" t="s">
        <v>1204</v>
      </c>
      <c r="F274">
        <v>5790</v>
      </c>
      <c r="G274" t="s">
        <v>703</v>
      </c>
      <c r="H274" t="s">
        <v>1329</v>
      </c>
      <c r="I274" t="s">
        <v>1205</v>
      </c>
      <c r="J274">
        <v>113.54885045</v>
      </c>
    </row>
    <row r="275" spans="1:10" x14ac:dyDescent="0.3">
      <c r="A275">
        <v>372</v>
      </c>
      <c r="B275" t="s">
        <v>1310</v>
      </c>
      <c r="C275" t="s">
        <v>1202</v>
      </c>
      <c r="D275" t="s">
        <v>1203</v>
      </c>
      <c r="E275" t="s">
        <v>1204</v>
      </c>
      <c r="F275">
        <v>5790</v>
      </c>
      <c r="G275" t="s">
        <v>700</v>
      </c>
      <c r="H275" t="s">
        <v>1329</v>
      </c>
      <c r="I275" t="s">
        <v>1205</v>
      </c>
      <c r="J275">
        <v>199.47771025</v>
      </c>
    </row>
    <row r="276" spans="1:10" x14ac:dyDescent="0.3">
      <c r="A276">
        <v>372</v>
      </c>
      <c r="B276" t="s">
        <v>1310</v>
      </c>
      <c r="C276" t="s">
        <v>1202</v>
      </c>
      <c r="D276" t="s">
        <v>1203</v>
      </c>
      <c r="E276" t="s">
        <v>1204</v>
      </c>
      <c r="F276">
        <v>5790</v>
      </c>
      <c r="G276" t="s">
        <v>696</v>
      </c>
      <c r="H276" t="s">
        <v>1330</v>
      </c>
      <c r="I276" t="s">
        <v>1205</v>
      </c>
      <c r="J276">
        <v>3931.2453358500002</v>
      </c>
    </row>
    <row r="277" spans="1:10" x14ac:dyDescent="0.3">
      <c r="A277">
        <v>372</v>
      </c>
      <c r="B277" t="s">
        <v>1310</v>
      </c>
      <c r="C277" t="s">
        <v>1202</v>
      </c>
      <c r="D277" t="s">
        <v>1203</v>
      </c>
      <c r="E277" t="s">
        <v>1204</v>
      </c>
      <c r="F277">
        <v>5790</v>
      </c>
      <c r="G277" t="s">
        <v>686</v>
      </c>
      <c r="H277" t="s">
        <v>1331</v>
      </c>
      <c r="I277" t="s">
        <v>1205</v>
      </c>
      <c r="J277">
        <v>18.4133271</v>
      </c>
    </row>
    <row r="278" spans="1:10" x14ac:dyDescent="0.3">
      <c r="A278">
        <v>372</v>
      </c>
      <c r="B278" t="s">
        <v>1310</v>
      </c>
      <c r="C278" t="s">
        <v>1202</v>
      </c>
      <c r="D278" t="s">
        <v>1203</v>
      </c>
      <c r="E278" t="s">
        <v>1204</v>
      </c>
      <c r="F278">
        <v>5790</v>
      </c>
      <c r="G278" t="s">
        <v>687</v>
      </c>
      <c r="H278" t="s">
        <v>1332</v>
      </c>
      <c r="I278" t="s">
        <v>1205</v>
      </c>
      <c r="J278">
        <v>3.0688878499999999</v>
      </c>
    </row>
    <row r="279" spans="1:10" x14ac:dyDescent="0.3">
      <c r="A279">
        <v>372</v>
      </c>
      <c r="B279" t="s">
        <v>1310</v>
      </c>
      <c r="C279" t="s">
        <v>1202</v>
      </c>
      <c r="D279" t="s">
        <v>1203</v>
      </c>
      <c r="E279" t="s">
        <v>1204</v>
      </c>
      <c r="F279">
        <v>5790</v>
      </c>
      <c r="G279" t="s">
        <v>700</v>
      </c>
      <c r="H279" t="s">
        <v>1331</v>
      </c>
      <c r="I279" t="s">
        <v>1205</v>
      </c>
      <c r="J279">
        <v>9.20666355</v>
      </c>
    </row>
    <row r="280" spans="1:10" x14ac:dyDescent="0.3">
      <c r="A280">
        <v>372</v>
      </c>
      <c r="B280" t="s">
        <v>1310</v>
      </c>
      <c r="C280" t="s">
        <v>1202</v>
      </c>
      <c r="D280" t="s">
        <v>1203</v>
      </c>
      <c r="E280" t="s">
        <v>1204</v>
      </c>
      <c r="F280">
        <v>5790</v>
      </c>
      <c r="G280" t="s">
        <v>686</v>
      </c>
      <c r="H280" t="s">
        <v>1333</v>
      </c>
      <c r="I280" t="s">
        <v>1205</v>
      </c>
      <c r="J280">
        <v>773.35973820000004</v>
      </c>
    </row>
    <row r="281" spans="1:10" x14ac:dyDescent="0.3">
      <c r="A281">
        <v>372</v>
      </c>
      <c r="B281" t="s">
        <v>1310</v>
      </c>
      <c r="C281" t="s">
        <v>1202</v>
      </c>
      <c r="D281" t="s">
        <v>1203</v>
      </c>
      <c r="E281" t="s">
        <v>1204</v>
      </c>
      <c r="F281">
        <v>5790</v>
      </c>
      <c r="G281" t="s">
        <v>687</v>
      </c>
      <c r="H281" t="s">
        <v>1334</v>
      </c>
      <c r="I281" t="s">
        <v>1205</v>
      </c>
      <c r="J281">
        <v>85.928859799999998</v>
      </c>
    </row>
    <row r="282" spans="1:10" x14ac:dyDescent="0.3">
      <c r="A282">
        <v>372</v>
      </c>
      <c r="B282" t="s">
        <v>1310</v>
      </c>
      <c r="C282" t="s">
        <v>1202</v>
      </c>
      <c r="D282" t="s">
        <v>1203</v>
      </c>
      <c r="E282" t="s">
        <v>1204</v>
      </c>
      <c r="F282">
        <v>5790</v>
      </c>
      <c r="G282" t="s">
        <v>703</v>
      </c>
      <c r="H282" t="s">
        <v>1333</v>
      </c>
      <c r="I282" t="s">
        <v>1205</v>
      </c>
      <c r="J282">
        <v>638.32867280000005</v>
      </c>
    </row>
    <row r="283" spans="1:10" x14ac:dyDescent="0.3">
      <c r="A283">
        <v>372</v>
      </c>
      <c r="B283" t="s">
        <v>1310</v>
      </c>
      <c r="C283" t="s">
        <v>1202</v>
      </c>
      <c r="D283" t="s">
        <v>1203</v>
      </c>
      <c r="E283" t="s">
        <v>1204</v>
      </c>
      <c r="F283">
        <v>5790</v>
      </c>
      <c r="G283" t="s">
        <v>701</v>
      </c>
      <c r="H283" t="s">
        <v>1333</v>
      </c>
      <c r="I283" t="s">
        <v>1205</v>
      </c>
      <c r="J283">
        <v>266.99324295000002</v>
      </c>
    </row>
    <row r="284" spans="1:10" x14ac:dyDescent="0.3">
      <c r="A284">
        <v>372</v>
      </c>
      <c r="B284" t="s">
        <v>1310</v>
      </c>
      <c r="C284" t="s">
        <v>1202</v>
      </c>
      <c r="D284" t="s">
        <v>1203</v>
      </c>
      <c r="E284" t="s">
        <v>1204</v>
      </c>
      <c r="F284">
        <v>5790</v>
      </c>
      <c r="G284" t="s">
        <v>700</v>
      </c>
      <c r="H284" t="s">
        <v>1333</v>
      </c>
      <c r="I284" t="s">
        <v>1205</v>
      </c>
      <c r="J284">
        <v>2059.2237473499999</v>
      </c>
    </row>
    <row r="285" spans="1:10" x14ac:dyDescent="0.3">
      <c r="A285">
        <v>372</v>
      </c>
      <c r="B285" t="s">
        <v>1310</v>
      </c>
      <c r="C285" t="s">
        <v>1202</v>
      </c>
      <c r="D285" t="s">
        <v>1203</v>
      </c>
      <c r="E285" t="s">
        <v>1204</v>
      </c>
      <c r="F285">
        <v>5790</v>
      </c>
      <c r="G285" t="s">
        <v>696</v>
      </c>
      <c r="H285" t="s">
        <v>1335</v>
      </c>
      <c r="I285" t="s">
        <v>1205</v>
      </c>
      <c r="J285">
        <v>4324.0629806500001</v>
      </c>
    </row>
    <row r="286" spans="1:10" x14ac:dyDescent="0.3">
      <c r="A286">
        <v>372</v>
      </c>
      <c r="B286" t="s">
        <v>1310</v>
      </c>
      <c r="C286" t="s">
        <v>1202</v>
      </c>
      <c r="D286" t="s">
        <v>1203</v>
      </c>
      <c r="E286" t="s">
        <v>1204</v>
      </c>
      <c r="F286">
        <v>5790</v>
      </c>
      <c r="G286" t="s">
        <v>686</v>
      </c>
      <c r="H286" t="s">
        <v>1336</v>
      </c>
      <c r="I286" t="s">
        <v>1205</v>
      </c>
      <c r="J286">
        <v>150.37550465000001</v>
      </c>
    </row>
    <row r="287" spans="1:10" x14ac:dyDescent="0.3">
      <c r="A287">
        <v>372</v>
      </c>
      <c r="B287" t="s">
        <v>1310</v>
      </c>
      <c r="C287" t="s">
        <v>1202</v>
      </c>
      <c r="D287" t="s">
        <v>1203</v>
      </c>
      <c r="E287" t="s">
        <v>1204</v>
      </c>
      <c r="F287">
        <v>5790</v>
      </c>
      <c r="G287" t="s">
        <v>687</v>
      </c>
      <c r="H287" t="s">
        <v>1337</v>
      </c>
      <c r="I287" t="s">
        <v>1205</v>
      </c>
      <c r="J287">
        <v>27.619990649999998</v>
      </c>
    </row>
    <row r="288" spans="1:10" x14ac:dyDescent="0.3">
      <c r="A288">
        <v>372</v>
      </c>
      <c r="B288" t="s">
        <v>1310</v>
      </c>
      <c r="C288" t="s">
        <v>1202</v>
      </c>
      <c r="D288" t="s">
        <v>1203</v>
      </c>
      <c r="E288" t="s">
        <v>1204</v>
      </c>
      <c r="F288">
        <v>5790</v>
      </c>
      <c r="G288" t="s">
        <v>703</v>
      </c>
      <c r="H288" t="s">
        <v>1336</v>
      </c>
      <c r="I288" t="s">
        <v>1205</v>
      </c>
      <c r="J288">
        <v>248.57991584999999</v>
      </c>
    </row>
    <row r="289" spans="1:10" x14ac:dyDescent="0.3">
      <c r="A289">
        <v>372</v>
      </c>
      <c r="B289" t="s">
        <v>1310</v>
      </c>
      <c r="C289" t="s">
        <v>1202</v>
      </c>
      <c r="D289" t="s">
        <v>1203</v>
      </c>
      <c r="E289" t="s">
        <v>1204</v>
      </c>
      <c r="F289">
        <v>5790</v>
      </c>
      <c r="G289" t="s">
        <v>700</v>
      </c>
      <c r="H289" t="s">
        <v>1336</v>
      </c>
      <c r="I289" t="s">
        <v>1205</v>
      </c>
      <c r="J289">
        <v>1227.5551399999999</v>
      </c>
    </row>
    <row r="290" spans="1:10" x14ac:dyDescent="0.3">
      <c r="A290">
        <v>372</v>
      </c>
      <c r="B290" t="s">
        <v>1310</v>
      </c>
      <c r="C290" t="s">
        <v>1202</v>
      </c>
      <c r="D290" t="s">
        <v>1203</v>
      </c>
      <c r="E290" t="s">
        <v>1204</v>
      </c>
      <c r="F290">
        <v>5790</v>
      </c>
      <c r="G290" t="s">
        <v>696</v>
      </c>
      <c r="H290" t="s">
        <v>1338</v>
      </c>
      <c r="I290" t="s">
        <v>1205</v>
      </c>
      <c r="J290">
        <v>4023.31197135</v>
      </c>
    </row>
    <row r="291" spans="1:10" x14ac:dyDescent="0.3">
      <c r="A291">
        <v>372</v>
      </c>
      <c r="B291" t="s">
        <v>1310</v>
      </c>
      <c r="C291" t="s">
        <v>1202</v>
      </c>
      <c r="D291" t="s">
        <v>1203</v>
      </c>
      <c r="E291" t="s">
        <v>1204</v>
      </c>
      <c r="F291">
        <v>5790</v>
      </c>
      <c r="G291" t="s">
        <v>686</v>
      </c>
      <c r="H291" t="s">
        <v>1311</v>
      </c>
      <c r="I291" t="s">
        <v>1205</v>
      </c>
      <c r="J291">
        <v>36.8266542</v>
      </c>
    </row>
    <row r="292" spans="1:10" x14ac:dyDescent="0.3">
      <c r="A292">
        <v>373</v>
      </c>
      <c r="B292" t="s">
        <v>1339</v>
      </c>
      <c r="C292" t="s">
        <v>1202</v>
      </c>
      <c r="D292" t="s">
        <v>1203</v>
      </c>
      <c r="E292" t="s">
        <v>1204</v>
      </c>
      <c r="F292">
        <v>6638</v>
      </c>
      <c r="G292" t="s">
        <v>700</v>
      </c>
      <c r="I292" t="s">
        <v>1205</v>
      </c>
      <c r="J292">
        <v>3317.46776585</v>
      </c>
    </row>
    <row r="293" spans="1:10" x14ac:dyDescent="0.3">
      <c r="A293">
        <v>373</v>
      </c>
      <c r="B293" t="s">
        <v>1339</v>
      </c>
      <c r="C293" t="s">
        <v>1202</v>
      </c>
      <c r="D293" t="s">
        <v>1203</v>
      </c>
      <c r="E293" t="s">
        <v>1204</v>
      </c>
      <c r="F293">
        <v>6638</v>
      </c>
      <c r="G293" t="s">
        <v>687</v>
      </c>
      <c r="H293" t="s">
        <v>1340</v>
      </c>
      <c r="I293" t="s">
        <v>1205</v>
      </c>
      <c r="J293">
        <v>1469.9972801500001</v>
      </c>
    </row>
    <row r="294" spans="1:10" x14ac:dyDescent="0.3">
      <c r="A294">
        <v>373</v>
      </c>
      <c r="B294" t="s">
        <v>1339</v>
      </c>
      <c r="C294" t="s">
        <v>1202</v>
      </c>
      <c r="D294" t="s">
        <v>1203</v>
      </c>
      <c r="E294" t="s">
        <v>1204</v>
      </c>
      <c r="F294">
        <v>6638</v>
      </c>
      <c r="G294" t="s">
        <v>686</v>
      </c>
      <c r="I294" t="s">
        <v>1205</v>
      </c>
      <c r="J294">
        <v>893.04636434999998</v>
      </c>
    </row>
    <row r="295" spans="1:10" x14ac:dyDescent="0.3">
      <c r="A295">
        <v>373</v>
      </c>
      <c r="B295" t="s">
        <v>1339</v>
      </c>
      <c r="C295" t="s">
        <v>1202</v>
      </c>
      <c r="D295" t="s">
        <v>1203</v>
      </c>
      <c r="E295" t="s">
        <v>1204</v>
      </c>
      <c r="F295">
        <v>6638</v>
      </c>
      <c r="G295" t="s">
        <v>696</v>
      </c>
      <c r="H295" t="s">
        <v>1341</v>
      </c>
      <c r="I295" t="s">
        <v>1205</v>
      </c>
      <c r="J295">
        <v>4425.3362797</v>
      </c>
    </row>
    <row r="296" spans="1:10" x14ac:dyDescent="0.3">
      <c r="A296">
        <v>376</v>
      </c>
      <c r="B296" t="s">
        <v>1342</v>
      </c>
      <c r="C296" t="s">
        <v>1202</v>
      </c>
      <c r="D296" t="s">
        <v>1203</v>
      </c>
      <c r="E296" t="s">
        <v>1204</v>
      </c>
      <c r="F296">
        <v>5548</v>
      </c>
      <c r="G296" t="s">
        <v>687</v>
      </c>
      <c r="H296" t="s">
        <v>1301</v>
      </c>
      <c r="I296" t="s">
        <v>1205</v>
      </c>
      <c r="J296">
        <v>0</v>
      </c>
    </row>
    <row r="297" spans="1:10" x14ac:dyDescent="0.3">
      <c r="A297">
        <v>376</v>
      </c>
      <c r="B297" t="s">
        <v>1342</v>
      </c>
      <c r="C297" t="s">
        <v>1202</v>
      </c>
      <c r="D297" t="s">
        <v>1203</v>
      </c>
      <c r="E297" t="s">
        <v>1204</v>
      </c>
      <c r="F297">
        <v>5548</v>
      </c>
      <c r="G297" t="s">
        <v>687</v>
      </c>
      <c r="H297" t="s">
        <v>1300</v>
      </c>
      <c r="I297" t="s">
        <v>1205</v>
      </c>
      <c r="J297">
        <v>928</v>
      </c>
    </row>
    <row r="298" spans="1:10" x14ac:dyDescent="0.3">
      <c r="A298">
        <v>376</v>
      </c>
      <c r="B298" t="s">
        <v>1342</v>
      </c>
      <c r="C298" t="s">
        <v>1202</v>
      </c>
      <c r="D298" t="s">
        <v>1203</v>
      </c>
      <c r="E298" t="s">
        <v>1204</v>
      </c>
      <c r="F298">
        <v>5548</v>
      </c>
      <c r="G298" t="s">
        <v>701</v>
      </c>
      <c r="I298" t="s">
        <v>1205</v>
      </c>
      <c r="J298">
        <v>1289</v>
      </c>
    </row>
    <row r="299" spans="1:10" x14ac:dyDescent="0.3">
      <c r="A299">
        <v>376</v>
      </c>
      <c r="B299" t="s">
        <v>1342</v>
      </c>
      <c r="C299" t="s">
        <v>1202</v>
      </c>
      <c r="D299" t="s">
        <v>1203</v>
      </c>
      <c r="E299" t="s">
        <v>1204</v>
      </c>
      <c r="F299">
        <v>5548</v>
      </c>
      <c r="G299" t="s">
        <v>687</v>
      </c>
      <c r="H299" t="s">
        <v>1302</v>
      </c>
      <c r="I299" t="s">
        <v>1205</v>
      </c>
      <c r="J299">
        <v>188</v>
      </c>
    </row>
    <row r="300" spans="1:10" x14ac:dyDescent="0.3">
      <c r="A300">
        <v>376</v>
      </c>
      <c r="B300" t="s">
        <v>1342</v>
      </c>
      <c r="C300" t="s">
        <v>1202</v>
      </c>
      <c r="D300" t="s">
        <v>1203</v>
      </c>
      <c r="E300" t="s">
        <v>1204</v>
      </c>
      <c r="F300">
        <v>5548</v>
      </c>
      <c r="G300" t="s">
        <v>687</v>
      </c>
      <c r="H300" t="s">
        <v>1303</v>
      </c>
      <c r="I300" t="s">
        <v>1205</v>
      </c>
      <c r="J300">
        <v>20</v>
      </c>
    </row>
    <row r="301" spans="1:10" x14ac:dyDescent="0.3">
      <c r="A301">
        <v>376</v>
      </c>
      <c r="B301" t="s">
        <v>1342</v>
      </c>
      <c r="C301" t="s">
        <v>1202</v>
      </c>
      <c r="D301" t="s">
        <v>1203</v>
      </c>
      <c r="E301" t="s">
        <v>1204</v>
      </c>
      <c r="F301">
        <v>5548</v>
      </c>
      <c r="G301" t="s">
        <v>700</v>
      </c>
      <c r="I301" t="s">
        <v>1205</v>
      </c>
      <c r="J301">
        <v>2817</v>
      </c>
    </row>
    <row r="302" spans="1:10" x14ac:dyDescent="0.3">
      <c r="A302">
        <v>376</v>
      </c>
      <c r="B302" t="s">
        <v>1342</v>
      </c>
      <c r="C302" t="s">
        <v>1202</v>
      </c>
      <c r="D302" t="s">
        <v>1203</v>
      </c>
      <c r="E302" t="s">
        <v>1204</v>
      </c>
      <c r="F302">
        <v>5548</v>
      </c>
      <c r="G302" t="s">
        <v>687</v>
      </c>
      <c r="H302" t="s">
        <v>1304</v>
      </c>
      <c r="I302" t="s">
        <v>1205</v>
      </c>
      <c r="J302">
        <v>8724</v>
      </c>
    </row>
    <row r="303" spans="1:10" x14ac:dyDescent="0.3">
      <c r="A303">
        <v>376</v>
      </c>
      <c r="B303" t="s">
        <v>1342</v>
      </c>
      <c r="C303" t="s">
        <v>1202</v>
      </c>
      <c r="D303" t="s">
        <v>1203</v>
      </c>
      <c r="E303" t="s">
        <v>1204</v>
      </c>
      <c r="F303">
        <v>5548</v>
      </c>
      <c r="G303" t="s">
        <v>686</v>
      </c>
      <c r="I303" t="s">
        <v>1205</v>
      </c>
      <c r="J303">
        <v>1158</v>
      </c>
    </row>
    <row r="304" spans="1:10" x14ac:dyDescent="0.3">
      <c r="A304">
        <v>384</v>
      </c>
      <c r="B304" t="s">
        <v>1343</v>
      </c>
      <c r="C304" t="s">
        <v>1202</v>
      </c>
      <c r="D304" t="s">
        <v>159</v>
      </c>
      <c r="E304" t="s">
        <v>159</v>
      </c>
      <c r="F304">
        <v>7937</v>
      </c>
      <c r="G304" t="s">
        <v>686</v>
      </c>
      <c r="H304" t="s">
        <v>1344</v>
      </c>
      <c r="I304" t="s">
        <v>1205</v>
      </c>
      <c r="J304">
        <v>98</v>
      </c>
    </row>
    <row r="305" spans="1:10" x14ac:dyDescent="0.3">
      <c r="A305">
        <v>384</v>
      </c>
      <c r="B305" t="s">
        <v>1343</v>
      </c>
      <c r="C305" t="s">
        <v>1202</v>
      </c>
      <c r="D305" t="s">
        <v>159</v>
      </c>
      <c r="E305" t="s">
        <v>159</v>
      </c>
      <c r="F305">
        <v>7937</v>
      </c>
      <c r="G305" t="s">
        <v>702</v>
      </c>
      <c r="I305" t="s">
        <v>1205</v>
      </c>
      <c r="J305">
        <v>0</v>
      </c>
    </row>
    <row r="306" spans="1:10" x14ac:dyDescent="0.3">
      <c r="A306">
        <v>384</v>
      </c>
      <c r="B306" t="s">
        <v>1343</v>
      </c>
      <c r="C306" t="s">
        <v>1202</v>
      </c>
      <c r="D306" t="s">
        <v>159</v>
      </c>
      <c r="E306" t="s">
        <v>159</v>
      </c>
      <c r="F306">
        <v>7937</v>
      </c>
      <c r="G306" t="s">
        <v>691</v>
      </c>
      <c r="I306" t="s">
        <v>1205</v>
      </c>
      <c r="J306">
        <v>1</v>
      </c>
    </row>
    <row r="307" spans="1:10" x14ac:dyDescent="0.3">
      <c r="A307">
        <v>384</v>
      </c>
      <c r="B307" t="s">
        <v>1343</v>
      </c>
      <c r="C307" t="s">
        <v>1202</v>
      </c>
      <c r="D307" t="s">
        <v>159</v>
      </c>
      <c r="E307" t="s">
        <v>159</v>
      </c>
      <c r="F307">
        <v>7937</v>
      </c>
      <c r="G307" t="s">
        <v>701</v>
      </c>
      <c r="I307" t="s">
        <v>1205</v>
      </c>
      <c r="J307">
        <v>0</v>
      </c>
    </row>
    <row r="308" spans="1:10" x14ac:dyDescent="0.3">
      <c r="A308">
        <v>384</v>
      </c>
      <c r="B308" t="s">
        <v>1343</v>
      </c>
      <c r="C308" t="s">
        <v>1202</v>
      </c>
      <c r="D308" t="s">
        <v>159</v>
      </c>
      <c r="E308" t="s">
        <v>159</v>
      </c>
      <c r="F308">
        <v>7937</v>
      </c>
      <c r="G308" t="s">
        <v>703</v>
      </c>
      <c r="I308" t="s">
        <v>1205</v>
      </c>
      <c r="J308">
        <v>28</v>
      </c>
    </row>
    <row r="309" spans="1:10" x14ac:dyDescent="0.3">
      <c r="A309">
        <v>384</v>
      </c>
      <c r="B309" t="s">
        <v>1343</v>
      </c>
      <c r="C309" t="s">
        <v>1202</v>
      </c>
      <c r="D309" t="s">
        <v>159</v>
      </c>
      <c r="E309" t="s">
        <v>159</v>
      </c>
      <c r="F309">
        <v>7937</v>
      </c>
      <c r="G309" t="s">
        <v>700</v>
      </c>
      <c r="I309" t="s">
        <v>1205</v>
      </c>
      <c r="J309">
        <v>29</v>
      </c>
    </row>
    <row r="310" spans="1:10" x14ac:dyDescent="0.3">
      <c r="A310">
        <v>384</v>
      </c>
      <c r="B310" t="s">
        <v>1343</v>
      </c>
      <c r="C310" t="s">
        <v>1202</v>
      </c>
      <c r="D310" t="s">
        <v>159</v>
      </c>
      <c r="E310" t="s">
        <v>159</v>
      </c>
      <c r="F310">
        <v>7937</v>
      </c>
      <c r="G310" t="s">
        <v>696</v>
      </c>
      <c r="I310" t="s">
        <v>1205</v>
      </c>
      <c r="J310">
        <v>543</v>
      </c>
    </row>
    <row r="311" spans="1:10" x14ac:dyDescent="0.3">
      <c r="A311">
        <v>384</v>
      </c>
      <c r="B311" t="s">
        <v>1343</v>
      </c>
      <c r="C311" t="s">
        <v>1202</v>
      </c>
      <c r="D311" t="s">
        <v>159</v>
      </c>
      <c r="E311" t="s">
        <v>159</v>
      </c>
      <c r="F311">
        <v>7937</v>
      </c>
      <c r="G311" t="s">
        <v>698</v>
      </c>
      <c r="I311" t="s">
        <v>1205</v>
      </c>
      <c r="J311">
        <v>1</v>
      </c>
    </row>
    <row r="312" spans="1:10" x14ac:dyDescent="0.3">
      <c r="A312">
        <v>386</v>
      </c>
      <c r="B312" t="s">
        <v>1345</v>
      </c>
      <c r="C312" t="s">
        <v>1202</v>
      </c>
      <c r="D312" t="s">
        <v>159</v>
      </c>
      <c r="E312" t="s">
        <v>159</v>
      </c>
      <c r="F312">
        <v>7983</v>
      </c>
      <c r="G312" t="s">
        <v>686</v>
      </c>
      <c r="H312" t="s">
        <v>1346</v>
      </c>
      <c r="I312" t="s">
        <v>1205</v>
      </c>
      <c r="J312">
        <v>5889.8980000000001</v>
      </c>
    </row>
    <row r="313" spans="1:10" x14ac:dyDescent="0.3">
      <c r="A313">
        <v>386</v>
      </c>
      <c r="B313" t="s">
        <v>1345</v>
      </c>
      <c r="C313" t="s">
        <v>1202</v>
      </c>
      <c r="D313" t="s">
        <v>159</v>
      </c>
      <c r="E313" t="s">
        <v>159</v>
      </c>
      <c r="F313">
        <v>7983</v>
      </c>
      <c r="G313" t="s">
        <v>702</v>
      </c>
      <c r="H313" t="s">
        <v>1344</v>
      </c>
      <c r="I313" t="s">
        <v>1205</v>
      </c>
      <c r="J313">
        <v>0</v>
      </c>
    </row>
    <row r="314" spans="1:10" x14ac:dyDescent="0.3">
      <c r="A314">
        <v>386</v>
      </c>
      <c r="B314" t="s">
        <v>1345</v>
      </c>
      <c r="C314" t="s">
        <v>1202</v>
      </c>
      <c r="D314" t="s">
        <v>159</v>
      </c>
      <c r="E314" t="s">
        <v>159</v>
      </c>
      <c r="F314">
        <v>7983</v>
      </c>
      <c r="G314" t="s">
        <v>696</v>
      </c>
      <c r="I314" t="s">
        <v>1205</v>
      </c>
      <c r="J314">
        <v>35018.120999999999</v>
      </c>
    </row>
    <row r="315" spans="1:10" x14ac:dyDescent="0.3">
      <c r="A315">
        <v>386</v>
      </c>
      <c r="B315" t="s">
        <v>1345</v>
      </c>
      <c r="C315" t="s">
        <v>1202</v>
      </c>
      <c r="D315" t="s">
        <v>159</v>
      </c>
      <c r="E315" t="s">
        <v>159</v>
      </c>
      <c r="F315">
        <v>7983</v>
      </c>
      <c r="G315" t="s">
        <v>698</v>
      </c>
      <c r="I315" t="s">
        <v>1205</v>
      </c>
      <c r="J315">
        <v>3399.7359999999999</v>
      </c>
    </row>
    <row r="316" spans="1:10" x14ac:dyDescent="0.3">
      <c r="A316">
        <v>386</v>
      </c>
      <c r="B316" t="s">
        <v>1345</v>
      </c>
      <c r="C316" t="s">
        <v>1202</v>
      </c>
      <c r="D316" t="s">
        <v>159</v>
      </c>
      <c r="E316" t="s">
        <v>159</v>
      </c>
      <c r="F316">
        <v>7983</v>
      </c>
      <c r="G316" t="s">
        <v>700</v>
      </c>
      <c r="I316" t="s">
        <v>1205</v>
      </c>
      <c r="J316">
        <v>10017.598</v>
      </c>
    </row>
    <row r="317" spans="1:10" x14ac:dyDescent="0.3">
      <c r="A317">
        <v>386</v>
      </c>
      <c r="B317" t="s">
        <v>1345</v>
      </c>
      <c r="C317" t="s">
        <v>1202</v>
      </c>
      <c r="D317" t="s">
        <v>159</v>
      </c>
      <c r="E317" t="s">
        <v>159</v>
      </c>
      <c r="F317">
        <v>7983</v>
      </c>
      <c r="G317" t="s">
        <v>703</v>
      </c>
      <c r="I317" t="s">
        <v>1205</v>
      </c>
      <c r="J317">
        <v>4975.8389999999999</v>
      </c>
    </row>
    <row r="318" spans="1:10" x14ac:dyDescent="0.3">
      <c r="A318">
        <v>386</v>
      </c>
      <c r="B318" t="s">
        <v>1345</v>
      </c>
      <c r="C318" t="s">
        <v>1202</v>
      </c>
      <c r="D318" t="s">
        <v>159</v>
      </c>
      <c r="E318" t="s">
        <v>159</v>
      </c>
      <c r="F318">
        <v>7983</v>
      </c>
      <c r="G318" t="s">
        <v>701</v>
      </c>
      <c r="I318" t="s">
        <v>1205</v>
      </c>
      <c r="J318">
        <v>41.51</v>
      </c>
    </row>
    <row r="319" spans="1:10" x14ac:dyDescent="0.3">
      <c r="A319">
        <v>386</v>
      </c>
      <c r="B319" t="s">
        <v>1345</v>
      </c>
      <c r="C319" t="s">
        <v>1202</v>
      </c>
      <c r="D319" t="s">
        <v>159</v>
      </c>
      <c r="E319" t="s">
        <v>159</v>
      </c>
      <c r="F319">
        <v>7983</v>
      </c>
      <c r="G319" t="s">
        <v>691</v>
      </c>
      <c r="I319" t="s">
        <v>1205</v>
      </c>
      <c r="J319">
        <v>75.531999999999996</v>
      </c>
    </row>
    <row r="320" spans="1:10" x14ac:dyDescent="0.3">
      <c r="A320">
        <v>387</v>
      </c>
      <c r="B320" t="s">
        <v>1347</v>
      </c>
      <c r="C320" t="s">
        <v>1202</v>
      </c>
      <c r="D320" t="s">
        <v>159</v>
      </c>
      <c r="E320" t="s">
        <v>159</v>
      </c>
      <c r="F320">
        <v>7939</v>
      </c>
      <c r="G320" t="s">
        <v>700</v>
      </c>
      <c r="I320" t="s">
        <v>1205</v>
      </c>
      <c r="J320">
        <v>1038.0350000000001</v>
      </c>
    </row>
    <row r="321" spans="1:10" x14ac:dyDescent="0.3">
      <c r="A321">
        <v>387</v>
      </c>
      <c r="B321" t="s">
        <v>1347</v>
      </c>
      <c r="C321" t="s">
        <v>1202</v>
      </c>
      <c r="D321" t="s">
        <v>159</v>
      </c>
      <c r="E321" t="s">
        <v>159</v>
      </c>
      <c r="F321">
        <v>7939</v>
      </c>
      <c r="G321" t="s">
        <v>701</v>
      </c>
      <c r="I321" t="s">
        <v>1205</v>
      </c>
      <c r="J321">
        <v>2.5390000000000001</v>
      </c>
    </row>
    <row r="322" spans="1:10" x14ac:dyDescent="0.3">
      <c r="A322">
        <v>387</v>
      </c>
      <c r="B322" t="s">
        <v>1347</v>
      </c>
      <c r="C322" t="s">
        <v>1202</v>
      </c>
      <c r="D322" t="s">
        <v>159</v>
      </c>
      <c r="E322" t="s">
        <v>159</v>
      </c>
      <c r="F322">
        <v>7939</v>
      </c>
      <c r="G322" t="s">
        <v>691</v>
      </c>
      <c r="I322" t="s">
        <v>1205</v>
      </c>
      <c r="J322">
        <v>19.908999999999999</v>
      </c>
    </row>
    <row r="323" spans="1:10" x14ac:dyDescent="0.3">
      <c r="A323">
        <v>387</v>
      </c>
      <c r="B323" t="s">
        <v>1347</v>
      </c>
      <c r="C323" t="s">
        <v>1202</v>
      </c>
      <c r="D323" t="s">
        <v>159</v>
      </c>
      <c r="E323" t="s">
        <v>159</v>
      </c>
      <c r="F323">
        <v>7939</v>
      </c>
      <c r="G323" t="s">
        <v>702</v>
      </c>
      <c r="I323" t="s">
        <v>1205</v>
      </c>
      <c r="J323">
        <v>21.184999999999999</v>
      </c>
    </row>
    <row r="324" spans="1:10" x14ac:dyDescent="0.3">
      <c r="A324">
        <v>387</v>
      </c>
      <c r="B324" t="s">
        <v>1347</v>
      </c>
      <c r="C324" t="s">
        <v>1202</v>
      </c>
      <c r="D324" t="s">
        <v>159</v>
      </c>
      <c r="E324" t="s">
        <v>159</v>
      </c>
      <c r="F324">
        <v>7939</v>
      </c>
      <c r="G324" t="s">
        <v>686</v>
      </c>
      <c r="H324" t="s">
        <v>1344</v>
      </c>
      <c r="I324" t="s">
        <v>1205</v>
      </c>
      <c r="J324">
        <v>710.74599999999998</v>
      </c>
    </row>
    <row r="325" spans="1:10" x14ac:dyDescent="0.3">
      <c r="A325">
        <v>387</v>
      </c>
      <c r="B325" t="s">
        <v>1347</v>
      </c>
      <c r="C325" t="s">
        <v>1202</v>
      </c>
      <c r="D325" t="s">
        <v>159</v>
      </c>
      <c r="E325" t="s">
        <v>159</v>
      </c>
      <c r="F325">
        <v>7939</v>
      </c>
      <c r="G325" t="s">
        <v>696</v>
      </c>
      <c r="I325" t="s">
        <v>1205</v>
      </c>
      <c r="J325">
        <v>10598.111999999999</v>
      </c>
    </row>
    <row r="326" spans="1:10" x14ac:dyDescent="0.3">
      <c r="A326">
        <v>387</v>
      </c>
      <c r="B326" t="s">
        <v>1347</v>
      </c>
      <c r="C326" t="s">
        <v>1202</v>
      </c>
      <c r="D326" t="s">
        <v>159</v>
      </c>
      <c r="E326" t="s">
        <v>159</v>
      </c>
      <c r="F326">
        <v>7939</v>
      </c>
      <c r="G326" t="s">
        <v>698</v>
      </c>
      <c r="I326" t="s">
        <v>1205</v>
      </c>
      <c r="J326">
        <v>278.65199999999999</v>
      </c>
    </row>
    <row r="327" spans="1:10" x14ac:dyDescent="0.3">
      <c r="A327">
        <v>387</v>
      </c>
      <c r="B327" t="s">
        <v>1347</v>
      </c>
      <c r="C327" t="s">
        <v>1202</v>
      </c>
      <c r="D327" t="s">
        <v>159</v>
      </c>
      <c r="E327" t="s">
        <v>159</v>
      </c>
      <c r="F327">
        <v>7939</v>
      </c>
      <c r="G327" t="s">
        <v>703</v>
      </c>
      <c r="I327" t="s">
        <v>1205</v>
      </c>
      <c r="J327">
        <v>303.23200000000003</v>
      </c>
    </row>
    <row r="328" spans="1:10" x14ac:dyDescent="0.3">
      <c r="A328">
        <v>388</v>
      </c>
      <c r="B328" t="s">
        <v>1348</v>
      </c>
      <c r="C328" t="s">
        <v>1202</v>
      </c>
      <c r="D328" t="s">
        <v>159</v>
      </c>
      <c r="E328" t="s">
        <v>159</v>
      </c>
      <c r="F328">
        <v>7940</v>
      </c>
      <c r="G328" t="s">
        <v>698</v>
      </c>
      <c r="I328" t="s">
        <v>1205</v>
      </c>
      <c r="J328">
        <v>3013.3780000000002</v>
      </c>
    </row>
    <row r="329" spans="1:10" x14ac:dyDescent="0.3">
      <c r="A329">
        <v>388</v>
      </c>
      <c r="B329" t="s">
        <v>1348</v>
      </c>
      <c r="C329" t="s">
        <v>1202</v>
      </c>
      <c r="D329" t="s">
        <v>159</v>
      </c>
      <c r="E329" t="s">
        <v>159</v>
      </c>
      <c r="F329">
        <v>7940</v>
      </c>
      <c r="G329" t="s">
        <v>686</v>
      </c>
      <c r="H329" t="s">
        <v>1346</v>
      </c>
      <c r="I329" t="s">
        <v>1205</v>
      </c>
      <c r="J329">
        <v>1648.24</v>
      </c>
    </row>
    <row r="330" spans="1:10" x14ac:dyDescent="0.3">
      <c r="A330">
        <v>388</v>
      </c>
      <c r="B330" t="s">
        <v>1348</v>
      </c>
      <c r="C330" t="s">
        <v>1202</v>
      </c>
      <c r="D330" t="s">
        <v>159</v>
      </c>
      <c r="E330" t="s">
        <v>159</v>
      </c>
      <c r="F330">
        <v>7940</v>
      </c>
      <c r="G330" t="s">
        <v>702</v>
      </c>
      <c r="H330" t="s">
        <v>1344</v>
      </c>
      <c r="I330" t="s">
        <v>1205</v>
      </c>
      <c r="J330">
        <v>0</v>
      </c>
    </row>
    <row r="331" spans="1:10" x14ac:dyDescent="0.3">
      <c r="A331">
        <v>388</v>
      </c>
      <c r="B331" t="s">
        <v>1348</v>
      </c>
      <c r="C331" t="s">
        <v>1202</v>
      </c>
      <c r="D331" t="s">
        <v>159</v>
      </c>
      <c r="E331" t="s">
        <v>159</v>
      </c>
      <c r="F331">
        <v>7940</v>
      </c>
      <c r="G331" t="s">
        <v>696</v>
      </c>
      <c r="I331" t="s">
        <v>1205</v>
      </c>
      <c r="J331">
        <v>12526.825999999999</v>
      </c>
    </row>
    <row r="332" spans="1:10" x14ac:dyDescent="0.3">
      <c r="A332">
        <v>388</v>
      </c>
      <c r="B332" t="s">
        <v>1348</v>
      </c>
      <c r="C332" t="s">
        <v>1202</v>
      </c>
      <c r="D332" t="s">
        <v>159</v>
      </c>
      <c r="E332" t="s">
        <v>159</v>
      </c>
      <c r="F332">
        <v>7940</v>
      </c>
      <c r="G332" t="s">
        <v>701</v>
      </c>
      <c r="I332" t="s">
        <v>1205</v>
      </c>
      <c r="J332">
        <v>55.875</v>
      </c>
    </row>
    <row r="333" spans="1:10" x14ac:dyDescent="0.3">
      <c r="A333">
        <v>388</v>
      </c>
      <c r="B333" t="s">
        <v>1348</v>
      </c>
      <c r="C333" t="s">
        <v>1202</v>
      </c>
      <c r="D333" t="s">
        <v>159</v>
      </c>
      <c r="E333" t="s">
        <v>159</v>
      </c>
      <c r="F333">
        <v>7940</v>
      </c>
      <c r="G333" t="s">
        <v>703</v>
      </c>
      <c r="I333" t="s">
        <v>1205</v>
      </c>
      <c r="J333">
        <v>875.39300000000003</v>
      </c>
    </row>
    <row r="334" spans="1:10" x14ac:dyDescent="0.3">
      <c r="A334">
        <v>388</v>
      </c>
      <c r="B334" t="s">
        <v>1348</v>
      </c>
      <c r="C334" t="s">
        <v>1202</v>
      </c>
      <c r="D334" t="s">
        <v>159</v>
      </c>
      <c r="E334" t="s">
        <v>159</v>
      </c>
      <c r="F334">
        <v>7940</v>
      </c>
      <c r="G334" t="s">
        <v>700</v>
      </c>
      <c r="I334" t="s">
        <v>1205</v>
      </c>
      <c r="J334">
        <v>4509.0320000000002</v>
      </c>
    </row>
    <row r="335" spans="1:10" x14ac:dyDescent="0.3">
      <c r="A335">
        <v>388</v>
      </c>
      <c r="B335" t="s">
        <v>1348</v>
      </c>
      <c r="C335" t="s">
        <v>1202</v>
      </c>
      <c r="D335" t="s">
        <v>159</v>
      </c>
      <c r="E335" t="s">
        <v>159</v>
      </c>
      <c r="F335">
        <v>7940</v>
      </c>
      <c r="G335" t="s">
        <v>691</v>
      </c>
      <c r="I335" t="s">
        <v>1205</v>
      </c>
      <c r="J335">
        <v>38.116999999999997</v>
      </c>
    </row>
    <row r="336" spans="1:10" x14ac:dyDescent="0.3">
      <c r="A336">
        <v>390</v>
      </c>
      <c r="B336" t="s">
        <v>1349</v>
      </c>
      <c r="C336" t="s">
        <v>1202</v>
      </c>
      <c r="D336" t="s">
        <v>159</v>
      </c>
      <c r="E336" t="s">
        <v>159</v>
      </c>
      <c r="F336">
        <v>7941</v>
      </c>
      <c r="G336" t="s">
        <v>698</v>
      </c>
      <c r="I336" t="s">
        <v>1205</v>
      </c>
      <c r="J336">
        <v>92.434014320000003</v>
      </c>
    </row>
    <row r="337" spans="1:10" x14ac:dyDescent="0.3">
      <c r="A337">
        <v>390</v>
      </c>
      <c r="B337" t="s">
        <v>1349</v>
      </c>
      <c r="C337" t="s">
        <v>1202</v>
      </c>
      <c r="D337" t="s">
        <v>159</v>
      </c>
      <c r="E337" t="s">
        <v>159</v>
      </c>
      <c r="F337">
        <v>7941</v>
      </c>
      <c r="G337" t="s">
        <v>700</v>
      </c>
      <c r="I337" t="s">
        <v>1205</v>
      </c>
      <c r="J337">
        <v>83.844149630000004</v>
      </c>
    </row>
    <row r="338" spans="1:10" x14ac:dyDescent="0.3">
      <c r="A338">
        <v>390</v>
      </c>
      <c r="B338" t="s">
        <v>1349</v>
      </c>
      <c r="C338" t="s">
        <v>1202</v>
      </c>
      <c r="D338" t="s">
        <v>159</v>
      </c>
      <c r="E338" t="s">
        <v>159</v>
      </c>
      <c r="F338">
        <v>7941</v>
      </c>
      <c r="G338" t="s">
        <v>703</v>
      </c>
      <c r="I338" t="s">
        <v>1205</v>
      </c>
      <c r="J338">
        <v>37.940482000000003</v>
      </c>
    </row>
    <row r="339" spans="1:10" x14ac:dyDescent="0.3">
      <c r="A339">
        <v>390</v>
      </c>
      <c r="B339" t="s">
        <v>1349</v>
      </c>
      <c r="C339" t="s">
        <v>1202</v>
      </c>
      <c r="D339" t="s">
        <v>159</v>
      </c>
      <c r="E339" t="s">
        <v>159</v>
      </c>
      <c r="F339">
        <v>7941</v>
      </c>
      <c r="G339" t="s">
        <v>701</v>
      </c>
      <c r="I339" t="s">
        <v>1205</v>
      </c>
      <c r="J339">
        <v>0.344329157</v>
      </c>
    </row>
    <row r="340" spans="1:10" x14ac:dyDescent="0.3">
      <c r="A340">
        <v>390</v>
      </c>
      <c r="B340" t="s">
        <v>1349</v>
      </c>
      <c r="C340" t="s">
        <v>1202</v>
      </c>
      <c r="D340" t="s">
        <v>159</v>
      </c>
      <c r="E340" t="s">
        <v>159</v>
      </c>
      <c r="F340">
        <v>7941</v>
      </c>
      <c r="G340" t="s">
        <v>691</v>
      </c>
      <c r="I340" t="s">
        <v>1205</v>
      </c>
      <c r="J340">
        <v>3.0678233019999999</v>
      </c>
    </row>
    <row r="341" spans="1:10" x14ac:dyDescent="0.3">
      <c r="A341">
        <v>390</v>
      </c>
      <c r="B341" t="s">
        <v>1349</v>
      </c>
      <c r="C341" t="s">
        <v>1202</v>
      </c>
      <c r="D341" t="s">
        <v>159</v>
      </c>
      <c r="E341" t="s">
        <v>159</v>
      </c>
      <c r="F341">
        <v>7941</v>
      </c>
      <c r="G341" t="s">
        <v>702</v>
      </c>
      <c r="I341" t="s">
        <v>1205</v>
      </c>
      <c r="J341">
        <v>1.375021099</v>
      </c>
    </row>
    <row r="342" spans="1:10" x14ac:dyDescent="0.3">
      <c r="A342">
        <v>390</v>
      </c>
      <c r="B342" t="s">
        <v>1349</v>
      </c>
      <c r="C342" t="s">
        <v>1202</v>
      </c>
      <c r="D342" t="s">
        <v>159</v>
      </c>
      <c r="E342" t="s">
        <v>159</v>
      </c>
      <c r="F342">
        <v>7941</v>
      </c>
      <c r="G342" t="s">
        <v>686</v>
      </c>
      <c r="H342" t="s">
        <v>1344</v>
      </c>
      <c r="I342" t="s">
        <v>1205</v>
      </c>
      <c r="J342">
        <v>274.16540250000003</v>
      </c>
    </row>
    <row r="343" spans="1:10" x14ac:dyDescent="0.3">
      <c r="A343">
        <v>390</v>
      </c>
      <c r="B343" t="s">
        <v>1349</v>
      </c>
      <c r="C343" t="s">
        <v>1202</v>
      </c>
      <c r="D343" t="s">
        <v>159</v>
      </c>
      <c r="E343" t="s">
        <v>159</v>
      </c>
      <c r="F343">
        <v>7941</v>
      </c>
      <c r="G343" t="s">
        <v>696</v>
      </c>
      <c r="I343" t="s">
        <v>1205</v>
      </c>
      <c r="J343">
        <v>898.03569119999997</v>
      </c>
    </row>
    <row r="344" spans="1:10" x14ac:dyDescent="0.3">
      <c r="A344">
        <v>391</v>
      </c>
      <c r="B344" t="s">
        <v>1350</v>
      </c>
      <c r="C344" t="s">
        <v>1202</v>
      </c>
      <c r="D344" t="s">
        <v>159</v>
      </c>
      <c r="E344" t="s">
        <v>159</v>
      </c>
      <c r="F344">
        <v>7942</v>
      </c>
      <c r="G344" t="s">
        <v>700</v>
      </c>
      <c r="I344" t="s">
        <v>1205</v>
      </c>
      <c r="J344">
        <v>5696.1220000000003</v>
      </c>
    </row>
    <row r="345" spans="1:10" x14ac:dyDescent="0.3">
      <c r="A345">
        <v>391</v>
      </c>
      <c r="B345" t="s">
        <v>1350</v>
      </c>
      <c r="C345" t="s">
        <v>1202</v>
      </c>
      <c r="D345" t="s">
        <v>159</v>
      </c>
      <c r="E345" t="s">
        <v>159</v>
      </c>
      <c r="F345">
        <v>7942</v>
      </c>
      <c r="G345" t="s">
        <v>698</v>
      </c>
      <c r="I345" t="s">
        <v>1205</v>
      </c>
      <c r="J345">
        <v>2539.547</v>
      </c>
    </row>
    <row r="346" spans="1:10" x14ac:dyDescent="0.3">
      <c r="A346">
        <v>391</v>
      </c>
      <c r="B346" t="s">
        <v>1350</v>
      </c>
      <c r="C346" t="s">
        <v>1202</v>
      </c>
      <c r="D346" t="s">
        <v>159</v>
      </c>
      <c r="E346" t="s">
        <v>159</v>
      </c>
      <c r="F346">
        <v>7942</v>
      </c>
      <c r="G346" t="s">
        <v>703</v>
      </c>
      <c r="I346" t="s">
        <v>1205</v>
      </c>
      <c r="J346">
        <v>1088.48</v>
      </c>
    </row>
    <row r="347" spans="1:10" x14ac:dyDescent="0.3">
      <c r="A347">
        <v>391</v>
      </c>
      <c r="B347" t="s">
        <v>1350</v>
      </c>
      <c r="C347" t="s">
        <v>1202</v>
      </c>
      <c r="D347" t="s">
        <v>159</v>
      </c>
      <c r="E347" t="s">
        <v>159</v>
      </c>
      <c r="F347">
        <v>7942</v>
      </c>
      <c r="G347" t="s">
        <v>701</v>
      </c>
      <c r="I347" t="s">
        <v>1205</v>
      </c>
      <c r="J347">
        <v>8945.2970000000005</v>
      </c>
    </row>
    <row r="348" spans="1:10" x14ac:dyDescent="0.3">
      <c r="A348">
        <v>391</v>
      </c>
      <c r="B348" t="s">
        <v>1350</v>
      </c>
      <c r="C348" t="s">
        <v>1202</v>
      </c>
      <c r="D348" t="s">
        <v>159</v>
      </c>
      <c r="E348" t="s">
        <v>159</v>
      </c>
      <c r="F348">
        <v>7942</v>
      </c>
      <c r="G348" t="s">
        <v>691</v>
      </c>
      <c r="I348" t="s">
        <v>1205</v>
      </c>
      <c r="J348">
        <v>23.117999999999999</v>
      </c>
    </row>
    <row r="349" spans="1:10" x14ac:dyDescent="0.3">
      <c r="A349">
        <v>391</v>
      </c>
      <c r="B349" t="s">
        <v>1350</v>
      </c>
      <c r="C349" t="s">
        <v>1202</v>
      </c>
      <c r="D349" t="s">
        <v>159</v>
      </c>
      <c r="E349" t="s">
        <v>159</v>
      </c>
      <c r="F349">
        <v>7942</v>
      </c>
      <c r="G349" t="s">
        <v>702</v>
      </c>
      <c r="H349" t="s">
        <v>1344</v>
      </c>
      <c r="I349" t="s">
        <v>1205</v>
      </c>
      <c r="J349">
        <v>0</v>
      </c>
    </row>
    <row r="350" spans="1:10" x14ac:dyDescent="0.3">
      <c r="A350">
        <v>391</v>
      </c>
      <c r="B350" t="s">
        <v>1350</v>
      </c>
      <c r="C350" t="s">
        <v>1202</v>
      </c>
      <c r="D350" t="s">
        <v>159</v>
      </c>
      <c r="E350" t="s">
        <v>159</v>
      </c>
      <c r="F350">
        <v>7942</v>
      </c>
      <c r="G350" t="s">
        <v>696</v>
      </c>
      <c r="I350" t="s">
        <v>1205</v>
      </c>
      <c r="J350">
        <v>8396.4709999999995</v>
      </c>
    </row>
    <row r="351" spans="1:10" x14ac:dyDescent="0.3">
      <c r="A351">
        <v>391</v>
      </c>
      <c r="B351" t="s">
        <v>1350</v>
      </c>
      <c r="C351" t="s">
        <v>1202</v>
      </c>
      <c r="D351" t="s">
        <v>159</v>
      </c>
      <c r="E351" t="s">
        <v>159</v>
      </c>
      <c r="F351">
        <v>7942</v>
      </c>
      <c r="G351" t="s">
        <v>686</v>
      </c>
      <c r="H351" t="s">
        <v>1346</v>
      </c>
      <c r="I351" t="s">
        <v>1205</v>
      </c>
      <c r="J351">
        <v>1692.3489999999999</v>
      </c>
    </row>
    <row r="352" spans="1:10" x14ac:dyDescent="0.3">
      <c r="A352">
        <v>392</v>
      </c>
      <c r="B352" t="s">
        <v>1351</v>
      </c>
      <c r="C352" t="s">
        <v>1202</v>
      </c>
      <c r="D352" t="s">
        <v>159</v>
      </c>
      <c r="E352" t="s">
        <v>159</v>
      </c>
      <c r="F352">
        <v>7943</v>
      </c>
      <c r="G352" t="s">
        <v>686</v>
      </c>
      <c r="H352" t="s">
        <v>1352</v>
      </c>
      <c r="I352" t="s">
        <v>1205</v>
      </c>
      <c r="J352">
        <v>900.23124900000005</v>
      </c>
    </row>
    <row r="353" spans="1:10" x14ac:dyDescent="0.3">
      <c r="A353">
        <v>392</v>
      </c>
      <c r="B353" t="s">
        <v>1351</v>
      </c>
      <c r="C353" t="s">
        <v>1202</v>
      </c>
      <c r="D353" t="s">
        <v>159</v>
      </c>
      <c r="E353" t="s">
        <v>159</v>
      </c>
      <c r="F353">
        <v>7943</v>
      </c>
      <c r="G353" t="s">
        <v>702</v>
      </c>
      <c r="H353" t="s">
        <v>1346</v>
      </c>
      <c r="I353" t="s">
        <v>1205</v>
      </c>
      <c r="J353">
        <v>0</v>
      </c>
    </row>
    <row r="354" spans="1:10" x14ac:dyDescent="0.3">
      <c r="A354">
        <v>392</v>
      </c>
      <c r="B354" t="s">
        <v>1351</v>
      </c>
      <c r="C354" t="s">
        <v>1202</v>
      </c>
      <c r="D354" t="s">
        <v>159</v>
      </c>
      <c r="E354" t="s">
        <v>159</v>
      </c>
      <c r="F354">
        <v>7943</v>
      </c>
      <c r="G354" t="s">
        <v>696</v>
      </c>
      <c r="I354" t="s">
        <v>1205</v>
      </c>
      <c r="J354">
        <v>6600.319348</v>
      </c>
    </row>
    <row r="355" spans="1:10" x14ac:dyDescent="0.3">
      <c r="A355">
        <v>392</v>
      </c>
      <c r="B355" t="s">
        <v>1351</v>
      </c>
      <c r="C355" t="s">
        <v>1202</v>
      </c>
      <c r="D355" t="s">
        <v>159</v>
      </c>
      <c r="E355" t="s">
        <v>159</v>
      </c>
      <c r="F355">
        <v>7943</v>
      </c>
      <c r="G355" t="s">
        <v>698</v>
      </c>
      <c r="I355" t="s">
        <v>1205</v>
      </c>
      <c r="J355">
        <v>842.96598140000003</v>
      </c>
    </row>
    <row r="356" spans="1:10" x14ac:dyDescent="0.3">
      <c r="A356">
        <v>392</v>
      </c>
      <c r="B356" t="s">
        <v>1351</v>
      </c>
      <c r="C356" t="s">
        <v>1202</v>
      </c>
      <c r="D356" t="s">
        <v>159</v>
      </c>
      <c r="E356" t="s">
        <v>159</v>
      </c>
      <c r="F356">
        <v>7943</v>
      </c>
      <c r="G356" t="s">
        <v>701</v>
      </c>
      <c r="I356" t="s">
        <v>1205</v>
      </c>
      <c r="J356">
        <v>884.75147230000005</v>
      </c>
    </row>
    <row r="357" spans="1:10" x14ac:dyDescent="0.3">
      <c r="A357">
        <v>392</v>
      </c>
      <c r="B357" t="s">
        <v>1351</v>
      </c>
      <c r="C357" t="s">
        <v>1202</v>
      </c>
      <c r="D357" t="s">
        <v>159</v>
      </c>
      <c r="E357" t="s">
        <v>159</v>
      </c>
      <c r="F357">
        <v>7943</v>
      </c>
      <c r="G357" t="s">
        <v>703</v>
      </c>
      <c r="I357" t="s">
        <v>1205</v>
      </c>
      <c r="J357">
        <v>1057.5082970000001</v>
      </c>
    </row>
    <row r="358" spans="1:10" x14ac:dyDescent="0.3">
      <c r="A358">
        <v>392</v>
      </c>
      <c r="B358" t="s">
        <v>1351</v>
      </c>
      <c r="C358" t="s">
        <v>1202</v>
      </c>
      <c r="D358" t="s">
        <v>159</v>
      </c>
      <c r="E358" t="s">
        <v>159</v>
      </c>
      <c r="F358">
        <v>7943</v>
      </c>
      <c r="G358" t="s">
        <v>700</v>
      </c>
      <c r="I358" t="s">
        <v>1205</v>
      </c>
      <c r="J358">
        <v>3934.5666329999999</v>
      </c>
    </row>
    <row r="359" spans="1:10" x14ac:dyDescent="0.3">
      <c r="A359">
        <v>392</v>
      </c>
      <c r="B359" t="s">
        <v>1351</v>
      </c>
      <c r="C359" t="s">
        <v>1202</v>
      </c>
      <c r="D359" t="s">
        <v>159</v>
      </c>
      <c r="E359" t="s">
        <v>159</v>
      </c>
      <c r="F359">
        <v>7943</v>
      </c>
      <c r="G359" t="s">
        <v>691</v>
      </c>
      <c r="H359" t="s">
        <v>1344</v>
      </c>
      <c r="I359" t="s">
        <v>1205</v>
      </c>
      <c r="J359">
        <v>9.6435119119999992</v>
      </c>
    </row>
    <row r="360" spans="1:10" x14ac:dyDescent="0.3">
      <c r="A360">
        <v>396</v>
      </c>
      <c r="B360" t="s">
        <v>1353</v>
      </c>
      <c r="C360" t="s">
        <v>1202</v>
      </c>
      <c r="D360" t="s">
        <v>159</v>
      </c>
      <c r="E360" t="s">
        <v>159</v>
      </c>
      <c r="F360">
        <v>7944</v>
      </c>
      <c r="G360" t="s">
        <v>686</v>
      </c>
      <c r="H360" t="s">
        <v>1344</v>
      </c>
      <c r="I360" t="s">
        <v>1205</v>
      </c>
      <c r="J360">
        <v>623.59199999999998</v>
      </c>
    </row>
    <row r="361" spans="1:10" x14ac:dyDescent="0.3">
      <c r="A361">
        <v>396</v>
      </c>
      <c r="B361" t="s">
        <v>1353</v>
      </c>
      <c r="C361" t="s">
        <v>1202</v>
      </c>
      <c r="D361" t="s">
        <v>159</v>
      </c>
      <c r="E361" t="s">
        <v>159</v>
      </c>
      <c r="F361">
        <v>7944</v>
      </c>
      <c r="G361" t="s">
        <v>702</v>
      </c>
      <c r="I361" t="s">
        <v>1205</v>
      </c>
      <c r="J361">
        <v>0.24099999999999999</v>
      </c>
    </row>
    <row r="362" spans="1:10" x14ac:dyDescent="0.3">
      <c r="A362">
        <v>396</v>
      </c>
      <c r="B362" t="s">
        <v>1353</v>
      </c>
      <c r="C362" t="s">
        <v>1202</v>
      </c>
      <c r="D362" t="s">
        <v>159</v>
      </c>
      <c r="E362" t="s">
        <v>159</v>
      </c>
      <c r="F362">
        <v>7944</v>
      </c>
      <c r="G362" t="s">
        <v>691</v>
      </c>
      <c r="I362" t="s">
        <v>1205</v>
      </c>
      <c r="J362">
        <v>11.85</v>
      </c>
    </row>
    <row r="363" spans="1:10" x14ac:dyDescent="0.3">
      <c r="A363">
        <v>396</v>
      </c>
      <c r="B363" t="s">
        <v>1353</v>
      </c>
      <c r="C363" t="s">
        <v>1202</v>
      </c>
      <c r="D363" t="s">
        <v>159</v>
      </c>
      <c r="E363" t="s">
        <v>159</v>
      </c>
      <c r="F363">
        <v>7944</v>
      </c>
      <c r="G363" t="s">
        <v>696</v>
      </c>
      <c r="I363" t="s">
        <v>1205</v>
      </c>
      <c r="J363">
        <v>5947.35</v>
      </c>
    </row>
    <row r="364" spans="1:10" x14ac:dyDescent="0.3">
      <c r="A364">
        <v>396</v>
      </c>
      <c r="B364" t="s">
        <v>1353</v>
      </c>
      <c r="C364" t="s">
        <v>1202</v>
      </c>
      <c r="D364" t="s">
        <v>159</v>
      </c>
      <c r="E364" t="s">
        <v>159</v>
      </c>
      <c r="F364">
        <v>7944</v>
      </c>
      <c r="G364" t="s">
        <v>703</v>
      </c>
      <c r="I364" t="s">
        <v>1205</v>
      </c>
      <c r="J364">
        <v>386.512</v>
      </c>
    </row>
    <row r="365" spans="1:10" x14ac:dyDescent="0.3">
      <c r="A365">
        <v>396</v>
      </c>
      <c r="B365" t="s">
        <v>1353</v>
      </c>
      <c r="C365" t="s">
        <v>1202</v>
      </c>
      <c r="D365" t="s">
        <v>159</v>
      </c>
      <c r="E365" t="s">
        <v>159</v>
      </c>
      <c r="F365">
        <v>7944</v>
      </c>
      <c r="G365" t="s">
        <v>700</v>
      </c>
      <c r="I365" t="s">
        <v>1205</v>
      </c>
      <c r="J365">
        <v>1261.7</v>
      </c>
    </row>
    <row r="366" spans="1:10" x14ac:dyDescent="0.3">
      <c r="A366">
        <v>396</v>
      </c>
      <c r="B366" t="s">
        <v>1353</v>
      </c>
      <c r="C366" t="s">
        <v>1202</v>
      </c>
      <c r="D366" t="s">
        <v>159</v>
      </c>
      <c r="E366" t="s">
        <v>159</v>
      </c>
      <c r="F366">
        <v>7944</v>
      </c>
      <c r="G366" t="s">
        <v>698</v>
      </c>
      <c r="I366" t="s">
        <v>1205</v>
      </c>
      <c r="J366">
        <v>2147.0709999999999</v>
      </c>
    </row>
    <row r="367" spans="1:10" x14ac:dyDescent="0.3">
      <c r="A367">
        <v>396</v>
      </c>
      <c r="B367" t="s">
        <v>1353</v>
      </c>
      <c r="C367" t="s">
        <v>1202</v>
      </c>
      <c r="D367" t="s">
        <v>159</v>
      </c>
      <c r="E367" t="s">
        <v>159</v>
      </c>
      <c r="F367">
        <v>7944</v>
      </c>
      <c r="G367" t="s">
        <v>701</v>
      </c>
      <c r="I367" t="s">
        <v>1205</v>
      </c>
      <c r="J367">
        <v>566.66700000000003</v>
      </c>
    </row>
    <row r="368" spans="1:10" x14ac:dyDescent="0.3">
      <c r="A368">
        <v>397</v>
      </c>
      <c r="B368" t="s">
        <v>1354</v>
      </c>
      <c r="C368" t="s">
        <v>1202</v>
      </c>
      <c r="D368" t="s">
        <v>159</v>
      </c>
      <c r="E368" t="s">
        <v>159</v>
      </c>
      <c r="F368">
        <v>7984</v>
      </c>
      <c r="G368" t="s">
        <v>696</v>
      </c>
      <c r="I368" t="s">
        <v>1205</v>
      </c>
      <c r="J368">
        <v>516.9</v>
      </c>
    </row>
    <row r="369" spans="1:10" x14ac:dyDescent="0.3">
      <c r="A369">
        <v>397</v>
      </c>
      <c r="B369" t="s">
        <v>1354</v>
      </c>
      <c r="C369" t="s">
        <v>1202</v>
      </c>
      <c r="D369" t="s">
        <v>159</v>
      </c>
      <c r="E369" t="s">
        <v>159</v>
      </c>
      <c r="F369">
        <v>7984</v>
      </c>
      <c r="G369" t="s">
        <v>686</v>
      </c>
      <c r="H369" t="s">
        <v>1346</v>
      </c>
      <c r="I369" t="s">
        <v>1205</v>
      </c>
      <c r="J369">
        <v>186.12200000000001</v>
      </c>
    </row>
    <row r="370" spans="1:10" x14ac:dyDescent="0.3">
      <c r="A370">
        <v>397</v>
      </c>
      <c r="B370" t="s">
        <v>1354</v>
      </c>
      <c r="C370" t="s">
        <v>1202</v>
      </c>
      <c r="D370" t="s">
        <v>159</v>
      </c>
      <c r="E370" t="s">
        <v>159</v>
      </c>
      <c r="F370">
        <v>7984</v>
      </c>
      <c r="G370" t="s">
        <v>698</v>
      </c>
      <c r="I370" t="s">
        <v>1205</v>
      </c>
      <c r="J370">
        <v>4.0650000000000004</v>
      </c>
    </row>
    <row r="371" spans="1:10" x14ac:dyDescent="0.3">
      <c r="A371">
        <v>397</v>
      </c>
      <c r="B371" t="s">
        <v>1354</v>
      </c>
      <c r="C371" t="s">
        <v>1202</v>
      </c>
      <c r="D371" t="s">
        <v>159</v>
      </c>
      <c r="E371" t="s">
        <v>159</v>
      </c>
      <c r="F371">
        <v>7984</v>
      </c>
      <c r="G371" t="s">
        <v>700</v>
      </c>
      <c r="I371" t="s">
        <v>1205</v>
      </c>
      <c r="J371">
        <v>56.542999999999999</v>
      </c>
    </row>
    <row r="372" spans="1:10" x14ac:dyDescent="0.3">
      <c r="A372">
        <v>397</v>
      </c>
      <c r="B372" t="s">
        <v>1354</v>
      </c>
      <c r="C372" t="s">
        <v>1202</v>
      </c>
      <c r="D372" t="s">
        <v>159</v>
      </c>
      <c r="E372" t="s">
        <v>159</v>
      </c>
      <c r="F372">
        <v>7984</v>
      </c>
      <c r="G372" t="s">
        <v>703</v>
      </c>
      <c r="I372" t="s">
        <v>1205</v>
      </c>
      <c r="J372">
        <v>15.35</v>
      </c>
    </row>
    <row r="373" spans="1:10" x14ac:dyDescent="0.3">
      <c r="A373">
        <v>397</v>
      </c>
      <c r="B373" t="s">
        <v>1354</v>
      </c>
      <c r="C373" t="s">
        <v>1202</v>
      </c>
      <c r="D373" t="s">
        <v>159</v>
      </c>
      <c r="E373" t="s">
        <v>159</v>
      </c>
      <c r="F373">
        <v>7984</v>
      </c>
      <c r="G373" t="s">
        <v>701</v>
      </c>
      <c r="I373" t="s">
        <v>1205</v>
      </c>
      <c r="J373">
        <v>0</v>
      </c>
    </row>
    <row r="374" spans="1:10" x14ac:dyDescent="0.3">
      <c r="A374">
        <v>397</v>
      </c>
      <c r="B374" t="s">
        <v>1354</v>
      </c>
      <c r="C374" t="s">
        <v>1202</v>
      </c>
      <c r="D374" t="s">
        <v>159</v>
      </c>
      <c r="E374" t="s">
        <v>159</v>
      </c>
      <c r="F374">
        <v>7984</v>
      </c>
      <c r="G374" t="s">
        <v>691</v>
      </c>
      <c r="I374" t="s">
        <v>1205</v>
      </c>
      <c r="J374">
        <v>0.39500000000000002</v>
      </c>
    </row>
    <row r="375" spans="1:10" x14ac:dyDescent="0.3">
      <c r="A375">
        <v>397</v>
      </c>
      <c r="B375" t="s">
        <v>1354</v>
      </c>
      <c r="C375" t="s">
        <v>1202</v>
      </c>
      <c r="D375" t="s">
        <v>159</v>
      </c>
      <c r="E375" t="s">
        <v>159</v>
      </c>
      <c r="F375">
        <v>7984</v>
      </c>
      <c r="G375" t="s">
        <v>702</v>
      </c>
      <c r="H375" t="s">
        <v>1344</v>
      </c>
      <c r="I375" t="s">
        <v>1205</v>
      </c>
      <c r="J375">
        <v>0</v>
      </c>
    </row>
    <row r="376" spans="1:10" x14ac:dyDescent="0.3">
      <c r="A376">
        <v>398</v>
      </c>
      <c r="B376" t="s">
        <v>1355</v>
      </c>
      <c r="C376" t="s">
        <v>1202</v>
      </c>
      <c r="D376" t="s">
        <v>159</v>
      </c>
      <c r="E376" t="s">
        <v>159</v>
      </c>
      <c r="F376">
        <v>7946</v>
      </c>
      <c r="G376" t="s">
        <v>686</v>
      </c>
      <c r="H376" t="s">
        <v>1346</v>
      </c>
      <c r="I376" t="s">
        <v>1205</v>
      </c>
      <c r="J376">
        <v>147</v>
      </c>
    </row>
    <row r="377" spans="1:10" x14ac:dyDescent="0.3">
      <c r="A377">
        <v>398</v>
      </c>
      <c r="B377" t="s">
        <v>1355</v>
      </c>
      <c r="C377" t="s">
        <v>1202</v>
      </c>
      <c r="D377" t="s">
        <v>159</v>
      </c>
      <c r="E377" t="s">
        <v>159</v>
      </c>
      <c r="F377">
        <v>7946</v>
      </c>
      <c r="G377" t="s">
        <v>698</v>
      </c>
      <c r="I377" t="s">
        <v>1205</v>
      </c>
      <c r="J377">
        <v>83</v>
      </c>
    </row>
    <row r="378" spans="1:10" x14ac:dyDescent="0.3">
      <c r="A378">
        <v>398</v>
      </c>
      <c r="B378" t="s">
        <v>1355</v>
      </c>
      <c r="C378" t="s">
        <v>1202</v>
      </c>
      <c r="D378" t="s">
        <v>159</v>
      </c>
      <c r="E378" t="s">
        <v>159</v>
      </c>
      <c r="F378">
        <v>7946</v>
      </c>
      <c r="G378" t="s">
        <v>700</v>
      </c>
      <c r="I378" t="s">
        <v>1205</v>
      </c>
      <c r="J378">
        <v>432</v>
      </c>
    </row>
    <row r="379" spans="1:10" x14ac:dyDescent="0.3">
      <c r="A379">
        <v>398</v>
      </c>
      <c r="B379" t="s">
        <v>1355</v>
      </c>
      <c r="C379" t="s">
        <v>1202</v>
      </c>
      <c r="D379" t="s">
        <v>159</v>
      </c>
      <c r="E379" t="s">
        <v>159</v>
      </c>
      <c r="F379">
        <v>7946</v>
      </c>
      <c r="G379" t="s">
        <v>703</v>
      </c>
      <c r="I379" t="s">
        <v>1205</v>
      </c>
      <c r="J379">
        <v>136</v>
      </c>
    </row>
    <row r="380" spans="1:10" x14ac:dyDescent="0.3">
      <c r="A380">
        <v>398</v>
      </c>
      <c r="B380" t="s">
        <v>1355</v>
      </c>
      <c r="C380" t="s">
        <v>1202</v>
      </c>
      <c r="D380" t="s">
        <v>159</v>
      </c>
      <c r="E380" t="s">
        <v>159</v>
      </c>
      <c r="F380">
        <v>7946</v>
      </c>
      <c r="G380" t="s">
        <v>701</v>
      </c>
      <c r="I380" t="s">
        <v>1205</v>
      </c>
      <c r="J380">
        <v>77</v>
      </c>
    </row>
    <row r="381" spans="1:10" x14ac:dyDescent="0.3">
      <c r="A381">
        <v>398</v>
      </c>
      <c r="B381" t="s">
        <v>1355</v>
      </c>
      <c r="C381" t="s">
        <v>1202</v>
      </c>
      <c r="D381" t="s">
        <v>159</v>
      </c>
      <c r="E381" t="s">
        <v>159</v>
      </c>
      <c r="F381">
        <v>7946</v>
      </c>
      <c r="G381" t="s">
        <v>691</v>
      </c>
      <c r="I381" t="s">
        <v>1205</v>
      </c>
      <c r="J381">
        <v>43</v>
      </c>
    </row>
    <row r="382" spans="1:10" x14ac:dyDescent="0.3">
      <c r="A382">
        <v>398</v>
      </c>
      <c r="B382" t="s">
        <v>1355</v>
      </c>
      <c r="C382" t="s">
        <v>1202</v>
      </c>
      <c r="D382" t="s">
        <v>159</v>
      </c>
      <c r="E382" t="s">
        <v>159</v>
      </c>
      <c r="F382">
        <v>7946</v>
      </c>
      <c r="G382" t="s">
        <v>702</v>
      </c>
      <c r="H382" t="s">
        <v>1344</v>
      </c>
      <c r="I382" t="s">
        <v>1205</v>
      </c>
      <c r="J382">
        <v>0</v>
      </c>
    </row>
    <row r="383" spans="1:10" x14ac:dyDescent="0.3">
      <c r="A383">
        <v>398</v>
      </c>
      <c r="B383" t="s">
        <v>1355</v>
      </c>
      <c r="C383" t="s">
        <v>1202</v>
      </c>
      <c r="D383" t="s">
        <v>159</v>
      </c>
      <c r="E383" t="s">
        <v>159</v>
      </c>
      <c r="F383">
        <v>7946</v>
      </c>
      <c r="G383" t="s">
        <v>696</v>
      </c>
      <c r="I383" t="s">
        <v>1205</v>
      </c>
      <c r="J383">
        <v>757</v>
      </c>
    </row>
    <row r="384" spans="1:10" x14ac:dyDescent="0.3">
      <c r="A384">
        <v>401</v>
      </c>
      <c r="B384" t="s">
        <v>1356</v>
      </c>
      <c r="C384" t="s">
        <v>1202</v>
      </c>
      <c r="D384" t="s">
        <v>159</v>
      </c>
      <c r="E384" t="s">
        <v>159</v>
      </c>
      <c r="F384">
        <v>7947</v>
      </c>
      <c r="G384" t="s">
        <v>696</v>
      </c>
      <c r="I384" t="s">
        <v>1205</v>
      </c>
      <c r="J384">
        <v>6580</v>
      </c>
    </row>
    <row r="385" spans="1:10" x14ac:dyDescent="0.3">
      <c r="A385">
        <v>401</v>
      </c>
      <c r="B385" t="s">
        <v>1356</v>
      </c>
      <c r="C385" t="s">
        <v>1202</v>
      </c>
      <c r="D385" t="s">
        <v>159</v>
      </c>
      <c r="E385" t="s">
        <v>159</v>
      </c>
      <c r="F385">
        <v>7947</v>
      </c>
      <c r="G385" t="s">
        <v>686</v>
      </c>
      <c r="H385" t="s">
        <v>1352</v>
      </c>
      <c r="I385" t="s">
        <v>1205</v>
      </c>
      <c r="J385">
        <v>501</v>
      </c>
    </row>
    <row r="386" spans="1:10" x14ac:dyDescent="0.3">
      <c r="A386">
        <v>401</v>
      </c>
      <c r="B386" t="s">
        <v>1356</v>
      </c>
      <c r="C386" t="s">
        <v>1202</v>
      </c>
      <c r="D386" t="s">
        <v>159</v>
      </c>
      <c r="E386" t="s">
        <v>159</v>
      </c>
      <c r="F386">
        <v>7947</v>
      </c>
      <c r="G386" t="s">
        <v>698</v>
      </c>
      <c r="I386" t="s">
        <v>1205</v>
      </c>
      <c r="J386">
        <v>439</v>
      </c>
    </row>
    <row r="387" spans="1:10" x14ac:dyDescent="0.3">
      <c r="A387">
        <v>401</v>
      </c>
      <c r="B387" t="s">
        <v>1356</v>
      </c>
      <c r="C387" t="s">
        <v>1202</v>
      </c>
      <c r="D387" t="s">
        <v>159</v>
      </c>
      <c r="E387" t="s">
        <v>159</v>
      </c>
      <c r="F387">
        <v>7947</v>
      </c>
      <c r="G387" t="s">
        <v>700</v>
      </c>
      <c r="I387" t="s">
        <v>1205</v>
      </c>
      <c r="J387">
        <v>1291</v>
      </c>
    </row>
    <row r="388" spans="1:10" x14ac:dyDescent="0.3">
      <c r="A388">
        <v>401</v>
      </c>
      <c r="B388" t="s">
        <v>1356</v>
      </c>
      <c r="C388" t="s">
        <v>1202</v>
      </c>
      <c r="D388" t="s">
        <v>159</v>
      </c>
      <c r="E388" t="s">
        <v>159</v>
      </c>
      <c r="F388">
        <v>7947</v>
      </c>
      <c r="G388" t="s">
        <v>703</v>
      </c>
      <c r="I388" t="s">
        <v>1205</v>
      </c>
      <c r="J388">
        <v>743</v>
      </c>
    </row>
    <row r="389" spans="1:10" x14ac:dyDescent="0.3">
      <c r="A389">
        <v>401</v>
      </c>
      <c r="B389" t="s">
        <v>1356</v>
      </c>
      <c r="C389" t="s">
        <v>1202</v>
      </c>
      <c r="D389" t="s">
        <v>159</v>
      </c>
      <c r="E389" t="s">
        <v>159</v>
      </c>
      <c r="F389">
        <v>7947</v>
      </c>
      <c r="G389" t="s">
        <v>701</v>
      </c>
      <c r="I389" t="s">
        <v>1205</v>
      </c>
      <c r="J389">
        <v>0</v>
      </c>
    </row>
    <row r="390" spans="1:10" x14ac:dyDescent="0.3">
      <c r="A390">
        <v>401</v>
      </c>
      <c r="B390" t="s">
        <v>1356</v>
      </c>
      <c r="C390" t="s">
        <v>1202</v>
      </c>
      <c r="D390" t="s">
        <v>159</v>
      </c>
      <c r="E390" t="s">
        <v>159</v>
      </c>
      <c r="F390">
        <v>7947</v>
      </c>
      <c r="G390" t="s">
        <v>691</v>
      </c>
      <c r="H390" t="s">
        <v>1344</v>
      </c>
      <c r="I390" t="s">
        <v>1205</v>
      </c>
      <c r="J390">
        <v>11</v>
      </c>
    </row>
    <row r="391" spans="1:10" x14ac:dyDescent="0.3">
      <c r="A391">
        <v>401</v>
      </c>
      <c r="B391" t="s">
        <v>1356</v>
      </c>
      <c r="C391" t="s">
        <v>1202</v>
      </c>
      <c r="D391" t="s">
        <v>159</v>
      </c>
      <c r="E391" t="s">
        <v>159</v>
      </c>
      <c r="F391">
        <v>7947</v>
      </c>
      <c r="G391" t="s">
        <v>702</v>
      </c>
      <c r="H391" t="s">
        <v>1346</v>
      </c>
      <c r="I391" t="s">
        <v>1205</v>
      </c>
      <c r="J391">
        <v>6</v>
      </c>
    </row>
    <row r="392" spans="1:10" x14ac:dyDescent="0.3">
      <c r="A392">
        <v>402</v>
      </c>
      <c r="B392" t="s">
        <v>1357</v>
      </c>
      <c r="C392" t="s">
        <v>1202</v>
      </c>
      <c r="D392" t="s">
        <v>159</v>
      </c>
      <c r="E392" t="s">
        <v>159</v>
      </c>
      <c r="F392">
        <v>7962</v>
      </c>
      <c r="G392" t="s">
        <v>686</v>
      </c>
      <c r="H392" t="s">
        <v>1346</v>
      </c>
      <c r="I392" t="s">
        <v>1205</v>
      </c>
      <c r="J392">
        <v>846</v>
      </c>
    </row>
    <row r="393" spans="1:10" x14ac:dyDescent="0.3">
      <c r="A393">
        <v>402</v>
      </c>
      <c r="B393" t="s">
        <v>1357</v>
      </c>
      <c r="C393" t="s">
        <v>1202</v>
      </c>
      <c r="D393" t="s">
        <v>159</v>
      </c>
      <c r="E393" t="s">
        <v>159</v>
      </c>
      <c r="F393">
        <v>7962</v>
      </c>
      <c r="G393" t="s">
        <v>698</v>
      </c>
      <c r="I393" t="s">
        <v>1205</v>
      </c>
      <c r="J393">
        <v>685</v>
      </c>
    </row>
    <row r="394" spans="1:10" x14ac:dyDescent="0.3">
      <c r="A394">
        <v>402</v>
      </c>
      <c r="B394" t="s">
        <v>1357</v>
      </c>
      <c r="C394" t="s">
        <v>1202</v>
      </c>
      <c r="D394" t="s">
        <v>159</v>
      </c>
      <c r="E394" t="s">
        <v>159</v>
      </c>
      <c r="F394">
        <v>7962</v>
      </c>
      <c r="G394" t="s">
        <v>700</v>
      </c>
      <c r="I394" t="s">
        <v>1205</v>
      </c>
      <c r="J394">
        <v>2335</v>
      </c>
    </row>
    <row r="395" spans="1:10" x14ac:dyDescent="0.3">
      <c r="A395">
        <v>402</v>
      </c>
      <c r="B395" t="s">
        <v>1357</v>
      </c>
      <c r="C395" t="s">
        <v>1202</v>
      </c>
      <c r="D395" t="s">
        <v>159</v>
      </c>
      <c r="E395" t="s">
        <v>159</v>
      </c>
      <c r="F395">
        <v>7962</v>
      </c>
      <c r="G395" t="s">
        <v>703</v>
      </c>
      <c r="I395" t="s">
        <v>1205</v>
      </c>
      <c r="J395">
        <v>496</v>
      </c>
    </row>
    <row r="396" spans="1:10" x14ac:dyDescent="0.3">
      <c r="A396">
        <v>402</v>
      </c>
      <c r="B396" t="s">
        <v>1357</v>
      </c>
      <c r="C396" t="s">
        <v>1202</v>
      </c>
      <c r="D396" t="s">
        <v>159</v>
      </c>
      <c r="E396" t="s">
        <v>159</v>
      </c>
      <c r="F396">
        <v>7962</v>
      </c>
      <c r="G396" t="s">
        <v>701</v>
      </c>
      <c r="I396" t="s">
        <v>1205</v>
      </c>
      <c r="J396">
        <v>5</v>
      </c>
    </row>
    <row r="397" spans="1:10" x14ac:dyDescent="0.3">
      <c r="A397">
        <v>402</v>
      </c>
      <c r="B397" t="s">
        <v>1357</v>
      </c>
      <c r="C397" t="s">
        <v>1202</v>
      </c>
      <c r="D397" t="s">
        <v>159</v>
      </c>
      <c r="E397" t="s">
        <v>159</v>
      </c>
      <c r="F397">
        <v>7962</v>
      </c>
      <c r="G397" t="s">
        <v>691</v>
      </c>
      <c r="I397" t="s">
        <v>1205</v>
      </c>
      <c r="J397">
        <v>11</v>
      </c>
    </row>
    <row r="398" spans="1:10" x14ac:dyDescent="0.3">
      <c r="A398">
        <v>402</v>
      </c>
      <c r="B398" t="s">
        <v>1357</v>
      </c>
      <c r="C398" t="s">
        <v>1202</v>
      </c>
      <c r="D398" t="s">
        <v>159</v>
      </c>
      <c r="E398" t="s">
        <v>159</v>
      </c>
      <c r="F398">
        <v>7962</v>
      </c>
      <c r="G398" t="s">
        <v>702</v>
      </c>
      <c r="H398" t="s">
        <v>1344</v>
      </c>
      <c r="I398" t="s">
        <v>1205</v>
      </c>
      <c r="J398">
        <v>0</v>
      </c>
    </row>
    <row r="399" spans="1:10" x14ac:dyDescent="0.3">
      <c r="A399">
        <v>402</v>
      </c>
      <c r="B399" t="s">
        <v>1357</v>
      </c>
      <c r="C399" t="s">
        <v>1202</v>
      </c>
      <c r="D399" t="s">
        <v>159</v>
      </c>
      <c r="E399" t="s">
        <v>159</v>
      </c>
      <c r="F399">
        <v>7962</v>
      </c>
      <c r="G399" t="s">
        <v>696</v>
      </c>
      <c r="I399" t="s">
        <v>1205</v>
      </c>
      <c r="J399">
        <v>8645</v>
      </c>
    </row>
    <row r="400" spans="1:10" x14ac:dyDescent="0.3">
      <c r="A400">
        <v>405</v>
      </c>
      <c r="B400" t="s">
        <v>1358</v>
      </c>
      <c r="C400" t="s">
        <v>1202</v>
      </c>
      <c r="D400" t="s">
        <v>159</v>
      </c>
      <c r="E400" t="s">
        <v>159</v>
      </c>
      <c r="F400">
        <v>7949</v>
      </c>
      <c r="G400" t="s">
        <v>700</v>
      </c>
      <c r="I400" t="s">
        <v>1205</v>
      </c>
      <c r="J400">
        <v>430.95800000000003</v>
      </c>
    </row>
    <row r="401" spans="1:10" x14ac:dyDescent="0.3">
      <c r="A401">
        <v>405</v>
      </c>
      <c r="B401" t="s">
        <v>1358</v>
      </c>
      <c r="C401" t="s">
        <v>1202</v>
      </c>
      <c r="D401" t="s">
        <v>159</v>
      </c>
      <c r="E401" t="s">
        <v>159</v>
      </c>
      <c r="F401">
        <v>7949</v>
      </c>
      <c r="G401" t="s">
        <v>703</v>
      </c>
      <c r="I401" t="s">
        <v>1205</v>
      </c>
      <c r="J401">
        <v>209.095</v>
      </c>
    </row>
    <row r="402" spans="1:10" x14ac:dyDescent="0.3">
      <c r="A402">
        <v>405</v>
      </c>
      <c r="B402" t="s">
        <v>1358</v>
      </c>
      <c r="C402" t="s">
        <v>1202</v>
      </c>
      <c r="D402" t="s">
        <v>159</v>
      </c>
      <c r="E402" t="s">
        <v>159</v>
      </c>
      <c r="F402">
        <v>7949</v>
      </c>
      <c r="G402" t="s">
        <v>701</v>
      </c>
      <c r="I402" t="s">
        <v>1205</v>
      </c>
      <c r="J402">
        <v>1.4970000000000001</v>
      </c>
    </row>
    <row r="403" spans="1:10" x14ac:dyDescent="0.3">
      <c r="A403">
        <v>405</v>
      </c>
      <c r="B403" t="s">
        <v>1358</v>
      </c>
      <c r="C403" t="s">
        <v>1202</v>
      </c>
      <c r="D403" t="s">
        <v>159</v>
      </c>
      <c r="E403" t="s">
        <v>159</v>
      </c>
      <c r="F403">
        <v>7949</v>
      </c>
      <c r="G403" t="s">
        <v>696</v>
      </c>
      <c r="I403" t="s">
        <v>1205</v>
      </c>
      <c r="J403">
        <v>952.30899999999997</v>
      </c>
    </row>
    <row r="404" spans="1:10" x14ac:dyDescent="0.3">
      <c r="A404">
        <v>405</v>
      </c>
      <c r="B404" t="s">
        <v>1358</v>
      </c>
      <c r="C404" t="s">
        <v>1202</v>
      </c>
      <c r="D404" t="s">
        <v>159</v>
      </c>
      <c r="E404" t="s">
        <v>159</v>
      </c>
      <c r="F404">
        <v>7949</v>
      </c>
      <c r="G404" t="s">
        <v>702</v>
      </c>
      <c r="H404" t="s">
        <v>1346</v>
      </c>
      <c r="I404" t="s">
        <v>1205</v>
      </c>
      <c r="J404">
        <v>0</v>
      </c>
    </row>
    <row r="405" spans="1:10" x14ac:dyDescent="0.3">
      <c r="A405">
        <v>405</v>
      </c>
      <c r="B405" t="s">
        <v>1358</v>
      </c>
      <c r="C405" t="s">
        <v>1202</v>
      </c>
      <c r="D405" t="s">
        <v>159</v>
      </c>
      <c r="E405" t="s">
        <v>159</v>
      </c>
      <c r="F405">
        <v>7949</v>
      </c>
      <c r="G405" t="s">
        <v>686</v>
      </c>
      <c r="H405" t="s">
        <v>1352</v>
      </c>
      <c r="I405" t="s">
        <v>1205</v>
      </c>
      <c r="J405">
        <v>106.63800000000001</v>
      </c>
    </row>
    <row r="406" spans="1:10" x14ac:dyDescent="0.3">
      <c r="A406">
        <v>405</v>
      </c>
      <c r="B406" t="s">
        <v>1358</v>
      </c>
      <c r="C406" t="s">
        <v>1202</v>
      </c>
      <c r="D406" t="s">
        <v>159</v>
      </c>
      <c r="E406" t="s">
        <v>159</v>
      </c>
      <c r="F406">
        <v>7949</v>
      </c>
      <c r="G406" t="s">
        <v>691</v>
      </c>
      <c r="H406" t="s">
        <v>1344</v>
      </c>
      <c r="I406" t="s">
        <v>1205</v>
      </c>
      <c r="J406">
        <v>20.010000000000002</v>
      </c>
    </row>
    <row r="407" spans="1:10" x14ac:dyDescent="0.3">
      <c r="A407">
        <v>405</v>
      </c>
      <c r="B407" t="s">
        <v>1358</v>
      </c>
      <c r="C407" t="s">
        <v>1202</v>
      </c>
      <c r="D407" t="s">
        <v>159</v>
      </c>
      <c r="E407" t="s">
        <v>159</v>
      </c>
      <c r="F407">
        <v>7949</v>
      </c>
      <c r="G407" t="s">
        <v>698</v>
      </c>
      <c r="I407" t="s">
        <v>1205</v>
      </c>
      <c r="J407">
        <v>291.83</v>
      </c>
    </row>
    <row r="408" spans="1:10" x14ac:dyDescent="0.3">
      <c r="A408">
        <v>420</v>
      </c>
      <c r="B408" t="s">
        <v>1359</v>
      </c>
      <c r="C408" t="s">
        <v>1202</v>
      </c>
      <c r="D408" t="s">
        <v>159</v>
      </c>
      <c r="E408" t="s">
        <v>159</v>
      </c>
      <c r="F408">
        <v>7950</v>
      </c>
      <c r="G408" t="s">
        <v>696</v>
      </c>
      <c r="I408" t="s">
        <v>1205</v>
      </c>
      <c r="J408">
        <v>8262.982</v>
      </c>
    </row>
    <row r="409" spans="1:10" x14ac:dyDescent="0.3">
      <c r="A409">
        <v>420</v>
      </c>
      <c r="B409" t="s">
        <v>1359</v>
      </c>
      <c r="C409" t="s">
        <v>1202</v>
      </c>
      <c r="D409" t="s">
        <v>159</v>
      </c>
      <c r="E409" t="s">
        <v>159</v>
      </c>
      <c r="F409">
        <v>7950</v>
      </c>
      <c r="G409" t="s">
        <v>698</v>
      </c>
      <c r="I409" t="s">
        <v>1205</v>
      </c>
      <c r="J409">
        <v>2155.3969999999999</v>
      </c>
    </row>
    <row r="410" spans="1:10" x14ac:dyDescent="0.3">
      <c r="A410">
        <v>420</v>
      </c>
      <c r="B410" t="s">
        <v>1359</v>
      </c>
      <c r="C410" t="s">
        <v>1202</v>
      </c>
      <c r="D410" t="s">
        <v>159</v>
      </c>
      <c r="E410" t="s">
        <v>159</v>
      </c>
      <c r="F410">
        <v>7950</v>
      </c>
      <c r="G410" t="s">
        <v>700</v>
      </c>
      <c r="I410" t="s">
        <v>1205</v>
      </c>
      <c r="J410">
        <v>2466.7600000000002</v>
      </c>
    </row>
    <row r="411" spans="1:10" x14ac:dyDescent="0.3">
      <c r="A411">
        <v>420</v>
      </c>
      <c r="B411" t="s">
        <v>1359</v>
      </c>
      <c r="C411" t="s">
        <v>1202</v>
      </c>
      <c r="D411" t="s">
        <v>159</v>
      </c>
      <c r="E411" t="s">
        <v>159</v>
      </c>
      <c r="F411">
        <v>7950</v>
      </c>
      <c r="G411" t="s">
        <v>703</v>
      </c>
      <c r="I411" t="s">
        <v>1205</v>
      </c>
      <c r="J411">
        <v>723.51400000000001</v>
      </c>
    </row>
    <row r="412" spans="1:10" x14ac:dyDescent="0.3">
      <c r="A412">
        <v>420</v>
      </c>
      <c r="B412" t="s">
        <v>1359</v>
      </c>
      <c r="C412" t="s">
        <v>1202</v>
      </c>
      <c r="D412" t="s">
        <v>159</v>
      </c>
      <c r="E412" t="s">
        <v>159</v>
      </c>
      <c r="F412">
        <v>7950</v>
      </c>
      <c r="G412" t="s">
        <v>701</v>
      </c>
      <c r="I412" t="s">
        <v>1205</v>
      </c>
      <c r="J412">
        <v>30.937000000000001</v>
      </c>
    </row>
    <row r="413" spans="1:10" x14ac:dyDescent="0.3">
      <c r="A413">
        <v>420</v>
      </c>
      <c r="B413" t="s">
        <v>1359</v>
      </c>
      <c r="C413" t="s">
        <v>1202</v>
      </c>
      <c r="D413" t="s">
        <v>159</v>
      </c>
      <c r="E413" t="s">
        <v>159</v>
      </c>
      <c r="F413">
        <v>7950</v>
      </c>
      <c r="G413" t="s">
        <v>691</v>
      </c>
      <c r="I413" t="s">
        <v>1205</v>
      </c>
      <c r="J413">
        <v>102.874</v>
      </c>
    </row>
    <row r="414" spans="1:10" x14ac:dyDescent="0.3">
      <c r="A414">
        <v>420</v>
      </c>
      <c r="B414" t="s">
        <v>1359</v>
      </c>
      <c r="C414" t="s">
        <v>1202</v>
      </c>
      <c r="D414" t="s">
        <v>159</v>
      </c>
      <c r="E414" t="s">
        <v>159</v>
      </c>
      <c r="F414">
        <v>7950</v>
      </c>
      <c r="G414" t="s">
        <v>686</v>
      </c>
      <c r="H414" t="s">
        <v>1346</v>
      </c>
      <c r="I414" t="s">
        <v>1205</v>
      </c>
      <c r="J414">
        <v>820.14200000000005</v>
      </c>
    </row>
    <row r="415" spans="1:10" x14ac:dyDescent="0.3">
      <c r="A415">
        <v>420</v>
      </c>
      <c r="B415" t="s">
        <v>1359</v>
      </c>
      <c r="C415" t="s">
        <v>1202</v>
      </c>
      <c r="D415" t="s">
        <v>159</v>
      </c>
      <c r="E415" t="s">
        <v>159</v>
      </c>
      <c r="F415">
        <v>7950</v>
      </c>
      <c r="G415" t="s">
        <v>702</v>
      </c>
      <c r="H415" t="s">
        <v>1344</v>
      </c>
      <c r="I415" t="s">
        <v>1205</v>
      </c>
      <c r="J415">
        <v>0</v>
      </c>
    </row>
    <row r="416" spans="1:10" x14ac:dyDescent="0.3">
      <c r="A416">
        <v>412</v>
      </c>
      <c r="B416" t="s">
        <v>1360</v>
      </c>
      <c r="C416" t="s">
        <v>1202</v>
      </c>
      <c r="D416" t="s">
        <v>159</v>
      </c>
      <c r="E416" t="s">
        <v>159</v>
      </c>
      <c r="F416">
        <v>7951</v>
      </c>
      <c r="G416" t="s">
        <v>686</v>
      </c>
      <c r="H416" t="s">
        <v>1352</v>
      </c>
      <c r="I416" t="s">
        <v>1205</v>
      </c>
      <c r="J416">
        <v>216.7</v>
      </c>
    </row>
    <row r="417" spans="1:10" x14ac:dyDescent="0.3">
      <c r="A417">
        <v>412</v>
      </c>
      <c r="B417" t="s">
        <v>1360</v>
      </c>
      <c r="C417" t="s">
        <v>1202</v>
      </c>
      <c r="D417" t="s">
        <v>159</v>
      </c>
      <c r="E417" t="s">
        <v>159</v>
      </c>
      <c r="F417">
        <v>7951</v>
      </c>
      <c r="G417" t="s">
        <v>702</v>
      </c>
      <c r="H417" t="s">
        <v>1346</v>
      </c>
      <c r="I417" t="s">
        <v>1205</v>
      </c>
      <c r="J417">
        <v>0</v>
      </c>
    </row>
    <row r="418" spans="1:10" x14ac:dyDescent="0.3">
      <c r="A418">
        <v>412</v>
      </c>
      <c r="B418" t="s">
        <v>1360</v>
      </c>
      <c r="C418" t="s">
        <v>1202</v>
      </c>
      <c r="D418" t="s">
        <v>159</v>
      </c>
      <c r="E418" t="s">
        <v>159</v>
      </c>
      <c r="F418">
        <v>7951</v>
      </c>
      <c r="G418" t="s">
        <v>691</v>
      </c>
      <c r="H418" t="s">
        <v>1344</v>
      </c>
      <c r="I418" t="s">
        <v>1205</v>
      </c>
      <c r="J418">
        <v>15.529</v>
      </c>
    </row>
    <row r="419" spans="1:10" x14ac:dyDescent="0.3">
      <c r="A419">
        <v>412</v>
      </c>
      <c r="B419" t="s">
        <v>1360</v>
      </c>
      <c r="C419" t="s">
        <v>1202</v>
      </c>
      <c r="D419" t="s">
        <v>159</v>
      </c>
      <c r="E419" t="s">
        <v>159</v>
      </c>
      <c r="F419">
        <v>7951</v>
      </c>
      <c r="G419" t="s">
        <v>696</v>
      </c>
      <c r="I419" t="s">
        <v>1205</v>
      </c>
      <c r="J419">
        <v>782.48800000000006</v>
      </c>
    </row>
    <row r="420" spans="1:10" x14ac:dyDescent="0.3">
      <c r="A420">
        <v>412</v>
      </c>
      <c r="B420" t="s">
        <v>1360</v>
      </c>
      <c r="C420" t="s">
        <v>1202</v>
      </c>
      <c r="D420" t="s">
        <v>159</v>
      </c>
      <c r="E420" t="s">
        <v>159</v>
      </c>
      <c r="F420">
        <v>7951</v>
      </c>
      <c r="G420" t="s">
        <v>703</v>
      </c>
      <c r="I420" t="s">
        <v>1205</v>
      </c>
      <c r="J420">
        <v>252.49700000000001</v>
      </c>
    </row>
    <row r="421" spans="1:10" x14ac:dyDescent="0.3">
      <c r="A421">
        <v>412</v>
      </c>
      <c r="B421" t="s">
        <v>1360</v>
      </c>
      <c r="C421" t="s">
        <v>1202</v>
      </c>
      <c r="D421" t="s">
        <v>159</v>
      </c>
      <c r="E421" t="s">
        <v>159</v>
      </c>
      <c r="F421">
        <v>7951</v>
      </c>
      <c r="G421" t="s">
        <v>700</v>
      </c>
      <c r="I421" t="s">
        <v>1205</v>
      </c>
      <c r="J421">
        <v>753.51800000000003</v>
      </c>
    </row>
    <row r="422" spans="1:10" x14ac:dyDescent="0.3">
      <c r="A422">
        <v>412</v>
      </c>
      <c r="B422" t="s">
        <v>1360</v>
      </c>
      <c r="C422" t="s">
        <v>1202</v>
      </c>
      <c r="D422" t="s">
        <v>159</v>
      </c>
      <c r="E422" t="s">
        <v>159</v>
      </c>
      <c r="F422">
        <v>7951</v>
      </c>
      <c r="G422" t="s">
        <v>698</v>
      </c>
      <c r="I422" t="s">
        <v>1205</v>
      </c>
      <c r="J422">
        <v>158.68799999999999</v>
      </c>
    </row>
    <row r="423" spans="1:10" x14ac:dyDescent="0.3">
      <c r="A423">
        <v>412</v>
      </c>
      <c r="B423" t="s">
        <v>1360</v>
      </c>
      <c r="C423" t="s">
        <v>1202</v>
      </c>
      <c r="D423" t="s">
        <v>159</v>
      </c>
      <c r="E423" t="s">
        <v>159</v>
      </c>
      <c r="F423">
        <v>7951</v>
      </c>
      <c r="G423" t="s">
        <v>701</v>
      </c>
      <c r="I423" t="s">
        <v>1205</v>
      </c>
      <c r="J423">
        <v>573.12199999999996</v>
      </c>
    </row>
    <row r="424" spans="1:10" x14ac:dyDescent="0.3">
      <c r="A424">
        <v>413</v>
      </c>
      <c r="B424" t="s">
        <v>1361</v>
      </c>
      <c r="C424" t="s">
        <v>1202</v>
      </c>
      <c r="D424" t="s">
        <v>159</v>
      </c>
      <c r="E424" t="s">
        <v>159</v>
      </c>
      <c r="F424">
        <v>7952</v>
      </c>
      <c r="G424" t="s">
        <v>686</v>
      </c>
      <c r="H424" t="s">
        <v>1346</v>
      </c>
      <c r="I424" t="s">
        <v>1205</v>
      </c>
      <c r="J424">
        <v>1246</v>
      </c>
    </row>
    <row r="425" spans="1:10" x14ac:dyDescent="0.3">
      <c r="A425">
        <v>413</v>
      </c>
      <c r="B425" t="s">
        <v>1361</v>
      </c>
      <c r="C425" t="s">
        <v>1202</v>
      </c>
      <c r="D425" t="s">
        <v>159</v>
      </c>
      <c r="E425" t="s">
        <v>159</v>
      </c>
      <c r="F425">
        <v>7952</v>
      </c>
      <c r="G425" t="s">
        <v>702</v>
      </c>
      <c r="I425" t="s">
        <v>1205</v>
      </c>
      <c r="J425">
        <v>1</v>
      </c>
    </row>
    <row r="426" spans="1:10" x14ac:dyDescent="0.3">
      <c r="A426">
        <v>413</v>
      </c>
      <c r="B426" t="s">
        <v>1361</v>
      </c>
      <c r="C426" t="s">
        <v>1202</v>
      </c>
      <c r="D426" t="s">
        <v>159</v>
      </c>
      <c r="E426" t="s">
        <v>159</v>
      </c>
      <c r="F426">
        <v>7952</v>
      </c>
      <c r="G426" t="s">
        <v>691</v>
      </c>
      <c r="H426" t="s">
        <v>1344</v>
      </c>
      <c r="I426" t="s">
        <v>1205</v>
      </c>
      <c r="J426">
        <v>24</v>
      </c>
    </row>
    <row r="427" spans="1:10" x14ac:dyDescent="0.3">
      <c r="A427">
        <v>413</v>
      </c>
      <c r="B427" t="s">
        <v>1361</v>
      </c>
      <c r="C427" t="s">
        <v>1202</v>
      </c>
      <c r="D427" t="s">
        <v>159</v>
      </c>
      <c r="E427" t="s">
        <v>159</v>
      </c>
      <c r="F427">
        <v>7952</v>
      </c>
      <c r="G427" t="s">
        <v>696</v>
      </c>
      <c r="I427" t="s">
        <v>1205</v>
      </c>
      <c r="J427">
        <v>13366</v>
      </c>
    </row>
    <row r="428" spans="1:10" x14ac:dyDescent="0.3">
      <c r="A428">
        <v>413</v>
      </c>
      <c r="B428" t="s">
        <v>1361</v>
      </c>
      <c r="C428" t="s">
        <v>1202</v>
      </c>
      <c r="D428" t="s">
        <v>159</v>
      </c>
      <c r="E428" t="s">
        <v>159</v>
      </c>
      <c r="F428">
        <v>7952</v>
      </c>
      <c r="G428" t="s">
        <v>703</v>
      </c>
      <c r="I428" t="s">
        <v>1205</v>
      </c>
      <c r="J428">
        <v>675</v>
      </c>
    </row>
    <row r="429" spans="1:10" x14ac:dyDescent="0.3">
      <c r="A429">
        <v>413</v>
      </c>
      <c r="B429" t="s">
        <v>1361</v>
      </c>
      <c r="C429" t="s">
        <v>1202</v>
      </c>
      <c r="D429" t="s">
        <v>159</v>
      </c>
      <c r="E429" t="s">
        <v>159</v>
      </c>
      <c r="F429">
        <v>7952</v>
      </c>
      <c r="G429" t="s">
        <v>700</v>
      </c>
      <c r="I429" t="s">
        <v>1205</v>
      </c>
      <c r="J429">
        <v>2137</v>
      </c>
    </row>
    <row r="430" spans="1:10" x14ac:dyDescent="0.3">
      <c r="A430">
        <v>413</v>
      </c>
      <c r="B430" t="s">
        <v>1361</v>
      </c>
      <c r="C430" t="s">
        <v>1202</v>
      </c>
      <c r="D430" t="s">
        <v>159</v>
      </c>
      <c r="E430" t="s">
        <v>159</v>
      </c>
      <c r="F430">
        <v>7952</v>
      </c>
      <c r="G430" t="s">
        <v>698</v>
      </c>
      <c r="I430" t="s">
        <v>1205</v>
      </c>
      <c r="J430">
        <v>618</v>
      </c>
    </row>
    <row r="431" spans="1:10" x14ac:dyDescent="0.3">
      <c r="A431">
        <v>413</v>
      </c>
      <c r="B431" t="s">
        <v>1361</v>
      </c>
      <c r="C431" t="s">
        <v>1202</v>
      </c>
      <c r="D431" t="s">
        <v>159</v>
      </c>
      <c r="E431" t="s">
        <v>159</v>
      </c>
      <c r="F431">
        <v>7952</v>
      </c>
      <c r="G431" t="s">
        <v>701</v>
      </c>
      <c r="I431" t="s">
        <v>1205</v>
      </c>
      <c r="J431">
        <v>0</v>
      </c>
    </row>
    <row r="432" spans="1:10" x14ac:dyDescent="0.3">
      <c r="A432">
        <v>416</v>
      </c>
      <c r="B432" t="s">
        <v>1362</v>
      </c>
      <c r="C432" t="s">
        <v>1202</v>
      </c>
      <c r="D432" t="s">
        <v>159</v>
      </c>
      <c r="E432" t="s">
        <v>159</v>
      </c>
      <c r="F432">
        <v>7953</v>
      </c>
      <c r="G432" t="s">
        <v>686</v>
      </c>
      <c r="H432" t="s">
        <v>1344</v>
      </c>
      <c r="I432" t="s">
        <v>1205</v>
      </c>
      <c r="J432">
        <v>86.177999999999997</v>
      </c>
    </row>
    <row r="433" spans="1:10" x14ac:dyDescent="0.3">
      <c r="A433">
        <v>416</v>
      </c>
      <c r="B433" t="s">
        <v>1362</v>
      </c>
      <c r="C433" t="s">
        <v>1202</v>
      </c>
      <c r="D433" t="s">
        <v>159</v>
      </c>
      <c r="E433" t="s">
        <v>159</v>
      </c>
      <c r="F433">
        <v>7953</v>
      </c>
      <c r="G433" t="s">
        <v>702</v>
      </c>
      <c r="I433" t="s">
        <v>1205</v>
      </c>
      <c r="J433">
        <v>0</v>
      </c>
    </row>
    <row r="434" spans="1:10" x14ac:dyDescent="0.3">
      <c r="A434">
        <v>416</v>
      </c>
      <c r="B434" t="s">
        <v>1362</v>
      </c>
      <c r="C434" t="s">
        <v>1202</v>
      </c>
      <c r="D434" t="s">
        <v>159</v>
      </c>
      <c r="E434" t="s">
        <v>159</v>
      </c>
      <c r="F434">
        <v>7953</v>
      </c>
      <c r="G434" t="s">
        <v>691</v>
      </c>
      <c r="I434" t="s">
        <v>1205</v>
      </c>
      <c r="J434">
        <v>3.4000000000000002E-2</v>
      </c>
    </row>
    <row r="435" spans="1:10" x14ac:dyDescent="0.3">
      <c r="A435">
        <v>416</v>
      </c>
      <c r="B435" t="s">
        <v>1362</v>
      </c>
      <c r="C435" t="s">
        <v>1202</v>
      </c>
      <c r="D435" t="s">
        <v>159</v>
      </c>
      <c r="E435" t="s">
        <v>159</v>
      </c>
      <c r="F435">
        <v>7953</v>
      </c>
      <c r="G435" t="s">
        <v>696</v>
      </c>
      <c r="I435" t="s">
        <v>1205</v>
      </c>
      <c r="J435">
        <v>238.20699999999999</v>
      </c>
    </row>
    <row r="436" spans="1:10" x14ac:dyDescent="0.3">
      <c r="A436">
        <v>416</v>
      </c>
      <c r="B436" t="s">
        <v>1362</v>
      </c>
      <c r="C436" t="s">
        <v>1202</v>
      </c>
      <c r="D436" t="s">
        <v>159</v>
      </c>
      <c r="E436" t="s">
        <v>159</v>
      </c>
      <c r="F436">
        <v>7953</v>
      </c>
      <c r="G436" t="s">
        <v>703</v>
      </c>
      <c r="I436" t="s">
        <v>1205</v>
      </c>
      <c r="J436">
        <v>8.7620000000000005</v>
      </c>
    </row>
    <row r="437" spans="1:10" x14ac:dyDescent="0.3">
      <c r="A437">
        <v>416</v>
      </c>
      <c r="B437" t="s">
        <v>1362</v>
      </c>
      <c r="C437" t="s">
        <v>1202</v>
      </c>
      <c r="D437" t="s">
        <v>159</v>
      </c>
      <c r="E437" t="s">
        <v>159</v>
      </c>
      <c r="F437">
        <v>7953</v>
      </c>
      <c r="G437" t="s">
        <v>700</v>
      </c>
      <c r="I437" t="s">
        <v>1205</v>
      </c>
      <c r="J437">
        <v>15.906000000000001</v>
      </c>
    </row>
    <row r="438" spans="1:10" x14ac:dyDescent="0.3">
      <c r="A438">
        <v>416</v>
      </c>
      <c r="B438" t="s">
        <v>1362</v>
      </c>
      <c r="C438" t="s">
        <v>1202</v>
      </c>
      <c r="D438" t="s">
        <v>159</v>
      </c>
      <c r="E438" t="s">
        <v>159</v>
      </c>
      <c r="F438">
        <v>7953</v>
      </c>
      <c r="G438" t="s">
        <v>698</v>
      </c>
      <c r="I438" t="s">
        <v>1205</v>
      </c>
      <c r="J438">
        <v>31.687000000000001</v>
      </c>
    </row>
    <row r="439" spans="1:10" x14ac:dyDescent="0.3">
      <c r="A439">
        <v>416</v>
      </c>
      <c r="B439" t="s">
        <v>1362</v>
      </c>
      <c r="C439" t="s">
        <v>1202</v>
      </c>
      <c r="D439" t="s">
        <v>159</v>
      </c>
      <c r="E439" t="s">
        <v>159</v>
      </c>
      <c r="F439">
        <v>7953</v>
      </c>
      <c r="G439" t="s">
        <v>701</v>
      </c>
      <c r="I439" t="s">
        <v>1205</v>
      </c>
      <c r="J439">
        <v>0</v>
      </c>
    </row>
    <row r="440" spans="1:10" x14ac:dyDescent="0.3">
      <c r="A440">
        <v>417</v>
      </c>
      <c r="B440" t="s">
        <v>1363</v>
      </c>
      <c r="C440" t="s">
        <v>1202</v>
      </c>
      <c r="D440" t="s">
        <v>159</v>
      </c>
      <c r="E440" t="s">
        <v>159</v>
      </c>
      <c r="F440">
        <v>7954</v>
      </c>
      <c r="G440" t="s">
        <v>702</v>
      </c>
      <c r="I440" t="s">
        <v>1205</v>
      </c>
      <c r="J440">
        <v>1.143</v>
      </c>
    </row>
    <row r="441" spans="1:10" x14ac:dyDescent="0.3">
      <c r="A441">
        <v>417</v>
      </c>
      <c r="B441" t="s">
        <v>1363</v>
      </c>
      <c r="C441" t="s">
        <v>1202</v>
      </c>
      <c r="D441" t="s">
        <v>159</v>
      </c>
      <c r="E441" t="s">
        <v>159</v>
      </c>
      <c r="F441">
        <v>7954</v>
      </c>
      <c r="G441" t="s">
        <v>698</v>
      </c>
      <c r="I441" t="s">
        <v>1205</v>
      </c>
      <c r="J441">
        <v>1421.6780000000001</v>
      </c>
    </row>
    <row r="442" spans="1:10" x14ac:dyDescent="0.3">
      <c r="A442">
        <v>417</v>
      </c>
      <c r="B442" t="s">
        <v>1363</v>
      </c>
      <c r="C442" t="s">
        <v>1202</v>
      </c>
      <c r="D442" t="s">
        <v>159</v>
      </c>
      <c r="E442" t="s">
        <v>159</v>
      </c>
      <c r="F442">
        <v>7954</v>
      </c>
      <c r="G442" t="s">
        <v>696</v>
      </c>
      <c r="I442" t="s">
        <v>1205</v>
      </c>
      <c r="J442">
        <v>7153.6130000000003</v>
      </c>
    </row>
    <row r="443" spans="1:10" x14ac:dyDescent="0.3">
      <c r="A443">
        <v>417</v>
      </c>
      <c r="B443" t="s">
        <v>1363</v>
      </c>
      <c r="C443" t="s">
        <v>1202</v>
      </c>
      <c r="D443" t="s">
        <v>159</v>
      </c>
      <c r="E443" t="s">
        <v>159</v>
      </c>
      <c r="F443">
        <v>7954</v>
      </c>
      <c r="G443" t="s">
        <v>686</v>
      </c>
      <c r="H443" t="s">
        <v>1344</v>
      </c>
      <c r="I443" t="s">
        <v>1205</v>
      </c>
      <c r="J443">
        <v>971.03800000000001</v>
      </c>
    </row>
    <row r="444" spans="1:10" x14ac:dyDescent="0.3">
      <c r="A444">
        <v>417</v>
      </c>
      <c r="B444" t="s">
        <v>1363</v>
      </c>
      <c r="C444" t="s">
        <v>1202</v>
      </c>
      <c r="D444" t="s">
        <v>159</v>
      </c>
      <c r="E444" t="s">
        <v>159</v>
      </c>
      <c r="F444">
        <v>7954</v>
      </c>
      <c r="G444" t="s">
        <v>700</v>
      </c>
      <c r="I444" t="s">
        <v>1205</v>
      </c>
      <c r="J444">
        <v>4339.6790000000001</v>
      </c>
    </row>
    <row r="445" spans="1:10" x14ac:dyDescent="0.3">
      <c r="A445">
        <v>417</v>
      </c>
      <c r="B445" t="s">
        <v>1363</v>
      </c>
      <c r="C445" t="s">
        <v>1202</v>
      </c>
      <c r="D445" t="s">
        <v>159</v>
      </c>
      <c r="E445" t="s">
        <v>159</v>
      </c>
      <c r="F445">
        <v>7954</v>
      </c>
      <c r="G445" t="s">
        <v>703</v>
      </c>
      <c r="I445" t="s">
        <v>1205</v>
      </c>
      <c r="J445">
        <v>870.2</v>
      </c>
    </row>
    <row r="446" spans="1:10" x14ac:dyDescent="0.3">
      <c r="A446">
        <v>417</v>
      </c>
      <c r="B446" t="s">
        <v>1363</v>
      </c>
      <c r="C446" t="s">
        <v>1202</v>
      </c>
      <c r="D446" t="s">
        <v>159</v>
      </c>
      <c r="E446" t="s">
        <v>159</v>
      </c>
      <c r="F446">
        <v>7954</v>
      </c>
      <c r="G446" t="s">
        <v>701</v>
      </c>
      <c r="I446" t="s">
        <v>1205</v>
      </c>
      <c r="J446">
        <v>1688.971</v>
      </c>
    </row>
    <row r="447" spans="1:10" x14ac:dyDescent="0.3">
      <c r="A447">
        <v>417</v>
      </c>
      <c r="B447" t="s">
        <v>1363</v>
      </c>
      <c r="C447" t="s">
        <v>1202</v>
      </c>
      <c r="D447" t="s">
        <v>159</v>
      </c>
      <c r="E447" t="s">
        <v>159</v>
      </c>
      <c r="F447">
        <v>7954</v>
      </c>
      <c r="G447" t="s">
        <v>691</v>
      </c>
      <c r="I447" t="s">
        <v>1205</v>
      </c>
      <c r="J447">
        <v>20.757999999999999</v>
      </c>
    </row>
    <row r="448" spans="1:10" x14ac:dyDescent="0.3">
      <c r="A448">
        <v>421</v>
      </c>
      <c r="B448" t="s">
        <v>1364</v>
      </c>
      <c r="C448" t="s">
        <v>1202</v>
      </c>
      <c r="D448" t="s">
        <v>159</v>
      </c>
      <c r="E448" t="s">
        <v>159</v>
      </c>
      <c r="F448">
        <v>7955</v>
      </c>
      <c r="G448" t="s">
        <v>691</v>
      </c>
      <c r="I448" t="s">
        <v>1205</v>
      </c>
      <c r="J448">
        <v>5.1349999999999998</v>
      </c>
    </row>
    <row r="449" spans="1:10" x14ac:dyDescent="0.3">
      <c r="A449">
        <v>421</v>
      </c>
      <c r="B449" t="s">
        <v>1364</v>
      </c>
      <c r="C449" t="s">
        <v>1202</v>
      </c>
      <c r="D449" t="s">
        <v>159</v>
      </c>
      <c r="E449" t="s">
        <v>159</v>
      </c>
      <c r="F449">
        <v>7955</v>
      </c>
      <c r="G449" t="s">
        <v>702</v>
      </c>
      <c r="H449" t="s">
        <v>1344</v>
      </c>
      <c r="I449" t="s">
        <v>1205</v>
      </c>
      <c r="J449">
        <v>0</v>
      </c>
    </row>
    <row r="450" spans="1:10" x14ac:dyDescent="0.3">
      <c r="A450">
        <v>421</v>
      </c>
      <c r="B450" t="s">
        <v>1364</v>
      </c>
      <c r="C450" t="s">
        <v>1202</v>
      </c>
      <c r="D450" t="s">
        <v>159</v>
      </c>
      <c r="E450" t="s">
        <v>159</v>
      </c>
      <c r="F450">
        <v>7955</v>
      </c>
      <c r="G450" t="s">
        <v>686</v>
      </c>
      <c r="H450" t="s">
        <v>1346</v>
      </c>
      <c r="I450" t="s">
        <v>1205</v>
      </c>
      <c r="J450">
        <v>769.79899999999998</v>
      </c>
    </row>
    <row r="451" spans="1:10" x14ac:dyDescent="0.3">
      <c r="A451">
        <v>421</v>
      </c>
      <c r="B451" t="s">
        <v>1364</v>
      </c>
      <c r="C451" t="s">
        <v>1202</v>
      </c>
      <c r="D451" t="s">
        <v>159</v>
      </c>
      <c r="E451" t="s">
        <v>159</v>
      </c>
      <c r="F451">
        <v>7955</v>
      </c>
      <c r="G451" t="s">
        <v>701</v>
      </c>
      <c r="I451" t="s">
        <v>1205</v>
      </c>
      <c r="J451">
        <v>37.710999999999999</v>
      </c>
    </row>
    <row r="452" spans="1:10" x14ac:dyDescent="0.3">
      <c r="A452">
        <v>421</v>
      </c>
      <c r="B452" t="s">
        <v>1364</v>
      </c>
      <c r="C452" t="s">
        <v>1202</v>
      </c>
      <c r="D452" t="s">
        <v>159</v>
      </c>
      <c r="E452" t="s">
        <v>159</v>
      </c>
      <c r="F452">
        <v>7955</v>
      </c>
      <c r="G452" t="s">
        <v>703</v>
      </c>
      <c r="I452" t="s">
        <v>1205</v>
      </c>
      <c r="J452">
        <v>232.88399999999999</v>
      </c>
    </row>
    <row r="453" spans="1:10" x14ac:dyDescent="0.3">
      <c r="A453">
        <v>421</v>
      </c>
      <c r="B453" t="s">
        <v>1364</v>
      </c>
      <c r="C453" t="s">
        <v>1202</v>
      </c>
      <c r="D453" t="s">
        <v>159</v>
      </c>
      <c r="E453" t="s">
        <v>159</v>
      </c>
      <c r="F453">
        <v>7955</v>
      </c>
      <c r="G453" t="s">
        <v>700</v>
      </c>
      <c r="I453" t="s">
        <v>1205</v>
      </c>
      <c r="J453">
        <v>464.11399999999998</v>
      </c>
    </row>
    <row r="454" spans="1:10" x14ac:dyDescent="0.3">
      <c r="A454">
        <v>421</v>
      </c>
      <c r="B454" t="s">
        <v>1364</v>
      </c>
      <c r="C454" t="s">
        <v>1202</v>
      </c>
      <c r="D454" t="s">
        <v>159</v>
      </c>
      <c r="E454" t="s">
        <v>159</v>
      </c>
      <c r="F454">
        <v>7955</v>
      </c>
      <c r="G454" t="s">
        <v>696</v>
      </c>
      <c r="I454" t="s">
        <v>1205</v>
      </c>
      <c r="J454">
        <v>2759.9360000000001</v>
      </c>
    </row>
    <row r="455" spans="1:10" x14ac:dyDescent="0.3">
      <c r="A455">
        <v>421</v>
      </c>
      <c r="B455" t="s">
        <v>1364</v>
      </c>
      <c r="C455" t="s">
        <v>1202</v>
      </c>
      <c r="D455" t="s">
        <v>159</v>
      </c>
      <c r="E455" t="s">
        <v>159</v>
      </c>
      <c r="F455">
        <v>7955</v>
      </c>
      <c r="G455" t="s">
        <v>698</v>
      </c>
      <c r="I455" t="s">
        <v>1205</v>
      </c>
      <c r="J455">
        <v>322.13400000000001</v>
      </c>
    </row>
    <row r="456" spans="1:10" x14ac:dyDescent="0.3">
      <c r="A456">
        <v>422</v>
      </c>
      <c r="B456" t="s">
        <v>1365</v>
      </c>
      <c r="C456" t="s">
        <v>1202</v>
      </c>
      <c r="D456" t="s">
        <v>159</v>
      </c>
      <c r="E456" t="s">
        <v>159</v>
      </c>
      <c r="F456">
        <v>7956</v>
      </c>
      <c r="G456" t="s">
        <v>696</v>
      </c>
      <c r="I456" t="s">
        <v>1205</v>
      </c>
      <c r="J456">
        <v>2681.5320000000002</v>
      </c>
    </row>
    <row r="457" spans="1:10" x14ac:dyDescent="0.3">
      <c r="A457">
        <v>422</v>
      </c>
      <c r="B457" t="s">
        <v>1365</v>
      </c>
      <c r="C457" t="s">
        <v>1202</v>
      </c>
      <c r="D457" t="s">
        <v>159</v>
      </c>
      <c r="E457" t="s">
        <v>159</v>
      </c>
      <c r="F457">
        <v>7956</v>
      </c>
      <c r="G457" t="s">
        <v>703</v>
      </c>
      <c r="I457" t="s">
        <v>1205</v>
      </c>
      <c r="J457">
        <v>295.34500000000003</v>
      </c>
    </row>
    <row r="458" spans="1:10" x14ac:dyDescent="0.3">
      <c r="A458">
        <v>422</v>
      </c>
      <c r="B458" t="s">
        <v>1365</v>
      </c>
      <c r="C458" t="s">
        <v>1202</v>
      </c>
      <c r="D458" t="s">
        <v>159</v>
      </c>
      <c r="E458" t="s">
        <v>159</v>
      </c>
      <c r="F458">
        <v>7956</v>
      </c>
      <c r="G458" t="s">
        <v>700</v>
      </c>
      <c r="I458" t="s">
        <v>1205</v>
      </c>
      <c r="J458">
        <v>2840.3209999999999</v>
      </c>
    </row>
    <row r="459" spans="1:10" x14ac:dyDescent="0.3">
      <c r="A459">
        <v>422</v>
      </c>
      <c r="B459" t="s">
        <v>1365</v>
      </c>
      <c r="C459" t="s">
        <v>1202</v>
      </c>
      <c r="D459" t="s">
        <v>159</v>
      </c>
      <c r="E459" t="s">
        <v>159</v>
      </c>
      <c r="F459">
        <v>7956</v>
      </c>
      <c r="G459" t="s">
        <v>698</v>
      </c>
      <c r="I459" t="s">
        <v>1205</v>
      </c>
      <c r="J459">
        <v>395.95100000000002</v>
      </c>
    </row>
    <row r="460" spans="1:10" x14ac:dyDescent="0.3">
      <c r="A460">
        <v>422</v>
      </c>
      <c r="B460" t="s">
        <v>1365</v>
      </c>
      <c r="C460" t="s">
        <v>1202</v>
      </c>
      <c r="D460" t="s">
        <v>159</v>
      </c>
      <c r="E460" t="s">
        <v>159</v>
      </c>
      <c r="F460">
        <v>7956</v>
      </c>
      <c r="G460" t="s">
        <v>701</v>
      </c>
      <c r="I460" t="s">
        <v>1205</v>
      </c>
      <c r="J460">
        <v>504.839</v>
      </c>
    </row>
    <row r="461" spans="1:10" x14ac:dyDescent="0.3">
      <c r="A461">
        <v>422</v>
      </c>
      <c r="B461" t="s">
        <v>1365</v>
      </c>
      <c r="C461" t="s">
        <v>1202</v>
      </c>
      <c r="D461" t="s">
        <v>159</v>
      </c>
      <c r="E461" t="s">
        <v>159</v>
      </c>
      <c r="F461">
        <v>7956</v>
      </c>
      <c r="G461" t="s">
        <v>691</v>
      </c>
      <c r="H461" t="s">
        <v>1344</v>
      </c>
      <c r="I461" t="s">
        <v>1205</v>
      </c>
      <c r="J461">
        <v>37</v>
      </c>
    </row>
    <row r="462" spans="1:10" x14ac:dyDescent="0.3">
      <c r="A462">
        <v>422</v>
      </c>
      <c r="B462" t="s">
        <v>1365</v>
      </c>
      <c r="C462" t="s">
        <v>1202</v>
      </c>
      <c r="D462" t="s">
        <v>159</v>
      </c>
      <c r="E462" t="s">
        <v>159</v>
      </c>
      <c r="F462">
        <v>7956</v>
      </c>
      <c r="G462" t="s">
        <v>702</v>
      </c>
      <c r="H462" t="s">
        <v>1346</v>
      </c>
      <c r="I462" t="s">
        <v>1205</v>
      </c>
      <c r="J462">
        <v>0</v>
      </c>
    </row>
    <row r="463" spans="1:10" x14ac:dyDescent="0.3">
      <c r="A463">
        <v>422</v>
      </c>
      <c r="B463" t="s">
        <v>1365</v>
      </c>
      <c r="C463" t="s">
        <v>1202</v>
      </c>
      <c r="D463" t="s">
        <v>159</v>
      </c>
      <c r="E463" t="s">
        <v>159</v>
      </c>
      <c r="F463">
        <v>7956</v>
      </c>
      <c r="G463" t="s">
        <v>686</v>
      </c>
      <c r="H463" t="s">
        <v>1352</v>
      </c>
      <c r="I463" t="s">
        <v>1205</v>
      </c>
      <c r="J463">
        <v>181.18899999999999</v>
      </c>
    </row>
    <row r="464" spans="1:10" x14ac:dyDescent="0.3">
      <c r="A464">
        <v>424</v>
      </c>
      <c r="B464" t="s">
        <v>1366</v>
      </c>
      <c r="C464" t="s">
        <v>1202</v>
      </c>
      <c r="D464" t="s">
        <v>159</v>
      </c>
      <c r="E464" t="s">
        <v>159</v>
      </c>
      <c r="F464">
        <v>7957</v>
      </c>
      <c r="G464" t="s">
        <v>691</v>
      </c>
      <c r="I464" t="s">
        <v>1205</v>
      </c>
      <c r="J464">
        <v>14</v>
      </c>
    </row>
    <row r="465" spans="1:10" x14ac:dyDescent="0.3">
      <c r="A465">
        <v>424</v>
      </c>
      <c r="B465" t="s">
        <v>1366</v>
      </c>
      <c r="C465" t="s">
        <v>1202</v>
      </c>
      <c r="D465" t="s">
        <v>159</v>
      </c>
      <c r="E465" t="s">
        <v>159</v>
      </c>
      <c r="F465">
        <v>7957</v>
      </c>
      <c r="G465" t="s">
        <v>702</v>
      </c>
      <c r="I465" t="s">
        <v>1205</v>
      </c>
      <c r="J465">
        <v>77</v>
      </c>
    </row>
    <row r="466" spans="1:10" x14ac:dyDescent="0.3">
      <c r="A466">
        <v>424</v>
      </c>
      <c r="B466" t="s">
        <v>1366</v>
      </c>
      <c r="C466" t="s">
        <v>1202</v>
      </c>
      <c r="D466" t="s">
        <v>159</v>
      </c>
      <c r="E466" t="s">
        <v>159</v>
      </c>
      <c r="F466">
        <v>7957</v>
      </c>
      <c r="G466" t="s">
        <v>686</v>
      </c>
      <c r="H466" t="s">
        <v>1344</v>
      </c>
      <c r="I466" t="s">
        <v>1205</v>
      </c>
      <c r="J466">
        <v>1399</v>
      </c>
    </row>
    <row r="467" spans="1:10" x14ac:dyDescent="0.3">
      <c r="A467">
        <v>424</v>
      </c>
      <c r="B467" t="s">
        <v>1366</v>
      </c>
      <c r="C467" t="s">
        <v>1202</v>
      </c>
      <c r="D467" t="s">
        <v>159</v>
      </c>
      <c r="E467" t="s">
        <v>159</v>
      </c>
      <c r="F467">
        <v>7957</v>
      </c>
      <c r="G467" t="s">
        <v>701</v>
      </c>
      <c r="I467" t="s">
        <v>1205</v>
      </c>
      <c r="J467">
        <v>1626</v>
      </c>
    </row>
    <row r="468" spans="1:10" x14ac:dyDescent="0.3">
      <c r="A468">
        <v>424</v>
      </c>
      <c r="B468" t="s">
        <v>1366</v>
      </c>
      <c r="C468" t="s">
        <v>1202</v>
      </c>
      <c r="D468" t="s">
        <v>159</v>
      </c>
      <c r="E468" t="s">
        <v>159</v>
      </c>
      <c r="F468">
        <v>7957</v>
      </c>
      <c r="G468" t="s">
        <v>703</v>
      </c>
      <c r="I468" t="s">
        <v>1205</v>
      </c>
      <c r="J468">
        <v>2133</v>
      </c>
    </row>
    <row r="469" spans="1:10" x14ac:dyDescent="0.3">
      <c r="A469">
        <v>424</v>
      </c>
      <c r="B469" t="s">
        <v>1366</v>
      </c>
      <c r="C469" t="s">
        <v>1202</v>
      </c>
      <c r="D469" t="s">
        <v>159</v>
      </c>
      <c r="E469" t="s">
        <v>159</v>
      </c>
      <c r="F469">
        <v>7957</v>
      </c>
      <c r="G469" t="s">
        <v>700</v>
      </c>
      <c r="I469" t="s">
        <v>1205</v>
      </c>
      <c r="J469">
        <v>5019</v>
      </c>
    </row>
    <row r="470" spans="1:10" x14ac:dyDescent="0.3">
      <c r="A470">
        <v>424</v>
      </c>
      <c r="B470" t="s">
        <v>1366</v>
      </c>
      <c r="C470" t="s">
        <v>1202</v>
      </c>
      <c r="D470" t="s">
        <v>159</v>
      </c>
      <c r="E470" t="s">
        <v>159</v>
      </c>
      <c r="F470">
        <v>7957</v>
      </c>
      <c r="G470" t="s">
        <v>698</v>
      </c>
      <c r="I470" t="s">
        <v>1205</v>
      </c>
      <c r="J470">
        <v>1545</v>
      </c>
    </row>
    <row r="471" spans="1:10" x14ac:dyDescent="0.3">
      <c r="A471">
        <v>424</v>
      </c>
      <c r="B471" t="s">
        <v>1366</v>
      </c>
      <c r="C471" t="s">
        <v>1202</v>
      </c>
      <c r="D471" t="s">
        <v>159</v>
      </c>
      <c r="E471" t="s">
        <v>159</v>
      </c>
      <c r="F471">
        <v>7957</v>
      </c>
      <c r="G471" t="s">
        <v>696</v>
      </c>
      <c r="I471" t="s">
        <v>1205</v>
      </c>
      <c r="J471">
        <v>12293</v>
      </c>
    </row>
    <row r="472" spans="1:10" x14ac:dyDescent="0.3">
      <c r="A472">
        <v>427</v>
      </c>
      <c r="B472" t="s">
        <v>1367</v>
      </c>
      <c r="C472" t="s">
        <v>1202</v>
      </c>
      <c r="D472" t="s">
        <v>159</v>
      </c>
      <c r="E472" t="s">
        <v>159</v>
      </c>
      <c r="F472">
        <v>7958</v>
      </c>
      <c r="G472" t="s">
        <v>686</v>
      </c>
      <c r="H472" t="s">
        <v>1352</v>
      </c>
      <c r="I472" t="s">
        <v>1205</v>
      </c>
      <c r="J472">
        <v>923</v>
      </c>
    </row>
    <row r="473" spans="1:10" x14ac:dyDescent="0.3">
      <c r="A473">
        <v>427</v>
      </c>
      <c r="B473" t="s">
        <v>1367</v>
      </c>
      <c r="C473" t="s">
        <v>1202</v>
      </c>
      <c r="D473" t="s">
        <v>159</v>
      </c>
      <c r="E473" t="s">
        <v>159</v>
      </c>
      <c r="F473">
        <v>7958</v>
      </c>
      <c r="G473" t="s">
        <v>702</v>
      </c>
      <c r="H473" t="s">
        <v>1346</v>
      </c>
      <c r="I473" t="s">
        <v>1205</v>
      </c>
      <c r="J473">
        <v>0</v>
      </c>
    </row>
    <row r="474" spans="1:10" x14ac:dyDescent="0.3">
      <c r="A474">
        <v>427</v>
      </c>
      <c r="B474" t="s">
        <v>1367</v>
      </c>
      <c r="C474" t="s">
        <v>1202</v>
      </c>
      <c r="D474" t="s">
        <v>159</v>
      </c>
      <c r="E474" t="s">
        <v>159</v>
      </c>
      <c r="F474">
        <v>7958</v>
      </c>
      <c r="G474" t="s">
        <v>691</v>
      </c>
      <c r="H474" t="s">
        <v>1344</v>
      </c>
      <c r="I474" t="s">
        <v>1205</v>
      </c>
      <c r="J474">
        <v>199.71700000000001</v>
      </c>
    </row>
    <row r="475" spans="1:10" x14ac:dyDescent="0.3">
      <c r="A475">
        <v>427</v>
      </c>
      <c r="B475" t="s">
        <v>1367</v>
      </c>
      <c r="C475" t="s">
        <v>1202</v>
      </c>
      <c r="D475" t="s">
        <v>159</v>
      </c>
      <c r="E475" t="s">
        <v>159</v>
      </c>
      <c r="F475">
        <v>7958</v>
      </c>
      <c r="G475" t="s">
        <v>701</v>
      </c>
      <c r="I475" t="s">
        <v>1205</v>
      </c>
      <c r="J475">
        <v>305.48</v>
      </c>
    </row>
    <row r="476" spans="1:10" x14ac:dyDescent="0.3">
      <c r="A476">
        <v>427</v>
      </c>
      <c r="B476" t="s">
        <v>1367</v>
      </c>
      <c r="C476" t="s">
        <v>1202</v>
      </c>
      <c r="D476" t="s">
        <v>159</v>
      </c>
      <c r="E476" t="s">
        <v>159</v>
      </c>
      <c r="F476">
        <v>7958</v>
      </c>
      <c r="G476" t="s">
        <v>703</v>
      </c>
      <c r="I476" t="s">
        <v>1205</v>
      </c>
      <c r="J476">
        <v>2600.404</v>
      </c>
    </row>
    <row r="477" spans="1:10" x14ac:dyDescent="0.3">
      <c r="A477">
        <v>427</v>
      </c>
      <c r="B477" t="s">
        <v>1367</v>
      </c>
      <c r="C477" t="s">
        <v>1202</v>
      </c>
      <c r="D477" t="s">
        <v>159</v>
      </c>
      <c r="E477" t="s">
        <v>159</v>
      </c>
      <c r="F477">
        <v>7958</v>
      </c>
      <c r="G477" t="s">
        <v>700</v>
      </c>
      <c r="I477" t="s">
        <v>1205</v>
      </c>
      <c r="J477">
        <v>5239.4660000000003</v>
      </c>
    </row>
    <row r="478" spans="1:10" x14ac:dyDescent="0.3">
      <c r="A478">
        <v>427</v>
      </c>
      <c r="B478" t="s">
        <v>1367</v>
      </c>
      <c r="C478" t="s">
        <v>1202</v>
      </c>
      <c r="D478" t="s">
        <v>159</v>
      </c>
      <c r="E478" t="s">
        <v>159</v>
      </c>
      <c r="F478">
        <v>7958</v>
      </c>
      <c r="G478" t="s">
        <v>698</v>
      </c>
      <c r="I478" t="s">
        <v>1205</v>
      </c>
      <c r="J478">
        <v>1524.595</v>
      </c>
    </row>
    <row r="479" spans="1:10" x14ac:dyDescent="0.3">
      <c r="A479">
        <v>427</v>
      </c>
      <c r="B479" t="s">
        <v>1367</v>
      </c>
      <c r="C479" t="s">
        <v>1202</v>
      </c>
      <c r="D479" t="s">
        <v>159</v>
      </c>
      <c r="E479" t="s">
        <v>159</v>
      </c>
      <c r="F479">
        <v>7958</v>
      </c>
      <c r="G479" t="s">
        <v>696</v>
      </c>
      <c r="I479" t="s">
        <v>1205</v>
      </c>
      <c r="J479">
        <v>19359.409</v>
      </c>
    </row>
    <row r="480" spans="1:10" x14ac:dyDescent="0.3">
      <c r="A480">
        <v>428</v>
      </c>
      <c r="B480" t="s">
        <v>1368</v>
      </c>
      <c r="C480" t="s">
        <v>1202</v>
      </c>
      <c r="D480" t="s">
        <v>159</v>
      </c>
      <c r="E480" t="s">
        <v>159</v>
      </c>
      <c r="F480">
        <v>7959</v>
      </c>
      <c r="G480" t="s">
        <v>696</v>
      </c>
      <c r="I480" t="s">
        <v>1205</v>
      </c>
      <c r="J480">
        <v>4604.3599999999997</v>
      </c>
    </row>
    <row r="481" spans="1:10" x14ac:dyDescent="0.3">
      <c r="A481">
        <v>428</v>
      </c>
      <c r="B481" t="s">
        <v>1368</v>
      </c>
      <c r="C481" t="s">
        <v>1202</v>
      </c>
      <c r="D481" t="s">
        <v>159</v>
      </c>
      <c r="E481" t="s">
        <v>159</v>
      </c>
      <c r="F481">
        <v>7959</v>
      </c>
      <c r="G481" t="s">
        <v>698</v>
      </c>
      <c r="I481" t="s">
        <v>1205</v>
      </c>
      <c r="J481">
        <v>203.62</v>
      </c>
    </row>
    <row r="482" spans="1:10" x14ac:dyDescent="0.3">
      <c r="A482">
        <v>428</v>
      </c>
      <c r="B482" t="s">
        <v>1368</v>
      </c>
      <c r="C482" t="s">
        <v>1202</v>
      </c>
      <c r="D482" t="s">
        <v>159</v>
      </c>
      <c r="E482" t="s">
        <v>159</v>
      </c>
      <c r="F482">
        <v>7959</v>
      </c>
      <c r="G482" t="s">
        <v>700</v>
      </c>
      <c r="I482" t="s">
        <v>1205</v>
      </c>
      <c r="J482">
        <v>1554.114</v>
      </c>
    </row>
    <row r="483" spans="1:10" x14ac:dyDescent="0.3">
      <c r="A483">
        <v>428</v>
      </c>
      <c r="B483" t="s">
        <v>1368</v>
      </c>
      <c r="C483" t="s">
        <v>1202</v>
      </c>
      <c r="D483" t="s">
        <v>159</v>
      </c>
      <c r="E483" t="s">
        <v>159</v>
      </c>
      <c r="F483">
        <v>7959</v>
      </c>
      <c r="G483" t="s">
        <v>703</v>
      </c>
      <c r="I483" t="s">
        <v>1205</v>
      </c>
      <c r="J483">
        <v>193.77699999999999</v>
      </c>
    </row>
    <row r="484" spans="1:10" x14ac:dyDescent="0.3">
      <c r="A484">
        <v>428</v>
      </c>
      <c r="B484" t="s">
        <v>1368</v>
      </c>
      <c r="C484" t="s">
        <v>1202</v>
      </c>
      <c r="D484" t="s">
        <v>159</v>
      </c>
      <c r="E484" t="s">
        <v>159</v>
      </c>
      <c r="F484">
        <v>7959</v>
      </c>
      <c r="G484" t="s">
        <v>701</v>
      </c>
      <c r="I484" t="s">
        <v>1205</v>
      </c>
      <c r="J484">
        <v>0</v>
      </c>
    </row>
    <row r="485" spans="1:10" x14ac:dyDescent="0.3">
      <c r="A485">
        <v>428</v>
      </c>
      <c r="B485" t="s">
        <v>1368</v>
      </c>
      <c r="C485" t="s">
        <v>1202</v>
      </c>
      <c r="D485" t="s">
        <v>159</v>
      </c>
      <c r="E485" t="s">
        <v>159</v>
      </c>
      <c r="F485">
        <v>7959</v>
      </c>
      <c r="G485" t="s">
        <v>691</v>
      </c>
      <c r="I485" t="s">
        <v>1205</v>
      </c>
      <c r="J485">
        <v>4.6070000000000002</v>
      </c>
    </row>
    <row r="486" spans="1:10" x14ac:dyDescent="0.3">
      <c r="A486">
        <v>428</v>
      </c>
      <c r="B486" t="s">
        <v>1368</v>
      </c>
      <c r="C486" t="s">
        <v>1202</v>
      </c>
      <c r="D486" t="s">
        <v>159</v>
      </c>
      <c r="E486" t="s">
        <v>159</v>
      </c>
      <c r="F486">
        <v>7959</v>
      </c>
      <c r="G486" t="s">
        <v>702</v>
      </c>
      <c r="H486" t="s">
        <v>1344</v>
      </c>
      <c r="I486" t="s">
        <v>1205</v>
      </c>
      <c r="J486">
        <v>0</v>
      </c>
    </row>
    <row r="487" spans="1:10" x14ac:dyDescent="0.3">
      <c r="A487">
        <v>428</v>
      </c>
      <c r="B487" t="s">
        <v>1368</v>
      </c>
      <c r="C487" t="s">
        <v>1202</v>
      </c>
      <c r="D487" t="s">
        <v>159</v>
      </c>
      <c r="E487" t="s">
        <v>159</v>
      </c>
      <c r="F487">
        <v>7959</v>
      </c>
      <c r="G487" t="s">
        <v>686</v>
      </c>
      <c r="H487" t="s">
        <v>1346</v>
      </c>
      <c r="I487" t="s">
        <v>1205</v>
      </c>
      <c r="J487">
        <v>505.35700000000003</v>
      </c>
    </row>
    <row r="488" spans="1:10" x14ac:dyDescent="0.3">
      <c r="A488">
        <v>429</v>
      </c>
      <c r="B488" t="s">
        <v>1369</v>
      </c>
      <c r="C488" t="s">
        <v>1202</v>
      </c>
      <c r="D488" t="s">
        <v>159</v>
      </c>
      <c r="E488" t="s">
        <v>159</v>
      </c>
      <c r="F488">
        <v>7960</v>
      </c>
      <c r="G488" t="s">
        <v>696</v>
      </c>
      <c r="I488" t="s">
        <v>1205</v>
      </c>
      <c r="J488">
        <v>786.41300000000001</v>
      </c>
    </row>
    <row r="489" spans="1:10" x14ac:dyDescent="0.3">
      <c r="A489">
        <v>429</v>
      </c>
      <c r="B489" t="s">
        <v>1369</v>
      </c>
      <c r="C489" t="s">
        <v>1202</v>
      </c>
      <c r="D489" t="s">
        <v>159</v>
      </c>
      <c r="E489" t="s">
        <v>159</v>
      </c>
      <c r="F489">
        <v>7960</v>
      </c>
      <c r="G489" t="s">
        <v>698</v>
      </c>
      <c r="I489" t="s">
        <v>1205</v>
      </c>
      <c r="J489">
        <v>98.323999999999998</v>
      </c>
    </row>
    <row r="490" spans="1:10" x14ac:dyDescent="0.3">
      <c r="A490">
        <v>429</v>
      </c>
      <c r="B490" t="s">
        <v>1369</v>
      </c>
      <c r="C490" t="s">
        <v>1202</v>
      </c>
      <c r="D490" t="s">
        <v>159</v>
      </c>
      <c r="E490" t="s">
        <v>159</v>
      </c>
      <c r="F490">
        <v>7960</v>
      </c>
      <c r="G490" t="s">
        <v>700</v>
      </c>
      <c r="I490" t="s">
        <v>1205</v>
      </c>
      <c r="J490">
        <v>225.26900000000001</v>
      </c>
    </row>
    <row r="491" spans="1:10" x14ac:dyDescent="0.3">
      <c r="A491">
        <v>429</v>
      </c>
      <c r="B491" t="s">
        <v>1369</v>
      </c>
      <c r="C491" t="s">
        <v>1202</v>
      </c>
      <c r="D491" t="s">
        <v>159</v>
      </c>
      <c r="E491" t="s">
        <v>159</v>
      </c>
      <c r="F491">
        <v>7960</v>
      </c>
      <c r="G491" t="s">
        <v>703</v>
      </c>
      <c r="I491" t="s">
        <v>1205</v>
      </c>
      <c r="J491">
        <v>62.695</v>
      </c>
    </row>
    <row r="492" spans="1:10" x14ac:dyDescent="0.3">
      <c r="A492">
        <v>429</v>
      </c>
      <c r="B492" t="s">
        <v>1369</v>
      </c>
      <c r="C492" t="s">
        <v>1202</v>
      </c>
      <c r="D492" t="s">
        <v>159</v>
      </c>
      <c r="E492" t="s">
        <v>159</v>
      </c>
      <c r="F492">
        <v>7960</v>
      </c>
      <c r="G492" t="s">
        <v>701</v>
      </c>
      <c r="I492" t="s">
        <v>1205</v>
      </c>
      <c r="J492">
        <v>0</v>
      </c>
    </row>
    <row r="493" spans="1:10" x14ac:dyDescent="0.3">
      <c r="A493">
        <v>429</v>
      </c>
      <c r="B493" t="s">
        <v>1369</v>
      </c>
      <c r="C493" t="s">
        <v>1202</v>
      </c>
      <c r="D493" t="s">
        <v>159</v>
      </c>
      <c r="E493" t="s">
        <v>159</v>
      </c>
      <c r="F493">
        <v>7960</v>
      </c>
      <c r="G493" t="s">
        <v>691</v>
      </c>
      <c r="I493" t="s">
        <v>1205</v>
      </c>
      <c r="J493">
        <v>5.16</v>
      </c>
    </row>
    <row r="494" spans="1:10" x14ac:dyDescent="0.3">
      <c r="A494">
        <v>429</v>
      </c>
      <c r="B494" t="s">
        <v>1369</v>
      </c>
      <c r="C494" t="s">
        <v>1202</v>
      </c>
      <c r="D494" t="s">
        <v>159</v>
      </c>
      <c r="E494" t="s">
        <v>159</v>
      </c>
      <c r="F494">
        <v>7960</v>
      </c>
      <c r="G494" t="s">
        <v>702</v>
      </c>
      <c r="I494" t="s">
        <v>1205</v>
      </c>
      <c r="J494">
        <v>0</v>
      </c>
    </row>
    <row r="495" spans="1:10" x14ac:dyDescent="0.3">
      <c r="A495">
        <v>429</v>
      </c>
      <c r="B495" t="s">
        <v>1369</v>
      </c>
      <c r="C495" t="s">
        <v>1202</v>
      </c>
      <c r="D495" t="s">
        <v>159</v>
      </c>
      <c r="E495" t="s">
        <v>159</v>
      </c>
      <c r="F495">
        <v>7960</v>
      </c>
      <c r="G495" t="s">
        <v>686</v>
      </c>
      <c r="H495" t="s">
        <v>1344</v>
      </c>
      <c r="I495" t="s">
        <v>1205</v>
      </c>
      <c r="J495">
        <v>138.59200000000001</v>
      </c>
    </row>
    <row r="496" spans="1:10" x14ac:dyDescent="0.3">
      <c r="A496">
        <v>443</v>
      </c>
      <c r="B496" t="s">
        <v>1370</v>
      </c>
      <c r="C496" t="s">
        <v>1202</v>
      </c>
      <c r="D496" t="s">
        <v>159</v>
      </c>
      <c r="E496" t="s">
        <v>159</v>
      </c>
      <c r="F496">
        <v>8021</v>
      </c>
      <c r="G496" t="s">
        <v>702</v>
      </c>
      <c r="I496" t="s">
        <v>1205</v>
      </c>
      <c r="J496">
        <v>1776</v>
      </c>
    </row>
    <row r="497" spans="1:10" x14ac:dyDescent="0.3">
      <c r="A497">
        <v>443</v>
      </c>
      <c r="B497" t="s">
        <v>1370</v>
      </c>
      <c r="C497" t="s">
        <v>1202</v>
      </c>
      <c r="D497" t="s">
        <v>159</v>
      </c>
      <c r="E497" t="s">
        <v>159</v>
      </c>
      <c r="F497">
        <v>8021</v>
      </c>
      <c r="G497" t="s">
        <v>701</v>
      </c>
      <c r="I497" t="s">
        <v>1205</v>
      </c>
      <c r="J497">
        <v>37</v>
      </c>
    </row>
    <row r="498" spans="1:10" x14ac:dyDescent="0.3">
      <c r="A498">
        <v>443</v>
      </c>
      <c r="B498" t="s">
        <v>1370</v>
      </c>
      <c r="C498" t="s">
        <v>1202</v>
      </c>
      <c r="D498" t="s">
        <v>159</v>
      </c>
      <c r="E498" t="s">
        <v>159</v>
      </c>
      <c r="F498">
        <v>8021</v>
      </c>
      <c r="G498" t="s">
        <v>700</v>
      </c>
      <c r="I498" t="s">
        <v>1205</v>
      </c>
      <c r="J498">
        <v>857</v>
      </c>
    </row>
    <row r="499" spans="1:10" x14ac:dyDescent="0.3">
      <c r="A499">
        <v>443</v>
      </c>
      <c r="B499" t="s">
        <v>1370</v>
      </c>
      <c r="C499" t="s">
        <v>1202</v>
      </c>
      <c r="D499" t="s">
        <v>159</v>
      </c>
      <c r="E499" t="s">
        <v>159</v>
      </c>
      <c r="F499">
        <v>8021</v>
      </c>
      <c r="G499" t="s">
        <v>698</v>
      </c>
      <c r="I499" t="s">
        <v>1205</v>
      </c>
      <c r="J499">
        <v>749</v>
      </c>
    </row>
    <row r="500" spans="1:10" x14ac:dyDescent="0.3">
      <c r="A500">
        <v>443</v>
      </c>
      <c r="B500" t="s">
        <v>1370</v>
      </c>
      <c r="C500" t="s">
        <v>1202</v>
      </c>
      <c r="D500" t="s">
        <v>159</v>
      </c>
      <c r="E500" t="s">
        <v>159</v>
      </c>
      <c r="F500">
        <v>8021</v>
      </c>
      <c r="G500" t="s">
        <v>696</v>
      </c>
      <c r="I500" t="s">
        <v>1205</v>
      </c>
      <c r="J500">
        <v>4007</v>
      </c>
    </row>
    <row r="501" spans="1:10" x14ac:dyDescent="0.3">
      <c r="A501">
        <v>443</v>
      </c>
      <c r="B501" t="s">
        <v>1370</v>
      </c>
      <c r="C501" t="s">
        <v>1202</v>
      </c>
      <c r="D501" t="s">
        <v>159</v>
      </c>
      <c r="E501" t="s">
        <v>159</v>
      </c>
      <c r="F501">
        <v>8021</v>
      </c>
      <c r="G501" t="s">
        <v>684</v>
      </c>
      <c r="I501" t="s">
        <v>1205</v>
      </c>
      <c r="J501">
        <v>64</v>
      </c>
    </row>
    <row r="502" spans="1:10" x14ac:dyDescent="0.3">
      <c r="A502">
        <v>443</v>
      </c>
      <c r="B502" t="s">
        <v>1370</v>
      </c>
      <c r="C502" t="s">
        <v>1202</v>
      </c>
      <c r="D502" t="s">
        <v>159</v>
      </c>
      <c r="E502" t="s">
        <v>159</v>
      </c>
      <c r="F502">
        <v>8021</v>
      </c>
      <c r="G502" t="s">
        <v>687</v>
      </c>
      <c r="I502" t="s">
        <v>1205</v>
      </c>
      <c r="J502">
        <v>30</v>
      </c>
    </row>
    <row r="503" spans="1:10" x14ac:dyDescent="0.3">
      <c r="A503">
        <v>443</v>
      </c>
      <c r="B503" t="s">
        <v>1370</v>
      </c>
      <c r="C503" t="s">
        <v>1202</v>
      </c>
      <c r="D503" t="s">
        <v>159</v>
      </c>
      <c r="E503" t="s">
        <v>159</v>
      </c>
      <c r="F503">
        <v>8021</v>
      </c>
      <c r="G503" t="s">
        <v>686</v>
      </c>
      <c r="I503" t="s">
        <v>1205</v>
      </c>
      <c r="J503">
        <v>320</v>
      </c>
    </row>
    <row r="504" spans="1:10" x14ac:dyDescent="0.3">
      <c r="A504">
        <v>445</v>
      </c>
      <c r="B504" t="s">
        <v>1371</v>
      </c>
      <c r="C504" t="s">
        <v>1202</v>
      </c>
      <c r="D504" t="s">
        <v>1203</v>
      </c>
      <c r="E504" t="s">
        <v>1204</v>
      </c>
      <c r="F504">
        <v>5520</v>
      </c>
      <c r="G504" t="s">
        <v>687</v>
      </c>
      <c r="I504" t="s">
        <v>1205</v>
      </c>
      <c r="J504">
        <v>8</v>
      </c>
    </row>
    <row r="505" spans="1:10" x14ac:dyDescent="0.3">
      <c r="A505">
        <v>445</v>
      </c>
      <c r="B505" t="s">
        <v>1371</v>
      </c>
      <c r="C505" t="s">
        <v>1202</v>
      </c>
      <c r="D505" t="s">
        <v>1203</v>
      </c>
      <c r="E505" t="s">
        <v>1204</v>
      </c>
      <c r="F505">
        <v>5520</v>
      </c>
      <c r="G505" t="s">
        <v>696</v>
      </c>
      <c r="H505" t="s">
        <v>1372</v>
      </c>
      <c r="I505" t="s">
        <v>1205</v>
      </c>
      <c r="J505">
        <v>339.62</v>
      </c>
    </row>
    <row r="506" spans="1:10" x14ac:dyDescent="0.3">
      <c r="A506">
        <v>445</v>
      </c>
      <c r="B506" t="s">
        <v>1371</v>
      </c>
      <c r="C506" t="s">
        <v>1202</v>
      </c>
      <c r="D506" t="s">
        <v>1203</v>
      </c>
      <c r="E506" t="s">
        <v>1204</v>
      </c>
      <c r="F506">
        <v>5520</v>
      </c>
      <c r="G506" t="s">
        <v>698</v>
      </c>
      <c r="I506" t="s">
        <v>1205</v>
      </c>
      <c r="J506">
        <v>18</v>
      </c>
    </row>
    <row r="507" spans="1:10" x14ac:dyDescent="0.3">
      <c r="A507">
        <v>445</v>
      </c>
      <c r="B507" t="s">
        <v>1371</v>
      </c>
      <c r="C507" t="s">
        <v>1202</v>
      </c>
      <c r="D507" t="s">
        <v>1203</v>
      </c>
      <c r="E507" t="s">
        <v>1204</v>
      </c>
      <c r="F507">
        <v>5520</v>
      </c>
      <c r="G507" t="s">
        <v>700</v>
      </c>
      <c r="I507" t="s">
        <v>1205</v>
      </c>
      <c r="J507">
        <v>114</v>
      </c>
    </row>
    <row r="508" spans="1:10" x14ac:dyDescent="0.3">
      <c r="A508">
        <v>445</v>
      </c>
      <c r="B508" t="s">
        <v>1371</v>
      </c>
      <c r="C508" t="s">
        <v>1202</v>
      </c>
      <c r="D508" t="s">
        <v>1203</v>
      </c>
      <c r="E508" t="s">
        <v>1204</v>
      </c>
      <c r="F508">
        <v>5520</v>
      </c>
      <c r="G508" t="s">
        <v>686</v>
      </c>
      <c r="H508" t="s">
        <v>1373</v>
      </c>
      <c r="I508" t="s">
        <v>1205</v>
      </c>
      <c r="J508">
        <v>61</v>
      </c>
    </row>
    <row r="509" spans="1:10" x14ac:dyDescent="0.3">
      <c r="A509">
        <v>467</v>
      </c>
      <c r="B509" t="s">
        <v>1374</v>
      </c>
      <c r="C509" t="s">
        <v>1202</v>
      </c>
      <c r="D509" t="s">
        <v>1203</v>
      </c>
      <c r="E509" t="s">
        <v>1204</v>
      </c>
      <c r="F509">
        <v>5746</v>
      </c>
      <c r="G509" t="s">
        <v>696</v>
      </c>
      <c r="I509" t="s">
        <v>1205</v>
      </c>
      <c r="J509">
        <v>4150</v>
      </c>
    </row>
    <row r="510" spans="1:10" x14ac:dyDescent="0.3">
      <c r="A510">
        <v>467</v>
      </c>
      <c r="B510" t="s">
        <v>1374</v>
      </c>
      <c r="C510" t="s">
        <v>1202</v>
      </c>
      <c r="D510" t="s">
        <v>1203</v>
      </c>
      <c r="E510" t="s">
        <v>1204</v>
      </c>
      <c r="F510">
        <v>5746</v>
      </c>
      <c r="G510" t="s">
        <v>686</v>
      </c>
      <c r="I510" t="s">
        <v>1205</v>
      </c>
      <c r="J510">
        <v>638</v>
      </c>
    </row>
    <row r="511" spans="1:10" x14ac:dyDescent="0.3">
      <c r="A511">
        <v>467</v>
      </c>
      <c r="B511" t="s">
        <v>1374</v>
      </c>
      <c r="C511" t="s">
        <v>1202</v>
      </c>
      <c r="D511" t="s">
        <v>1203</v>
      </c>
      <c r="E511" t="s">
        <v>1204</v>
      </c>
      <c r="F511">
        <v>5746</v>
      </c>
      <c r="G511" t="s">
        <v>698</v>
      </c>
      <c r="I511" t="s">
        <v>1205</v>
      </c>
      <c r="J511">
        <v>397</v>
      </c>
    </row>
    <row r="512" spans="1:10" x14ac:dyDescent="0.3">
      <c r="A512">
        <v>467</v>
      </c>
      <c r="B512" t="s">
        <v>1374</v>
      </c>
      <c r="C512" t="s">
        <v>1202</v>
      </c>
      <c r="D512" t="s">
        <v>1203</v>
      </c>
      <c r="E512" t="s">
        <v>1204</v>
      </c>
      <c r="F512">
        <v>5746</v>
      </c>
      <c r="G512" t="s">
        <v>700</v>
      </c>
      <c r="I512" t="s">
        <v>1205</v>
      </c>
      <c r="J512">
        <v>546</v>
      </c>
    </row>
    <row r="513" spans="1:10" x14ac:dyDescent="0.3">
      <c r="A513">
        <v>467</v>
      </c>
      <c r="B513" t="s">
        <v>1374</v>
      </c>
      <c r="C513" t="s">
        <v>1202</v>
      </c>
      <c r="D513" t="s">
        <v>1203</v>
      </c>
      <c r="E513" t="s">
        <v>1204</v>
      </c>
      <c r="F513">
        <v>5746</v>
      </c>
      <c r="G513" t="s">
        <v>703</v>
      </c>
      <c r="I513" t="s">
        <v>1205</v>
      </c>
      <c r="J513">
        <v>265</v>
      </c>
    </row>
    <row r="514" spans="1:10" x14ac:dyDescent="0.3">
      <c r="A514">
        <v>467</v>
      </c>
      <c r="B514" t="s">
        <v>1374</v>
      </c>
      <c r="C514" t="s">
        <v>1202</v>
      </c>
      <c r="D514" t="s">
        <v>1203</v>
      </c>
      <c r="E514" t="s">
        <v>1204</v>
      </c>
      <c r="F514">
        <v>5746</v>
      </c>
      <c r="G514" t="s">
        <v>702</v>
      </c>
      <c r="I514" t="s">
        <v>1205</v>
      </c>
      <c r="J514">
        <v>688</v>
      </c>
    </row>
    <row r="515" spans="1:10" x14ac:dyDescent="0.3">
      <c r="A515">
        <v>467</v>
      </c>
      <c r="B515" t="s">
        <v>1374</v>
      </c>
      <c r="C515" t="s">
        <v>1202</v>
      </c>
      <c r="D515" t="s">
        <v>1203</v>
      </c>
      <c r="E515" t="s">
        <v>1204</v>
      </c>
      <c r="F515">
        <v>5746</v>
      </c>
      <c r="G515" t="s">
        <v>684</v>
      </c>
      <c r="I515" t="s">
        <v>1205</v>
      </c>
      <c r="J515">
        <v>896</v>
      </c>
    </row>
    <row r="516" spans="1:10" x14ac:dyDescent="0.3">
      <c r="A516">
        <v>478</v>
      </c>
      <c r="B516" t="s">
        <v>1375</v>
      </c>
      <c r="C516" t="s">
        <v>1202</v>
      </c>
      <c r="D516" t="s">
        <v>159</v>
      </c>
      <c r="E516" t="s">
        <v>159</v>
      </c>
      <c r="F516">
        <v>6869</v>
      </c>
      <c r="G516" t="s">
        <v>696</v>
      </c>
      <c r="H516" t="s">
        <v>1376</v>
      </c>
      <c r="I516" t="s">
        <v>1205</v>
      </c>
      <c r="J516">
        <v>7693</v>
      </c>
    </row>
    <row r="517" spans="1:10" x14ac:dyDescent="0.3">
      <c r="A517">
        <v>478</v>
      </c>
      <c r="B517" t="s">
        <v>1375</v>
      </c>
      <c r="C517" t="s">
        <v>1202</v>
      </c>
      <c r="D517" t="s">
        <v>159</v>
      </c>
      <c r="E517" t="s">
        <v>159</v>
      </c>
      <c r="F517">
        <v>6869</v>
      </c>
      <c r="G517" t="s">
        <v>698</v>
      </c>
      <c r="H517" t="s">
        <v>1377</v>
      </c>
      <c r="I517" t="s">
        <v>1205</v>
      </c>
      <c r="J517">
        <v>1752</v>
      </c>
    </row>
    <row r="518" spans="1:10" x14ac:dyDescent="0.3">
      <c r="A518">
        <v>478</v>
      </c>
      <c r="B518" t="s">
        <v>1375</v>
      </c>
      <c r="C518" t="s">
        <v>1202</v>
      </c>
      <c r="D518" t="s">
        <v>159</v>
      </c>
      <c r="E518" t="s">
        <v>159</v>
      </c>
      <c r="F518">
        <v>6869</v>
      </c>
      <c r="G518" t="s">
        <v>700</v>
      </c>
      <c r="I518" t="s">
        <v>1205</v>
      </c>
      <c r="J518">
        <v>2065</v>
      </c>
    </row>
    <row r="519" spans="1:10" x14ac:dyDescent="0.3">
      <c r="A519">
        <v>478</v>
      </c>
      <c r="B519" t="s">
        <v>1375</v>
      </c>
      <c r="C519" t="s">
        <v>1202</v>
      </c>
      <c r="D519" t="s">
        <v>159</v>
      </c>
      <c r="E519" t="s">
        <v>159</v>
      </c>
      <c r="F519">
        <v>6869</v>
      </c>
      <c r="G519" t="s">
        <v>701</v>
      </c>
      <c r="I519" t="s">
        <v>1205</v>
      </c>
      <c r="J519">
        <v>19</v>
      </c>
    </row>
    <row r="520" spans="1:10" x14ac:dyDescent="0.3">
      <c r="A520">
        <v>478</v>
      </c>
      <c r="B520" t="s">
        <v>1375</v>
      </c>
      <c r="C520" t="s">
        <v>1202</v>
      </c>
      <c r="D520" t="s">
        <v>159</v>
      </c>
      <c r="E520" t="s">
        <v>159</v>
      </c>
      <c r="F520">
        <v>6869</v>
      </c>
      <c r="G520" t="s">
        <v>703</v>
      </c>
      <c r="I520" t="s">
        <v>1205</v>
      </c>
      <c r="J520">
        <v>102</v>
      </c>
    </row>
    <row r="521" spans="1:10" x14ac:dyDescent="0.3">
      <c r="A521">
        <v>478</v>
      </c>
      <c r="B521" t="s">
        <v>1375</v>
      </c>
      <c r="C521" t="s">
        <v>1202</v>
      </c>
      <c r="D521" t="s">
        <v>159</v>
      </c>
      <c r="E521" t="s">
        <v>159</v>
      </c>
      <c r="F521">
        <v>6869</v>
      </c>
      <c r="G521" t="s">
        <v>684</v>
      </c>
      <c r="H521" t="s">
        <v>1378</v>
      </c>
      <c r="I521" t="s">
        <v>1205</v>
      </c>
      <c r="J521">
        <v>163</v>
      </c>
    </row>
    <row r="522" spans="1:10" x14ac:dyDescent="0.3">
      <c r="A522">
        <v>478</v>
      </c>
      <c r="B522" t="s">
        <v>1375</v>
      </c>
      <c r="C522" t="s">
        <v>1202</v>
      </c>
      <c r="D522" t="s">
        <v>159</v>
      </c>
      <c r="E522" t="s">
        <v>159</v>
      </c>
      <c r="F522">
        <v>6869</v>
      </c>
      <c r="G522" t="s">
        <v>686</v>
      </c>
      <c r="I522" t="s">
        <v>1205</v>
      </c>
      <c r="J522">
        <v>605</v>
      </c>
    </row>
    <row r="523" spans="1:10" x14ac:dyDescent="0.3">
      <c r="A523">
        <v>478</v>
      </c>
      <c r="B523" t="s">
        <v>1375</v>
      </c>
      <c r="C523" t="s">
        <v>1202</v>
      </c>
      <c r="D523" t="s">
        <v>159</v>
      </c>
      <c r="E523" t="s">
        <v>159</v>
      </c>
      <c r="F523">
        <v>6869</v>
      </c>
      <c r="G523" t="s">
        <v>702</v>
      </c>
      <c r="I523" t="s">
        <v>1205</v>
      </c>
      <c r="J523">
        <v>1530</v>
      </c>
    </row>
    <row r="524" spans="1:10" x14ac:dyDescent="0.3">
      <c r="A524">
        <v>481</v>
      </c>
      <c r="B524" t="s">
        <v>1379</v>
      </c>
      <c r="C524" t="s">
        <v>1202</v>
      </c>
      <c r="D524" t="s">
        <v>1203</v>
      </c>
      <c r="E524" t="s">
        <v>1204</v>
      </c>
      <c r="F524">
        <v>5750</v>
      </c>
      <c r="G524" t="s">
        <v>691</v>
      </c>
      <c r="H524" t="s">
        <v>1380</v>
      </c>
      <c r="I524" t="s">
        <v>1205</v>
      </c>
      <c r="J524">
        <v>9190</v>
      </c>
    </row>
    <row r="525" spans="1:10" x14ac:dyDescent="0.3">
      <c r="A525">
        <v>485</v>
      </c>
      <c r="B525" t="s">
        <v>1381</v>
      </c>
      <c r="C525" t="s">
        <v>1202</v>
      </c>
      <c r="D525" t="s">
        <v>1203</v>
      </c>
      <c r="E525" t="s">
        <v>1204</v>
      </c>
      <c r="F525">
        <v>6618</v>
      </c>
      <c r="G525" t="s">
        <v>696</v>
      </c>
      <c r="I525" t="s">
        <v>1205</v>
      </c>
      <c r="J525">
        <v>915</v>
      </c>
    </row>
    <row r="526" spans="1:10" x14ac:dyDescent="0.3">
      <c r="A526">
        <v>485</v>
      </c>
      <c r="B526" t="s">
        <v>1381</v>
      </c>
      <c r="C526" t="s">
        <v>1202</v>
      </c>
      <c r="D526" t="s">
        <v>1203</v>
      </c>
      <c r="E526" t="s">
        <v>1204</v>
      </c>
      <c r="F526">
        <v>6618</v>
      </c>
      <c r="G526" t="s">
        <v>698</v>
      </c>
      <c r="I526" t="s">
        <v>1205</v>
      </c>
      <c r="J526">
        <v>461</v>
      </c>
    </row>
    <row r="527" spans="1:10" x14ac:dyDescent="0.3">
      <c r="A527">
        <v>485</v>
      </c>
      <c r="B527" t="s">
        <v>1381</v>
      </c>
      <c r="C527" t="s">
        <v>1202</v>
      </c>
      <c r="D527" t="s">
        <v>1203</v>
      </c>
      <c r="E527" t="s">
        <v>1204</v>
      </c>
      <c r="F527">
        <v>6618</v>
      </c>
      <c r="G527" t="s">
        <v>700</v>
      </c>
      <c r="I527" t="s">
        <v>1205</v>
      </c>
      <c r="J527">
        <v>245</v>
      </c>
    </row>
    <row r="528" spans="1:10" x14ac:dyDescent="0.3">
      <c r="A528">
        <v>485</v>
      </c>
      <c r="B528" t="s">
        <v>1381</v>
      </c>
      <c r="C528" t="s">
        <v>1202</v>
      </c>
      <c r="D528" t="s">
        <v>1203</v>
      </c>
      <c r="E528" t="s">
        <v>1204</v>
      </c>
      <c r="F528">
        <v>6618</v>
      </c>
      <c r="G528" t="s">
        <v>701</v>
      </c>
      <c r="I528" t="s">
        <v>1205</v>
      </c>
      <c r="J528">
        <v>61</v>
      </c>
    </row>
    <row r="529" spans="1:10" x14ac:dyDescent="0.3">
      <c r="A529">
        <v>485</v>
      </c>
      <c r="B529" t="s">
        <v>1381</v>
      </c>
      <c r="C529" t="s">
        <v>1202</v>
      </c>
      <c r="D529" t="s">
        <v>1203</v>
      </c>
      <c r="E529" t="s">
        <v>1204</v>
      </c>
      <c r="F529">
        <v>6618</v>
      </c>
      <c r="G529" t="s">
        <v>703</v>
      </c>
      <c r="I529" t="s">
        <v>1205</v>
      </c>
      <c r="J529">
        <v>121</v>
      </c>
    </row>
    <row r="530" spans="1:10" x14ac:dyDescent="0.3">
      <c r="A530">
        <v>485</v>
      </c>
      <c r="B530" t="s">
        <v>1381</v>
      </c>
      <c r="C530" t="s">
        <v>1202</v>
      </c>
      <c r="D530" t="s">
        <v>1203</v>
      </c>
      <c r="E530" t="s">
        <v>1204</v>
      </c>
      <c r="F530">
        <v>6618</v>
      </c>
      <c r="G530" t="s">
        <v>702</v>
      </c>
      <c r="I530" t="s">
        <v>1205</v>
      </c>
      <c r="J530">
        <v>90</v>
      </c>
    </row>
    <row r="531" spans="1:10" x14ac:dyDescent="0.3">
      <c r="A531">
        <v>485</v>
      </c>
      <c r="B531" t="s">
        <v>1381</v>
      </c>
      <c r="C531" t="s">
        <v>1202</v>
      </c>
      <c r="D531" t="s">
        <v>1203</v>
      </c>
      <c r="E531" t="s">
        <v>1204</v>
      </c>
      <c r="F531">
        <v>6618</v>
      </c>
      <c r="G531" t="s">
        <v>684</v>
      </c>
      <c r="I531" t="s">
        <v>1205</v>
      </c>
      <c r="J531">
        <v>2093</v>
      </c>
    </row>
    <row r="532" spans="1:10" x14ac:dyDescent="0.3">
      <c r="A532">
        <v>485</v>
      </c>
      <c r="B532" t="s">
        <v>1381</v>
      </c>
      <c r="C532" t="s">
        <v>1202</v>
      </c>
      <c r="D532" t="s">
        <v>1203</v>
      </c>
      <c r="E532" t="s">
        <v>1204</v>
      </c>
      <c r="F532">
        <v>6618</v>
      </c>
      <c r="G532" t="s">
        <v>686</v>
      </c>
      <c r="I532" t="s">
        <v>1205</v>
      </c>
      <c r="J532">
        <v>119</v>
      </c>
    </row>
    <row r="533" spans="1:10" x14ac:dyDescent="0.3">
      <c r="A533">
        <v>495</v>
      </c>
      <c r="B533" t="s">
        <v>1382</v>
      </c>
      <c r="C533" t="s">
        <v>1202</v>
      </c>
      <c r="D533" t="s">
        <v>159</v>
      </c>
      <c r="E533" t="s">
        <v>159</v>
      </c>
      <c r="F533">
        <v>5743</v>
      </c>
      <c r="G533" t="s">
        <v>701</v>
      </c>
      <c r="I533" t="s">
        <v>1205</v>
      </c>
      <c r="J533">
        <v>12</v>
      </c>
    </row>
    <row r="534" spans="1:10" x14ac:dyDescent="0.3">
      <c r="A534">
        <v>495</v>
      </c>
      <c r="B534" t="s">
        <v>1382</v>
      </c>
      <c r="C534" t="s">
        <v>1202</v>
      </c>
      <c r="D534" t="s">
        <v>159</v>
      </c>
      <c r="E534" t="s">
        <v>159</v>
      </c>
      <c r="F534">
        <v>5743</v>
      </c>
      <c r="G534" t="s">
        <v>691</v>
      </c>
      <c r="H534" t="s">
        <v>1383</v>
      </c>
      <c r="I534" t="s">
        <v>1205</v>
      </c>
      <c r="J534">
        <v>369</v>
      </c>
    </row>
    <row r="535" spans="1:10" x14ac:dyDescent="0.3">
      <c r="A535">
        <v>495</v>
      </c>
      <c r="B535" t="s">
        <v>1382</v>
      </c>
      <c r="C535" t="s">
        <v>1202</v>
      </c>
      <c r="D535" t="s">
        <v>159</v>
      </c>
      <c r="E535" t="s">
        <v>159</v>
      </c>
      <c r="F535">
        <v>5743</v>
      </c>
      <c r="G535" t="s">
        <v>691</v>
      </c>
      <c r="H535" t="s">
        <v>1384</v>
      </c>
      <c r="I535" t="s">
        <v>1205</v>
      </c>
      <c r="J535">
        <v>141</v>
      </c>
    </row>
    <row r="536" spans="1:10" x14ac:dyDescent="0.3">
      <c r="A536">
        <v>495</v>
      </c>
      <c r="B536" t="s">
        <v>1382</v>
      </c>
      <c r="C536" t="s">
        <v>1202</v>
      </c>
      <c r="D536" t="s">
        <v>159</v>
      </c>
      <c r="E536" t="s">
        <v>159</v>
      </c>
      <c r="F536">
        <v>5743</v>
      </c>
      <c r="G536" t="s">
        <v>686</v>
      </c>
      <c r="I536" t="s">
        <v>1205</v>
      </c>
      <c r="J536">
        <v>325</v>
      </c>
    </row>
    <row r="537" spans="1:10" x14ac:dyDescent="0.3">
      <c r="A537">
        <v>495</v>
      </c>
      <c r="B537" t="s">
        <v>1382</v>
      </c>
      <c r="C537" t="s">
        <v>1202</v>
      </c>
      <c r="D537" t="s">
        <v>159</v>
      </c>
      <c r="E537" t="s">
        <v>159</v>
      </c>
      <c r="F537">
        <v>5743</v>
      </c>
      <c r="G537" t="s">
        <v>700</v>
      </c>
      <c r="I537" t="s">
        <v>1205</v>
      </c>
      <c r="J537">
        <v>465</v>
      </c>
    </row>
    <row r="538" spans="1:10" x14ac:dyDescent="0.3">
      <c r="A538">
        <v>495</v>
      </c>
      <c r="B538" t="s">
        <v>1382</v>
      </c>
      <c r="C538" t="s">
        <v>1202</v>
      </c>
      <c r="D538" t="s">
        <v>159</v>
      </c>
      <c r="E538" t="s">
        <v>159</v>
      </c>
      <c r="F538">
        <v>5743</v>
      </c>
      <c r="G538" t="s">
        <v>684</v>
      </c>
      <c r="I538" t="s">
        <v>1205</v>
      </c>
      <c r="J538">
        <v>5116</v>
      </c>
    </row>
    <row r="539" spans="1:10" x14ac:dyDescent="0.3">
      <c r="A539">
        <v>495</v>
      </c>
      <c r="B539" t="s">
        <v>1382</v>
      </c>
      <c r="C539" t="s">
        <v>1202</v>
      </c>
      <c r="D539" t="s">
        <v>159</v>
      </c>
      <c r="E539" t="s">
        <v>159</v>
      </c>
      <c r="F539">
        <v>5743</v>
      </c>
      <c r="G539" t="s">
        <v>703</v>
      </c>
      <c r="I539" t="s">
        <v>1205</v>
      </c>
      <c r="J539">
        <v>134</v>
      </c>
    </row>
    <row r="540" spans="1:10" x14ac:dyDescent="0.3">
      <c r="A540">
        <v>495</v>
      </c>
      <c r="B540" t="s">
        <v>1382</v>
      </c>
      <c r="C540" t="s">
        <v>1202</v>
      </c>
      <c r="D540" t="s">
        <v>159</v>
      </c>
      <c r="E540" t="s">
        <v>159</v>
      </c>
      <c r="F540">
        <v>5743</v>
      </c>
      <c r="G540" t="s">
        <v>698</v>
      </c>
      <c r="I540" t="s">
        <v>1205</v>
      </c>
      <c r="J540">
        <v>210</v>
      </c>
    </row>
    <row r="541" spans="1:10" x14ac:dyDescent="0.3">
      <c r="A541">
        <v>495</v>
      </c>
      <c r="B541" t="s">
        <v>1382</v>
      </c>
      <c r="C541" t="s">
        <v>1202</v>
      </c>
      <c r="D541" t="s">
        <v>159</v>
      </c>
      <c r="E541" t="s">
        <v>159</v>
      </c>
      <c r="F541">
        <v>5743</v>
      </c>
      <c r="G541" t="s">
        <v>696</v>
      </c>
      <c r="I541" t="s">
        <v>1205</v>
      </c>
      <c r="J541">
        <v>1045</v>
      </c>
    </row>
    <row r="542" spans="1:10" x14ac:dyDescent="0.3">
      <c r="A542">
        <v>1050</v>
      </c>
      <c r="B542" t="s">
        <v>1385</v>
      </c>
      <c r="C542" t="s">
        <v>1202</v>
      </c>
      <c r="D542" t="s">
        <v>159</v>
      </c>
      <c r="E542" t="s">
        <v>159</v>
      </c>
      <c r="F542">
        <v>5766</v>
      </c>
      <c r="G542" t="s">
        <v>684</v>
      </c>
      <c r="H542" t="s">
        <v>1386</v>
      </c>
      <c r="I542" t="s">
        <v>1205</v>
      </c>
      <c r="J542">
        <v>100</v>
      </c>
    </row>
    <row r="543" spans="1:10" x14ac:dyDescent="0.3">
      <c r="A543">
        <v>1050</v>
      </c>
      <c r="B543" t="s">
        <v>1385</v>
      </c>
      <c r="C543" t="s">
        <v>1202</v>
      </c>
      <c r="D543" t="s">
        <v>159</v>
      </c>
      <c r="E543" t="s">
        <v>159</v>
      </c>
      <c r="F543">
        <v>5766</v>
      </c>
      <c r="G543" t="s">
        <v>701</v>
      </c>
      <c r="I543" t="s">
        <v>1205</v>
      </c>
      <c r="J543">
        <v>3</v>
      </c>
    </row>
    <row r="544" spans="1:10" x14ac:dyDescent="0.3">
      <c r="A544">
        <v>1050</v>
      </c>
      <c r="B544" t="s">
        <v>1385</v>
      </c>
      <c r="C544" t="s">
        <v>1202</v>
      </c>
      <c r="D544" t="s">
        <v>159</v>
      </c>
      <c r="E544" t="s">
        <v>159</v>
      </c>
      <c r="F544">
        <v>5766</v>
      </c>
      <c r="G544" t="s">
        <v>700</v>
      </c>
      <c r="I544" t="s">
        <v>1205</v>
      </c>
      <c r="J544">
        <v>274</v>
      </c>
    </row>
    <row r="545" spans="1:10" x14ac:dyDescent="0.3">
      <c r="A545">
        <v>1050</v>
      </c>
      <c r="B545" t="s">
        <v>1385</v>
      </c>
      <c r="C545" t="s">
        <v>1202</v>
      </c>
      <c r="D545" t="s">
        <v>159</v>
      </c>
      <c r="E545" t="s">
        <v>159</v>
      </c>
      <c r="F545">
        <v>5766</v>
      </c>
      <c r="G545" t="s">
        <v>698</v>
      </c>
      <c r="I545" t="s">
        <v>1205</v>
      </c>
      <c r="J545">
        <v>88</v>
      </c>
    </row>
    <row r="546" spans="1:10" x14ac:dyDescent="0.3">
      <c r="A546">
        <v>1050</v>
      </c>
      <c r="B546" t="s">
        <v>1385</v>
      </c>
      <c r="C546" t="s">
        <v>1202</v>
      </c>
      <c r="D546" t="s">
        <v>159</v>
      </c>
      <c r="E546" t="s">
        <v>159</v>
      </c>
      <c r="F546">
        <v>5766</v>
      </c>
      <c r="G546" t="s">
        <v>696</v>
      </c>
      <c r="I546" t="s">
        <v>1205</v>
      </c>
      <c r="J546">
        <v>1095</v>
      </c>
    </row>
    <row r="547" spans="1:10" x14ac:dyDescent="0.3">
      <c r="A547">
        <v>1050</v>
      </c>
      <c r="B547" t="s">
        <v>1385</v>
      </c>
      <c r="C547" t="s">
        <v>1202</v>
      </c>
      <c r="D547" t="s">
        <v>159</v>
      </c>
      <c r="E547" t="s">
        <v>159</v>
      </c>
      <c r="F547">
        <v>5766</v>
      </c>
      <c r="G547" t="s">
        <v>691</v>
      </c>
      <c r="H547" t="s">
        <v>1384</v>
      </c>
      <c r="I547" t="s">
        <v>1205</v>
      </c>
      <c r="J547">
        <v>65</v>
      </c>
    </row>
    <row r="548" spans="1:10" x14ac:dyDescent="0.3">
      <c r="A548">
        <v>1050</v>
      </c>
      <c r="B548" t="s">
        <v>1385</v>
      </c>
      <c r="C548" t="s">
        <v>1202</v>
      </c>
      <c r="D548" t="s">
        <v>159</v>
      </c>
      <c r="E548" t="s">
        <v>159</v>
      </c>
      <c r="F548">
        <v>5766</v>
      </c>
      <c r="G548" t="s">
        <v>686</v>
      </c>
      <c r="I548" t="s">
        <v>1205</v>
      </c>
      <c r="J548">
        <v>126</v>
      </c>
    </row>
    <row r="549" spans="1:10" x14ac:dyDescent="0.3">
      <c r="A549">
        <v>522</v>
      </c>
      <c r="B549" t="s">
        <v>1387</v>
      </c>
      <c r="C549" t="s">
        <v>1202</v>
      </c>
      <c r="D549" t="s">
        <v>1203</v>
      </c>
      <c r="E549" t="s">
        <v>1204</v>
      </c>
      <c r="F549">
        <v>7829</v>
      </c>
      <c r="G549" t="s">
        <v>700</v>
      </c>
      <c r="I549" t="s">
        <v>1205</v>
      </c>
      <c r="J549">
        <v>555.46870085</v>
      </c>
    </row>
    <row r="550" spans="1:10" x14ac:dyDescent="0.3">
      <c r="A550">
        <v>522</v>
      </c>
      <c r="B550" t="s">
        <v>1387</v>
      </c>
      <c r="C550" t="s">
        <v>1202</v>
      </c>
      <c r="D550" t="s">
        <v>1203</v>
      </c>
      <c r="E550" t="s">
        <v>1204</v>
      </c>
      <c r="F550">
        <v>7829</v>
      </c>
      <c r="G550" t="s">
        <v>703</v>
      </c>
      <c r="I550" t="s">
        <v>1205</v>
      </c>
      <c r="J550">
        <v>325.30211209999999</v>
      </c>
    </row>
    <row r="551" spans="1:10" x14ac:dyDescent="0.3">
      <c r="A551">
        <v>522</v>
      </c>
      <c r="B551" t="s">
        <v>1387</v>
      </c>
      <c r="C551" t="s">
        <v>1202</v>
      </c>
      <c r="D551" t="s">
        <v>1203</v>
      </c>
      <c r="E551" t="s">
        <v>1204</v>
      </c>
      <c r="F551">
        <v>7829</v>
      </c>
      <c r="G551" t="s">
        <v>702</v>
      </c>
      <c r="I551" t="s">
        <v>1205</v>
      </c>
      <c r="J551">
        <v>555.46870085</v>
      </c>
    </row>
    <row r="552" spans="1:10" x14ac:dyDescent="0.3">
      <c r="A552">
        <v>522</v>
      </c>
      <c r="B552" t="s">
        <v>1387</v>
      </c>
      <c r="C552" t="s">
        <v>1202</v>
      </c>
      <c r="D552" t="s">
        <v>1203</v>
      </c>
      <c r="E552" t="s">
        <v>1204</v>
      </c>
      <c r="F552">
        <v>7829</v>
      </c>
      <c r="G552" t="s">
        <v>696</v>
      </c>
      <c r="I552" t="s">
        <v>1205</v>
      </c>
      <c r="J552">
        <v>4063.2075134000002</v>
      </c>
    </row>
    <row r="553" spans="1:10" x14ac:dyDescent="0.3">
      <c r="A553">
        <v>522</v>
      </c>
      <c r="B553" t="s">
        <v>1387</v>
      </c>
      <c r="C553" t="s">
        <v>1202</v>
      </c>
      <c r="D553" t="s">
        <v>1203</v>
      </c>
      <c r="E553" t="s">
        <v>1204</v>
      </c>
      <c r="F553">
        <v>7829</v>
      </c>
      <c r="G553" t="s">
        <v>686</v>
      </c>
      <c r="I553" t="s">
        <v>1205</v>
      </c>
      <c r="J553">
        <v>383.61098125000001</v>
      </c>
    </row>
    <row r="554" spans="1:10" x14ac:dyDescent="0.3">
      <c r="A554">
        <v>522</v>
      </c>
      <c r="B554" t="s">
        <v>1387</v>
      </c>
      <c r="C554" t="s">
        <v>1202</v>
      </c>
      <c r="D554" t="s">
        <v>1203</v>
      </c>
      <c r="E554" t="s">
        <v>1204</v>
      </c>
      <c r="F554">
        <v>7829</v>
      </c>
      <c r="G554" t="s">
        <v>698</v>
      </c>
      <c r="I554" t="s">
        <v>1205</v>
      </c>
      <c r="J554">
        <v>718.11975689999997</v>
      </c>
    </row>
    <row r="555" spans="1:10" x14ac:dyDescent="0.3">
      <c r="A555">
        <v>524</v>
      </c>
      <c r="B555" t="s">
        <v>1388</v>
      </c>
      <c r="C555" t="s">
        <v>1202</v>
      </c>
      <c r="D555" t="s">
        <v>1203</v>
      </c>
      <c r="E555" t="s">
        <v>1204</v>
      </c>
      <c r="F555">
        <v>5553</v>
      </c>
      <c r="G555" t="s">
        <v>698</v>
      </c>
      <c r="I555" t="s">
        <v>1205</v>
      </c>
      <c r="J555">
        <v>481</v>
      </c>
    </row>
    <row r="556" spans="1:10" x14ac:dyDescent="0.3">
      <c r="A556">
        <v>524</v>
      </c>
      <c r="B556" t="s">
        <v>1388</v>
      </c>
      <c r="C556" t="s">
        <v>1202</v>
      </c>
      <c r="D556" t="s">
        <v>1203</v>
      </c>
      <c r="E556" t="s">
        <v>1204</v>
      </c>
      <c r="F556">
        <v>5553</v>
      </c>
      <c r="G556" t="s">
        <v>700</v>
      </c>
      <c r="I556" t="s">
        <v>1205</v>
      </c>
      <c r="J556">
        <v>1352</v>
      </c>
    </row>
    <row r="557" spans="1:10" x14ac:dyDescent="0.3">
      <c r="A557">
        <v>524</v>
      </c>
      <c r="B557" t="s">
        <v>1388</v>
      </c>
      <c r="C557" t="s">
        <v>1202</v>
      </c>
      <c r="D557" t="s">
        <v>1203</v>
      </c>
      <c r="E557" t="s">
        <v>1204</v>
      </c>
      <c r="F557">
        <v>5553</v>
      </c>
      <c r="G557" t="s">
        <v>702</v>
      </c>
      <c r="I557" t="s">
        <v>1205</v>
      </c>
      <c r="J557">
        <v>464</v>
      </c>
    </row>
    <row r="558" spans="1:10" x14ac:dyDescent="0.3">
      <c r="A558">
        <v>524</v>
      </c>
      <c r="B558" t="s">
        <v>1388</v>
      </c>
      <c r="C558" t="s">
        <v>1202</v>
      </c>
      <c r="D558" t="s">
        <v>1203</v>
      </c>
      <c r="E558" t="s">
        <v>1204</v>
      </c>
      <c r="F558">
        <v>5553</v>
      </c>
      <c r="G558" t="s">
        <v>705</v>
      </c>
      <c r="H558" t="s">
        <v>1389</v>
      </c>
      <c r="I558" t="s">
        <v>1205</v>
      </c>
      <c r="J558">
        <v>1228</v>
      </c>
    </row>
    <row r="559" spans="1:10" x14ac:dyDescent="0.3">
      <c r="A559">
        <v>524</v>
      </c>
      <c r="B559" t="s">
        <v>1388</v>
      </c>
      <c r="C559" t="s">
        <v>1202</v>
      </c>
      <c r="D559" t="s">
        <v>1203</v>
      </c>
      <c r="E559" t="s">
        <v>1204</v>
      </c>
      <c r="F559">
        <v>5553</v>
      </c>
      <c r="G559" t="s">
        <v>686</v>
      </c>
      <c r="I559" t="s">
        <v>1205</v>
      </c>
      <c r="J559">
        <v>410</v>
      </c>
    </row>
    <row r="560" spans="1:10" x14ac:dyDescent="0.3">
      <c r="A560">
        <v>524</v>
      </c>
      <c r="B560" t="s">
        <v>1388</v>
      </c>
      <c r="C560" t="s">
        <v>1202</v>
      </c>
      <c r="D560" t="s">
        <v>1203</v>
      </c>
      <c r="E560" t="s">
        <v>1204</v>
      </c>
      <c r="F560">
        <v>5553</v>
      </c>
      <c r="G560" t="s">
        <v>696</v>
      </c>
      <c r="I560" t="s">
        <v>1205</v>
      </c>
      <c r="J560">
        <v>4520</v>
      </c>
    </row>
    <row r="561" spans="1:10" x14ac:dyDescent="0.3">
      <c r="A561">
        <v>545</v>
      </c>
      <c r="B561" t="s">
        <v>1390</v>
      </c>
      <c r="C561" t="s">
        <v>1202</v>
      </c>
      <c r="D561" t="s">
        <v>159</v>
      </c>
      <c r="E561" t="s">
        <v>159</v>
      </c>
      <c r="F561">
        <v>5532</v>
      </c>
      <c r="G561" t="s">
        <v>687</v>
      </c>
      <c r="H561" t="s">
        <v>1260</v>
      </c>
      <c r="I561" t="s">
        <v>1205</v>
      </c>
      <c r="J561">
        <v>49</v>
      </c>
    </row>
    <row r="562" spans="1:10" x14ac:dyDescent="0.3">
      <c r="A562">
        <v>545</v>
      </c>
      <c r="B562" t="s">
        <v>1390</v>
      </c>
      <c r="C562" t="s">
        <v>1202</v>
      </c>
      <c r="D562" t="s">
        <v>159</v>
      </c>
      <c r="E562" t="s">
        <v>159</v>
      </c>
      <c r="F562">
        <v>5532</v>
      </c>
      <c r="G562" t="s">
        <v>686</v>
      </c>
      <c r="I562" t="s">
        <v>1205</v>
      </c>
      <c r="J562">
        <v>1789</v>
      </c>
    </row>
    <row r="563" spans="1:10" x14ac:dyDescent="0.3">
      <c r="A563">
        <v>545</v>
      </c>
      <c r="B563" t="s">
        <v>1390</v>
      </c>
      <c r="C563" t="s">
        <v>1202</v>
      </c>
      <c r="D563" t="s">
        <v>159</v>
      </c>
      <c r="E563" t="s">
        <v>159</v>
      </c>
      <c r="F563">
        <v>5532</v>
      </c>
      <c r="G563" t="s">
        <v>684</v>
      </c>
      <c r="I563" t="s">
        <v>1205</v>
      </c>
      <c r="J563">
        <v>93</v>
      </c>
    </row>
    <row r="564" spans="1:10" x14ac:dyDescent="0.3">
      <c r="A564">
        <v>545</v>
      </c>
      <c r="B564" t="s">
        <v>1390</v>
      </c>
      <c r="C564" t="s">
        <v>1202</v>
      </c>
      <c r="D564" t="s">
        <v>159</v>
      </c>
      <c r="E564" t="s">
        <v>159</v>
      </c>
      <c r="F564">
        <v>5532</v>
      </c>
      <c r="G564" t="s">
        <v>702</v>
      </c>
      <c r="I564" t="s">
        <v>1205</v>
      </c>
      <c r="J564">
        <v>2347</v>
      </c>
    </row>
    <row r="565" spans="1:10" x14ac:dyDescent="0.3">
      <c r="A565">
        <v>545</v>
      </c>
      <c r="B565" t="s">
        <v>1390</v>
      </c>
      <c r="C565" t="s">
        <v>1202</v>
      </c>
      <c r="D565" t="s">
        <v>159</v>
      </c>
      <c r="E565" t="s">
        <v>159</v>
      </c>
      <c r="F565">
        <v>5532</v>
      </c>
      <c r="G565" t="s">
        <v>696</v>
      </c>
      <c r="I565" t="s">
        <v>1205</v>
      </c>
      <c r="J565">
        <v>7170</v>
      </c>
    </row>
    <row r="566" spans="1:10" x14ac:dyDescent="0.3">
      <c r="A566">
        <v>545</v>
      </c>
      <c r="B566" t="s">
        <v>1390</v>
      </c>
      <c r="C566" t="s">
        <v>1202</v>
      </c>
      <c r="D566" t="s">
        <v>159</v>
      </c>
      <c r="E566" t="s">
        <v>159</v>
      </c>
      <c r="F566">
        <v>5532</v>
      </c>
      <c r="G566" t="s">
        <v>701</v>
      </c>
      <c r="I566" t="s">
        <v>1205</v>
      </c>
      <c r="J566">
        <v>464</v>
      </c>
    </row>
    <row r="567" spans="1:10" x14ac:dyDescent="0.3">
      <c r="A567">
        <v>545</v>
      </c>
      <c r="B567" t="s">
        <v>1390</v>
      </c>
      <c r="C567" t="s">
        <v>1202</v>
      </c>
      <c r="D567" t="s">
        <v>159</v>
      </c>
      <c r="E567" t="s">
        <v>159</v>
      </c>
      <c r="F567">
        <v>5532</v>
      </c>
      <c r="G567" t="s">
        <v>700</v>
      </c>
      <c r="I567" t="s">
        <v>1205</v>
      </c>
      <c r="J567">
        <v>1900</v>
      </c>
    </row>
    <row r="568" spans="1:10" x14ac:dyDescent="0.3">
      <c r="A568">
        <v>545</v>
      </c>
      <c r="B568" t="s">
        <v>1390</v>
      </c>
      <c r="C568" t="s">
        <v>1202</v>
      </c>
      <c r="D568" t="s">
        <v>159</v>
      </c>
      <c r="E568" t="s">
        <v>159</v>
      </c>
      <c r="F568">
        <v>5532</v>
      </c>
      <c r="G568" t="s">
        <v>698</v>
      </c>
      <c r="I568" t="s">
        <v>1205</v>
      </c>
      <c r="J568">
        <v>1209</v>
      </c>
    </row>
    <row r="569" spans="1:10" x14ac:dyDescent="0.3">
      <c r="A569">
        <v>545</v>
      </c>
      <c r="B569" t="s">
        <v>1390</v>
      </c>
      <c r="C569" t="s">
        <v>1202</v>
      </c>
      <c r="D569" t="s">
        <v>159</v>
      </c>
      <c r="E569" t="s">
        <v>159</v>
      </c>
      <c r="F569">
        <v>5532</v>
      </c>
      <c r="G569" t="s">
        <v>703</v>
      </c>
      <c r="I569" t="s">
        <v>1205</v>
      </c>
      <c r="J569">
        <v>252</v>
      </c>
    </row>
    <row r="570" spans="1:10" x14ac:dyDescent="0.3">
      <c r="A570">
        <v>547</v>
      </c>
      <c r="B570" t="s">
        <v>1391</v>
      </c>
      <c r="C570" t="s">
        <v>1202</v>
      </c>
      <c r="D570" t="s">
        <v>1203</v>
      </c>
      <c r="E570" t="s">
        <v>1204</v>
      </c>
      <c r="F570">
        <v>7915</v>
      </c>
      <c r="G570" t="s">
        <v>686</v>
      </c>
      <c r="H570" t="s">
        <v>1392</v>
      </c>
      <c r="I570" t="s">
        <v>1205</v>
      </c>
      <c r="J570">
        <v>59.7</v>
      </c>
    </row>
    <row r="571" spans="1:10" x14ac:dyDescent="0.3">
      <c r="A571">
        <v>547</v>
      </c>
      <c r="B571" t="s">
        <v>1391</v>
      </c>
      <c r="C571" t="s">
        <v>1202</v>
      </c>
      <c r="D571" t="s">
        <v>1203</v>
      </c>
      <c r="E571" t="s">
        <v>1204</v>
      </c>
      <c r="F571">
        <v>7915</v>
      </c>
      <c r="G571" t="s">
        <v>696</v>
      </c>
      <c r="H571" t="s">
        <v>1393</v>
      </c>
      <c r="I571" t="s">
        <v>1205</v>
      </c>
      <c r="J571">
        <v>8191</v>
      </c>
    </row>
    <row r="572" spans="1:10" x14ac:dyDescent="0.3">
      <c r="A572">
        <v>547</v>
      </c>
      <c r="B572" t="s">
        <v>1391</v>
      </c>
      <c r="C572" t="s">
        <v>1202</v>
      </c>
      <c r="D572" t="s">
        <v>1203</v>
      </c>
      <c r="E572" t="s">
        <v>1204</v>
      </c>
      <c r="F572">
        <v>7915</v>
      </c>
      <c r="G572" t="s">
        <v>698</v>
      </c>
      <c r="H572" t="s">
        <v>1393</v>
      </c>
      <c r="I572" t="s">
        <v>1205</v>
      </c>
      <c r="J572">
        <v>1033</v>
      </c>
    </row>
    <row r="573" spans="1:10" x14ac:dyDescent="0.3">
      <c r="A573">
        <v>547</v>
      </c>
      <c r="B573" t="s">
        <v>1391</v>
      </c>
      <c r="C573" t="s">
        <v>1202</v>
      </c>
      <c r="D573" t="s">
        <v>1203</v>
      </c>
      <c r="E573" t="s">
        <v>1204</v>
      </c>
      <c r="F573">
        <v>7915</v>
      </c>
      <c r="G573" t="s">
        <v>700</v>
      </c>
      <c r="H573" t="s">
        <v>1394</v>
      </c>
      <c r="I573" t="s">
        <v>1205</v>
      </c>
      <c r="J573">
        <v>2967</v>
      </c>
    </row>
    <row r="574" spans="1:10" x14ac:dyDescent="0.3">
      <c r="A574">
        <v>547</v>
      </c>
      <c r="B574" t="s">
        <v>1391</v>
      </c>
      <c r="C574" t="s">
        <v>1202</v>
      </c>
      <c r="D574" t="s">
        <v>1203</v>
      </c>
      <c r="E574" t="s">
        <v>1204</v>
      </c>
      <c r="F574">
        <v>7915</v>
      </c>
      <c r="G574" t="s">
        <v>691</v>
      </c>
      <c r="H574" t="s">
        <v>1395</v>
      </c>
      <c r="I574" t="s">
        <v>1205</v>
      </c>
      <c r="J574">
        <v>12</v>
      </c>
    </row>
    <row r="575" spans="1:10" x14ac:dyDescent="0.3">
      <c r="A575">
        <v>2979</v>
      </c>
      <c r="B575" t="s">
        <v>1396</v>
      </c>
      <c r="C575" t="s">
        <v>1202</v>
      </c>
      <c r="D575" t="s">
        <v>1203</v>
      </c>
      <c r="E575" t="s">
        <v>1204</v>
      </c>
      <c r="F575">
        <v>6904</v>
      </c>
      <c r="G575" t="s">
        <v>696</v>
      </c>
      <c r="I575" t="s">
        <v>1205</v>
      </c>
      <c r="J575">
        <v>1819.8504950500001</v>
      </c>
    </row>
    <row r="576" spans="1:10" x14ac:dyDescent="0.3">
      <c r="A576">
        <v>2979</v>
      </c>
      <c r="B576" t="s">
        <v>1396</v>
      </c>
      <c r="C576" t="s">
        <v>1202</v>
      </c>
      <c r="D576" t="s">
        <v>1203</v>
      </c>
      <c r="E576" t="s">
        <v>1204</v>
      </c>
      <c r="F576">
        <v>6904</v>
      </c>
      <c r="G576" t="s">
        <v>700</v>
      </c>
      <c r="I576" t="s">
        <v>1205</v>
      </c>
      <c r="J576">
        <v>543.19314944999996</v>
      </c>
    </row>
    <row r="577" spans="1:10" x14ac:dyDescent="0.3">
      <c r="A577">
        <v>2979</v>
      </c>
      <c r="B577" t="s">
        <v>1396</v>
      </c>
      <c r="C577" t="s">
        <v>1202</v>
      </c>
      <c r="D577" t="s">
        <v>1203</v>
      </c>
      <c r="E577" t="s">
        <v>1204</v>
      </c>
      <c r="F577">
        <v>6904</v>
      </c>
      <c r="G577" t="s">
        <v>701</v>
      </c>
      <c r="I577" t="s">
        <v>1205</v>
      </c>
      <c r="J577">
        <v>3.0688878499999999</v>
      </c>
    </row>
    <row r="578" spans="1:10" x14ac:dyDescent="0.3">
      <c r="A578">
        <v>2979</v>
      </c>
      <c r="B578" t="s">
        <v>1396</v>
      </c>
      <c r="C578" t="s">
        <v>1202</v>
      </c>
      <c r="D578" t="s">
        <v>1203</v>
      </c>
      <c r="E578" t="s">
        <v>1204</v>
      </c>
      <c r="F578">
        <v>6904</v>
      </c>
      <c r="G578" t="s">
        <v>703</v>
      </c>
      <c r="I578" t="s">
        <v>1205</v>
      </c>
      <c r="J578">
        <v>46.033317750000002</v>
      </c>
    </row>
    <row r="579" spans="1:10" x14ac:dyDescent="0.3">
      <c r="A579">
        <v>2979</v>
      </c>
      <c r="B579" t="s">
        <v>1396</v>
      </c>
      <c r="C579" t="s">
        <v>1202</v>
      </c>
      <c r="D579" t="s">
        <v>1203</v>
      </c>
      <c r="E579" t="s">
        <v>1204</v>
      </c>
      <c r="F579">
        <v>6904</v>
      </c>
      <c r="G579" t="s">
        <v>686</v>
      </c>
      <c r="J579">
        <v>61.377757000000003</v>
      </c>
    </row>
    <row r="580" spans="1:10" x14ac:dyDescent="0.3">
      <c r="A580">
        <v>2979</v>
      </c>
      <c r="B580" t="s">
        <v>1396</v>
      </c>
      <c r="C580" t="s">
        <v>1202</v>
      </c>
      <c r="D580" t="s">
        <v>1203</v>
      </c>
      <c r="E580" t="s">
        <v>1204</v>
      </c>
      <c r="F580">
        <v>6904</v>
      </c>
      <c r="G580" t="s">
        <v>698</v>
      </c>
      <c r="I580" t="s">
        <v>1205</v>
      </c>
      <c r="J580">
        <v>82.859971950000002</v>
      </c>
    </row>
    <row r="581" spans="1:10" x14ac:dyDescent="0.3">
      <c r="A581">
        <v>561</v>
      </c>
      <c r="B581" t="s">
        <v>1397</v>
      </c>
      <c r="C581" t="s">
        <v>1202</v>
      </c>
      <c r="D581" t="s">
        <v>159</v>
      </c>
      <c r="E581" t="s">
        <v>159</v>
      </c>
      <c r="F581">
        <v>7857</v>
      </c>
      <c r="G581" t="s">
        <v>687</v>
      </c>
      <c r="H581" t="s">
        <v>1398</v>
      </c>
      <c r="I581" t="s">
        <v>1205</v>
      </c>
      <c r="J581">
        <v>478</v>
      </c>
    </row>
    <row r="582" spans="1:10" x14ac:dyDescent="0.3">
      <c r="A582">
        <v>561</v>
      </c>
      <c r="B582" t="s">
        <v>1397</v>
      </c>
      <c r="C582" t="s">
        <v>1202</v>
      </c>
      <c r="D582" t="s">
        <v>159</v>
      </c>
      <c r="E582" t="s">
        <v>159</v>
      </c>
      <c r="F582">
        <v>7857</v>
      </c>
      <c r="G582" t="s">
        <v>687</v>
      </c>
      <c r="H582" t="s">
        <v>1227</v>
      </c>
      <c r="I582" t="s">
        <v>1205</v>
      </c>
      <c r="J582">
        <v>14</v>
      </c>
    </row>
    <row r="583" spans="1:10" x14ac:dyDescent="0.3">
      <c r="A583">
        <v>561</v>
      </c>
      <c r="B583" t="s">
        <v>1397</v>
      </c>
      <c r="C583" t="s">
        <v>1202</v>
      </c>
      <c r="D583" t="s">
        <v>159</v>
      </c>
      <c r="E583" t="s">
        <v>159</v>
      </c>
      <c r="F583">
        <v>7857</v>
      </c>
      <c r="G583" t="s">
        <v>702</v>
      </c>
      <c r="I583" t="s">
        <v>1205</v>
      </c>
      <c r="J583">
        <v>917</v>
      </c>
    </row>
    <row r="584" spans="1:10" x14ac:dyDescent="0.3">
      <c r="A584">
        <v>561</v>
      </c>
      <c r="B584" t="s">
        <v>1397</v>
      </c>
      <c r="C584" t="s">
        <v>1202</v>
      </c>
      <c r="D584" t="s">
        <v>159</v>
      </c>
      <c r="E584" t="s">
        <v>159</v>
      </c>
      <c r="F584">
        <v>7857</v>
      </c>
      <c r="G584" t="s">
        <v>696</v>
      </c>
      <c r="I584" t="s">
        <v>1205</v>
      </c>
      <c r="J584">
        <v>7812</v>
      </c>
    </row>
    <row r="585" spans="1:10" x14ac:dyDescent="0.3">
      <c r="A585">
        <v>561</v>
      </c>
      <c r="B585" t="s">
        <v>1397</v>
      </c>
      <c r="C585" t="s">
        <v>1202</v>
      </c>
      <c r="D585" t="s">
        <v>159</v>
      </c>
      <c r="E585" t="s">
        <v>159</v>
      </c>
      <c r="F585">
        <v>7857</v>
      </c>
      <c r="G585" t="s">
        <v>700</v>
      </c>
      <c r="H585" t="s">
        <v>1214</v>
      </c>
      <c r="I585" t="s">
        <v>1205</v>
      </c>
      <c r="J585">
        <v>844</v>
      </c>
    </row>
    <row r="586" spans="1:10" x14ac:dyDescent="0.3">
      <c r="A586">
        <v>561</v>
      </c>
      <c r="B586" t="s">
        <v>1397</v>
      </c>
      <c r="C586" t="s">
        <v>1202</v>
      </c>
      <c r="D586" t="s">
        <v>159</v>
      </c>
      <c r="E586" t="s">
        <v>159</v>
      </c>
      <c r="F586">
        <v>7857</v>
      </c>
      <c r="G586" t="s">
        <v>698</v>
      </c>
      <c r="I586" t="s">
        <v>1205</v>
      </c>
      <c r="J586">
        <v>2090</v>
      </c>
    </row>
    <row r="587" spans="1:10" x14ac:dyDescent="0.3">
      <c r="A587">
        <v>561</v>
      </c>
      <c r="B587" t="s">
        <v>1397</v>
      </c>
      <c r="C587" t="s">
        <v>1202</v>
      </c>
      <c r="D587" t="s">
        <v>159</v>
      </c>
      <c r="E587" t="s">
        <v>159</v>
      </c>
      <c r="F587">
        <v>7857</v>
      </c>
      <c r="G587" t="s">
        <v>701</v>
      </c>
      <c r="I587" t="s">
        <v>1205</v>
      </c>
      <c r="J587">
        <v>329</v>
      </c>
    </row>
    <row r="588" spans="1:10" x14ac:dyDescent="0.3">
      <c r="A588">
        <v>572</v>
      </c>
      <c r="B588" t="s">
        <v>1399</v>
      </c>
      <c r="C588" t="s">
        <v>1202</v>
      </c>
      <c r="D588" t="s">
        <v>159</v>
      </c>
      <c r="E588" t="s">
        <v>159</v>
      </c>
      <c r="F588">
        <v>7827</v>
      </c>
      <c r="G588" t="s">
        <v>696</v>
      </c>
      <c r="I588" t="s">
        <v>1205</v>
      </c>
      <c r="J588">
        <v>736.53308400000003</v>
      </c>
    </row>
    <row r="589" spans="1:10" x14ac:dyDescent="0.3">
      <c r="A589">
        <v>572</v>
      </c>
      <c r="B589" t="s">
        <v>1399</v>
      </c>
      <c r="C589" t="s">
        <v>1202</v>
      </c>
      <c r="D589" t="s">
        <v>159</v>
      </c>
      <c r="E589" t="s">
        <v>159</v>
      </c>
      <c r="F589">
        <v>7827</v>
      </c>
      <c r="G589" t="s">
        <v>698</v>
      </c>
      <c r="I589" t="s">
        <v>1205</v>
      </c>
      <c r="J589">
        <v>95.13552335</v>
      </c>
    </row>
    <row r="590" spans="1:10" x14ac:dyDescent="0.3">
      <c r="A590">
        <v>572</v>
      </c>
      <c r="B590" t="s">
        <v>1399</v>
      </c>
      <c r="C590" t="s">
        <v>1202</v>
      </c>
      <c r="D590" t="s">
        <v>159</v>
      </c>
      <c r="E590" t="s">
        <v>159</v>
      </c>
      <c r="F590">
        <v>7827</v>
      </c>
      <c r="G590" t="s">
        <v>700</v>
      </c>
      <c r="I590" t="s">
        <v>1205</v>
      </c>
      <c r="J590">
        <v>168.78883175000001</v>
      </c>
    </row>
    <row r="591" spans="1:10" x14ac:dyDescent="0.3">
      <c r="A591">
        <v>572</v>
      </c>
      <c r="B591" t="s">
        <v>1399</v>
      </c>
      <c r="C591" t="s">
        <v>1202</v>
      </c>
      <c r="D591" t="s">
        <v>159</v>
      </c>
      <c r="E591" t="s">
        <v>159</v>
      </c>
      <c r="F591">
        <v>7827</v>
      </c>
      <c r="G591" t="s">
        <v>701</v>
      </c>
      <c r="I591" t="s">
        <v>1205</v>
      </c>
      <c r="J591">
        <v>21.482214949999999</v>
      </c>
    </row>
    <row r="592" spans="1:10" x14ac:dyDescent="0.3">
      <c r="A592">
        <v>572</v>
      </c>
      <c r="B592" t="s">
        <v>1399</v>
      </c>
      <c r="C592" t="s">
        <v>1202</v>
      </c>
      <c r="D592" t="s">
        <v>159</v>
      </c>
      <c r="E592" t="s">
        <v>159</v>
      </c>
      <c r="F592">
        <v>7827</v>
      </c>
      <c r="G592" t="s">
        <v>684</v>
      </c>
      <c r="I592" t="s">
        <v>1205</v>
      </c>
      <c r="J592">
        <v>92.066635500000004</v>
      </c>
    </row>
    <row r="593" spans="1:10" x14ac:dyDescent="0.3">
      <c r="A593">
        <v>572</v>
      </c>
      <c r="B593" t="s">
        <v>1399</v>
      </c>
      <c r="C593" t="s">
        <v>1202</v>
      </c>
      <c r="D593" t="s">
        <v>159</v>
      </c>
      <c r="E593" t="s">
        <v>159</v>
      </c>
      <c r="F593">
        <v>7827</v>
      </c>
      <c r="G593" t="s">
        <v>691</v>
      </c>
      <c r="H593" t="s">
        <v>1400</v>
      </c>
      <c r="I593" t="s">
        <v>1205</v>
      </c>
      <c r="J593">
        <v>18.4133271</v>
      </c>
    </row>
    <row r="594" spans="1:10" x14ac:dyDescent="0.3">
      <c r="A594">
        <v>572</v>
      </c>
      <c r="B594" t="s">
        <v>1399</v>
      </c>
      <c r="C594" t="s">
        <v>1202</v>
      </c>
      <c r="D594" t="s">
        <v>159</v>
      </c>
      <c r="E594" t="s">
        <v>159</v>
      </c>
      <c r="F594">
        <v>7827</v>
      </c>
      <c r="G594" t="s">
        <v>686</v>
      </c>
      <c r="I594" t="s">
        <v>1205</v>
      </c>
      <c r="J594">
        <v>73.6533084</v>
      </c>
    </row>
    <row r="595" spans="1:10" x14ac:dyDescent="0.3">
      <c r="A595">
        <v>574</v>
      </c>
      <c r="B595" t="s">
        <v>1401</v>
      </c>
      <c r="C595" t="s">
        <v>1202</v>
      </c>
      <c r="D595" t="s">
        <v>1203</v>
      </c>
      <c r="E595" t="s">
        <v>1204</v>
      </c>
      <c r="F595">
        <v>5930</v>
      </c>
      <c r="G595" t="s">
        <v>698</v>
      </c>
      <c r="H595" t="s">
        <v>1249</v>
      </c>
      <c r="I595" t="s">
        <v>1205</v>
      </c>
      <c r="J595">
        <v>2434</v>
      </c>
    </row>
    <row r="596" spans="1:10" x14ac:dyDescent="0.3">
      <c r="A596">
        <v>574</v>
      </c>
      <c r="B596" t="s">
        <v>1401</v>
      </c>
      <c r="C596" t="s">
        <v>1202</v>
      </c>
      <c r="D596" t="s">
        <v>1203</v>
      </c>
      <c r="E596" t="s">
        <v>1204</v>
      </c>
      <c r="F596">
        <v>5930</v>
      </c>
      <c r="G596" t="s">
        <v>700</v>
      </c>
      <c r="H596" t="s">
        <v>1402</v>
      </c>
      <c r="I596" t="s">
        <v>1205</v>
      </c>
      <c r="J596">
        <v>2518</v>
      </c>
    </row>
    <row r="597" spans="1:10" x14ac:dyDescent="0.3">
      <c r="A597">
        <v>574</v>
      </c>
      <c r="B597" t="s">
        <v>1401</v>
      </c>
      <c r="C597" t="s">
        <v>1202</v>
      </c>
      <c r="D597" t="s">
        <v>1203</v>
      </c>
      <c r="E597" t="s">
        <v>1204</v>
      </c>
      <c r="F597">
        <v>5930</v>
      </c>
      <c r="G597" t="s">
        <v>703</v>
      </c>
      <c r="I597" t="s">
        <v>1205</v>
      </c>
      <c r="J597">
        <v>703</v>
      </c>
    </row>
    <row r="598" spans="1:10" x14ac:dyDescent="0.3">
      <c r="A598">
        <v>574</v>
      </c>
      <c r="B598" t="s">
        <v>1401</v>
      </c>
      <c r="C598" t="s">
        <v>1202</v>
      </c>
      <c r="D598" t="s">
        <v>1203</v>
      </c>
      <c r="E598" t="s">
        <v>1204</v>
      </c>
      <c r="F598">
        <v>5930</v>
      </c>
      <c r="G598" t="s">
        <v>701</v>
      </c>
      <c r="I598" t="s">
        <v>1205</v>
      </c>
      <c r="J598">
        <v>267</v>
      </c>
    </row>
    <row r="599" spans="1:10" x14ac:dyDescent="0.3">
      <c r="A599">
        <v>574</v>
      </c>
      <c r="B599" t="s">
        <v>1401</v>
      </c>
      <c r="C599" t="s">
        <v>1202</v>
      </c>
      <c r="D599" t="s">
        <v>1203</v>
      </c>
      <c r="E599" t="s">
        <v>1204</v>
      </c>
      <c r="F599">
        <v>5930</v>
      </c>
      <c r="G599" t="s">
        <v>702</v>
      </c>
      <c r="I599" t="s">
        <v>1205</v>
      </c>
      <c r="J599">
        <v>1102</v>
      </c>
    </row>
    <row r="600" spans="1:10" x14ac:dyDescent="0.3">
      <c r="A600">
        <v>574</v>
      </c>
      <c r="B600" t="s">
        <v>1401</v>
      </c>
      <c r="C600" t="s">
        <v>1202</v>
      </c>
      <c r="D600" t="s">
        <v>1203</v>
      </c>
      <c r="E600" t="s">
        <v>1204</v>
      </c>
      <c r="F600">
        <v>5930</v>
      </c>
      <c r="G600" t="s">
        <v>692</v>
      </c>
      <c r="H600" t="s">
        <v>1260</v>
      </c>
      <c r="I600" t="s">
        <v>1205</v>
      </c>
      <c r="J600">
        <v>76</v>
      </c>
    </row>
    <row r="601" spans="1:10" x14ac:dyDescent="0.3">
      <c r="A601">
        <v>574</v>
      </c>
      <c r="B601" t="s">
        <v>1401</v>
      </c>
      <c r="C601" t="s">
        <v>1202</v>
      </c>
      <c r="D601" t="s">
        <v>1203</v>
      </c>
      <c r="E601" t="s">
        <v>1204</v>
      </c>
      <c r="F601">
        <v>5930</v>
      </c>
      <c r="G601" t="s">
        <v>696</v>
      </c>
      <c r="H601" t="s">
        <v>1249</v>
      </c>
      <c r="I601" t="s">
        <v>1205</v>
      </c>
      <c r="J601">
        <v>16638</v>
      </c>
    </row>
    <row r="602" spans="1:10" x14ac:dyDescent="0.3">
      <c r="A602">
        <v>574</v>
      </c>
      <c r="B602" t="s">
        <v>1401</v>
      </c>
      <c r="C602" t="s">
        <v>1202</v>
      </c>
      <c r="D602" t="s">
        <v>1203</v>
      </c>
      <c r="E602" t="s">
        <v>1204</v>
      </c>
      <c r="F602">
        <v>5930</v>
      </c>
      <c r="G602" t="s">
        <v>686</v>
      </c>
      <c r="H602" t="s">
        <v>1247</v>
      </c>
      <c r="I602" t="s">
        <v>1205</v>
      </c>
      <c r="J602">
        <v>1090</v>
      </c>
    </row>
    <row r="603" spans="1:10" x14ac:dyDescent="0.3">
      <c r="A603">
        <v>575</v>
      </c>
      <c r="B603" t="s">
        <v>1403</v>
      </c>
      <c r="C603" t="s">
        <v>1202</v>
      </c>
      <c r="D603" t="s">
        <v>1203</v>
      </c>
      <c r="E603" t="s">
        <v>1204</v>
      </c>
      <c r="F603">
        <v>5460</v>
      </c>
      <c r="G603" t="s">
        <v>696</v>
      </c>
      <c r="I603" t="s">
        <v>1205</v>
      </c>
      <c r="J603">
        <v>4283</v>
      </c>
    </row>
    <row r="604" spans="1:10" x14ac:dyDescent="0.3">
      <c r="A604">
        <v>575</v>
      </c>
      <c r="B604" t="s">
        <v>1403</v>
      </c>
      <c r="C604" t="s">
        <v>1202</v>
      </c>
      <c r="D604" t="s">
        <v>1203</v>
      </c>
      <c r="E604" t="s">
        <v>1204</v>
      </c>
      <c r="F604">
        <v>5460</v>
      </c>
      <c r="G604" t="s">
        <v>698</v>
      </c>
      <c r="I604" t="s">
        <v>1205</v>
      </c>
      <c r="J604">
        <v>693</v>
      </c>
    </row>
    <row r="605" spans="1:10" x14ac:dyDescent="0.3">
      <c r="A605">
        <v>575</v>
      </c>
      <c r="B605" t="s">
        <v>1403</v>
      </c>
      <c r="C605" t="s">
        <v>1202</v>
      </c>
      <c r="D605" t="s">
        <v>1203</v>
      </c>
      <c r="E605" t="s">
        <v>1204</v>
      </c>
      <c r="F605">
        <v>5460</v>
      </c>
      <c r="G605" t="s">
        <v>700</v>
      </c>
      <c r="H605" t="s">
        <v>1404</v>
      </c>
      <c r="I605" t="s">
        <v>1205</v>
      </c>
      <c r="J605">
        <v>779</v>
      </c>
    </row>
    <row r="606" spans="1:10" x14ac:dyDescent="0.3">
      <c r="A606">
        <v>575</v>
      </c>
      <c r="B606" t="s">
        <v>1403</v>
      </c>
      <c r="C606" t="s">
        <v>1202</v>
      </c>
      <c r="D606" t="s">
        <v>1203</v>
      </c>
      <c r="E606" t="s">
        <v>1204</v>
      </c>
      <c r="F606">
        <v>5460</v>
      </c>
      <c r="G606" t="s">
        <v>701</v>
      </c>
      <c r="I606" t="s">
        <v>1205</v>
      </c>
      <c r="J606">
        <v>0</v>
      </c>
    </row>
    <row r="607" spans="1:10" x14ac:dyDescent="0.3">
      <c r="A607">
        <v>575</v>
      </c>
      <c r="B607" t="s">
        <v>1403</v>
      </c>
      <c r="C607" t="s">
        <v>1202</v>
      </c>
      <c r="D607" t="s">
        <v>1203</v>
      </c>
      <c r="E607" t="s">
        <v>1204</v>
      </c>
      <c r="F607">
        <v>5460</v>
      </c>
      <c r="G607" t="s">
        <v>702</v>
      </c>
      <c r="I607" t="s">
        <v>1205</v>
      </c>
      <c r="J607">
        <v>1087</v>
      </c>
    </row>
    <row r="608" spans="1:10" x14ac:dyDescent="0.3">
      <c r="A608">
        <v>575</v>
      </c>
      <c r="B608" t="s">
        <v>1403</v>
      </c>
      <c r="C608" t="s">
        <v>1202</v>
      </c>
      <c r="D608" t="s">
        <v>1203</v>
      </c>
      <c r="E608" t="s">
        <v>1204</v>
      </c>
      <c r="F608">
        <v>5460</v>
      </c>
      <c r="G608" t="s">
        <v>687</v>
      </c>
      <c r="I608" t="s">
        <v>1205</v>
      </c>
      <c r="J608">
        <v>62</v>
      </c>
    </row>
    <row r="609" spans="1:10" x14ac:dyDescent="0.3">
      <c r="A609">
        <v>575</v>
      </c>
      <c r="B609" t="s">
        <v>1403</v>
      </c>
      <c r="C609" t="s">
        <v>1202</v>
      </c>
      <c r="D609" t="s">
        <v>1203</v>
      </c>
      <c r="E609" t="s">
        <v>1204</v>
      </c>
      <c r="F609">
        <v>5460</v>
      </c>
      <c r="G609" t="s">
        <v>687</v>
      </c>
      <c r="H609" t="s">
        <v>1405</v>
      </c>
      <c r="I609" t="s">
        <v>1205</v>
      </c>
      <c r="J609">
        <v>312</v>
      </c>
    </row>
    <row r="610" spans="1:10" x14ac:dyDescent="0.3">
      <c r="A610">
        <v>577</v>
      </c>
      <c r="B610" t="s">
        <v>821</v>
      </c>
      <c r="C610" t="s">
        <v>1202</v>
      </c>
      <c r="D610" t="s">
        <v>159</v>
      </c>
      <c r="E610" t="s">
        <v>159</v>
      </c>
      <c r="F610">
        <v>7785</v>
      </c>
      <c r="G610" t="s">
        <v>687</v>
      </c>
      <c r="H610" t="s">
        <v>1260</v>
      </c>
      <c r="I610" t="s">
        <v>1205</v>
      </c>
      <c r="J610">
        <v>902</v>
      </c>
    </row>
    <row r="611" spans="1:10" x14ac:dyDescent="0.3">
      <c r="A611">
        <v>577</v>
      </c>
      <c r="B611" t="s">
        <v>821</v>
      </c>
      <c r="C611" t="s">
        <v>1202</v>
      </c>
      <c r="D611" t="s">
        <v>159</v>
      </c>
      <c r="E611" t="s">
        <v>159</v>
      </c>
      <c r="F611">
        <v>7785</v>
      </c>
      <c r="G611" t="s">
        <v>702</v>
      </c>
      <c r="I611" t="s">
        <v>1205</v>
      </c>
      <c r="J611">
        <v>22829</v>
      </c>
    </row>
    <row r="612" spans="1:10" x14ac:dyDescent="0.3">
      <c r="A612">
        <v>577</v>
      </c>
      <c r="B612" t="s">
        <v>821</v>
      </c>
      <c r="C612" t="s">
        <v>1202</v>
      </c>
      <c r="D612" t="s">
        <v>159</v>
      </c>
      <c r="E612" t="s">
        <v>159</v>
      </c>
      <c r="F612">
        <v>7785</v>
      </c>
      <c r="G612" t="s">
        <v>687</v>
      </c>
      <c r="H612" t="s">
        <v>1405</v>
      </c>
      <c r="I612" t="s">
        <v>1205</v>
      </c>
      <c r="J612">
        <v>11116</v>
      </c>
    </row>
    <row r="613" spans="1:10" x14ac:dyDescent="0.3">
      <c r="A613">
        <v>577</v>
      </c>
      <c r="B613" t="s">
        <v>821</v>
      </c>
      <c r="C613" t="s">
        <v>1202</v>
      </c>
      <c r="D613" t="s">
        <v>159</v>
      </c>
      <c r="E613" t="s">
        <v>159</v>
      </c>
      <c r="F613">
        <v>7785</v>
      </c>
      <c r="G613" t="s">
        <v>698</v>
      </c>
      <c r="I613" t="s">
        <v>1205</v>
      </c>
      <c r="J613">
        <v>3996</v>
      </c>
    </row>
    <row r="614" spans="1:10" x14ac:dyDescent="0.3">
      <c r="A614">
        <v>577</v>
      </c>
      <c r="B614" t="s">
        <v>821</v>
      </c>
      <c r="C614" t="s">
        <v>1202</v>
      </c>
      <c r="D614" t="s">
        <v>159</v>
      </c>
      <c r="E614" t="s">
        <v>159</v>
      </c>
      <c r="F614">
        <v>7785</v>
      </c>
      <c r="G614" t="s">
        <v>700</v>
      </c>
      <c r="I614" t="s">
        <v>1205</v>
      </c>
      <c r="J614">
        <v>4242</v>
      </c>
    </row>
    <row r="615" spans="1:10" x14ac:dyDescent="0.3">
      <c r="A615">
        <v>577</v>
      </c>
      <c r="B615" t="s">
        <v>821</v>
      </c>
      <c r="C615" t="s">
        <v>1202</v>
      </c>
      <c r="D615" t="s">
        <v>159</v>
      </c>
      <c r="E615" t="s">
        <v>159</v>
      </c>
      <c r="F615">
        <v>7785</v>
      </c>
      <c r="G615" t="s">
        <v>696</v>
      </c>
      <c r="I615" t="s">
        <v>1205</v>
      </c>
      <c r="J615">
        <v>54816</v>
      </c>
    </row>
    <row r="616" spans="1:10" x14ac:dyDescent="0.3">
      <c r="A616">
        <v>577</v>
      </c>
      <c r="B616" t="s">
        <v>821</v>
      </c>
      <c r="C616" t="s">
        <v>1202</v>
      </c>
      <c r="D616" t="s">
        <v>159</v>
      </c>
      <c r="E616" t="s">
        <v>159</v>
      </c>
      <c r="F616">
        <v>7785</v>
      </c>
      <c r="G616" t="s">
        <v>703</v>
      </c>
      <c r="I616" t="s">
        <v>1205</v>
      </c>
      <c r="J616">
        <v>1941</v>
      </c>
    </row>
    <row r="617" spans="1:10" x14ac:dyDescent="0.3">
      <c r="A617">
        <v>578</v>
      </c>
      <c r="B617" t="s">
        <v>896</v>
      </c>
      <c r="C617" t="s">
        <v>1202</v>
      </c>
      <c r="D617" t="s">
        <v>1203</v>
      </c>
      <c r="E617" t="s">
        <v>1204</v>
      </c>
      <c r="F617">
        <v>7652</v>
      </c>
      <c r="G617" t="s">
        <v>700</v>
      </c>
      <c r="I617" t="s">
        <v>1205</v>
      </c>
      <c r="J617">
        <v>1875.09047635</v>
      </c>
    </row>
    <row r="618" spans="1:10" x14ac:dyDescent="0.3">
      <c r="A618">
        <v>578</v>
      </c>
      <c r="B618" t="s">
        <v>896</v>
      </c>
      <c r="C618" t="s">
        <v>1202</v>
      </c>
      <c r="D618" t="s">
        <v>1203</v>
      </c>
      <c r="E618" t="s">
        <v>1204</v>
      </c>
      <c r="F618">
        <v>7652</v>
      </c>
      <c r="G618" t="s">
        <v>686</v>
      </c>
      <c r="I618" t="s">
        <v>1205</v>
      </c>
      <c r="J618">
        <v>475.67761675000003</v>
      </c>
    </row>
    <row r="619" spans="1:10" x14ac:dyDescent="0.3">
      <c r="A619">
        <v>578</v>
      </c>
      <c r="B619" t="s">
        <v>896</v>
      </c>
      <c r="C619" t="s">
        <v>1202</v>
      </c>
      <c r="D619" t="s">
        <v>1203</v>
      </c>
      <c r="E619" t="s">
        <v>1204</v>
      </c>
      <c r="F619">
        <v>7652</v>
      </c>
      <c r="G619" t="s">
        <v>696</v>
      </c>
      <c r="I619" t="s">
        <v>1205</v>
      </c>
      <c r="J619">
        <v>1721.64608385</v>
      </c>
    </row>
    <row r="620" spans="1:10" x14ac:dyDescent="0.3">
      <c r="A620">
        <v>578</v>
      </c>
      <c r="B620" t="s">
        <v>896</v>
      </c>
      <c r="C620" t="s">
        <v>1202</v>
      </c>
      <c r="D620" t="s">
        <v>1203</v>
      </c>
      <c r="E620" t="s">
        <v>1204</v>
      </c>
      <c r="F620">
        <v>7652</v>
      </c>
      <c r="G620" t="s">
        <v>698</v>
      </c>
      <c r="I620" t="s">
        <v>1205</v>
      </c>
      <c r="J620">
        <v>141.16884110000001</v>
      </c>
    </row>
    <row r="621" spans="1:10" x14ac:dyDescent="0.3">
      <c r="A621">
        <v>583</v>
      </c>
      <c r="B621" t="s">
        <v>1406</v>
      </c>
      <c r="C621" t="s">
        <v>1202</v>
      </c>
      <c r="D621" t="s">
        <v>159</v>
      </c>
      <c r="E621" t="s">
        <v>159</v>
      </c>
      <c r="F621">
        <v>7159</v>
      </c>
      <c r="G621" t="s">
        <v>696</v>
      </c>
      <c r="I621" t="s">
        <v>1205</v>
      </c>
      <c r="J621">
        <v>1015.80187835</v>
      </c>
    </row>
    <row r="622" spans="1:10" x14ac:dyDescent="0.3">
      <c r="A622">
        <v>583</v>
      </c>
      <c r="B622" t="s">
        <v>1406</v>
      </c>
      <c r="C622" t="s">
        <v>1202</v>
      </c>
      <c r="D622" t="s">
        <v>159</v>
      </c>
      <c r="E622" t="s">
        <v>159</v>
      </c>
      <c r="F622">
        <v>7159</v>
      </c>
      <c r="G622" t="s">
        <v>698</v>
      </c>
      <c r="I622" t="s">
        <v>1205</v>
      </c>
      <c r="J622">
        <v>107.41107475</v>
      </c>
    </row>
    <row r="623" spans="1:10" x14ac:dyDescent="0.3">
      <c r="A623">
        <v>583</v>
      </c>
      <c r="B623" t="s">
        <v>1406</v>
      </c>
      <c r="C623" t="s">
        <v>1202</v>
      </c>
      <c r="D623" t="s">
        <v>159</v>
      </c>
      <c r="E623" t="s">
        <v>159</v>
      </c>
      <c r="F623">
        <v>7159</v>
      </c>
      <c r="G623" t="s">
        <v>702</v>
      </c>
      <c r="H623" t="s">
        <v>1275</v>
      </c>
      <c r="I623" t="s">
        <v>1205</v>
      </c>
      <c r="J623">
        <v>113.54885045</v>
      </c>
    </row>
    <row r="624" spans="1:10" x14ac:dyDescent="0.3">
      <c r="A624">
        <v>583</v>
      </c>
      <c r="B624" t="s">
        <v>1406</v>
      </c>
      <c r="C624" t="s">
        <v>1202</v>
      </c>
      <c r="D624" t="s">
        <v>159</v>
      </c>
      <c r="E624" t="s">
        <v>159</v>
      </c>
      <c r="F624">
        <v>7159</v>
      </c>
      <c r="G624" t="s">
        <v>684</v>
      </c>
      <c r="H624" t="s">
        <v>1275</v>
      </c>
      <c r="I624" t="s">
        <v>1205</v>
      </c>
      <c r="J624">
        <v>220.95992519999999</v>
      </c>
    </row>
    <row r="625" spans="1:10" x14ac:dyDescent="0.3">
      <c r="A625">
        <v>583</v>
      </c>
      <c r="B625" t="s">
        <v>1406</v>
      </c>
      <c r="C625" t="s">
        <v>1202</v>
      </c>
      <c r="D625" t="s">
        <v>159</v>
      </c>
      <c r="E625" t="s">
        <v>159</v>
      </c>
      <c r="F625">
        <v>7159</v>
      </c>
      <c r="G625" t="s">
        <v>691</v>
      </c>
      <c r="H625" t="s">
        <v>1274</v>
      </c>
      <c r="I625" t="s">
        <v>1205</v>
      </c>
      <c r="J625">
        <v>18.4133271</v>
      </c>
    </row>
    <row r="626" spans="1:10" x14ac:dyDescent="0.3">
      <c r="A626">
        <v>583</v>
      </c>
      <c r="B626" t="s">
        <v>1406</v>
      </c>
      <c r="C626" t="s">
        <v>1202</v>
      </c>
      <c r="D626" t="s">
        <v>159</v>
      </c>
      <c r="E626" t="s">
        <v>159</v>
      </c>
      <c r="F626">
        <v>7159</v>
      </c>
      <c r="G626" t="s">
        <v>691</v>
      </c>
      <c r="H626" t="s">
        <v>1189</v>
      </c>
      <c r="I626" t="s">
        <v>1205</v>
      </c>
      <c r="J626">
        <v>46.033317750000002</v>
      </c>
    </row>
    <row r="627" spans="1:10" x14ac:dyDescent="0.3">
      <c r="A627">
        <v>583</v>
      </c>
      <c r="B627" t="s">
        <v>1406</v>
      </c>
      <c r="C627" t="s">
        <v>1202</v>
      </c>
      <c r="D627" t="s">
        <v>159</v>
      </c>
      <c r="E627" t="s">
        <v>159</v>
      </c>
      <c r="F627">
        <v>7159</v>
      </c>
      <c r="G627" t="s">
        <v>691</v>
      </c>
      <c r="H627" t="s">
        <v>1407</v>
      </c>
      <c r="I627" t="s">
        <v>1205</v>
      </c>
      <c r="J627">
        <v>9.20666355</v>
      </c>
    </row>
    <row r="628" spans="1:10" x14ac:dyDescent="0.3">
      <c r="A628">
        <v>583</v>
      </c>
      <c r="B628" t="s">
        <v>1406</v>
      </c>
      <c r="C628" t="s">
        <v>1202</v>
      </c>
      <c r="D628" t="s">
        <v>159</v>
      </c>
      <c r="E628" t="s">
        <v>159</v>
      </c>
      <c r="F628">
        <v>7159</v>
      </c>
      <c r="G628" t="s">
        <v>691</v>
      </c>
      <c r="H628" t="s">
        <v>1408</v>
      </c>
      <c r="I628" t="s">
        <v>1205</v>
      </c>
      <c r="J628">
        <v>15.344439250000001</v>
      </c>
    </row>
    <row r="629" spans="1:10" x14ac:dyDescent="0.3">
      <c r="A629">
        <v>583</v>
      </c>
      <c r="B629" t="s">
        <v>1406</v>
      </c>
      <c r="C629" t="s">
        <v>1202</v>
      </c>
      <c r="D629" t="s">
        <v>159</v>
      </c>
      <c r="E629" t="s">
        <v>159</v>
      </c>
      <c r="F629">
        <v>7159</v>
      </c>
      <c r="G629" t="s">
        <v>691</v>
      </c>
      <c r="H629" t="s">
        <v>1409</v>
      </c>
      <c r="I629" t="s">
        <v>1205</v>
      </c>
      <c r="J629">
        <v>18.4133271</v>
      </c>
    </row>
    <row r="630" spans="1:10" x14ac:dyDescent="0.3">
      <c r="A630">
        <v>583</v>
      </c>
      <c r="B630" t="s">
        <v>1406</v>
      </c>
      <c r="C630" t="s">
        <v>1202</v>
      </c>
      <c r="D630" t="s">
        <v>159</v>
      </c>
      <c r="E630" t="s">
        <v>159</v>
      </c>
      <c r="F630">
        <v>7159</v>
      </c>
      <c r="G630" t="s">
        <v>691</v>
      </c>
      <c r="H630" t="s">
        <v>1410</v>
      </c>
      <c r="I630" t="s">
        <v>1205</v>
      </c>
      <c r="J630">
        <v>0</v>
      </c>
    </row>
    <row r="631" spans="1:10" x14ac:dyDescent="0.3">
      <c r="A631">
        <v>583</v>
      </c>
      <c r="B631" t="s">
        <v>1406</v>
      </c>
      <c r="C631" t="s">
        <v>1202</v>
      </c>
      <c r="D631" t="s">
        <v>159</v>
      </c>
      <c r="E631" t="s">
        <v>159</v>
      </c>
      <c r="F631">
        <v>7159</v>
      </c>
      <c r="G631" t="s">
        <v>691</v>
      </c>
      <c r="H631" t="s">
        <v>1186</v>
      </c>
      <c r="I631" t="s">
        <v>1205</v>
      </c>
      <c r="J631">
        <v>70.584420550000004</v>
      </c>
    </row>
    <row r="632" spans="1:10" x14ac:dyDescent="0.3">
      <c r="A632">
        <v>583</v>
      </c>
      <c r="B632" t="s">
        <v>1406</v>
      </c>
      <c r="C632" t="s">
        <v>1202</v>
      </c>
      <c r="D632" t="s">
        <v>159</v>
      </c>
      <c r="E632" t="s">
        <v>159</v>
      </c>
      <c r="F632">
        <v>7159</v>
      </c>
      <c r="G632" t="s">
        <v>691</v>
      </c>
      <c r="H632" t="s">
        <v>1411</v>
      </c>
      <c r="I632" t="s">
        <v>1205</v>
      </c>
      <c r="J632">
        <v>6.1377756999999997</v>
      </c>
    </row>
    <row r="633" spans="1:10" x14ac:dyDescent="0.3">
      <c r="A633">
        <v>583</v>
      </c>
      <c r="B633" t="s">
        <v>1406</v>
      </c>
      <c r="C633" t="s">
        <v>1202</v>
      </c>
      <c r="D633" t="s">
        <v>159</v>
      </c>
      <c r="E633" t="s">
        <v>159</v>
      </c>
      <c r="F633">
        <v>7159</v>
      </c>
      <c r="G633" t="s">
        <v>691</v>
      </c>
      <c r="H633" t="s">
        <v>1260</v>
      </c>
      <c r="I633" t="s">
        <v>1205</v>
      </c>
      <c r="J633">
        <v>6.1377756999999997</v>
      </c>
    </row>
    <row r="634" spans="1:10" x14ac:dyDescent="0.3">
      <c r="A634">
        <v>583</v>
      </c>
      <c r="B634" t="s">
        <v>1406</v>
      </c>
      <c r="C634" t="s">
        <v>1202</v>
      </c>
      <c r="D634" t="s">
        <v>159</v>
      </c>
      <c r="E634" t="s">
        <v>159</v>
      </c>
      <c r="F634">
        <v>7159</v>
      </c>
      <c r="G634" t="s">
        <v>692</v>
      </c>
      <c r="I634" t="s">
        <v>1210</v>
      </c>
      <c r="J634">
        <v>165.7199439</v>
      </c>
    </row>
    <row r="635" spans="1:10" x14ac:dyDescent="0.3">
      <c r="A635">
        <v>583</v>
      </c>
      <c r="B635" t="s">
        <v>1406</v>
      </c>
      <c r="C635" t="s">
        <v>1202</v>
      </c>
      <c r="D635" t="s">
        <v>159</v>
      </c>
      <c r="E635" t="s">
        <v>159</v>
      </c>
      <c r="F635">
        <v>7159</v>
      </c>
      <c r="G635" t="s">
        <v>686</v>
      </c>
      <c r="H635" t="s">
        <v>1412</v>
      </c>
      <c r="I635" t="s">
        <v>1205</v>
      </c>
      <c r="J635">
        <v>128.8932897</v>
      </c>
    </row>
    <row r="636" spans="1:10" x14ac:dyDescent="0.3">
      <c r="A636">
        <v>583</v>
      </c>
      <c r="B636" t="s">
        <v>1406</v>
      </c>
      <c r="C636" t="s">
        <v>1202</v>
      </c>
      <c r="D636" t="s">
        <v>159</v>
      </c>
      <c r="E636" t="s">
        <v>159</v>
      </c>
      <c r="F636">
        <v>7159</v>
      </c>
      <c r="G636" t="s">
        <v>700</v>
      </c>
      <c r="I636" t="s">
        <v>1205</v>
      </c>
      <c r="J636">
        <v>104.3421869</v>
      </c>
    </row>
    <row r="637" spans="1:10" x14ac:dyDescent="0.3">
      <c r="A637">
        <v>596</v>
      </c>
      <c r="B637" t="s">
        <v>1413</v>
      </c>
      <c r="C637" t="s">
        <v>1202</v>
      </c>
      <c r="D637" t="s">
        <v>1203</v>
      </c>
      <c r="E637" t="s">
        <v>1204</v>
      </c>
      <c r="F637">
        <v>5734</v>
      </c>
      <c r="G637" t="s">
        <v>700</v>
      </c>
      <c r="H637" t="s">
        <v>700</v>
      </c>
      <c r="I637" t="s">
        <v>1205</v>
      </c>
      <c r="J637">
        <v>3545</v>
      </c>
    </row>
    <row r="638" spans="1:10" x14ac:dyDescent="0.3">
      <c r="A638">
        <v>596</v>
      </c>
      <c r="B638" t="s">
        <v>1413</v>
      </c>
      <c r="C638" t="s">
        <v>1202</v>
      </c>
      <c r="D638" t="s">
        <v>1203</v>
      </c>
      <c r="E638" t="s">
        <v>1204</v>
      </c>
      <c r="F638">
        <v>5734</v>
      </c>
      <c r="G638" t="s">
        <v>703</v>
      </c>
      <c r="H638" t="s">
        <v>1414</v>
      </c>
      <c r="I638" t="s">
        <v>1205</v>
      </c>
      <c r="J638">
        <v>253</v>
      </c>
    </row>
    <row r="639" spans="1:10" x14ac:dyDescent="0.3">
      <c r="A639">
        <v>596</v>
      </c>
      <c r="B639" t="s">
        <v>1413</v>
      </c>
      <c r="C639" t="s">
        <v>1202</v>
      </c>
      <c r="D639" t="s">
        <v>1203</v>
      </c>
      <c r="E639" t="s">
        <v>1204</v>
      </c>
      <c r="F639">
        <v>5734</v>
      </c>
      <c r="G639" t="s">
        <v>686</v>
      </c>
      <c r="H639" t="s">
        <v>1415</v>
      </c>
      <c r="I639" t="s">
        <v>1205</v>
      </c>
      <c r="J639">
        <v>849</v>
      </c>
    </row>
    <row r="640" spans="1:10" x14ac:dyDescent="0.3">
      <c r="A640">
        <v>596</v>
      </c>
      <c r="B640" t="s">
        <v>1413</v>
      </c>
      <c r="C640" t="s">
        <v>1202</v>
      </c>
      <c r="D640" t="s">
        <v>1203</v>
      </c>
      <c r="E640" t="s">
        <v>1204</v>
      </c>
      <c r="F640">
        <v>5734</v>
      </c>
      <c r="G640" t="s">
        <v>696</v>
      </c>
      <c r="H640" t="s">
        <v>1393</v>
      </c>
      <c r="I640" t="s">
        <v>1205</v>
      </c>
      <c r="J640">
        <v>4597</v>
      </c>
    </row>
    <row r="641" spans="1:10" x14ac:dyDescent="0.3">
      <c r="A641">
        <v>613</v>
      </c>
      <c r="B641" t="s">
        <v>804</v>
      </c>
      <c r="C641" t="s">
        <v>1202</v>
      </c>
      <c r="D641" t="s">
        <v>1203</v>
      </c>
      <c r="E641" t="s">
        <v>1204</v>
      </c>
      <c r="F641">
        <v>5673</v>
      </c>
      <c r="G641" t="s">
        <v>691</v>
      </c>
      <c r="H641" t="s">
        <v>1416</v>
      </c>
      <c r="I641" t="s">
        <v>1205</v>
      </c>
      <c r="J641">
        <v>20</v>
      </c>
    </row>
    <row r="642" spans="1:10" x14ac:dyDescent="0.3">
      <c r="A642">
        <v>613</v>
      </c>
      <c r="B642" t="s">
        <v>804</v>
      </c>
      <c r="C642" t="s">
        <v>1202</v>
      </c>
      <c r="D642" t="s">
        <v>1203</v>
      </c>
      <c r="E642" t="s">
        <v>1204</v>
      </c>
      <c r="F642">
        <v>5673</v>
      </c>
      <c r="G642" t="s">
        <v>701</v>
      </c>
      <c r="H642" t="s">
        <v>1417</v>
      </c>
      <c r="I642" t="s">
        <v>1210</v>
      </c>
      <c r="J642">
        <v>26410</v>
      </c>
    </row>
    <row r="643" spans="1:10" x14ac:dyDescent="0.3">
      <c r="A643">
        <v>613</v>
      </c>
      <c r="B643" t="s">
        <v>804</v>
      </c>
      <c r="C643" t="s">
        <v>1202</v>
      </c>
      <c r="D643" t="s">
        <v>1203</v>
      </c>
      <c r="E643" t="s">
        <v>1204</v>
      </c>
      <c r="F643">
        <v>5673</v>
      </c>
      <c r="G643" t="s">
        <v>702</v>
      </c>
      <c r="H643" t="s">
        <v>1418</v>
      </c>
      <c r="I643" t="s">
        <v>1210</v>
      </c>
      <c r="J643">
        <v>1100</v>
      </c>
    </row>
    <row r="644" spans="1:10" x14ac:dyDescent="0.3">
      <c r="A644">
        <v>613</v>
      </c>
      <c r="B644" t="s">
        <v>804</v>
      </c>
      <c r="C644" t="s">
        <v>1202</v>
      </c>
      <c r="D644" t="s">
        <v>1203</v>
      </c>
      <c r="E644" t="s">
        <v>1204</v>
      </c>
      <c r="F644">
        <v>5673</v>
      </c>
      <c r="G644" t="s">
        <v>687</v>
      </c>
      <c r="H644" t="s">
        <v>1419</v>
      </c>
      <c r="I644" t="s">
        <v>1210</v>
      </c>
      <c r="J644">
        <v>3500</v>
      </c>
    </row>
    <row r="645" spans="1:10" x14ac:dyDescent="0.3">
      <c r="A645">
        <v>613</v>
      </c>
      <c r="B645" t="s">
        <v>804</v>
      </c>
      <c r="C645" t="s">
        <v>1202</v>
      </c>
      <c r="D645" t="s">
        <v>1203</v>
      </c>
      <c r="E645" t="s">
        <v>1204</v>
      </c>
      <c r="F645">
        <v>5673</v>
      </c>
      <c r="G645" t="s">
        <v>686</v>
      </c>
      <c r="H645" t="s">
        <v>1420</v>
      </c>
      <c r="I645" t="s">
        <v>1205</v>
      </c>
      <c r="J645">
        <v>3100</v>
      </c>
    </row>
    <row r="646" spans="1:10" x14ac:dyDescent="0.3">
      <c r="A646">
        <v>613</v>
      </c>
      <c r="B646" t="s">
        <v>804</v>
      </c>
      <c r="C646" t="s">
        <v>1202</v>
      </c>
      <c r="D646" t="s">
        <v>1203</v>
      </c>
      <c r="E646" t="s">
        <v>1204</v>
      </c>
      <c r="F646">
        <v>5673</v>
      </c>
      <c r="G646" t="s">
        <v>703</v>
      </c>
      <c r="H646" t="s">
        <v>1421</v>
      </c>
      <c r="I646" t="s">
        <v>1205</v>
      </c>
      <c r="J646">
        <v>1470</v>
      </c>
    </row>
    <row r="647" spans="1:10" x14ac:dyDescent="0.3">
      <c r="A647">
        <v>613</v>
      </c>
      <c r="B647" t="s">
        <v>804</v>
      </c>
      <c r="C647" t="s">
        <v>1202</v>
      </c>
      <c r="D647" t="s">
        <v>1203</v>
      </c>
      <c r="E647" t="s">
        <v>1204</v>
      </c>
      <c r="F647">
        <v>5673</v>
      </c>
      <c r="G647" t="s">
        <v>700</v>
      </c>
      <c r="H647" t="s">
        <v>1422</v>
      </c>
      <c r="I647" t="s">
        <v>1205</v>
      </c>
      <c r="J647">
        <v>4320</v>
      </c>
    </row>
    <row r="648" spans="1:10" x14ac:dyDescent="0.3">
      <c r="A648">
        <v>613</v>
      </c>
      <c r="B648" t="s">
        <v>804</v>
      </c>
      <c r="C648" t="s">
        <v>1202</v>
      </c>
      <c r="D648" t="s">
        <v>1203</v>
      </c>
      <c r="E648" t="s">
        <v>1204</v>
      </c>
      <c r="F648">
        <v>5673</v>
      </c>
      <c r="G648" t="s">
        <v>698</v>
      </c>
      <c r="H648" t="s">
        <v>1423</v>
      </c>
      <c r="I648" t="s">
        <v>1205</v>
      </c>
      <c r="J648">
        <v>6660</v>
      </c>
    </row>
    <row r="649" spans="1:10" x14ac:dyDescent="0.3">
      <c r="A649">
        <v>613</v>
      </c>
      <c r="B649" t="s">
        <v>804</v>
      </c>
      <c r="C649" t="s">
        <v>1202</v>
      </c>
      <c r="D649" t="s">
        <v>1203</v>
      </c>
      <c r="E649" t="s">
        <v>1204</v>
      </c>
      <c r="F649">
        <v>5673</v>
      </c>
      <c r="G649" t="s">
        <v>696</v>
      </c>
      <c r="H649" t="s">
        <v>1424</v>
      </c>
      <c r="I649" t="s">
        <v>1205</v>
      </c>
      <c r="J649">
        <v>16990</v>
      </c>
    </row>
    <row r="650" spans="1:10" x14ac:dyDescent="0.3">
      <c r="A650">
        <v>613</v>
      </c>
      <c r="B650" t="s">
        <v>804</v>
      </c>
      <c r="C650" t="s">
        <v>1202</v>
      </c>
      <c r="D650" t="s">
        <v>1203</v>
      </c>
      <c r="E650" t="s">
        <v>1204</v>
      </c>
      <c r="F650">
        <v>5673</v>
      </c>
      <c r="G650" t="s">
        <v>701</v>
      </c>
      <c r="H650" t="s">
        <v>701</v>
      </c>
      <c r="I650" t="s">
        <v>1205</v>
      </c>
      <c r="J650">
        <v>40</v>
      </c>
    </row>
    <row r="651" spans="1:10" x14ac:dyDescent="0.3">
      <c r="A651">
        <v>624</v>
      </c>
      <c r="B651" t="s">
        <v>1425</v>
      </c>
      <c r="C651" t="s">
        <v>1202</v>
      </c>
      <c r="D651" t="s">
        <v>159</v>
      </c>
      <c r="E651" t="s">
        <v>159</v>
      </c>
      <c r="F651">
        <v>5690</v>
      </c>
      <c r="G651" t="s">
        <v>686</v>
      </c>
      <c r="H651" t="s">
        <v>1426</v>
      </c>
      <c r="I651" t="s">
        <v>1205</v>
      </c>
      <c r="J651">
        <v>1625</v>
      </c>
    </row>
    <row r="652" spans="1:10" x14ac:dyDescent="0.3">
      <c r="A652">
        <v>624</v>
      </c>
      <c r="B652" t="s">
        <v>1425</v>
      </c>
      <c r="C652" t="s">
        <v>1202</v>
      </c>
      <c r="D652" t="s">
        <v>159</v>
      </c>
      <c r="E652" t="s">
        <v>159</v>
      </c>
      <c r="F652">
        <v>5690</v>
      </c>
      <c r="G652" t="s">
        <v>705</v>
      </c>
      <c r="H652" t="s">
        <v>1427</v>
      </c>
      <c r="I652" t="s">
        <v>1205</v>
      </c>
      <c r="J652">
        <v>429</v>
      </c>
    </row>
    <row r="653" spans="1:10" x14ac:dyDescent="0.3">
      <c r="A653">
        <v>624</v>
      </c>
      <c r="B653" t="s">
        <v>1425</v>
      </c>
      <c r="C653" t="s">
        <v>1202</v>
      </c>
      <c r="D653" t="s">
        <v>159</v>
      </c>
      <c r="E653" t="s">
        <v>159</v>
      </c>
      <c r="F653">
        <v>5690</v>
      </c>
      <c r="G653" t="s">
        <v>691</v>
      </c>
      <c r="H653" t="s">
        <v>1428</v>
      </c>
      <c r="I653" t="s">
        <v>1205</v>
      </c>
      <c r="J653">
        <v>159</v>
      </c>
    </row>
    <row r="654" spans="1:10" x14ac:dyDescent="0.3">
      <c r="A654">
        <v>624</v>
      </c>
      <c r="B654" t="s">
        <v>1425</v>
      </c>
      <c r="C654" t="s">
        <v>1202</v>
      </c>
      <c r="D654" t="s">
        <v>159</v>
      </c>
      <c r="E654" t="s">
        <v>159</v>
      </c>
      <c r="F654">
        <v>5690</v>
      </c>
      <c r="G654" t="s">
        <v>702</v>
      </c>
      <c r="H654" t="s">
        <v>1429</v>
      </c>
      <c r="I654" t="s">
        <v>1205</v>
      </c>
      <c r="J654">
        <v>3226</v>
      </c>
    </row>
    <row r="655" spans="1:10" x14ac:dyDescent="0.3">
      <c r="A655">
        <v>624</v>
      </c>
      <c r="B655" t="s">
        <v>1425</v>
      </c>
      <c r="C655" t="s">
        <v>1202</v>
      </c>
      <c r="D655" t="s">
        <v>159</v>
      </c>
      <c r="E655" t="s">
        <v>159</v>
      </c>
      <c r="F655">
        <v>5690</v>
      </c>
      <c r="G655" t="s">
        <v>701</v>
      </c>
      <c r="H655" t="s">
        <v>701</v>
      </c>
      <c r="I655" t="s">
        <v>1205</v>
      </c>
      <c r="J655">
        <v>1005</v>
      </c>
    </row>
    <row r="656" spans="1:10" x14ac:dyDescent="0.3">
      <c r="A656">
        <v>624</v>
      </c>
      <c r="B656" t="s">
        <v>1425</v>
      </c>
      <c r="C656" t="s">
        <v>1202</v>
      </c>
      <c r="D656" t="s">
        <v>159</v>
      </c>
      <c r="E656" t="s">
        <v>159</v>
      </c>
      <c r="F656">
        <v>5690</v>
      </c>
      <c r="G656" t="s">
        <v>700</v>
      </c>
      <c r="H656" t="s">
        <v>1430</v>
      </c>
      <c r="I656" t="s">
        <v>1205</v>
      </c>
      <c r="J656">
        <v>2944</v>
      </c>
    </row>
    <row r="657" spans="1:10" x14ac:dyDescent="0.3">
      <c r="A657">
        <v>624</v>
      </c>
      <c r="B657" t="s">
        <v>1425</v>
      </c>
      <c r="C657" t="s">
        <v>1202</v>
      </c>
      <c r="D657" t="s">
        <v>159</v>
      </c>
      <c r="E657" t="s">
        <v>159</v>
      </c>
      <c r="F657">
        <v>5690</v>
      </c>
      <c r="G657" t="s">
        <v>698</v>
      </c>
      <c r="H657" t="s">
        <v>1431</v>
      </c>
      <c r="I657" t="s">
        <v>1205</v>
      </c>
      <c r="J657">
        <v>2674</v>
      </c>
    </row>
    <row r="658" spans="1:10" x14ac:dyDescent="0.3">
      <c r="A658">
        <v>624</v>
      </c>
      <c r="B658" t="s">
        <v>1425</v>
      </c>
      <c r="C658" t="s">
        <v>1202</v>
      </c>
      <c r="D658" t="s">
        <v>159</v>
      </c>
      <c r="E658" t="s">
        <v>159</v>
      </c>
      <c r="F658">
        <v>5690</v>
      </c>
      <c r="G658" t="s">
        <v>696</v>
      </c>
      <c r="H658" t="s">
        <v>1432</v>
      </c>
      <c r="I658" t="s">
        <v>1205</v>
      </c>
      <c r="J658">
        <v>19450</v>
      </c>
    </row>
    <row r="659" spans="1:10" x14ac:dyDescent="0.3">
      <c r="A659">
        <v>624</v>
      </c>
      <c r="B659" t="s">
        <v>1425</v>
      </c>
      <c r="C659" t="s">
        <v>1202</v>
      </c>
      <c r="D659" t="s">
        <v>159</v>
      </c>
      <c r="E659" t="s">
        <v>159</v>
      </c>
      <c r="F659">
        <v>5690</v>
      </c>
      <c r="G659" t="s">
        <v>686</v>
      </c>
      <c r="H659" t="s">
        <v>1433</v>
      </c>
      <c r="I659" t="s">
        <v>1205</v>
      </c>
      <c r="J659">
        <v>2729</v>
      </c>
    </row>
    <row r="660" spans="1:10" x14ac:dyDescent="0.3">
      <c r="A660">
        <v>644</v>
      </c>
      <c r="B660" t="s">
        <v>1434</v>
      </c>
      <c r="C660" t="s">
        <v>1202</v>
      </c>
      <c r="D660" t="s">
        <v>159</v>
      </c>
      <c r="E660" t="s">
        <v>159</v>
      </c>
      <c r="F660">
        <v>5450</v>
      </c>
      <c r="G660" t="s">
        <v>687</v>
      </c>
      <c r="H660" t="s">
        <v>1260</v>
      </c>
      <c r="I660" t="s">
        <v>1205</v>
      </c>
      <c r="J660">
        <v>22</v>
      </c>
    </row>
    <row r="661" spans="1:10" x14ac:dyDescent="0.3">
      <c r="A661">
        <v>644</v>
      </c>
      <c r="B661" t="s">
        <v>1434</v>
      </c>
      <c r="C661" t="s">
        <v>1202</v>
      </c>
      <c r="D661" t="s">
        <v>159</v>
      </c>
      <c r="E661" t="s">
        <v>159</v>
      </c>
      <c r="F661">
        <v>5450</v>
      </c>
      <c r="G661" t="s">
        <v>687</v>
      </c>
      <c r="H661" t="s">
        <v>1435</v>
      </c>
      <c r="I661" t="s">
        <v>1205</v>
      </c>
      <c r="J661">
        <v>203</v>
      </c>
    </row>
    <row r="662" spans="1:10" x14ac:dyDescent="0.3">
      <c r="A662">
        <v>644</v>
      </c>
      <c r="B662" t="s">
        <v>1434</v>
      </c>
      <c r="C662" t="s">
        <v>1202</v>
      </c>
      <c r="D662" t="s">
        <v>159</v>
      </c>
      <c r="E662" t="s">
        <v>159</v>
      </c>
      <c r="F662">
        <v>5450</v>
      </c>
      <c r="G662" t="s">
        <v>686</v>
      </c>
      <c r="I662" t="s">
        <v>1205</v>
      </c>
      <c r="J662">
        <v>21</v>
      </c>
    </row>
    <row r="663" spans="1:10" x14ac:dyDescent="0.3">
      <c r="A663">
        <v>644</v>
      </c>
      <c r="B663" t="s">
        <v>1434</v>
      </c>
      <c r="C663" t="s">
        <v>1202</v>
      </c>
      <c r="D663" t="s">
        <v>159</v>
      </c>
      <c r="E663" t="s">
        <v>159</v>
      </c>
      <c r="F663">
        <v>5450</v>
      </c>
      <c r="G663" t="s">
        <v>696</v>
      </c>
      <c r="I663" t="s">
        <v>1205</v>
      </c>
      <c r="J663">
        <v>3052</v>
      </c>
    </row>
    <row r="664" spans="1:10" x14ac:dyDescent="0.3">
      <c r="A664">
        <v>644</v>
      </c>
      <c r="B664" t="s">
        <v>1434</v>
      </c>
      <c r="C664" t="s">
        <v>1202</v>
      </c>
      <c r="D664" t="s">
        <v>159</v>
      </c>
      <c r="E664" t="s">
        <v>159</v>
      </c>
      <c r="F664">
        <v>5450</v>
      </c>
      <c r="G664" t="s">
        <v>698</v>
      </c>
      <c r="I664" t="s">
        <v>1205</v>
      </c>
      <c r="J664">
        <v>886</v>
      </c>
    </row>
    <row r="665" spans="1:10" x14ac:dyDescent="0.3">
      <c r="A665">
        <v>644</v>
      </c>
      <c r="B665" t="s">
        <v>1434</v>
      </c>
      <c r="C665" t="s">
        <v>1202</v>
      </c>
      <c r="D665" t="s">
        <v>159</v>
      </c>
      <c r="E665" t="s">
        <v>159</v>
      </c>
      <c r="F665">
        <v>5450</v>
      </c>
      <c r="G665" t="s">
        <v>703</v>
      </c>
      <c r="I665" t="s">
        <v>1205</v>
      </c>
      <c r="J665">
        <v>344</v>
      </c>
    </row>
    <row r="666" spans="1:10" x14ac:dyDescent="0.3">
      <c r="A666">
        <v>644</v>
      </c>
      <c r="B666" t="s">
        <v>1434</v>
      </c>
      <c r="C666" t="s">
        <v>1202</v>
      </c>
      <c r="D666" t="s">
        <v>159</v>
      </c>
      <c r="E666" t="s">
        <v>159</v>
      </c>
      <c r="F666">
        <v>5450</v>
      </c>
      <c r="G666" t="s">
        <v>701</v>
      </c>
      <c r="I666" t="s">
        <v>1205</v>
      </c>
      <c r="J666">
        <v>19</v>
      </c>
    </row>
    <row r="667" spans="1:10" x14ac:dyDescent="0.3">
      <c r="A667">
        <v>644</v>
      </c>
      <c r="B667" t="s">
        <v>1434</v>
      </c>
      <c r="C667" t="s">
        <v>1202</v>
      </c>
      <c r="D667" t="s">
        <v>159</v>
      </c>
      <c r="E667" t="s">
        <v>159</v>
      </c>
      <c r="F667">
        <v>5450</v>
      </c>
      <c r="G667" t="s">
        <v>700</v>
      </c>
      <c r="I667" t="s">
        <v>1205</v>
      </c>
      <c r="J667">
        <v>752</v>
      </c>
    </row>
    <row r="668" spans="1:10" x14ac:dyDescent="0.3">
      <c r="A668">
        <v>644</v>
      </c>
      <c r="B668" t="s">
        <v>1434</v>
      </c>
      <c r="C668" t="s">
        <v>1202</v>
      </c>
      <c r="D668" t="s">
        <v>159</v>
      </c>
      <c r="E668" t="s">
        <v>159</v>
      </c>
      <c r="F668">
        <v>5450</v>
      </c>
      <c r="G668" t="s">
        <v>702</v>
      </c>
      <c r="I668" t="s">
        <v>1205</v>
      </c>
      <c r="J668">
        <v>88</v>
      </c>
    </row>
    <row r="669" spans="1:10" x14ac:dyDescent="0.3">
      <c r="A669">
        <v>649</v>
      </c>
      <c r="B669" t="s">
        <v>1436</v>
      </c>
      <c r="C669" t="s">
        <v>1202</v>
      </c>
      <c r="D669" t="s">
        <v>159</v>
      </c>
      <c r="E669" t="s">
        <v>159</v>
      </c>
      <c r="F669">
        <v>5683</v>
      </c>
      <c r="G669" t="s">
        <v>701</v>
      </c>
      <c r="I669" t="s">
        <v>1205</v>
      </c>
      <c r="J669">
        <v>3.0688878499999999</v>
      </c>
    </row>
    <row r="670" spans="1:10" x14ac:dyDescent="0.3">
      <c r="A670">
        <v>649</v>
      </c>
      <c r="B670" t="s">
        <v>1436</v>
      </c>
      <c r="C670" t="s">
        <v>1202</v>
      </c>
      <c r="D670" t="s">
        <v>159</v>
      </c>
      <c r="E670" t="s">
        <v>159</v>
      </c>
      <c r="F670">
        <v>5683</v>
      </c>
      <c r="G670" t="s">
        <v>700</v>
      </c>
      <c r="I670" t="s">
        <v>1205</v>
      </c>
      <c r="J670">
        <v>589.2264672</v>
      </c>
    </row>
    <row r="671" spans="1:10" x14ac:dyDescent="0.3">
      <c r="A671">
        <v>649</v>
      </c>
      <c r="B671" t="s">
        <v>1436</v>
      </c>
      <c r="C671" t="s">
        <v>1202</v>
      </c>
      <c r="D671" t="s">
        <v>159</v>
      </c>
      <c r="E671" t="s">
        <v>159</v>
      </c>
      <c r="F671">
        <v>5683</v>
      </c>
      <c r="G671" t="s">
        <v>703</v>
      </c>
      <c r="I671" t="s">
        <v>1205</v>
      </c>
      <c r="J671">
        <v>549.33092514999998</v>
      </c>
    </row>
    <row r="672" spans="1:10" x14ac:dyDescent="0.3">
      <c r="A672">
        <v>649</v>
      </c>
      <c r="B672" t="s">
        <v>1436</v>
      </c>
      <c r="C672" t="s">
        <v>1202</v>
      </c>
      <c r="D672" t="s">
        <v>159</v>
      </c>
      <c r="E672" t="s">
        <v>159</v>
      </c>
      <c r="F672">
        <v>5683</v>
      </c>
      <c r="G672" t="s">
        <v>686</v>
      </c>
      <c r="I672" t="s">
        <v>1205</v>
      </c>
      <c r="J672">
        <v>653.67311204999999</v>
      </c>
    </row>
    <row r="673" spans="1:10" x14ac:dyDescent="0.3">
      <c r="A673">
        <v>649</v>
      </c>
      <c r="B673" t="s">
        <v>1436</v>
      </c>
      <c r="C673" t="s">
        <v>1202</v>
      </c>
      <c r="D673" t="s">
        <v>159</v>
      </c>
      <c r="E673" t="s">
        <v>159</v>
      </c>
      <c r="F673">
        <v>5683</v>
      </c>
      <c r="G673" t="s">
        <v>696</v>
      </c>
      <c r="I673" t="s">
        <v>1205</v>
      </c>
      <c r="J673">
        <v>758.01529894999999</v>
      </c>
    </row>
    <row r="674" spans="1:10" x14ac:dyDescent="0.3">
      <c r="A674">
        <v>651</v>
      </c>
      <c r="B674" t="s">
        <v>1437</v>
      </c>
      <c r="C674" t="s">
        <v>1202</v>
      </c>
      <c r="D674" t="s">
        <v>1203</v>
      </c>
      <c r="E674" t="s">
        <v>1204</v>
      </c>
      <c r="F674">
        <v>5729</v>
      </c>
      <c r="G674" t="s">
        <v>686</v>
      </c>
      <c r="I674" t="s">
        <v>1205</v>
      </c>
      <c r="J674">
        <v>376.31</v>
      </c>
    </row>
    <row r="675" spans="1:10" x14ac:dyDescent="0.3">
      <c r="A675">
        <v>651</v>
      </c>
      <c r="B675" t="s">
        <v>1437</v>
      </c>
      <c r="C675" t="s">
        <v>1202</v>
      </c>
      <c r="D675" t="s">
        <v>1203</v>
      </c>
      <c r="E675" t="s">
        <v>1204</v>
      </c>
      <c r="F675">
        <v>5729</v>
      </c>
      <c r="G675" t="s">
        <v>696</v>
      </c>
      <c r="I675" t="s">
        <v>1205</v>
      </c>
      <c r="J675">
        <v>2490.41</v>
      </c>
    </row>
    <row r="676" spans="1:10" x14ac:dyDescent="0.3">
      <c r="A676">
        <v>651</v>
      </c>
      <c r="B676" t="s">
        <v>1437</v>
      </c>
      <c r="C676" t="s">
        <v>1202</v>
      </c>
      <c r="D676" t="s">
        <v>1203</v>
      </c>
      <c r="E676" t="s">
        <v>1204</v>
      </c>
      <c r="F676">
        <v>5729</v>
      </c>
      <c r="G676" t="s">
        <v>702</v>
      </c>
      <c r="I676" t="s">
        <v>1205</v>
      </c>
      <c r="J676">
        <v>234</v>
      </c>
    </row>
    <row r="677" spans="1:10" x14ac:dyDescent="0.3">
      <c r="A677">
        <v>651</v>
      </c>
      <c r="B677" t="s">
        <v>1437</v>
      </c>
      <c r="C677" t="s">
        <v>1202</v>
      </c>
      <c r="D677" t="s">
        <v>1203</v>
      </c>
      <c r="E677" t="s">
        <v>1204</v>
      </c>
      <c r="F677">
        <v>5729</v>
      </c>
      <c r="G677" t="s">
        <v>698</v>
      </c>
      <c r="I677" t="s">
        <v>1205</v>
      </c>
      <c r="J677">
        <v>836.33</v>
      </c>
    </row>
    <row r="678" spans="1:10" x14ac:dyDescent="0.3">
      <c r="A678">
        <v>651</v>
      </c>
      <c r="B678" t="s">
        <v>1437</v>
      </c>
      <c r="C678" t="s">
        <v>1202</v>
      </c>
      <c r="D678" t="s">
        <v>1203</v>
      </c>
      <c r="E678" t="s">
        <v>1204</v>
      </c>
      <c r="F678">
        <v>5729</v>
      </c>
      <c r="G678" t="s">
        <v>700</v>
      </c>
      <c r="H678" t="s">
        <v>1438</v>
      </c>
      <c r="I678" t="s">
        <v>1205</v>
      </c>
      <c r="J678">
        <v>278.76</v>
      </c>
    </row>
    <row r="679" spans="1:10" x14ac:dyDescent="0.3">
      <c r="A679">
        <v>654</v>
      </c>
      <c r="B679" t="s">
        <v>1439</v>
      </c>
      <c r="C679" t="s">
        <v>1202</v>
      </c>
      <c r="D679" t="s">
        <v>159</v>
      </c>
      <c r="E679" t="s">
        <v>159</v>
      </c>
      <c r="F679">
        <v>7861</v>
      </c>
      <c r="G679" t="s">
        <v>698</v>
      </c>
      <c r="I679" t="s">
        <v>1205</v>
      </c>
      <c r="J679">
        <v>17.059228476431201</v>
      </c>
    </row>
    <row r="680" spans="1:10" x14ac:dyDescent="0.3">
      <c r="A680">
        <v>654</v>
      </c>
      <c r="B680" t="s">
        <v>1439</v>
      </c>
      <c r="C680" t="s">
        <v>1202</v>
      </c>
      <c r="D680" t="s">
        <v>159</v>
      </c>
      <c r="E680" t="s">
        <v>159</v>
      </c>
      <c r="F680">
        <v>7861</v>
      </c>
      <c r="G680" t="s">
        <v>700</v>
      </c>
      <c r="I680" t="s">
        <v>1205</v>
      </c>
      <c r="J680">
        <v>96.035352557468201</v>
      </c>
    </row>
    <row r="681" spans="1:10" x14ac:dyDescent="0.3">
      <c r="A681">
        <v>654</v>
      </c>
      <c r="B681" t="s">
        <v>1439</v>
      </c>
      <c r="C681" t="s">
        <v>1202</v>
      </c>
      <c r="D681" t="s">
        <v>159</v>
      </c>
      <c r="E681" t="s">
        <v>159</v>
      </c>
      <c r="F681">
        <v>7861</v>
      </c>
      <c r="G681" t="s">
        <v>686</v>
      </c>
      <c r="H681" t="s">
        <v>1440</v>
      </c>
      <c r="I681" t="s">
        <v>1205</v>
      </c>
      <c r="J681">
        <v>43.542240144323799</v>
      </c>
    </row>
    <row r="682" spans="1:10" x14ac:dyDescent="0.3">
      <c r="A682">
        <v>654</v>
      </c>
      <c r="B682" t="s">
        <v>1439</v>
      </c>
      <c r="C682" t="s">
        <v>1202</v>
      </c>
      <c r="D682" t="s">
        <v>159</v>
      </c>
      <c r="E682" t="s">
        <v>159</v>
      </c>
      <c r="F682">
        <v>7861</v>
      </c>
      <c r="G682" t="s">
        <v>691</v>
      </c>
      <c r="H682" t="s">
        <v>1428</v>
      </c>
      <c r="I682" t="s">
        <v>1205</v>
      </c>
      <c r="J682">
        <v>0.20202019996312001</v>
      </c>
    </row>
    <row r="683" spans="1:10" x14ac:dyDescent="0.3">
      <c r="A683">
        <v>654</v>
      </c>
      <c r="B683" t="s">
        <v>1439</v>
      </c>
      <c r="C683" t="s">
        <v>1202</v>
      </c>
      <c r="D683" t="s">
        <v>159</v>
      </c>
      <c r="E683" t="s">
        <v>159</v>
      </c>
      <c r="F683">
        <v>7861</v>
      </c>
      <c r="G683" t="s">
        <v>696</v>
      </c>
      <c r="I683" t="s">
        <v>1205</v>
      </c>
      <c r="J683">
        <v>554.65564173510802</v>
      </c>
    </row>
    <row r="684" spans="1:10" x14ac:dyDescent="0.3">
      <c r="A684">
        <v>664</v>
      </c>
      <c r="B684" t="s">
        <v>1441</v>
      </c>
      <c r="C684" t="s">
        <v>1202</v>
      </c>
      <c r="D684" t="s">
        <v>159</v>
      </c>
      <c r="E684" t="s">
        <v>159</v>
      </c>
      <c r="F684">
        <v>8035</v>
      </c>
      <c r="G684" t="s">
        <v>696</v>
      </c>
      <c r="I684" t="s">
        <v>1205</v>
      </c>
      <c r="J684">
        <v>24267</v>
      </c>
    </row>
    <row r="685" spans="1:10" x14ac:dyDescent="0.3">
      <c r="A685">
        <v>664</v>
      </c>
      <c r="B685" t="s">
        <v>1441</v>
      </c>
      <c r="C685" t="s">
        <v>1202</v>
      </c>
      <c r="D685" t="s">
        <v>159</v>
      </c>
      <c r="E685" t="s">
        <v>159</v>
      </c>
      <c r="F685">
        <v>8035</v>
      </c>
      <c r="G685" t="s">
        <v>687</v>
      </c>
      <c r="I685" t="s">
        <v>1205</v>
      </c>
      <c r="J685">
        <v>83</v>
      </c>
    </row>
    <row r="686" spans="1:10" x14ac:dyDescent="0.3">
      <c r="A686">
        <v>664</v>
      </c>
      <c r="B686" t="s">
        <v>1441</v>
      </c>
      <c r="C686" t="s">
        <v>1202</v>
      </c>
      <c r="D686" t="s">
        <v>159</v>
      </c>
      <c r="E686" t="s">
        <v>159</v>
      </c>
      <c r="F686">
        <v>8035</v>
      </c>
      <c r="G686" t="s">
        <v>686</v>
      </c>
      <c r="I686" t="s">
        <v>1205</v>
      </c>
      <c r="J686">
        <v>3806</v>
      </c>
    </row>
    <row r="687" spans="1:10" x14ac:dyDescent="0.3">
      <c r="A687">
        <v>664</v>
      </c>
      <c r="B687" t="s">
        <v>1441</v>
      </c>
      <c r="C687" t="s">
        <v>1202</v>
      </c>
      <c r="D687" t="s">
        <v>159</v>
      </c>
      <c r="E687" t="s">
        <v>159</v>
      </c>
      <c r="F687">
        <v>8035</v>
      </c>
      <c r="G687" t="s">
        <v>684</v>
      </c>
      <c r="I687" t="s">
        <v>1205</v>
      </c>
      <c r="J687">
        <v>11</v>
      </c>
    </row>
    <row r="688" spans="1:10" x14ac:dyDescent="0.3">
      <c r="A688">
        <v>664</v>
      </c>
      <c r="B688" t="s">
        <v>1441</v>
      </c>
      <c r="C688" t="s">
        <v>1202</v>
      </c>
      <c r="D688" t="s">
        <v>159</v>
      </c>
      <c r="E688" t="s">
        <v>159</v>
      </c>
      <c r="F688">
        <v>8035</v>
      </c>
      <c r="G688" t="s">
        <v>698</v>
      </c>
      <c r="I688" t="s">
        <v>1205</v>
      </c>
      <c r="J688">
        <v>4064</v>
      </c>
    </row>
    <row r="689" spans="1:10" x14ac:dyDescent="0.3">
      <c r="A689">
        <v>664</v>
      </c>
      <c r="B689" t="s">
        <v>1441</v>
      </c>
      <c r="C689" t="s">
        <v>1202</v>
      </c>
      <c r="D689" t="s">
        <v>159</v>
      </c>
      <c r="E689" t="s">
        <v>159</v>
      </c>
      <c r="F689">
        <v>8035</v>
      </c>
      <c r="G689" t="s">
        <v>703</v>
      </c>
      <c r="I689" t="s">
        <v>1205</v>
      </c>
      <c r="J689">
        <v>616</v>
      </c>
    </row>
    <row r="690" spans="1:10" x14ac:dyDescent="0.3">
      <c r="A690">
        <v>664</v>
      </c>
      <c r="B690" t="s">
        <v>1441</v>
      </c>
      <c r="C690" t="s">
        <v>1202</v>
      </c>
      <c r="D690" t="s">
        <v>159</v>
      </c>
      <c r="E690" t="s">
        <v>159</v>
      </c>
      <c r="F690">
        <v>8035</v>
      </c>
      <c r="G690" t="s">
        <v>701</v>
      </c>
      <c r="I690" t="s">
        <v>1205</v>
      </c>
      <c r="J690">
        <v>2097</v>
      </c>
    </row>
    <row r="691" spans="1:10" x14ac:dyDescent="0.3">
      <c r="A691">
        <v>664</v>
      </c>
      <c r="B691" t="s">
        <v>1441</v>
      </c>
      <c r="C691" t="s">
        <v>1202</v>
      </c>
      <c r="D691" t="s">
        <v>159</v>
      </c>
      <c r="E691" t="s">
        <v>159</v>
      </c>
      <c r="F691">
        <v>8035</v>
      </c>
      <c r="G691" t="s">
        <v>700</v>
      </c>
      <c r="I691" t="s">
        <v>1205</v>
      </c>
      <c r="J691">
        <v>1978</v>
      </c>
    </row>
    <row r="692" spans="1:10" x14ac:dyDescent="0.3">
      <c r="A692">
        <v>664</v>
      </c>
      <c r="B692" t="s">
        <v>1441</v>
      </c>
      <c r="C692" t="s">
        <v>1202</v>
      </c>
      <c r="D692" t="s">
        <v>159</v>
      </c>
      <c r="E692" t="s">
        <v>159</v>
      </c>
      <c r="F692">
        <v>8035</v>
      </c>
      <c r="G692" t="s">
        <v>702</v>
      </c>
      <c r="I692" t="s">
        <v>1205</v>
      </c>
      <c r="J692">
        <v>9099</v>
      </c>
    </row>
    <row r="693" spans="1:10" x14ac:dyDescent="0.3">
      <c r="A693">
        <v>673</v>
      </c>
      <c r="B693" t="s">
        <v>1442</v>
      </c>
      <c r="C693" t="s">
        <v>1202</v>
      </c>
      <c r="D693" t="s">
        <v>159</v>
      </c>
      <c r="E693" t="s">
        <v>159</v>
      </c>
      <c r="F693">
        <v>7793</v>
      </c>
      <c r="G693" t="s">
        <v>686</v>
      </c>
      <c r="I693" t="s">
        <v>1205</v>
      </c>
      <c r="J693">
        <v>678.22421484999995</v>
      </c>
    </row>
    <row r="694" spans="1:10" x14ac:dyDescent="0.3">
      <c r="A694">
        <v>673</v>
      </c>
      <c r="B694" t="s">
        <v>1442</v>
      </c>
      <c r="C694" t="s">
        <v>1202</v>
      </c>
      <c r="D694" t="s">
        <v>159</v>
      </c>
      <c r="E694" t="s">
        <v>159</v>
      </c>
      <c r="F694">
        <v>7793</v>
      </c>
      <c r="G694" t="s">
        <v>702</v>
      </c>
      <c r="I694" t="s">
        <v>1205</v>
      </c>
      <c r="J694">
        <v>156.51328035</v>
      </c>
    </row>
    <row r="695" spans="1:10" x14ac:dyDescent="0.3">
      <c r="A695">
        <v>673</v>
      </c>
      <c r="B695" t="s">
        <v>1442</v>
      </c>
      <c r="C695" t="s">
        <v>1202</v>
      </c>
      <c r="D695" t="s">
        <v>159</v>
      </c>
      <c r="E695" t="s">
        <v>159</v>
      </c>
      <c r="F695">
        <v>7793</v>
      </c>
      <c r="G695" t="s">
        <v>696</v>
      </c>
      <c r="I695" t="s">
        <v>1205</v>
      </c>
      <c r="J695">
        <v>3516.9454761000002</v>
      </c>
    </row>
    <row r="696" spans="1:10" x14ac:dyDescent="0.3">
      <c r="A696">
        <v>673</v>
      </c>
      <c r="B696" t="s">
        <v>1442</v>
      </c>
      <c r="C696" t="s">
        <v>1202</v>
      </c>
      <c r="D696" t="s">
        <v>159</v>
      </c>
      <c r="E696" t="s">
        <v>159</v>
      </c>
      <c r="F696">
        <v>7793</v>
      </c>
      <c r="G696" t="s">
        <v>698</v>
      </c>
      <c r="H696" t="s">
        <v>1443</v>
      </c>
      <c r="I696" t="s">
        <v>1205</v>
      </c>
      <c r="J696">
        <v>1623.4416726500001</v>
      </c>
    </row>
    <row r="697" spans="1:10" x14ac:dyDescent="0.3">
      <c r="A697">
        <v>673</v>
      </c>
      <c r="B697" t="s">
        <v>1442</v>
      </c>
      <c r="C697" t="s">
        <v>1202</v>
      </c>
      <c r="D697" t="s">
        <v>159</v>
      </c>
      <c r="E697" t="s">
        <v>159</v>
      </c>
      <c r="F697">
        <v>7793</v>
      </c>
      <c r="G697" t="s">
        <v>700</v>
      </c>
      <c r="H697" t="s">
        <v>1444</v>
      </c>
      <c r="I697" t="s">
        <v>1205</v>
      </c>
      <c r="J697">
        <v>696.63754195000001</v>
      </c>
    </row>
    <row r="698" spans="1:10" x14ac:dyDescent="0.3">
      <c r="A698">
        <v>678</v>
      </c>
      <c r="B698" t="s">
        <v>1445</v>
      </c>
      <c r="C698" t="s">
        <v>1202</v>
      </c>
      <c r="D698" t="s">
        <v>159</v>
      </c>
      <c r="E698" t="s">
        <v>159</v>
      </c>
      <c r="F698">
        <v>7334</v>
      </c>
      <c r="G698" t="s">
        <v>686</v>
      </c>
      <c r="H698" t="s">
        <v>1446</v>
      </c>
      <c r="I698" t="s">
        <v>1205</v>
      </c>
      <c r="J698">
        <v>877</v>
      </c>
    </row>
    <row r="699" spans="1:10" x14ac:dyDescent="0.3">
      <c r="A699">
        <v>678</v>
      </c>
      <c r="B699" t="s">
        <v>1445</v>
      </c>
      <c r="C699" t="s">
        <v>1202</v>
      </c>
      <c r="D699" t="s">
        <v>159</v>
      </c>
      <c r="E699" t="s">
        <v>159</v>
      </c>
      <c r="F699">
        <v>7334</v>
      </c>
      <c r="G699" t="s">
        <v>691</v>
      </c>
      <c r="H699" t="s">
        <v>1447</v>
      </c>
      <c r="I699" t="s">
        <v>1205</v>
      </c>
      <c r="J699">
        <v>2085</v>
      </c>
    </row>
    <row r="700" spans="1:10" x14ac:dyDescent="0.3">
      <c r="A700">
        <v>678</v>
      </c>
      <c r="B700" t="s">
        <v>1445</v>
      </c>
      <c r="C700" t="s">
        <v>1202</v>
      </c>
      <c r="D700" t="s">
        <v>159</v>
      </c>
      <c r="E700" t="s">
        <v>159</v>
      </c>
      <c r="F700">
        <v>7334</v>
      </c>
      <c r="G700" t="s">
        <v>698</v>
      </c>
      <c r="I700" t="s">
        <v>1205</v>
      </c>
      <c r="J700">
        <v>1987</v>
      </c>
    </row>
    <row r="701" spans="1:10" x14ac:dyDescent="0.3">
      <c r="A701">
        <v>678</v>
      </c>
      <c r="B701" t="s">
        <v>1445</v>
      </c>
      <c r="C701" t="s">
        <v>1202</v>
      </c>
      <c r="D701" t="s">
        <v>159</v>
      </c>
      <c r="E701" t="s">
        <v>159</v>
      </c>
      <c r="F701">
        <v>7334</v>
      </c>
      <c r="G701" t="s">
        <v>696</v>
      </c>
      <c r="H701" t="s">
        <v>1448</v>
      </c>
      <c r="I701" t="s">
        <v>1205</v>
      </c>
      <c r="J701">
        <v>5539</v>
      </c>
    </row>
    <row r="702" spans="1:10" x14ac:dyDescent="0.3">
      <c r="A702">
        <v>699</v>
      </c>
      <c r="B702" t="s">
        <v>1449</v>
      </c>
      <c r="C702" t="s">
        <v>1202</v>
      </c>
      <c r="D702" t="s">
        <v>159</v>
      </c>
      <c r="E702" t="s">
        <v>159</v>
      </c>
      <c r="F702">
        <v>6729</v>
      </c>
      <c r="G702" t="s">
        <v>696</v>
      </c>
      <c r="I702" t="s">
        <v>1205</v>
      </c>
      <c r="J702">
        <v>582.56197753910396</v>
      </c>
    </row>
    <row r="703" spans="1:10" x14ac:dyDescent="0.3">
      <c r="A703">
        <v>699</v>
      </c>
      <c r="B703" t="s">
        <v>1449</v>
      </c>
      <c r="C703" t="s">
        <v>1202</v>
      </c>
      <c r="D703" t="s">
        <v>159</v>
      </c>
      <c r="E703" t="s">
        <v>159</v>
      </c>
      <c r="F703">
        <v>6729</v>
      </c>
      <c r="G703" t="s">
        <v>686</v>
      </c>
      <c r="H703" t="s">
        <v>1450</v>
      </c>
      <c r="I703" t="s">
        <v>1205</v>
      </c>
      <c r="J703">
        <v>90.998621662933104</v>
      </c>
    </row>
    <row r="704" spans="1:10" x14ac:dyDescent="0.3">
      <c r="A704">
        <v>699</v>
      </c>
      <c r="B704" t="s">
        <v>1449</v>
      </c>
      <c r="C704" t="s">
        <v>1202</v>
      </c>
      <c r="D704" t="s">
        <v>159</v>
      </c>
      <c r="E704" t="s">
        <v>159</v>
      </c>
      <c r="F704">
        <v>6729</v>
      </c>
      <c r="G704" t="s">
        <v>691</v>
      </c>
      <c r="H704" t="s">
        <v>1451</v>
      </c>
      <c r="I704" t="s">
        <v>1205</v>
      </c>
      <c r="J704">
        <v>55.835628448897801</v>
      </c>
    </row>
    <row r="705" spans="1:10" x14ac:dyDescent="0.3">
      <c r="A705">
        <v>699</v>
      </c>
      <c r="B705" t="s">
        <v>1449</v>
      </c>
      <c r="C705" t="s">
        <v>1202</v>
      </c>
      <c r="D705" t="s">
        <v>159</v>
      </c>
      <c r="E705" t="s">
        <v>159</v>
      </c>
      <c r="F705">
        <v>6729</v>
      </c>
      <c r="G705" t="s">
        <v>705</v>
      </c>
      <c r="H705" t="s">
        <v>1452</v>
      </c>
      <c r="I705" t="s">
        <v>1205</v>
      </c>
      <c r="J705">
        <v>29.054177849241398</v>
      </c>
    </row>
    <row r="706" spans="1:10" x14ac:dyDescent="0.3">
      <c r="A706">
        <v>699</v>
      </c>
      <c r="B706" t="s">
        <v>1449</v>
      </c>
      <c r="C706" t="s">
        <v>1202</v>
      </c>
      <c r="D706" t="s">
        <v>159</v>
      </c>
      <c r="E706" t="s">
        <v>159</v>
      </c>
      <c r="F706">
        <v>6729</v>
      </c>
      <c r="G706" t="s">
        <v>700</v>
      </c>
      <c r="I706" t="s">
        <v>1205</v>
      </c>
      <c r="J706">
        <v>12.8971532203728</v>
      </c>
    </row>
    <row r="707" spans="1:10" x14ac:dyDescent="0.3">
      <c r="A707">
        <v>699</v>
      </c>
      <c r="B707" t="s">
        <v>1449</v>
      </c>
      <c r="C707" t="s">
        <v>1202</v>
      </c>
      <c r="D707" t="s">
        <v>159</v>
      </c>
      <c r="E707" t="s">
        <v>159</v>
      </c>
      <c r="F707">
        <v>6729</v>
      </c>
      <c r="G707" t="s">
        <v>698</v>
      </c>
      <c r="I707" t="s">
        <v>1205</v>
      </c>
      <c r="J707">
        <v>6.7171716487737401</v>
      </c>
    </row>
    <row r="708" spans="1:10" x14ac:dyDescent="0.3">
      <c r="A708">
        <v>699</v>
      </c>
      <c r="B708" t="s">
        <v>1449</v>
      </c>
      <c r="C708" t="s">
        <v>1202</v>
      </c>
      <c r="D708" t="s">
        <v>159</v>
      </c>
      <c r="E708" t="s">
        <v>159</v>
      </c>
      <c r="F708">
        <v>6729</v>
      </c>
      <c r="G708" t="s">
        <v>703</v>
      </c>
      <c r="I708" t="s">
        <v>1205</v>
      </c>
      <c r="J708">
        <v>31.083562585234599</v>
      </c>
    </row>
    <row r="709" spans="1:10" x14ac:dyDescent="0.3">
      <c r="A709">
        <v>699</v>
      </c>
      <c r="B709" t="s">
        <v>1449</v>
      </c>
      <c r="C709" t="s">
        <v>1202</v>
      </c>
      <c r="D709" t="s">
        <v>159</v>
      </c>
      <c r="E709" t="s">
        <v>159</v>
      </c>
      <c r="F709">
        <v>6729</v>
      </c>
      <c r="G709" t="s">
        <v>702</v>
      </c>
      <c r="I709" t="s">
        <v>1205</v>
      </c>
      <c r="J709">
        <v>1.85032137693494</v>
      </c>
    </row>
    <row r="710" spans="1:10" x14ac:dyDescent="0.3">
      <c r="A710">
        <v>711</v>
      </c>
      <c r="B710" t="s">
        <v>1453</v>
      </c>
      <c r="C710" t="s">
        <v>1202</v>
      </c>
      <c r="D710" t="s">
        <v>1203</v>
      </c>
      <c r="E710" t="s">
        <v>1204</v>
      </c>
      <c r="F710">
        <v>5970</v>
      </c>
      <c r="G710" t="s">
        <v>700</v>
      </c>
      <c r="I710" t="s">
        <v>1205</v>
      </c>
      <c r="J710">
        <v>2049</v>
      </c>
    </row>
    <row r="711" spans="1:10" x14ac:dyDescent="0.3">
      <c r="A711">
        <v>711</v>
      </c>
      <c r="B711" t="s">
        <v>1453</v>
      </c>
      <c r="C711" t="s">
        <v>1202</v>
      </c>
      <c r="D711" t="s">
        <v>1203</v>
      </c>
      <c r="E711" t="s">
        <v>1204</v>
      </c>
      <c r="F711">
        <v>5970</v>
      </c>
      <c r="G711" t="s">
        <v>701</v>
      </c>
      <c r="I711" t="s">
        <v>1205</v>
      </c>
      <c r="J711">
        <v>13</v>
      </c>
    </row>
    <row r="712" spans="1:10" x14ac:dyDescent="0.3">
      <c r="A712">
        <v>711</v>
      </c>
      <c r="B712" t="s">
        <v>1453</v>
      </c>
      <c r="C712" t="s">
        <v>1202</v>
      </c>
      <c r="D712" t="s">
        <v>1203</v>
      </c>
      <c r="E712" t="s">
        <v>1204</v>
      </c>
      <c r="F712">
        <v>5970</v>
      </c>
      <c r="G712" t="s">
        <v>702</v>
      </c>
      <c r="I712" t="s">
        <v>1205</v>
      </c>
      <c r="J712">
        <v>193</v>
      </c>
    </row>
    <row r="713" spans="1:10" x14ac:dyDescent="0.3">
      <c r="A713">
        <v>711</v>
      </c>
      <c r="B713" t="s">
        <v>1453</v>
      </c>
      <c r="C713" t="s">
        <v>1202</v>
      </c>
      <c r="D713" t="s">
        <v>1203</v>
      </c>
      <c r="E713" t="s">
        <v>1204</v>
      </c>
      <c r="F713">
        <v>5970</v>
      </c>
      <c r="G713" t="s">
        <v>691</v>
      </c>
      <c r="H713" t="s">
        <v>1454</v>
      </c>
      <c r="I713" t="s">
        <v>1205</v>
      </c>
      <c r="J713">
        <v>1333</v>
      </c>
    </row>
    <row r="714" spans="1:10" x14ac:dyDescent="0.3">
      <c r="A714">
        <v>711</v>
      </c>
      <c r="B714" t="s">
        <v>1453</v>
      </c>
      <c r="C714" t="s">
        <v>1202</v>
      </c>
      <c r="D714" t="s">
        <v>1203</v>
      </c>
      <c r="E714" t="s">
        <v>1204</v>
      </c>
      <c r="F714">
        <v>5970</v>
      </c>
      <c r="G714" t="s">
        <v>686</v>
      </c>
      <c r="H714" t="s">
        <v>1455</v>
      </c>
      <c r="I714" t="s">
        <v>1205</v>
      </c>
      <c r="J714">
        <v>871</v>
      </c>
    </row>
    <row r="715" spans="1:10" x14ac:dyDescent="0.3">
      <c r="A715">
        <v>711</v>
      </c>
      <c r="B715" t="s">
        <v>1453</v>
      </c>
      <c r="C715" t="s">
        <v>1202</v>
      </c>
      <c r="D715" t="s">
        <v>1203</v>
      </c>
      <c r="E715" t="s">
        <v>1204</v>
      </c>
      <c r="F715">
        <v>5970</v>
      </c>
      <c r="G715" t="s">
        <v>698</v>
      </c>
      <c r="I715" t="s">
        <v>1205</v>
      </c>
      <c r="J715">
        <v>724</v>
      </c>
    </row>
    <row r="716" spans="1:10" x14ac:dyDescent="0.3">
      <c r="A716">
        <v>711</v>
      </c>
      <c r="B716" t="s">
        <v>1453</v>
      </c>
      <c r="C716" t="s">
        <v>1202</v>
      </c>
      <c r="D716" t="s">
        <v>1203</v>
      </c>
      <c r="E716" t="s">
        <v>1204</v>
      </c>
      <c r="F716">
        <v>5970</v>
      </c>
      <c r="G716" t="s">
        <v>696</v>
      </c>
      <c r="I716" t="s">
        <v>1205</v>
      </c>
      <c r="J716">
        <v>3056</v>
      </c>
    </row>
    <row r="717" spans="1:10" x14ac:dyDescent="0.3">
      <c r="A717">
        <v>727</v>
      </c>
      <c r="B717" t="s">
        <v>825</v>
      </c>
      <c r="C717" t="s">
        <v>1202</v>
      </c>
      <c r="D717" t="s">
        <v>1203</v>
      </c>
      <c r="E717" t="s">
        <v>1204</v>
      </c>
      <c r="F717">
        <v>5697</v>
      </c>
      <c r="G717" t="s">
        <v>687</v>
      </c>
      <c r="H717" t="s">
        <v>1456</v>
      </c>
      <c r="I717" t="s">
        <v>1216</v>
      </c>
      <c r="J717">
        <v>703</v>
      </c>
    </row>
    <row r="718" spans="1:10" x14ac:dyDescent="0.3">
      <c r="A718">
        <v>727</v>
      </c>
      <c r="B718" t="s">
        <v>825</v>
      </c>
      <c r="C718" t="s">
        <v>1202</v>
      </c>
      <c r="D718" t="s">
        <v>1203</v>
      </c>
      <c r="E718" t="s">
        <v>1204</v>
      </c>
      <c r="F718">
        <v>5697</v>
      </c>
      <c r="G718" t="s">
        <v>687</v>
      </c>
      <c r="H718" t="s">
        <v>1405</v>
      </c>
      <c r="I718" t="s">
        <v>1205</v>
      </c>
      <c r="J718">
        <v>3020</v>
      </c>
    </row>
    <row r="719" spans="1:10" x14ac:dyDescent="0.3">
      <c r="A719">
        <v>727</v>
      </c>
      <c r="B719" t="s">
        <v>825</v>
      </c>
      <c r="C719" t="s">
        <v>1202</v>
      </c>
      <c r="D719" t="s">
        <v>1203</v>
      </c>
      <c r="E719" t="s">
        <v>1204</v>
      </c>
      <c r="F719">
        <v>5697</v>
      </c>
      <c r="G719" t="s">
        <v>702</v>
      </c>
      <c r="I719" t="s">
        <v>1205</v>
      </c>
      <c r="J719">
        <v>3410</v>
      </c>
    </row>
    <row r="720" spans="1:10" x14ac:dyDescent="0.3">
      <c r="A720">
        <v>727</v>
      </c>
      <c r="B720" t="s">
        <v>825</v>
      </c>
      <c r="C720" t="s">
        <v>1202</v>
      </c>
      <c r="D720" t="s">
        <v>1203</v>
      </c>
      <c r="E720" t="s">
        <v>1204</v>
      </c>
      <c r="F720">
        <v>5697</v>
      </c>
      <c r="G720" t="s">
        <v>701</v>
      </c>
      <c r="I720" t="s">
        <v>1205</v>
      </c>
      <c r="J720">
        <v>0</v>
      </c>
    </row>
    <row r="721" spans="1:10" x14ac:dyDescent="0.3">
      <c r="A721">
        <v>727</v>
      </c>
      <c r="B721" t="s">
        <v>825</v>
      </c>
      <c r="C721" t="s">
        <v>1202</v>
      </c>
      <c r="D721" t="s">
        <v>1203</v>
      </c>
      <c r="E721" t="s">
        <v>1204</v>
      </c>
      <c r="F721">
        <v>5697</v>
      </c>
      <c r="G721" t="s">
        <v>698</v>
      </c>
      <c r="I721" t="s">
        <v>1205</v>
      </c>
      <c r="J721">
        <v>1705</v>
      </c>
    </row>
    <row r="722" spans="1:10" x14ac:dyDescent="0.3">
      <c r="A722">
        <v>727</v>
      </c>
      <c r="B722" t="s">
        <v>825</v>
      </c>
      <c r="C722" t="s">
        <v>1202</v>
      </c>
      <c r="D722" t="s">
        <v>1203</v>
      </c>
      <c r="E722" t="s">
        <v>1204</v>
      </c>
      <c r="F722">
        <v>5697</v>
      </c>
      <c r="G722" t="s">
        <v>700</v>
      </c>
      <c r="H722" t="s">
        <v>1457</v>
      </c>
      <c r="I722" t="s">
        <v>1205</v>
      </c>
      <c r="J722">
        <v>8881</v>
      </c>
    </row>
    <row r="723" spans="1:10" x14ac:dyDescent="0.3">
      <c r="A723">
        <v>727</v>
      </c>
      <c r="B723" t="s">
        <v>825</v>
      </c>
      <c r="C723" t="s">
        <v>1202</v>
      </c>
      <c r="D723" t="s">
        <v>1203</v>
      </c>
      <c r="E723" t="s">
        <v>1204</v>
      </c>
      <c r="F723">
        <v>5697</v>
      </c>
      <c r="G723" t="s">
        <v>696</v>
      </c>
      <c r="I723" t="s">
        <v>1205</v>
      </c>
      <c r="J723">
        <v>15488</v>
      </c>
    </row>
    <row r="724" spans="1:10" x14ac:dyDescent="0.3">
      <c r="A724">
        <v>731</v>
      </c>
      <c r="B724" t="s">
        <v>1458</v>
      </c>
      <c r="C724" t="s">
        <v>1202</v>
      </c>
      <c r="D724" t="s">
        <v>1203</v>
      </c>
      <c r="E724" t="s">
        <v>1204</v>
      </c>
      <c r="F724">
        <v>5481</v>
      </c>
      <c r="G724" t="s">
        <v>698</v>
      </c>
      <c r="I724" t="s">
        <v>1205</v>
      </c>
      <c r="J724">
        <v>162.65105604999999</v>
      </c>
    </row>
    <row r="725" spans="1:10" x14ac:dyDescent="0.3">
      <c r="A725">
        <v>731</v>
      </c>
      <c r="B725" t="s">
        <v>1458</v>
      </c>
      <c r="C725" t="s">
        <v>1202</v>
      </c>
      <c r="D725" t="s">
        <v>1203</v>
      </c>
      <c r="E725" t="s">
        <v>1204</v>
      </c>
      <c r="F725">
        <v>5481</v>
      </c>
      <c r="G725" t="s">
        <v>700</v>
      </c>
      <c r="H725" t="s">
        <v>1404</v>
      </c>
      <c r="I725" t="s">
        <v>1205</v>
      </c>
      <c r="J725">
        <v>211.75326165000001</v>
      </c>
    </row>
    <row r="726" spans="1:10" x14ac:dyDescent="0.3">
      <c r="A726">
        <v>731</v>
      </c>
      <c r="B726" t="s">
        <v>1458</v>
      </c>
      <c r="C726" t="s">
        <v>1202</v>
      </c>
      <c r="D726" t="s">
        <v>1203</v>
      </c>
      <c r="E726" t="s">
        <v>1204</v>
      </c>
      <c r="F726">
        <v>5481</v>
      </c>
      <c r="G726" t="s">
        <v>701</v>
      </c>
      <c r="H726" t="s">
        <v>1459</v>
      </c>
      <c r="I726" t="s">
        <v>1205</v>
      </c>
      <c r="J726">
        <v>0</v>
      </c>
    </row>
    <row r="727" spans="1:10" x14ac:dyDescent="0.3">
      <c r="A727">
        <v>731</v>
      </c>
      <c r="B727" t="s">
        <v>1458</v>
      </c>
      <c r="C727" t="s">
        <v>1202</v>
      </c>
      <c r="D727" t="s">
        <v>1203</v>
      </c>
      <c r="E727" t="s">
        <v>1204</v>
      </c>
      <c r="F727">
        <v>5481</v>
      </c>
      <c r="G727" t="s">
        <v>702</v>
      </c>
      <c r="I727" t="s">
        <v>1205</v>
      </c>
      <c r="J727">
        <v>607.63979429999995</v>
      </c>
    </row>
    <row r="728" spans="1:10" x14ac:dyDescent="0.3">
      <c r="A728">
        <v>731</v>
      </c>
      <c r="B728" t="s">
        <v>1458</v>
      </c>
      <c r="C728" t="s">
        <v>1202</v>
      </c>
      <c r="D728" t="s">
        <v>1203</v>
      </c>
      <c r="E728" t="s">
        <v>1204</v>
      </c>
      <c r="F728">
        <v>5481</v>
      </c>
      <c r="G728" t="s">
        <v>691</v>
      </c>
      <c r="I728" t="s">
        <v>1205</v>
      </c>
      <c r="J728">
        <v>202.54659810000001</v>
      </c>
    </row>
    <row r="729" spans="1:10" x14ac:dyDescent="0.3">
      <c r="A729">
        <v>731</v>
      </c>
      <c r="B729" t="s">
        <v>1458</v>
      </c>
      <c r="C729" t="s">
        <v>1202</v>
      </c>
      <c r="D729" t="s">
        <v>1203</v>
      </c>
      <c r="E729" t="s">
        <v>1204</v>
      </c>
      <c r="F729">
        <v>5481</v>
      </c>
      <c r="G729" t="s">
        <v>696</v>
      </c>
      <c r="I729" t="s">
        <v>1205</v>
      </c>
      <c r="J729">
        <v>4667.7784198500003</v>
      </c>
    </row>
    <row r="730" spans="1:10" x14ac:dyDescent="0.3">
      <c r="A730">
        <v>731</v>
      </c>
      <c r="B730" t="s">
        <v>1458</v>
      </c>
      <c r="C730" t="s">
        <v>1202</v>
      </c>
      <c r="D730" t="s">
        <v>1203</v>
      </c>
      <c r="E730" t="s">
        <v>1204</v>
      </c>
      <c r="F730">
        <v>5481</v>
      </c>
      <c r="G730" t="s">
        <v>686</v>
      </c>
      <c r="I730" t="s">
        <v>1205</v>
      </c>
      <c r="J730">
        <v>607.63979429999995</v>
      </c>
    </row>
    <row r="731" spans="1:10" x14ac:dyDescent="0.3">
      <c r="A731">
        <v>737</v>
      </c>
      <c r="B731" t="s">
        <v>1460</v>
      </c>
      <c r="C731" t="s">
        <v>1202</v>
      </c>
      <c r="D731" t="s">
        <v>1203</v>
      </c>
      <c r="E731" t="s">
        <v>1204</v>
      </c>
      <c r="F731">
        <v>7336</v>
      </c>
      <c r="G731" t="s">
        <v>696</v>
      </c>
      <c r="H731" t="s">
        <v>1461</v>
      </c>
      <c r="I731" t="s">
        <v>1205</v>
      </c>
      <c r="J731">
        <v>3102.6456163500002</v>
      </c>
    </row>
    <row r="732" spans="1:10" x14ac:dyDescent="0.3">
      <c r="A732">
        <v>737</v>
      </c>
      <c r="B732" t="s">
        <v>1460</v>
      </c>
      <c r="C732" t="s">
        <v>1202</v>
      </c>
      <c r="D732" t="s">
        <v>1203</v>
      </c>
      <c r="E732" t="s">
        <v>1204</v>
      </c>
      <c r="F732">
        <v>7336</v>
      </c>
      <c r="G732" t="s">
        <v>700</v>
      </c>
      <c r="H732" t="s">
        <v>1462</v>
      </c>
      <c r="I732" t="s">
        <v>1205</v>
      </c>
      <c r="J732">
        <v>622.98423355</v>
      </c>
    </row>
    <row r="733" spans="1:10" x14ac:dyDescent="0.3">
      <c r="A733">
        <v>737</v>
      </c>
      <c r="B733" t="s">
        <v>1460</v>
      </c>
      <c r="C733" t="s">
        <v>1202</v>
      </c>
      <c r="D733" t="s">
        <v>1203</v>
      </c>
      <c r="E733" t="s">
        <v>1204</v>
      </c>
      <c r="F733">
        <v>7336</v>
      </c>
      <c r="G733" t="s">
        <v>702</v>
      </c>
      <c r="I733" t="s">
        <v>1205</v>
      </c>
      <c r="J733">
        <v>260.85546725</v>
      </c>
    </row>
    <row r="734" spans="1:10" x14ac:dyDescent="0.3">
      <c r="A734">
        <v>737</v>
      </c>
      <c r="B734" t="s">
        <v>1460</v>
      </c>
      <c r="C734" t="s">
        <v>1202</v>
      </c>
      <c r="D734" t="s">
        <v>1203</v>
      </c>
      <c r="E734" t="s">
        <v>1204</v>
      </c>
      <c r="F734">
        <v>7336</v>
      </c>
      <c r="G734" t="s">
        <v>701</v>
      </c>
      <c r="I734" t="s">
        <v>1205</v>
      </c>
      <c r="J734">
        <v>319.16433640000002</v>
      </c>
    </row>
    <row r="735" spans="1:10" x14ac:dyDescent="0.3">
      <c r="A735">
        <v>737</v>
      </c>
      <c r="B735" t="s">
        <v>1460</v>
      </c>
      <c r="C735" t="s">
        <v>1202</v>
      </c>
      <c r="D735" t="s">
        <v>1203</v>
      </c>
      <c r="E735" t="s">
        <v>1204</v>
      </c>
      <c r="F735">
        <v>7336</v>
      </c>
      <c r="G735" t="s">
        <v>687</v>
      </c>
      <c r="I735" t="s">
        <v>1205</v>
      </c>
      <c r="J735">
        <v>0</v>
      </c>
    </row>
    <row r="736" spans="1:10" x14ac:dyDescent="0.3">
      <c r="A736">
        <v>737</v>
      </c>
      <c r="B736" t="s">
        <v>1460</v>
      </c>
      <c r="C736" t="s">
        <v>1202</v>
      </c>
      <c r="D736" t="s">
        <v>1203</v>
      </c>
      <c r="E736" t="s">
        <v>1204</v>
      </c>
      <c r="F736">
        <v>7336</v>
      </c>
      <c r="G736" t="s">
        <v>686</v>
      </c>
      <c r="I736" t="s">
        <v>1205</v>
      </c>
      <c r="J736">
        <v>460.33317749999998</v>
      </c>
    </row>
    <row r="737" spans="1:10" x14ac:dyDescent="0.3">
      <c r="A737">
        <v>739</v>
      </c>
      <c r="B737" t="s">
        <v>1463</v>
      </c>
      <c r="C737" t="s">
        <v>1202</v>
      </c>
      <c r="D737" t="s">
        <v>159</v>
      </c>
      <c r="E737" t="s">
        <v>159</v>
      </c>
      <c r="F737">
        <v>7839</v>
      </c>
      <c r="G737" t="s">
        <v>700</v>
      </c>
      <c r="I737" t="s">
        <v>1205</v>
      </c>
      <c r="J737">
        <v>55.239981299999997</v>
      </c>
    </row>
    <row r="738" spans="1:10" x14ac:dyDescent="0.3">
      <c r="A738">
        <v>739</v>
      </c>
      <c r="B738" t="s">
        <v>1463</v>
      </c>
      <c r="C738" t="s">
        <v>1202</v>
      </c>
      <c r="D738" t="s">
        <v>159</v>
      </c>
      <c r="E738" t="s">
        <v>159</v>
      </c>
      <c r="F738">
        <v>7839</v>
      </c>
      <c r="G738" t="s">
        <v>702</v>
      </c>
      <c r="I738" t="s">
        <v>1205</v>
      </c>
      <c r="J738">
        <v>494.09094384999997</v>
      </c>
    </row>
    <row r="739" spans="1:10" x14ac:dyDescent="0.3">
      <c r="A739">
        <v>739</v>
      </c>
      <c r="B739" t="s">
        <v>1463</v>
      </c>
      <c r="C739" t="s">
        <v>1202</v>
      </c>
      <c r="D739" t="s">
        <v>159</v>
      </c>
      <c r="E739" t="s">
        <v>159</v>
      </c>
      <c r="F739">
        <v>7839</v>
      </c>
      <c r="G739" t="s">
        <v>686</v>
      </c>
      <c r="I739" t="s">
        <v>1205</v>
      </c>
      <c r="J739">
        <v>322.23322424999998</v>
      </c>
    </row>
    <row r="740" spans="1:10" x14ac:dyDescent="0.3">
      <c r="A740">
        <v>739</v>
      </c>
      <c r="B740" t="s">
        <v>1463</v>
      </c>
      <c r="C740" t="s">
        <v>1202</v>
      </c>
      <c r="D740" t="s">
        <v>159</v>
      </c>
      <c r="E740" t="s">
        <v>159</v>
      </c>
      <c r="F740">
        <v>7839</v>
      </c>
      <c r="G740" t="s">
        <v>687</v>
      </c>
      <c r="H740" t="s">
        <v>1393</v>
      </c>
      <c r="I740" t="s">
        <v>1205</v>
      </c>
      <c r="J740">
        <v>2350.7680931</v>
      </c>
    </row>
    <row r="741" spans="1:10" x14ac:dyDescent="0.3">
      <c r="A741">
        <v>2998</v>
      </c>
      <c r="B741" t="s">
        <v>1464</v>
      </c>
      <c r="C741" t="s">
        <v>1202</v>
      </c>
      <c r="D741" t="s">
        <v>1203</v>
      </c>
      <c r="E741" t="s">
        <v>1204</v>
      </c>
      <c r="F741">
        <v>7992</v>
      </c>
      <c r="G741" t="s">
        <v>700</v>
      </c>
      <c r="H741" t="s">
        <v>1465</v>
      </c>
      <c r="I741" t="s">
        <v>1205</v>
      </c>
      <c r="J741">
        <v>184.13327100000001</v>
      </c>
    </row>
    <row r="742" spans="1:10" x14ac:dyDescent="0.3">
      <c r="A742">
        <v>2998</v>
      </c>
      <c r="B742" t="s">
        <v>1464</v>
      </c>
      <c r="C742" t="s">
        <v>1202</v>
      </c>
      <c r="D742" t="s">
        <v>1203</v>
      </c>
      <c r="E742" t="s">
        <v>1204</v>
      </c>
      <c r="F742">
        <v>7992</v>
      </c>
      <c r="G742" t="s">
        <v>698</v>
      </c>
      <c r="I742" t="s">
        <v>1205</v>
      </c>
      <c r="J742">
        <v>113.54885045</v>
      </c>
    </row>
    <row r="743" spans="1:10" x14ac:dyDescent="0.3">
      <c r="A743">
        <v>2998</v>
      </c>
      <c r="B743" t="s">
        <v>1464</v>
      </c>
      <c r="C743" t="s">
        <v>1202</v>
      </c>
      <c r="D743" t="s">
        <v>1203</v>
      </c>
      <c r="E743" t="s">
        <v>1204</v>
      </c>
      <c r="F743">
        <v>7992</v>
      </c>
      <c r="G743" t="s">
        <v>696</v>
      </c>
      <c r="I743" t="s">
        <v>1205</v>
      </c>
      <c r="J743">
        <v>1028.07742975</v>
      </c>
    </row>
    <row r="744" spans="1:10" x14ac:dyDescent="0.3">
      <c r="A744">
        <v>2998</v>
      </c>
      <c r="B744" t="s">
        <v>1464</v>
      </c>
      <c r="C744" t="s">
        <v>1202</v>
      </c>
      <c r="D744" t="s">
        <v>1203</v>
      </c>
      <c r="E744" t="s">
        <v>1204</v>
      </c>
      <c r="F744">
        <v>7992</v>
      </c>
      <c r="G744" t="s">
        <v>686</v>
      </c>
      <c r="I744" t="s">
        <v>1205</v>
      </c>
      <c r="J744">
        <v>282.33768220000002</v>
      </c>
    </row>
    <row r="745" spans="1:10" x14ac:dyDescent="0.3">
      <c r="A745">
        <v>2998</v>
      </c>
      <c r="B745" t="s">
        <v>1464</v>
      </c>
      <c r="C745" t="s">
        <v>1202</v>
      </c>
      <c r="D745" t="s">
        <v>1203</v>
      </c>
      <c r="E745" t="s">
        <v>1204</v>
      </c>
      <c r="F745">
        <v>7992</v>
      </c>
      <c r="G745" t="s">
        <v>687</v>
      </c>
      <c r="H745" t="s">
        <v>1466</v>
      </c>
      <c r="I745" t="s">
        <v>1205</v>
      </c>
      <c r="J745">
        <v>9.20666355</v>
      </c>
    </row>
    <row r="746" spans="1:10" x14ac:dyDescent="0.3">
      <c r="A746">
        <v>2998</v>
      </c>
      <c r="B746" t="s">
        <v>1464</v>
      </c>
      <c r="C746" t="s">
        <v>1202</v>
      </c>
      <c r="D746" t="s">
        <v>1203</v>
      </c>
      <c r="E746" t="s">
        <v>1204</v>
      </c>
      <c r="F746">
        <v>7992</v>
      </c>
      <c r="G746" t="s">
        <v>702</v>
      </c>
      <c r="I746" t="s">
        <v>1205</v>
      </c>
      <c r="J746">
        <v>365.19765415000001</v>
      </c>
    </row>
    <row r="747" spans="1:10" x14ac:dyDescent="0.3">
      <c r="A747">
        <v>2998</v>
      </c>
      <c r="B747" t="s">
        <v>1464</v>
      </c>
      <c r="C747" t="s">
        <v>1202</v>
      </c>
      <c r="D747" t="s">
        <v>1203</v>
      </c>
      <c r="E747" t="s">
        <v>1204</v>
      </c>
      <c r="F747">
        <v>7992</v>
      </c>
      <c r="G747" t="s">
        <v>703</v>
      </c>
      <c r="I747" t="s">
        <v>1205</v>
      </c>
      <c r="J747">
        <v>6.1377756999999997</v>
      </c>
    </row>
    <row r="748" spans="1:10" x14ac:dyDescent="0.3">
      <c r="A748">
        <v>2998</v>
      </c>
      <c r="B748" t="s">
        <v>1464</v>
      </c>
      <c r="C748" t="s">
        <v>1202</v>
      </c>
      <c r="D748" t="s">
        <v>1203</v>
      </c>
      <c r="E748" t="s">
        <v>1204</v>
      </c>
      <c r="F748">
        <v>7992</v>
      </c>
      <c r="G748" t="s">
        <v>701</v>
      </c>
      <c r="I748" t="s">
        <v>1205</v>
      </c>
      <c r="J748">
        <v>165.7199439</v>
      </c>
    </row>
    <row r="749" spans="1:10" x14ac:dyDescent="0.3">
      <c r="A749">
        <v>759</v>
      </c>
      <c r="B749" t="s">
        <v>1467</v>
      </c>
      <c r="C749" t="s">
        <v>1202</v>
      </c>
      <c r="D749" t="s">
        <v>159</v>
      </c>
      <c r="E749" t="s">
        <v>159</v>
      </c>
      <c r="F749">
        <v>7834</v>
      </c>
      <c r="G749" t="s">
        <v>687</v>
      </c>
      <c r="H749" t="s">
        <v>1468</v>
      </c>
      <c r="I749" t="s">
        <v>1205</v>
      </c>
      <c r="J749">
        <v>2</v>
      </c>
    </row>
    <row r="750" spans="1:10" x14ac:dyDescent="0.3">
      <c r="A750">
        <v>759</v>
      </c>
      <c r="B750" t="s">
        <v>1467</v>
      </c>
      <c r="C750" t="s">
        <v>1202</v>
      </c>
      <c r="D750" t="s">
        <v>159</v>
      </c>
      <c r="E750" t="s">
        <v>159</v>
      </c>
      <c r="F750">
        <v>7834</v>
      </c>
      <c r="G750" t="s">
        <v>687</v>
      </c>
      <c r="H750" t="s">
        <v>1469</v>
      </c>
      <c r="I750" t="s">
        <v>1205</v>
      </c>
      <c r="J750">
        <v>7</v>
      </c>
    </row>
    <row r="751" spans="1:10" x14ac:dyDescent="0.3">
      <c r="A751">
        <v>759</v>
      </c>
      <c r="B751" t="s">
        <v>1467</v>
      </c>
      <c r="C751" t="s">
        <v>1202</v>
      </c>
      <c r="D751" t="s">
        <v>159</v>
      </c>
      <c r="E751" t="s">
        <v>159</v>
      </c>
      <c r="F751">
        <v>7834</v>
      </c>
      <c r="G751" t="s">
        <v>686</v>
      </c>
      <c r="I751" t="s">
        <v>1205</v>
      </c>
      <c r="J751">
        <v>513</v>
      </c>
    </row>
    <row r="752" spans="1:10" x14ac:dyDescent="0.3">
      <c r="A752">
        <v>759</v>
      </c>
      <c r="B752" t="s">
        <v>1467</v>
      </c>
      <c r="C752" t="s">
        <v>1202</v>
      </c>
      <c r="D752" t="s">
        <v>159</v>
      </c>
      <c r="E752" t="s">
        <v>159</v>
      </c>
      <c r="F752">
        <v>7834</v>
      </c>
      <c r="G752" t="s">
        <v>696</v>
      </c>
      <c r="I752" t="s">
        <v>1205</v>
      </c>
      <c r="J752">
        <v>5784</v>
      </c>
    </row>
    <row r="753" spans="1:10" x14ac:dyDescent="0.3">
      <c r="A753">
        <v>759</v>
      </c>
      <c r="B753" t="s">
        <v>1467</v>
      </c>
      <c r="C753" t="s">
        <v>1202</v>
      </c>
      <c r="D753" t="s">
        <v>159</v>
      </c>
      <c r="E753" t="s">
        <v>159</v>
      </c>
      <c r="F753">
        <v>7834</v>
      </c>
      <c r="G753" t="s">
        <v>702</v>
      </c>
      <c r="I753" t="s">
        <v>1205</v>
      </c>
      <c r="J753">
        <v>1011</v>
      </c>
    </row>
    <row r="754" spans="1:10" x14ac:dyDescent="0.3">
      <c r="A754">
        <v>759</v>
      </c>
      <c r="B754" t="s">
        <v>1467</v>
      </c>
      <c r="C754" t="s">
        <v>1202</v>
      </c>
      <c r="D754" t="s">
        <v>159</v>
      </c>
      <c r="E754" t="s">
        <v>159</v>
      </c>
      <c r="F754">
        <v>7834</v>
      </c>
      <c r="G754" t="s">
        <v>698</v>
      </c>
      <c r="I754" t="s">
        <v>1205</v>
      </c>
      <c r="J754">
        <v>1869</v>
      </c>
    </row>
    <row r="755" spans="1:10" x14ac:dyDescent="0.3">
      <c r="A755">
        <v>759</v>
      </c>
      <c r="B755" t="s">
        <v>1467</v>
      </c>
      <c r="C755" t="s">
        <v>1202</v>
      </c>
      <c r="D755" t="s">
        <v>159</v>
      </c>
      <c r="E755" t="s">
        <v>159</v>
      </c>
      <c r="F755">
        <v>7834</v>
      </c>
      <c r="G755" t="s">
        <v>700</v>
      </c>
      <c r="I755" t="s">
        <v>1205</v>
      </c>
      <c r="J755">
        <v>651</v>
      </c>
    </row>
    <row r="756" spans="1:10" x14ac:dyDescent="0.3">
      <c r="A756">
        <v>759</v>
      </c>
      <c r="B756" t="s">
        <v>1467</v>
      </c>
      <c r="C756" t="s">
        <v>1202</v>
      </c>
      <c r="D756" t="s">
        <v>159</v>
      </c>
      <c r="E756" t="s">
        <v>159</v>
      </c>
      <c r="F756">
        <v>7834</v>
      </c>
      <c r="G756" t="s">
        <v>703</v>
      </c>
      <c r="I756" t="s">
        <v>1205</v>
      </c>
      <c r="J756">
        <v>492</v>
      </c>
    </row>
    <row r="757" spans="1:10" x14ac:dyDescent="0.3">
      <c r="A757">
        <v>759</v>
      </c>
      <c r="B757" t="s">
        <v>1467</v>
      </c>
      <c r="C757" t="s">
        <v>1202</v>
      </c>
      <c r="D757" t="s">
        <v>159</v>
      </c>
      <c r="E757" t="s">
        <v>159</v>
      </c>
      <c r="F757">
        <v>7834</v>
      </c>
      <c r="G757" t="s">
        <v>687</v>
      </c>
      <c r="H757" t="s">
        <v>1470</v>
      </c>
      <c r="I757" t="s">
        <v>1205</v>
      </c>
      <c r="J757">
        <v>1</v>
      </c>
    </row>
    <row r="758" spans="1:10" x14ac:dyDescent="0.3">
      <c r="A758">
        <v>775</v>
      </c>
      <c r="B758" t="s">
        <v>924</v>
      </c>
      <c r="C758" t="s">
        <v>1202</v>
      </c>
      <c r="D758" t="s">
        <v>1203</v>
      </c>
      <c r="E758" t="s">
        <v>1204</v>
      </c>
      <c r="F758">
        <v>5478</v>
      </c>
      <c r="G758" t="s">
        <v>696</v>
      </c>
      <c r="I758" t="s">
        <v>1205</v>
      </c>
      <c r="J758">
        <v>83133.102968649997</v>
      </c>
    </row>
    <row r="759" spans="1:10" x14ac:dyDescent="0.3">
      <c r="A759">
        <v>775</v>
      </c>
      <c r="B759" t="s">
        <v>924</v>
      </c>
      <c r="C759" t="s">
        <v>1202</v>
      </c>
      <c r="D759" t="s">
        <v>1203</v>
      </c>
      <c r="E759" t="s">
        <v>1204</v>
      </c>
      <c r="F759">
        <v>5478</v>
      </c>
      <c r="G759" t="s">
        <v>698</v>
      </c>
      <c r="I759" t="s">
        <v>1205</v>
      </c>
      <c r="J759">
        <v>31434.618247549999</v>
      </c>
    </row>
    <row r="760" spans="1:10" x14ac:dyDescent="0.3">
      <c r="A760">
        <v>775</v>
      </c>
      <c r="B760" t="s">
        <v>924</v>
      </c>
      <c r="C760" t="s">
        <v>1202</v>
      </c>
      <c r="D760" t="s">
        <v>1203</v>
      </c>
      <c r="E760" t="s">
        <v>1204</v>
      </c>
      <c r="F760">
        <v>5478</v>
      </c>
      <c r="G760" t="s">
        <v>700</v>
      </c>
      <c r="I760" t="s">
        <v>1205</v>
      </c>
      <c r="J760">
        <v>11532.880540300001</v>
      </c>
    </row>
    <row r="761" spans="1:10" x14ac:dyDescent="0.3">
      <c r="A761">
        <v>775</v>
      </c>
      <c r="B761" t="s">
        <v>924</v>
      </c>
      <c r="C761" t="s">
        <v>1202</v>
      </c>
      <c r="D761" t="s">
        <v>1203</v>
      </c>
      <c r="E761" t="s">
        <v>1204</v>
      </c>
      <c r="F761">
        <v>5478</v>
      </c>
      <c r="G761" t="s">
        <v>701</v>
      </c>
      <c r="H761" t="s">
        <v>1471</v>
      </c>
      <c r="I761" t="s">
        <v>1205</v>
      </c>
      <c r="J761">
        <v>18413.327099999999</v>
      </c>
    </row>
    <row r="762" spans="1:10" x14ac:dyDescent="0.3">
      <c r="A762">
        <v>775</v>
      </c>
      <c r="B762" t="s">
        <v>924</v>
      </c>
      <c r="C762" t="s">
        <v>1202</v>
      </c>
      <c r="D762" t="s">
        <v>1203</v>
      </c>
      <c r="E762" t="s">
        <v>1204</v>
      </c>
      <c r="F762">
        <v>5478</v>
      </c>
      <c r="G762" t="s">
        <v>686</v>
      </c>
      <c r="I762" t="s">
        <v>1205</v>
      </c>
      <c r="J762">
        <v>23621.229781450002</v>
      </c>
    </row>
    <row r="763" spans="1:10" x14ac:dyDescent="0.3">
      <c r="A763">
        <v>775</v>
      </c>
      <c r="B763" t="s">
        <v>924</v>
      </c>
      <c r="C763" t="s">
        <v>1202</v>
      </c>
      <c r="D763" t="s">
        <v>1203</v>
      </c>
      <c r="E763" t="s">
        <v>1204</v>
      </c>
      <c r="F763">
        <v>5478</v>
      </c>
      <c r="G763" t="s">
        <v>702</v>
      </c>
      <c r="I763" t="s">
        <v>1205</v>
      </c>
      <c r="J763">
        <v>13414.10879235</v>
      </c>
    </row>
    <row r="764" spans="1:10" x14ac:dyDescent="0.3">
      <c r="A764">
        <v>775</v>
      </c>
      <c r="B764" t="s">
        <v>924</v>
      </c>
      <c r="C764" t="s">
        <v>1202</v>
      </c>
      <c r="D764" t="s">
        <v>1203</v>
      </c>
      <c r="E764" t="s">
        <v>1204</v>
      </c>
      <c r="F764">
        <v>5478</v>
      </c>
      <c r="G764" t="s">
        <v>691</v>
      </c>
      <c r="H764" t="s">
        <v>1472</v>
      </c>
      <c r="I764" t="s">
        <v>1205</v>
      </c>
      <c r="J764">
        <v>374.40431769999998</v>
      </c>
    </row>
    <row r="765" spans="1:10" x14ac:dyDescent="0.3">
      <c r="A765">
        <v>775</v>
      </c>
      <c r="B765" t="s">
        <v>924</v>
      </c>
      <c r="C765" t="s">
        <v>1202</v>
      </c>
      <c r="D765" t="s">
        <v>1203</v>
      </c>
      <c r="E765" t="s">
        <v>1204</v>
      </c>
      <c r="F765">
        <v>5478</v>
      </c>
      <c r="G765" t="s">
        <v>691</v>
      </c>
      <c r="H765" t="s">
        <v>1473</v>
      </c>
      <c r="I765" t="s">
        <v>1205</v>
      </c>
      <c r="J765">
        <v>475.67761675000003</v>
      </c>
    </row>
    <row r="766" spans="1:10" x14ac:dyDescent="0.3">
      <c r="A766">
        <v>775</v>
      </c>
      <c r="B766" t="s">
        <v>924</v>
      </c>
      <c r="C766" t="s">
        <v>1202</v>
      </c>
      <c r="D766" t="s">
        <v>1203</v>
      </c>
      <c r="E766" t="s">
        <v>1204</v>
      </c>
      <c r="F766">
        <v>5478</v>
      </c>
      <c r="G766" t="s">
        <v>691</v>
      </c>
      <c r="H766" t="s">
        <v>1474</v>
      </c>
      <c r="I766" t="s">
        <v>1205</v>
      </c>
      <c r="J766">
        <v>451.12651395</v>
      </c>
    </row>
    <row r="767" spans="1:10" x14ac:dyDescent="0.3">
      <c r="A767">
        <v>775</v>
      </c>
      <c r="B767" t="s">
        <v>924</v>
      </c>
      <c r="C767" t="s">
        <v>1202</v>
      </c>
      <c r="D767" t="s">
        <v>1203</v>
      </c>
      <c r="E767" t="s">
        <v>1204</v>
      </c>
      <c r="F767">
        <v>5478</v>
      </c>
      <c r="G767" t="s">
        <v>703</v>
      </c>
      <c r="I767" t="s">
        <v>1205</v>
      </c>
      <c r="J767">
        <v>6840.5510176500002</v>
      </c>
    </row>
    <row r="768" spans="1:10" x14ac:dyDescent="0.3">
      <c r="A768">
        <v>784</v>
      </c>
      <c r="B768" t="s">
        <v>1475</v>
      </c>
      <c r="C768" t="s">
        <v>1202</v>
      </c>
      <c r="D768" t="s">
        <v>159</v>
      </c>
      <c r="E768" t="s">
        <v>159</v>
      </c>
      <c r="F768">
        <v>5767</v>
      </c>
      <c r="G768" t="s">
        <v>698</v>
      </c>
      <c r="I768" t="s">
        <v>1205</v>
      </c>
      <c r="J768">
        <v>941</v>
      </c>
    </row>
    <row r="769" spans="1:10" x14ac:dyDescent="0.3">
      <c r="A769">
        <v>784</v>
      </c>
      <c r="B769" t="s">
        <v>1475</v>
      </c>
      <c r="C769" t="s">
        <v>1202</v>
      </c>
      <c r="D769" t="s">
        <v>159</v>
      </c>
      <c r="E769" t="s">
        <v>159</v>
      </c>
      <c r="F769">
        <v>5767</v>
      </c>
      <c r="G769" t="s">
        <v>696</v>
      </c>
      <c r="I769" t="s">
        <v>1205</v>
      </c>
      <c r="J769">
        <v>4882</v>
      </c>
    </row>
    <row r="770" spans="1:10" x14ac:dyDescent="0.3">
      <c r="A770">
        <v>784</v>
      </c>
      <c r="B770" t="s">
        <v>1475</v>
      </c>
      <c r="C770" t="s">
        <v>1202</v>
      </c>
      <c r="D770" t="s">
        <v>159</v>
      </c>
      <c r="E770" t="s">
        <v>159</v>
      </c>
      <c r="F770">
        <v>5767</v>
      </c>
      <c r="G770" t="s">
        <v>700</v>
      </c>
      <c r="I770" t="s">
        <v>1205</v>
      </c>
      <c r="J770">
        <v>897</v>
      </c>
    </row>
    <row r="771" spans="1:10" x14ac:dyDescent="0.3">
      <c r="A771">
        <v>784</v>
      </c>
      <c r="B771" t="s">
        <v>1475</v>
      </c>
      <c r="C771" t="s">
        <v>1202</v>
      </c>
      <c r="D771" t="s">
        <v>159</v>
      </c>
      <c r="E771" t="s">
        <v>159</v>
      </c>
      <c r="F771">
        <v>5767</v>
      </c>
      <c r="G771" t="s">
        <v>701</v>
      </c>
      <c r="I771" t="s">
        <v>1205</v>
      </c>
      <c r="J771">
        <v>389</v>
      </c>
    </row>
    <row r="772" spans="1:10" x14ac:dyDescent="0.3">
      <c r="A772">
        <v>784</v>
      </c>
      <c r="B772" t="s">
        <v>1475</v>
      </c>
      <c r="C772" t="s">
        <v>1202</v>
      </c>
      <c r="D772" t="s">
        <v>159</v>
      </c>
      <c r="E772" t="s">
        <v>159</v>
      </c>
      <c r="F772">
        <v>5767</v>
      </c>
      <c r="G772" t="s">
        <v>702</v>
      </c>
      <c r="I772" t="s">
        <v>1205</v>
      </c>
      <c r="J772">
        <v>571</v>
      </c>
    </row>
    <row r="773" spans="1:10" x14ac:dyDescent="0.3">
      <c r="A773">
        <v>784</v>
      </c>
      <c r="B773" t="s">
        <v>1475</v>
      </c>
      <c r="C773" t="s">
        <v>1202</v>
      </c>
      <c r="D773" t="s">
        <v>159</v>
      </c>
      <c r="E773" t="s">
        <v>159</v>
      </c>
      <c r="F773">
        <v>5767</v>
      </c>
      <c r="G773" t="s">
        <v>684</v>
      </c>
      <c r="I773" t="s">
        <v>1205</v>
      </c>
      <c r="J773">
        <v>31</v>
      </c>
    </row>
    <row r="774" spans="1:10" x14ac:dyDescent="0.3">
      <c r="A774">
        <v>784</v>
      </c>
      <c r="B774" t="s">
        <v>1475</v>
      </c>
      <c r="C774" t="s">
        <v>1202</v>
      </c>
      <c r="D774" t="s">
        <v>159</v>
      </c>
      <c r="E774" t="s">
        <v>159</v>
      </c>
      <c r="F774">
        <v>5767</v>
      </c>
      <c r="G774" t="s">
        <v>687</v>
      </c>
      <c r="I774" t="s">
        <v>1205</v>
      </c>
      <c r="J774">
        <v>437</v>
      </c>
    </row>
    <row r="775" spans="1:10" x14ac:dyDescent="0.3">
      <c r="A775">
        <v>785</v>
      </c>
      <c r="B775" t="s">
        <v>1476</v>
      </c>
      <c r="C775" t="s">
        <v>1202</v>
      </c>
      <c r="D775" t="s">
        <v>159</v>
      </c>
      <c r="E775" t="s">
        <v>159</v>
      </c>
      <c r="F775">
        <v>5655</v>
      </c>
      <c r="G775" t="s">
        <v>687</v>
      </c>
      <c r="H775" t="s">
        <v>1477</v>
      </c>
      <c r="I775" t="s">
        <v>1205</v>
      </c>
      <c r="J775">
        <v>28</v>
      </c>
    </row>
    <row r="776" spans="1:10" x14ac:dyDescent="0.3">
      <c r="A776">
        <v>785</v>
      </c>
      <c r="B776" t="s">
        <v>1476</v>
      </c>
      <c r="C776" t="s">
        <v>1202</v>
      </c>
      <c r="D776" t="s">
        <v>159</v>
      </c>
      <c r="E776" t="s">
        <v>159</v>
      </c>
      <c r="F776">
        <v>5655</v>
      </c>
      <c r="G776" t="s">
        <v>698</v>
      </c>
      <c r="I776" t="s">
        <v>1205</v>
      </c>
      <c r="J776">
        <v>16</v>
      </c>
    </row>
    <row r="777" spans="1:10" x14ac:dyDescent="0.3">
      <c r="A777">
        <v>785</v>
      </c>
      <c r="B777" t="s">
        <v>1476</v>
      </c>
      <c r="C777" t="s">
        <v>1202</v>
      </c>
      <c r="D777" t="s">
        <v>159</v>
      </c>
      <c r="E777" t="s">
        <v>159</v>
      </c>
      <c r="F777">
        <v>5655</v>
      </c>
      <c r="G777" t="s">
        <v>696</v>
      </c>
      <c r="I777" t="s">
        <v>1205</v>
      </c>
      <c r="J777">
        <v>756</v>
      </c>
    </row>
    <row r="778" spans="1:10" x14ac:dyDescent="0.3">
      <c r="A778">
        <v>787</v>
      </c>
      <c r="B778" t="s">
        <v>1478</v>
      </c>
      <c r="C778" t="s">
        <v>1202</v>
      </c>
      <c r="D778" t="s">
        <v>1203</v>
      </c>
      <c r="E778" t="s">
        <v>1204</v>
      </c>
      <c r="F778">
        <v>5718</v>
      </c>
      <c r="G778" t="s">
        <v>703</v>
      </c>
      <c r="I778" t="s">
        <v>1205</v>
      </c>
      <c r="J778">
        <v>30.688878500000001</v>
      </c>
    </row>
    <row r="779" spans="1:10" x14ac:dyDescent="0.3">
      <c r="A779">
        <v>787</v>
      </c>
      <c r="B779" t="s">
        <v>1478</v>
      </c>
      <c r="C779" t="s">
        <v>1202</v>
      </c>
      <c r="D779" t="s">
        <v>1203</v>
      </c>
      <c r="E779" t="s">
        <v>1204</v>
      </c>
      <c r="F779">
        <v>5718</v>
      </c>
      <c r="G779" t="s">
        <v>701</v>
      </c>
      <c r="I779" t="s">
        <v>1205</v>
      </c>
      <c r="J779">
        <v>15.344439250000001</v>
      </c>
    </row>
    <row r="780" spans="1:10" x14ac:dyDescent="0.3">
      <c r="A780">
        <v>787</v>
      </c>
      <c r="B780" t="s">
        <v>1478</v>
      </c>
      <c r="C780" t="s">
        <v>1202</v>
      </c>
      <c r="D780" t="s">
        <v>1203</v>
      </c>
      <c r="E780" t="s">
        <v>1204</v>
      </c>
      <c r="F780">
        <v>5718</v>
      </c>
      <c r="G780" t="s">
        <v>686</v>
      </c>
      <c r="I780" t="s">
        <v>1205</v>
      </c>
      <c r="J780">
        <v>177.99549529999999</v>
      </c>
    </row>
    <row r="781" spans="1:10" x14ac:dyDescent="0.3">
      <c r="A781">
        <v>787</v>
      </c>
      <c r="B781" t="s">
        <v>1478</v>
      </c>
      <c r="C781" t="s">
        <v>1202</v>
      </c>
      <c r="D781" t="s">
        <v>1203</v>
      </c>
      <c r="E781" t="s">
        <v>1204</v>
      </c>
      <c r="F781">
        <v>5718</v>
      </c>
      <c r="G781" t="s">
        <v>687</v>
      </c>
      <c r="H781" t="s">
        <v>1302</v>
      </c>
      <c r="I781" t="s">
        <v>1205</v>
      </c>
      <c r="J781">
        <v>3.0688878499999999</v>
      </c>
    </row>
    <row r="782" spans="1:10" x14ac:dyDescent="0.3">
      <c r="A782">
        <v>787</v>
      </c>
      <c r="B782" t="s">
        <v>1478</v>
      </c>
      <c r="C782" t="s">
        <v>1202</v>
      </c>
      <c r="D782" t="s">
        <v>1203</v>
      </c>
      <c r="E782" t="s">
        <v>1204</v>
      </c>
      <c r="F782">
        <v>5718</v>
      </c>
      <c r="G782" t="s">
        <v>687</v>
      </c>
      <c r="H782" t="s">
        <v>1411</v>
      </c>
      <c r="I782" t="s">
        <v>1205</v>
      </c>
      <c r="J782">
        <v>0</v>
      </c>
    </row>
    <row r="783" spans="1:10" x14ac:dyDescent="0.3">
      <c r="A783">
        <v>787</v>
      </c>
      <c r="B783" t="s">
        <v>1478</v>
      </c>
      <c r="C783" t="s">
        <v>1202</v>
      </c>
      <c r="D783" t="s">
        <v>1203</v>
      </c>
      <c r="E783" t="s">
        <v>1204</v>
      </c>
      <c r="F783">
        <v>5718</v>
      </c>
      <c r="G783" t="s">
        <v>700</v>
      </c>
      <c r="I783" t="s">
        <v>1205</v>
      </c>
      <c r="J783">
        <v>300.75100930000002</v>
      </c>
    </row>
    <row r="784" spans="1:10" x14ac:dyDescent="0.3">
      <c r="A784">
        <v>787</v>
      </c>
      <c r="B784" t="s">
        <v>1478</v>
      </c>
      <c r="C784" t="s">
        <v>1202</v>
      </c>
      <c r="D784" t="s">
        <v>1203</v>
      </c>
      <c r="E784" t="s">
        <v>1204</v>
      </c>
      <c r="F784">
        <v>5718</v>
      </c>
      <c r="G784" t="s">
        <v>696</v>
      </c>
      <c r="I784" t="s">
        <v>1205</v>
      </c>
      <c r="J784">
        <v>1227.5551399999999</v>
      </c>
    </row>
    <row r="785" spans="1:10" x14ac:dyDescent="0.3">
      <c r="A785">
        <v>793</v>
      </c>
      <c r="B785" t="s">
        <v>1479</v>
      </c>
      <c r="C785" t="s">
        <v>1202</v>
      </c>
      <c r="D785" t="s">
        <v>159</v>
      </c>
      <c r="E785" t="s">
        <v>159</v>
      </c>
      <c r="F785">
        <v>5477</v>
      </c>
      <c r="G785" t="s">
        <v>702</v>
      </c>
      <c r="H785" t="s">
        <v>1480</v>
      </c>
      <c r="I785" t="s">
        <v>1205</v>
      </c>
      <c r="J785">
        <v>1725</v>
      </c>
    </row>
    <row r="786" spans="1:10" x14ac:dyDescent="0.3">
      <c r="A786">
        <v>793</v>
      </c>
      <c r="B786" t="s">
        <v>1479</v>
      </c>
      <c r="C786" t="s">
        <v>1202</v>
      </c>
      <c r="D786" t="s">
        <v>159</v>
      </c>
      <c r="E786" t="s">
        <v>159</v>
      </c>
      <c r="F786">
        <v>5477</v>
      </c>
      <c r="G786" t="s">
        <v>700</v>
      </c>
      <c r="H786" t="s">
        <v>700</v>
      </c>
      <c r="I786" t="s">
        <v>1205</v>
      </c>
      <c r="J786">
        <v>1873</v>
      </c>
    </row>
    <row r="787" spans="1:10" x14ac:dyDescent="0.3">
      <c r="A787">
        <v>793</v>
      </c>
      <c r="B787" t="s">
        <v>1479</v>
      </c>
      <c r="C787" t="s">
        <v>1202</v>
      </c>
      <c r="D787" t="s">
        <v>159</v>
      </c>
      <c r="E787" t="s">
        <v>159</v>
      </c>
      <c r="F787">
        <v>5477</v>
      </c>
      <c r="G787" t="s">
        <v>698</v>
      </c>
      <c r="H787" t="s">
        <v>698</v>
      </c>
      <c r="I787" t="s">
        <v>1205</v>
      </c>
      <c r="J787">
        <v>3377</v>
      </c>
    </row>
    <row r="788" spans="1:10" x14ac:dyDescent="0.3">
      <c r="A788">
        <v>793</v>
      </c>
      <c r="B788" t="s">
        <v>1479</v>
      </c>
      <c r="C788" t="s">
        <v>1202</v>
      </c>
      <c r="D788" t="s">
        <v>159</v>
      </c>
      <c r="E788" t="s">
        <v>159</v>
      </c>
      <c r="F788">
        <v>5477</v>
      </c>
      <c r="G788" t="s">
        <v>696</v>
      </c>
      <c r="H788" t="s">
        <v>1393</v>
      </c>
      <c r="I788" t="s">
        <v>1205</v>
      </c>
      <c r="J788">
        <v>10589</v>
      </c>
    </row>
    <row r="789" spans="1:10" x14ac:dyDescent="0.3">
      <c r="A789">
        <v>793</v>
      </c>
      <c r="B789" t="s">
        <v>1479</v>
      </c>
      <c r="C789" t="s">
        <v>1202</v>
      </c>
      <c r="D789" t="s">
        <v>159</v>
      </c>
      <c r="E789" t="s">
        <v>159</v>
      </c>
      <c r="F789">
        <v>5477</v>
      </c>
      <c r="G789" t="s">
        <v>687</v>
      </c>
      <c r="H789" t="s">
        <v>1481</v>
      </c>
      <c r="I789" t="s">
        <v>1205</v>
      </c>
      <c r="J789">
        <v>143</v>
      </c>
    </row>
    <row r="790" spans="1:10" x14ac:dyDescent="0.3">
      <c r="A790">
        <v>793</v>
      </c>
      <c r="B790" t="s">
        <v>1479</v>
      </c>
      <c r="C790" t="s">
        <v>1202</v>
      </c>
      <c r="D790" t="s">
        <v>159</v>
      </c>
      <c r="E790" t="s">
        <v>159</v>
      </c>
      <c r="F790">
        <v>5477</v>
      </c>
      <c r="G790" t="s">
        <v>687</v>
      </c>
      <c r="H790" t="s">
        <v>1302</v>
      </c>
      <c r="I790" t="s">
        <v>1205</v>
      </c>
      <c r="J790">
        <v>3</v>
      </c>
    </row>
    <row r="791" spans="1:10" x14ac:dyDescent="0.3">
      <c r="A791">
        <v>793</v>
      </c>
      <c r="B791" t="s">
        <v>1479</v>
      </c>
      <c r="C791" t="s">
        <v>1202</v>
      </c>
      <c r="D791" t="s">
        <v>159</v>
      </c>
      <c r="E791" t="s">
        <v>159</v>
      </c>
      <c r="F791">
        <v>5477</v>
      </c>
      <c r="G791" t="s">
        <v>686</v>
      </c>
      <c r="H791" t="s">
        <v>1482</v>
      </c>
      <c r="I791" t="s">
        <v>1205</v>
      </c>
      <c r="J791">
        <v>664</v>
      </c>
    </row>
    <row r="792" spans="1:10" x14ac:dyDescent="0.3">
      <c r="A792">
        <v>794</v>
      </c>
      <c r="B792" t="s">
        <v>1483</v>
      </c>
      <c r="C792" t="s">
        <v>1202</v>
      </c>
      <c r="D792" t="s">
        <v>159</v>
      </c>
      <c r="E792" t="s">
        <v>159</v>
      </c>
      <c r="F792">
        <v>6888</v>
      </c>
      <c r="G792" t="s">
        <v>702</v>
      </c>
      <c r="I792" t="s">
        <v>1205</v>
      </c>
      <c r="J792">
        <v>8155</v>
      </c>
    </row>
    <row r="793" spans="1:10" x14ac:dyDescent="0.3">
      <c r="A793">
        <v>794</v>
      </c>
      <c r="B793" t="s">
        <v>1483</v>
      </c>
      <c r="C793" t="s">
        <v>1202</v>
      </c>
      <c r="D793" t="s">
        <v>159</v>
      </c>
      <c r="E793" t="s">
        <v>159</v>
      </c>
      <c r="F793">
        <v>6888</v>
      </c>
      <c r="G793" t="s">
        <v>703</v>
      </c>
      <c r="I793" t="s">
        <v>1205</v>
      </c>
      <c r="J793">
        <v>1629</v>
      </c>
    </row>
    <row r="794" spans="1:10" x14ac:dyDescent="0.3">
      <c r="A794">
        <v>794</v>
      </c>
      <c r="B794" t="s">
        <v>1483</v>
      </c>
      <c r="C794" t="s">
        <v>1202</v>
      </c>
      <c r="D794" t="s">
        <v>159</v>
      </c>
      <c r="E794" t="s">
        <v>159</v>
      </c>
      <c r="F794">
        <v>6888</v>
      </c>
      <c r="G794" t="s">
        <v>701</v>
      </c>
      <c r="I794" t="s">
        <v>1205</v>
      </c>
      <c r="J794">
        <v>571</v>
      </c>
    </row>
    <row r="795" spans="1:10" x14ac:dyDescent="0.3">
      <c r="A795">
        <v>794</v>
      </c>
      <c r="B795" t="s">
        <v>1483</v>
      </c>
      <c r="C795" t="s">
        <v>1202</v>
      </c>
      <c r="D795" t="s">
        <v>159</v>
      </c>
      <c r="E795" t="s">
        <v>159</v>
      </c>
      <c r="F795">
        <v>6888</v>
      </c>
      <c r="G795" t="s">
        <v>700</v>
      </c>
      <c r="I795" t="s">
        <v>1205</v>
      </c>
      <c r="J795">
        <v>4267</v>
      </c>
    </row>
    <row r="796" spans="1:10" x14ac:dyDescent="0.3">
      <c r="A796">
        <v>794</v>
      </c>
      <c r="B796" t="s">
        <v>1483</v>
      </c>
      <c r="C796" t="s">
        <v>1202</v>
      </c>
      <c r="D796" t="s">
        <v>159</v>
      </c>
      <c r="E796" t="s">
        <v>159</v>
      </c>
      <c r="F796">
        <v>6888</v>
      </c>
      <c r="G796" t="s">
        <v>698</v>
      </c>
      <c r="I796" t="s">
        <v>1205</v>
      </c>
      <c r="J796">
        <v>6535</v>
      </c>
    </row>
    <row r="797" spans="1:10" x14ac:dyDescent="0.3">
      <c r="A797">
        <v>794</v>
      </c>
      <c r="B797" t="s">
        <v>1483</v>
      </c>
      <c r="C797" t="s">
        <v>1202</v>
      </c>
      <c r="D797" t="s">
        <v>159</v>
      </c>
      <c r="E797" t="s">
        <v>159</v>
      </c>
      <c r="F797">
        <v>6888</v>
      </c>
      <c r="G797" t="s">
        <v>687</v>
      </c>
      <c r="H797" t="s">
        <v>1484</v>
      </c>
      <c r="I797" t="s">
        <v>1205</v>
      </c>
      <c r="J797">
        <v>8507</v>
      </c>
    </row>
    <row r="798" spans="1:10" x14ac:dyDescent="0.3">
      <c r="A798">
        <v>794</v>
      </c>
      <c r="B798" t="s">
        <v>1483</v>
      </c>
      <c r="C798" t="s">
        <v>1202</v>
      </c>
      <c r="D798" t="s">
        <v>159</v>
      </c>
      <c r="E798" t="s">
        <v>159</v>
      </c>
      <c r="F798">
        <v>6888</v>
      </c>
      <c r="G798" t="s">
        <v>687</v>
      </c>
      <c r="I798" t="s">
        <v>1205</v>
      </c>
      <c r="J798">
        <v>1287</v>
      </c>
    </row>
    <row r="799" spans="1:10" x14ac:dyDescent="0.3">
      <c r="A799">
        <v>794</v>
      </c>
      <c r="B799" t="s">
        <v>1483</v>
      </c>
      <c r="C799" t="s">
        <v>1202</v>
      </c>
      <c r="D799" t="s">
        <v>159</v>
      </c>
      <c r="E799" t="s">
        <v>159</v>
      </c>
      <c r="F799">
        <v>6888</v>
      </c>
      <c r="G799" t="s">
        <v>696</v>
      </c>
      <c r="I799" t="s">
        <v>1205</v>
      </c>
      <c r="J799">
        <v>52162</v>
      </c>
    </row>
    <row r="800" spans="1:10" x14ac:dyDescent="0.3">
      <c r="A800">
        <v>794</v>
      </c>
      <c r="B800" t="s">
        <v>1483</v>
      </c>
      <c r="C800" t="s">
        <v>1202</v>
      </c>
      <c r="D800" t="s">
        <v>159</v>
      </c>
      <c r="E800" t="s">
        <v>159</v>
      </c>
      <c r="F800">
        <v>6888</v>
      </c>
      <c r="G800" t="s">
        <v>684</v>
      </c>
      <c r="I800" t="s">
        <v>1210</v>
      </c>
      <c r="J800">
        <v>446</v>
      </c>
    </row>
    <row r="801" spans="1:10" x14ac:dyDescent="0.3">
      <c r="A801">
        <v>794</v>
      </c>
      <c r="B801" t="s">
        <v>1483</v>
      </c>
      <c r="C801" t="s">
        <v>1202</v>
      </c>
      <c r="D801" t="s">
        <v>159</v>
      </c>
      <c r="E801" t="s">
        <v>159</v>
      </c>
      <c r="F801">
        <v>6888</v>
      </c>
      <c r="G801" t="s">
        <v>684</v>
      </c>
      <c r="I801" t="s">
        <v>1205</v>
      </c>
      <c r="J801">
        <v>1114</v>
      </c>
    </row>
    <row r="802" spans="1:10" x14ac:dyDescent="0.3">
      <c r="A802">
        <v>814</v>
      </c>
      <c r="B802" t="s">
        <v>1485</v>
      </c>
      <c r="C802" t="s">
        <v>1202</v>
      </c>
      <c r="D802" t="s">
        <v>159</v>
      </c>
      <c r="E802" t="s">
        <v>159</v>
      </c>
      <c r="F802">
        <v>5446</v>
      </c>
      <c r="G802" t="s">
        <v>698</v>
      </c>
      <c r="I802" t="s">
        <v>1205</v>
      </c>
      <c r="J802">
        <v>1048</v>
      </c>
    </row>
    <row r="803" spans="1:10" x14ac:dyDescent="0.3">
      <c r="A803">
        <v>814</v>
      </c>
      <c r="B803" t="s">
        <v>1485</v>
      </c>
      <c r="C803" t="s">
        <v>1202</v>
      </c>
      <c r="D803" t="s">
        <v>159</v>
      </c>
      <c r="E803" t="s">
        <v>159</v>
      </c>
      <c r="F803">
        <v>5446</v>
      </c>
      <c r="G803" t="s">
        <v>702</v>
      </c>
      <c r="I803" t="s">
        <v>1205</v>
      </c>
      <c r="J803">
        <v>771</v>
      </c>
    </row>
    <row r="804" spans="1:10" x14ac:dyDescent="0.3">
      <c r="A804">
        <v>814</v>
      </c>
      <c r="B804" t="s">
        <v>1485</v>
      </c>
      <c r="C804" t="s">
        <v>1202</v>
      </c>
      <c r="D804" t="s">
        <v>159</v>
      </c>
      <c r="E804" t="s">
        <v>159</v>
      </c>
      <c r="F804">
        <v>5446</v>
      </c>
      <c r="G804" t="s">
        <v>701</v>
      </c>
      <c r="I804" t="s">
        <v>1205</v>
      </c>
      <c r="J804">
        <v>1</v>
      </c>
    </row>
    <row r="805" spans="1:10" x14ac:dyDescent="0.3">
      <c r="A805">
        <v>814</v>
      </c>
      <c r="B805" t="s">
        <v>1485</v>
      </c>
      <c r="C805" t="s">
        <v>1202</v>
      </c>
      <c r="D805" t="s">
        <v>159</v>
      </c>
      <c r="E805" t="s">
        <v>159</v>
      </c>
      <c r="F805">
        <v>5446</v>
      </c>
      <c r="G805" t="s">
        <v>696</v>
      </c>
      <c r="I805" t="s">
        <v>1205</v>
      </c>
      <c r="J805">
        <v>4039</v>
      </c>
    </row>
    <row r="806" spans="1:10" x14ac:dyDescent="0.3">
      <c r="A806">
        <v>814</v>
      </c>
      <c r="B806" t="s">
        <v>1485</v>
      </c>
      <c r="C806" t="s">
        <v>1202</v>
      </c>
      <c r="D806" t="s">
        <v>159</v>
      </c>
      <c r="E806" t="s">
        <v>159</v>
      </c>
      <c r="F806">
        <v>5446</v>
      </c>
      <c r="G806" t="s">
        <v>686</v>
      </c>
      <c r="H806" t="s">
        <v>1269</v>
      </c>
      <c r="I806" t="s">
        <v>1205</v>
      </c>
      <c r="J806">
        <v>473</v>
      </c>
    </row>
    <row r="807" spans="1:10" x14ac:dyDescent="0.3">
      <c r="A807">
        <v>814</v>
      </c>
      <c r="B807" t="s">
        <v>1485</v>
      </c>
      <c r="C807" t="s">
        <v>1202</v>
      </c>
      <c r="D807" t="s">
        <v>159</v>
      </c>
      <c r="E807" t="s">
        <v>159</v>
      </c>
      <c r="F807">
        <v>5446</v>
      </c>
      <c r="G807" t="s">
        <v>700</v>
      </c>
      <c r="I807" t="s">
        <v>1205</v>
      </c>
      <c r="J807">
        <v>813</v>
      </c>
    </row>
    <row r="808" spans="1:10" x14ac:dyDescent="0.3">
      <c r="A808">
        <v>814</v>
      </c>
      <c r="B808" t="s">
        <v>1485</v>
      </c>
      <c r="C808" t="s">
        <v>1202</v>
      </c>
      <c r="D808" t="s">
        <v>159</v>
      </c>
      <c r="E808" t="s">
        <v>159</v>
      </c>
      <c r="F808">
        <v>5446</v>
      </c>
      <c r="G808" t="s">
        <v>703</v>
      </c>
      <c r="I808" t="s">
        <v>1205</v>
      </c>
      <c r="J808">
        <v>435</v>
      </c>
    </row>
    <row r="809" spans="1:10" x14ac:dyDescent="0.3">
      <c r="A809">
        <v>816</v>
      </c>
      <c r="B809" t="s">
        <v>765</v>
      </c>
      <c r="C809" t="s">
        <v>1202</v>
      </c>
      <c r="D809" t="s">
        <v>1203</v>
      </c>
      <c r="E809" t="s">
        <v>1204</v>
      </c>
      <c r="F809">
        <v>5604</v>
      </c>
      <c r="G809" t="s">
        <v>691</v>
      </c>
      <c r="H809" t="s">
        <v>1486</v>
      </c>
      <c r="I809" t="s">
        <v>1205</v>
      </c>
      <c r="J809">
        <v>3829</v>
      </c>
    </row>
    <row r="810" spans="1:10" x14ac:dyDescent="0.3">
      <c r="A810">
        <v>816</v>
      </c>
      <c r="B810" t="s">
        <v>765</v>
      </c>
      <c r="C810" t="s">
        <v>1202</v>
      </c>
      <c r="D810" t="s">
        <v>1203</v>
      </c>
      <c r="E810" t="s">
        <v>1204</v>
      </c>
      <c r="F810">
        <v>5604</v>
      </c>
      <c r="G810" t="s">
        <v>686</v>
      </c>
      <c r="J810">
        <v>6014</v>
      </c>
    </row>
    <row r="811" spans="1:10" x14ac:dyDescent="0.3">
      <c r="A811">
        <v>816</v>
      </c>
      <c r="B811" t="s">
        <v>765</v>
      </c>
      <c r="C811" t="s">
        <v>1202</v>
      </c>
      <c r="D811" t="s">
        <v>1203</v>
      </c>
      <c r="E811" t="s">
        <v>1204</v>
      </c>
      <c r="F811">
        <v>5604</v>
      </c>
      <c r="G811" t="s">
        <v>691</v>
      </c>
      <c r="H811" t="s">
        <v>1487</v>
      </c>
      <c r="I811" t="s">
        <v>1205</v>
      </c>
      <c r="J811">
        <v>26316</v>
      </c>
    </row>
    <row r="812" spans="1:10" x14ac:dyDescent="0.3">
      <c r="A812">
        <v>827</v>
      </c>
      <c r="B812" t="s">
        <v>1488</v>
      </c>
      <c r="C812" t="s">
        <v>1202</v>
      </c>
      <c r="D812" t="s">
        <v>1203</v>
      </c>
      <c r="E812" t="s">
        <v>1204</v>
      </c>
      <c r="F812">
        <v>5921</v>
      </c>
      <c r="G812" t="s">
        <v>698</v>
      </c>
      <c r="I812" t="s">
        <v>1205</v>
      </c>
      <c r="J812">
        <v>636</v>
      </c>
    </row>
    <row r="813" spans="1:10" x14ac:dyDescent="0.3">
      <c r="A813">
        <v>827</v>
      </c>
      <c r="B813" t="s">
        <v>1488</v>
      </c>
      <c r="C813" t="s">
        <v>1202</v>
      </c>
      <c r="D813" t="s">
        <v>1203</v>
      </c>
      <c r="E813" t="s">
        <v>1204</v>
      </c>
      <c r="F813">
        <v>5921</v>
      </c>
      <c r="G813" t="s">
        <v>696</v>
      </c>
      <c r="I813" t="s">
        <v>1205</v>
      </c>
      <c r="J813">
        <v>853</v>
      </c>
    </row>
    <row r="814" spans="1:10" x14ac:dyDescent="0.3">
      <c r="A814">
        <v>827</v>
      </c>
      <c r="B814" t="s">
        <v>1488</v>
      </c>
      <c r="C814" t="s">
        <v>1202</v>
      </c>
      <c r="D814" t="s">
        <v>1203</v>
      </c>
      <c r="E814" t="s">
        <v>1204</v>
      </c>
      <c r="F814">
        <v>5921</v>
      </c>
      <c r="G814" t="s">
        <v>700</v>
      </c>
      <c r="I814" t="s">
        <v>1205</v>
      </c>
      <c r="J814">
        <v>808</v>
      </c>
    </row>
    <row r="815" spans="1:10" x14ac:dyDescent="0.3">
      <c r="A815">
        <v>827</v>
      </c>
      <c r="B815" t="s">
        <v>1488</v>
      </c>
      <c r="C815" t="s">
        <v>1202</v>
      </c>
      <c r="D815" t="s">
        <v>1203</v>
      </c>
      <c r="E815" t="s">
        <v>1204</v>
      </c>
      <c r="F815">
        <v>5921</v>
      </c>
      <c r="G815" t="s">
        <v>701</v>
      </c>
      <c r="I815" t="s">
        <v>1205</v>
      </c>
      <c r="J815">
        <v>3016</v>
      </c>
    </row>
    <row r="816" spans="1:10" x14ac:dyDescent="0.3">
      <c r="A816">
        <v>827</v>
      </c>
      <c r="B816" t="s">
        <v>1488</v>
      </c>
      <c r="C816" t="s">
        <v>1202</v>
      </c>
      <c r="D816" t="s">
        <v>1203</v>
      </c>
      <c r="E816" t="s">
        <v>1204</v>
      </c>
      <c r="F816">
        <v>5921</v>
      </c>
      <c r="G816" t="s">
        <v>702</v>
      </c>
      <c r="I816" t="s">
        <v>1205</v>
      </c>
      <c r="J816">
        <v>152</v>
      </c>
    </row>
    <row r="817" spans="1:10" x14ac:dyDescent="0.3">
      <c r="A817">
        <v>827</v>
      </c>
      <c r="B817" t="s">
        <v>1488</v>
      </c>
      <c r="C817" t="s">
        <v>1202</v>
      </c>
      <c r="D817" t="s">
        <v>1203</v>
      </c>
      <c r="E817" t="s">
        <v>1204</v>
      </c>
      <c r="F817">
        <v>5921</v>
      </c>
      <c r="G817" t="s">
        <v>684</v>
      </c>
      <c r="I817" t="s">
        <v>1205</v>
      </c>
      <c r="J817">
        <v>0</v>
      </c>
    </row>
    <row r="818" spans="1:10" x14ac:dyDescent="0.3">
      <c r="A818">
        <v>827</v>
      </c>
      <c r="B818" t="s">
        <v>1488</v>
      </c>
      <c r="C818" t="s">
        <v>1202</v>
      </c>
      <c r="D818" t="s">
        <v>1203</v>
      </c>
      <c r="E818" t="s">
        <v>1204</v>
      </c>
      <c r="F818">
        <v>5921</v>
      </c>
      <c r="G818" t="s">
        <v>687</v>
      </c>
      <c r="H818" t="s">
        <v>1489</v>
      </c>
      <c r="I818" t="s">
        <v>1205</v>
      </c>
      <c r="J818">
        <v>4</v>
      </c>
    </row>
    <row r="819" spans="1:10" x14ac:dyDescent="0.3">
      <c r="A819">
        <v>827</v>
      </c>
      <c r="B819" t="s">
        <v>1488</v>
      </c>
      <c r="C819" t="s">
        <v>1202</v>
      </c>
      <c r="D819" t="s">
        <v>1203</v>
      </c>
      <c r="E819" t="s">
        <v>1204</v>
      </c>
      <c r="F819">
        <v>5921</v>
      </c>
      <c r="G819" t="s">
        <v>686</v>
      </c>
      <c r="H819" t="s">
        <v>1490</v>
      </c>
      <c r="I819" t="s">
        <v>1205</v>
      </c>
      <c r="J819">
        <v>20</v>
      </c>
    </row>
    <row r="820" spans="1:10" x14ac:dyDescent="0.3">
      <c r="A820">
        <v>830</v>
      </c>
      <c r="B820" t="s">
        <v>1491</v>
      </c>
      <c r="C820" t="s">
        <v>1202</v>
      </c>
      <c r="D820" t="s">
        <v>159</v>
      </c>
      <c r="E820" t="s">
        <v>159</v>
      </c>
      <c r="F820">
        <v>8004</v>
      </c>
      <c r="G820" t="s">
        <v>700</v>
      </c>
      <c r="I820" t="s">
        <v>1205</v>
      </c>
      <c r="J820">
        <v>782</v>
      </c>
    </row>
    <row r="821" spans="1:10" x14ac:dyDescent="0.3">
      <c r="A821">
        <v>830</v>
      </c>
      <c r="B821" t="s">
        <v>1491</v>
      </c>
      <c r="C821" t="s">
        <v>1202</v>
      </c>
      <c r="D821" t="s">
        <v>159</v>
      </c>
      <c r="E821" t="s">
        <v>159</v>
      </c>
      <c r="F821">
        <v>8004</v>
      </c>
      <c r="G821" t="s">
        <v>703</v>
      </c>
      <c r="I821" t="s">
        <v>1205</v>
      </c>
      <c r="J821">
        <v>53</v>
      </c>
    </row>
    <row r="822" spans="1:10" x14ac:dyDescent="0.3">
      <c r="A822">
        <v>830</v>
      </c>
      <c r="B822" t="s">
        <v>1491</v>
      </c>
      <c r="C822" t="s">
        <v>1202</v>
      </c>
      <c r="D822" t="s">
        <v>159</v>
      </c>
      <c r="E822" t="s">
        <v>159</v>
      </c>
      <c r="F822">
        <v>8004</v>
      </c>
      <c r="G822" t="s">
        <v>696</v>
      </c>
      <c r="I822" t="s">
        <v>1205</v>
      </c>
      <c r="J822">
        <v>1943</v>
      </c>
    </row>
    <row r="823" spans="1:10" x14ac:dyDescent="0.3">
      <c r="A823">
        <v>830</v>
      </c>
      <c r="B823" t="s">
        <v>1491</v>
      </c>
      <c r="C823" t="s">
        <v>1202</v>
      </c>
      <c r="D823" t="s">
        <v>159</v>
      </c>
      <c r="E823" t="s">
        <v>159</v>
      </c>
      <c r="F823">
        <v>8004</v>
      </c>
      <c r="G823" t="s">
        <v>698</v>
      </c>
      <c r="I823" t="s">
        <v>1205</v>
      </c>
      <c r="J823">
        <v>2738</v>
      </c>
    </row>
    <row r="824" spans="1:10" x14ac:dyDescent="0.3">
      <c r="A824">
        <v>830</v>
      </c>
      <c r="B824" t="s">
        <v>1491</v>
      </c>
      <c r="C824" t="s">
        <v>1202</v>
      </c>
      <c r="D824" t="s">
        <v>159</v>
      </c>
      <c r="E824" t="s">
        <v>159</v>
      </c>
      <c r="F824">
        <v>8004</v>
      </c>
      <c r="G824" t="s">
        <v>687</v>
      </c>
      <c r="H824" t="s">
        <v>1492</v>
      </c>
      <c r="I824" t="s">
        <v>1205</v>
      </c>
      <c r="J824">
        <v>3</v>
      </c>
    </row>
    <row r="825" spans="1:10" x14ac:dyDescent="0.3">
      <c r="A825">
        <v>830</v>
      </c>
      <c r="B825" t="s">
        <v>1491</v>
      </c>
      <c r="C825" t="s">
        <v>1202</v>
      </c>
      <c r="D825" t="s">
        <v>159</v>
      </c>
      <c r="E825" t="s">
        <v>159</v>
      </c>
      <c r="F825">
        <v>8004</v>
      </c>
      <c r="G825" t="s">
        <v>686</v>
      </c>
      <c r="H825" t="s">
        <v>1269</v>
      </c>
      <c r="I825" t="s">
        <v>1205</v>
      </c>
      <c r="J825">
        <v>385</v>
      </c>
    </row>
    <row r="826" spans="1:10" x14ac:dyDescent="0.3">
      <c r="A826">
        <v>830</v>
      </c>
      <c r="B826" t="s">
        <v>1491</v>
      </c>
      <c r="C826" t="s">
        <v>1202</v>
      </c>
      <c r="D826" t="s">
        <v>159</v>
      </c>
      <c r="E826" t="s">
        <v>159</v>
      </c>
      <c r="F826">
        <v>8004</v>
      </c>
      <c r="G826" t="s">
        <v>702</v>
      </c>
      <c r="H826" t="s">
        <v>1282</v>
      </c>
      <c r="I826" t="s">
        <v>1205</v>
      </c>
      <c r="J826">
        <v>1263</v>
      </c>
    </row>
    <row r="827" spans="1:10" x14ac:dyDescent="0.3">
      <c r="A827">
        <v>835</v>
      </c>
      <c r="B827" t="s">
        <v>1493</v>
      </c>
      <c r="C827" t="s">
        <v>1202</v>
      </c>
      <c r="D827" t="s">
        <v>1203</v>
      </c>
      <c r="E827" t="s">
        <v>1204</v>
      </c>
      <c r="F827">
        <v>5610</v>
      </c>
      <c r="G827" t="s">
        <v>691</v>
      </c>
      <c r="H827" t="s">
        <v>1393</v>
      </c>
      <c r="I827" t="s">
        <v>1205</v>
      </c>
      <c r="J827">
        <v>5338</v>
      </c>
    </row>
    <row r="828" spans="1:10" x14ac:dyDescent="0.3">
      <c r="A828">
        <v>835</v>
      </c>
      <c r="B828" t="s">
        <v>1493</v>
      </c>
      <c r="C828" t="s">
        <v>1202</v>
      </c>
      <c r="D828" t="s">
        <v>1203</v>
      </c>
      <c r="E828" t="s">
        <v>1204</v>
      </c>
      <c r="F828">
        <v>5610</v>
      </c>
      <c r="G828" t="s">
        <v>691</v>
      </c>
      <c r="H828" t="s">
        <v>1494</v>
      </c>
      <c r="I828" t="s">
        <v>1205</v>
      </c>
      <c r="J828">
        <v>1347</v>
      </c>
    </row>
    <row r="829" spans="1:10" x14ac:dyDescent="0.3">
      <c r="A829">
        <v>835</v>
      </c>
      <c r="B829" t="s">
        <v>1493</v>
      </c>
      <c r="C829" t="s">
        <v>1202</v>
      </c>
      <c r="D829" t="s">
        <v>1203</v>
      </c>
      <c r="E829" t="s">
        <v>1204</v>
      </c>
      <c r="F829">
        <v>5610</v>
      </c>
      <c r="G829" t="s">
        <v>686</v>
      </c>
      <c r="I829" t="s">
        <v>1205</v>
      </c>
      <c r="J829">
        <v>309</v>
      </c>
    </row>
    <row r="830" spans="1:10" x14ac:dyDescent="0.3">
      <c r="A830">
        <v>842</v>
      </c>
      <c r="B830" t="s">
        <v>1495</v>
      </c>
      <c r="C830" t="s">
        <v>1202</v>
      </c>
      <c r="D830" t="s">
        <v>159</v>
      </c>
      <c r="E830" t="s">
        <v>159</v>
      </c>
      <c r="F830">
        <v>6760</v>
      </c>
      <c r="G830" t="s">
        <v>700</v>
      </c>
      <c r="I830" t="s">
        <v>1205</v>
      </c>
      <c r="J830">
        <v>4409</v>
      </c>
    </row>
    <row r="831" spans="1:10" x14ac:dyDescent="0.3">
      <c r="A831">
        <v>842</v>
      </c>
      <c r="B831" t="s">
        <v>1495</v>
      </c>
      <c r="C831" t="s">
        <v>1202</v>
      </c>
      <c r="D831" t="s">
        <v>159</v>
      </c>
      <c r="E831" t="s">
        <v>159</v>
      </c>
      <c r="F831">
        <v>6760</v>
      </c>
      <c r="G831" t="s">
        <v>687</v>
      </c>
      <c r="H831" t="s">
        <v>1496</v>
      </c>
      <c r="I831" t="s">
        <v>1205</v>
      </c>
      <c r="J831">
        <v>17162</v>
      </c>
    </row>
    <row r="832" spans="1:10" x14ac:dyDescent="0.3">
      <c r="A832">
        <v>842</v>
      </c>
      <c r="B832" t="s">
        <v>1495</v>
      </c>
      <c r="C832" t="s">
        <v>1202</v>
      </c>
      <c r="D832" t="s">
        <v>159</v>
      </c>
      <c r="E832" t="s">
        <v>159</v>
      </c>
      <c r="F832">
        <v>6760</v>
      </c>
      <c r="G832" t="s">
        <v>686</v>
      </c>
      <c r="I832" t="s">
        <v>1205</v>
      </c>
      <c r="J832">
        <v>1446</v>
      </c>
    </row>
    <row r="833" spans="1:10" x14ac:dyDescent="0.3">
      <c r="A833">
        <v>842</v>
      </c>
      <c r="B833" t="s">
        <v>1495</v>
      </c>
      <c r="C833" t="s">
        <v>1202</v>
      </c>
      <c r="D833" t="s">
        <v>159</v>
      </c>
      <c r="E833" t="s">
        <v>159</v>
      </c>
      <c r="F833">
        <v>6760</v>
      </c>
      <c r="G833" t="s">
        <v>1497</v>
      </c>
      <c r="H833" t="s">
        <v>1498</v>
      </c>
      <c r="I833" t="s">
        <v>1205</v>
      </c>
      <c r="J833">
        <v>332</v>
      </c>
    </row>
    <row r="834" spans="1:10" x14ac:dyDescent="0.3">
      <c r="A834">
        <v>842</v>
      </c>
      <c r="B834" t="s">
        <v>1495</v>
      </c>
      <c r="C834" t="s">
        <v>1202</v>
      </c>
      <c r="D834" t="s">
        <v>159</v>
      </c>
      <c r="E834" t="s">
        <v>159</v>
      </c>
      <c r="F834">
        <v>6760</v>
      </c>
      <c r="G834" t="s">
        <v>687</v>
      </c>
      <c r="H834" t="s">
        <v>1499</v>
      </c>
      <c r="I834" t="s">
        <v>1205</v>
      </c>
      <c r="J834">
        <v>168</v>
      </c>
    </row>
    <row r="835" spans="1:10" x14ac:dyDescent="0.3">
      <c r="A835">
        <v>842</v>
      </c>
      <c r="B835" t="s">
        <v>1495</v>
      </c>
      <c r="C835" t="s">
        <v>1202</v>
      </c>
      <c r="D835" t="s">
        <v>159</v>
      </c>
      <c r="E835" t="s">
        <v>159</v>
      </c>
      <c r="F835">
        <v>6760</v>
      </c>
      <c r="G835" t="s">
        <v>687</v>
      </c>
      <c r="H835" t="s">
        <v>1500</v>
      </c>
      <c r="I835" t="s">
        <v>1205</v>
      </c>
      <c r="J835">
        <v>54</v>
      </c>
    </row>
    <row r="836" spans="1:10" x14ac:dyDescent="0.3">
      <c r="A836">
        <v>842</v>
      </c>
      <c r="B836" t="s">
        <v>1495</v>
      </c>
      <c r="C836" t="s">
        <v>1202</v>
      </c>
      <c r="D836" t="s">
        <v>159</v>
      </c>
      <c r="E836" t="s">
        <v>159</v>
      </c>
      <c r="F836">
        <v>6760</v>
      </c>
      <c r="G836" t="s">
        <v>703</v>
      </c>
      <c r="I836" t="s">
        <v>1205</v>
      </c>
      <c r="J836">
        <v>82</v>
      </c>
    </row>
    <row r="837" spans="1:10" x14ac:dyDescent="0.3">
      <c r="A837">
        <v>851</v>
      </c>
      <c r="B837" t="s">
        <v>1501</v>
      </c>
      <c r="C837" t="s">
        <v>1202</v>
      </c>
      <c r="D837" t="s">
        <v>159</v>
      </c>
      <c r="E837" t="s">
        <v>159</v>
      </c>
      <c r="F837">
        <v>5582</v>
      </c>
      <c r="G837" t="s">
        <v>698</v>
      </c>
      <c r="I837" t="s">
        <v>1205</v>
      </c>
      <c r="J837">
        <v>3619</v>
      </c>
    </row>
    <row r="838" spans="1:10" x14ac:dyDescent="0.3">
      <c r="A838">
        <v>851</v>
      </c>
      <c r="B838" t="s">
        <v>1501</v>
      </c>
      <c r="C838" t="s">
        <v>1202</v>
      </c>
      <c r="D838" t="s">
        <v>159</v>
      </c>
      <c r="E838" t="s">
        <v>159</v>
      </c>
      <c r="F838">
        <v>5582</v>
      </c>
      <c r="G838" t="s">
        <v>686</v>
      </c>
      <c r="I838" t="s">
        <v>1205</v>
      </c>
      <c r="J838">
        <v>2397</v>
      </c>
    </row>
    <row r="839" spans="1:10" x14ac:dyDescent="0.3">
      <c r="A839">
        <v>851</v>
      </c>
      <c r="B839" t="s">
        <v>1501</v>
      </c>
      <c r="C839" t="s">
        <v>1202</v>
      </c>
      <c r="D839" t="s">
        <v>159</v>
      </c>
      <c r="E839" t="s">
        <v>159</v>
      </c>
      <c r="F839">
        <v>5582</v>
      </c>
      <c r="G839" t="s">
        <v>696</v>
      </c>
      <c r="H839" t="s">
        <v>1502</v>
      </c>
      <c r="I839" t="s">
        <v>1205</v>
      </c>
      <c r="J839">
        <v>7419</v>
      </c>
    </row>
    <row r="840" spans="1:10" x14ac:dyDescent="0.3">
      <c r="A840">
        <v>851</v>
      </c>
      <c r="B840" t="s">
        <v>1501</v>
      </c>
      <c r="C840" t="s">
        <v>1202</v>
      </c>
      <c r="D840" t="s">
        <v>159</v>
      </c>
      <c r="E840" t="s">
        <v>159</v>
      </c>
      <c r="F840">
        <v>5582</v>
      </c>
      <c r="G840" t="s">
        <v>1497</v>
      </c>
      <c r="H840" t="s">
        <v>1503</v>
      </c>
      <c r="I840" t="s">
        <v>1205</v>
      </c>
      <c r="J840">
        <v>368</v>
      </c>
    </row>
    <row r="841" spans="1:10" x14ac:dyDescent="0.3">
      <c r="A841">
        <v>851</v>
      </c>
      <c r="B841" t="s">
        <v>1501</v>
      </c>
      <c r="C841" t="s">
        <v>1202</v>
      </c>
      <c r="D841" t="s">
        <v>159</v>
      </c>
      <c r="E841" t="s">
        <v>159</v>
      </c>
      <c r="F841">
        <v>5582</v>
      </c>
      <c r="G841" t="s">
        <v>684</v>
      </c>
      <c r="H841" t="s">
        <v>1504</v>
      </c>
      <c r="I841" t="s">
        <v>1205</v>
      </c>
      <c r="J841">
        <v>3057</v>
      </c>
    </row>
    <row r="842" spans="1:10" x14ac:dyDescent="0.3">
      <c r="A842">
        <v>851</v>
      </c>
      <c r="B842" t="s">
        <v>1501</v>
      </c>
      <c r="C842" t="s">
        <v>1202</v>
      </c>
      <c r="D842" t="s">
        <v>159</v>
      </c>
      <c r="E842" t="s">
        <v>159</v>
      </c>
      <c r="F842">
        <v>5582</v>
      </c>
      <c r="G842" t="s">
        <v>702</v>
      </c>
      <c r="I842" t="s">
        <v>1205</v>
      </c>
      <c r="J842">
        <v>1698</v>
      </c>
    </row>
    <row r="843" spans="1:10" x14ac:dyDescent="0.3">
      <c r="A843">
        <v>851</v>
      </c>
      <c r="B843" t="s">
        <v>1501</v>
      </c>
      <c r="C843" t="s">
        <v>1202</v>
      </c>
      <c r="D843" t="s">
        <v>159</v>
      </c>
      <c r="E843" t="s">
        <v>159</v>
      </c>
      <c r="F843">
        <v>5582</v>
      </c>
      <c r="G843" t="s">
        <v>703</v>
      </c>
      <c r="I843" t="s">
        <v>1205</v>
      </c>
      <c r="J843">
        <v>399</v>
      </c>
    </row>
    <row r="844" spans="1:10" x14ac:dyDescent="0.3">
      <c r="A844">
        <v>851</v>
      </c>
      <c r="B844" t="s">
        <v>1501</v>
      </c>
      <c r="C844" t="s">
        <v>1202</v>
      </c>
      <c r="D844" t="s">
        <v>159</v>
      </c>
      <c r="E844" t="s">
        <v>159</v>
      </c>
      <c r="F844">
        <v>5582</v>
      </c>
      <c r="G844" t="s">
        <v>701</v>
      </c>
      <c r="I844" t="s">
        <v>1205</v>
      </c>
      <c r="J844">
        <v>49</v>
      </c>
    </row>
    <row r="845" spans="1:10" x14ac:dyDescent="0.3">
      <c r="A845">
        <v>851</v>
      </c>
      <c r="B845" t="s">
        <v>1501</v>
      </c>
      <c r="C845" t="s">
        <v>1202</v>
      </c>
      <c r="D845" t="s">
        <v>159</v>
      </c>
      <c r="E845" t="s">
        <v>159</v>
      </c>
      <c r="F845">
        <v>5582</v>
      </c>
      <c r="G845" t="s">
        <v>700</v>
      </c>
      <c r="I845" t="s">
        <v>1205</v>
      </c>
      <c r="J845">
        <v>1619</v>
      </c>
    </row>
    <row r="846" spans="1:10" x14ac:dyDescent="0.3">
      <c r="A846">
        <v>856</v>
      </c>
      <c r="B846" t="s">
        <v>1505</v>
      </c>
      <c r="C846" t="s">
        <v>1202</v>
      </c>
      <c r="D846" t="s">
        <v>1203</v>
      </c>
      <c r="E846" t="s">
        <v>1204</v>
      </c>
      <c r="F846">
        <v>5561</v>
      </c>
      <c r="G846" t="s">
        <v>686</v>
      </c>
      <c r="I846" t="s">
        <v>1205</v>
      </c>
      <c r="J846">
        <v>438.23468076751402</v>
      </c>
    </row>
    <row r="847" spans="1:10" x14ac:dyDescent="0.3">
      <c r="A847">
        <v>856</v>
      </c>
      <c r="B847" t="s">
        <v>1505</v>
      </c>
      <c r="C847" t="s">
        <v>1202</v>
      </c>
      <c r="D847" t="s">
        <v>1203</v>
      </c>
      <c r="E847" t="s">
        <v>1204</v>
      </c>
      <c r="F847">
        <v>5561</v>
      </c>
      <c r="G847" t="s">
        <v>702</v>
      </c>
      <c r="I847" t="s">
        <v>1205</v>
      </c>
      <c r="J847">
        <v>1273.15039242274</v>
      </c>
    </row>
    <row r="848" spans="1:10" x14ac:dyDescent="0.3">
      <c r="A848">
        <v>856</v>
      </c>
      <c r="B848" t="s">
        <v>1505</v>
      </c>
      <c r="C848" t="s">
        <v>1202</v>
      </c>
      <c r="D848" t="s">
        <v>1203</v>
      </c>
      <c r="E848" t="s">
        <v>1204</v>
      </c>
      <c r="F848">
        <v>5561</v>
      </c>
      <c r="G848" t="s">
        <v>701</v>
      </c>
      <c r="I848" t="s">
        <v>1205</v>
      </c>
      <c r="J848">
        <v>65.277932915256599</v>
      </c>
    </row>
    <row r="849" spans="1:10" x14ac:dyDescent="0.3">
      <c r="A849">
        <v>856</v>
      </c>
      <c r="B849" t="s">
        <v>1505</v>
      </c>
      <c r="C849" t="s">
        <v>1202</v>
      </c>
      <c r="D849" t="s">
        <v>1203</v>
      </c>
      <c r="E849" t="s">
        <v>1204</v>
      </c>
      <c r="F849">
        <v>5561</v>
      </c>
      <c r="G849" t="s">
        <v>700</v>
      </c>
      <c r="H849" t="s">
        <v>1506</v>
      </c>
      <c r="I849" t="s">
        <v>1205</v>
      </c>
      <c r="J849">
        <v>468.09720597392101</v>
      </c>
    </row>
    <row r="850" spans="1:10" x14ac:dyDescent="0.3">
      <c r="A850">
        <v>856</v>
      </c>
      <c r="B850" t="s">
        <v>1505</v>
      </c>
      <c r="C850" t="s">
        <v>1202</v>
      </c>
      <c r="D850" t="s">
        <v>1203</v>
      </c>
      <c r="E850" t="s">
        <v>1204</v>
      </c>
      <c r="F850">
        <v>5561</v>
      </c>
      <c r="G850" t="s">
        <v>696</v>
      </c>
      <c r="I850" t="s">
        <v>1205</v>
      </c>
      <c r="J850">
        <v>1093.6286164394201</v>
      </c>
    </row>
    <row r="851" spans="1:10" x14ac:dyDescent="0.3">
      <c r="A851">
        <v>856</v>
      </c>
      <c r="B851" t="s">
        <v>1505</v>
      </c>
      <c r="C851" t="s">
        <v>1202</v>
      </c>
      <c r="D851" t="s">
        <v>1203</v>
      </c>
      <c r="E851" t="s">
        <v>1204</v>
      </c>
      <c r="F851">
        <v>5561</v>
      </c>
      <c r="G851" t="s">
        <v>698</v>
      </c>
      <c r="I851" t="s">
        <v>1205</v>
      </c>
      <c r="J851">
        <v>1559.1663085686801</v>
      </c>
    </row>
    <row r="852" spans="1:10" x14ac:dyDescent="0.3">
      <c r="A852">
        <v>856</v>
      </c>
      <c r="B852" t="s">
        <v>1505</v>
      </c>
      <c r="C852" t="s">
        <v>1202</v>
      </c>
      <c r="D852" t="s">
        <v>1203</v>
      </c>
      <c r="E852" t="s">
        <v>1204</v>
      </c>
      <c r="F852">
        <v>5561</v>
      </c>
      <c r="G852" t="s">
        <v>691</v>
      </c>
      <c r="H852" t="s">
        <v>1410</v>
      </c>
      <c r="I852" t="s">
        <v>1205</v>
      </c>
      <c r="J852">
        <v>1.7285326681854001</v>
      </c>
    </row>
    <row r="853" spans="1:10" x14ac:dyDescent="0.3">
      <c r="A853">
        <v>859</v>
      </c>
      <c r="B853" t="s">
        <v>1507</v>
      </c>
      <c r="C853" t="s">
        <v>1202</v>
      </c>
      <c r="D853" t="s">
        <v>1203</v>
      </c>
      <c r="E853" t="s">
        <v>1204</v>
      </c>
      <c r="F853">
        <v>5694</v>
      </c>
      <c r="G853" t="s">
        <v>698</v>
      </c>
      <c r="I853" t="s">
        <v>1205</v>
      </c>
      <c r="J853">
        <v>294.6132336</v>
      </c>
    </row>
    <row r="854" spans="1:10" x14ac:dyDescent="0.3">
      <c r="A854">
        <v>859</v>
      </c>
      <c r="B854" t="s">
        <v>1507</v>
      </c>
      <c r="C854" t="s">
        <v>1202</v>
      </c>
      <c r="D854" t="s">
        <v>1203</v>
      </c>
      <c r="E854" t="s">
        <v>1204</v>
      </c>
      <c r="F854">
        <v>5694</v>
      </c>
      <c r="G854" t="s">
        <v>696</v>
      </c>
      <c r="I854" t="s">
        <v>1205</v>
      </c>
      <c r="J854">
        <v>1298.1395605499999</v>
      </c>
    </row>
    <row r="855" spans="1:10" x14ac:dyDescent="0.3">
      <c r="A855">
        <v>859</v>
      </c>
      <c r="B855" t="s">
        <v>1507</v>
      </c>
      <c r="C855" t="s">
        <v>1202</v>
      </c>
      <c r="D855" t="s">
        <v>1203</v>
      </c>
      <c r="E855" t="s">
        <v>1204</v>
      </c>
      <c r="F855">
        <v>5694</v>
      </c>
      <c r="G855" t="s">
        <v>691</v>
      </c>
      <c r="H855" t="s">
        <v>1508</v>
      </c>
      <c r="I855" t="s">
        <v>1205</v>
      </c>
      <c r="J855">
        <v>18.4133271</v>
      </c>
    </row>
    <row r="856" spans="1:10" x14ac:dyDescent="0.3">
      <c r="A856">
        <v>859</v>
      </c>
      <c r="B856" t="s">
        <v>1507</v>
      </c>
      <c r="C856" t="s">
        <v>1202</v>
      </c>
      <c r="D856" t="s">
        <v>1203</v>
      </c>
      <c r="E856" t="s">
        <v>1204</v>
      </c>
      <c r="F856">
        <v>5694</v>
      </c>
      <c r="G856" t="s">
        <v>686</v>
      </c>
      <c r="I856" t="s">
        <v>1205</v>
      </c>
      <c r="J856">
        <v>469.53984105000001</v>
      </c>
    </row>
    <row r="857" spans="1:10" x14ac:dyDescent="0.3">
      <c r="A857">
        <v>859</v>
      </c>
      <c r="B857" t="s">
        <v>1507</v>
      </c>
      <c r="C857" t="s">
        <v>1202</v>
      </c>
      <c r="D857" t="s">
        <v>1203</v>
      </c>
      <c r="E857" t="s">
        <v>1204</v>
      </c>
      <c r="F857">
        <v>5694</v>
      </c>
      <c r="G857" t="s">
        <v>687</v>
      </c>
      <c r="H857" t="s">
        <v>1509</v>
      </c>
      <c r="I857" t="s">
        <v>1205</v>
      </c>
      <c r="J857">
        <v>36.8266542</v>
      </c>
    </row>
    <row r="858" spans="1:10" x14ac:dyDescent="0.3">
      <c r="A858">
        <v>859</v>
      </c>
      <c r="B858" t="s">
        <v>1507</v>
      </c>
      <c r="C858" t="s">
        <v>1202</v>
      </c>
      <c r="D858" t="s">
        <v>1203</v>
      </c>
      <c r="E858" t="s">
        <v>1204</v>
      </c>
      <c r="F858">
        <v>5694</v>
      </c>
      <c r="G858" t="s">
        <v>700</v>
      </c>
      <c r="I858" t="s">
        <v>1205</v>
      </c>
      <c r="J858">
        <v>748.80863539999996</v>
      </c>
    </row>
    <row r="859" spans="1:10" x14ac:dyDescent="0.3">
      <c r="A859">
        <v>866</v>
      </c>
      <c r="B859" t="s">
        <v>1510</v>
      </c>
      <c r="C859" t="s">
        <v>1202</v>
      </c>
      <c r="D859" t="s">
        <v>1203</v>
      </c>
      <c r="E859" t="s">
        <v>1204</v>
      </c>
      <c r="F859">
        <v>5963</v>
      </c>
      <c r="G859" t="s">
        <v>687</v>
      </c>
      <c r="H859" t="s">
        <v>1511</v>
      </c>
      <c r="I859" t="s">
        <v>1205</v>
      </c>
      <c r="J859">
        <v>581</v>
      </c>
    </row>
    <row r="860" spans="1:10" x14ac:dyDescent="0.3">
      <c r="A860">
        <v>866</v>
      </c>
      <c r="B860" t="s">
        <v>1510</v>
      </c>
      <c r="C860" t="s">
        <v>1202</v>
      </c>
      <c r="D860" t="s">
        <v>1203</v>
      </c>
      <c r="E860" t="s">
        <v>1204</v>
      </c>
      <c r="F860">
        <v>5963</v>
      </c>
      <c r="G860" t="s">
        <v>696</v>
      </c>
      <c r="I860" t="s">
        <v>1205</v>
      </c>
      <c r="J860">
        <v>8047</v>
      </c>
    </row>
    <row r="861" spans="1:10" x14ac:dyDescent="0.3">
      <c r="A861">
        <v>866</v>
      </c>
      <c r="B861" t="s">
        <v>1510</v>
      </c>
      <c r="C861" t="s">
        <v>1202</v>
      </c>
      <c r="D861" t="s">
        <v>1203</v>
      </c>
      <c r="E861" t="s">
        <v>1204</v>
      </c>
      <c r="F861">
        <v>5963</v>
      </c>
      <c r="G861" t="s">
        <v>698</v>
      </c>
      <c r="I861" t="s">
        <v>1205</v>
      </c>
      <c r="J861">
        <v>642</v>
      </c>
    </row>
    <row r="862" spans="1:10" x14ac:dyDescent="0.3">
      <c r="A862">
        <v>866</v>
      </c>
      <c r="B862" t="s">
        <v>1510</v>
      </c>
      <c r="C862" t="s">
        <v>1202</v>
      </c>
      <c r="D862" t="s">
        <v>1203</v>
      </c>
      <c r="E862" t="s">
        <v>1204</v>
      </c>
      <c r="F862">
        <v>5963</v>
      </c>
      <c r="G862" t="s">
        <v>700</v>
      </c>
      <c r="I862" t="s">
        <v>1205</v>
      </c>
      <c r="J862">
        <v>274</v>
      </c>
    </row>
    <row r="863" spans="1:10" x14ac:dyDescent="0.3">
      <c r="A863">
        <v>866</v>
      </c>
      <c r="B863" t="s">
        <v>1510</v>
      </c>
      <c r="C863" t="s">
        <v>1202</v>
      </c>
      <c r="D863" t="s">
        <v>1203</v>
      </c>
      <c r="E863" t="s">
        <v>1204</v>
      </c>
      <c r="F863">
        <v>5963</v>
      </c>
      <c r="G863" t="s">
        <v>701</v>
      </c>
      <c r="I863" t="s">
        <v>1205</v>
      </c>
      <c r="J863">
        <v>254</v>
      </c>
    </row>
    <row r="864" spans="1:10" x14ac:dyDescent="0.3">
      <c r="A864">
        <v>866</v>
      </c>
      <c r="B864" t="s">
        <v>1510</v>
      </c>
      <c r="C864" t="s">
        <v>1202</v>
      </c>
      <c r="D864" t="s">
        <v>1203</v>
      </c>
      <c r="E864" t="s">
        <v>1204</v>
      </c>
      <c r="F864">
        <v>5963</v>
      </c>
      <c r="G864" t="s">
        <v>702</v>
      </c>
      <c r="I864" t="s">
        <v>1205</v>
      </c>
      <c r="J864">
        <v>642</v>
      </c>
    </row>
    <row r="865" spans="1:10" x14ac:dyDescent="0.3">
      <c r="A865">
        <v>866</v>
      </c>
      <c r="B865" t="s">
        <v>1510</v>
      </c>
      <c r="C865" t="s">
        <v>1202</v>
      </c>
      <c r="D865" t="s">
        <v>1203</v>
      </c>
      <c r="E865" t="s">
        <v>1204</v>
      </c>
      <c r="F865">
        <v>5963</v>
      </c>
      <c r="G865" t="s">
        <v>687</v>
      </c>
      <c r="H865" t="s">
        <v>1512</v>
      </c>
      <c r="I865" t="s">
        <v>1205</v>
      </c>
      <c r="J865">
        <v>12</v>
      </c>
    </row>
    <row r="866" spans="1:10" x14ac:dyDescent="0.3">
      <c r="A866">
        <v>867</v>
      </c>
      <c r="B866" t="s">
        <v>1513</v>
      </c>
      <c r="C866" t="s">
        <v>1202</v>
      </c>
      <c r="D866" t="s">
        <v>1203</v>
      </c>
      <c r="E866" t="s">
        <v>1204</v>
      </c>
      <c r="F866">
        <v>5770</v>
      </c>
      <c r="G866" t="s">
        <v>696</v>
      </c>
      <c r="I866" t="s">
        <v>1205</v>
      </c>
      <c r="J866">
        <v>10781.003017049999</v>
      </c>
    </row>
    <row r="867" spans="1:10" x14ac:dyDescent="0.3">
      <c r="A867">
        <v>867</v>
      </c>
      <c r="B867" t="s">
        <v>1513</v>
      </c>
      <c r="C867" t="s">
        <v>1202</v>
      </c>
      <c r="D867" t="s">
        <v>1203</v>
      </c>
      <c r="E867" t="s">
        <v>1204</v>
      </c>
      <c r="F867">
        <v>5770</v>
      </c>
      <c r="G867" t="s">
        <v>700</v>
      </c>
      <c r="I867" t="s">
        <v>1205</v>
      </c>
      <c r="J867">
        <v>1967.1571118500001</v>
      </c>
    </row>
    <row r="868" spans="1:10" x14ac:dyDescent="0.3">
      <c r="A868">
        <v>867</v>
      </c>
      <c r="B868" t="s">
        <v>1513</v>
      </c>
      <c r="C868" t="s">
        <v>1202</v>
      </c>
      <c r="D868" t="s">
        <v>1203</v>
      </c>
      <c r="E868" t="s">
        <v>1204</v>
      </c>
      <c r="F868">
        <v>5770</v>
      </c>
      <c r="G868" t="s">
        <v>701</v>
      </c>
      <c r="I868" t="s">
        <v>1205</v>
      </c>
      <c r="J868">
        <v>2347.69920525</v>
      </c>
    </row>
    <row r="869" spans="1:10" x14ac:dyDescent="0.3">
      <c r="A869">
        <v>867</v>
      </c>
      <c r="B869" t="s">
        <v>1513</v>
      </c>
      <c r="C869" t="s">
        <v>1202</v>
      </c>
      <c r="D869" t="s">
        <v>1203</v>
      </c>
      <c r="E869" t="s">
        <v>1204</v>
      </c>
      <c r="F869">
        <v>5770</v>
      </c>
      <c r="G869" t="s">
        <v>703</v>
      </c>
      <c r="I869" t="s">
        <v>1205</v>
      </c>
      <c r="J869">
        <v>251.6488037</v>
      </c>
    </row>
    <row r="870" spans="1:10" x14ac:dyDescent="0.3">
      <c r="A870">
        <v>867</v>
      </c>
      <c r="B870" t="s">
        <v>1513</v>
      </c>
      <c r="C870" t="s">
        <v>1202</v>
      </c>
      <c r="D870" t="s">
        <v>1203</v>
      </c>
      <c r="E870" t="s">
        <v>1204</v>
      </c>
      <c r="F870">
        <v>5770</v>
      </c>
      <c r="G870" t="s">
        <v>702</v>
      </c>
      <c r="I870" t="s">
        <v>1205</v>
      </c>
      <c r="J870">
        <v>2955.3389995500002</v>
      </c>
    </row>
    <row r="871" spans="1:10" x14ac:dyDescent="0.3">
      <c r="A871">
        <v>867</v>
      </c>
      <c r="B871" t="s">
        <v>1513</v>
      </c>
      <c r="C871" t="s">
        <v>1202</v>
      </c>
      <c r="D871" t="s">
        <v>1203</v>
      </c>
      <c r="E871" t="s">
        <v>1204</v>
      </c>
      <c r="F871">
        <v>5770</v>
      </c>
      <c r="G871" t="s">
        <v>705</v>
      </c>
      <c r="H871" t="s">
        <v>1514</v>
      </c>
      <c r="I871" t="s">
        <v>1205</v>
      </c>
      <c r="J871">
        <v>9.20666355</v>
      </c>
    </row>
    <row r="872" spans="1:10" x14ac:dyDescent="0.3">
      <c r="A872">
        <v>867</v>
      </c>
      <c r="B872" t="s">
        <v>1513</v>
      </c>
      <c r="C872" t="s">
        <v>1202</v>
      </c>
      <c r="D872" t="s">
        <v>1203</v>
      </c>
      <c r="E872" t="s">
        <v>1204</v>
      </c>
      <c r="F872">
        <v>5770</v>
      </c>
      <c r="G872" t="s">
        <v>698</v>
      </c>
      <c r="I872" t="s">
        <v>1205</v>
      </c>
      <c r="J872">
        <v>936.01079425</v>
      </c>
    </row>
    <row r="873" spans="1:10" x14ac:dyDescent="0.3">
      <c r="A873">
        <v>867</v>
      </c>
      <c r="B873" t="s">
        <v>1513</v>
      </c>
      <c r="C873" t="s">
        <v>1202</v>
      </c>
      <c r="D873" t="s">
        <v>1203</v>
      </c>
      <c r="E873" t="s">
        <v>1204</v>
      </c>
      <c r="F873">
        <v>5770</v>
      </c>
      <c r="G873" t="s">
        <v>691</v>
      </c>
      <c r="H873" t="s">
        <v>1515</v>
      </c>
      <c r="I873" t="s">
        <v>1205</v>
      </c>
      <c r="J873">
        <v>76.722196249999996</v>
      </c>
    </row>
    <row r="874" spans="1:10" x14ac:dyDescent="0.3">
      <c r="A874">
        <v>867</v>
      </c>
      <c r="B874" t="s">
        <v>1513</v>
      </c>
      <c r="C874" t="s">
        <v>1202</v>
      </c>
      <c r="D874" t="s">
        <v>1203</v>
      </c>
      <c r="E874" t="s">
        <v>1204</v>
      </c>
      <c r="F874">
        <v>5770</v>
      </c>
      <c r="G874" t="s">
        <v>686</v>
      </c>
      <c r="I874" t="s">
        <v>1205</v>
      </c>
      <c r="J874">
        <v>1568.2016913499999</v>
      </c>
    </row>
    <row r="875" spans="1:10" x14ac:dyDescent="0.3">
      <c r="A875">
        <v>873</v>
      </c>
      <c r="B875" t="s">
        <v>1516</v>
      </c>
      <c r="C875" t="s">
        <v>1202</v>
      </c>
      <c r="D875" t="s">
        <v>159</v>
      </c>
      <c r="E875" t="s">
        <v>159</v>
      </c>
      <c r="F875">
        <v>6762</v>
      </c>
      <c r="G875" t="s">
        <v>686</v>
      </c>
      <c r="I875" t="s">
        <v>1205</v>
      </c>
      <c r="J875">
        <v>846</v>
      </c>
    </row>
    <row r="876" spans="1:10" x14ac:dyDescent="0.3">
      <c r="A876">
        <v>873</v>
      </c>
      <c r="B876" t="s">
        <v>1516</v>
      </c>
      <c r="C876" t="s">
        <v>1202</v>
      </c>
      <c r="D876" t="s">
        <v>159</v>
      </c>
      <c r="E876" t="s">
        <v>159</v>
      </c>
      <c r="F876">
        <v>6762</v>
      </c>
      <c r="G876" t="s">
        <v>696</v>
      </c>
      <c r="I876" t="s">
        <v>1205</v>
      </c>
      <c r="J876">
        <v>4052</v>
      </c>
    </row>
    <row r="877" spans="1:10" x14ac:dyDescent="0.3">
      <c r="A877">
        <v>873</v>
      </c>
      <c r="B877" t="s">
        <v>1516</v>
      </c>
      <c r="C877" t="s">
        <v>1202</v>
      </c>
      <c r="D877" t="s">
        <v>159</v>
      </c>
      <c r="E877" t="s">
        <v>159</v>
      </c>
      <c r="F877">
        <v>6762</v>
      </c>
      <c r="G877" t="s">
        <v>684</v>
      </c>
      <c r="I877" t="s">
        <v>1205</v>
      </c>
      <c r="J877">
        <v>2319</v>
      </c>
    </row>
    <row r="878" spans="1:10" x14ac:dyDescent="0.3">
      <c r="A878">
        <v>873</v>
      </c>
      <c r="B878" t="s">
        <v>1516</v>
      </c>
      <c r="C878" t="s">
        <v>1202</v>
      </c>
      <c r="D878" t="s">
        <v>159</v>
      </c>
      <c r="E878" t="s">
        <v>159</v>
      </c>
      <c r="F878">
        <v>6762</v>
      </c>
      <c r="G878" t="s">
        <v>702</v>
      </c>
      <c r="I878" t="s">
        <v>1205</v>
      </c>
      <c r="J878">
        <v>25</v>
      </c>
    </row>
    <row r="879" spans="1:10" x14ac:dyDescent="0.3">
      <c r="A879">
        <v>873</v>
      </c>
      <c r="B879" t="s">
        <v>1516</v>
      </c>
      <c r="C879" t="s">
        <v>1202</v>
      </c>
      <c r="D879" t="s">
        <v>159</v>
      </c>
      <c r="E879" t="s">
        <v>159</v>
      </c>
      <c r="F879">
        <v>6762</v>
      </c>
      <c r="G879" t="s">
        <v>703</v>
      </c>
      <c r="I879" t="s">
        <v>1205</v>
      </c>
      <c r="J879">
        <v>96</v>
      </c>
    </row>
    <row r="880" spans="1:10" x14ac:dyDescent="0.3">
      <c r="A880">
        <v>873</v>
      </c>
      <c r="B880" t="s">
        <v>1516</v>
      </c>
      <c r="C880" t="s">
        <v>1202</v>
      </c>
      <c r="D880" t="s">
        <v>159</v>
      </c>
      <c r="E880" t="s">
        <v>159</v>
      </c>
      <c r="F880">
        <v>6762</v>
      </c>
      <c r="G880" t="s">
        <v>700</v>
      </c>
      <c r="I880" t="s">
        <v>1205</v>
      </c>
      <c r="J880">
        <v>453</v>
      </c>
    </row>
    <row r="881" spans="1:10" x14ac:dyDescent="0.3">
      <c r="A881">
        <v>873</v>
      </c>
      <c r="B881" t="s">
        <v>1516</v>
      </c>
      <c r="C881" t="s">
        <v>1202</v>
      </c>
      <c r="D881" t="s">
        <v>159</v>
      </c>
      <c r="E881" t="s">
        <v>159</v>
      </c>
      <c r="F881">
        <v>6762</v>
      </c>
      <c r="G881" t="s">
        <v>698</v>
      </c>
      <c r="I881" t="s">
        <v>1205</v>
      </c>
      <c r="J881">
        <v>612</v>
      </c>
    </row>
    <row r="882" spans="1:10" x14ac:dyDescent="0.3">
      <c r="A882">
        <v>904</v>
      </c>
      <c r="B882" t="s">
        <v>862</v>
      </c>
      <c r="C882" t="s">
        <v>1202</v>
      </c>
      <c r="D882" t="s">
        <v>1203</v>
      </c>
      <c r="E882" t="s">
        <v>1204</v>
      </c>
      <c r="F882">
        <v>5650</v>
      </c>
      <c r="G882" t="s">
        <v>687</v>
      </c>
      <c r="H882" t="s">
        <v>1517</v>
      </c>
      <c r="I882" t="s">
        <v>1210</v>
      </c>
      <c r="J882">
        <v>158</v>
      </c>
    </row>
    <row r="883" spans="1:10" x14ac:dyDescent="0.3">
      <c r="A883">
        <v>904</v>
      </c>
      <c r="B883" t="s">
        <v>862</v>
      </c>
      <c r="C883" t="s">
        <v>1202</v>
      </c>
      <c r="D883" t="s">
        <v>1203</v>
      </c>
      <c r="E883" t="s">
        <v>1204</v>
      </c>
      <c r="F883">
        <v>5650</v>
      </c>
      <c r="G883" t="s">
        <v>686</v>
      </c>
      <c r="I883" t="s">
        <v>1205</v>
      </c>
      <c r="J883">
        <v>2091</v>
      </c>
    </row>
    <row r="884" spans="1:10" x14ac:dyDescent="0.3">
      <c r="A884">
        <v>904</v>
      </c>
      <c r="B884" t="s">
        <v>862</v>
      </c>
      <c r="C884" t="s">
        <v>1202</v>
      </c>
      <c r="D884" t="s">
        <v>1203</v>
      </c>
      <c r="E884" t="s">
        <v>1204</v>
      </c>
      <c r="F884">
        <v>5650</v>
      </c>
      <c r="G884" t="s">
        <v>703</v>
      </c>
      <c r="H884" t="s">
        <v>1518</v>
      </c>
      <c r="I884" t="s">
        <v>1205</v>
      </c>
      <c r="J884">
        <v>583</v>
      </c>
    </row>
    <row r="885" spans="1:10" x14ac:dyDescent="0.3">
      <c r="A885">
        <v>904</v>
      </c>
      <c r="B885" t="s">
        <v>862</v>
      </c>
      <c r="C885" t="s">
        <v>1202</v>
      </c>
      <c r="D885" t="s">
        <v>1203</v>
      </c>
      <c r="E885" t="s">
        <v>1204</v>
      </c>
      <c r="F885">
        <v>5650</v>
      </c>
      <c r="G885" t="s">
        <v>703</v>
      </c>
      <c r="H885" t="s">
        <v>1274</v>
      </c>
      <c r="I885" t="s">
        <v>1205</v>
      </c>
      <c r="J885">
        <v>1152</v>
      </c>
    </row>
    <row r="886" spans="1:10" x14ac:dyDescent="0.3">
      <c r="A886">
        <v>904</v>
      </c>
      <c r="B886" t="s">
        <v>862</v>
      </c>
      <c r="C886" t="s">
        <v>1202</v>
      </c>
      <c r="D886" t="s">
        <v>1203</v>
      </c>
      <c r="E886" t="s">
        <v>1204</v>
      </c>
      <c r="F886">
        <v>5650</v>
      </c>
      <c r="G886" t="s">
        <v>700</v>
      </c>
      <c r="I886" t="s">
        <v>1205</v>
      </c>
      <c r="J886">
        <v>4736</v>
      </c>
    </row>
    <row r="887" spans="1:10" x14ac:dyDescent="0.3">
      <c r="A887">
        <v>904</v>
      </c>
      <c r="B887" t="s">
        <v>862</v>
      </c>
      <c r="C887" t="s">
        <v>1202</v>
      </c>
      <c r="D887" t="s">
        <v>1203</v>
      </c>
      <c r="E887" t="s">
        <v>1204</v>
      </c>
      <c r="F887">
        <v>5650</v>
      </c>
      <c r="G887" t="s">
        <v>698</v>
      </c>
      <c r="I887" t="s">
        <v>1205</v>
      </c>
      <c r="J887">
        <v>1721</v>
      </c>
    </row>
    <row r="888" spans="1:10" x14ac:dyDescent="0.3">
      <c r="A888">
        <v>904</v>
      </c>
      <c r="B888" t="s">
        <v>862</v>
      </c>
      <c r="C888" t="s">
        <v>1202</v>
      </c>
      <c r="D888" t="s">
        <v>1203</v>
      </c>
      <c r="E888" t="s">
        <v>1204</v>
      </c>
      <c r="F888">
        <v>5650</v>
      </c>
      <c r="G888" t="s">
        <v>696</v>
      </c>
      <c r="I888" t="s">
        <v>1205</v>
      </c>
      <c r="J888">
        <v>9457</v>
      </c>
    </row>
    <row r="889" spans="1:10" x14ac:dyDescent="0.3">
      <c r="A889">
        <v>920</v>
      </c>
      <c r="B889" t="s">
        <v>1519</v>
      </c>
      <c r="C889" t="s">
        <v>1202</v>
      </c>
      <c r="D889" t="s">
        <v>1203</v>
      </c>
      <c r="E889" t="s">
        <v>1204</v>
      </c>
      <c r="F889">
        <v>5702</v>
      </c>
      <c r="G889" t="s">
        <v>700</v>
      </c>
      <c r="I889" t="s">
        <v>1205</v>
      </c>
      <c r="J889">
        <v>113.54885045</v>
      </c>
    </row>
    <row r="890" spans="1:10" x14ac:dyDescent="0.3">
      <c r="A890">
        <v>920</v>
      </c>
      <c r="B890" t="s">
        <v>1519</v>
      </c>
      <c r="C890" t="s">
        <v>1202</v>
      </c>
      <c r="D890" t="s">
        <v>1203</v>
      </c>
      <c r="E890" t="s">
        <v>1204</v>
      </c>
      <c r="F890">
        <v>5702</v>
      </c>
      <c r="G890" t="s">
        <v>696</v>
      </c>
      <c r="I890" t="s">
        <v>1205</v>
      </c>
      <c r="J890">
        <v>834.73749520000001</v>
      </c>
    </row>
    <row r="891" spans="1:10" x14ac:dyDescent="0.3">
      <c r="A891">
        <v>920</v>
      </c>
      <c r="B891" t="s">
        <v>1519</v>
      </c>
      <c r="C891" t="s">
        <v>1202</v>
      </c>
      <c r="D891" t="s">
        <v>1203</v>
      </c>
      <c r="E891" t="s">
        <v>1204</v>
      </c>
      <c r="F891">
        <v>5702</v>
      </c>
      <c r="G891" t="s">
        <v>703</v>
      </c>
      <c r="I891" t="s">
        <v>1205</v>
      </c>
      <c r="J891">
        <v>36.8266542</v>
      </c>
    </row>
    <row r="892" spans="1:10" x14ac:dyDescent="0.3">
      <c r="A892">
        <v>920</v>
      </c>
      <c r="B892" t="s">
        <v>1519</v>
      </c>
      <c r="C892" t="s">
        <v>1202</v>
      </c>
      <c r="D892" t="s">
        <v>1203</v>
      </c>
      <c r="E892" t="s">
        <v>1204</v>
      </c>
      <c r="F892">
        <v>5702</v>
      </c>
      <c r="G892" t="s">
        <v>687</v>
      </c>
      <c r="H892" t="s">
        <v>1520</v>
      </c>
      <c r="I892" t="s">
        <v>1205</v>
      </c>
      <c r="J892">
        <v>61.377757000000003</v>
      </c>
    </row>
    <row r="893" spans="1:10" x14ac:dyDescent="0.3">
      <c r="A893">
        <v>920</v>
      </c>
      <c r="B893" t="s">
        <v>1519</v>
      </c>
      <c r="C893" t="s">
        <v>1202</v>
      </c>
      <c r="D893" t="s">
        <v>1203</v>
      </c>
      <c r="E893" t="s">
        <v>1204</v>
      </c>
      <c r="F893">
        <v>5702</v>
      </c>
      <c r="G893" t="s">
        <v>701</v>
      </c>
      <c r="I893" t="s">
        <v>1205</v>
      </c>
      <c r="J893">
        <v>3.0688878499999999</v>
      </c>
    </row>
    <row r="894" spans="1:10" x14ac:dyDescent="0.3">
      <c r="A894">
        <v>920</v>
      </c>
      <c r="B894" t="s">
        <v>1519</v>
      </c>
      <c r="C894" t="s">
        <v>1202</v>
      </c>
      <c r="D894" t="s">
        <v>1203</v>
      </c>
      <c r="E894" t="s">
        <v>1204</v>
      </c>
      <c r="F894">
        <v>5702</v>
      </c>
      <c r="G894" t="s">
        <v>684</v>
      </c>
      <c r="I894" t="s">
        <v>1205</v>
      </c>
      <c r="J894">
        <v>27.619990649999998</v>
      </c>
    </row>
    <row r="895" spans="1:10" x14ac:dyDescent="0.3">
      <c r="A895">
        <v>920</v>
      </c>
      <c r="B895" t="s">
        <v>1519</v>
      </c>
      <c r="C895" t="s">
        <v>1202</v>
      </c>
      <c r="D895" t="s">
        <v>1203</v>
      </c>
      <c r="E895" t="s">
        <v>1204</v>
      </c>
      <c r="F895">
        <v>5702</v>
      </c>
      <c r="G895" t="s">
        <v>1521</v>
      </c>
      <c r="H895" t="s">
        <v>1522</v>
      </c>
      <c r="I895" t="s">
        <v>1205</v>
      </c>
      <c r="J895">
        <v>12.275551399999999</v>
      </c>
    </row>
    <row r="896" spans="1:10" x14ac:dyDescent="0.3">
      <c r="A896">
        <v>920</v>
      </c>
      <c r="B896" t="s">
        <v>1519</v>
      </c>
      <c r="C896" t="s">
        <v>1202</v>
      </c>
      <c r="D896" t="s">
        <v>1203</v>
      </c>
      <c r="E896" t="s">
        <v>1204</v>
      </c>
      <c r="F896">
        <v>5702</v>
      </c>
      <c r="G896" t="s">
        <v>686</v>
      </c>
      <c r="I896" t="s">
        <v>1205</v>
      </c>
      <c r="J896">
        <v>331.43988780000001</v>
      </c>
    </row>
    <row r="897" spans="1:10" x14ac:dyDescent="0.3">
      <c r="A897">
        <v>924</v>
      </c>
      <c r="B897" t="s">
        <v>1523</v>
      </c>
      <c r="C897" t="s">
        <v>1202</v>
      </c>
      <c r="D897" t="s">
        <v>159</v>
      </c>
      <c r="E897" t="s">
        <v>159</v>
      </c>
      <c r="F897">
        <v>7854</v>
      </c>
      <c r="G897" t="s">
        <v>701</v>
      </c>
      <c r="I897" t="s">
        <v>1205</v>
      </c>
      <c r="J897">
        <v>228</v>
      </c>
    </row>
    <row r="898" spans="1:10" x14ac:dyDescent="0.3">
      <c r="A898">
        <v>924</v>
      </c>
      <c r="B898" t="s">
        <v>1523</v>
      </c>
      <c r="C898" t="s">
        <v>1202</v>
      </c>
      <c r="D898" t="s">
        <v>159</v>
      </c>
      <c r="E898" t="s">
        <v>159</v>
      </c>
      <c r="F898">
        <v>7854</v>
      </c>
      <c r="G898" t="s">
        <v>700</v>
      </c>
      <c r="I898" t="s">
        <v>1205</v>
      </c>
      <c r="J898">
        <v>1168</v>
      </c>
    </row>
    <row r="899" spans="1:10" x14ac:dyDescent="0.3">
      <c r="A899">
        <v>924</v>
      </c>
      <c r="B899" t="s">
        <v>1523</v>
      </c>
      <c r="C899" t="s">
        <v>1202</v>
      </c>
      <c r="D899" t="s">
        <v>159</v>
      </c>
      <c r="E899" t="s">
        <v>159</v>
      </c>
      <c r="F899">
        <v>7854</v>
      </c>
      <c r="G899" t="s">
        <v>698</v>
      </c>
      <c r="I899" t="s">
        <v>1205</v>
      </c>
      <c r="J899">
        <v>631</v>
      </c>
    </row>
    <row r="900" spans="1:10" x14ac:dyDescent="0.3">
      <c r="A900">
        <v>924</v>
      </c>
      <c r="B900" t="s">
        <v>1523</v>
      </c>
      <c r="C900" t="s">
        <v>1202</v>
      </c>
      <c r="D900" t="s">
        <v>159</v>
      </c>
      <c r="E900" t="s">
        <v>159</v>
      </c>
      <c r="F900">
        <v>7854</v>
      </c>
      <c r="G900" t="s">
        <v>696</v>
      </c>
      <c r="I900" t="s">
        <v>1205</v>
      </c>
      <c r="J900">
        <v>4630</v>
      </c>
    </row>
    <row r="901" spans="1:10" x14ac:dyDescent="0.3">
      <c r="A901">
        <v>924</v>
      </c>
      <c r="B901" t="s">
        <v>1523</v>
      </c>
      <c r="C901" t="s">
        <v>1202</v>
      </c>
      <c r="D901" t="s">
        <v>159</v>
      </c>
      <c r="E901" t="s">
        <v>159</v>
      </c>
      <c r="F901">
        <v>7854</v>
      </c>
      <c r="G901" t="s">
        <v>703</v>
      </c>
      <c r="I901" t="s">
        <v>1205</v>
      </c>
      <c r="J901">
        <v>824</v>
      </c>
    </row>
    <row r="902" spans="1:10" x14ac:dyDescent="0.3">
      <c r="A902">
        <v>924</v>
      </c>
      <c r="B902" t="s">
        <v>1523</v>
      </c>
      <c r="C902" t="s">
        <v>1202</v>
      </c>
      <c r="D902" t="s">
        <v>159</v>
      </c>
      <c r="E902" t="s">
        <v>159</v>
      </c>
      <c r="F902">
        <v>7854</v>
      </c>
      <c r="G902" t="s">
        <v>702</v>
      </c>
      <c r="H902" t="s">
        <v>1282</v>
      </c>
      <c r="I902" t="s">
        <v>1205</v>
      </c>
      <c r="J902">
        <v>569</v>
      </c>
    </row>
    <row r="903" spans="1:10" x14ac:dyDescent="0.3">
      <c r="A903">
        <v>924</v>
      </c>
      <c r="B903" t="s">
        <v>1523</v>
      </c>
      <c r="C903" t="s">
        <v>1202</v>
      </c>
      <c r="D903" t="s">
        <v>159</v>
      </c>
      <c r="E903" t="s">
        <v>159</v>
      </c>
      <c r="F903">
        <v>7854</v>
      </c>
      <c r="G903" t="s">
        <v>686</v>
      </c>
      <c r="H903" t="s">
        <v>1269</v>
      </c>
      <c r="I903" t="s">
        <v>1205</v>
      </c>
      <c r="J903">
        <v>590</v>
      </c>
    </row>
    <row r="904" spans="1:10" x14ac:dyDescent="0.3">
      <c r="A904">
        <v>924</v>
      </c>
      <c r="B904" t="s">
        <v>1523</v>
      </c>
      <c r="C904" t="s">
        <v>1202</v>
      </c>
      <c r="D904" t="s">
        <v>159</v>
      </c>
      <c r="E904" t="s">
        <v>159</v>
      </c>
      <c r="F904">
        <v>7854</v>
      </c>
      <c r="G904" t="s">
        <v>687</v>
      </c>
      <c r="H904" t="s">
        <v>1524</v>
      </c>
      <c r="I904" t="s">
        <v>1205</v>
      </c>
      <c r="J904">
        <v>46</v>
      </c>
    </row>
    <row r="905" spans="1:10" x14ac:dyDescent="0.3">
      <c r="A905">
        <v>934</v>
      </c>
      <c r="B905" t="s">
        <v>899</v>
      </c>
      <c r="C905" t="s">
        <v>1202</v>
      </c>
      <c r="D905" t="s">
        <v>159</v>
      </c>
      <c r="E905" t="s">
        <v>159</v>
      </c>
      <c r="F905">
        <v>7328</v>
      </c>
      <c r="G905" t="s">
        <v>701</v>
      </c>
      <c r="I905" t="s">
        <v>1205</v>
      </c>
      <c r="J905">
        <v>5729</v>
      </c>
    </row>
    <row r="906" spans="1:10" x14ac:dyDescent="0.3">
      <c r="A906">
        <v>934</v>
      </c>
      <c r="B906" t="s">
        <v>899</v>
      </c>
      <c r="C906" t="s">
        <v>1202</v>
      </c>
      <c r="D906" t="s">
        <v>159</v>
      </c>
      <c r="E906" t="s">
        <v>159</v>
      </c>
      <c r="F906">
        <v>7328</v>
      </c>
      <c r="G906" t="s">
        <v>700</v>
      </c>
      <c r="I906" t="s">
        <v>1205</v>
      </c>
      <c r="J906">
        <v>16971</v>
      </c>
    </row>
    <row r="907" spans="1:10" x14ac:dyDescent="0.3">
      <c r="A907">
        <v>934</v>
      </c>
      <c r="B907" t="s">
        <v>899</v>
      </c>
      <c r="C907" t="s">
        <v>1202</v>
      </c>
      <c r="D907" t="s">
        <v>159</v>
      </c>
      <c r="E907" t="s">
        <v>159</v>
      </c>
      <c r="F907">
        <v>7328</v>
      </c>
      <c r="G907" t="s">
        <v>698</v>
      </c>
      <c r="I907" t="s">
        <v>1205</v>
      </c>
      <c r="J907">
        <v>18842</v>
      </c>
    </row>
    <row r="908" spans="1:10" x14ac:dyDescent="0.3">
      <c r="A908">
        <v>934</v>
      </c>
      <c r="B908" t="s">
        <v>899</v>
      </c>
      <c r="C908" t="s">
        <v>1202</v>
      </c>
      <c r="D908" t="s">
        <v>159</v>
      </c>
      <c r="E908" t="s">
        <v>159</v>
      </c>
      <c r="F908">
        <v>7328</v>
      </c>
      <c r="G908" t="s">
        <v>696</v>
      </c>
      <c r="I908" t="s">
        <v>1205</v>
      </c>
      <c r="J908">
        <v>60065</v>
      </c>
    </row>
    <row r="909" spans="1:10" x14ac:dyDescent="0.3">
      <c r="A909">
        <v>934</v>
      </c>
      <c r="B909" t="s">
        <v>899</v>
      </c>
      <c r="C909" t="s">
        <v>1202</v>
      </c>
      <c r="D909" t="s">
        <v>159</v>
      </c>
      <c r="E909" t="s">
        <v>159</v>
      </c>
      <c r="F909">
        <v>7328</v>
      </c>
      <c r="G909" t="s">
        <v>703</v>
      </c>
      <c r="H909" t="s">
        <v>1525</v>
      </c>
      <c r="I909" t="s">
        <v>1205</v>
      </c>
      <c r="J909">
        <v>0</v>
      </c>
    </row>
    <row r="910" spans="1:10" x14ac:dyDescent="0.3">
      <c r="A910">
        <v>934</v>
      </c>
      <c r="B910" t="s">
        <v>899</v>
      </c>
      <c r="C910" t="s">
        <v>1202</v>
      </c>
      <c r="D910" t="s">
        <v>159</v>
      </c>
      <c r="E910" t="s">
        <v>159</v>
      </c>
      <c r="F910">
        <v>7328</v>
      </c>
      <c r="G910" t="s">
        <v>1526</v>
      </c>
      <c r="I910" t="s">
        <v>1210</v>
      </c>
      <c r="J910">
        <v>42686</v>
      </c>
    </row>
    <row r="911" spans="1:10" x14ac:dyDescent="0.3">
      <c r="A911">
        <v>934</v>
      </c>
      <c r="B911" t="s">
        <v>899</v>
      </c>
      <c r="C911" t="s">
        <v>1202</v>
      </c>
      <c r="D911" t="s">
        <v>159</v>
      </c>
      <c r="E911" t="s">
        <v>159</v>
      </c>
      <c r="F911">
        <v>7328</v>
      </c>
      <c r="G911" t="s">
        <v>686</v>
      </c>
      <c r="I911" t="s">
        <v>1205</v>
      </c>
      <c r="J911">
        <v>9568</v>
      </c>
    </row>
    <row r="912" spans="1:10" x14ac:dyDescent="0.3">
      <c r="A912">
        <v>934</v>
      </c>
      <c r="B912" t="s">
        <v>899</v>
      </c>
      <c r="C912" t="s">
        <v>1202</v>
      </c>
      <c r="D912" t="s">
        <v>159</v>
      </c>
      <c r="E912" t="s">
        <v>159</v>
      </c>
      <c r="F912">
        <v>7328</v>
      </c>
      <c r="G912" t="s">
        <v>687</v>
      </c>
      <c r="H912" t="s">
        <v>1527</v>
      </c>
      <c r="I912" t="s">
        <v>1205</v>
      </c>
      <c r="J912">
        <v>340</v>
      </c>
    </row>
    <row r="913" spans="1:10" x14ac:dyDescent="0.3">
      <c r="A913">
        <v>934</v>
      </c>
      <c r="B913" t="s">
        <v>899</v>
      </c>
      <c r="C913" t="s">
        <v>1202</v>
      </c>
      <c r="D913" t="s">
        <v>159</v>
      </c>
      <c r="E913" t="s">
        <v>159</v>
      </c>
      <c r="F913">
        <v>7328</v>
      </c>
      <c r="G913" t="s">
        <v>702</v>
      </c>
      <c r="I913" t="s">
        <v>1205</v>
      </c>
      <c r="J913">
        <v>10478</v>
      </c>
    </row>
    <row r="914" spans="1:10" x14ac:dyDescent="0.3">
      <c r="A914">
        <v>967</v>
      </c>
      <c r="B914" t="s">
        <v>1528</v>
      </c>
      <c r="C914" t="s">
        <v>1202</v>
      </c>
      <c r="D914" t="s">
        <v>159</v>
      </c>
      <c r="E914" t="s">
        <v>159</v>
      </c>
      <c r="F914">
        <v>8034</v>
      </c>
      <c r="G914" t="s">
        <v>703</v>
      </c>
      <c r="I914" t="s">
        <v>1205</v>
      </c>
      <c r="J914">
        <v>518</v>
      </c>
    </row>
    <row r="915" spans="1:10" x14ac:dyDescent="0.3">
      <c r="A915">
        <v>967</v>
      </c>
      <c r="B915" t="s">
        <v>1528</v>
      </c>
      <c r="C915" t="s">
        <v>1202</v>
      </c>
      <c r="D915" t="s">
        <v>159</v>
      </c>
      <c r="E915" t="s">
        <v>159</v>
      </c>
      <c r="F915">
        <v>8034</v>
      </c>
      <c r="G915" t="s">
        <v>700</v>
      </c>
      <c r="I915" t="s">
        <v>1205</v>
      </c>
      <c r="J915">
        <v>4362</v>
      </c>
    </row>
    <row r="916" spans="1:10" x14ac:dyDescent="0.3">
      <c r="A916">
        <v>967</v>
      </c>
      <c r="B916" t="s">
        <v>1528</v>
      </c>
      <c r="C916" t="s">
        <v>1202</v>
      </c>
      <c r="D916" t="s">
        <v>159</v>
      </c>
      <c r="E916" t="s">
        <v>159</v>
      </c>
      <c r="F916">
        <v>8034</v>
      </c>
      <c r="G916" t="s">
        <v>701</v>
      </c>
      <c r="I916" t="s">
        <v>1205</v>
      </c>
      <c r="J916">
        <v>1447</v>
      </c>
    </row>
    <row r="917" spans="1:10" x14ac:dyDescent="0.3">
      <c r="A917">
        <v>967</v>
      </c>
      <c r="B917" t="s">
        <v>1528</v>
      </c>
      <c r="C917" t="s">
        <v>1202</v>
      </c>
      <c r="D917" t="s">
        <v>159</v>
      </c>
      <c r="E917" t="s">
        <v>159</v>
      </c>
      <c r="F917">
        <v>8034</v>
      </c>
      <c r="G917" t="s">
        <v>696</v>
      </c>
      <c r="I917" t="s">
        <v>1205</v>
      </c>
      <c r="J917">
        <v>10795</v>
      </c>
    </row>
    <row r="918" spans="1:10" x14ac:dyDescent="0.3">
      <c r="A918">
        <v>967</v>
      </c>
      <c r="B918" t="s">
        <v>1528</v>
      </c>
      <c r="C918" t="s">
        <v>1202</v>
      </c>
      <c r="D918" t="s">
        <v>159</v>
      </c>
      <c r="E918" t="s">
        <v>159</v>
      </c>
      <c r="F918">
        <v>8034</v>
      </c>
      <c r="G918" t="s">
        <v>686</v>
      </c>
      <c r="I918" t="s">
        <v>1205</v>
      </c>
      <c r="J918">
        <v>1290</v>
      </c>
    </row>
    <row r="919" spans="1:10" x14ac:dyDescent="0.3">
      <c r="A919">
        <v>967</v>
      </c>
      <c r="B919" t="s">
        <v>1528</v>
      </c>
      <c r="C919" t="s">
        <v>1202</v>
      </c>
      <c r="D919" t="s">
        <v>159</v>
      </c>
      <c r="E919" t="s">
        <v>159</v>
      </c>
      <c r="F919">
        <v>8034</v>
      </c>
      <c r="G919" t="s">
        <v>687</v>
      </c>
      <c r="I919" t="s">
        <v>1205</v>
      </c>
      <c r="J919">
        <v>3</v>
      </c>
    </row>
    <row r="920" spans="1:10" x14ac:dyDescent="0.3">
      <c r="A920">
        <v>967</v>
      </c>
      <c r="B920" t="s">
        <v>1528</v>
      </c>
      <c r="C920" t="s">
        <v>1202</v>
      </c>
      <c r="D920" t="s">
        <v>159</v>
      </c>
      <c r="E920" t="s">
        <v>159</v>
      </c>
      <c r="F920">
        <v>8034</v>
      </c>
      <c r="G920" t="s">
        <v>702</v>
      </c>
      <c r="H920" t="s">
        <v>1282</v>
      </c>
      <c r="I920" t="s">
        <v>1205</v>
      </c>
      <c r="J920">
        <v>1141</v>
      </c>
    </row>
    <row r="921" spans="1:10" x14ac:dyDescent="0.3">
      <c r="A921">
        <v>967</v>
      </c>
      <c r="B921" t="s">
        <v>1528</v>
      </c>
      <c r="C921" t="s">
        <v>1202</v>
      </c>
      <c r="D921" t="s">
        <v>159</v>
      </c>
      <c r="E921" t="s">
        <v>159</v>
      </c>
      <c r="F921">
        <v>8034</v>
      </c>
      <c r="G921" t="s">
        <v>698</v>
      </c>
      <c r="I921" t="s">
        <v>1205</v>
      </c>
      <c r="J921">
        <v>4243</v>
      </c>
    </row>
    <row r="922" spans="1:10" x14ac:dyDescent="0.3">
      <c r="A922">
        <v>972</v>
      </c>
      <c r="B922" t="s">
        <v>1529</v>
      </c>
      <c r="C922" t="s">
        <v>1202</v>
      </c>
      <c r="D922" t="s">
        <v>159</v>
      </c>
      <c r="E922" t="s">
        <v>159</v>
      </c>
      <c r="F922">
        <v>5640</v>
      </c>
      <c r="G922" t="s">
        <v>701</v>
      </c>
      <c r="I922" t="s">
        <v>1205</v>
      </c>
      <c r="J922">
        <v>274.22047624692999</v>
      </c>
    </row>
    <row r="923" spans="1:10" x14ac:dyDescent="0.3">
      <c r="A923">
        <v>972</v>
      </c>
      <c r="B923" t="s">
        <v>1529</v>
      </c>
      <c r="C923" t="s">
        <v>1202</v>
      </c>
      <c r="D923" t="s">
        <v>159</v>
      </c>
      <c r="E923" t="s">
        <v>159</v>
      </c>
      <c r="F923">
        <v>5640</v>
      </c>
      <c r="G923" t="s">
        <v>700</v>
      </c>
      <c r="I923" t="s">
        <v>1205</v>
      </c>
      <c r="J923">
        <v>256.76146241508002</v>
      </c>
    </row>
    <row r="924" spans="1:10" x14ac:dyDescent="0.3">
      <c r="A924">
        <v>972</v>
      </c>
      <c r="B924" t="s">
        <v>1529</v>
      </c>
      <c r="C924" t="s">
        <v>1202</v>
      </c>
      <c r="D924" t="s">
        <v>159</v>
      </c>
      <c r="E924" t="s">
        <v>159</v>
      </c>
      <c r="F924">
        <v>5640</v>
      </c>
      <c r="G924" t="s">
        <v>698</v>
      </c>
      <c r="I924" t="s">
        <v>1205</v>
      </c>
      <c r="J924">
        <v>345.62521217207001</v>
      </c>
    </row>
    <row r="925" spans="1:10" x14ac:dyDescent="0.3">
      <c r="A925">
        <v>972</v>
      </c>
      <c r="B925" t="s">
        <v>1529</v>
      </c>
      <c r="C925" t="s">
        <v>1202</v>
      </c>
      <c r="D925" t="s">
        <v>159</v>
      </c>
      <c r="E925" t="s">
        <v>159</v>
      </c>
      <c r="F925">
        <v>5640</v>
      </c>
      <c r="G925" t="s">
        <v>696</v>
      </c>
      <c r="I925" t="s">
        <v>1205</v>
      </c>
      <c r="J925">
        <v>2974.8531081654901</v>
      </c>
    </row>
    <row r="926" spans="1:10" x14ac:dyDescent="0.3">
      <c r="A926">
        <v>972</v>
      </c>
      <c r="B926" t="s">
        <v>1529</v>
      </c>
      <c r="C926" t="s">
        <v>1202</v>
      </c>
      <c r="D926" t="s">
        <v>159</v>
      </c>
      <c r="E926" t="s">
        <v>159</v>
      </c>
      <c r="F926">
        <v>5640</v>
      </c>
      <c r="G926" t="s">
        <v>687</v>
      </c>
      <c r="H926" t="s">
        <v>1530</v>
      </c>
      <c r="I926" t="s">
        <v>1205</v>
      </c>
      <c r="J926">
        <v>114.31826736217999</v>
      </c>
    </row>
    <row r="927" spans="1:10" x14ac:dyDescent="0.3">
      <c r="A927">
        <v>972</v>
      </c>
      <c r="B927" t="s">
        <v>1529</v>
      </c>
      <c r="C927" t="s">
        <v>1202</v>
      </c>
      <c r="D927" t="s">
        <v>159</v>
      </c>
      <c r="E927" t="s">
        <v>159</v>
      </c>
      <c r="F927">
        <v>5640</v>
      </c>
      <c r="G927" t="s">
        <v>686</v>
      </c>
      <c r="H927" t="s">
        <v>1269</v>
      </c>
      <c r="I927" t="s">
        <v>1205</v>
      </c>
      <c r="J927">
        <v>370.5925319671</v>
      </c>
    </row>
    <row r="928" spans="1:10" x14ac:dyDescent="0.3">
      <c r="A928">
        <v>972</v>
      </c>
      <c r="B928" t="s">
        <v>1529</v>
      </c>
      <c r="C928" t="s">
        <v>1202</v>
      </c>
      <c r="D928" t="s">
        <v>159</v>
      </c>
      <c r="E928" t="s">
        <v>159</v>
      </c>
      <c r="F928">
        <v>5640</v>
      </c>
      <c r="G928" t="s">
        <v>702</v>
      </c>
      <c r="I928" t="s">
        <v>1205</v>
      </c>
      <c r="J928">
        <v>222.72772937676999</v>
      </c>
    </row>
    <row r="929" spans="1:10" x14ac:dyDescent="0.3">
      <c r="A929">
        <v>972</v>
      </c>
      <c r="B929" t="s">
        <v>1529</v>
      </c>
      <c r="C929" t="s">
        <v>1202</v>
      </c>
      <c r="D929" t="s">
        <v>159</v>
      </c>
      <c r="E929" t="s">
        <v>159</v>
      </c>
      <c r="F929">
        <v>5640</v>
      </c>
      <c r="G929" t="s">
        <v>703</v>
      </c>
      <c r="I929" t="s">
        <v>1205</v>
      </c>
      <c r="J929">
        <v>221.66083462098999</v>
      </c>
    </row>
    <row r="930" spans="1:10" x14ac:dyDescent="0.3">
      <c r="A930">
        <v>977</v>
      </c>
      <c r="B930" t="s">
        <v>1531</v>
      </c>
      <c r="C930" t="s">
        <v>1202</v>
      </c>
      <c r="D930" t="s">
        <v>159</v>
      </c>
      <c r="E930" t="s">
        <v>159</v>
      </c>
      <c r="F930">
        <v>7963</v>
      </c>
      <c r="G930" t="s">
        <v>687</v>
      </c>
      <c r="H930" t="s">
        <v>1532</v>
      </c>
      <c r="I930" t="s">
        <v>1205</v>
      </c>
      <c r="J930">
        <v>75</v>
      </c>
    </row>
    <row r="931" spans="1:10" x14ac:dyDescent="0.3">
      <c r="A931">
        <v>977</v>
      </c>
      <c r="B931" t="s">
        <v>1531</v>
      </c>
      <c r="C931" t="s">
        <v>1202</v>
      </c>
      <c r="D931" t="s">
        <v>159</v>
      </c>
      <c r="E931" t="s">
        <v>159</v>
      </c>
      <c r="F931">
        <v>7963</v>
      </c>
      <c r="G931" t="s">
        <v>686</v>
      </c>
      <c r="H931" t="s">
        <v>1289</v>
      </c>
      <c r="I931" t="s">
        <v>1205</v>
      </c>
      <c r="J931">
        <v>1627</v>
      </c>
    </row>
    <row r="932" spans="1:10" x14ac:dyDescent="0.3">
      <c r="A932">
        <v>977</v>
      </c>
      <c r="B932" t="s">
        <v>1531</v>
      </c>
      <c r="C932" t="s">
        <v>1202</v>
      </c>
      <c r="D932" t="s">
        <v>159</v>
      </c>
      <c r="E932" t="s">
        <v>159</v>
      </c>
      <c r="F932">
        <v>7963</v>
      </c>
      <c r="G932" t="s">
        <v>702</v>
      </c>
      <c r="H932" t="s">
        <v>1282</v>
      </c>
      <c r="I932" t="s">
        <v>1205</v>
      </c>
      <c r="J932">
        <v>650</v>
      </c>
    </row>
    <row r="933" spans="1:10" x14ac:dyDescent="0.3">
      <c r="A933">
        <v>977</v>
      </c>
      <c r="B933" t="s">
        <v>1531</v>
      </c>
      <c r="C933" t="s">
        <v>1202</v>
      </c>
      <c r="D933" t="s">
        <v>159</v>
      </c>
      <c r="E933" t="s">
        <v>159</v>
      </c>
      <c r="F933">
        <v>7963</v>
      </c>
      <c r="G933" t="s">
        <v>696</v>
      </c>
      <c r="H933" t="s">
        <v>1533</v>
      </c>
      <c r="I933" t="s">
        <v>1205</v>
      </c>
      <c r="J933">
        <v>9936</v>
      </c>
    </row>
    <row r="934" spans="1:10" x14ac:dyDescent="0.3">
      <c r="A934">
        <v>977</v>
      </c>
      <c r="B934" t="s">
        <v>1531</v>
      </c>
      <c r="C934" t="s">
        <v>1202</v>
      </c>
      <c r="D934" t="s">
        <v>159</v>
      </c>
      <c r="E934" t="s">
        <v>159</v>
      </c>
      <c r="F934">
        <v>7963</v>
      </c>
      <c r="G934" t="s">
        <v>701</v>
      </c>
      <c r="I934" t="s">
        <v>1205</v>
      </c>
      <c r="J934">
        <v>921</v>
      </c>
    </row>
    <row r="935" spans="1:10" x14ac:dyDescent="0.3">
      <c r="A935">
        <v>977</v>
      </c>
      <c r="B935" t="s">
        <v>1531</v>
      </c>
      <c r="C935" t="s">
        <v>1202</v>
      </c>
      <c r="D935" t="s">
        <v>159</v>
      </c>
      <c r="E935" t="s">
        <v>159</v>
      </c>
      <c r="F935">
        <v>7963</v>
      </c>
      <c r="G935" t="s">
        <v>700</v>
      </c>
      <c r="H935" t="s">
        <v>1534</v>
      </c>
      <c r="I935" t="s">
        <v>1205</v>
      </c>
      <c r="J935">
        <v>3170</v>
      </c>
    </row>
    <row r="936" spans="1:10" x14ac:dyDescent="0.3">
      <c r="A936">
        <v>977</v>
      </c>
      <c r="B936" t="s">
        <v>1531</v>
      </c>
      <c r="C936" t="s">
        <v>1202</v>
      </c>
      <c r="D936" t="s">
        <v>159</v>
      </c>
      <c r="E936" t="s">
        <v>159</v>
      </c>
      <c r="F936">
        <v>7963</v>
      </c>
      <c r="G936" t="s">
        <v>698</v>
      </c>
      <c r="H936" t="s">
        <v>1535</v>
      </c>
      <c r="I936" t="s">
        <v>1205</v>
      </c>
      <c r="J936">
        <v>4305</v>
      </c>
    </row>
    <row r="937" spans="1:10" x14ac:dyDescent="0.3">
      <c r="A937">
        <v>977</v>
      </c>
      <c r="B937" t="s">
        <v>1531</v>
      </c>
      <c r="C937" t="s">
        <v>1202</v>
      </c>
      <c r="D937" t="s">
        <v>159</v>
      </c>
      <c r="E937" t="s">
        <v>159</v>
      </c>
      <c r="F937">
        <v>7963</v>
      </c>
      <c r="G937" t="s">
        <v>703</v>
      </c>
      <c r="H937" t="s">
        <v>1536</v>
      </c>
      <c r="I937" t="s">
        <v>1205</v>
      </c>
      <c r="J937">
        <v>1296</v>
      </c>
    </row>
    <row r="938" spans="1:10" x14ac:dyDescent="0.3">
      <c r="A938">
        <v>990</v>
      </c>
      <c r="B938" t="s">
        <v>1537</v>
      </c>
      <c r="C938" t="s">
        <v>1202</v>
      </c>
      <c r="D938" t="s">
        <v>1203</v>
      </c>
      <c r="E938" t="s">
        <v>1204</v>
      </c>
      <c r="F938">
        <v>5687</v>
      </c>
      <c r="G938" t="s">
        <v>686</v>
      </c>
      <c r="H938" t="s">
        <v>1538</v>
      </c>
      <c r="J938">
        <v>3619</v>
      </c>
    </row>
    <row r="939" spans="1:10" x14ac:dyDescent="0.3">
      <c r="A939">
        <v>990</v>
      </c>
      <c r="B939" t="s">
        <v>1537</v>
      </c>
      <c r="C939" t="s">
        <v>1202</v>
      </c>
      <c r="D939" t="s">
        <v>1203</v>
      </c>
      <c r="E939" t="s">
        <v>1204</v>
      </c>
      <c r="F939">
        <v>5687</v>
      </c>
      <c r="G939" t="s">
        <v>686</v>
      </c>
      <c r="H939" t="s">
        <v>1539</v>
      </c>
      <c r="J939">
        <v>416</v>
      </c>
    </row>
    <row r="940" spans="1:10" x14ac:dyDescent="0.3">
      <c r="A940">
        <v>990</v>
      </c>
      <c r="B940" t="s">
        <v>1537</v>
      </c>
      <c r="C940" t="s">
        <v>1202</v>
      </c>
      <c r="D940" t="s">
        <v>1203</v>
      </c>
      <c r="E940" t="s">
        <v>1204</v>
      </c>
      <c r="F940">
        <v>5687</v>
      </c>
      <c r="G940" t="s">
        <v>705</v>
      </c>
      <c r="J940">
        <v>2000</v>
      </c>
    </row>
    <row r="941" spans="1:10" x14ac:dyDescent="0.3">
      <c r="A941">
        <v>990</v>
      </c>
      <c r="B941" t="s">
        <v>1537</v>
      </c>
      <c r="C941" t="s">
        <v>1202</v>
      </c>
      <c r="D941" t="s">
        <v>1203</v>
      </c>
      <c r="E941" t="s">
        <v>1204</v>
      </c>
      <c r="F941">
        <v>5687</v>
      </c>
      <c r="G941" t="s">
        <v>684</v>
      </c>
      <c r="J941">
        <v>3941</v>
      </c>
    </row>
    <row r="942" spans="1:10" x14ac:dyDescent="0.3">
      <c r="A942">
        <v>990</v>
      </c>
      <c r="B942" t="s">
        <v>1537</v>
      </c>
      <c r="C942" t="s">
        <v>1202</v>
      </c>
      <c r="D942" t="s">
        <v>1203</v>
      </c>
      <c r="E942" t="s">
        <v>1204</v>
      </c>
      <c r="F942">
        <v>5687</v>
      </c>
      <c r="G942" t="s">
        <v>696</v>
      </c>
      <c r="I942" t="s">
        <v>1205</v>
      </c>
      <c r="J942">
        <v>1188</v>
      </c>
    </row>
    <row r="943" spans="1:10" x14ac:dyDescent="0.3">
      <c r="A943">
        <v>990</v>
      </c>
      <c r="B943" t="s">
        <v>1537</v>
      </c>
      <c r="C943" t="s">
        <v>1202</v>
      </c>
      <c r="D943" t="s">
        <v>1203</v>
      </c>
      <c r="E943" t="s">
        <v>1204</v>
      </c>
      <c r="F943">
        <v>5687</v>
      </c>
      <c r="G943" t="s">
        <v>703</v>
      </c>
      <c r="J943">
        <v>89</v>
      </c>
    </row>
    <row r="944" spans="1:10" x14ac:dyDescent="0.3">
      <c r="A944">
        <v>990</v>
      </c>
      <c r="B944" t="s">
        <v>1537</v>
      </c>
      <c r="C944" t="s">
        <v>1202</v>
      </c>
      <c r="D944" t="s">
        <v>1203</v>
      </c>
      <c r="E944" t="s">
        <v>1204</v>
      </c>
      <c r="F944">
        <v>5687</v>
      </c>
      <c r="G944" t="s">
        <v>700</v>
      </c>
      <c r="J944">
        <v>37</v>
      </c>
    </row>
    <row r="945" spans="1:10" x14ac:dyDescent="0.3">
      <c r="A945">
        <v>990</v>
      </c>
      <c r="B945" t="s">
        <v>1537</v>
      </c>
      <c r="C945" t="s">
        <v>1202</v>
      </c>
      <c r="D945" t="s">
        <v>1203</v>
      </c>
      <c r="E945" t="s">
        <v>1204</v>
      </c>
      <c r="F945">
        <v>5687</v>
      </c>
      <c r="G945" t="s">
        <v>698</v>
      </c>
      <c r="J945">
        <v>15</v>
      </c>
    </row>
    <row r="946" spans="1:10" x14ac:dyDescent="0.3">
      <c r="A946">
        <v>990</v>
      </c>
      <c r="B946" t="s">
        <v>1537</v>
      </c>
      <c r="C946" t="s">
        <v>1202</v>
      </c>
      <c r="D946" t="s">
        <v>1203</v>
      </c>
      <c r="E946" t="s">
        <v>1204</v>
      </c>
      <c r="F946">
        <v>5687</v>
      </c>
      <c r="G946" t="s">
        <v>702</v>
      </c>
      <c r="J946">
        <v>61</v>
      </c>
    </row>
    <row r="947" spans="1:10" x14ac:dyDescent="0.3">
      <c r="A947">
        <v>995</v>
      </c>
      <c r="B947" t="s">
        <v>1540</v>
      </c>
      <c r="C947" t="s">
        <v>1202</v>
      </c>
      <c r="D947" t="s">
        <v>1203</v>
      </c>
      <c r="E947" t="s">
        <v>1204</v>
      </c>
      <c r="F947">
        <v>6827</v>
      </c>
      <c r="G947" t="s">
        <v>686</v>
      </c>
      <c r="H947" t="s">
        <v>1269</v>
      </c>
      <c r="I947" t="s">
        <v>1205</v>
      </c>
      <c r="J947">
        <v>784</v>
      </c>
    </row>
    <row r="948" spans="1:10" x14ac:dyDescent="0.3">
      <c r="A948">
        <v>995</v>
      </c>
      <c r="B948" t="s">
        <v>1540</v>
      </c>
      <c r="C948" t="s">
        <v>1202</v>
      </c>
      <c r="D948" t="s">
        <v>1203</v>
      </c>
      <c r="E948" t="s">
        <v>1204</v>
      </c>
      <c r="F948">
        <v>6827</v>
      </c>
      <c r="G948" t="s">
        <v>687</v>
      </c>
      <c r="I948" t="s">
        <v>1205</v>
      </c>
      <c r="J948">
        <v>24</v>
      </c>
    </row>
    <row r="949" spans="1:10" x14ac:dyDescent="0.3">
      <c r="A949">
        <v>995</v>
      </c>
      <c r="B949" t="s">
        <v>1540</v>
      </c>
      <c r="C949" t="s">
        <v>1202</v>
      </c>
      <c r="D949" t="s">
        <v>1203</v>
      </c>
      <c r="E949" t="s">
        <v>1204</v>
      </c>
      <c r="F949">
        <v>6827</v>
      </c>
      <c r="G949" t="s">
        <v>702</v>
      </c>
      <c r="I949" t="s">
        <v>1205</v>
      </c>
      <c r="J949">
        <v>943</v>
      </c>
    </row>
    <row r="950" spans="1:10" x14ac:dyDescent="0.3">
      <c r="A950">
        <v>995</v>
      </c>
      <c r="B950" t="s">
        <v>1540</v>
      </c>
      <c r="C950" t="s">
        <v>1202</v>
      </c>
      <c r="D950" t="s">
        <v>1203</v>
      </c>
      <c r="E950" t="s">
        <v>1204</v>
      </c>
      <c r="F950">
        <v>6827</v>
      </c>
      <c r="G950" t="s">
        <v>696</v>
      </c>
      <c r="I950" t="s">
        <v>1205</v>
      </c>
      <c r="J950">
        <v>4588</v>
      </c>
    </row>
    <row r="951" spans="1:10" x14ac:dyDescent="0.3">
      <c r="A951">
        <v>995</v>
      </c>
      <c r="B951" t="s">
        <v>1540</v>
      </c>
      <c r="C951" t="s">
        <v>1202</v>
      </c>
      <c r="D951" t="s">
        <v>1203</v>
      </c>
      <c r="E951" t="s">
        <v>1204</v>
      </c>
      <c r="F951">
        <v>6827</v>
      </c>
      <c r="G951" t="s">
        <v>700</v>
      </c>
      <c r="I951" t="s">
        <v>1205</v>
      </c>
      <c r="J951">
        <v>900</v>
      </c>
    </row>
    <row r="952" spans="1:10" x14ac:dyDescent="0.3">
      <c r="A952">
        <v>995</v>
      </c>
      <c r="B952" t="s">
        <v>1540</v>
      </c>
      <c r="C952" t="s">
        <v>1202</v>
      </c>
      <c r="D952" t="s">
        <v>1203</v>
      </c>
      <c r="E952" t="s">
        <v>1204</v>
      </c>
      <c r="F952">
        <v>6827</v>
      </c>
      <c r="G952" t="s">
        <v>698</v>
      </c>
      <c r="I952" t="s">
        <v>1205</v>
      </c>
      <c r="J952">
        <v>885</v>
      </c>
    </row>
    <row r="953" spans="1:10" x14ac:dyDescent="0.3">
      <c r="A953">
        <v>995</v>
      </c>
      <c r="B953" t="s">
        <v>1540</v>
      </c>
      <c r="C953" t="s">
        <v>1202</v>
      </c>
      <c r="D953" t="s">
        <v>1203</v>
      </c>
      <c r="E953" t="s">
        <v>1204</v>
      </c>
      <c r="F953">
        <v>6827</v>
      </c>
      <c r="G953" t="s">
        <v>701</v>
      </c>
      <c r="I953" t="s">
        <v>1205</v>
      </c>
      <c r="J953">
        <v>148</v>
      </c>
    </row>
    <row r="954" spans="1:10" x14ac:dyDescent="0.3">
      <c r="A954">
        <v>1004</v>
      </c>
      <c r="B954" t="s">
        <v>1541</v>
      </c>
      <c r="C954" t="s">
        <v>1202</v>
      </c>
      <c r="D954" t="s">
        <v>1203</v>
      </c>
      <c r="E954" t="s">
        <v>1204</v>
      </c>
      <c r="F954">
        <v>5904</v>
      </c>
      <c r="G954" t="s">
        <v>698</v>
      </c>
      <c r="I954" t="s">
        <v>1205</v>
      </c>
      <c r="J954">
        <v>8912</v>
      </c>
    </row>
    <row r="955" spans="1:10" x14ac:dyDescent="0.3">
      <c r="A955">
        <v>1004</v>
      </c>
      <c r="B955" t="s">
        <v>1541</v>
      </c>
      <c r="C955" t="s">
        <v>1202</v>
      </c>
      <c r="D955" t="s">
        <v>1203</v>
      </c>
      <c r="E955" t="s">
        <v>1204</v>
      </c>
      <c r="F955">
        <v>5904</v>
      </c>
      <c r="G955" t="s">
        <v>700</v>
      </c>
      <c r="I955" t="s">
        <v>1205</v>
      </c>
      <c r="J955">
        <v>2622</v>
      </c>
    </row>
    <row r="956" spans="1:10" x14ac:dyDescent="0.3">
      <c r="A956">
        <v>1004</v>
      </c>
      <c r="B956" t="s">
        <v>1541</v>
      </c>
      <c r="C956" t="s">
        <v>1202</v>
      </c>
      <c r="D956" t="s">
        <v>1203</v>
      </c>
      <c r="E956" t="s">
        <v>1204</v>
      </c>
      <c r="F956">
        <v>5904</v>
      </c>
      <c r="G956" t="s">
        <v>701</v>
      </c>
      <c r="I956" t="s">
        <v>1205</v>
      </c>
      <c r="J956">
        <v>452</v>
      </c>
    </row>
    <row r="957" spans="1:10" x14ac:dyDescent="0.3">
      <c r="A957">
        <v>1004</v>
      </c>
      <c r="B957" t="s">
        <v>1541</v>
      </c>
      <c r="C957" t="s">
        <v>1202</v>
      </c>
      <c r="D957" t="s">
        <v>1203</v>
      </c>
      <c r="E957" t="s">
        <v>1204</v>
      </c>
      <c r="F957">
        <v>5904</v>
      </c>
      <c r="G957" t="s">
        <v>691</v>
      </c>
      <c r="H957" t="s">
        <v>1414</v>
      </c>
      <c r="I957" t="s">
        <v>1205</v>
      </c>
      <c r="J957">
        <v>460</v>
      </c>
    </row>
    <row r="958" spans="1:10" x14ac:dyDescent="0.3">
      <c r="A958">
        <v>1004</v>
      </c>
      <c r="B958" t="s">
        <v>1541</v>
      </c>
      <c r="C958" t="s">
        <v>1202</v>
      </c>
      <c r="D958" t="s">
        <v>1203</v>
      </c>
      <c r="E958" t="s">
        <v>1204</v>
      </c>
      <c r="F958">
        <v>5904</v>
      </c>
      <c r="G958" t="s">
        <v>702</v>
      </c>
      <c r="H958" t="s">
        <v>1275</v>
      </c>
      <c r="I958" t="s">
        <v>1205</v>
      </c>
      <c r="J958">
        <v>381</v>
      </c>
    </row>
    <row r="959" spans="1:10" x14ac:dyDescent="0.3">
      <c r="A959">
        <v>1004</v>
      </c>
      <c r="B959" t="s">
        <v>1541</v>
      </c>
      <c r="C959" t="s">
        <v>1202</v>
      </c>
      <c r="D959" t="s">
        <v>1203</v>
      </c>
      <c r="E959" t="s">
        <v>1204</v>
      </c>
      <c r="F959">
        <v>5904</v>
      </c>
      <c r="G959" t="s">
        <v>691</v>
      </c>
      <c r="H959" t="s">
        <v>1230</v>
      </c>
      <c r="I959" t="s">
        <v>1205</v>
      </c>
      <c r="J959">
        <v>74</v>
      </c>
    </row>
    <row r="960" spans="1:10" x14ac:dyDescent="0.3">
      <c r="A960">
        <v>1004</v>
      </c>
      <c r="B960" t="s">
        <v>1541</v>
      </c>
      <c r="C960" t="s">
        <v>1202</v>
      </c>
      <c r="D960" t="s">
        <v>1203</v>
      </c>
      <c r="E960" t="s">
        <v>1204</v>
      </c>
      <c r="F960">
        <v>5904</v>
      </c>
      <c r="G960" t="s">
        <v>696</v>
      </c>
      <c r="I960" t="s">
        <v>1205</v>
      </c>
      <c r="J960">
        <v>8470</v>
      </c>
    </row>
    <row r="961" spans="1:10" x14ac:dyDescent="0.3">
      <c r="A961">
        <v>1005</v>
      </c>
      <c r="B961" t="s">
        <v>1542</v>
      </c>
      <c r="C961" t="s">
        <v>1202</v>
      </c>
      <c r="D961" t="s">
        <v>1203</v>
      </c>
      <c r="E961" t="s">
        <v>1204</v>
      </c>
      <c r="F961">
        <v>5451</v>
      </c>
      <c r="G961" t="s">
        <v>696</v>
      </c>
      <c r="I961" t="s">
        <v>1205</v>
      </c>
      <c r="J961">
        <v>7373</v>
      </c>
    </row>
    <row r="962" spans="1:10" x14ac:dyDescent="0.3">
      <c r="A962">
        <v>1005</v>
      </c>
      <c r="B962" t="s">
        <v>1542</v>
      </c>
      <c r="C962" t="s">
        <v>1202</v>
      </c>
      <c r="D962" t="s">
        <v>1203</v>
      </c>
      <c r="E962" t="s">
        <v>1204</v>
      </c>
      <c r="F962">
        <v>5451</v>
      </c>
      <c r="G962" t="s">
        <v>698</v>
      </c>
      <c r="I962" t="s">
        <v>1205</v>
      </c>
      <c r="J962">
        <v>491</v>
      </c>
    </row>
    <row r="963" spans="1:10" x14ac:dyDescent="0.3">
      <c r="A963">
        <v>1005</v>
      </c>
      <c r="B963" t="s">
        <v>1542</v>
      </c>
      <c r="C963" t="s">
        <v>1202</v>
      </c>
      <c r="D963" t="s">
        <v>1203</v>
      </c>
      <c r="E963" t="s">
        <v>1204</v>
      </c>
      <c r="F963">
        <v>5451</v>
      </c>
      <c r="G963" t="s">
        <v>700</v>
      </c>
      <c r="I963" t="s">
        <v>1205</v>
      </c>
      <c r="J963">
        <v>928</v>
      </c>
    </row>
    <row r="964" spans="1:10" x14ac:dyDescent="0.3">
      <c r="A964">
        <v>1005</v>
      </c>
      <c r="B964" t="s">
        <v>1542</v>
      </c>
      <c r="C964" t="s">
        <v>1202</v>
      </c>
      <c r="D964" t="s">
        <v>1203</v>
      </c>
      <c r="E964" t="s">
        <v>1204</v>
      </c>
      <c r="F964">
        <v>5451</v>
      </c>
      <c r="G964" t="s">
        <v>701</v>
      </c>
      <c r="I964" t="s">
        <v>1205</v>
      </c>
      <c r="J964">
        <v>19</v>
      </c>
    </row>
    <row r="965" spans="1:10" x14ac:dyDescent="0.3">
      <c r="A965">
        <v>1005</v>
      </c>
      <c r="B965" t="s">
        <v>1542</v>
      </c>
      <c r="C965" t="s">
        <v>1202</v>
      </c>
      <c r="D965" t="s">
        <v>1203</v>
      </c>
      <c r="E965" t="s">
        <v>1204</v>
      </c>
      <c r="F965">
        <v>5451</v>
      </c>
      <c r="G965" t="s">
        <v>703</v>
      </c>
      <c r="I965" t="s">
        <v>1205</v>
      </c>
      <c r="J965">
        <v>567</v>
      </c>
    </row>
    <row r="966" spans="1:10" x14ac:dyDescent="0.3">
      <c r="A966">
        <v>1005</v>
      </c>
      <c r="B966" t="s">
        <v>1542</v>
      </c>
      <c r="C966" t="s">
        <v>1202</v>
      </c>
      <c r="D966" t="s">
        <v>1203</v>
      </c>
      <c r="E966" t="s">
        <v>1204</v>
      </c>
      <c r="F966">
        <v>5451</v>
      </c>
      <c r="G966" t="s">
        <v>702</v>
      </c>
      <c r="I966" t="s">
        <v>1205</v>
      </c>
      <c r="J966">
        <v>319</v>
      </c>
    </row>
    <row r="967" spans="1:10" x14ac:dyDescent="0.3">
      <c r="A967">
        <v>1005</v>
      </c>
      <c r="B967" t="s">
        <v>1542</v>
      </c>
      <c r="C967" t="s">
        <v>1202</v>
      </c>
      <c r="D967" t="s">
        <v>1203</v>
      </c>
      <c r="E967" t="s">
        <v>1204</v>
      </c>
      <c r="F967">
        <v>5451</v>
      </c>
      <c r="G967" t="s">
        <v>686</v>
      </c>
      <c r="I967" t="s">
        <v>1205</v>
      </c>
      <c r="J967">
        <v>195</v>
      </c>
    </row>
    <row r="968" spans="1:10" x14ac:dyDescent="0.3">
      <c r="A968">
        <v>1005</v>
      </c>
      <c r="B968" t="s">
        <v>1542</v>
      </c>
      <c r="C968" t="s">
        <v>1202</v>
      </c>
      <c r="D968" t="s">
        <v>1203</v>
      </c>
      <c r="E968" t="s">
        <v>1204</v>
      </c>
      <c r="F968">
        <v>5451</v>
      </c>
      <c r="G968" t="s">
        <v>705</v>
      </c>
      <c r="I968" t="s">
        <v>1205</v>
      </c>
      <c r="J968">
        <v>6</v>
      </c>
    </row>
    <row r="969" spans="1:10" x14ac:dyDescent="0.3">
      <c r="A969">
        <v>1029</v>
      </c>
      <c r="B969" t="s">
        <v>1543</v>
      </c>
      <c r="C969" t="s">
        <v>1202</v>
      </c>
      <c r="D969" t="s">
        <v>1203</v>
      </c>
      <c r="E969" t="s">
        <v>1204</v>
      </c>
      <c r="F969">
        <v>5875</v>
      </c>
      <c r="G969" t="s">
        <v>691</v>
      </c>
      <c r="I969" t="s">
        <v>1205</v>
      </c>
      <c r="J969">
        <v>4846</v>
      </c>
    </row>
    <row r="970" spans="1:10" x14ac:dyDescent="0.3">
      <c r="A970">
        <v>1030</v>
      </c>
      <c r="B970" t="s">
        <v>1544</v>
      </c>
      <c r="C970" t="s">
        <v>1202</v>
      </c>
      <c r="D970" t="s">
        <v>1203</v>
      </c>
      <c r="E970" t="s">
        <v>1204</v>
      </c>
      <c r="F970">
        <v>5887</v>
      </c>
      <c r="G970" t="s">
        <v>691</v>
      </c>
      <c r="I970" t="s">
        <v>1205</v>
      </c>
      <c r="J970">
        <v>5721</v>
      </c>
    </row>
    <row r="971" spans="1:10" x14ac:dyDescent="0.3">
      <c r="A971">
        <v>1031</v>
      </c>
      <c r="B971" t="s">
        <v>1545</v>
      </c>
      <c r="C971" t="s">
        <v>1202</v>
      </c>
      <c r="D971" t="s">
        <v>1203</v>
      </c>
      <c r="E971" t="s">
        <v>1204</v>
      </c>
      <c r="F971">
        <v>5889</v>
      </c>
      <c r="G971" t="s">
        <v>691</v>
      </c>
      <c r="I971" t="s">
        <v>1205</v>
      </c>
      <c r="J971">
        <v>1924</v>
      </c>
    </row>
    <row r="972" spans="1:10" x14ac:dyDescent="0.3">
      <c r="A972">
        <v>1032</v>
      </c>
      <c r="B972" t="s">
        <v>1546</v>
      </c>
      <c r="C972" t="s">
        <v>1202</v>
      </c>
      <c r="D972" t="s">
        <v>1203</v>
      </c>
      <c r="E972" t="s">
        <v>1204</v>
      </c>
      <c r="F972">
        <v>5891</v>
      </c>
      <c r="G972" t="s">
        <v>691</v>
      </c>
      <c r="I972" t="s">
        <v>1205</v>
      </c>
      <c r="J972">
        <v>4520</v>
      </c>
    </row>
    <row r="973" spans="1:10" x14ac:dyDescent="0.3">
      <c r="A973">
        <v>1034</v>
      </c>
      <c r="B973" t="s">
        <v>1547</v>
      </c>
      <c r="C973" t="s">
        <v>1202</v>
      </c>
      <c r="D973" t="s">
        <v>1203</v>
      </c>
      <c r="E973" t="s">
        <v>1204</v>
      </c>
      <c r="F973">
        <v>5539</v>
      </c>
      <c r="G973" t="s">
        <v>703</v>
      </c>
      <c r="I973" t="s">
        <v>1205</v>
      </c>
      <c r="J973">
        <v>535</v>
      </c>
    </row>
    <row r="974" spans="1:10" x14ac:dyDescent="0.3">
      <c r="A974">
        <v>1034</v>
      </c>
      <c r="B974" t="s">
        <v>1547</v>
      </c>
      <c r="C974" t="s">
        <v>1202</v>
      </c>
      <c r="D974" t="s">
        <v>1203</v>
      </c>
      <c r="E974" t="s">
        <v>1204</v>
      </c>
      <c r="F974">
        <v>5539</v>
      </c>
      <c r="G974" t="s">
        <v>696</v>
      </c>
      <c r="I974" t="s">
        <v>1205</v>
      </c>
      <c r="J974">
        <v>5478</v>
      </c>
    </row>
    <row r="975" spans="1:10" x14ac:dyDescent="0.3">
      <c r="A975">
        <v>1034</v>
      </c>
      <c r="B975" t="s">
        <v>1547</v>
      </c>
      <c r="C975" t="s">
        <v>1202</v>
      </c>
      <c r="D975" t="s">
        <v>1203</v>
      </c>
      <c r="E975" t="s">
        <v>1204</v>
      </c>
      <c r="F975">
        <v>5539</v>
      </c>
      <c r="G975" t="s">
        <v>698</v>
      </c>
      <c r="I975" t="s">
        <v>1205</v>
      </c>
      <c r="J975">
        <v>673</v>
      </c>
    </row>
    <row r="976" spans="1:10" x14ac:dyDescent="0.3">
      <c r="A976">
        <v>1034</v>
      </c>
      <c r="B976" t="s">
        <v>1547</v>
      </c>
      <c r="C976" t="s">
        <v>1202</v>
      </c>
      <c r="D976" t="s">
        <v>1203</v>
      </c>
      <c r="E976" t="s">
        <v>1204</v>
      </c>
      <c r="F976">
        <v>5539</v>
      </c>
      <c r="G976" t="s">
        <v>700</v>
      </c>
      <c r="I976" t="s">
        <v>1205</v>
      </c>
      <c r="J976">
        <v>1839</v>
      </c>
    </row>
    <row r="977" spans="1:10" x14ac:dyDescent="0.3">
      <c r="A977">
        <v>1034</v>
      </c>
      <c r="B977" t="s">
        <v>1547</v>
      </c>
      <c r="C977" t="s">
        <v>1202</v>
      </c>
      <c r="D977" t="s">
        <v>1203</v>
      </c>
      <c r="E977" t="s">
        <v>1204</v>
      </c>
      <c r="F977">
        <v>5539</v>
      </c>
      <c r="G977" t="s">
        <v>701</v>
      </c>
      <c r="I977" t="s">
        <v>1205</v>
      </c>
      <c r="J977">
        <v>72</v>
      </c>
    </row>
    <row r="978" spans="1:10" x14ac:dyDescent="0.3">
      <c r="A978">
        <v>1034</v>
      </c>
      <c r="B978" t="s">
        <v>1547</v>
      </c>
      <c r="C978" t="s">
        <v>1202</v>
      </c>
      <c r="D978" t="s">
        <v>1203</v>
      </c>
      <c r="E978" t="s">
        <v>1204</v>
      </c>
      <c r="F978">
        <v>5539</v>
      </c>
      <c r="G978" t="s">
        <v>686</v>
      </c>
      <c r="I978" t="s">
        <v>1205</v>
      </c>
      <c r="J978">
        <v>848</v>
      </c>
    </row>
    <row r="979" spans="1:10" x14ac:dyDescent="0.3">
      <c r="A979">
        <v>1034</v>
      </c>
      <c r="B979" t="s">
        <v>1547</v>
      </c>
      <c r="C979" t="s">
        <v>1202</v>
      </c>
      <c r="D979" t="s">
        <v>1203</v>
      </c>
      <c r="E979" t="s">
        <v>1204</v>
      </c>
      <c r="F979">
        <v>5539</v>
      </c>
      <c r="G979" t="s">
        <v>702</v>
      </c>
      <c r="I979" t="s">
        <v>1205</v>
      </c>
      <c r="J979">
        <v>730</v>
      </c>
    </row>
    <row r="980" spans="1:10" x14ac:dyDescent="0.3">
      <c r="A980">
        <v>1036</v>
      </c>
      <c r="B980" t="s">
        <v>1548</v>
      </c>
      <c r="C980" t="s">
        <v>1202</v>
      </c>
      <c r="D980" t="s">
        <v>1203</v>
      </c>
      <c r="E980" t="s">
        <v>1204</v>
      </c>
      <c r="F980">
        <v>5892</v>
      </c>
      <c r="G980" t="s">
        <v>691</v>
      </c>
      <c r="I980" t="s">
        <v>1205</v>
      </c>
      <c r="J980">
        <v>14206</v>
      </c>
    </row>
    <row r="981" spans="1:10" x14ac:dyDescent="0.3">
      <c r="A981">
        <v>1038</v>
      </c>
      <c r="B981" t="s">
        <v>1549</v>
      </c>
      <c r="C981" t="s">
        <v>1202</v>
      </c>
      <c r="D981" t="s">
        <v>1203</v>
      </c>
      <c r="E981" t="s">
        <v>1204</v>
      </c>
      <c r="F981">
        <v>5893</v>
      </c>
      <c r="G981" t="s">
        <v>691</v>
      </c>
      <c r="I981" t="s">
        <v>1205</v>
      </c>
      <c r="J981">
        <v>4707</v>
      </c>
    </row>
    <row r="982" spans="1:10" x14ac:dyDescent="0.3">
      <c r="A982">
        <v>1041</v>
      </c>
      <c r="B982" t="s">
        <v>1550</v>
      </c>
      <c r="C982" t="s">
        <v>1202</v>
      </c>
      <c r="D982" t="s">
        <v>1203</v>
      </c>
      <c r="E982" t="s">
        <v>1204</v>
      </c>
      <c r="F982">
        <v>5894</v>
      </c>
      <c r="G982" t="s">
        <v>691</v>
      </c>
      <c r="I982" t="s">
        <v>1205</v>
      </c>
      <c r="J982">
        <v>4755</v>
      </c>
    </row>
    <row r="983" spans="1:10" x14ac:dyDescent="0.3">
      <c r="A983">
        <v>1049</v>
      </c>
      <c r="B983" t="s">
        <v>1551</v>
      </c>
      <c r="C983" t="s">
        <v>1202</v>
      </c>
      <c r="D983" t="s">
        <v>1203</v>
      </c>
      <c r="E983" t="s">
        <v>1204</v>
      </c>
      <c r="F983">
        <v>5895</v>
      </c>
      <c r="G983" t="s">
        <v>691</v>
      </c>
      <c r="I983" t="s">
        <v>1205</v>
      </c>
      <c r="J983">
        <v>4261</v>
      </c>
    </row>
    <row r="984" spans="1:10" x14ac:dyDescent="0.3">
      <c r="A984">
        <v>1052</v>
      </c>
      <c r="B984" t="s">
        <v>1552</v>
      </c>
      <c r="C984" t="s">
        <v>1202</v>
      </c>
      <c r="D984" t="s">
        <v>1203</v>
      </c>
      <c r="E984" t="s">
        <v>1204</v>
      </c>
      <c r="F984">
        <v>5896</v>
      </c>
      <c r="G984" t="s">
        <v>691</v>
      </c>
      <c r="I984" t="s">
        <v>1205</v>
      </c>
      <c r="J984">
        <v>6481</v>
      </c>
    </row>
    <row r="985" spans="1:10" x14ac:dyDescent="0.3">
      <c r="A985">
        <v>1053</v>
      </c>
      <c r="B985" t="s">
        <v>1553</v>
      </c>
      <c r="C985" t="s">
        <v>1202</v>
      </c>
      <c r="D985" t="s">
        <v>1203</v>
      </c>
      <c r="E985" t="s">
        <v>1204</v>
      </c>
      <c r="F985">
        <v>5897</v>
      </c>
      <c r="G985" t="s">
        <v>691</v>
      </c>
      <c r="I985" t="s">
        <v>1205</v>
      </c>
      <c r="J985">
        <v>7049</v>
      </c>
    </row>
    <row r="986" spans="1:10" x14ac:dyDescent="0.3">
      <c r="A986">
        <v>1054</v>
      </c>
      <c r="B986" t="s">
        <v>1554</v>
      </c>
      <c r="C986" t="s">
        <v>1202</v>
      </c>
      <c r="D986" t="s">
        <v>1203</v>
      </c>
      <c r="E986" t="s">
        <v>1204</v>
      </c>
      <c r="F986">
        <v>5540</v>
      </c>
      <c r="G986" t="s">
        <v>698</v>
      </c>
      <c r="I986" t="s">
        <v>1205</v>
      </c>
      <c r="J986">
        <v>858</v>
      </c>
    </row>
    <row r="987" spans="1:10" x14ac:dyDescent="0.3">
      <c r="A987">
        <v>1054</v>
      </c>
      <c r="B987" t="s">
        <v>1554</v>
      </c>
      <c r="C987" t="s">
        <v>1202</v>
      </c>
      <c r="D987" t="s">
        <v>1203</v>
      </c>
      <c r="E987" t="s">
        <v>1204</v>
      </c>
      <c r="F987">
        <v>5540</v>
      </c>
      <c r="G987" t="s">
        <v>703</v>
      </c>
      <c r="I987" t="s">
        <v>1205</v>
      </c>
      <c r="J987">
        <v>677</v>
      </c>
    </row>
    <row r="988" spans="1:10" x14ac:dyDescent="0.3">
      <c r="A988">
        <v>1054</v>
      </c>
      <c r="B988" t="s">
        <v>1554</v>
      </c>
      <c r="C988" t="s">
        <v>1202</v>
      </c>
      <c r="D988" t="s">
        <v>1203</v>
      </c>
      <c r="E988" t="s">
        <v>1204</v>
      </c>
      <c r="F988">
        <v>5540</v>
      </c>
      <c r="G988" t="s">
        <v>702</v>
      </c>
      <c r="I988" t="s">
        <v>1205</v>
      </c>
      <c r="J988">
        <v>624</v>
      </c>
    </row>
    <row r="989" spans="1:10" x14ac:dyDescent="0.3">
      <c r="A989">
        <v>1054</v>
      </c>
      <c r="B989" t="s">
        <v>1554</v>
      </c>
      <c r="C989" t="s">
        <v>1202</v>
      </c>
      <c r="D989" t="s">
        <v>1203</v>
      </c>
      <c r="E989" t="s">
        <v>1204</v>
      </c>
      <c r="F989">
        <v>5540</v>
      </c>
      <c r="G989" t="s">
        <v>696</v>
      </c>
      <c r="I989" t="s">
        <v>1205</v>
      </c>
      <c r="J989">
        <v>5956</v>
      </c>
    </row>
    <row r="990" spans="1:10" x14ac:dyDescent="0.3">
      <c r="A990">
        <v>1054</v>
      </c>
      <c r="B990" t="s">
        <v>1554</v>
      </c>
      <c r="C990" t="s">
        <v>1202</v>
      </c>
      <c r="D990" t="s">
        <v>1203</v>
      </c>
      <c r="E990" t="s">
        <v>1204</v>
      </c>
      <c r="F990">
        <v>5540</v>
      </c>
      <c r="G990" t="s">
        <v>700</v>
      </c>
      <c r="I990" t="s">
        <v>1205</v>
      </c>
      <c r="J990">
        <v>1957</v>
      </c>
    </row>
    <row r="991" spans="1:10" x14ac:dyDescent="0.3">
      <c r="A991">
        <v>1054</v>
      </c>
      <c r="B991" t="s">
        <v>1554</v>
      </c>
      <c r="C991" t="s">
        <v>1202</v>
      </c>
      <c r="D991" t="s">
        <v>1203</v>
      </c>
      <c r="E991" t="s">
        <v>1204</v>
      </c>
      <c r="F991">
        <v>5540</v>
      </c>
      <c r="G991" t="s">
        <v>687</v>
      </c>
      <c r="H991" t="s">
        <v>1293</v>
      </c>
      <c r="I991" t="s">
        <v>1205</v>
      </c>
      <c r="J991">
        <v>1</v>
      </c>
    </row>
    <row r="992" spans="1:10" x14ac:dyDescent="0.3">
      <c r="A992">
        <v>1054</v>
      </c>
      <c r="B992" t="s">
        <v>1554</v>
      </c>
      <c r="C992" t="s">
        <v>1202</v>
      </c>
      <c r="D992" t="s">
        <v>1203</v>
      </c>
      <c r="E992" t="s">
        <v>1204</v>
      </c>
      <c r="F992">
        <v>5540</v>
      </c>
      <c r="G992" t="s">
        <v>686</v>
      </c>
      <c r="I992" t="s">
        <v>1205</v>
      </c>
      <c r="J992">
        <v>757</v>
      </c>
    </row>
    <row r="993" spans="1:10" x14ac:dyDescent="0.3">
      <c r="A993">
        <v>1057</v>
      </c>
      <c r="B993" t="s">
        <v>1555</v>
      </c>
      <c r="C993" t="s">
        <v>1202</v>
      </c>
      <c r="D993" t="s">
        <v>1203</v>
      </c>
      <c r="E993" t="s">
        <v>1204</v>
      </c>
      <c r="F993">
        <v>5898</v>
      </c>
      <c r="G993" t="s">
        <v>691</v>
      </c>
      <c r="I993" t="s">
        <v>1205</v>
      </c>
      <c r="J993">
        <v>6464</v>
      </c>
    </row>
    <row r="994" spans="1:10" x14ac:dyDescent="0.3">
      <c r="A994">
        <v>1058</v>
      </c>
      <c r="B994" t="s">
        <v>1556</v>
      </c>
      <c r="C994" t="s">
        <v>1202</v>
      </c>
      <c r="D994" t="s">
        <v>1203</v>
      </c>
      <c r="E994" t="s">
        <v>1204</v>
      </c>
      <c r="F994">
        <v>5899</v>
      </c>
      <c r="G994" t="s">
        <v>691</v>
      </c>
      <c r="I994" t="s">
        <v>1205</v>
      </c>
      <c r="J994">
        <v>3097</v>
      </c>
    </row>
    <row r="995" spans="1:10" x14ac:dyDescent="0.3">
      <c r="A995">
        <v>1059</v>
      </c>
      <c r="B995" t="s">
        <v>1557</v>
      </c>
      <c r="C995" t="s">
        <v>1202</v>
      </c>
      <c r="D995" t="s">
        <v>1203</v>
      </c>
      <c r="E995" t="s">
        <v>1204</v>
      </c>
      <c r="F995">
        <v>5900</v>
      </c>
      <c r="G995" t="s">
        <v>691</v>
      </c>
      <c r="I995" t="s">
        <v>1205</v>
      </c>
      <c r="J995">
        <v>2450</v>
      </c>
    </row>
    <row r="996" spans="1:10" x14ac:dyDescent="0.3">
      <c r="A996">
        <v>1060</v>
      </c>
      <c r="B996" t="s">
        <v>1558</v>
      </c>
      <c r="C996" t="s">
        <v>1202</v>
      </c>
      <c r="D996" t="s">
        <v>1203</v>
      </c>
      <c r="E996" t="s">
        <v>1204</v>
      </c>
      <c r="F996">
        <v>5901</v>
      </c>
      <c r="G996" t="s">
        <v>691</v>
      </c>
      <c r="I996" t="s">
        <v>1205</v>
      </c>
      <c r="J996">
        <v>26228</v>
      </c>
    </row>
    <row r="997" spans="1:10" x14ac:dyDescent="0.3">
      <c r="A997">
        <v>1062</v>
      </c>
      <c r="B997" t="s">
        <v>1559</v>
      </c>
      <c r="C997" t="s">
        <v>1202</v>
      </c>
      <c r="D997" t="s">
        <v>1203</v>
      </c>
      <c r="E997" t="s">
        <v>1204</v>
      </c>
      <c r="F997">
        <v>5886</v>
      </c>
      <c r="G997" t="s">
        <v>691</v>
      </c>
      <c r="I997" t="s">
        <v>1205</v>
      </c>
      <c r="J997">
        <v>14173</v>
      </c>
    </row>
    <row r="998" spans="1:10" x14ac:dyDescent="0.3">
      <c r="A998">
        <v>1068</v>
      </c>
      <c r="B998" t="s">
        <v>1560</v>
      </c>
      <c r="C998" t="s">
        <v>1202</v>
      </c>
      <c r="D998" t="s">
        <v>159</v>
      </c>
      <c r="E998" t="s">
        <v>159</v>
      </c>
      <c r="F998">
        <v>5489</v>
      </c>
      <c r="G998" t="s">
        <v>696</v>
      </c>
      <c r="I998" t="s">
        <v>1205</v>
      </c>
      <c r="J998">
        <v>3509</v>
      </c>
    </row>
    <row r="999" spans="1:10" x14ac:dyDescent="0.3">
      <c r="A999">
        <v>1068</v>
      </c>
      <c r="B999" t="s">
        <v>1560</v>
      </c>
      <c r="C999" t="s">
        <v>1202</v>
      </c>
      <c r="D999" t="s">
        <v>159</v>
      </c>
      <c r="E999" t="s">
        <v>159</v>
      </c>
      <c r="F999">
        <v>5489</v>
      </c>
      <c r="G999" t="s">
        <v>686</v>
      </c>
      <c r="J999">
        <v>623</v>
      </c>
    </row>
    <row r="1000" spans="1:10" x14ac:dyDescent="0.3">
      <c r="A1000">
        <v>1068</v>
      </c>
      <c r="B1000" t="s">
        <v>1560</v>
      </c>
      <c r="C1000" t="s">
        <v>1202</v>
      </c>
      <c r="D1000" t="s">
        <v>159</v>
      </c>
      <c r="E1000" t="s">
        <v>159</v>
      </c>
      <c r="F1000">
        <v>5489</v>
      </c>
      <c r="G1000" t="s">
        <v>690</v>
      </c>
      <c r="I1000" t="s">
        <v>1205</v>
      </c>
      <c r="J1000">
        <v>0</v>
      </c>
    </row>
    <row r="1001" spans="1:10" x14ac:dyDescent="0.3">
      <c r="A1001">
        <v>1068</v>
      </c>
      <c r="B1001" t="s">
        <v>1560</v>
      </c>
      <c r="C1001" t="s">
        <v>1202</v>
      </c>
      <c r="D1001" t="s">
        <v>159</v>
      </c>
      <c r="E1001" t="s">
        <v>159</v>
      </c>
      <c r="F1001">
        <v>5489</v>
      </c>
      <c r="G1001" t="s">
        <v>705</v>
      </c>
      <c r="I1001" t="s">
        <v>1205</v>
      </c>
      <c r="J1001">
        <v>0</v>
      </c>
    </row>
    <row r="1002" spans="1:10" x14ac:dyDescent="0.3">
      <c r="A1002">
        <v>1068</v>
      </c>
      <c r="B1002" t="s">
        <v>1560</v>
      </c>
      <c r="C1002" t="s">
        <v>1202</v>
      </c>
      <c r="D1002" t="s">
        <v>159</v>
      </c>
      <c r="E1002" t="s">
        <v>159</v>
      </c>
      <c r="F1002">
        <v>5489</v>
      </c>
      <c r="G1002" t="s">
        <v>684</v>
      </c>
      <c r="I1002" t="s">
        <v>1205</v>
      </c>
      <c r="J1002">
        <v>1310</v>
      </c>
    </row>
    <row r="1003" spans="1:10" x14ac:dyDescent="0.3">
      <c r="A1003">
        <v>1068</v>
      </c>
      <c r="B1003" t="s">
        <v>1560</v>
      </c>
      <c r="C1003" t="s">
        <v>1202</v>
      </c>
      <c r="D1003" t="s">
        <v>159</v>
      </c>
      <c r="E1003" t="s">
        <v>159</v>
      </c>
      <c r="F1003">
        <v>5489</v>
      </c>
      <c r="G1003" t="s">
        <v>702</v>
      </c>
      <c r="I1003" t="s">
        <v>1205</v>
      </c>
      <c r="J1003">
        <v>433</v>
      </c>
    </row>
    <row r="1004" spans="1:10" x14ac:dyDescent="0.3">
      <c r="A1004">
        <v>1068</v>
      </c>
      <c r="B1004" t="s">
        <v>1560</v>
      </c>
      <c r="C1004" t="s">
        <v>1202</v>
      </c>
      <c r="D1004" t="s">
        <v>159</v>
      </c>
      <c r="E1004" t="s">
        <v>159</v>
      </c>
      <c r="F1004">
        <v>5489</v>
      </c>
      <c r="G1004" t="s">
        <v>703</v>
      </c>
      <c r="I1004" t="s">
        <v>1205</v>
      </c>
      <c r="J1004">
        <v>399</v>
      </c>
    </row>
    <row r="1005" spans="1:10" x14ac:dyDescent="0.3">
      <c r="A1005">
        <v>1068</v>
      </c>
      <c r="B1005" t="s">
        <v>1560</v>
      </c>
      <c r="C1005" t="s">
        <v>1202</v>
      </c>
      <c r="D1005" t="s">
        <v>159</v>
      </c>
      <c r="E1005" t="s">
        <v>159</v>
      </c>
      <c r="F1005">
        <v>5489</v>
      </c>
      <c r="G1005" t="s">
        <v>700</v>
      </c>
      <c r="I1005" t="s">
        <v>1205</v>
      </c>
      <c r="J1005">
        <v>1494</v>
      </c>
    </row>
    <row r="1006" spans="1:10" x14ac:dyDescent="0.3">
      <c r="A1006">
        <v>1068</v>
      </c>
      <c r="B1006" t="s">
        <v>1560</v>
      </c>
      <c r="C1006" t="s">
        <v>1202</v>
      </c>
      <c r="D1006" t="s">
        <v>159</v>
      </c>
      <c r="E1006" t="s">
        <v>159</v>
      </c>
      <c r="F1006">
        <v>5489</v>
      </c>
      <c r="G1006" t="s">
        <v>698</v>
      </c>
      <c r="I1006" t="s">
        <v>1205</v>
      </c>
      <c r="J1006">
        <v>1814</v>
      </c>
    </row>
    <row r="1007" spans="1:10" x14ac:dyDescent="0.3">
      <c r="A1007">
        <v>1068</v>
      </c>
      <c r="B1007" t="s">
        <v>1560</v>
      </c>
      <c r="C1007" t="s">
        <v>1202</v>
      </c>
      <c r="D1007" t="s">
        <v>159</v>
      </c>
      <c r="E1007" t="s">
        <v>159</v>
      </c>
      <c r="F1007">
        <v>5489</v>
      </c>
      <c r="G1007" t="s">
        <v>684</v>
      </c>
      <c r="I1007" t="s">
        <v>1210</v>
      </c>
      <c r="J1007">
        <v>1041</v>
      </c>
    </row>
    <row r="1008" spans="1:10" x14ac:dyDescent="0.3">
      <c r="A1008">
        <v>1083</v>
      </c>
      <c r="B1008" t="s">
        <v>1561</v>
      </c>
      <c r="C1008" t="s">
        <v>1202</v>
      </c>
      <c r="D1008" t="s">
        <v>1203</v>
      </c>
      <c r="E1008" t="s">
        <v>1204</v>
      </c>
      <c r="F1008">
        <v>5752</v>
      </c>
      <c r="G1008" t="s">
        <v>698</v>
      </c>
      <c r="I1008" t="s">
        <v>1205</v>
      </c>
      <c r="J1008">
        <v>2142.0837193000002</v>
      </c>
    </row>
    <row r="1009" spans="1:10" x14ac:dyDescent="0.3">
      <c r="A1009">
        <v>1083</v>
      </c>
      <c r="B1009" t="s">
        <v>1561</v>
      </c>
      <c r="C1009" t="s">
        <v>1202</v>
      </c>
      <c r="D1009" t="s">
        <v>1203</v>
      </c>
      <c r="E1009" t="s">
        <v>1204</v>
      </c>
      <c r="F1009">
        <v>5752</v>
      </c>
      <c r="G1009" t="s">
        <v>701</v>
      </c>
      <c r="I1009" t="s">
        <v>1205</v>
      </c>
      <c r="J1009">
        <v>196.40882239999999</v>
      </c>
    </row>
    <row r="1010" spans="1:10" x14ac:dyDescent="0.3">
      <c r="A1010">
        <v>1083</v>
      </c>
      <c r="B1010" t="s">
        <v>1561</v>
      </c>
      <c r="C1010" t="s">
        <v>1202</v>
      </c>
      <c r="D1010" t="s">
        <v>1203</v>
      </c>
      <c r="E1010" t="s">
        <v>1204</v>
      </c>
      <c r="F1010">
        <v>5752</v>
      </c>
      <c r="G1010" t="s">
        <v>703</v>
      </c>
      <c r="H1010" t="s">
        <v>1562</v>
      </c>
      <c r="I1010" t="s">
        <v>1205</v>
      </c>
      <c r="J1010">
        <v>782.56640174999995</v>
      </c>
    </row>
    <row r="1011" spans="1:10" x14ac:dyDescent="0.3">
      <c r="A1011">
        <v>1083</v>
      </c>
      <c r="B1011" t="s">
        <v>1561</v>
      </c>
      <c r="C1011" t="s">
        <v>1202</v>
      </c>
      <c r="D1011" t="s">
        <v>1203</v>
      </c>
      <c r="E1011" t="s">
        <v>1204</v>
      </c>
      <c r="F1011">
        <v>5752</v>
      </c>
      <c r="G1011" t="s">
        <v>702</v>
      </c>
      <c r="I1011" t="s">
        <v>1205</v>
      </c>
      <c r="J1011">
        <v>733.46419615000002</v>
      </c>
    </row>
    <row r="1012" spans="1:10" x14ac:dyDescent="0.3">
      <c r="A1012">
        <v>1083</v>
      </c>
      <c r="B1012" t="s">
        <v>1561</v>
      </c>
      <c r="C1012" t="s">
        <v>1202</v>
      </c>
      <c r="D1012" t="s">
        <v>1203</v>
      </c>
      <c r="E1012" t="s">
        <v>1204</v>
      </c>
      <c r="F1012">
        <v>5752</v>
      </c>
      <c r="G1012" t="s">
        <v>684</v>
      </c>
      <c r="I1012" t="s">
        <v>1205</v>
      </c>
      <c r="J1012">
        <v>15.344439250000001</v>
      </c>
    </row>
    <row r="1013" spans="1:10" x14ac:dyDescent="0.3">
      <c r="A1013">
        <v>1083</v>
      </c>
      <c r="B1013" t="s">
        <v>1561</v>
      </c>
      <c r="C1013" t="s">
        <v>1202</v>
      </c>
      <c r="D1013" t="s">
        <v>1203</v>
      </c>
      <c r="E1013" t="s">
        <v>1204</v>
      </c>
      <c r="F1013">
        <v>5752</v>
      </c>
      <c r="G1013" t="s">
        <v>696</v>
      </c>
      <c r="I1013" t="s">
        <v>1205</v>
      </c>
      <c r="J1013">
        <v>5806.3358122</v>
      </c>
    </row>
    <row r="1014" spans="1:10" x14ac:dyDescent="0.3">
      <c r="A1014">
        <v>1083</v>
      </c>
      <c r="B1014" t="s">
        <v>1561</v>
      </c>
      <c r="C1014" t="s">
        <v>1202</v>
      </c>
      <c r="D1014" t="s">
        <v>1203</v>
      </c>
      <c r="E1014" t="s">
        <v>1204</v>
      </c>
      <c r="F1014">
        <v>5752</v>
      </c>
      <c r="G1014" t="s">
        <v>700</v>
      </c>
      <c r="H1014" t="s">
        <v>1563</v>
      </c>
      <c r="I1014" t="s">
        <v>1205</v>
      </c>
      <c r="J1014">
        <v>742.67085970000005</v>
      </c>
    </row>
    <row r="1015" spans="1:10" x14ac:dyDescent="0.3">
      <c r="A1015">
        <v>1083</v>
      </c>
      <c r="B1015" t="s">
        <v>1561</v>
      </c>
      <c r="C1015" t="s">
        <v>1202</v>
      </c>
      <c r="D1015" t="s">
        <v>1203</v>
      </c>
      <c r="E1015" t="s">
        <v>1204</v>
      </c>
      <c r="F1015">
        <v>5752</v>
      </c>
      <c r="G1015" t="s">
        <v>686</v>
      </c>
      <c r="I1015" t="s">
        <v>1205</v>
      </c>
      <c r="J1015">
        <v>730.39530830000001</v>
      </c>
    </row>
    <row r="1016" spans="1:10" x14ac:dyDescent="0.3">
      <c r="A1016">
        <v>1094</v>
      </c>
      <c r="B1016" t="s">
        <v>1564</v>
      </c>
      <c r="C1016" t="s">
        <v>1202</v>
      </c>
      <c r="D1016" t="s">
        <v>1203</v>
      </c>
      <c r="E1016" t="s">
        <v>1204</v>
      </c>
      <c r="F1016">
        <v>5821</v>
      </c>
      <c r="G1016" t="s">
        <v>686</v>
      </c>
      <c r="J1016">
        <v>43.578207470000002</v>
      </c>
    </row>
    <row r="1017" spans="1:10" x14ac:dyDescent="0.3">
      <c r="A1017">
        <v>1094</v>
      </c>
      <c r="B1017" t="s">
        <v>1564</v>
      </c>
      <c r="C1017" t="s">
        <v>1202</v>
      </c>
      <c r="D1017" t="s">
        <v>1203</v>
      </c>
      <c r="E1017" t="s">
        <v>1204</v>
      </c>
      <c r="F1017">
        <v>5821</v>
      </c>
      <c r="G1017" t="s">
        <v>702</v>
      </c>
      <c r="I1017" t="s">
        <v>1216</v>
      </c>
      <c r="J1017">
        <v>30.780945135500001</v>
      </c>
    </row>
    <row r="1018" spans="1:10" x14ac:dyDescent="0.3">
      <c r="A1018">
        <v>1094</v>
      </c>
      <c r="B1018" t="s">
        <v>1564</v>
      </c>
      <c r="C1018" t="s">
        <v>1202</v>
      </c>
      <c r="D1018" t="s">
        <v>1203</v>
      </c>
      <c r="E1018" t="s">
        <v>1204</v>
      </c>
      <c r="F1018">
        <v>5821</v>
      </c>
      <c r="G1018" t="s">
        <v>700</v>
      </c>
      <c r="H1018" t="s">
        <v>1565</v>
      </c>
      <c r="I1018" t="s">
        <v>1205</v>
      </c>
      <c r="J1018">
        <v>282.03079341500001</v>
      </c>
    </row>
    <row r="1019" spans="1:10" x14ac:dyDescent="0.3">
      <c r="A1019">
        <v>1094</v>
      </c>
      <c r="B1019" t="s">
        <v>1564</v>
      </c>
      <c r="C1019" t="s">
        <v>1202</v>
      </c>
      <c r="D1019" t="s">
        <v>1203</v>
      </c>
      <c r="E1019" t="s">
        <v>1204</v>
      </c>
      <c r="F1019">
        <v>5821</v>
      </c>
      <c r="G1019" t="s">
        <v>698</v>
      </c>
      <c r="I1019" t="s">
        <v>1205</v>
      </c>
      <c r="J1019">
        <v>189.74933576550001</v>
      </c>
    </row>
    <row r="1020" spans="1:10" x14ac:dyDescent="0.3">
      <c r="A1020">
        <v>1094</v>
      </c>
      <c r="B1020" t="s">
        <v>1564</v>
      </c>
      <c r="C1020" t="s">
        <v>1202</v>
      </c>
      <c r="D1020" t="s">
        <v>1203</v>
      </c>
      <c r="E1020" t="s">
        <v>1204</v>
      </c>
      <c r="F1020">
        <v>5821</v>
      </c>
      <c r="G1020" t="s">
        <v>696</v>
      </c>
      <c r="I1020" t="s">
        <v>1205</v>
      </c>
      <c r="J1020">
        <v>2017.855139132</v>
      </c>
    </row>
    <row r="1021" spans="1:10" x14ac:dyDescent="0.3">
      <c r="A1021">
        <v>1109</v>
      </c>
      <c r="B1021" t="s">
        <v>1566</v>
      </c>
      <c r="C1021" t="s">
        <v>1202</v>
      </c>
      <c r="D1021" t="s">
        <v>1203</v>
      </c>
      <c r="E1021" t="s">
        <v>1204</v>
      </c>
      <c r="F1021">
        <v>6747</v>
      </c>
      <c r="G1021" t="s">
        <v>700</v>
      </c>
      <c r="H1021" t="s">
        <v>1567</v>
      </c>
      <c r="I1021" t="s">
        <v>1205</v>
      </c>
      <c r="J1021">
        <v>17.676794015999999</v>
      </c>
    </row>
    <row r="1022" spans="1:10" x14ac:dyDescent="0.3">
      <c r="A1022">
        <v>1109</v>
      </c>
      <c r="B1022" t="s">
        <v>1566</v>
      </c>
      <c r="C1022" t="s">
        <v>1202</v>
      </c>
      <c r="D1022" t="s">
        <v>1203</v>
      </c>
      <c r="E1022" t="s">
        <v>1204</v>
      </c>
      <c r="F1022">
        <v>6747</v>
      </c>
      <c r="G1022" t="s">
        <v>696</v>
      </c>
      <c r="H1022" t="s">
        <v>1568</v>
      </c>
      <c r="I1022" t="s">
        <v>1205</v>
      </c>
      <c r="J1022">
        <v>289.58025752600003</v>
      </c>
    </row>
    <row r="1023" spans="1:10" x14ac:dyDescent="0.3">
      <c r="A1023">
        <v>1109</v>
      </c>
      <c r="B1023" t="s">
        <v>1566</v>
      </c>
      <c r="C1023" t="s">
        <v>1202</v>
      </c>
      <c r="D1023" t="s">
        <v>1203</v>
      </c>
      <c r="E1023" t="s">
        <v>1204</v>
      </c>
      <c r="F1023">
        <v>6747</v>
      </c>
      <c r="G1023" t="s">
        <v>687</v>
      </c>
      <c r="H1023" t="s">
        <v>1569</v>
      </c>
      <c r="I1023" t="s">
        <v>1205</v>
      </c>
      <c r="J1023">
        <v>5.9229535504999999</v>
      </c>
    </row>
    <row r="1024" spans="1:10" x14ac:dyDescent="0.3">
      <c r="A1024">
        <v>1109</v>
      </c>
      <c r="B1024" t="s">
        <v>1566</v>
      </c>
      <c r="C1024" t="s">
        <v>1202</v>
      </c>
      <c r="D1024" t="s">
        <v>1203</v>
      </c>
      <c r="E1024" t="s">
        <v>1204</v>
      </c>
      <c r="F1024">
        <v>6747</v>
      </c>
      <c r="G1024" t="s">
        <v>686</v>
      </c>
      <c r="H1024" t="s">
        <v>1570</v>
      </c>
      <c r="I1024" t="s">
        <v>1205</v>
      </c>
      <c r="J1024">
        <v>84.394415875000007</v>
      </c>
    </row>
    <row r="1025" spans="1:10" x14ac:dyDescent="0.3">
      <c r="A1025">
        <v>1110</v>
      </c>
      <c r="B1025" t="s">
        <v>1571</v>
      </c>
      <c r="C1025" t="s">
        <v>1202</v>
      </c>
      <c r="D1025" t="s">
        <v>1203</v>
      </c>
      <c r="E1025" t="s">
        <v>1204</v>
      </c>
      <c r="F1025">
        <v>7139</v>
      </c>
      <c r="G1025" t="s">
        <v>702</v>
      </c>
      <c r="I1025" t="s">
        <v>1205</v>
      </c>
      <c r="J1025">
        <v>54</v>
      </c>
    </row>
    <row r="1026" spans="1:10" x14ac:dyDescent="0.3">
      <c r="A1026">
        <v>1110</v>
      </c>
      <c r="B1026" t="s">
        <v>1571</v>
      </c>
      <c r="C1026" t="s">
        <v>1202</v>
      </c>
      <c r="D1026" t="s">
        <v>1203</v>
      </c>
      <c r="E1026" t="s">
        <v>1204</v>
      </c>
      <c r="F1026">
        <v>7139</v>
      </c>
      <c r="G1026" t="s">
        <v>687</v>
      </c>
      <c r="I1026" t="s">
        <v>1205</v>
      </c>
      <c r="J1026">
        <v>0</v>
      </c>
    </row>
    <row r="1027" spans="1:10" x14ac:dyDescent="0.3">
      <c r="A1027">
        <v>1110</v>
      </c>
      <c r="B1027" t="s">
        <v>1571</v>
      </c>
      <c r="C1027" t="s">
        <v>1202</v>
      </c>
      <c r="D1027" t="s">
        <v>1203</v>
      </c>
      <c r="E1027" t="s">
        <v>1204</v>
      </c>
      <c r="F1027">
        <v>7139</v>
      </c>
      <c r="G1027" t="s">
        <v>686</v>
      </c>
      <c r="I1027" t="s">
        <v>1205</v>
      </c>
      <c r="J1027">
        <v>150</v>
      </c>
    </row>
    <row r="1028" spans="1:10" x14ac:dyDescent="0.3">
      <c r="A1028">
        <v>1110</v>
      </c>
      <c r="B1028" t="s">
        <v>1571</v>
      </c>
      <c r="C1028" t="s">
        <v>1202</v>
      </c>
      <c r="D1028" t="s">
        <v>1203</v>
      </c>
      <c r="E1028" t="s">
        <v>1204</v>
      </c>
      <c r="F1028">
        <v>7139</v>
      </c>
      <c r="G1028" t="s">
        <v>701</v>
      </c>
      <c r="I1028" t="s">
        <v>1205</v>
      </c>
      <c r="J1028">
        <v>11</v>
      </c>
    </row>
    <row r="1029" spans="1:10" x14ac:dyDescent="0.3">
      <c r="A1029">
        <v>1110</v>
      </c>
      <c r="B1029" t="s">
        <v>1571</v>
      </c>
      <c r="C1029" t="s">
        <v>1202</v>
      </c>
      <c r="D1029" t="s">
        <v>1203</v>
      </c>
      <c r="E1029" t="s">
        <v>1204</v>
      </c>
      <c r="F1029">
        <v>7139</v>
      </c>
      <c r="G1029" t="s">
        <v>700</v>
      </c>
      <c r="I1029" t="s">
        <v>1205</v>
      </c>
      <c r="J1029">
        <v>142</v>
      </c>
    </row>
    <row r="1030" spans="1:10" x14ac:dyDescent="0.3">
      <c r="A1030">
        <v>1110</v>
      </c>
      <c r="B1030" t="s">
        <v>1571</v>
      </c>
      <c r="C1030" t="s">
        <v>1202</v>
      </c>
      <c r="D1030" t="s">
        <v>1203</v>
      </c>
      <c r="E1030" t="s">
        <v>1204</v>
      </c>
      <c r="F1030">
        <v>7139</v>
      </c>
      <c r="G1030" t="s">
        <v>698</v>
      </c>
      <c r="I1030" t="s">
        <v>1205</v>
      </c>
      <c r="J1030">
        <v>201</v>
      </c>
    </row>
    <row r="1031" spans="1:10" x14ac:dyDescent="0.3">
      <c r="A1031">
        <v>1110</v>
      </c>
      <c r="B1031" t="s">
        <v>1571</v>
      </c>
      <c r="C1031" t="s">
        <v>1202</v>
      </c>
      <c r="D1031" t="s">
        <v>1203</v>
      </c>
      <c r="E1031" t="s">
        <v>1204</v>
      </c>
      <c r="F1031">
        <v>7139</v>
      </c>
      <c r="G1031" t="s">
        <v>696</v>
      </c>
      <c r="I1031" t="s">
        <v>1205</v>
      </c>
      <c r="J1031">
        <v>730</v>
      </c>
    </row>
    <row r="1032" spans="1:10" x14ac:dyDescent="0.3">
      <c r="A1032">
        <v>1125</v>
      </c>
      <c r="B1032" t="s">
        <v>1572</v>
      </c>
      <c r="C1032" t="s">
        <v>1202</v>
      </c>
      <c r="D1032" t="s">
        <v>1203</v>
      </c>
      <c r="E1032" t="s">
        <v>1204</v>
      </c>
      <c r="F1032">
        <v>6188</v>
      </c>
      <c r="G1032" t="s">
        <v>686</v>
      </c>
      <c r="J1032">
        <v>803</v>
      </c>
    </row>
    <row r="1033" spans="1:10" x14ac:dyDescent="0.3">
      <c r="A1033">
        <v>1125</v>
      </c>
      <c r="B1033" t="s">
        <v>1572</v>
      </c>
      <c r="C1033" t="s">
        <v>1202</v>
      </c>
      <c r="D1033" t="s">
        <v>1203</v>
      </c>
      <c r="E1033" t="s">
        <v>1204</v>
      </c>
      <c r="F1033">
        <v>6188</v>
      </c>
      <c r="G1033" t="s">
        <v>687</v>
      </c>
      <c r="H1033" t="s">
        <v>1573</v>
      </c>
      <c r="I1033" t="s">
        <v>1205</v>
      </c>
      <c r="J1033">
        <v>62</v>
      </c>
    </row>
    <row r="1034" spans="1:10" x14ac:dyDescent="0.3">
      <c r="A1034">
        <v>1125</v>
      </c>
      <c r="B1034" t="s">
        <v>1572</v>
      </c>
      <c r="C1034" t="s">
        <v>1202</v>
      </c>
      <c r="D1034" t="s">
        <v>1203</v>
      </c>
      <c r="E1034" t="s">
        <v>1204</v>
      </c>
      <c r="F1034">
        <v>6188</v>
      </c>
      <c r="G1034" t="s">
        <v>687</v>
      </c>
      <c r="I1034" t="s">
        <v>1205</v>
      </c>
      <c r="J1034">
        <v>854</v>
      </c>
    </row>
    <row r="1035" spans="1:10" x14ac:dyDescent="0.3">
      <c r="A1035">
        <v>1125</v>
      </c>
      <c r="B1035" t="s">
        <v>1572</v>
      </c>
      <c r="C1035" t="s">
        <v>1202</v>
      </c>
      <c r="D1035" t="s">
        <v>1203</v>
      </c>
      <c r="E1035" t="s">
        <v>1204</v>
      </c>
      <c r="F1035">
        <v>6188</v>
      </c>
      <c r="G1035" t="s">
        <v>696</v>
      </c>
      <c r="I1035" t="s">
        <v>1205</v>
      </c>
      <c r="J1035">
        <v>6903</v>
      </c>
    </row>
    <row r="1036" spans="1:10" x14ac:dyDescent="0.3">
      <c r="A1036">
        <v>1125</v>
      </c>
      <c r="B1036" t="s">
        <v>1572</v>
      </c>
      <c r="C1036" t="s">
        <v>1202</v>
      </c>
      <c r="D1036" t="s">
        <v>1203</v>
      </c>
      <c r="E1036" t="s">
        <v>1204</v>
      </c>
      <c r="F1036">
        <v>6188</v>
      </c>
      <c r="G1036" t="s">
        <v>701</v>
      </c>
      <c r="I1036" t="s">
        <v>1205</v>
      </c>
      <c r="J1036">
        <v>334</v>
      </c>
    </row>
    <row r="1037" spans="1:10" x14ac:dyDescent="0.3">
      <c r="A1037">
        <v>1125</v>
      </c>
      <c r="B1037" t="s">
        <v>1572</v>
      </c>
      <c r="C1037" t="s">
        <v>1202</v>
      </c>
      <c r="D1037" t="s">
        <v>1203</v>
      </c>
      <c r="E1037" t="s">
        <v>1204</v>
      </c>
      <c r="F1037">
        <v>6188</v>
      </c>
      <c r="G1037" t="s">
        <v>700</v>
      </c>
      <c r="H1037" t="s">
        <v>1264</v>
      </c>
      <c r="I1037" t="s">
        <v>1205</v>
      </c>
      <c r="J1037">
        <v>1005</v>
      </c>
    </row>
    <row r="1038" spans="1:10" x14ac:dyDescent="0.3">
      <c r="A1038">
        <v>1125</v>
      </c>
      <c r="B1038" t="s">
        <v>1572</v>
      </c>
      <c r="C1038" t="s">
        <v>1202</v>
      </c>
      <c r="D1038" t="s">
        <v>1203</v>
      </c>
      <c r="E1038" t="s">
        <v>1204</v>
      </c>
      <c r="F1038">
        <v>6188</v>
      </c>
      <c r="G1038" t="s">
        <v>698</v>
      </c>
      <c r="I1038" t="s">
        <v>1205</v>
      </c>
      <c r="J1038">
        <v>1002</v>
      </c>
    </row>
    <row r="1039" spans="1:10" x14ac:dyDescent="0.3">
      <c r="A1039">
        <v>1125</v>
      </c>
      <c r="B1039" t="s">
        <v>1572</v>
      </c>
      <c r="C1039" t="s">
        <v>1202</v>
      </c>
      <c r="D1039" t="s">
        <v>1203</v>
      </c>
      <c r="E1039" t="s">
        <v>1204</v>
      </c>
      <c r="F1039">
        <v>6188</v>
      </c>
      <c r="G1039" t="s">
        <v>702</v>
      </c>
      <c r="I1039" t="s">
        <v>1205</v>
      </c>
      <c r="J1039">
        <v>750</v>
      </c>
    </row>
    <row r="1040" spans="1:10" x14ac:dyDescent="0.3">
      <c r="A1040">
        <v>1142</v>
      </c>
      <c r="B1040" t="s">
        <v>1574</v>
      </c>
      <c r="C1040" t="s">
        <v>1202</v>
      </c>
      <c r="D1040" t="s">
        <v>159</v>
      </c>
      <c r="E1040" t="s">
        <v>159</v>
      </c>
      <c r="F1040">
        <v>7961</v>
      </c>
      <c r="G1040" t="s">
        <v>696</v>
      </c>
      <c r="I1040" t="s">
        <v>1205</v>
      </c>
      <c r="J1040">
        <v>1689.32</v>
      </c>
    </row>
    <row r="1041" spans="1:10" x14ac:dyDescent="0.3">
      <c r="A1041">
        <v>1142</v>
      </c>
      <c r="B1041" t="s">
        <v>1574</v>
      </c>
      <c r="C1041" t="s">
        <v>1202</v>
      </c>
      <c r="D1041" t="s">
        <v>159</v>
      </c>
      <c r="E1041" t="s">
        <v>159</v>
      </c>
      <c r="F1041">
        <v>7961</v>
      </c>
      <c r="G1041" t="s">
        <v>698</v>
      </c>
      <c r="I1041" t="s">
        <v>1205</v>
      </c>
      <c r="J1041">
        <v>1301.9480000000001</v>
      </c>
    </row>
    <row r="1042" spans="1:10" x14ac:dyDescent="0.3">
      <c r="A1042">
        <v>1142</v>
      </c>
      <c r="B1042" t="s">
        <v>1574</v>
      </c>
      <c r="C1042" t="s">
        <v>1202</v>
      </c>
      <c r="D1042" t="s">
        <v>159</v>
      </c>
      <c r="E1042" t="s">
        <v>159</v>
      </c>
      <c r="F1042">
        <v>7961</v>
      </c>
      <c r="G1042" t="s">
        <v>686</v>
      </c>
      <c r="H1042" t="s">
        <v>1346</v>
      </c>
      <c r="I1042" t="s">
        <v>1205</v>
      </c>
      <c r="J1042">
        <v>193.68299999999999</v>
      </c>
    </row>
    <row r="1043" spans="1:10" x14ac:dyDescent="0.3">
      <c r="A1043">
        <v>1142</v>
      </c>
      <c r="B1043" t="s">
        <v>1574</v>
      </c>
      <c r="C1043" t="s">
        <v>1202</v>
      </c>
      <c r="D1043" t="s">
        <v>159</v>
      </c>
      <c r="E1043" t="s">
        <v>159</v>
      </c>
      <c r="F1043">
        <v>7961</v>
      </c>
      <c r="G1043" t="s">
        <v>702</v>
      </c>
      <c r="H1043" t="s">
        <v>1344</v>
      </c>
      <c r="I1043" t="s">
        <v>1205</v>
      </c>
      <c r="J1043">
        <v>0</v>
      </c>
    </row>
    <row r="1044" spans="1:10" x14ac:dyDescent="0.3">
      <c r="A1044">
        <v>1142</v>
      </c>
      <c r="B1044" t="s">
        <v>1574</v>
      </c>
      <c r="C1044" t="s">
        <v>1202</v>
      </c>
      <c r="D1044" t="s">
        <v>159</v>
      </c>
      <c r="E1044" t="s">
        <v>159</v>
      </c>
      <c r="F1044">
        <v>7961</v>
      </c>
      <c r="G1044" t="s">
        <v>691</v>
      </c>
      <c r="I1044" t="s">
        <v>1205</v>
      </c>
      <c r="J1044">
        <v>1.274</v>
      </c>
    </row>
    <row r="1045" spans="1:10" x14ac:dyDescent="0.3">
      <c r="A1045">
        <v>1142</v>
      </c>
      <c r="B1045" t="s">
        <v>1574</v>
      </c>
      <c r="C1045" t="s">
        <v>1202</v>
      </c>
      <c r="D1045" t="s">
        <v>159</v>
      </c>
      <c r="E1045" t="s">
        <v>159</v>
      </c>
      <c r="F1045">
        <v>7961</v>
      </c>
      <c r="G1045" t="s">
        <v>701</v>
      </c>
      <c r="I1045" t="s">
        <v>1205</v>
      </c>
      <c r="J1045">
        <v>26.247</v>
      </c>
    </row>
    <row r="1046" spans="1:10" x14ac:dyDescent="0.3">
      <c r="A1046">
        <v>1142</v>
      </c>
      <c r="B1046" t="s">
        <v>1574</v>
      </c>
      <c r="C1046" t="s">
        <v>1202</v>
      </c>
      <c r="D1046" t="s">
        <v>159</v>
      </c>
      <c r="E1046" t="s">
        <v>159</v>
      </c>
      <c r="F1046">
        <v>7961</v>
      </c>
      <c r="G1046" t="s">
        <v>703</v>
      </c>
      <c r="I1046" t="s">
        <v>1205</v>
      </c>
      <c r="J1046">
        <v>61.731000000000002</v>
      </c>
    </row>
    <row r="1047" spans="1:10" x14ac:dyDescent="0.3">
      <c r="A1047">
        <v>1142</v>
      </c>
      <c r="B1047" t="s">
        <v>1574</v>
      </c>
      <c r="C1047" t="s">
        <v>1202</v>
      </c>
      <c r="D1047" t="s">
        <v>159</v>
      </c>
      <c r="E1047" t="s">
        <v>159</v>
      </c>
      <c r="F1047">
        <v>7961</v>
      </c>
      <c r="G1047" t="s">
        <v>700</v>
      </c>
      <c r="I1047" t="s">
        <v>1205</v>
      </c>
      <c r="J1047">
        <v>577.40599999999995</v>
      </c>
    </row>
    <row r="1048" spans="1:10" x14ac:dyDescent="0.3">
      <c r="A1048">
        <v>1143</v>
      </c>
      <c r="B1048" t="s">
        <v>1575</v>
      </c>
      <c r="C1048" t="s">
        <v>1202</v>
      </c>
      <c r="D1048" t="s">
        <v>1203</v>
      </c>
      <c r="E1048" t="s">
        <v>1204</v>
      </c>
      <c r="F1048">
        <v>5903</v>
      </c>
      <c r="G1048" t="s">
        <v>703</v>
      </c>
      <c r="I1048" t="s">
        <v>1205</v>
      </c>
      <c r="J1048">
        <v>1160.0396072999999</v>
      </c>
    </row>
    <row r="1049" spans="1:10" x14ac:dyDescent="0.3">
      <c r="A1049">
        <v>1143</v>
      </c>
      <c r="B1049" t="s">
        <v>1575</v>
      </c>
      <c r="C1049" t="s">
        <v>1202</v>
      </c>
      <c r="D1049" t="s">
        <v>1203</v>
      </c>
      <c r="E1049" t="s">
        <v>1204</v>
      </c>
      <c r="F1049">
        <v>5903</v>
      </c>
      <c r="G1049" t="s">
        <v>702</v>
      </c>
      <c r="H1049" t="s">
        <v>1576</v>
      </c>
      <c r="I1049" t="s">
        <v>1205</v>
      </c>
      <c r="J1049">
        <v>1979.4326632499999</v>
      </c>
    </row>
    <row r="1050" spans="1:10" x14ac:dyDescent="0.3">
      <c r="A1050">
        <v>1143</v>
      </c>
      <c r="B1050" t="s">
        <v>1575</v>
      </c>
      <c r="C1050" t="s">
        <v>1202</v>
      </c>
      <c r="D1050" t="s">
        <v>1203</v>
      </c>
      <c r="E1050" t="s">
        <v>1204</v>
      </c>
      <c r="F1050">
        <v>5903</v>
      </c>
      <c r="G1050" t="s">
        <v>686</v>
      </c>
      <c r="H1050" t="s">
        <v>1577</v>
      </c>
      <c r="I1050" t="s">
        <v>1205</v>
      </c>
      <c r="J1050">
        <v>524.77982235000002</v>
      </c>
    </row>
    <row r="1051" spans="1:10" x14ac:dyDescent="0.3">
      <c r="A1051">
        <v>1143</v>
      </c>
      <c r="B1051" t="s">
        <v>1575</v>
      </c>
      <c r="C1051" t="s">
        <v>1202</v>
      </c>
      <c r="D1051" t="s">
        <v>1203</v>
      </c>
      <c r="E1051" t="s">
        <v>1204</v>
      </c>
      <c r="F1051">
        <v>5903</v>
      </c>
      <c r="G1051" t="s">
        <v>696</v>
      </c>
      <c r="H1051" t="s">
        <v>1578</v>
      </c>
      <c r="I1051" t="s">
        <v>1205</v>
      </c>
      <c r="J1051">
        <v>5784.8535972500003</v>
      </c>
    </row>
    <row r="1052" spans="1:10" x14ac:dyDescent="0.3">
      <c r="A1052">
        <v>1143</v>
      </c>
      <c r="B1052" t="s">
        <v>1575</v>
      </c>
      <c r="C1052" t="s">
        <v>1202</v>
      </c>
      <c r="D1052" t="s">
        <v>1203</v>
      </c>
      <c r="E1052" t="s">
        <v>1204</v>
      </c>
      <c r="F1052">
        <v>5903</v>
      </c>
      <c r="G1052" t="s">
        <v>698</v>
      </c>
      <c r="H1052" t="s">
        <v>1579</v>
      </c>
      <c r="I1052" t="s">
        <v>1205</v>
      </c>
      <c r="J1052">
        <v>2774.2746164</v>
      </c>
    </row>
    <row r="1053" spans="1:10" x14ac:dyDescent="0.3">
      <c r="A1053">
        <v>1143</v>
      </c>
      <c r="B1053" t="s">
        <v>1575</v>
      </c>
      <c r="C1053" t="s">
        <v>1202</v>
      </c>
      <c r="D1053" t="s">
        <v>1203</v>
      </c>
      <c r="E1053" t="s">
        <v>1204</v>
      </c>
      <c r="F1053">
        <v>5903</v>
      </c>
      <c r="G1053" t="s">
        <v>700</v>
      </c>
      <c r="I1053" t="s">
        <v>1205</v>
      </c>
      <c r="J1053">
        <v>1184.5907101</v>
      </c>
    </row>
    <row r="1054" spans="1:10" x14ac:dyDescent="0.3">
      <c r="A1054">
        <v>1143</v>
      </c>
      <c r="B1054" t="s">
        <v>1575</v>
      </c>
      <c r="C1054" t="s">
        <v>1202</v>
      </c>
      <c r="D1054" t="s">
        <v>1203</v>
      </c>
      <c r="E1054" t="s">
        <v>1204</v>
      </c>
      <c r="F1054">
        <v>5903</v>
      </c>
      <c r="G1054" t="s">
        <v>701</v>
      </c>
      <c r="I1054" t="s">
        <v>1205</v>
      </c>
      <c r="J1054">
        <v>2139.0148314500002</v>
      </c>
    </row>
    <row r="1055" spans="1:10" x14ac:dyDescent="0.3">
      <c r="A1055">
        <v>1143</v>
      </c>
      <c r="B1055" t="s">
        <v>1575</v>
      </c>
      <c r="C1055" t="s">
        <v>1202</v>
      </c>
      <c r="D1055" t="s">
        <v>1203</v>
      </c>
      <c r="E1055" t="s">
        <v>1204</v>
      </c>
      <c r="F1055">
        <v>5903</v>
      </c>
      <c r="G1055" t="s">
        <v>687</v>
      </c>
      <c r="H1055" t="s">
        <v>1580</v>
      </c>
      <c r="I1055" t="s">
        <v>1205</v>
      </c>
      <c r="J1055">
        <v>49.102205599999998</v>
      </c>
    </row>
    <row r="1056" spans="1:10" x14ac:dyDescent="0.3">
      <c r="A1056">
        <v>1144</v>
      </c>
      <c r="B1056" t="s">
        <v>1581</v>
      </c>
      <c r="C1056" t="s">
        <v>1202</v>
      </c>
      <c r="D1056" t="s">
        <v>1203</v>
      </c>
      <c r="E1056" t="s">
        <v>1204</v>
      </c>
      <c r="F1056">
        <v>6619</v>
      </c>
      <c r="G1056" t="s">
        <v>692</v>
      </c>
      <c r="H1056" t="s">
        <v>1582</v>
      </c>
      <c r="I1056" t="s">
        <v>1216</v>
      </c>
      <c r="J1056">
        <v>0</v>
      </c>
    </row>
    <row r="1057" spans="1:10" x14ac:dyDescent="0.3">
      <c r="A1057">
        <v>1144</v>
      </c>
      <c r="B1057" t="s">
        <v>1581</v>
      </c>
      <c r="C1057" t="s">
        <v>1202</v>
      </c>
      <c r="D1057" t="s">
        <v>1203</v>
      </c>
      <c r="E1057" t="s">
        <v>1204</v>
      </c>
      <c r="F1057">
        <v>6619</v>
      </c>
      <c r="G1057" t="s">
        <v>692</v>
      </c>
      <c r="H1057" t="s">
        <v>1583</v>
      </c>
      <c r="I1057" t="s">
        <v>1210</v>
      </c>
      <c r="J1057">
        <v>3.0688878499999999</v>
      </c>
    </row>
    <row r="1058" spans="1:10" x14ac:dyDescent="0.3">
      <c r="A1058">
        <v>1144</v>
      </c>
      <c r="B1058" t="s">
        <v>1581</v>
      </c>
      <c r="C1058" t="s">
        <v>1202</v>
      </c>
      <c r="D1058" t="s">
        <v>1203</v>
      </c>
      <c r="E1058" t="s">
        <v>1204</v>
      </c>
      <c r="F1058">
        <v>6619</v>
      </c>
      <c r="G1058" t="s">
        <v>702</v>
      </c>
      <c r="I1058" t="s">
        <v>1205</v>
      </c>
      <c r="J1058">
        <v>208.6843738</v>
      </c>
    </row>
    <row r="1059" spans="1:10" x14ac:dyDescent="0.3">
      <c r="A1059">
        <v>1144</v>
      </c>
      <c r="B1059" t="s">
        <v>1581</v>
      </c>
      <c r="C1059" t="s">
        <v>1202</v>
      </c>
      <c r="D1059" t="s">
        <v>1203</v>
      </c>
      <c r="E1059" t="s">
        <v>1204</v>
      </c>
      <c r="F1059">
        <v>6619</v>
      </c>
      <c r="G1059" t="s">
        <v>686</v>
      </c>
      <c r="I1059" t="s">
        <v>1205</v>
      </c>
      <c r="J1059">
        <v>101.27329905000001</v>
      </c>
    </row>
    <row r="1060" spans="1:10" x14ac:dyDescent="0.3">
      <c r="A1060">
        <v>1144</v>
      </c>
      <c r="B1060" t="s">
        <v>1581</v>
      </c>
      <c r="C1060" t="s">
        <v>1202</v>
      </c>
      <c r="D1060" t="s">
        <v>1203</v>
      </c>
      <c r="E1060" t="s">
        <v>1204</v>
      </c>
      <c r="F1060">
        <v>6619</v>
      </c>
      <c r="G1060" t="s">
        <v>696</v>
      </c>
      <c r="I1060" t="s">
        <v>1205</v>
      </c>
      <c r="J1060">
        <v>1104.799626</v>
      </c>
    </row>
    <row r="1061" spans="1:10" x14ac:dyDescent="0.3">
      <c r="A1061">
        <v>1144</v>
      </c>
      <c r="B1061" t="s">
        <v>1581</v>
      </c>
      <c r="C1061" t="s">
        <v>1202</v>
      </c>
      <c r="D1061" t="s">
        <v>1203</v>
      </c>
      <c r="E1061" t="s">
        <v>1204</v>
      </c>
      <c r="F1061">
        <v>6619</v>
      </c>
      <c r="G1061" t="s">
        <v>703</v>
      </c>
      <c r="H1061" t="s">
        <v>1584</v>
      </c>
      <c r="I1061" t="s">
        <v>1205</v>
      </c>
      <c r="J1061">
        <v>24.551102799999999</v>
      </c>
    </row>
    <row r="1062" spans="1:10" x14ac:dyDescent="0.3">
      <c r="A1062">
        <v>1144</v>
      </c>
      <c r="B1062" t="s">
        <v>1581</v>
      </c>
      <c r="C1062" t="s">
        <v>1202</v>
      </c>
      <c r="D1062" t="s">
        <v>1203</v>
      </c>
      <c r="E1062" t="s">
        <v>1204</v>
      </c>
      <c r="F1062">
        <v>6619</v>
      </c>
      <c r="G1062" t="s">
        <v>701</v>
      </c>
      <c r="H1062" t="s">
        <v>1585</v>
      </c>
      <c r="I1062" t="s">
        <v>1205</v>
      </c>
      <c r="J1062">
        <v>36.8266542</v>
      </c>
    </row>
    <row r="1063" spans="1:10" x14ac:dyDescent="0.3">
      <c r="A1063">
        <v>1144</v>
      </c>
      <c r="B1063" t="s">
        <v>1581</v>
      </c>
      <c r="C1063" t="s">
        <v>1202</v>
      </c>
      <c r="D1063" t="s">
        <v>1203</v>
      </c>
      <c r="E1063" t="s">
        <v>1204</v>
      </c>
      <c r="F1063">
        <v>6619</v>
      </c>
      <c r="G1063" t="s">
        <v>701</v>
      </c>
      <c r="I1063" t="s">
        <v>1205</v>
      </c>
      <c r="J1063">
        <v>9.20666355</v>
      </c>
    </row>
    <row r="1064" spans="1:10" x14ac:dyDescent="0.3">
      <c r="A1064">
        <v>1144</v>
      </c>
      <c r="B1064" t="s">
        <v>1581</v>
      </c>
      <c r="C1064" t="s">
        <v>1202</v>
      </c>
      <c r="D1064" t="s">
        <v>1203</v>
      </c>
      <c r="E1064" t="s">
        <v>1204</v>
      </c>
      <c r="F1064">
        <v>6619</v>
      </c>
      <c r="G1064" t="s">
        <v>700</v>
      </c>
      <c r="I1064" t="s">
        <v>1205</v>
      </c>
      <c r="J1064">
        <v>279.26879435000001</v>
      </c>
    </row>
    <row r="1065" spans="1:10" x14ac:dyDescent="0.3">
      <c r="A1065">
        <v>1144</v>
      </c>
      <c r="B1065" t="s">
        <v>1581</v>
      </c>
      <c r="C1065" t="s">
        <v>1202</v>
      </c>
      <c r="D1065" t="s">
        <v>1203</v>
      </c>
      <c r="E1065" t="s">
        <v>1204</v>
      </c>
      <c r="F1065">
        <v>6619</v>
      </c>
      <c r="G1065" t="s">
        <v>698</v>
      </c>
      <c r="I1065" t="s">
        <v>1205</v>
      </c>
      <c r="J1065">
        <v>196.40882239999999</v>
      </c>
    </row>
    <row r="1066" spans="1:10" x14ac:dyDescent="0.3">
      <c r="A1066">
        <v>1154</v>
      </c>
      <c r="B1066" t="s">
        <v>1586</v>
      </c>
      <c r="C1066" t="s">
        <v>1202</v>
      </c>
      <c r="D1066" t="s">
        <v>159</v>
      </c>
      <c r="E1066" t="s">
        <v>159</v>
      </c>
      <c r="F1066">
        <v>7784</v>
      </c>
      <c r="G1066" t="s">
        <v>687</v>
      </c>
      <c r="I1066" t="s">
        <v>1205</v>
      </c>
      <c r="J1066">
        <v>35</v>
      </c>
    </row>
    <row r="1067" spans="1:10" x14ac:dyDescent="0.3">
      <c r="A1067">
        <v>1154</v>
      </c>
      <c r="B1067" t="s">
        <v>1586</v>
      </c>
      <c r="C1067" t="s">
        <v>1202</v>
      </c>
      <c r="D1067" t="s">
        <v>159</v>
      </c>
      <c r="E1067" t="s">
        <v>159</v>
      </c>
      <c r="F1067">
        <v>7784</v>
      </c>
      <c r="G1067" t="s">
        <v>696</v>
      </c>
      <c r="I1067" t="s">
        <v>1205</v>
      </c>
      <c r="J1067">
        <v>12896</v>
      </c>
    </row>
    <row r="1068" spans="1:10" x14ac:dyDescent="0.3">
      <c r="A1068">
        <v>1154</v>
      </c>
      <c r="B1068" t="s">
        <v>1586</v>
      </c>
      <c r="C1068" t="s">
        <v>1202</v>
      </c>
      <c r="D1068" t="s">
        <v>159</v>
      </c>
      <c r="E1068" t="s">
        <v>159</v>
      </c>
      <c r="F1068">
        <v>7784</v>
      </c>
      <c r="G1068" t="s">
        <v>698</v>
      </c>
      <c r="I1068" t="s">
        <v>1205</v>
      </c>
      <c r="J1068">
        <v>8315</v>
      </c>
    </row>
    <row r="1069" spans="1:10" x14ac:dyDescent="0.3">
      <c r="A1069">
        <v>1154</v>
      </c>
      <c r="B1069" t="s">
        <v>1586</v>
      </c>
      <c r="C1069" t="s">
        <v>1202</v>
      </c>
      <c r="D1069" t="s">
        <v>159</v>
      </c>
      <c r="E1069" t="s">
        <v>159</v>
      </c>
      <c r="F1069">
        <v>7784</v>
      </c>
      <c r="G1069" t="s">
        <v>686</v>
      </c>
      <c r="I1069" t="s">
        <v>1205</v>
      </c>
      <c r="J1069">
        <v>1667</v>
      </c>
    </row>
    <row r="1070" spans="1:10" x14ac:dyDescent="0.3">
      <c r="A1070">
        <v>1154</v>
      </c>
      <c r="B1070" t="s">
        <v>1586</v>
      </c>
      <c r="C1070" t="s">
        <v>1202</v>
      </c>
      <c r="D1070" t="s">
        <v>159</v>
      </c>
      <c r="E1070" t="s">
        <v>159</v>
      </c>
      <c r="F1070">
        <v>7784</v>
      </c>
      <c r="G1070" t="s">
        <v>702</v>
      </c>
      <c r="I1070" t="s">
        <v>1205</v>
      </c>
      <c r="J1070">
        <v>2022</v>
      </c>
    </row>
    <row r="1071" spans="1:10" x14ac:dyDescent="0.3">
      <c r="A1071">
        <v>1154</v>
      </c>
      <c r="B1071" t="s">
        <v>1586</v>
      </c>
      <c r="C1071" t="s">
        <v>1202</v>
      </c>
      <c r="D1071" t="s">
        <v>159</v>
      </c>
      <c r="E1071" t="s">
        <v>159</v>
      </c>
      <c r="F1071">
        <v>7784</v>
      </c>
      <c r="G1071" t="s">
        <v>703</v>
      </c>
      <c r="I1071" t="s">
        <v>1205</v>
      </c>
      <c r="J1071">
        <v>806</v>
      </c>
    </row>
    <row r="1072" spans="1:10" x14ac:dyDescent="0.3">
      <c r="A1072">
        <v>1154</v>
      </c>
      <c r="B1072" t="s">
        <v>1586</v>
      </c>
      <c r="C1072" t="s">
        <v>1202</v>
      </c>
      <c r="D1072" t="s">
        <v>159</v>
      </c>
      <c r="E1072" t="s">
        <v>159</v>
      </c>
      <c r="F1072">
        <v>7784</v>
      </c>
      <c r="G1072" t="s">
        <v>700</v>
      </c>
      <c r="I1072" t="s">
        <v>1205</v>
      </c>
      <c r="J1072">
        <v>2877</v>
      </c>
    </row>
    <row r="1073" spans="1:10" x14ac:dyDescent="0.3">
      <c r="A1073">
        <v>1157</v>
      </c>
      <c r="B1073" t="s">
        <v>1587</v>
      </c>
      <c r="C1073" t="s">
        <v>1202</v>
      </c>
      <c r="D1073" t="s">
        <v>1203</v>
      </c>
      <c r="E1073" t="s">
        <v>1204</v>
      </c>
      <c r="F1073">
        <v>5829</v>
      </c>
      <c r="G1073" t="s">
        <v>696</v>
      </c>
      <c r="I1073" t="s">
        <v>1205</v>
      </c>
      <c r="J1073">
        <v>1574</v>
      </c>
    </row>
    <row r="1074" spans="1:10" x14ac:dyDescent="0.3">
      <c r="A1074">
        <v>1157</v>
      </c>
      <c r="B1074" t="s">
        <v>1587</v>
      </c>
      <c r="C1074" t="s">
        <v>1202</v>
      </c>
      <c r="D1074" t="s">
        <v>1203</v>
      </c>
      <c r="E1074" t="s">
        <v>1204</v>
      </c>
      <c r="F1074">
        <v>5829</v>
      </c>
      <c r="G1074" t="s">
        <v>686</v>
      </c>
      <c r="I1074" t="s">
        <v>1205</v>
      </c>
      <c r="J1074">
        <v>51</v>
      </c>
    </row>
    <row r="1075" spans="1:10" x14ac:dyDescent="0.3">
      <c r="A1075">
        <v>1157</v>
      </c>
      <c r="B1075" t="s">
        <v>1587</v>
      </c>
      <c r="C1075" t="s">
        <v>1202</v>
      </c>
      <c r="D1075" t="s">
        <v>1203</v>
      </c>
      <c r="E1075" t="s">
        <v>1204</v>
      </c>
      <c r="F1075">
        <v>5829</v>
      </c>
      <c r="G1075" t="s">
        <v>700</v>
      </c>
      <c r="H1075" t="s">
        <v>1588</v>
      </c>
      <c r="I1075" t="s">
        <v>1205</v>
      </c>
      <c r="J1075">
        <v>833</v>
      </c>
    </row>
    <row r="1076" spans="1:10" x14ac:dyDescent="0.3">
      <c r="A1076">
        <v>1157</v>
      </c>
      <c r="B1076" t="s">
        <v>1587</v>
      </c>
      <c r="C1076" t="s">
        <v>1202</v>
      </c>
      <c r="D1076" t="s">
        <v>1203</v>
      </c>
      <c r="E1076" t="s">
        <v>1204</v>
      </c>
      <c r="F1076">
        <v>5829</v>
      </c>
      <c r="G1076" t="s">
        <v>702</v>
      </c>
      <c r="I1076" t="s">
        <v>1205</v>
      </c>
      <c r="J1076">
        <v>319</v>
      </c>
    </row>
    <row r="1077" spans="1:10" x14ac:dyDescent="0.3">
      <c r="A1077">
        <v>1157</v>
      </c>
      <c r="B1077" t="s">
        <v>1587</v>
      </c>
      <c r="C1077" t="s">
        <v>1202</v>
      </c>
      <c r="D1077" t="s">
        <v>1203</v>
      </c>
      <c r="E1077" t="s">
        <v>1204</v>
      </c>
      <c r="F1077">
        <v>5829</v>
      </c>
      <c r="G1077" t="s">
        <v>698</v>
      </c>
      <c r="I1077" t="s">
        <v>1205</v>
      </c>
      <c r="J1077">
        <v>1114</v>
      </c>
    </row>
    <row r="1078" spans="1:10" x14ac:dyDescent="0.3">
      <c r="A1078">
        <v>1166</v>
      </c>
      <c r="B1078" t="s">
        <v>1589</v>
      </c>
      <c r="C1078" t="s">
        <v>1202</v>
      </c>
      <c r="D1078" t="s">
        <v>1203</v>
      </c>
      <c r="E1078" t="s">
        <v>1204</v>
      </c>
      <c r="F1078">
        <v>5919</v>
      </c>
      <c r="G1078" t="s">
        <v>691</v>
      </c>
      <c r="I1078" t="s">
        <v>1205</v>
      </c>
      <c r="J1078">
        <v>14043</v>
      </c>
    </row>
    <row r="1079" spans="1:10" x14ac:dyDescent="0.3">
      <c r="A1079">
        <v>1167</v>
      </c>
      <c r="B1079" t="s">
        <v>1590</v>
      </c>
      <c r="C1079" t="s">
        <v>1202</v>
      </c>
      <c r="D1079" t="s">
        <v>1203</v>
      </c>
      <c r="E1079" t="s">
        <v>1204</v>
      </c>
      <c r="F1079">
        <v>5831</v>
      </c>
      <c r="G1079" t="s">
        <v>691</v>
      </c>
      <c r="H1079" t="s">
        <v>1591</v>
      </c>
      <c r="I1079" t="s">
        <v>1205</v>
      </c>
      <c r="J1079">
        <v>2947</v>
      </c>
    </row>
    <row r="1080" spans="1:10" x14ac:dyDescent="0.3">
      <c r="A1080">
        <v>1181</v>
      </c>
      <c r="B1080" t="s">
        <v>1592</v>
      </c>
      <c r="C1080" t="s">
        <v>1202</v>
      </c>
      <c r="D1080" t="s">
        <v>1203</v>
      </c>
      <c r="E1080" t="s">
        <v>1204</v>
      </c>
      <c r="F1080">
        <v>5959</v>
      </c>
      <c r="G1080" t="s">
        <v>703</v>
      </c>
      <c r="H1080" s="335">
        <v>1.2E-2</v>
      </c>
      <c r="I1080" t="s">
        <v>1205</v>
      </c>
      <c r="J1080">
        <v>34</v>
      </c>
    </row>
    <row r="1081" spans="1:10" x14ac:dyDescent="0.3">
      <c r="A1081">
        <v>1181</v>
      </c>
      <c r="B1081" t="s">
        <v>1592</v>
      </c>
      <c r="C1081" t="s">
        <v>1202</v>
      </c>
      <c r="D1081" t="s">
        <v>1203</v>
      </c>
      <c r="E1081" t="s">
        <v>1204</v>
      </c>
      <c r="F1081">
        <v>5959</v>
      </c>
      <c r="G1081" t="s">
        <v>686</v>
      </c>
      <c r="H1081" s="335">
        <v>5.5E-2</v>
      </c>
      <c r="I1081" t="s">
        <v>1205</v>
      </c>
      <c r="J1081">
        <v>163</v>
      </c>
    </row>
    <row r="1082" spans="1:10" x14ac:dyDescent="0.3">
      <c r="A1082">
        <v>1181</v>
      </c>
      <c r="B1082" t="s">
        <v>1592</v>
      </c>
      <c r="C1082" t="s">
        <v>1202</v>
      </c>
      <c r="D1082" t="s">
        <v>1203</v>
      </c>
      <c r="E1082" t="s">
        <v>1204</v>
      </c>
      <c r="F1082">
        <v>5959</v>
      </c>
      <c r="G1082" t="s">
        <v>702</v>
      </c>
      <c r="H1082" s="335">
        <v>0.02</v>
      </c>
      <c r="I1082" t="s">
        <v>1205</v>
      </c>
      <c r="J1082">
        <v>60</v>
      </c>
    </row>
    <row r="1083" spans="1:10" x14ac:dyDescent="0.3">
      <c r="A1083">
        <v>1181</v>
      </c>
      <c r="B1083" t="s">
        <v>1592</v>
      </c>
      <c r="C1083" t="s">
        <v>1202</v>
      </c>
      <c r="D1083" t="s">
        <v>1203</v>
      </c>
      <c r="E1083" t="s">
        <v>1204</v>
      </c>
      <c r="F1083">
        <v>5959</v>
      </c>
      <c r="G1083" t="s">
        <v>700</v>
      </c>
      <c r="H1083" s="335">
        <v>3.0000000000000001E-3</v>
      </c>
      <c r="I1083" t="s">
        <v>1205</v>
      </c>
      <c r="J1083">
        <v>10</v>
      </c>
    </row>
    <row r="1084" spans="1:10" x14ac:dyDescent="0.3">
      <c r="A1084">
        <v>1181</v>
      </c>
      <c r="B1084" t="s">
        <v>1592</v>
      </c>
      <c r="C1084" t="s">
        <v>1202</v>
      </c>
      <c r="D1084" t="s">
        <v>1203</v>
      </c>
      <c r="E1084" t="s">
        <v>1204</v>
      </c>
      <c r="F1084">
        <v>5959</v>
      </c>
      <c r="G1084" t="s">
        <v>696</v>
      </c>
      <c r="H1084" s="335">
        <v>0.91</v>
      </c>
      <c r="I1084" t="s">
        <v>1205</v>
      </c>
      <c r="J1084">
        <v>2715</v>
      </c>
    </row>
    <row r="1085" spans="1:10" x14ac:dyDescent="0.3">
      <c r="A1085">
        <v>1188</v>
      </c>
      <c r="B1085" t="s">
        <v>1593</v>
      </c>
      <c r="C1085" t="s">
        <v>1202</v>
      </c>
      <c r="D1085" t="s">
        <v>159</v>
      </c>
      <c r="E1085" t="s">
        <v>159</v>
      </c>
      <c r="F1085">
        <v>7794</v>
      </c>
      <c r="G1085" t="s">
        <v>696</v>
      </c>
      <c r="I1085" t="s">
        <v>1205</v>
      </c>
      <c r="J1085">
        <v>1805</v>
      </c>
    </row>
    <row r="1086" spans="1:10" x14ac:dyDescent="0.3">
      <c r="A1086">
        <v>1188</v>
      </c>
      <c r="B1086" t="s">
        <v>1593</v>
      </c>
      <c r="C1086" t="s">
        <v>1202</v>
      </c>
      <c r="D1086" t="s">
        <v>159</v>
      </c>
      <c r="E1086" t="s">
        <v>159</v>
      </c>
      <c r="F1086">
        <v>7794</v>
      </c>
      <c r="G1086" t="s">
        <v>698</v>
      </c>
      <c r="I1086" t="s">
        <v>1205</v>
      </c>
      <c r="J1086">
        <v>322</v>
      </c>
    </row>
    <row r="1087" spans="1:10" x14ac:dyDescent="0.3">
      <c r="A1087">
        <v>1188</v>
      </c>
      <c r="B1087" t="s">
        <v>1593</v>
      </c>
      <c r="C1087" t="s">
        <v>1202</v>
      </c>
      <c r="D1087" t="s">
        <v>159</v>
      </c>
      <c r="E1087" t="s">
        <v>159</v>
      </c>
      <c r="F1087">
        <v>7794</v>
      </c>
      <c r="G1087" t="s">
        <v>700</v>
      </c>
      <c r="I1087" t="s">
        <v>1205</v>
      </c>
      <c r="J1087">
        <v>480</v>
      </c>
    </row>
    <row r="1088" spans="1:10" x14ac:dyDescent="0.3">
      <c r="A1088">
        <v>1188</v>
      </c>
      <c r="B1088" t="s">
        <v>1593</v>
      </c>
      <c r="C1088" t="s">
        <v>1202</v>
      </c>
      <c r="D1088" t="s">
        <v>159</v>
      </c>
      <c r="E1088" t="s">
        <v>159</v>
      </c>
      <c r="F1088">
        <v>7794</v>
      </c>
      <c r="G1088" t="s">
        <v>701</v>
      </c>
      <c r="I1088" t="s">
        <v>1205</v>
      </c>
      <c r="J1088">
        <v>126</v>
      </c>
    </row>
    <row r="1089" spans="1:10" x14ac:dyDescent="0.3">
      <c r="A1089">
        <v>1188</v>
      </c>
      <c r="B1089" t="s">
        <v>1593</v>
      </c>
      <c r="C1089" t="s">
        <v>1202</v>
      </c>
      <c r="D1089" t="s">
        <v>159</v>
      </c>
      <c r="E1089" t="s">
        <v>159</v>
      </c>
      <c r="F1089">
        <v>7794</v>
      </c>
      <c r="G1089" t="s">
        <v>686</v>
      </c>
      <c r="H1089" t="s">
        <v>1594</v>
      </c>
      <c r="I1089" t="s">
        <v>1210</v>
      </c>
      <c r="J1089">
        <v>265</v>
      </c>
    </row>
    <row r="1090" spans="1:10" x14ac:dyDescent="0.3">
      <c r="A1090">
        <v>1188</v>
      </c>
      <c r="B1090" t="s">
        <v>1593</v>
      </c>
      <c r="C1090" t="s">
        <v>1202</v>
      </c>
      <c r="D1090" t="s">
        <v>159</v>
      </c>
      <c r="E1090" t="s">
        <v>159</v>
      </c>
      <c r="F1090">
        <v>7794</v>
      </c>
      <c r="G1090" t="s">
        <v>687</v>
      </c>
      <c r="I1090" t="s">
        <v>1216</v>
      </c>
      <c r="J1090">
        <v>28</v>
      </c>
    </row>
    <row r="1091" spans="1:10" x14ac:dyDescent="0.3">
      <c r="A1091">
        <v>1188</v>
      </c>
      <c r="B1091" t="s">
        <v>1593</v>
      </c>
      <c r="C1091" t="s">
        <v>1202</v>
      </c>
      <c r="D1091" t="s">
        <v>159</v>
      </c>
      <c r="E1091" t="s">
        <v>159</v>
      </c>
      <c r="F1091">
        <v>7794</v>
      </c>
      <c r="G1091" t="s">
        <v>692</v>
      </c>
      <c r="I1091" t="s">
        <v>1216</v>
      </c>
      <c r="J1091">
        <v>100</v>
      </c>
    </row>
    <row r="1092" spans="1:10" x14ac:dyDescent="0.3">
      <c r="A1092">
        <v>1188</v>
      </c>
      <c r="B1092" t="s">
        <v>1593</v>
      </c>
      <c r="C1092" t="s">
        <v>1202</v>
      </c>
      <c r="D1092" t="s">
        <v>159</v>
      </c>
      <c r="E1092" t="s">
        <v>159</v>
      </c>
      <c r="F1092">
        <v>7794</v>
      </c>
      <c r="G1092" t="s">
        <v>702</v>
      </c>
      <c r="I1092" t="s">
        <v>1205</v>
      </c>
      <c r="J1092">
        <v>278</v>
      </c>
    </row>
    <row r="1093" spans="1:10" x14ac:dyDescent="0.3">
      <c r="A1093">
        <v>1210</v>
      </c>
      <c r="B1093" t="s">
        <v>1595</v>
      </c>
      <c r="C1093" t="s">
        <v>1202</v>
      </c>
      <c r="D1093" t="s">
        <v>159</v>
      </c>
      <c r="E1093" t="s">
        <v>159</v>
      </c>
      <c r="F1093">
        <v>7824</v>
      </c>
      <c r="G1093" t="s">
        <v>698</v>
      </c>
      <c r="I1093" t="s">
        <v>1205</v>
      </c>
      <c r="J1093">
        <v>159.58216820000001</v>
      </c>
    </row>
    <row r="1094" spans="1:10" x14ac:dyDescent="0.3">
      <c r="A1094">
        <v>1210</v>
      </c>
      <c r="B1094" t="s">
        <v>1595</v>
      </c>
      <c r="C1094" t="s">
        <v>1202</v>
      </c>
      <c r="D1094" t="s">
        <v>159</v>
      </c>
      <c r="E1094" t="s">
        <v>159</v>
      </c>
      <c r="F1094">
        <v>7824</v>
      </c>
      <c r="G1094" t="s">
        <v>702</v>
      </c>
      <c r="I1094" t="s">
        <v>1205</v>
      </c>
      <c r="J1094">
        <v>9.20666355</v>
      </c>
    </row>
    <row r="1095" spans="1:10" x14ac:dyDescent="0.3">
      <c r="A1095">
        <v>1210</v>
      </c>
      <c r="B1095" t="s">
        <v>1595</v>
      </c>
      <c r="C1095" t="s">
        <v>1202</v>
      </c>
      <c r="D1095" t="s">
        <v>159</v>
      </c>
      <c r="E1095" t="s">
        <v>159</v>
      </c>
      <c r="F1095">
        <v>7824</v>
      </c>
      <c r="G1095" t="s">
        <v>686</v>
      </c>
      <c r="I1095" t="s">
        <v>1205</v>
      </c>
      <c r="J1095">
        <v>555.46870085</v>
      </c>
    </row>
    <row r="1096" spans="1:10" x14ac:dyDescent="0.3">
      <c r="A1096">
        <v>1210</v>
      </c>
      <c r="B1096" t="s">
        <v>1595</v>
      </c>
      <c r="C1096" t="s">
        <v>1202</v>
      </c>
      <c r="D1096" t="s">
        <v>159</v>
      </c>
      <c r="E1096" t="s">
        <v>159</v>
      </c>
      <c r="F1096">
        <v>7824</v>
      </c>
      <c r="G1096" t="s">
        <v>696</v>
      </c>
      <c r="I1096" t="s">
        <v>1205</v>
      </c>
      <c r="J1096">
        <v>1163.10849515</v>
      </c>
    </row>
    <row r="1097" spans="1:10" x14ac:dyDescent="0.3">
      <c r="A1097">
        <v>1210</v>
      </c>
      <c r="B1097" t="s">
        <v>1595</v>
      </c>
      <c r="C1097" t="s">
        <v>1202</v>
      </c>
      <c r="D1097" t="s">
        <v>159</v>
      </c>
      <c r="E1097" t="s">
        <v>159</v>
      </c>
      <c r="F1097">
        <v>7824</v>
      </c>
      <c r="G1097" t="s">
        <v>700</v>
      </c>
      <c r="I1097" t="s">
        <v>1205</v>
      </c>
      <c r="J1097">
        <v>144.23772894999999</v>
      </c>
    </row>
    <row r="1098" spans="1:10" x14ac:dyDescent="0.3">
      <c r="A1098">
        <v>1215</v>
      </c>
      <c r="B1098" t="s">
        <v>1596</v>
      </c>
      <c r="C1098" t="s">
        <v>1202</v>
      </c>
      <c r="D1098" t="s">
        <v>1203</v>
      </c>
      <c r="E1098" t="s">
        <v>1204</v>
      </c>
      <c r="F1098">
        <v>5592</v>
      </c>
      <c r="G1098" t="s">
        <v>696</v>
      </c>
      <c r="I1098" t="s">
        <v>1205</v>
      </c>
      <c r="J1098">
        <v>12197</v>
      </c>
    </row>
    <row r="1099" spans="1:10" x14ac:dyDescent="0.3">
      <c r="A1099">
        <v>1215</v>
      </c>
      <c r="B1099" t="s">
        <v>1596</v>
      </c>
      <c r="C1099" t="s">
        <v>1202</v>
      </c>
      <c r="D1099" t="s">
        <v>1203</v>
      </c>
      <c r="E1099" t="s">
        <v>1204</v>
      </c>
      <c r="F1099">
        <v>5592</v>
      </c>
      <c r="G1099" t="s">
        <v>686</v>
      </c>
      <c r="H1099" t="s">
        <v>1227</v>
      </c>
      <c r="I1099" t="s">
        <v>1205</v>
      </c>
      <c r="J1099">
        <v>1638</v>
      </c>
    </row>
    <row r="1100" spans="1:10" x14ac:dyDescent="0.3">
      <c r="A1100">
        <v>1215</v>
      </c>
      <c r="B1100" t="s">
        <v>1596</v>
      </c>
      <c r="C1100" t="s">
        <v>1202</v>
      </c>
      <c r="D1100" t="s">
        <v>1203</v>
      </c>
      <c r="E1100" t="s">
        <v>1204</v>
      </c>
      <c r="F1100">
        <v>5592</v>
      </c>
      <c r="G1100" t="s">
        <v>702</v>
      </c>
      <c r="H1100" t="s">
        <v>1282</v>
      </c>
      <c r="I1100" t="s">
        <v>1205</v>
      </c>
      <c r="J1100">
        <v>2141</v>
      </c>
    </row>
    <row r="1101" spans="1:10" x14ac:dyDescent="0.3">
      <c r="A1101">
        <v>1215</v>
      </c>
      <c r="B1101" t="s">
        <v>1596</v>
      </c>
      <c r="C1101" t="s">
        <v>1202</v>
      </c>
      <c r="D1101" t="s">
        <v>1203</v>
      </c>
      <c r="E1101" t="s">
        <v>1204</v>
      </c>
      <c r="F1101">
        <v>5592</v>
      </c>
      <c r="G1101" t="s">
        <v>701</v>
      </c>
      <c r="I1101" t="s">
        <v>1205</v>
      </c>
      <c r="J1101">
        <v>612</v>
      </c>
    </row>
    <row r="1102" spans="1:10" x14ac:dyDescent="0.3">
      <c r="A1102">
        <v>1215</v>
      </c>
      <c r="B1102" t="s">
        <v>1596</v>
      </c>
      <c r="C1102" t="s">
        <v>1202</v>
      </c>
      <c r="D1102" t="s">
        <v>1203</v>
      </c>
      <c r="E1102" t="s">
        <v>1204</v>
      </c>
      <c r="F1102">
        <v>5592</v>
      </c>
      <c r="G1102" t="s">
        <v>700</v>
      </c>
      <c r="I1102" t="s">
        <v>1205</v>
      </c>
      <c r="J1102">
        <v>3240</v>
      </c>
    </row>
    <row r="1103" spans="1:10" x14ac:dyDescent="0.3">
      <c r="A1103">
        <v>1215</v>
      </c>
      <c r="B1103" t="s">
        <v>1596</v>
      </c>
      <c r="C1103" t="s">
        <v>1202</v>
      </c>
      <c r="D1103" t="s">
        <v>1203</v>
      </c>
      <c r="E1103" t="s">
        <v>1204</v>
      </c>
      <c r="F1103">
        <v>5592</v>
      </c>
      <c r="G1103" t="s">
        <v>703</v>
      </c>
      <c r="H1103" t="s">
        <v>1597</v>
      </c>
      <c r="I1103" t="s">
        <v>1205</v>
      </c>
      <c r="J1103">
        <v>130</v>
      </c>
    </row>
    <row r="1104" spans="1:10" x14ac:dyDescent="0.3">
      <c r="A1104">
        <v>1215</v>
      </c>
      <c r="B1104" t="s">
        <v>1596</v>
      </c>
      <c r="C1104" t="s">
        <v>1202</v>
      </c>
      <c r="D1104" t="s">
        <v>1203</v>
      </c>
      <c r="E1104" t="s">
        <v>1204</v>
      </c>
      <c r="F1104">
        <v>5592</v>
      </c>
      <c r="G1104" t="s">
        <v>698</v>
      </c>
      <c r="I1104" t="s">
        <v>1205</v>
      </c>
      <c r="J1104">
        <v>6009</v>
      </c>
    </row>
    <row r="1105" spans="1:10" x14ac:dyDescent="0.3">
      <c r="A1105">
        <v>1217</v>
      </c>
      <c r="B1105" t="s">
        <v>1598</v>
      </c>
      <c r="C1105" t="s">
        <v>1202</v>
      </c>
      <c r="D1105" t="s">
        <v>159</v>
      </c>
      <c r="E1105" t="s">
        <v>159</v>
      </c>
      <c r="F1105">
        <v>5609</v>
      </c>
      <c r="G1105" t="s">
        <v>686</v>
      </c>
      <c r="I1105" t="s">
        <v>1205</v>
      </c>
      <c r="J1105">
        <v>286</v>
      </c>
    </row>
    <row r="1106" spans="1:10" x14ac:dyDescent="0.3">
      <c r="A1106">
        <v>1217</v>
      </c>
      <c r="B1106" t="s">
        <v>1598</v>
      </c>
      <c r="C1106" t="s">
        <v>1202</v>
      </c>
      <c r="D1106" t="s">
        <v>159</v>
      </c>
      <c r="E1106" t="s">
        <v>159</v>
      </c>
      <c r="F1106">
        <v>5609</v>
      </c>
      <c r="G1106" t="s">
        <v>696</v>
      </c>
      <c r="I1106" t="s">
        <v>1205</v>
      </c>
      <c r="J1106">
        <v>881</v>
      </c>
    </row>
    <row r="1107" spans="1:10" x14ac:dyDescent="0.3">
      <c r="A1107">
        <v>1217</v>
      </c>
      <c r="B1107" t="s">
        <v>1598</v>
      </c>
      <c r="C1107" t="s">
        <v>1202</v>
      </c>
      <c r="D1107" t="s">
        <v>159</v>
      </c>
      <c r="E1107" t="s">
        <v>159</v>
      </c>
      <c r="F1107">
        <v>5609</v>
      </c>
      <c r="G1107" t="s">
        <v>698</v>
      </c>
      <c r="I1107" t="s">
        <v>1205</v>
      </c>
      <c r="J1107">
        <v>2135</v>
      </c>
    </row>
    <row r="1108" spans="1:10" x14ac:dyDescent="0.3">
      <c r="A1108">
        <v>1217</v>
      </c>
      <c r="B1108" t="s">
        <v>1598</v>
      </c>
      <c r="C1108" t="s">
        <v>1202</v>
      </c>
      <c r="D1108" t="s">
        <v>159</v>
      </c>
      <c r="E1108" t="s">
        <v>159</v>
      </c>
      <c r="F1108">
        <v>5609</v>
      </c>
      <c r="G1108" t="s">
        <v>700</v>
      </c>
      <c r="I1108" t="s">
        <v>1205</v>
      </c>
      <c r="J1108">
        <v>979</v>
      </c>
    </row>
    <row r="1109" spans="1:10" x14ac:dyDescent="0.3">
      <c r="A1109">
        <v>1217</v>
      </c>
      <c r="B1109" t="s">
        <v>1598</v>
      </c>
      <c r="C1109" t="s">
        <v>1202</v>
      </c>
      <c r="D1109" t="s">
        <v>159</v>
      </c>
      <c r="E1109" t="s">
        <v>159</v>
      </c>
      <c r="F1109">
        <v>5609</v>
      </c>
      <c r="G1109" t="s">
        <v>703</v>
      </c>
      <c r="H1109" t="s">
        <v>1562</v>
      </c>
      <c r="I1109" t="s">
        <v>1205</v>
      </c>
      <c r="J1109">
        <v>76</v>
      </c>
    </row>
    <row r="1110" spans="1:10" x14ac:dyDescent="0.3">
      <c r="A1110">
        <v>1225</v>
      </c>
      <c r="B1110" t="s">
        <v>1599</v>
      </c>
      <c r="C1110" t="s">
        <v>1202</v>
      </c>
      <c r="D1110" t="s">
        <v>1203</v>
      </c>
      <c r="E1110" t="s">
        <v>1204</v>
      </c>
      <c r="F1110">
        <v>7664</v>
      </c>
      <c r="G1110" t="s">
        <v>686</v>
      </c>
      <c r="J1110">
        <v>343.71543919999999</v>
      </c>
    </row>
    <row r="1111" spans="1:10" x14ac:dyDescent="0.3">
      <c r="A1111">
        <v>1225</v>
      </c>
      <c r="B1111" t="s">
        <v>1599</v>
      </c>
      <c r="C1111" t="s">
        <v>1202</v>
      </c>
      <c r="D1111" t="s">
        <v>1203</v>
      </c>
      <c r="E1111" t="s">
        <v>1204</v>
      </c>
      <c r="F1111">
        <v>7664</v>
      </c>
      <c r="G1111" t="s">
        <v>687</v>
      </c>
      <c r="J1111">
        <v>3.0688878499999999</v>
      </c>
    </row>
    <row r="1112" spans="1:10" x14ac:dyDescent="0.3">
      <c r="A1112">
        <v>1225</v>
      </c>
      <c r="B1112" t="s">
        <v>1599</v>
      </c>
      <c r="C1112" t="s">
        <v>1202</v>
      </c>
      <c r="D1112" t="s">
        <v>1203</v>
      </c>
      <c r="E1112" t="s">
        <v>1204</v>
      </c>
      <c r="F1112">
        <v>7664</v>
      </c>
      <c r="G1112" t="s">
        <v>702</v>
      </c>
      <c r="H1112" t="s">
        <v>1275</v>
      </c>
      <c r="J1112">
        <v>52.171093450000001</v>
      </c>
    </row>
    <row r="1113" spans="1:10" x14ac:dyDescent="0.3">
      <c r="A1113">
        <v>1225</v>
      </c>
      <c r="B1113" t="s">
        <v>1599</v>
      </c>
      <c r="C1113" t="s">
        <v>1202</v>
      </c>
      <c r="D1113" t="s">
        <v>1203</v>
      </c>
      <c r="E1113" t="s">
        <v>1204</v>
      </c>
      <c r="F1113">
        <v>7664</v>
      </c>
      <c r="G1113" t="s">
        <v>701</v>
      </c>
      <c r="J1113">
        <v>0</v>
      </c>
    </row>
    <row r="1114" spans="1:10" x14ac:dyDescent="0.3">
      <c r="A1114">
        <v>1225</v>
      </c>
      <c r="B1114" t="s">
        <v>1599</v>
      </c>
      <c r="C1114" t="s">
        <v>1202</v>
      </c>
      <c r="D1114" t="s">
        <v>1203</v>
      </c>
      <c r="E1114" t="s">
        <v>1204</v>
      </c>
      <c r="F1114">
        <v>7664</v>
      </c>
      <c r="G1114" t="s">
        <v>700</v>
      </c>
      <c r="H1114" t="s">
        <v>1272</v>
      </c>
      <c r="J1114">
        <v>227.09770090000001</v>
      </c>
    </row>
    <row r="1115" spans="1:10" x14ac:dyDescent="0.3">
      <c r="A1115">
        <v>1225</v>
      </c>
      <c r="B1115" t="s">
        <v>1599</v>
      </c>
      <c r="C1115" t="s">
        <v>1202</v>
      </c>
      <c r="D1115" t="s">
        <v>1203</v>
      </c>
      <c r="E1115" t="s">
        <v>1204</v>
      </c>
      <c r="F1115">
        <v>7664</v>
      </c>
      <c r="G1115" t="s">
        <v>698</v>
      </c>
      <c r="J1115">
        <v>131.96217755000001</v>
      </c>
    </row>
    <row r="1116" spans="1:10" x14ac:dyDescent="0.3">
      <c r="A1116">
        <v>1225</v>
      </c>
      <c r="B1116" t="s">
        <v>1599</v>
      </c>
      <c r="C1116" t="s">
        <v>1202</v>
      </c>
      <c r="D1116" t="s">
        <v>1203</v>
      </c>
      <c r="E1116" t="s">
        <v>1204</v>
      </c>
      <c r="F1116">
        <v>7664</v>
      </c>
      <c r="G1116" t="s">
        <v>696</v>
      </c>
      <c r="J1116">
        <v>2317.0103267499999</v>
      </c>
    </row>
    <row r="1117" spans="1:10" x14ac:dyDescent="0.3">
      <c r="A1117">
        <v>1234</v>
      </c>
      <c r="B1117" t="s">
        <v>1600</v>
      </c>
      <c r="C1117" t="s">
        <v>1202</v>
      </c>
      <c r="D1117" t="s">
        <v>1203</v>
      </c>
      <c r="E1117" t="s">
        <v>1204</v>
      </c>
      <c r="F1117">
        <v>5993</v>
      </c>
      <c r="G1117" t="s">
        <v>686</v>
      </c>
      <c r="I1117" t="s">
        <v>1205</v>
      </c>
      <c r="J1117">
        <v>573</v>
      </c>
    </row>
    <row r="1118" spans="1:10" x14ac:dyDescent="0.3">
      <c r="A1118">
        <v>1234</v>
      </c>
      <c r="B1118" t="s">
        <v>1600</v>
      </c>
      <c r="C1118" t="s">
        <v>1202</v>
      </c>
      <c r="D1118" t="s">
        <v>1203</v>
      </c>
      <c r="E1118" t="s">
        <v>1204</v>
      </c>
      <c r="F1118">
        <v>5993</v>
      </c>
      <c r="G1118" t="s">
        <v>691</v>
      </c>
      <c r="H1118" t="s">
        <v>1601</v>
      </c>
      <c r="I1118" t="s">
        <v>1205</v>
      </c>
      <c r="J1118">
        <v>308</v>
      </c>
    </row>
    <row r="1119" spans="1:10" x14ac:dyDescent="0.3">
      <c r="A1119">
        <v>1234</v>
      </c>
      <c r="B1119" t="s">
        <v>1600</v>
      </c>
      <c r="C1119" t="s">
        <v>1202</v>
      </c>
      <c r="D1119" t="s">
        <v>1203</v>
      </c>
      <c r="E1119" t="s">
        <v>1204</v>
      </c>
      <c r="F1119">
        <v>5993</v>
      </c>
      <c r="G1119" t="s">
        <v>700</v>
      </c>
      <c r="H1119" t="s">
        <v>1602</v>
      </c>
      <c r="I1119" t="s">
        <v>1205</v>
      </c>
      <c r="J1119">
        <v>547</v>
      </c>
    </row>
    <row r="1120" spans="1:10" x14ac:dyDescent="0.3">
      <c r="A1120">
        <v>1234</v>
      </c>
      <c r="B1120" t="s">
        <v>1600</v>
      </c>
      <c r="C1120" t="s">
        <v>1202</v>
      </c>
      <c r="D1120" t="s">
        <v>1203</v>
      </c>
      <c r="E1120" t="s">
        <v>1204</v>
      </c>
      <c r="F1120">
        <v>5993</v>
      </c>
      <c r="G1120" t="s">
        <v>698</v>
      </c>
      <c r="I1120" t="s">
        <v>1205</v>
      </c>
      <c r="J1120">
        <v>490</v>
      </c>
    </row>
    <row r="1121" spans="1:10" x14ac:dyDescent="0.3">
      <c r="A1121">
        <v>1234</v>
      </c>
      <c r="B1121" t="s">
        <v>1600</v>
      </c>
      <c r="C1121" t="s">
        <v>1202</v>
      </c>
      <c r="D1121" t="s">
        <v>1203</v>
      </c>
      <c r="E1121" t="s">
        <v>1204</v>
      </c>
      <c r="F1121">
        <v>5993</v>
      </c>
      <c r="G1121" t="s">
        <v>696</v>
      </c>
      <c r="I1121" t="s">
        <v>1205</v>
      </c>
      <c r="J1121">
        <v>4393</v>
      </c>
    </row>
    <row r="1122" spans="1:10" x14ac:dyDescent="0.3">
      <c r="A1122">
        <v>1236</v>
      </c>
      <c r="B1122" t="s">
        <v>1603</v>
      </c>
      <c r="C1122" t="s">
        <v>1202</v>
      </c>
      <c r="D1122" t="s">
        <v>1203</v>
      </c>
      <c r="E1122" t="s">
        <v>1204</v>
      </c>
      <c r="F1122">
        <v>5698</v>
      </c>
      <c r="G1122" t="s">
        <v>701</v>
      </c>
      <c r="I1122" t="s">
        <v>1205</v>
      </c>
      <c r="J1122">
        <v>136</v>
      </c>
    </row>
    <row r="1123" spans="1:10" x14ac:dyDescent="0.3">
      <c r="A1123">
        <v>1236</v>
      </c>
      <c r="B1123" t="s">
        <v>1603</v>
      </c>
      <c r="C1123" t="s">
        <v>1202</v>
      </c>
      <c r="D1123" t="s">
        <v>1203</v>
      </c>
      <c r="E1123" t="s">
        <v>1204</v>
      </c>
      <c r="F1123">
        <v>5698</v>
      </c>
      <c r="G1123" t="s">
        <v>702</v>
      </c>
      <c r="I1123" t="s">
        <v>1205</v>
      </c>
      <c r="J1123">
        <v>2033</v>
      </c>
    </row>
    <row r="1124" spans="1:10" x14ac:dyDescent="0.3">
      <c r="A1124">
        <v>1236</v>
      </c>
      <c r="B1124" t="s">
        <v>1603</v>
      </c>
      <c r="C1124" t="s">
        <v>1202</v>
      </c>
      <c r="D1124" t="s">
        <v>1203</v>
      </c>
      <c r="E1124" t="s">
        <v>1204</v>
      </c>
      <c r="F1124">
        <v>5698</v>
      </c>
      <c r="G1124" t="s">
        <v>687</v>
      </c>
      <c r="H1124" t="s">
        <v>1405</v>
      </c>
      <c r="I1124" t="s">
        <v>1205</v>
      </c>
      <c r="J1124">
        <v>3122</v>
      </c>
    </row>
    <row r="1125" spans="1:10" x14ac:dyDescent="0.3">
      <c r="A1125">
        <v>1236</v>
      </c>
      <c r="B1125" t="s">
        <v>1603</v>
      </c>
      <c r="C1125" t="s">
        <v>1202</v>
      </c>
      <c r="D1125" t="s">
        <v>1203</v>
      </c>
      <c r="E1125" t="s">
        <v>1204</v>
      </c>
      <c r="F1125">
        <v>5698</v>
      </c>
      <c r="G1125" t="s">
        <v>696</v>
      </c>
      <c r="I1125" t="s">
        <v>1205</v>
      </c>
      <c r="J1125">
        <v>10740</v>
      </c>
    </row>
    <row r="1126" spans="1:10" x14ac:dyDescent="0.3">
      <c r="A1126">
        <v>1236</v>
      </c>
      <c r="B1126" t="s">
        <v>1603</v>
      </c>
      <c r="C1126" t="s">
        <v>1202</v>
      </c>
      <c r="D1126" t="s">
        <v>1203</v>
      </c>
      <c r="E1126" t="s">
        <v>1204</v>
      </c>
      <c r="F1126">
        <v>5698</v>
      </c>
      <c r="G1126" t="s">
        <v>698</v>
      </c>
      <c r="I1126" t="s">
        <v>1205</v>
      </c>
      <c r="J1126">
        <v>1714</v>
      </c>
    </row>
    <row r="1127" spans="1:10" x14ac:dyDescent="0.3">
      <c r="A1127">
        <v>1236</v>
      </c>
      <c r="B1127" t="s">
        <v>1603</v>
      </c>
      <c r="C1127" t="s">
        <v>1202</v>
      </c>
      <c r="D1127" t="s">
        <v>1203</v>
      </c>
      <c r="E1127" t="s">
        <v>1204</v>
      </c>
      <c r="F1127">
        <v>5698</v>
      </c>
      <c r="G1127" t="s">
        <v>700</v>
      </c>
      <c r="H1127" t="s">
        <v>1404</v>
      </c>
      <c r="I1127" t="s">
        <v>1205</v>
      </c>
      <c r="J1127">
        <v>2134</v>
      </c>
    </row>
    <row r="1128" spans="1:10" x14ac:dyDescent="0.3">
      <c r="A1128">
        <v>1238</v>
      </c>
      <c r="B1128" t="s">
        <v>1604</v>
      </c>
      <c r="C1128" t="s">
        <v>1202</v>
      </c>
      <c r="D1128" t="s">
        <v>1203</v>
      </c>
      <c r="E1128" t="s">
        <v>1204</v>
      </c>
      <c r="F1128">
        <v>5920</v>
      </c>
      <c r="G1128" t="s">
        <v>701</v>
      </c>
      <c r="H1128" t="s">
        <v>701</v>
      </c>
      <c r="I1128" t="s">
        <v>1205</v>
      </c>
      <c r="J1128">
        <v>60</v>
      </c>
    </row>
    <row r="1129" spans="1:10" x14ac:dyDescent="0.3">
      <c r="A1129">
        <v>1238</v>
      </c>
      <c r="B1129" t="s">
        <v>1604</v>
      </c>
      <c r="C1129" t="s">
        <v>1202</v>
      </c>
      <c r="D1129" t="s">
        <v>1203</v>
      </c>
      <c r="E1129" t="s">
        <v>1204</v>
      </c>
      <c r="F1129">
        <v>5920</v>
      </c>
      <c r="G1129" t="s">
        <v>700</v>
      </c>
      <c r="H1129" t="s">
        <v>700</v>
      </c>
      <c r="I1129" t="s">
        <v>1205</v>
      </c>
      <c r="J1129">
        <v>2343</v>
      </c>
    </row>
    <row r="1130" spans="1:10" x14ac:dyDescent="0.3">
      <c r="A1130">
        <v>1238</v>
      </c>
      <c r="B1130" t="s">
        <v>1604</v>
      </c>
      <c r="C1130" t="s">
        <v>1202</v>
      </c>
      <c r="D1130" t="s">
        <v>1203</v>
      </c>
      <c r="E1130" t="s">
        <v>1204</v>
      </c>
      <c r="F1130">
        <v>5920</v>
      </c>
      <c r="G1130" t="s">
        <v>703</v>
      </c>
      <c r="H1130" t="s">
        <v>1414</v>
      </c>
      <c r="I1130" t="s">
        <v>1205</v>
      </c>
      <c r="J1130">
        <v>113</v>
      </c>
    </row>
    <row r="1131" spans="1:10" x14ac:dyDescent="0.3">
      <c r="A1131">
        <v>1238</v>
      </c>
      <c r="B1131" t="s">
        <v>1604</v>
      </c>
      <c r="C1131" t="s">
        <v>1202</v>
      </c>
      <c r="D1131" t="s">
        <v>1203</v>
      </c>
      <c r="E1131" t="s">
        <v>1204</v>
      </c>
      <c r="F1131">
        <v>5920</v>
      </c>
      <c r="G1131" t="s">
        <v>686</v>
      </c>
      <c r="H1131" t="s">
        <v>686</v>
      </c>
      <c r="I1131" t="s">
        <v>1205</v>
      </c>
      <c r="J1131">
        <v>275</v>
      </c>
    </row>
    <row r="1132" spans="1:10" x14ac:dyDescent="0.3">
      <c r="A1132">
        <v>1238</v>
      </c>
      <c r="B1132" t="s">
        <v>1604</v>
      </c>
      <c r="C1132" t="s">
        <v>1202</v>
      </c>
      <c r="D1132" t="s">
        <v>1203</v>
      </c>
      <c r="E1132" t="s">
        <v>1204</v>
      </c>
      <c r="F1132">
        <v>5920</v>
      </c>
      <c r="G1132" t="s">
        <v>687</v>
      </c>
      <c r="H1132" t="s">
        <v>1605</v>
      </c>
      <c r="I1132" t="s">
        <v>1205</v>
      </c>
      <c r="J1132">
        <v>6337</v>
      </c>
    </row>
    <row r="1133" spans="1:10" x14ac:dyDescent="0.3">
      <c r="A1133">
        <v>1238</v>
      </c>
      <c r="B1133" t="s">
        <v>1604</v>
      </c>
      <c r="C1133" t="s">
        <v>1202</v>
      </c>
      <c r="D1133" t="s">
        <v>1203</v>
      </c>
      <c r="E1133" t="s">
        <v>1204</v>
      </c>
      <c r="F1133">
        <v>5920</v>
      </c>
      <c r="G1133" t="s">
        <v>687</v>
      </c>
      <c r="H1133" t="s">
        <v>1410</v>
      </c>
      <c r="I1133" t="s">
        <v>1205</v>
      </c>
      <c r="J1133">
        <v>4</v>
      </c>
    </row>
    <row r="1134" spans="1:10" x14ac:dyDescent="0.3">
      <c r="A1134">
        <v>1245</v>
      </c>
      <c r="B1134" t="s">
        <v>1606</v>
      </c>
      <c r="C1134" t="s">
        <v>1202</v>
      </c>
      <c r="D1134" t="s">
        <v>1203</v>
      </c>
      <c r="E1134" t="s">
        <v>1204</v>
      </c>
      <c r="F1134">
        <v>8089</v>
      </c>
      <c r="G1134" t="s">
        <v>691</v>
      </c>
      <c r="I1134" t="s">
        <v>1205</v>
      </c>
      <c r="J1134">
        <v>238</v>
      </c>
    </row>
    <row r="1135" spans="1:10" x14ac:dyDescent="0.3">
      <c r="A1135">
        <v>1245</v>
      </c>
      <c r="B1135" t="s">
        <v>1606</v>
      </c>
      <c r="C1135" t="s">
        <v>1202</v>
      </c>
      <c r="D1135" t="s">
        <v>1203</v>
      </c>
      <c r="E1135" t="s">
        <v>1204</v>
      </c>
      <c r="F1135">
        <v>8089</v>
      </c>
      <c r="G1135" t="s">
        <v>698</v>
      </c>
      <c r="I1135" t="s">
        <v>1205</v>
      </c>
      <c r="J1135">
        <v>24955</v>
      </c>
    </row>
    <row r="1136" spans="1:10" x14ac:dyDescent="0.3">
      <c r="A1136">
        <v>1245</v>
      </c>
      <c r="B1136" t="s">
        <v>1606</v>
      </c>
      <c r="C1136" t="s">
        <v>1202</v>
      </c>
      <c r="D1136" t="s">
        <v>1203</v>
      </c>
      <c r="E1136" t="s">
        <v>1204</v>
      </c>
      <c r="F1136">
        <v>8089</v>
      </c>
      <c r="G1136" t="s">
        <v>684</v>
      </c>
      <c r="I1136" t="s">
        <v>1210</v>
      </c>
      <c r="J1136">
        <v>599</v>
      </c>
    </row>
    <row r="1137" spans="1:10" x14ac:dyDescent="0.3">
      <c r="A1137">
        <v>1245</v>
      </c>
      <c r="B1137" t="s">
        <v>1606</v>
      </c>
      <c r="C1137" t="s">
        <v>1202</v>
      </c>
      <c r="D1137" t="s">
        <v>1203</v>
      </c>
      <c r="E1137" t="s">
        <v>1204</v>
      </c>
      <c r="F1137">
        <v>8089</v>
      </c>
      <c r="G1137" t="s">
        <v>701</v>
      </c>
      <c r="I1137" t="s">
        <v>1210</v>
      </c>
      <c r="J1137">
        <v>441</v>
      </c>
    </row>
    <row r="1138" spans="1:10" x14ac:dyDescent="0.3">
      <c r="A1138">
        <v>1245</v>
      </c>
      <c r="B1138" t="s">
        <v>1606</v>
      </c>
      <c r="C1138" t="s">
        <v>1202</v>
      </c>
      <c r="D1138" t="s">
        <v>1203</v>
      </c>
      <c r="E1138" t="s">
        <v>1204</v>
      </c>
      <c r="F1138">
        <v>8089</v>
      </c>
      <c r="G1138" t="s">
        <v>702</v>
      </c>
      <c r="H1138" t="s">
        <v>1607</v>
      </c>
      <c r="I1138" t="s">
        <v>1210</v>
      </c>
      <c r="J1138">
        <v>1965</v>
      </c>
    </row>
    <row r="1139" spans="1:10" x14ac:dyDescent="0.3">
      <c r="A1139">
        <v>1245</v>
      </c>
      <c r="B1139" t="s">
        <v>1606</v>
      </c>
      <c r="C1139" t="s">
        <v>1202</v>
      </c>
      <c r="D1139" t="s">
        <v>1203</v>
      </c>
      <c r="E1139" t="s">
        <v>1204</v>
      </c>
      <c r="F1139">
        <v>8089</v>
      </c>
      <c r="G1139" t="s">
        <v>684</v>
      </c>
      <c r="H1139" t="s">
        <v>1607</v>
      </c>
      <c r="I1139" t="s">
        <v>1210</v>
      </c>
      <c r="J1139">
        <v>461</v>
      </c>
    </row>
    <row r="1140" spans="1:10" x14ac:dyDescent="0.3">
      <c r="A1140">
        <v>1245</v>
      </c>
      <c r="B1140" t="s">
        <v>1606</v>
      </c>
      <c r="C1140" t="s">
        <v>1202</v>
      </c>
      <c r="D1140" t="s">
        <v>1203</v>
      </c>
      <c r="E1140" t="s">
        <v>1204</v>
      </c>
      <c r="F1140">
        <v>8089</v>
      </c>
      <c r="G1140" t="s">
        <v>687</v>
      </c>
      <c r="H1140" t="s">
        <v>1607</v>
      </c>
      <c r="I1140" t="s">
        <v>1210</v>
      </c>
      <c r="J1140">
        <v>96</v>
      </c>
    </row>
    <row r="1141" spans="1:10" x14ac:dyDescent="0.3">
      <c r="A1141">
        <v>1245</v>
      </c>
      <c r="B1141" t="s">
        <v>1606</v>
      </c>
      <c r="C1141" t="s">
        <v>1202</v>
      </c>
      <c r="D1141" t="s">
        <v>1203</v>
      </c>
      <c r="E1141" t="s">
        <v>1204</v>
      </c>
      <c r="F1141">
        <v>8089</v>
      </c>
      <c r="G1141" t="s">
        <v>700</v>
      </c>
      <c r="H1141" t="s">
        <v>1607</v>
      </c>
      <c r="I1141" t="s">
        <v>1210</v>
      </c>
      <c r="J1141">
        <v>39</v>
      </c>
    </row>
    <row r="1142" spans="1:10" x14ac:dyDescent="0.3">
      <c r="A1142">
        <v>1245</v>
      </c>
      <c r="B1142" t="s">
        <v>1606</v>
      </c>
      <c r="C1142" t="s">
        <v>1202</v>
      </c>
      <c r="D1142" t="s">
        <v>1203</v>
      </c>
      <c r="E1142" t="s">
        <v>1204</v>
      </c>
      <c r="F1142">
        <v>8089</v>
      </c>
      <c r="G1142" t="s">
        <v>701</v>
      </c>
      <c r="H1142" t="s">
        <v>1607</v>
      </c>
      <c r="I1142" t="s">
        <v>1210</v>
      </c>
      <c r="J1142">
        <v>2</v>
      </c>
    </row>
    <row r="1143" spans="1:10" x14ac:dyDescent="0.3">
      <c r="A1143">
        <v>1245</v>
      </c>
      <c r="B1143" t="s">
        <v>1606</v>
      </c>
      <c r="C1143" t="s">
        <v>1202</v>
      </c>
      <c r="D1143" t="s">
        <v>1203</v>
      </c>
      <c r="E1143" t="s">
        <v>1204</v>
      </c>
      <c r="F1143">
        <v>8089</v>
      </c>
      <c r="G1143" t="s">
        <v>686</v>
      </c>
      <c r="H1143" t="s">
        <v>1608</v>
      </c>
      <c r="I1143" t="s">
        <v>1205</v>
      </c>
      <c r="J1143">
        <v>3049</v>
      </c>
    </row>
    <row r="1144" spans="1:10" x14ac:dyDescent="0.3">
      <c r="A1144">
        <v>1245</v>
      </c>
      <c r="B1144" t="s">
        <v>1606</v>
      </c>
      <c r="C1144" t="s">
        <v>1202</v>
      </c>
      <c r="D1144" t="s">
        <v>1203</v>
      </c>
      <c r="E1144" t="s">
        <v>1204</v>
      </c>
      <c r="F1144">
        <v>8089</v>
      </c>
      <c r="G1144" t="s">
        <v>703</v>
      </c>
      <c r="I1144" t="s">
        <v>1205</v>
      </c>
      <c r="J1144">
        <v>1454</v>
      </c>
    </row>
    <row r="1145" spans="1:10" x14ac:dyDescent="0.3">
      <c r="A1145">
        <v>1245</v>
      </c>
      <c r="B1145" t="s">
        <v>1606</v>
      </c>
      <c r="C1145" t="s">
        <v>1202</v>
      </c>
      <c r="D1145" t="s">
        <v>1203</v>
      </c>
      <c r="E1145" t="s">
        <v>1204</v>
      </c>
      <c r="F1145">
        <v>8089</v>
      </c>
      <c r="G1145" t="s">
        <v>702</v>
      </c>
      <c r="I1145" t="s">
        <v>1205</v>
      </c>
      <c r="J1145">
        <v>4211</v>
      </c>
    </row>
    <row r="1146" spans="1:10" x14ac:dyDescent="0.3">
      <c r="A1146">
        <v>1245</v>
      </c>
      <c r="B1146" t="s">
        <v>1606</v>
      </c>
      <c r="C1146" t="s">
        <v>1202</v>
      </c>
      <c r="D1146" t="s">
        <v>1203</v>
      </c>
      <c r="E1146" t="s">
        <v>1204</v>
      </c>
      <c r="F1146">
        <v>8089</v>
      </c>
      <c r="G1146" t="s">
        <v>701</v>
      </c>
      <c r="I1146" t="s">
        <v>1205</v>
      </c>
      <c r="J1146">
        <v>4581</v>
      </c>
    </row>
    <row r="1147" spans="1:10" x14ac:dyDescent="0.3">
      <c r="A1147">
        <v>1245</v>
      </c>
      <c r="B1147" t="s">
        <v>1606</v>
      </c>
      <c r="C1147" t="s">
        <v>1202</v>
      </c>
      <c r="D1147" t="s">
        <v>1203</v>
      </c>
      <c r="E1147" t="s">
        <v>1204</v>
      </c>
      <c r="F1147">
        <v>8089</v>
      </c>
      <c r="G1147" t="s">
        <v>696</v>
      </c>
      <c r="I1147" t="s">
        <v>1205</v>
      </c>
      <c r="J1147">
        <v>6885</v>
      </c>
    </row>
    <row r="1148" spans="1:10" x14ac:dyDescent="0.3">
      <c r="A1148">
        <v>1245</v>
      </c>
      <c r="B1148" t="s">
        <v>1606</v>
      </c>
      <c r="C1148" t="s">
        <v>1202</v>
      </c>
      <c r="D1148" t="s">
        <v>1203</v>
      </c>
      <c r="E1148" t="s">
        <v>1204</v>
      </c>
      <c r="F1148">
        <v>8089</v>
      </c>
      <c r="G1148" t="s">
        <v>700</v>
      </c>
      <c r="I1148" t="s">
        <v>1205</v>
      </c>
      <c r="J1148">
        <v>7281</v>
      </c>
    </row>
    <row r="1149" spans="1:10" x14ac:dyDescent="0.3">
      <c r="A1149">
        <v>1245</v>
      </c>
      <c r="B1149" t="s">
        <v>1606</v>
      </c>
      <c r="C1149" t="s">
        <v>1202</v>
      </c>
      <c r="D1149" t="s">
        <v>1203</v>
      </c>
      <c r="E1149" t="s">
        <v>1204</v>
      </c>
      <c r="F1149">
        <v>8089</v>
      </c>
      <c r="G1149" t="s">
        <v>684</v>
      </c>
      <c r="I1149" t="s">
        <v>1205</v>
      </c>
      <c r="J1149">
        <v>117</v>
      </c>
    </row>
    <row r="1150" spans="1:10" x14ac:dyDescent="0.3">
      <c r="A1150">
        <v>1273</v>
      </c>
      <c r="B1150" t="s">
        <v>1609</v>
      </c>
      <c r="C1150" t="s">
        <v>1202</v>
      </c>
      <c r="D1150" t="s">
        <v>159</v>
      </c>
      <c r="E1150" t="s">
        <v>159</v>
      </c>
      <c r="F1150">
        <v>5684</v>
      </c>
      <c r="G1150" t="s">
        <v>686</v>
      </c>
      <c r="H1150" t="s">
        <v>1610</v>
      </c>
      <c r="I1150" t="s">
        <v>1210</v>
      </c>
      <c r="J1150">
        <v>140</v>
      </c>
    </row>
    <row r="1151" spans="1:10" x14ac:dyDescent="0.3">
      <c r="A1151">
        <v>1273</v>
      </c>
      <c r="B1151" t="s">
        <v>1609</v>
      </c>
      <c r="C1151" t="s">
        <v>1202</v>
      </c>
      <c r="D1151" t="s">
        <v>159</v>
      </c>
      <c r="E1151" t="s">
        <v>159</v>
      </c>
      <c r="F1151">
        <v>5684</v>
      </c>
      <c r="G1151" t="s">
        <v>702</v>
      </c>
      <c r="H1151" t="s">
        <v>1611</v>
      </c>
      <c r="I1151" t="s">
        <v>1210</v>
      </c>
      <c r="J1151">
        <v>627</v>
      </c>
    </row>
    <row r="1152" spans="1:10" x14ac:dyDescent="0.3">
      <c r="A1152">
        <v>1273</v>
      </c>
      <c r="B1152" t="s">
        <v>1609</v>
      </c>
      <c r="C1152" t="s">
        <v>1202</v>
      </c>
      <c r="D1152" t="s">
        <v>159</v>
      </c>
      <c r="E1152" t="s">
        <v>159</v>
      </c>
      <c r="F1152">
        <v>5684</v>
      </c>
      <c r="G1152" t="s">
        <v>686</v>
      </c>
      <c r="H1152" t="s">
        <v>1612</v>
      </c>
      <c r="I1152" t="s">
        <v>1205</v>
      </c>
      <c r="J1152">
        <v>2133</v>
      </c>
    </row>
    <row r="1153" spans="1:10" x14ac:dyDescent="0.3">
      <c r="A1153">
        <v>1273</v>
      </c>
      <c r="B1153" t="s">
        <v>1609</v>
      </c>
      <c r="C1153" t="s">
        <v>1202</v>
      </c>
      <c r="D1153" t="s">
        <v>159</v>
      </c>
      <c r="E1153" t="s">
        <v>159</v>
      </c>
      <c r="F1153">
        <v>5684</v>
      </c>
      <c r="G1153" t="s">
        <v>705</v>
      </c>
      <c r="H1153" t="s">
        <v>1613</v>
      </c>
      <c r="I1153" t="s">
        <v>1205</v>
      </c>
      <c r="J1153">
        <v>1325</v>
      </c>
    </row>
    <row r="1154" spans="1:10" x14ac:dyDescent="0.3">
      <c r="A1154">
        <v>1273</v>
      </c>
      <c r="B1154" t="s">
        <v>1609</v>
      </c>
      <c r="C1154" t="s">
        <v>1202</v>
      </c>
      <c r="D1154" t="s">
        <v>159</v>
      </c>
      <c r="E1154" t="s">
        <v>159</v>
      </c>
      <c r="F1154">
        <v>5684</v>
      </c>
      <c r="G1154" t="s">
        <v>705</v>
      </c>
      <c r="H1154" t="s">
        <v>1614</v>
      </c>
      <c r="I1154" t="s">
        <v>1205</v>
      </c>
      <c r="J1154">
        <v>8</v>
      </c>
    </row>
    <row r="1155" spans="1:10" x14ac:dyDescent="0.3">
      <c r="A1155">
        <v>1273</v>
      </c>
      <c r="B1155" t="s">
        <v>1609</v>
      </c>
      <c r="C1155" t="s">
        <v>1202</v>
      </c>
      <c r="D1155" t="s">
        <v>159</v>
      </c>
      <c r="E1155" t="s">
        <v>159</v>
      </c>
      <c r="F1155">
        <v>5684</v>
      </c>
      <c r="G1155" t="s">
        <v>696</v>
      </c>
      <c r="H1155" t="s">
        <v>1615</v>
      </c>
      <c r="I1155" t="s">
        <v>1205</v>
      </c>
      <c r="J1155">
        <v>17300</v>
      </c>
    </row>
    <row r="1156" spans="1:10" x14ac:dyDescent="0.3">
      <c r="A1156">
        <v>1273</v>
      </c>
      <c r="B1156" t="s">
        <v>1609</v>
      </c>
      <c r="C1156" t="s">
        <v>1202</v>
      </c>
      <c r="D1156" t="s">
        <v>159</v>
      </c>
      <c r="E1156" t="s">
        <v>159</v>
      </c>
      <c r="F1156">
        <v>5684</v>
      </c>
      <c r="G1156" t="s">
        <v>691</v>
      </c>
      <c r="H1156" t="s">
        <v>1616</v>
      </c>
      <c r="I1156" t="s">
        <v>1205</v>
      </c>
      <c r="J1156">
        <v>190</v>
      </c>
    </row>
    <row r="1157" spans="1:10" x14ac:dyDescent="0.3">
      <c r="A1157">
        <v>1273</v>
      </c>
      <c r="B1157" t="s">
        <v>1609</v>
      </c>
      <c r="C1157" t="s">
        <v>1202</v>
      </c>
      <c r="D1157" t="s">
        <v>159</v>
      </c>
      <c r="E1157" t="s">
        <v>159</v>
      </c>
      <c r="F1157">
        <v>5684</v>
      </c>
      <c r="G1157" t="s">
        <v>702</v>
      </c>
      <c r="I1157" t="s">
        <v>1205</v>
      </c>
      <c r="J1157">
        <v>2944</v>
      </c>
    </row>
    <row r="1158" spans="1:10" x14ac:dyDescent="0.3">
      <c r="A1158">
        <v>1273</v>
      </c>
      <c r="B1158" t="s">
        <v>1609</v>
      </c>
      <c r="C1158" t="s">
        <v>1202</v>
      </c>
      <c r="D1158" t="s">
        <v>159</v>
      </c>
      <c r="E1158" t="s">
        <v>159</v>
      </c>
      <c r="F1158">
        <v>5684</v>
      </c>
      <c r="G1158" t="s">
        <v>701</v>
      </c>
      <c r="I1158" t="s">
        <v>1205</v>
      </c>
      <c r="J1158">
        <v>675</v>
      </c>
    </row>
    <row r="1159" spans="1:10" x14ac:dyDescent="0.3">
      <c r="A1159">
        <v>1273</v>
      </c>
      <c r="B1159" t="s">
        <v>1609</v>
      </c>
      <c r="C1159" t="s">
        <v>1202</v>
      </c>
      <c r="D1159" t="s">
        <v>159</v>
      </c>
      <c r="E1159" t="s">
        <v>159</v>
      </c>
      <c r="F1159">
        <v>5684</v>
      </c>
      <c r="G1159" t="s">
        <v>700</v>
      </c>
      <c r="H1159" t="s">
        <v>1617</v>
      </c>
      <c r="I1159" t="s">
        <v>1205</v>
      </c>
      <c r="J1159">
        <v>2282</v>
      </c>
    </row>
    <row r="1160" spans="1:10" x14ac:dyDescent="0.3">
      <c r="A1160">
        <v>1273</v>
      </c>
      <c r="B1160" t="s">
        <v>1609</v>
      </c>
      <c r="C1160" t="s">
        <v>1202</v>
      </c>
      <c r="D1160" t="s">
        <v>159</v>
      </c>
      <c r="E1160" t="s">
        <v>159</v>
      </c>
      <c r="F1160">
        <v>5684</v>
      </c>
      <c r="G1160" t="s">
        <v>698</v>
      </c>
      <c r="I1160" t="s">
        <v>1205</v>
      </c>
      <c r="J1160">
        <v>1323</v>
      </c>
    </row>
    <row r="1161" spans="1:10" x14ac:dyDescent="0.3">
      <c r="A1161">
        <v>1273</v>
      </c>
      <c r="B1161" t="s">
        <v>1609</v>
      </c>
      <c r="C1161" t="s">
        <v>1202</v>
      </c>
      <c r="D1161" t="s">
        <v>159</v>
      </c>
      <c r="E1161" t="s">
        <v>159</v>
      </c>
      <c r="F1161">
        <v>5684</v>
      </c>
      <c r="G1161" t="s">
        <v>705</v>
      </c>
      <c r="H1161" t="s">
        <v>1618</v>
      </c>
      <c r="I1161" t="s">
        <v>1205</v>
      </c>
      <c r="J1161">
        <v>325</v>
      </c>
    </row>
    <row r="1162" spans="1:10" x14ac:dyDescent="0.3">
      <c r="A1162">
        <v>1324</v>
      </c>
      <c r="B1162" t="s">
        <v>1619</v>
      </c>
      <c r="C1162" t="s">
        <v>1202</v>
      </c>
      <c r="D1162" t="s">
        <v>159</v>
      </c>
      <c r="E1162" t="s">
        <v>159</v>
      </c>
      <c r="F1162">
        <v>5633</v>
      </c>
      <c r="G1162" t="s">
        <v>702</v>
      </c>
      <c r="H1162" t="s">
        <v>1282</v>
      </c>
      <c r="I1162" t="s">
        <v>1205</v>
      </c>
      <c r="J1162">
        <v>461</v>
      </c>
    </row>
    <row r="1163" spans="1:10" x14ac:dyDescent="0.3">
      <c r="A1163">
        <v>1324</v>
      </c>
      <c r="B1163" t="s">
        <v>1619</v>
      </c>
      <c r="C1163" t="s">
        <v>1202</v>
      </c>
      <c r="D1163" t="s">
        <v>159</v>
      </c>
      <c r="E1163" t="s">
        <v>159</v>
      </c>
      <c r="F1163">
        <v>5633</v>
      </c>
      <c r="G1163" t="s">
        <v>703</v>
      </c>
      <c r="I1163" t="s">
        <v>1205</v>
      </c>
      <c r="J1163">
        <v>223</v>
      </c>
    </row>
    <row r="1164" spans="1:10" x14ac:dyDescent="0.3">
      <c r="A1164">
        <v>1324</v>
      </c>
      <c r="B1164" t="s">
        <v>1619</v>
      </c>
      <c r="C1164" t="s">
        <v>1202</v>
      </c>
      <c r="D1164" t="s">
        <v>159</v>
      </c>
      <c r="E1164" t="s">
        <v>159</v>
      </c>
      <c r="F1164">
        <v>5633</v>
      </c>
      <c r="G1164" t="s">
        <v>700</v>
      </c>
      <c r="I1164" t="s">
        <v>1205</v>
      </c>
      <c r="J1164">
        <v>1104</v>
      </c>
    </row>
    <row r="1165" spans="1:10" x14ac:dyDescent="0.3">
      <c r="A1165">
        <v>1324</v>
      </c>
      <c r="B1165" t="s">
        <v>1619</v>
      </c>
      <c r="C1165" t="s">
        <v>1202</v>
      </c>
      <c r="D1165" t="s">
        <v>159</v>
      </c>
      <c r="E1165" t="s">
        <v>159</v>
      </c>
      <c r="F1165">
        <v>5633</v>
      </c>
      <c r="G1165" t="s">
        <v>698</v>
      </c>
      <c r="I1165" t="s">
        <v>1205</v>
      </c>
      <c r="J1165">
        <v>2142</v>
      </c>
    </row>
    <row r="1166" spans="1:10" x14ac:dyDescent="0.3">
      <c r="A1166">
        <v>1324</v>
      </c>
      <c r="B1166" t="s">
        <v>1619</v>
      </c>
      <c r="C1166" t="s">
        <v>1202</v>
      </c>
      <c r="D1166" t="s">
        <v>159</v>
      </c>
      <c r="E1166" t="s">
        <v>159</v>
      </c>
      <c r="F1166">
        <v>5633</v>
      </c>
      <c r="G1166" t="s">
        <v>686</v>
      </c>
      <c r="I1166" t="s">
        <v>1205</v>
      </c>
      <c r="J1166">
        <v>625</v>
      </c>
    </row>
    <row r="1167" spans="1:10" x14ac:dyDescent="0.3">
      <c r="A1167">
        <v>1324</v>
      </c>
      <c r="B1167" t="s">
        <v>1619</v>
      </c>
      <c r="C1167" t="s">
        <v>1202</v>
      </c>
      <c r="D1167" t="s">
        <v>159</v>
      </c>
      <c r="E1167" t="s">
        <v>159</v>
      </c>
      <c r="F1167">
        <v>5633</v>
      </c>
      <c r="G1167" t="s">
        <v>696</v>
      </c>
      <c r="I1167" t="s">
        <v>1205</v>
      </c>
      <c r="J1167">
        <v>4035</v>
      </c>
    </row>
    <row r="1168" spans="1:10" x14ac:dyDescent="0.3">
      <c r="A1168">
        <v>1327</v>
      </c>
      <c r="B1168" t="s">
        <v>1620</v>
      </c>
      <c r="C1168" t="s">
        <v>1202</v>
      </c>
      <c r="D1168" t="s">
        <v>159</v>
      </c>
      <c r="E1168" t="s">
        <v>159</v>
      </c>
      <c r="F1168">
        <v>7985</v>
      </c>
      <c r="G1168" t="s">
        <v>696</v>
      </c>
      <c r="I1168" t="s">
        <v>1205</v>
      </c>
      <c r="J1168">
        <v>1270</v>
      </c>
    </row>
    <row r="1169" spans="1:10" x14ac:dyDescent="0.3">
      <c r="A1169">
        <v>1327</v>
      </c>
      <c r="B1169" t="s">
        <v>1620</v>
      </c>
      <c r="C1169" t="s">
        <v>1202</v>
      </c>
      <c r="D1169" t="s">
        <v>159</v>
      </c>
      <c r="E1169" t="s">
        <v>159</v>
      </c>
      <c r="F1169">
        <v>7985</v>
      </c>
      <c r="G1169" t="s">
        <v>698</v>
      </c>
      <c r="I1169" t="s">
        <v>1205</v>
      </c>
      <c r="J1169">
        <v>265</v>
      </c>
    </row>
    <row r="1170" spans="1:10" x14ac:dyDescent="0.3">
      <c r="A1170">
        <v>1327</v>
      </c>
      <c r="B1170" t="s">
        <v>1620</v>
      </c>
      <c r="C1170" t="s">
        <v>1202</v>
      </c>
      <c r="D1170" t="s">
        <v>159</v>
      </c>
      <c r="E1170" t="s">
        <v>159</v>
      </c>
      <c r="F1170">
        <v>7985</v>
      </c>
      <c r="G1170" t="s">
        <v>700</v>
      </c>
      <c r="H1170" t="s">
        <v>1621</v>
      </c>
      <c r="I1170" t="s">
        <v>1205</v>
      </c>
      <c r="J1170">
        <v>49</v>
      </c>
    </row>
    <row r="1171" spans="1:10" x14ac:dyDescent="0.3">
      <c r="A1171">
        <v>1327</v>
      </c>
      <c r="B1171" t="s">
        <v>1620</v>
      </c>
      <c r="C1171" t="s">
        <v>1202</v>
      </c>
      <c r="D1171" t="s">
        <v>159</v>
      </c>
      <c r="E1171" t="s">
        <v>159</v>
      </c>
      <c r="F1171">
        <v>7985</v>
      </c>
      <c r="G1171" t="s">
        <v>702</v>
      </c>
      <c r="H1171" t="s">
        <v>1282</v>
      </c>
      <c r="I1171" t="s">
        <v>1205</v>
      </c>
      <c r="J1171">
        <v>28</v>
      </c>
    </row>
    <row r="1172" spans="1:10" x14ac:dyDescent="0.3">
      <c r="A1172">
        <v>1327</v>
      </c>
      <c r="B1172" t="s">
        <v>1620</v>
      </c>
      <c r="C1172" t="s">
        <v>1202</v>
      </c>
      <c r="D1172" t="s">
        <v>159</v>
      </c>
      <c r="E1172" t="s">
        <v>159</v>
      </c>
      <c r="F1172">
        <v>7985</v>
      </c>
      <c r="G1172" t="s">
        <v>686</v>
      </c>
      <c r="H1172" t="s">
        <v>1622</v>
      </c>
      <c r="I1172" t="s">
        <v>1205</v>
      </c>
      <c r="J1172">
        <v>346</v>
      </c>
    </row>
    <row r="1173" spans="1:10" x14ac:dyDescent="0.3">
      <c r="A1173">
        <v>1333</v>
      </c>
      <c r="B1173" t="s">
        <v>1623</v>
      </c>
      <c r="C1173" t="s">
        <v>1202</v>
      </c>
      <c r="D1173" t="s">
        <v>1203</v>
      </c>
      <c r="E1173" t="s">
        <v>1204</v>
      </c>
      <c r="F1173">
        <v>5662</v>
      </c>
      <c r="G1173" t="s">
        <v>698</v>
      </c>
      <c r="I1173" t="s">
        <v>1205</v>
      </c>
      <c r="J1173">
        <v>1082</v>
      </c>
    </row>
    <row r="1174" spans="1:10" x14ac:dyDescent="0.3">
      <c r="A1174">
        <v>1333</v>
      </c>
      <c r="B1174" t="s">
        <v>1623</v>
      </c>
      <c r="C1174" t="s">
        <v>1202</v>
      </c>
      <c r="D1174" t="s">
        <v>1203</v>
      </c>
      <c r="E1174" t="s">
        <v>1204</v>
      </c>
      <c r="F1174">
        <v>5662</v>
      </c>
      <c r="G1174" t="s">
        <v>696</v>
      </c>
      <c r="I1174" t="s">
        <v>1205</v>
      </c>
      <c r="J1174">
        <v>3533</v>
      </c>
    </row>
    <row r="1175" spans="1:10" x14ac:dyDescent="0.3">
      <c r="A1175">
        <v>1333</v>
      </c>
      <c r="B1175" t="s">
        <v>1623</v>
      </c>
      <c r="C1175" t="s">
        <v>1202</v>
      </c>
      <c r="D1175" t="s">
        <v>1203</v>
      </c>
      <c r="E1175" t="s">
        <v>1204</v>
      </c>
      <c r="F1175">
        <v>5662</v>
      </c>
      <c r="G1175" t="s">
        <v>700</v>
      </c>
      <c r="I1175" t="s">
        <v>1205</v>
      </c>
      <c r="J1175">
        <v>588</v>
      </c>
    </row>
    <row r="1176" spans="1:10" x14ac:dyDescent="0.3">
      <c r="A1176">
        <v>1333</v>
      </c>
      <c r="B1176" t="s">
        <v>1623</v>
      </c>
      <c r="C1176" t="s">
        <v>1202</v>
      </c>
      <c r="D1176" t="s">
        <v>1203</v>
      </c>
      <c r="E1176" t="s">
        <v>1204</v>
      </c>
      <c r="F1176">
        <v>5662</v>
      </c>
      <c r="G1176" t="s">
        <v>701</v>
      </c>
      <c r="I1176" t="s">
        <v>1205</v>
      </c>
      <c r="J1176">
        <v>175</v>
      </c>
    </row>
    <row r="1177" spans="1:10" x14ac:dyDescent="0.3">
      <c r="A1177">
        <v>1333</v>
      </c>
      <c r="B1177" t="s">
        <v>1623</v>
      </c>
      <c r="C1177" t="s">
        <v>1202</v>
      </c>
      <c r="D1177" t="s">
        <v>1203</v>
      </c>
      <c r="E1177" t="s">
        <v>1204</v>
      </c>
      <c r="F1177">
        <v>5662</v>
      </c>
      <c r="G1177" t="s">
        <v>703</v>
      </c>
      <c r="I1177" t="s">
        <v>1205</v>
      </c>
      <c r="J1177">
        <v>1152</v>
      </c>
    </row>
    <row r="1178" spans="1:10" x14ac:dyDescent="0.3">
      <c r="A1178">
        <v>1333</v>
      </c>
      <c r="B1178" t="s">
        <v>1623</v>
      </c>
      <c r="C1178" t="s">
        <v>1202</v>
      </c>
      <c r="D1178" t="s">
        <v>1203</v>
      </c>
      <c r="E1178" t="s">
        <v>1204</v>
      </c>
      <c r="F1178">
        <v>5662</v>
      </c>
      <c r="G1178" t="s">
        <v>684</v>
      </c>
      <c r="I1178" t="s">
        <v>1210</v>
      </c>
      <c r="J1178">
        <v>22</v>
      </c>
    </row>
    <row r="1179" spans="1:10" x14ac:dyDescent="0.3">
      <c r="A1179">
        <v>1333</v>
      </c>
      <c r="B1179" t="s">
        <v>1623</v>
      </c>
      <c r="C1179" t="s">
        <v>1202</v>
      </c>
      <c r="D1179" t="s">
        <v>1203</v>
      </c>
      <c r="E1179" t="s">
        <v>1204</v>
      </c>
      <c r="F1179">
        <v>5662</v>
      </c>
      <c r="G1179" t="s">
        <v>687</v>
      </c>
      <c r="H1179" t="s">
        <v>1624</v>
      </c>
      <c r="I1179" t="s">
        <v>1210</v>
      </c>
      <c r="J1179">
        <v>5</v>
      </c>
    </row>
    <row r="1180" spans="1:10" x14ac:dyDescent="0.3">
      <c r="A1180">
        <v>1335</v>
      </c>
      <c r="B1180" t="s">
        <v>1625</v>
      </c>
      <c r="C1180" t="s">
        <v>1202</v>
      </c>
      <c r="D1180" t="s">
        <v>159</v>
      </c>
      <c r="E1180" t="s">
        <v>159</v>
      </c>
      <c r="F1180">
        <v>5719</v>
      </c>
      <c r="G1180" t="s">
        <v>696</v>
      </c>
      <c r="I1180" t="s">
        <v>1205</v>
      </c>
      <c r="J1180">
        <v>1906</v>
      </c>
    </row>
    <row r="1181" spans="1:10" x14ac:dyDescent="0.3">
      <c r="A1181">
        <v>1335</v>
      </c>
      <c r="B1181" t="s">
        <v>1625</v>
      </c>
      <c r="C1181" t="s">
        <v>1202</v>
      </c>
      <c r="D1181" t="s">
        <v>159</v>
      </c>
      <c r="E1181" t="s">
        <v>159</v>
      </c>
      <c r="F1181">
        <v>5719</v>
      </c>
      <c r="G1181" t="s">
        <v>686</v>
      </c>
      <c r="I1181" t="s">
        <v>1205</v>
      </c>
      <c r="J1181">
        <v>236</v>
      </c>
    </row>
    <row r="1182" spans="1:10" x14ac:dyDescent="0.3">
      <c r="A1182">
        <v>1335</v>
      </c>
      <c r="B1182" t="s">
        <v>1625</v>
      </c>
      <c r="C1182" t="s">
        <v>1202</v>
      </c>
      <c r="D1182" t="s">
        <v>159</v>
      </c>
      <c r="E1182" t="s">
        <v>159</v>
      </c>
      <c r="F1182">
        <v>5719</v>
      </c>
      <c r="G1182" t="s">
        <v>705</v>
      </c>
      <c r="I1182" t="s">
        <v>1205</v>
      </c>
      <c r="J1182">
        <v>272</v>
      </c>
    </row>
    <row r="1183" spans="1:10" x14ac:dyDescent="0.3">
      <c r="A1183">
        <v>1335</v>
      </c>
      <c r="B1183" t="s">
        <v>1625</v>
      </c>
      <c r="C1183" t="s">
        <v>1202</v>
      </c>
      <c r="D1183" t="s">
        <v>159</v>
      </c>
      <c r="E1183" t="s">
        <v>159</v>
      </c>
      <c r="F1183">
        <v>5719</v>
      </c>
      <c r="G1183" t="s">
        <v>702</v>
      </c>
      <c r="I1183" t="s">
        <v>1205</v>
      </c>
      <c r="J1183">
        <v>96</v>
      </c>
    </row>
    <row r="1184" spans="1:10" x14ac:dyDescent="0.3">
      <c r="A1184">
        <v>1335</v>
      </c>
      <c r="B1184" t="s">
        <v>1625</v>
      </c>
      <c r="C1184" t="s">
        <v>1202</v>
      </c>
      <c r="D1184" t="s">
        <v>159</v>
      </c>
      <c r="E1184" t="s">
        <v>159</v>
      </c>
      <c r="F1184">
        <v>5719</v>
      </c>
      <c r="G1184" t="s">
        <v>703</v>
      </c>
      <c r="I1184" t="s">
        <v>1205</v>
      </c>
      <c r="J1184">
        <v>151</v>
      </c>
    </row>
    <row r="1185" spans="1:10" x14ac:dyDescent="0.3">
      <c r="A1185">
        <v>1335</v>
      </c>
      <c r="B1185" t="s">
        <v>1625</v>
      </c>
      <c r="C1185" t="s">
        <v>1202</v>
      </c>
      <c r="D1185" t="s">
        <v>159</v>
      </c>
      <c r="E1185" t="s">
        <v>159</v>
      </c>
      <c r="F1185">
        <v>5719</v>
      </c>
      <c r="G1185" t="s">
        <v>700</v>
      </c>
      <c r="I1185" t="s">
        <v>1205</v>
      </c>
      <c r="J1185">
        <v>371</v>
      </c>
    </row>
    <row r="1186" spans="1:10" x14ac:dyDescent="0.3">
      <c r="A1186">
        <v>1335</v>
      </c>
      <c r="B1186" t="s">
        <v>1625</v>
      </c>
      <c r="C1186" t="s">
        <v>1202</v>
      </c>
      <c r="D1186" t="s">
        <v>159</v>
      </c>
      <c r="E1186" t="s">
        <v>159</v>
      </c>
      <c r="F1186">
        <v>5719</v>
      </c>
      <c r="G1186" t="s">
        <v>698</v>
      </c>
      <c r="I1186" t="s">
        <v>1205</v>
      </c>
      <c r="J1186">
        <v>455</v>
      </c>
    </row>
    <row r="1187" spans="1:10" x14ac:dyDescent="0.3">
      <c r="A1187">
        <v>1343</v>
      </c>
      <c r="B1187" t="s">
        <v>1626</v>
      </c>
      <c r="C1187" t="s">
        <v>1202</v>
      </c>
      <c r="D1187" t="s">
        <v>1203</v>
      </c>
      <c r="E1187" t="s">
        <v>1204</v>
      </c>
      <c r="F1187">
        <v>5845</v>
      </c>
      <c r="G1187" t="s">
        <v>686</v>
      </c>
      <c r="I1187" t="s">
        <v>1205</v>
      </c>
      <c r="J1187">
        <v>177</v>
      </c>
    </row>
    <row r="1188" spans="1:10" x14ac:dyDescent="0.3">
      <c r="A1188">
        <v>1343</v>
      </c>
      <c r="B1188" t="s">
        <v>1626</v>
      </c>
      <c r="C1188" t="s">
        <v>1202</v>
      </c>
      <c r="D1188" t="s">
        <v>1203</v>
      </c>
      <c r="E1188" t="s">
        <v>1204</v>
      </c>
      <c r="F1188">
        <v>5845</v>
      </c>
      <c r="G1188" t="s">
        <v>696</v>
      </c>
      <c r="H1188" t="s">
        <v>1627</v>
      </c>
      <c r="I1188" t="s">
        <v>1205</v>
      </c>
      <c r="J1188">
        <v>1181</v>
      </c>
    </row>
    <row r="1189" spans="1:10" x14ac:dyDescent="0.3">
      <c r="A1189">
        <v>1343</v>
      </c>
      <c r="B1189" t="s">
        <v>1626</v>
      </c>
      <c r="C1189" t="s">
        <v>1202</v>
      </c>
      <c r="D1189" t="s">
        <v>1203</v>
      </c>
      <c r="E1189" t="s">
        <v>1204</v>
      </c>
      <c r="F1189">
        <v>5845</v>
      </c>
      <c r="G1189" t="s">
        <v>691</v>
      </c>
      <c r="H1189" t="s">
        <v>1628</v>
      </c>
      <c r="I1189" t="s">
        <v>1205</v>
      </c>
      <c r="J1189">
        <v>10</v>
      </c>
    </row>
    <row r="1190" spans="1:10" x14ac:dyDescent="0.3">
      <c r="A1190">
        <v>1343</v>
      </c>
      <c r="B1190" t="s">
        <v>1626</v>
      </c>
      <c r="C1190" t="s">
        <v>1202</v>
      </c>
      <c r="D1190" t="s">
        <v>1203</v>
      </c>
      <c r="E1190" t="s">
        <v>1204</v>
      </c>
      <c r="F1190">
        <v>5845</v>
      </c>
      <c r="G1190" t="s">
        <v>691</v>
      </c>
      <c r="H1190" t="s">
        <v>1293</v>
      </c>
      <c r="I1190" t="s">
        <v>1205</v>
      </c>
      <c r="J1190">
        <v>0.14000000000000001</v>
      </c>
    </row>
    <row r="1191" spans="1:10" x14ac:dyDescent="0.3">
      <c r="A1191">
        <v>1343</v>
      </c>
      <c r="B1191" t="s">
        <v>1626</v>
      </c>
      <c r="C1191" t="s">
        <v>1202</v>
      </c>
      <c r="D1191" t="s">
        <v>1203</v>
      </c>
      <c r="E1191" t="s">
        <v>1204</v>
      </c>
      <c r="F1191">
        <v>5845</v>
      </c>
      <c r="G1191" t="s">
        <v>703</v>
      </c>
      <c r="I1191" t="s">
        <v>1205</v>
      </c>
      <c r="J1191">
        <v>28</v>
      </c>
    </row>
    <row r="1192" spans="1:10" x14ac:dyDescent="0.3">
      <c r="A1192">
        <v>1343</v>
      </c>
      <c r="B1192" t="s">
        <v>1626</v>
      </c>
      <c r="C1192" t="s">
        <v>1202</v>
      </c>
      <c r="D1192" t="s">
        <v>1203</v>
      </c>
      <c r="E1192" t="s">
        <v>1204</v>
      </c>
      <c r="F1192">
        <v>5845</v>
      </c>
      <c r="G1192" t="s">
        <v>702</v>
      </c>
      <c r="H1192" t="s">
        <v>1629</v>
      </c>
      <c r="I1192" t="s">
        <v>1205</v>
      </c>
      <c r="J1192">
        <v>24</v>
      </c>
    </row>
    <row r="1193" spans="1:10" x14ac:dyDescent="0.3">
      <c r="A1193">
        <v>1343</v>
      </c>
      <c r="B1193" t="s">
        <v>1626</v>
      </c>
      <c r="C1193" t="s">
        <v>1202</v>
      </c>
      <c r="D1193" t="s">
        <v>1203</v>
      </c>
      <c r="E1193" t="s">
        <v>1204</v>
      </c>
      <c r="F1193">
        <v>5845</v>
      </c>
      <c r="G1193" t="s">
        <v>700</v>
      </c>
      <c r="I1193" t="s">
        <v>1205</v>
      </c>
      <c r="J1193">
        <v>86</v>
      </c>
    </row>
    <row r="1194" spans="1:10" x14ac:dyDescent="0.3">
      <c r="A1194">
        <v>1343</v>
      </c>
      <c r="B1194" t="s">
        <v>1626</v>
      </c>
      <c r="C1194" t="s">
        <v>1202</v>
      </c>
      <c r="D1194" t="s">
        <v>1203</v>
      </c>
      <c r="E1194" t="s">
        <v>1204</v>
      </c>
      <c r="F1194">
        <v>5845</v>
      </c>
      <c r="G1194" t="s">
        <v>705</v>
      </c>
      <c r="H1194" t="s">
        <v>1630</v>
      </c>
      <c r="I1194" t="s">
        <v>1210</v>
      </c>
      <c r="J1194">
        <v>0</v>
      </c>
    </row>
    <row r="1195" spans="1:10" x14ac:dyDescent="0.3">
      <c r="A1195">
        <v>1343</v>
      </c>
      <c r="B1195" t="s">
        <v>1626</v>
      </c>
      <c r="C1195" t="s">
        <v>1202</v>
      </c>
      <c r="D1195" t="s">
        <v>1203</v>
      </c>
      <c r="E1195" t="s">
        <v>1204</v>
      </c>
      <c r="F1195">
        <v>5845</v>
      </c>
      <c r="G1195" t="s">
        <v>691</v>
      </c>
      <c r="H1195" t="s">
        <v>1499</v>
      </c>
      <c r="I1195" t="s">
        <v>1205</v>
      </c>
      <c r="J1195">
        <v>0.44</v>
      </c>
    </row>
    <row r="1196" spans="1:10" x14ac:dyDescent="0.3">
      <c r="A1196">
        <v>1352</v>
      </c>
      <c r="B1196" t="s">
        <v>1631</v>
      </c>
      <c r="C1196" t="s">
        <v>1202</v>
      </c>
      <c r="D1196" t="s">
        <v>1203</v>
      </c>
      <c r="E1196" t="s">
        <v>1204</v>
      </c>
      <c r="F1196">
        <v>6941</v>
      </c>
      <c r="G1196" t="s">
        <v>698</v>
      </c>
      <c r="I1196" t="s">
        <v>1205</v>
      </c>
      <c r="J1196">
        <v>652</v>
      </c>
    </row>
    <row r="1197" spans="1:10" x14ac:dyDescent="0.3">
      <c r="A1197">
        <v>1352</v>
      </c>
      <c r="B1197" t="s">
        <v>1631</v>
      </c>
      <c r="C1197" t="s">
        <v>1202</v>
      </c>
      <c r="D1197" t="s">
        <v>1203</v>
      </c>
      <c r="E1197" t="s">
        <v>1204</v>
      </c>
      <c r="F1197">
        <v>6941</v>
      </c>
      <c r="G1197" t="s">
        <v>696</v>
      </c>
      <c r="I1197" t="s">
        <v>1205</v>
      </c>
      <c r="J1197">
        <v>5699</v>
      </c>
    </row>
    <row r="1198" spans="1:10" x14ac:dyDescent="0.3">
      <c r="A1198">
        <v>1352</v>
      </c>
      <c r="B1198" t="s">
        <v>1631</v>
      </c>
      <c r="C1198" t="s">
        <v>1202</v>
      </c>
      <c r="D1198" t="s">
        <v>1203</v>
      </c>
      <c r="E1198" t="s">
        <v>1204</v>
      </c>
      <c r="F1198">
        <v>6941</v>
      </c>
      <c r="G1198" t="s">
        <v>684</v>
      </c>
      <c r="I1198" t="s">
        <v>1210</v>
      </c>
      <c r="J1198">
        <v>6124</v>
      </c>
    </row>
    <row r="1199" spans="1:10" x14ac:dyDescent="0.3">
      <c r="A1199">
        <v>1352</v>
      </c>
      <c r="B1199" t="s">
        <v>1631</v>
      </c>
      <c r="C1199" t="s">
        <v>1202</v>
      </c>
      <c r="D1199" t="s">
        <v>1203</v>
      </c>
      <c r="E1199" t="s">
        <v>1204</v>
      </c>
      <c r="F1199">
        <v>6941</v>
      </c>
      <c r="G1199" t="s">
        <v>703</v>
      </c>
      <c r="I1199" t="s">
        <v>1205</v>
      </c>
      <c r="J1199">
        <v>482</v>
      </c>
    </row>
    <row r="1200" spans="1:10" x14ac:dyDescent="0.3">
      <c r="A1200">
        <v>1352</v>
      </c>
      <c r="B1200" t="s">
        <v>1631</v>
      </c>
      <c r="C1200" t="s">
        <v>1202</v>
      </c>
      <c r="D1200" t="s">
        <v>1203</v>
      </c>
      <c r="E1200" t="s">
        <v>1204</v>
      </c>
      <c r="F1200">
        <v>6941</v>
      </c>
      <c r="G1200" t="s">
        <v>701</v>
      </c>
      <c r="I1200" t="s">
        <v>1205</v>
      </c>
      <c r="J1200">
        <v>1</v>
      </c>
    </row>
    <row r="1201" spans="1:10" x14ac:dyDescent="0.3">
      <c r="A1201">
        <v>1352</v>
      </c>
      <c r="B1201" t="s">
        <v>1631</v>
      </c>
      <c r="C1201" t="s">
        <v>1202</v>
      </c>
      <c r="D1201" t="s">
        <v>1203</v>
      </c>
      <c r="E1201" t="s">
        <v>1204</v>
      </c>
      <c r="F1201">
        <v>6941</v>
      </c>
      <c r="G1201" t="s">
        <v>700</v>
      </c>
      <c r="I1201" t="s">
        <v>1205</v>
      </c>
      <c r="J1201">
        <v>302</v>
      </c>
    </row>
    <row r="1202" spans="1:10" x14ac:dyDescent="0.3">
      <c r="A1202">
        <v>1368</v>
      </c>
      <c r="B1202" t="s">
        <v>1632</v>
      </c>
      <c r="C1202" t="s">
        <v>1202</v>
      </c>
      <c r="D1202" t="s">
        <v>1203</v>
      </c>
      <c r="E1202" t="s">
        <v>1204</v>
      </c>
      <c r="F1202">
        <v>5455</v>
      </c>
      <c r="G1202" t="s">
        <v>696</v>
      </c>
      <c r="I1202" t="s">
        <v>1205</v>
      </c>
      <c r="J1202">
        <v>1803</v>
      </c>
    </row>
    <row r="1203" spans="1:10" x14ac:dyDescent="0.3">
      <c r="A1203">
        <v>1368</v>
      </c>
      <c r="B1203" t="s">
        <v>1632</v>
      </c>
      <c r="C1203" t="s">
        <v>1202</v>
      </c>
      <c r="D1203" t="s">
        <v>1203</v>
      </c>
      <c r="E1203" t="s">
        <v>1204</v>
      </c>
      <c r="F1203">
        <v>5455</v>
      </c>
      <c r="G1203" t="s">
        <v>698</v>
      </c>
      <c r="I1203" t="s">
        <v>1205</v>
      </c>
      <c r="J1203">
        <v>1076</v>
      </c>
    </row>
    <row r="1204" spans="1:10" x14ac:dyDescent="0.3">
      <c r="A1204">
        <v>1368</v>
      </c>
      <c r="B1204" t="s">
        <v>1632</v>
      </c>
      <c r="C1204" t="s">
        <v>1202</v>
      </c>
      <c r="D1204" t="s">
        <v>1203</v>
      </c>
      <c r="E1204" t="s">
        <v>1204</v>
      </c>
      <c r="F1204">
        <v>5455</v>
      </c>
      <c r="G1204" t="s">
        <v>700</v>
      </c>
      <c r="I1204" t="s">
        <v>1205</v>
      </c>
      <c r="J1204">
        <v>246</v>
      </c>
    </row>
    <row r="1205" spans="1:10" x14ac:dyDescent="0.3">
      <c r="A1205">
        <v>1368</v>
      </c>
      <c r="B1205" t="s">
        <v>1632</v>
      </c>
      <c r="C1205" t="s">
        <v>1202</v>
      </c>
      <c r="D1205" t="s">
        <v>1203</v>
      </c>
      <c r="E1205" t="s">
        <v>1204</v>
      </c>
      <c r="F1205">
        <v>5455</v>
      </c>
      <c r="G1205" t="s">
        <v>702</v>
      </c>
      <c r="I1205" t="s">
        <v>1205</v>
      </c>
      <c r="J1205">
        <v>69</v>
      </c>
    </row>
    <row r="1206" spans="1:10" x14ac:dyDescent="0.3">
      <c r="A1206">
        <v>1368</v>
      </c>
      <c r="B1206" t="s">
        <v>1632</v>
      </c>
      <c r="C1206" t="s">
        <v>1202</v>
      </c>
      <c r="D1206" t="s">
        <v>1203</v>
      </c>
      <c r="E1206" t="s">
        <v>1204</v>
      </c>
      <c r="F1206">
        <v>5455</v>
      </c>
      <c r="G1206" t="s">
        <v>686</v>
      </c>
      <c r="I1206" t="s">
        <v>1205</v>
      </c>
      <c r="J1206">
        <v>243</v>
      </c>
    </row>
    <row r="1207" spans="1:10" x14ac:dyDescent="0.3">
      <c r="A1207">
        <v>1368</v>
      </c>
      <c r="B1207" t="s">
        <v>1632</v>
      </c>
      <c r="C1207" t="s">
        <v>1202</v>
      </c>
      <c r="D1207" t="s">
        <v>1203</v>
      </c>
      <c r="E1207" t="s">
        <v>1204</v>
      </c>
      <c r="F1207">
        <v>5455</v>
      </c>
      <c r="G1207" t="s">
        <v>691</v>
      </c>
      <c r="I1207" t="s">
        <v>1205</v>
      </c>
      <c r="J1207">
        <v>35</v>
      </c>
    </row>
    <row r="1208" spans="1:10" x14ac:dyDescent="0.3">
      <c r="A1208">
        <v>1370</v>
      </c>
      <c r="B1208" t="s">
        <v>1633</v>
      </c>
      <c r="C1208" t="s">
        <v>1202</v>
      </c>
      <c r="D1208" t="s">
        <v>1203</v>
      </c>
      <c r="E1208" t="s">
        <v>1204</v>
      </c>
      <c r="F1208">
        <v>5811</v>
      </c>
      <c r="G1208" t="s">
        <v>702</v>
      </c>
      <c r="I1208" t="s">
        <v>1205</v>
      </c>
      <c r="J1208">
        <v>317</v>
      </c>
    </row>
    <row r="1209" spans="1:10" x14ac:dyDescent="0.3">
      <c r="A1209">
        <v>1370</v>
      </c>
      <c r="B1209" t="s">
        <v>1633</v>
      </c>
      <c r="C1209" t="s">
        <v>1202</v>
      </c>
      <c r="D1209" t="s">
        <v>1203</v>
      </c>
      <c r="E1209" t="s">
        <v>1204</v>
      </c>
      <c r="F1209">
        <v>5811</v>
      </c>
      <c r="G1209" t="s">
        <v>687</v>
      </c>
      <c r="H1209" t="s">
        <v>1634</v>
      </c>
      <c r="I1209" t="s">
        <v>1205</v>
      </c>
      <c r="J1209">
        <v>2</v>
      </c>
    </row>
    <row r="1210" spans="1:10" x14ac:dyDescent="0.3">
      <c r="A1210">
        <v>1370</v>
      </c>
      <c r="B1210" t="s">
        <v>1633</v>
      </c>
      <c r="C1210" t="s">
        <v>1202</v>
      </c>
      <c r="D1210" t="s">
        <v>1203</v>
      </c>
      <c r="E1210" t="s">
        <v>1204</v>
      </c>
      <c r="F1210">
        <v>5811</v>
      </c>
      <c r="G1210" t="s">
        <v>696</v>
      </c>
      <c r="I1210" t="s">
        <v>1205</v>
      </c>
      <c r="J1210">
        <v>5405</v>
      </c>
    </row>
    <row r="1211" spans="1:10" x14ac:dyDescent="0.3">
      <c r="A1211">
        <v>1370</v>
      </c>
      <c r="B1211" t="s">
        <v>1633</v>
      </c>
      <c r="C1211" t="s">
        <v>1202</v>
      </c>
      <c r="D1211" t="s">
        <v>1203</v>
      </c>
      <c r="E1211" t="s">
        <v>1204</v>
      </c>
      <c r="F1211">
        <v>5811</v>
      </c>
      <c r="G1211" t="s">
        <v>700</v>
      </c>
      <c r="I1211" t="s">
        <v>1205</v>
      </c>
      <c r="J1211">
        <v>695</v>
      </c>
    </row>
    <row r="1212" spans="1:10" x14ac:dyDescent="0.3">
      <c r="A1212">
        <v>1370</v>
      </c>
      <c r="B1212" t="s">
        <v>1633</v>
      </c>
      <c r="C1212" t="s">
        <v>1202</v>
      </c>
      <c r="D1212" t="s">
        <v>1203</v>
      </c>
      <c r="E1212" t="s">
        <v>1204</v>
      </c>
      <c r="F1212">
        <v>5811</v>
      </c>
      <c r="G1212" t="s">
        <v>698</v>
      </c>
      <c r="I1212" t="s">
        <v>1205</v>
      </c>
      <c r="J1212">
        <v>256</v>
      </c>
    </row>
    <row r="1213" spans="1:10" x14ac:dyDescent="0.3">
      <c r="A1213">
        <v>1370</v>
      </c>
      <c r="B1213" t="s">
        <v>1633</v>
      </c>
      <c r="C1213" t="s">
        <v>1202</v>
      </c>
      <c r="D1213" t="s">
        <v>1203</v>
      </c>
      <c r="E1213" t="s">
        <v>1204</v>
      </c>
      <c r="F1213">
        <v>5811</v>
      </c>
      <c r="G1213" t="s">
        <v>703</v>
      </c>
      <c r="I1213" t="s">
        <v>1205</v>
      </c>
      <c r="J1213">
        <v>81</v>
      </c>
    </row>
    <row r="1214" spans="1:10" x14ac:dyDescent="0.3">
      <c r="A1214">
        <v>1371</v>
      </c>
      <c r="B1214" t="s">
        <v>1635</v>
      </c>
      <c r="C1214" t="s">
        <v>1202</v>
      </c>
      <c r="D1214" t="s">
        <v>1203</v>
      </c>
      <c r="E1214" t="s">
        <v>1204</v>
      </c>
      <c r="F1214">
        <v>7512</v>
      </c>
      <c r="G1214" t="s">
        <v>691</v>
      </c>
      <c r="H1214" t="s">
        <v>1636</v>
      </c>
      <c r="I1214" t="s">
        <v>1205</v>
      </c>
      <c r="J1214">
        <v>3289.8477751999999</v>
      </c>
    </row>
    <row r="1215" spans="1:10" x14ac:dyDescent="0.3">
      <c r="A1215">
        <v>1371</v>
      </c>
      <c r="B1215" t="s">
        <v>1635</v>
      </c>
      <c r="C1215" t="s">
        <v>1202</v>
      </c>
      <c r="D1215" t="s">
        <v>1203</v>
      </c>
      <c r="E1215" t="s">
        <v>1204</v>
      </c>
      <c r="F1215">
        <v>7512</v>
      </c>
      <c r="G1215" t="s">
        <v>686</v>
      </c>
      <c r="H1215" t="s">
        <v>1269</v>
      </c>
      <c r="I1215" t="s">
        <v>1205</v>
      </c>
      <c r="J1215">
        <v>365.19765415000001</v>
      </c>
    </row>
    <row r="1216" spans="1:10" x14ac:dyDescent="0.3">
      <c r="A1216">
        <v>1384</v>
      </c>
      <c r="B1216" t="s">
        <v>1637</v>
      </c>
      <c r="C1216" t="s">
        <v>1202</v>
      </c>
      <c r="D1216" t="s">
        <v>1203</v>
      </c>
      <c r="E1216" t="s">
        <v>1204</v>
      </c>
      <c r="F1216">
        <v>5709</v>
      </c>
      <c r="G1216" t="s">
        <v>696</v>
      </c>
      <c r="I1216" t="s">
        <v>1205</v>
      </c>
      <c r="J1216">
        <v>14718</v>
      </c>
    </row>
    <row r="1217" spans="1:10" x14ac:dyDescent="0.3">
      <c r="A1217">
        <v>1384</v>
      </c>
      <c r="B1217" t="s">
        <v>1637</v>
      </c>
      <c r="C1217" t="s">
        <v>1202</v>
      </c>
      <c r="D1217" t="s">
        <v>1203</v>
      </c>
      <c r="E1217" t="s">
        <v>1204</v>
      </c>
      <c r="F1217">
        <v>5709</v>
      </c>
      <c r="G1217" t="s">
        <v>700</v>
      </c>
      <c r="I1217" t="s">
        <v>1205</v>
      </c>
      <c r="J1217">
        <v>1483</v>
      </c>
    </row>
    <row r="1218" spans="1:10" x14ac:dyDescent="0.3">
      <c r="A1218">
        <v>1384</v>
      </c>
      <c r="B1218" t="s">
        <v>1637</v>
      </c>
      <c r="C1218" t="s">
        <v>1202</v>
      </c>
      <c r="D1218" t="s">
        <v>1203</v>
      </c>
      <c r="E1218" t="s">
        <v>1204</v>
      </c>
      <c r="F1218">
        <v>5709</v>
      </c>
      <c r="G1218" t="s">
        <v>691</v>
      </c>
      <c r="H1218" t="s">
        <v>1638</v>
      </c>
      <c r="I1218" t="s">
        <v>1205</v>
      </c>
      <c r="J1218">
        <v>332</v>
      </c>
    </row>
    <row r="1219" spans="1:10" x14ac:dyDescent="0.3">
      <c r="A1219">
        <v>1384</v>
      </c>
      <c r="B1219" t="s">
        <v>1637</v>
      </c>
      <c r="C1219" t="s">
        <v>1202</v>
      </c>
      <c r="D1219" t="s">
        <v>1203</v>
      </c>
      <c r="E1219" t="s">
        <v>1204</v>
      </c>
      <c r="F1219">
        <v>5709</v>
      </c>
      <c r="G1219" t="s">
        <v>687</v>
      </c>
      <c r="H1219" t="s">
        <v>1639</v>
      </c>
      <c r="I1219" t="s">
        <v>1205</v>
      </c>
      <c r="J1219">
        <v>55</v>
      </c>
    </row>
    <row r="1220" spans="1:10" x14ac:dyDescent="0.3">
      <c r="A1220">
        <v>1384</v>
      </c>
      <c r="B1220" t="s">
        <v>1637</v>
      </c>
      <c r="C1220" t="s">
        <v>1202</v>
      </c>
      <c r="D1220" t="s">
        <v>1203</v>
      </c>
      <c r="E1220" t="s">
        <v>1204</v>
      </c>
      <c r="F1220">
        <v>5709</v>
      </c>
      <c r="G1220" t="s">
        <v>702</v>
      </c>
      <c r="I1220" t="s">
        <v>1205</v>
      </c>
      <c r="J1220">
        <v>716</v>
      </c>
    </row>
    <row r="1221" spans="1:10" x14ac:dyDescent="0.3">
      <c r="A1221">
        <v>1384</v>
      </c>
      <c r="B1221" t="s">
        <v>1637</v>
      </c>
      <c r="C1221" t="s">
        <v>1202</v>
      </c>
      <c r="D1221" t="s">
        <v>1203</v>
      </c>
      <c r="E1221" t="s">
        <v>1204</v>
      </c>
      <c r="F1221">
        <v>5709</v>
      </c>
      <c r="G1221" t="s">
        <v>686</v>
      </c>
      <c r="I1221" t="s">
        <v>1205</v>
      </c>
      <c r="J1221">
        <v>437</v>
      </c>
    </row>
    <row r="1222" spans="1:10" x14ac:dyDescent="0.3">
      <c r="A1222">
        <v>1384</v>
      </c>
      <c r="B1222" t="s">
        <v>1637</v>
      </c>
      <c r="C1222" t="s">
        <v>1202</v>
      </c>
      <c r="D1222" t="s">
        <v>1203</v>
      </c>
      <c r="E1222" t="s">
        <v>1204</v>
      </c>
      <c r="F1222">
        <v>5709</v>
      </c>
      <c r="G1222" t="s">
        <v>698</v>
      </c>
      <c r="I1222" t="s">
        <v>1205</v>
      </c>
      <c r="J1222">
        <v>1270</v>
      </c>
    </row>
    <row r="1223" spans="1:10" x14ac:dyDescent="0.3">
      <c r="A1223">
        <v>1388</v>
      </c>
      <c r="B1223" t="s">
        <v>1640</v>
      </c>
      <c r="C1223" t="s">
        <v>1202</v>
      </c>
      <c r="D1223" t="s">
        <v>159</v>
      </c>
      <c r="E1223" t="s">
        <v>159</v>
      </c>
      <c r="F1223">
        <v>5503</v>
      </c>
      <c r="G1223" t="s">
        <v>703</v>
      </c>
      <c r="I1223" t="s">
        <v>1205</v>
      </c>
      <c r="J1223">
        <v>128.43</v>
      </c>
    </row>
    <row r="1224" spans="1:10" x14ac:dyDescent="0.3">
      <c r="A1224">
        <v>1388</v>
      </c>
      <c r="B1224" t="s">
        <v>1640</v>
      </c>
      <c r="C1224" t="s">
        <v>1202</v>
      </c>
      <c r="D1224" t="s">
        <v>159</v>
      </c>
      <c r="E1224" t="s">
        <v>159</v>
      </c>
      <c r="F1224">
        <v>5503</v>
      </c>
      <c r="G1224" t="s">
        <v>702</v>
      </c>
      <c r="H1224" t="s">
        <v>1275</v>
      </c>
      <c r="I1224" t="s">
        <v>1205</v>
      </c>
      <c r="J1224">
        <v>869.64</v>
      </c>
    </row>
    <row r="1225" spans="1:10" x14ac:dyDescent="0.3">
      <c r="A1225">
        <v>1388</v>
      </c>
      <c r="B1225" t="s">
        <v>1640</v>
      </c>
      <c r="C1225" t="s">
        <v>1202</v>
      </c>
      <c r="D1225" t="s">
        <v>159</v>
      </c>
      <c r="E1225" t="s">
        <v>159</v>
      </c>
      <c r="F1225">
        <v>5503</v>
      </c>
      <c r="G1225" t="s">
        <v>700</v>
      </c>
      <c r="I1225" t="s">
        <v>1205</v>
      </c>
      <c r="J1225">
        <v>188.95</v>
      </c>
    </row>
    <row r="1226" spans="1:10" x14ac:dyDescent="0.3">
      <c r="A1226">
        <v>1388</v>
      </c>
      <c r="B1226" t="s">
        <v>1640</v>
      </c>
      <c r="C1226" t="s">
        <v>1202</v>
      </c>
      <c r="D1226" t="s">
        <v>159</v>
      </c>
      <c r="E1226" t="s">
        <v>159</v>
      </c>
      <c r="F1226">
        <v>5503</v>
      </c>
      <c r="G1226" t="s">
        <v>698</v>
      </c>
      <c r="I1226" t="s">
        <v>1205</v>
      </c>
      <c r="J1226">
        <v>98.85</v>
      </c>
    </row>
    <row r="1227" spans="1:10" x14ac:dyDescent="0.3">
      <c r="A1227">
        <v>1388</v>
      </c>
      <c r="B1227" t="s">
        <v>1640</v>
      </c>
      <c r="C1227" t="s">
        <v>1202</v>
      </c>
      <c r="D1227" t="s">
        <v>159</v>
      </c>
      <c r="E1227" t="s">
        <v>159</v>
      </c>
      <c r="F1227">
        <v>5503</v>
      </c>
      <c r="G1227" t="s">
        <v>687</v>
      </c>
      <c r="H1227" t="s">
        <v>1641</v>
      </c>
      <c r="I1227" t="s">
        <v>1205</v>
      </c>
      <c r="J1227">
        <v>170.95</v>
      </c>
    </row>
    <row r="1228" spans="1:10" x14ac:dyDescent="0.3">
      <c r="A1228">
        <v>1388</v>
      </c>
      <c r="B1228" t="s">
        <v>1640</v>
      </c>
      <c r="C1228" t="s">
        <v>1202</v>
      </c>
      <c r="D1228" t="s">
        <v>159</v>
      </c>
      <c r="E1228" t="s">
        <v>159</v>
      </c>
      <c r="F1228">
        <v>5503</v>
      </c>
      <c r="G1228" t="s">
        <v>686</v>
      </c>
      <c r="H1228" t="s">
        <v>1642</v>
      </c>
      <c r="I1228" t="s">
        <v>1205</v>
      </c>
      <c r="J1228">
        <v>296.82</v>
      </c>
    </row>
    <row r="1229" spans="1:10" x14ac:dyDescent="0.3">
      <c r="A1229">
        <v>1388</v>
      </c>
      <c r="B1229" t="s">
        <v>1640</v>
      </c>
      <c r="C1229" t="s">
        <v>1202</v>
      </c>
      <c r="D1229" t="s">
        <v>159</v>
      </c>
      <c r="E1229" t="s">
        <v>159</v>
      </c>
      <c r="F1229">
        <v>5503</v>
      </c>
      <c r="G1229" t="s">
        <v>701</v>
      </c>
      <c r="I1229" t="s">
        <v>1205</v>
      </c>
      <c r="J1229">
        <v>1170.76</v>
      </c>
    </row>
    <row r="1230" spans="1:10" x14ac:dyDescent="0.3">
      <c r="A1230">
        <v>1388</v>
      </c>
      <c r="B1230" t="s">
        <v>1640</v>
      </c>
      <c r="C1230" t="s">
        <v>1202</v>
      </c>
      <c r="D1230" t="s">
        <v>159</v>
      </c>
      <c r="E1230" t="s">
        <v>159</v>
      </c>
      <c r="F1230">
        <v>5503</v>
      </c>
      <c r="G1230" t="s">
        <v>696</v>
      </c>
      <c r="I1230" t="s">
        <v>1205</v>
      </c>
      <c r="J1230">
        <v>2559.1799999999998</v>
      </c>
    </row>
    <row r="1231" spans="1:10" x14ac:dyDescent="0.3">
      <c r="A1231">
        <v>1388</v>
      </c>
      <c r="B1231" t="s">
        <v>1640</v>
      </c>
      <c r="C1231" t="s">
        <v>1202</v>
      </c>
      <c r="D1231" t="s">
        <v>159</v>
      </c>
      <c r="E1231" t="s">
        <v>159</v>
      </c>
      <c r="F1231">
        <v>5503</v>
      </c>
      <c r="G1231" t="s">
        <v>684</v>
      </c>
      <c r="I1231" t="s">
        <v>1205</v>
      </c>
      <c r="J1231">
        <v>1.01</v>
      </c>
    </row>
    <row r="1232" spans="1:10" x14ac:dyDescent="0.3">
      <c r="A1232">
        <v>1869</v>
      </c>
      <c r="B1232" t="s">
        <v>1643</v>
      </c>
      <c r="C1232" t="s">
        <v>1202</v>
      </c>
      <c r="D1232" t="s">
        <v>159</v>
      </c>
      <c r="E1232" t="s">
        <v>159</v>
      </c>
      <c r="F1232">
        <v>5551</v>
      </c>
      <c r="G1232" t="s">
        <v>696</v>
      </c>
      <c r="I1232" t="s">
        <v>1205</v>
      </c>
      <c r="J1232">
        <v>7211</v>
      </c>
    </row>
    <row r="1233" spans="1:10" x14ac:dyDescent="0.3">
      <c r="A1233">
        <v>1869</v>
      </c>
      <c r="B1233" t="s">
        <v>1643</v>
      </c>
      <c r="C1233" t="s">
        <v>1202</v>
      </c>
      <c r="D1233" t="s">
        <v>159</v>
      </c>
      <c r="E1233" t="s">
        <v>159</v>
      </c>
      <c r="F1233">
        <v>5551</v>
      </c>
      <c r="G1233" t="s">
        <v>700</v>
      </c>
      <c r="I1233" t="s">
        <v>1205</v>
      </c>
      <c r="J1233">
        <v>1080</v>
      </c>
    </row>
    <row r="1234" spans="1:10" x14ac:dyDescent="0.3">
      <c r="A1234">
        <v>1869</v>
      </c>
      <c r="B1234" t="s">
        <v>1643</v>
      </c>
      <c r="C1234" t="s">
        <v>1202</v>
      </c>
      <c r="D1234" t="s">
        <v>159</v>
      </c>
      <c r="E1234" t="s">
        <v>159</v>
      </c>
      <c r="F1234">
        <v>5551</v>
      </c>
      <c r="G1234" t="s">
        <v>701</v>
      </c>
      <c r="I1234" t="s">
        <v>1205</v>
      </c>
      <c r="J1234">
        <v>77</v>
      </c>
    </row>
    <row r="1235" spans="1:10" x14ac:dyDescent="0.3">
      <c r="A1235">
        <v>1869</v>
      </c>
      <c r="B1235" t="s">
        <v>1643</v>
      </c>
      <c r="C1235" t="s">
        <v>1202</v>
      </c>
      <c r="D1235" t="s">
        <v>159</v>
      </c>
      <c r="E1235" t="s">
        <v>159</v>
      </c>
      <c r="F1235">
        <v>5551</v>
      </c>
      <c r="G1235" t="s">
        <v>703</v>
      </c>
      <c r="H1235" t="s">
        <v>1230</v>
      </c>
      <c r="I1235" t="s">
        <v>1205</v>
      </c>
      <c r="J1235">
        <v>461</v>
      </c>
    </row>
    <row r="1236" spans="1:10" x14ac:dyDescent="0.3">
      <c r="A1236">
        <v>1869</v>
      </c>
      <c r="B1236" t="s">
        <v>1643</v>
      </c>
      <c r="C1236" t="s">
        <v>1202</v>
      </c>
      <c r="D1236" t="s">
        <v>159</v>
      </c>
      <c r="E1236" t="s">
        <v>159</v>
      </c>
      <c r="F1236">
        <v>5551</v>
      </c>
      <c r="G1236" t="s">
        <v>686</v>
      </c>
      <c r="I1236" t="s">
        <v>1205</v>
      </c>
      <c r="J1236">
        <v>915</v>
      </c>
    </row>
    <row r="1237" spans="1:10" x14ac:dyDescent="0.3">
      <c r="A1237">
        <v>1869</v>
      </c>
      <c r="B1237" t="s">
        <v>1643</v>
      </c>
      <c r="C1237" t="s">
        <v>1202</v>
      </c>
      <c r="D1237" t="s">
        <v>159</v>
      </c>
      <c r="E1237" t="s">
        <v>159</v>
      </c>
      <c r="F1237">
        <v>5551</v>
      </c>
      <c r="G1237" t="s">
        <v>687</v>
      </c>
      <c r="H1237" t="s">
        <v>1229</v>
      </c>
      <c r="I1237" t="s">
        <v>1205</v>
      </c>
      <c r="J1237">
        <v>15</v>
      </c>
    </row>
    <row r="1238" spans="1:10" x14ac:dyDescent="0.3">
      <c r="A1238">
        <v>1869</v>
      </c>
      <c r="B1238" t="s">
        <v>1643</v>
      </c>
      <c r="C1238" t="s">
        <v>1202</v>
      </c>
      <c r="D1238" t="s">
        <v>159</v>
      </c>
      <c r="E1238" t="s">
        <v>159</v>
      </c>
      <c r="F1238">
        <v>5551</v>
      </c>
      <c r="G1238" t="s">
        <v>698</v>
      </c>
      <c r="I1238" t="s">
        <v>1205</v>
      </c>
      <c r="J1238">
        <v>1213</v>
      </c>
    </row>
    <row r="1239" spans="1:10" x14ac:dyDescent="0.3">
      <c r="A1239">
        <v>1424</v>
      </c>
      <c r="B1239" t="s">
        <v>1644</v>
      </c>
      <c r="C1239" t="s">
        <v>1202</v>
      </c>
      <c r="D1239" t="s">
        <v>159</v>
      </c>
      <c r="E1239" t="s">
        <v>159</v>
      </c>
      <c r="F1239">
        <v>5558</v>
      </c>
      <c r="G1239" t="s">
        <v>696</v>
      </c>
      <c r="I1239" t="s">
        <v>1205</v>
      </c>
      <c r="J1239">
        <v>7674</v>
      </c>
    </row>
    <row r="1240" spans="1:10" x14ac:dyDescent="0.3">
      <c r="A1240">
        <v>1424</v>
      </c>
      <c r="B1240" t="s">
        <v>1644</v>
      </c>
      <c r="C1240" t="s">
        <v>1202</v>
      </c>
      <c r="D1240" t="s">
        <v>159</v>
      </c>
      <c r="E1240" t="s">
        <v>159</v>
      </c>
      <c r="F1240">
        <v>5558</v>
      </c>
      <c r="G1240" t="s">
        <v>700</v>
      </c>
      <c r="I1240" t="s">
        <v>1205</v>
      </c>
      <c r="J1240">
        <v>546</v>
      </c>
    </row>
    <row r="1241" spans="1:10" x14ac:dyDescent="0.3">
      <c r="A1241">
        <v>1424</v>
      </c>
      <c r="B1241" t="s">
        <v>1644</v>
      </c>
      <c r="C1241" t="s">
        <v>1202</v>
      </c>
      <c r="D1241" t="s">
        <v>159</v>
      </c>
      <c r="E1241" t="s">
        <v>159</v>
      </c>
      <c r="F1241">
        <v>5558</v>
      </c>
      <c r="G1241" t="s">
        <v>698</v>
      </c>
      <c r="I1241" t="s">
        <v>1205</v>
      </c>
      <c r="J1241">
        <v>227</v>
      </c>
    </row>
    <row r="1242" spans="1:10" x14ac:dyDescent="0.3">
      <c r="A1242">
        <v>1424</v>
      </c>
      <c r="B1242" t="s">
        <v>1644</v>
      </c>
      <c r="C1242" t="s">
        <v>1202</v>
      </c>
      <c r="D1242" t="s">
        <v>159</v>
      </c>
      <c r="E1242" t="s">
        <v>159</v>
      </c>
      <c r="F1242">
        <v>5558</v>
      </c>
      <c r="G1242" t="s">
        <v>701</v>
      </c>
      <c r="I1242" t="s">
        <v>1205</v>
      </c>
      <c r="J1242">
        <v>86</v>
      </c>
    </row>
    <row r="1243" spans="1:10" x14ac:dyDescent="0.3">
      <c r="A1243">
        <v>1424</v>
      </c>
      <c r="B1243" t="s">
        <v>1644</v>
      </c>
      <c r="C1243" t="s">
        <v>1202</v>
      </c>
      <c r="D1243" t="s">
        <v>159</v>
      </c>
      <c r="E1243" t="s">
        <v>159</v>
      </c>
      <c r="F1243">
        <v>5558</v>
      </c>
      <c r="G1243" t="s">
        <v>702</v>
      </c>
      <c r="I1243" t="s">
        <v>1205</v>
      </c>
      <c r="J1243">
        <v>838</v>
      </c>
    </row>
    <row r="1244" spans="1:10" x14ac:dyDescent="0.3">
      <c r="A1244">
        <v>1424</v>
      </c>
      <c r="B1244" t="s">
        <v>1644</v>
      </c>
      <c r="C1244" t="s">
        <v>1202</v>
      </c>
      <c r="D1244" t="s">
        <v>159</v>
      </c>
      <c r="E1244" t="s">
        <v>159</v>
      </c>
      <c r="F1244">
        <v>5558</v>
      </c>
      <c r="G1244" t="s">
        <v>687</v>
      </c>
      <c r="H1244" t="s">
        <v>1645</v>
      </c>
      <c r="I1244" t="s">
        <v>1205</v>
      </c>
      <c r="J1244">
        <v>203</v>
      </c>
    </row>
    <row r="1245" spans="1:10" x14ac:dyDescent="0.3">
      <c r="A1245">
        <v>1424</v>
      </c>
      <c r="B1245" t="s">
        <v>1644</v>
      </c>
      <c r="C1245" t="s">
        <v>1202</v>
      </c>
      <c r="D1245" t="s">
        <v>159</v>
      </c>
      <c r="E1245" t="s">
        <v>159</v>
      </c>
      <c r="F1245">
        <v>5558</v>
      </c>
      <c r="G1245" t="s">
        <v>687</v>
      </c>
      <c r="H1245" t="s">
        <v>1646</v>
      </c>
      <c r="I1245" t="s">
        <v>1205</v>
      </c>
      <c r="J1245">
        <v>174</v>
      </c>
    </row>
    <row r="1246" spans="1:10" x14ac:dyDescent="0.3">
      <c r="A1246">
        <v>1424</v>
      </c>
      <c r="B1246" t="s">
        <v>1644</v>
      </c>
      <c r="C1246" t="s">
        <v>1202</v>
      </c>
      <c r="D1246" t="s">
        <v>159</v>
      </c>
      <c r="E1246" t="s">
        <v>159</v>
      </c>
      <c r="F1246">
        <v>5558</v>
      </c>
      <c r="G1246" t="s">
        <v>686</v>
      </c>
      <c r="I1246" t="s">
        <v>1205</v>
      </c>
      <c r="J1246">
        <v>819</v>
      </c>
    </row>
    <row r="1247" spans="1:10" x14ac:dyDescent="0.3">
      <c r="A1247">
        <v>1425</v>
      </c>
      <c r="B1247" t="s">
        <v>1647</v>
      </c>
      <c r="C1247" t="s">
        <v>1202</v>
      </c>
      <c r="D1247" t="s">
        <v>159</v>
      </c>
      <c r="E1247" t="s">
        <v>159</v>
      </c>
      <c r="F1247">
        <v>7826</v>
      </c>
      <c r="G1247" t="s">
        <v>686</v>
      </c>
      <c r="I1247" t="s">
        <v>1205</v>
      </c>
      <c r="J1247">
        <v>142</v>
      </c>
    </row>
    <row r="1248" spans="1:10" x14ac:dyDescent="0.3">
      <c r="A1248">
        <v>1425</v>
      </c>
      <c r="B1248" t="s">
        <v>1647</v>
      </c>
      <c r="C1248" t="s">
        <v>1202</v>
      </c>
      <c r="D1248" t="s">
        <v>159</v>
      </c>
      <c r="E1248" t="s">
        <v>159</v>
      </c>
      <c r="F1248">
        <v>7826</v>
      </c>
      <c r="G1248" t="s">
        <v>691</v>
      </c>
      <c r="H1248" t="s">
        <v>1648</v>
      </c>
      <c r="I1248" t="s">
        <v>1205</v>
      </c>
      <c r="J1248">
        <v>2046</v>
      </c>
    </row>
    <row r="1249" spans="1:10" x14ac:dyDescent="0.3">
      <c r="A1249">
        <v>1425</v>
      </c>
      <c r="B1249" t="s">
        <v>1647</v>
      </c>
      <c r="C1249" t="s">
        <v>1202</v>
      </c>
      <c r="D1249" t="s">
        <v>159</v>
      </c>
      <c r="E1249" t="s">
        <v>159</v>
      </c>
      <c r="F1249">
        <v>7826</v>
      </c>
      <c r="G1249" t="s">
        <v>705</v>
      </c>
      <c r="H1249" t="s">
        <v>1649</v>
      </c>
      <c r="I1249" t="s">
        <v>1205</v>
      </c>
      <c r="J1249">
        <v>120</v>
      </c>
    </row>
    <row r="1250" spans="1:10" x14ac:dyDescent="0.3">
      <c r="A1250">
        <v>1427</v>
      </c>
      <c r="B1250" t="s">
        <v>1650</v>
      </c>
      <c r="C1250" t="s">
        <v>1202</v>
      </c>
      <c r="D1250" t="s">
        <v>159</v>
      </c>
      <c r="E1250" t="s">
        <v>159</v>
      </c>
      <c r="F1250">
        <v>6005</v>
      </c>
      <c r="G1250" t="s">
        <v>701</v>
      </c>
      <c r="I1250" t="s">
        <v>1205</v>
      </c>
      <c r="J1250">
        <v>0</v>
      </c>
    </row>
    <row r="1251" spans="1:10" x14ac:dyDescent="0.3">
      <c r="A1251">
        <v>1427</v>
      </c>
      <c r="B1251" t="s">
        <v>1650</v>
      </c>
      <c r="C1251" t="s">
        <v>1202</v>
      </c>
      <c r="D1251" t="s">
        <v>159</v>
      </c>
      <c r="E1251" t="s">
        <v>159</v>
      </c>
      <c r="F1251">
        <v>6005</v>
      </c>
      <c r="G1251" t="s">
        <v>702</v>
      </c>
      <c r="I1251" t="s">
        <v>1205</v>
      </c>
      <c r="J1251">
        <v>151</v>
      </c>
    </row>
    <row r="1252" spans="1:10" x14ac:dyDescent="0.3">
      <c r="A1252">
        <v>1427</v>
      </c>
      <c r="B1252" t="s">
        <v>1650</v>
      </c>
      <c r="C1252" t="s">
        <v>1202</v>
      </c>
      <c r="D1252" t="s">
        <v>159</v>
      </c>
      <c r="E1252" t="s">
        <v>159</v>
      </c>
      <c r="F1252">
        <v>6005</v>
      </c>
      <c r="G1252" t="s">
        <v>700</v>
      </c>
      <c r="H1252" t="s">
        <v>1272</v>
      </c>
      <c r="I1252" t="s">
        <v>1205</v>
      </c>
      <c r="J1252">
        <v>325</v>
      </c>
    </row>
    <row r="1253" spans="1:10" x14ac:dyDescent="0.3">
      <c r="A1253">
        <v>1427</v>
      </c>
      <c r="B1253" t="s">
        <v>1650</v>
      </c>
      <c r="C1253" t="s">
        <v>1202</v>
      </c>
      <c r="D1253" t="s">
        <v>159</v>
      </c>
      <c r="E1253" t="s">
        <v>159</v>
      </c>
      <c r="F1253">
        <v>6005</v>
      </c>
      <c r="G1253" t="s">
        <v>686</v>
      </c>
      <c r="I1253" t="s">
        <v>1205</v>
      </c>
      <c r="J1253">
        <v>656</v>
      </c>
    </row>
    <row r="1254" spans="1:10" x14ac:dyDescent="0.3">
      <c r="A1254">
        <v>1427</v>
      </c>
      <c r="B1254" t="s">
        <v>1650</v>
      </c>
      <c r="C1254" t="s">
        <v>1202</v>
      </c>
      <c r="D1254" t="s">
        <v>159</v>
      </c>
      <c r="E1254" t="s">
        <v>159</v>
      </c>
      <c r="F1254">
        <v>6005</v>
      </c>
      <c r="G1254" t="s">
        <v>698</v>
      </c>
      <c r="I1254" t="s">
        <v>1205</v>
      </c>
      <c r="J1254">
        <v>701</v>
      </c>
    </row>
    <row r="1255" spans="1:10" x14ac:dyDescent="0.3">
      <c r="A1255">
        <v>1427</v>
      </c>
      <c r="B1255" t="s">
        <v>1650</v>
      </c>
      <c r="C1255" t="s">
        <v>1202</v>
      </c>
      <c r="D1255" t="s">
        <v>159</v>
      </c>
      <c r="E1255" t="s">
        <v>159</v>
      </c>
      <c r="F1255">
        <v>6005</v>
      </c>
      <c r="G1255" t="s">
        <v>696</v>
      </c>
      <c r="I1255" t="s">
        <v>1205</v>
      </c>
      <c r="J1255">
        <v>2010</v>
      </c>
    </row>
    <row r="1256" spans="1:10" x14ac:dyDescent="0.3">
      <c r="A1256">
        <v>1443</v>
      </c>
      <c r="B1256" t="s">
        <v>1651</v>
      </c>
      <c r="C1256" t="s">
        <v>1202</v>
      </c>
      <c r="D1256" t="s">
        <v>159</v>
      </c>
      <c r="E1256" t="s">
        <v>159</v>
      </c>
      <c r="F1256">
        <v>7974</v>
      </c>
      <c r="G1256" t="s">
        <v>701</v>
      </c>
      <c r="I1256" t="s">
        <v>1205</v>
      </c>
      <c r="J1256">
        <v>0</v>
      </c>
    </row>
    <row r="1257" spans="1:10" x14ac:dyDescent="0.3">
      <c r="A1257">
        <v>1443</v>
      </c>
      <c r="B1257" t="s">
        <v>1651</v>
      </c>
      <c r="C1257" t="s">
        <v>1202</v>
      </c>
      <c r="D1257" t="s">
        <v>159</v>
      </c>
      <c r="E1257" t="s">
        <v>159</v>
      </c>
      <c r="F1257">
        <v>7974</v>
      </c>
      <c r="G1257" t="s">
        <v>703</v>
      </c>
      <c r="I1257" t="s">
        <v>1205</v>
      </c>
      <c r="J1257">
        <v>61.377757000000003</v>
      </c>
    </row>
    <row r="1258" spans="1:10" x14ac:dyDescent="0.3">
      <c r="A1258">
        <v>1443</v>
      </c>
      <c r="B1258" t="s">
        <v>1651</v>
      </c>
      <c r="C1258" t="s">
        <v>1202</v>
      </c>
      <c r="D1258" t="s">
        <v>159</v>
      </c>
      <c r="E1258" t="s">
        <v>159</v>
      </c>
      <c r="F1258">
        <v>7974</v>
      </c>
      <c r="G1258" t="s">
        <v>702</v>
      </c>
      <c r="I1258" t="s">
        <v>1205</v>
      </c>
      <c r="J1258">
        <v>1353.3795418499999</v>
      </c>
    </row>
    <row r="1259" spans="1:10" x14ac:dyDescent="0.3">
      <c r="A1259">
        <v>1443</v>
      </c>
      <c r="B1259" t="s">
        <v>1651</v>
      </c>
      <c r="C1259" t="s">
        <v>1202</v>
      </c>
      <c r="D1259" t="s">
        <v>159</v>
      </c>
      <c r="E1259" t="s">
        <v>159</v>
      </c>
      <c r="F1259">
        <v>7974</v>
      </c>
      <c r="G1259" t="s">
        <v>686</v>
      </c>
      <c r="I1259" t="s">
        <v>1205</v>
      </c>
      <c r="J1259">
        <v>669.01755130000004</v>
      </c>
    </row>
    <row r="1260" spans="1:10" x14ac:dyDescent="0.3">
      <c r="A1260">
        <v>1443</v>
      </c>
      <c r="B1260" t="s">
        <v>1651</v>
      </c>
      <c r="C1260" t="s">
        <v>1202</v>
      </c>
      <c r="D1260" t="s">
        <v>159</v>
      </c>
      <c r="E1260" t="s">
        <v>159</v>
      </c>
      <c r="F1260">
        <v>7974</v>
      </c>
      <c r="G1260" t="s">
        <v>687</v>
      </c>
      <c r="H1260" t="s">
        <v>1652</v>
      </c>
      <c r="I1260" t="s">
        <v>1205</v>
      </c>
      <c r="J1260">
        <v>82.859971950000002</v>
      </c>
    </row>
    <row r="1261" spans="1:10" x14ac:dyDescent="0.3">
      <c r="A1261">
        <v>1443</v>
      </c>
      <c r="B1261" t="s">
        <v>1651</v>
      </c>
      <c r="C1261" t="s">
        <v>1202</v>
      </c>
      <c r="D1261" t="s">
        <v>159</v>
      </c>
      <c r="E1261" t="s">
        <v>159</v>
      </c>
      <c r="F1261">
        <v>7974</v>
      </c>
      <c r="G1261" t="s">
        <v>696</v>
      </c>
      <c r="I1261" t="s">
        <v>1205</v>
      </c>
      <c r="J1261">
        <v>2995.2345415999998</v>
      </c>
    </row>
    <row r="1262" spans="1:10" x14ac:dyDescent="0.3">
      <c r="A1262">
        <v>1443</v>
      </c>
      <c r="B1262" t="s">
        <v>1651</v>
      </c>
      <c r="C1262" t="s">
        <v>1202</v>
      </c>
      <c r="D1262" t="s">
        <v>159</v>
      </c>
      <c r="E1262" t="s">
        <v>159</v>
      </c>
      <c r="F1262">
        <v>7974</v>
      </c>
      <c r="G1262" t="s">
        <v>700</v>
      </c>
      <c r="I1262" t="s">
        <v>1205</v>
      </c>
      <c r="J1262">
        <v>954.42412134999995</v>
      </c>
    </row>
    <row r="1263" spans="1:10" x14ac:dyDescent="0.3">
      <c r="A1263">
        <v>1443</v>
      </c>
      <c r="B1263" t="s">
        <v>1651</v>
      </c>
      <c r="C1263" t="s">
        <v>1202</v>
      </c>
      <c r="D1263" t="s">
        <v>159</v>
      </c>
      <c r="E1263" t="s">
        <v>159</v>
      </c>
      <c r="F1263">
        <v>7974</v>
      </c>
      <c r="G1263" t="s">
        <v>698</v>
      </c>
      <c r="I1263" t="s">
        <v>1205</v>
      </c>
      <c r="J1263">
        <v>435.78207470000001</v>
      </c>
    </row>
    <row r="1264" spans="1:10" x14ac:dyDescent="0.3">
      <c r="A1264">
        <v>1444</v>
      </c>
      <c r="B1264" t="s">
        <v>1653</v>
      </c>
      <c r="C1264" t="s">
        <v>1202</v>
      </c>
      <c r="D1264" t="s">
        <v>1203</v>
      </c>
      <c r="E1264" t="s">
        <v>1204</v>
      </c>
      <c r="F1264">
        <v>7975</v>
      </c>
      <c r="G1264" t="s">
        <v>696</v>
      </c>
      <c r="H1264" t="s">
        <v>1654</v>
      </c>
      <c r="I1264" t="s">
        <v>1205</v>
      </c>
      <c r="J1264">
        <v>1778.8194644954999</v>
      </c>
    </row>
    <row r="1265" spans="1:10" x14ac:dyDescent="0.3">
      <c r="A1265">
        <v>1444</v>
      </c>
      <c r="B1265" t="s">
        <v>1653</v>
      </c>
      <c r="C1265" t="s">
        <v>1202</v>
      </c>
      <c r="D1265" t="s">
        <v>1203</v>
      </c>
      <c r="E1265" t="s">
        <v>1204</v>
      </c>
      <c r="F1265">
        <v>7975</v>
      </c>
      <c r="G1265" t="s">
        <v>686</v>
      </c>
      <c r="H1265" t="s">
        <v>1570</v>
      </c>
      <c r="I1265" t="s">
        <v>1205</v>
      </c>
      <c r="J1265">
        <v>422.2482792815</v>
      </c>
    </row>
    <row r="1266" spans="1:10" x14ac:dyDescent="0.3">
      <c r="A1266">
        <v>1444</v>
      </c>
      <c r="B1266" t="s">
        <v>1653</v>
      </c>
      <c r="C1266" t="s">
        <v>1202</v>
      </c>
      <c r="D1266" t="s">
        <v>1203</v>
      </c>
      <c r="E1266" t="s">
        <v>1204</v>
      </c>
      <c r="F1266">
        <v>7975</v>
      </c>
      <c r="G1266" t="s">
        <v>691</v>
      </c>
      <c r="H1266" t="s">
        <v>1655</v>
      </c>
      <c r="I1266" t="s">
        <v>1205</v>
      </c>
      <c r="J1266">
        <v>2.6699324295000002</v>
      </c>
    </row>
    <row r="1267" spans="1:10" x14ac:dyDescent="0.3">
      <c r="A1267">
        <v>1444</v>
      </c>
      <c r="B1267" t="s">
        <v>1653</v>
      </c>
      <c r="C1267" t="s">
        <v>1202</v>
      </c>
      <c r="D1267" t="s">
        <v>1203</v>
      </c>
      <c r="E1267" t="s">
        <v>1204</v>
      </c>
      <c r="F1267">
        <v>7975</v>
      </c>
      <c r="G1267" t="s">
        <v>702</v>
      </c>
      <c r="H1267" t="s">
        <v>1656</v>
      </c>
      <c r="I1267" t="s">
        <v>1205</v>
      </c>
      <c r="J1267">
        <v>186.7418256725</v>
      </c>
    </row>
    <row r="1268" spans="1:10" x14ac:dyDescent="0.3">
      <c r="A1268">
        <v>1444</v>
      </c>
      <c r="B1268" t="s">
        <v>1653</v>
      </c>
      <c r="C1268" t="s">
        <v>1202</v>
      </c>
      <c r="D1268" t="s">
        <v>1203</v>
      </c>
      <c r="E1268" t="s">
        <v>1204</v>
      </c>
      <c r="F1268">
        <v>7975</v>
      </c>
      <c r="G1268" t="s">
        <v>701</v>
      </c>
      <c r="H1268" t="s">
        <v>1657</v>
      </c>
      <c r="I1268" t="s">
        <v>1205</v>
      </c>
      <c r="J1268">
        <v>5688.9508519375004</v>
      </c>
    </row>
    <row r="1269" spans="1:10" x14ac:dyDescent="0.3">
      <c r="A1269">
        <v>1444</v>
      </c>
      <c r="B1269" t="s">
        <v>1653</v>
      </c>
      <c r="C1269" t="s">
        <v>1202</v>
      </c>
      <c r="D1269" t="s">
        <v>1203</v>
      </c>
      <c r="E1269" t="s">
        <v>1204</v>
      </c>
      <c r="F1269">
        <v>7975</v>
      </c>
      <c r="G1269" t="s">
        <v>700</v>
      </c>
      <c r="H1269" t="s">
        <v>1658</v>
      </c>
      <c r="I1269" t="s">
        <v>1205</v>
      </c>
      <c r="J1269">
        <v>272.8548187435</v>
      </c>
    </row>
    <row r="1270" spans="1:10" x14ac:dyDescent="0.3">
      <c r="A1270">
        <v>1444</v>
      </c>
      <c r="B1270" t="s">
        <v>1653</v>
      </c>
      <c r="C1270" t="s">
        <v>1202</v>
      </c>
      <c r="D1270" t="s">
        <v>1203</v>
      </c>
      <c r="E1270" t="s">
        <v>1204</v>
      </c>
      <c r="F1270">
        <v>7975</v>
      </c>
      <c r="G1270" t="s">
        <v>698</v>
      </c>
      <c r="H1270" t="s">
        <v>1659</v>
      </c>
      <c r="I1270" t="s">
        <v>1205</v>
      </c>
      <c r="J1270">
        <v>177.6579176365</v>
      </c>
    </row>
    <row r="1271" spans="1:10" x14ac:dyDescent="0.3">
      <c r="A1271">
        <v>1450</v>
      </c>
      <c r="B1271" t="s">
        <v>1660</v>
      </c>
      <c r="C1271" t="s">
        <v>1202</v>
      </c>
      <c r="D1271" t="s">
        <v>1203</v>
      </c>
      <c r="E1271" t="s">
        <v>1204</v>
      </c>
      <c r="F1271">
        <v>5914</v>
      </c>
      <c r="G1271" t="s">
        <v>696</v>
      </c>
      <c r="I1271" t="s">
        <v>1205</v>
      </c>
      <c r="J1271">
        <v>7354</v>
      </c>
    </row>
    <row r="1272" spans="1:10" x14ac:dyDescent="0.3">
      <c r="A1272">
        <v>1450</v>
      </c>
      <c r="B1272" t="s">
        <v>1660</v>
      </c>
      <c r="C1272" t="s">
        <v>1202</v>
      </c>
      <c r="D1272" t="s">
        <v>1203</v>
      </c>
      <c r="E1272" t="s">
        <v>1204</v>
      </c>
      <c r="F1272">
        <v>5914</v>
      </c>
      <c r="G1272" t="s">
        <v>698</v>
      </c>
      <c r="I1272" t="s">
        <v>1205</v>
      </c>
      <c r="J1272">
        <v>2052</v>
      </c>
    </row>
    <row r="1273" spans="1:10" x14ac:dyDescent="0.3">
      <c r="A1273">
        <v>1450</v>
      </c>
      <c r="B1273" t="s">
        <v>1660</v>
      </c>
      <c r="C1273" t="s">
        <v>1202</v>
      </c>
      <c r="D1273" t="s">
        <v>1203</v>
      </c>
      <c r="E1273" t="s">
        <v>1204</v>
      </c>
      <c r="F1273">
        <v>5914</v>
      </c>
      <c r="G1273" t="s">
        <v>700</v>
      </c>
      <c r="I1273" t="s">
        <v>1205</v>
      </c>
      <c r="J1273">
        <v>2938</v>
      </c>
    </row>
    <row r="1274" spans="1:10" x14ac:dyDescent="0.3">
      <c r="A1274">
        <v>1450</v>
      </c>
      <c r="B1274" t="s">
        <v>1660</v>
      </c>
      <c r="C1274" t="s">
        <v>1202</v>
      </c>
      <c r="D1274" t="s">
        <v>1203</v>
      </c>
      <c r="E1274" t="s">
        <v>1204</v>
      </c>
      <c r="F1274">
        <v>5914</v>
      </c>
      <c r="G1274" t="s">
        <v>703</v>
      </c>
      <c r="I1274" t="s">
        <v>1205</v>
      </c>
      <c r="J1274">
        <v>830</v>
      </c>
    </row>
    <row r="1275" spans="1:10" x14ac:dyDescent="0.3">
      <c r="A1275">
        <v>1450</v>
      </c>
      <c r="B1275" t="s">
        <v>1660</v>
      </c>
      <c r="C1275" t="s">
        <v>1202</v>
      </c>
      <c r="D1275" t="s">
        <v>1203</v>
      </c>
      <c r="E1275" t="s">
        <v>1204</v>
      </c>
      <c r="F1275">
        <v>5914</v>
      </c>
      <c r="G1275" t="s">
        <v>701</v>
      </c>
      <c r="I1275" t="s">
        <v>1205</v>
      </c>
      <c r="J1275">
        <v>255</v>
      </c>
    </row>
    <row r="1276" spans="1:10" x14ac:dyDescent="0.3">
      <c r="A1276">
        <v>1450</v>
      </c>
      <c r="B1276" t="s">
        <v>1660</v>
      </c>
      <c r="C1276" t="s">
        <v>1202</v>
      </c>
      <c r="D1276" t="s">
        <v>1203</v>
      </c>
      <c r="E1276" t="s">
        <v>1204</v>
      </c>
      <c r="F1276">
        <v>5914</v>
      </c>
      <c r="G1276" t="s">
        <v>686</v>
      </c>
      <c r="I1276" t="s">
        <v>1205</v>
      </c>
      <c r="J1276">
        <v>550</v>
      </c>
    </row>
    <row r="1277" spans="1:10" x14ac:dyDescent="0.3">
      <c r="A1277">
        <v>1452</v>
      </c>
      <c r="B1277" t="s">
        <v>1661</v>
      </c>
      <c r="C1277" t="s">
        <v>1202</v>
      </c>
      <c r="D1277" t="s">
        <v>1203</v>
      </c>
      <c r="E1277" t="s">
        <v>1204</v>
      </c>
      <c r="F1277">
        <v>5740</v>
      </c>
      <c r="G1277" t="s">
        <v>696</v>
      </c>
      <c r="H1277" t="s">
        <v>1662</v>
      </c>
      <c r="I1277" t="s">
        <v>1205</v>
      </c>
      <c r="J1277">
        <v>2406</v>
      </c>
    </row>
    <row r="1278" spans="1:10" x14ac:dyDescent="0.3">
      <c r="A1278">
        <v>1452</v>
      </c>
      <c r="B1278" t="s">
        <v>1661</v>
      </c>
      <c r="C1278" t="s">
        <v>1202</v>
      </c>
      <c r="D1278" t="s">
        <v>1203</v>
      </c>
      <c r="E1278" t="s">
        <v>1204</v>
      </c>
      <c r="F1278">
        <v>5740</v>
      </c>
      <c r="G1278" t="s">
        <v>698</v>
      </c>
      <c r="H1278" t="s">
        <v>698</v>
      </c>
      <c r="I1278" t="s">
        <v>1205</v>
      </c>
      <c r="J1278">
        <v>829</v>
      </c>
    </row>
    <row r="1279" spans="1:10" x14ac:dyDescent="0.3">
      <c r="A1279">
        <v>1452</v>
      </c>
      <c r="B1279" t="s">
        <v>1661</v>
      </c>
      <c r="C1279" t="s">
        <v>1202</v>
      </c>
      <c r="D1279" t="s">
        <v>1203</v>
      </c>
      <c r="E1279" t="s">
        <v>1204</v>
      </c>
      <c r="F1279">
        <v>5740</v>
      </c>
      <c r="G1279" t="s">
        <v>686</v>
      </c>
      <c r="H1279" t="s">
        <v>1482</v>
      </c>
      <c r="I1279" t="s">
        <v>1205</v>
      </c>
      <c r="J1279">
        <v>436</v>
      </c>
    </row>
    <row r="1280" spans="1:10" x14ac:dyDescent="0.3">
      <c r="A1280">
        <v>1452</v>
      </c>
      <c r="B1280" t="s">
        <v>1661</v>
      </c>
      <c r="C1280" t="s">
        <v>1202</v>
      </c>
      <c r="D1280" t="s">
        <v>1203</v>
      </c>
      <c r="E1280" t="s">
        <v>1204</v>
      </c>
      <c r="F1280">
        <v>5740</v>
      </c>
      <c r="G1280" t="s">
        <v>687</v>
      </c>
      <c r="H1280" t="s">
        <v>687</v>
      </c>
      <c r="I1280" t="s">
        <v>1205</v>
      </c>
      <c r="J1280">
        <v>0</v>
      </c>
    </row>
    <row r="1281" spans="1:10" x14ac:dyDescent="0.3">
      <c r="A1281">
        <v>1452</v>
      </c>
      <c r="B1281" t="s">
        <v>1661</v>
      </c>
      <c r="C1281" t="s">
        <v>1202</v>
      </c>
      <c r="D1281" t="s">
        <v>1203</v>
      </c>
      <c r="E1281" t="s">
        <v>1204</v>
      </c>
      <c r="F1281">
        <v>5740</v>
      </c>
      <c r="G1281" t="s">
        <v>700</v>
      </c>
      <c r="H1281" t="s">
        <v>1404</v>
      </c>
      <c r="I1281" t="s">
        <v>1205</v>
      </c>
      <c r="J1281">
        <v>603</v>
      </c>
    </row>
    <row r="1282" spans="1:10" x14ac:dyDescent="0.3">
      <c r="A1282">
        <v>1452</v>
      </c>
      <c r="B1282" t="s">
        <v>1661</v>
      </c>
      <c r="C1282" t="s">
        <v>1202</v>
      </c>
      <c r="D1282" t="s">
        <v>1203</v>
      </c>
      <c r="E1282" t="s">
        <v>1204</v>
      </c>
      <c r="F1282">
        <v>5740</v>
      </c>
      <c r="G1282" t="s">
        <v>702</v>
      </c>
      <c r="H1282" t="s">
        <v>1663</v>
      </c>
      <c r="I1282" t="s">
        <v>1205</v>
      </c>
      <c r="J1282">
        <v>918</v>
      </c>
    </row>
    <row r="1283" spans="1:10" x14ac:dyDescent="0.3">
      <c r="A1283">
        <v>1456</v>
      </c>
      <c r="B1283" t="s">
        <v>1664</v>
      </c>
      <c r="C1283" t="s">
        <v>1202</v>
      </c>
      <c r="D1283" t="s">
        <v>159</v>
      </c>
      <c r="E1283" t="s">
        <v>159</v>
      </c>
      <c r="F1283">
        <v>7786</v>
      </c>
      <c r="G1283" t="s">
        <v>700</v>
      </c>
      <c r="I1283" t="s">
        <v>1205</v>
      </c>
      <c r="J1283">
        <v>202</v>
      </c>
    </row>
    <row r="1284" spans="1:10" x14ac:dyDescent="0.3">
      <c r="A1284">
        <v>1456</v>
      </c>
      <c r="B1284" t="s">
        <v>1664</v>
      </c>
      <c r="C1284" t="s">
        <v>1202</v>
      </c>
      <c r="D1284" t="s">
        <v>159</v>
      </c>
      <c r="E1284" t="s">
        <v>159</v>
      </c>
      <c r="F1284">
        <v>7786</v>
      </c>
      <c r="G1284" t="s">
        <v>686</v>
      </c>
      <c r="I1284" t="s">
        <v>1205</v>
      </c>
      <c r="J1284">
        <v>92</v>
      </c>
    </row>
    <row r="1285" spans="1:10" x14ac:dyDescent="0.3">
      <c r="A1285">
        <v>1456</v>
      </c>
      <c r="B1285" t="s">
        <v>1664</v>
      </c>
      <c r="C1285" t="s">
        <v>1202</v>
      </c>
      <c r="D1285" t="s">
        <v>159</v>
      </c>
      <c r="E1285" t="s">
        <v>159</v>
      </c>
      <c r="F1285">
        <v>7786</v>
      </c>
      <c r="G1285" t="s">
        <v>703</v>
      </c>
      <c r="I1285" t="s">
        <v>1205</v>
      </c>
      <c r="J1285">
        <v>182</v>
      </c>
    </row>
    <row r="1286" spans="1:10" x14ac:dyDescent="0.3">
      <c r="A1286">
        <v>1456</v>
      </c>
      <c r="B1286" t="s">
        <v>1664</v>
      </c>
      <c r="C1286" t="s">
        <v>1202</v>
      </c>
      <c r="D1286" t="s">
        <v>159</v>
      </c>
      <c r="E1286" t="s">
        <v>159</v>
      </c>
      <c r="F1286">
        <v>7786</v>
      </c>
      <c r="G1286" t="s">
        <v>698</v>
      </c>
      <c r="I1286" t="s">
        <v>1205</v>
      </c>
      <c r="J1286">
        <v>105</v>
      </c>
    </row>
    <row r="1287" spans="1:10" x14ac:dyDescent="0.3">
      <c r="A1287">
        <v>1456</v>
      </c>
      <c r="B1287" t="s">
        <v>1664</v>
      </c>
      <c r="C1287" t="s">
        <v>1202</v>
      </c>
      <c r="D1287" t="s">
        <v>159</v>
      </c>
      <c r="E1287" t="s">
        <v>159</v>
      </c>
      <c r="F1287">
        <v>7786</v>
      </c>
      <c r="G1287" t="s">
        <v>696</v>
      </c>
      <c r="I1287" t="s">
        <v>1205</v>
      </c>
      <c r="J1287">
        <v>1490</v>
      </c>
    </row>
    <row r="1288" spans="1:10" x14ac:dyDescent="0.3">
      <c r="A1288">
        <v>1459</v>
      </c>
      <c r="B1288" t="s">
        <v>1665</v>
      </c>
      <c r="C1288" t="s">
        <v>1202</v>
      </c>
      <c r="D1288" t="s">
        <v>159</v>
      </c>
      <c r="E1288" t="s">
        <v>159</v>
      </c>
      <c r="F1288">
        <v>5681</v>
      </c>
      <c r="G1288" t="s">
        <v>686</v>
      </c>
      <c r="I1288" t="s">
        <v>1205</v>
      </c>
      <c r="J1288">
        <v>389</v>
      </c>
    </row>
    <row r="1289" spans="1:10" x14ac:dyDescent="0.3">
      <c r="A1289">
        <v>1459</v>
      </c>
      <c r="B1289" t="s">
        <v>1665</v>
      </c>
      <c r="C1289" t="s">
        <v>1202</v>
      </c>
      <c r="D1289" t="s">
        <v>159</v>
      </c>
      <c r="E1289" t="s">
        <v>159</v>
      </c>
      <c r="F1289">
        <v>5681</v>
      </c>
      <c r="G1289" t="s">
        <v>700</v>
      </c>
      <c r="H1289" t="s">
        <v>1666</v>
      </c>
      <c r="I1289" t="s">
        <v>1205</v>
      </c>
      <c r="J1289">
        <v>525</v>
      </c>
    </row>
    <row r="1290" spans="1:10" x14ac:dyDescent="0.3">
      <c r="A1290">
        <v>1459</v>
      </c>
      <c r="B1290" t="s">
        <v>1665</v>
      </c>
      <c r="C1290" t="s">
        <v>1202</v>
      </c>
      <c r="D1290" t="s">
        <v>159</v>
      </c>
      <c r="E1290" t="s">
        <v>159</v>
      </c>
      <c r="F1290">
        <v>5681</v>
      </c>
      <c r="G1290" t="s">
        <v>696</v>
      </c>
      <c r="I1290" t="s">
        <v>1205</v>
      </c>
      <c r="J1290">
        <v>1797</v>
      </c>
    </row>
    <row r="1291" spans="1:10" x14ac:dyDescent="0.3">
      <c r="A1291">
        <v>1459</v>
      </c>
      <c r="B1291" t="s">
        <v>1665</v>
      </c>
      <c r="C1291" t="s">
        <v>1202</v>
      </c>
      <c r="D1291" t="s">
        <v>159</v>
      </c>
      <c r="E1291" t="s">
        <v>159</v>
      </c>
      <c r="F1291">
        <v>5681</v>
      </c>
      <c r="G1291" t="s">
        <v>698</v>
      </c>
      <c r="I1291" t="s">
        <v>1205</v>
      </c>
      <c r="J1291">
        <v>954</v>
      </c>
    </row>
    <row r="1292" spans="1:10" x14ac:dyDescent="0.3">
      <c r="A1292">
        <v>1459</v>
      </c>
      <c r="B1292" t="s">
        <v>1665</v>
      </c>
      <c r="C1292" t="s">
        <v>1202</v>
      </c>
      <c r="D1292" t="s">
        <v>159</v>
      </c>
      <c r="E1292" t="s">
        <v>159</v>
      </c>
      <c r="F1292">
        <v>5681</v>
      </c>
      <c r="G1292" t="s">
        <v>701</v>
      </c>
      <c r="I1292" t="s">
        <v>1205</v>
      </c>
      <c r="J1292">
        <v>50</v>
      </c>
    </row>
    <row r="1293" spans="1:10" x14ac:dyDescent="0.3">
      <c r="A1293">
        <v>1459</v>
      </c>
      <c r="B1293" t="s">
        <v>1665</v>
      </c>
      <c r="C1293" t="s">
        <v>1202</v>
      </c>
      <c r="D1293" t="s">
        <v>159</v>
      </c>
      <c r="E1293" t="s">
        <v>159</v>
      </c>
      <c r="F1293">
        <v>5681</v>
      </c>
      <c r="G1293" t="s">
        <v>702</v>
      </c>
      <c r="I1293" t="s">
        <v>1205</v>
      </c>
      <c r="J1293">
        <v>219</v>
      </c>
    </row>
    <row r="1294" spans="1:10" x14ac:dyDescent="0.3">
      <c r="A1294">
        <v>1459</v>
      </c>
      <c r="B1294" t="s">
        <v>1665</v>
      </c>
      <c r="C1294" t="s">
        <v>1202</v>
      </c>
      <c r="D1294" t="s">
        <v>159</v>
      </c>
      <c r="E1294" t="s">
        <v>159</v>
      </c>
      <c r="F1294">
        <v>5681</v>
      </c>
      <c r="G1294" t="s">
        <v>687</v>
      </c>
      <c r="I1294" t="s">
        <v>1205</v>
      </c>
      <c r="J1294">
        <v>170</v>
      </c>
    </row>
    <row r="1295" spans="1:10" x14ac:dyDescent="0.3">
      <c r="A1295">
        <v>1464</v>
      </c>
      <c r="B1295" t="s">
        <v>1667</v>
      </c>
      <c r="C1295" t="s">
        <v>1202</v>
      </c>
      <c r="D1295" t="s">
        <v>159</v>
      </c>
      <c r="E1295" t="s">
        <v>159</v>
      </c>
      <c r="F1295">
        <v>7899</v>
      </c>
      <c r="G1295" t="s">
        <v>696</v>
      </c>
      <c r="H1295" t="s">
        <v>1668</v>
      </c>
      <c r="I1295" t="s">
        <v>1205</v>
      </c>
      <c r="J1295">
        <v>2922</v>
      </c>
    </row>
    <row r="1296" spans="1:10" x14ac:dyDescent="0.3">
      <c r="A1296">
        <v>1464</v>
      </c>
      <c r="B1296" t="s">
        <v>1667</v>
      </c>
      <c r="C1296" t="s">
        <v>1202</v>
      </c>
      <c r="D1296" t="s">
        <v>159</v>
      </c>
      <c r="E1296" t="s">
        <v>159</v>
      </c>
      <c r="F1296">
        <v>7899</v>
      </c>
      <c r="G1296" t="s">
        <v>698</v>
      </c>
      <c r="I1296" t="s">
        <v>1205</v>
      </c>
      <c r="J1296">
        <v>14642</v>
      </c>
    </row>
    <row r="1297" spans="1:10" x14ac:dyDescent="0.3">
      <c r="A1297">
        <v>1464</v>
      </c>
      <c r="B1297" t="s">
        <v>1667</v>
      </c>
      <c r="C1297" t="s">
        <v>1202</v>
      </c>
      <c r="D1297" t="s">
        <v>159</v>
      </c>
      <c r="E1297" t="s">
        <v>159</v>
      </c>
      <c r="F1297">
        <v>7899</v>
      </c>
      <c r="G1297" t="s">
        <v>700</v>
      </c>
      <c r="I1297" t="s">
        <v>1205</v>
      </c>
      <c r="J1297">
        <v>12595</v>
      </c>
    </row>
    <row r="1298" spans="1:10" x14ac:dyDescent="0.3">
      <c r="A1298">
        <v>1464</v>
      </c>
      <c r="B1298" t="s">
        <v>1667</v>
      </c>
      <c r="C1298" t="s">
        <v>1202</v>
      </c>
      <c r="D1298" t="s">
        <v>159</v>
      </c>
      <c r="E1298" t="s">
        <v>159</v>
      </c>
      <c r="F1298">
        <v>7899</v>
      </c>
      <c r="G1298" t="s">
        <v>701</v>
      </c>
      <c r="I1298" t="s">
        <v>1205</v>
      </c>
      <c r="J1298">
        <v>280</v>
      </c>
    </row>
    <row r="1299" spans="1:10" x14ac:dyDescent="0.3">
      <c r="A1299">
        <v>1464</v>
      </c>
      <c r="B1299" t="s">
        <v>1667</v>
      </c>
      <c r="C1299" t="s">
        <v>1202</v>
      </c>
      <c r="D1299" t="s">
        <v>159</v>
      </c>
      <c r="E1299" t="s">
        <v>159</v>
      </c>
      <c r="F1299">
        <v>7899</v>
      </c>
      <c r="G1299" t="s">
        <v>702</v>
      </c>
      <c r="H1299" t="s">
        <v>1275</v>
      </c>
      <c r="I1299" t="s">
        <v>1205</v>
      </c>
      <c r="J1299">
        <v>1678</v>
      </c>
    </row>
    <row r="1300" spans="1:10" x14ac:dyDescent="0.3">
      <c r="A1300">
        <v>1464</v>
      </c>
      <c r="B1300" t="s">
        <v>1667</v>
      </c>
      <c r="C1300" t="s">
        <v>1202</v>
      </c>
      <c r="D1300" t="s">
        <v>159</v>
      </c>
      <c r="E1300" t="s">
        <v>159</v>
      </c>
      <c r="F1300">
        <v>7899</v>
      </c>
      <c r="G1300" t="s">
        <v>691</v>
      </c>
      <c r="H1300" t="s">
        <v>1410</v>
      </c>
      <c r="I1300" t="s">
        <v>1205</v>
      </c>
      <c r="J1300">
        <v>0</v>
      </c>
    </row>
    <row r="1301" spans="1:10" x14ac:dyDescent="0.3">
      <c r="A1301">
        <v>1464</v>
      </c>
      <c r="B1301" t="s">
        <v>1667</v>
      </c>
      <c r="C1301" t="s">
        <v>1202</v>
      </c>
      <c r="D1301" t="s">
        <v>159</v>
      </c>
      <c r="E1301" t="s">
        <v>159</v>
      </c>
      <c r="F1301">
        <v>7899</v>
      </c>
      <c r="G1301" t="s">
        <v>696</v>
      </c>
      <c r="I1301" t="s">
        <v>1205</v>
      </c>
      <c r="J1301">
        <v>16374</v>
      </c>
    </row>
    <row r="1302" spans="1:10" x14ac:dyDescent="0.3">
      <c r="A1302">
        <v>1464</v>
      </c>
      <c r="B1302" t="s">
        <v>1667</v>
      </c>
      <c r="C1302" t="s">
        <v>1202</v>
      </c>
      <c r="D1302" t="s">
        <v>159</v>
      </c>
      <c r="E1302" t="s">
        <v>159</v>
      </c>
      <c r="F1302">
        <v>7899</v>
      </c>
      <c r="G1302" t="s">
        <v>686</v>
      </c>
      <c r="I1302" t="s">
        <v>1205</v>
      </c>
      <c r="J1302">
        <v>2549</v>
      </c>
    </row>
    <row r="1303" spans="1:10" x14ac:dyDescent="0.3">
      <c r="A1303">
        <v>1473</v>
      </c>
      <c r="B1303" t="s">
        <v>1669</v>
      </c>
      <c r="C1303" t="s">
        <v>1202</v>
      </c>
      <c r="D1303" t="s">
        <v>159</v>
      </c>
      <c r="E1303" t="s">
        <v>159</v>
      </c>
      <c r="F1303">
        <v>6646</v>
      </c>
      <c r="G1303" t="s">
        <v>700</v>
      </c>
      <c r="I1303" t="s">
        <v>1205</v>
      </c>
      <c r="J1303">
        <v>79352</v>
      </c>
    </row>
    <row r="1304" spans="1:10" x14ac:dyDescent="0.3">
      <c r="A1304">
        <v>1473</v>
      </c>
      <c r="B1304" t="s">
        <v>1669</v>
      </c>
      <c r="C1304" t="s">
        <v>1202</v>
      </c>
      <c r="D1304" t="s">
        <v>159</v>
      </c>
      <c r="E1304" t="s">
        <v>159</v>
      </c>
      <c r="F1304">
        <v>6646</v>
      </c>
      <c r="G1304" t="s">
        <v>698</v>
      </c>
      <c r="I1304" t="s">
        <v>1205</v>
      </c>
      <c r="J1304">
        <v>143919</v>
      </c>
    </row>
    <row r="1305" spans="1:10" x14ac:dyDescent="0.3">
      <c r="A1305">
        <v>1473</v>
      </c>
      <c r="B1305" t="s">
        <v>1669</v>
      </c>
      <c r="C1305" t="s">
        <v>1202</v>
      </c>
      <c r="D1305" t="s">
        <v>159</v>
      </c>
      <c r="E1305" t="s">
        <v>159</v>
      </c>
      <c r="F1305">
        <v>6646</v>
      </c>
      <c r="G1305" t="s">
        <v>696</v>
      </c>
      <c r="I1305" t="s">
        <v>1205</v>
      </c>
      <c r="J1305">
        <v>173107</v>
      </c>
    </row>
    <row r="1306" spans="1:10" x14ac:dyDescent="0.3">
      <c r="A1306">
        <v>1473</v>
      </c>
      <c r="B1306" t="s">
        <v>1669</v>
      </c>
      <c r="C1306" t="s">
        <v>1202</v>
      </c>
      <c r="D1306" t="s">
        <v>159</v>
      </c>
      <c r="E1306" t="s">
        <v>159</v>
      </c>
      <c r="F1306">
        <v>6646</v>
      </c>
      <c r="G1306" t="s">
        <v>701</v>
      </c>
      <c r="I1306" t="s">
        <v>1205</v>
      </c>
      <c r="J1306">
        <v>12322</v>
      </c>
    </row>
    <row r="1307" spans="1:10" x14ac:dyDescent="0.3">
      <c r="A1307">
        <v>1473</v>
      </c>
      <c r="B1307" t="s">
        <v>1669</v>
      </c>
      <c r="C1307" t="s">
        <v>1202</v>
      </c>
      <c r="D1307" t="s">
        <v>159</v>
      </c>
      <c r="E1307" t="s">
        <v>159</v>
      </c>
      <c r="F1307">
        <v>6646</v>
      </c>
      <c r="G1307" t="s">
        <v>703</v>
      </c>
      <c r="I1307" t="s">
        <v>1205</v>
      </c>
      <c r="J1307">
        <v>34781</v>
      </c>
    </row>
    <row r="1308" spans="1:10" x14ac:dyDescent="0.3">
      <c r="A1308">
        <v>1473</v>
      </c>
      <c r="B1308" t="s">
        <v>1669</v>
      </c>
      <c r="C1308" t="s">
        <v>1202</v>
      </c>
      <c r="D1308" t="s">
        <v>159</v>
      </c>
      <c r="E1308" t="s">
        <v>159</v>
      </c>
      <c r="F1308">
        <v>6646</v>
      </c>
      <c r="G1308" t="s">
        <v>705</v>
      </c>
      <c r="I1308" t="s">
        <v>1205</v>
      </c>
      <c r="J1308">
        <v>53</v>
      </c>
    </row>
    <row r="1309" spans="1:10" x14ac:dyDescent="0.3">
      <c r="A1309">
        <v>1473</v>
      </c>
      <c r="B1309" t="s">
        <v>1669</v>
      </c>
      <c r="C1309" t="s">
        <v>1202</v>
      </c>
      <c r="D1309" t="s">
        <v>159</v>
      </c>
      <c r="E1309" t="s">
        <v>159</v>
      </c>
      <c r="F1309">
        <v>6646</v>
      </c>
      <c r="G1309" t="s">
        <v>687</v>
      </c>
      <c r="H1309" t="s">
        <v>1227</v>
      </c>
      <c r="I1309" t="s">
        <v>1205</v>
      </c>
      <c r="J1309">
        <v>34416</v>
      </c>
    </row>
    <row r="1310" spans="1:10" x14ac:dyDescent="0.3">
      <c r="A1310">
        <v>1481</v>
      </c>
      <c r="B1310" t="s">
        <v>1670</v>
      </c>
      <c r="C1310" t="s">
        <v>1202</v>
      </c>
      <c r="D1310" t="s">
        <v>1203</v>
      </c>
      <c r="E1310" t="s">
        <v>1204</v>
      </c>
      <c r="F1310">
        <v>6739</v>
      </c>
      <c r="G1310" t="s">
        <v>698</v>
      </c>
      <c r="I1310" t="s">
        <v>1205</v>
      </c>
      <c r="J1310">
        <v>474</v>
      </c>
    </row>
    <row r="1311" spans="1:10" x14ac:dyDescent="0.3">
      <c r="A1311">
        <v>1481</v>
      </c>
      <c r="B1311" t="s">
        <v>1670</v>
      </c>
      <c r="C1311" t="s">
        <v>1202</v>
      </c>
      <c r="D1311" t="s">
        <v>1203</v>
      </c>
      <c r="E1311" t="s">
        <v>1204</v>
      </c>
      <c r="F1311">
        <v>6739</v>
      </c>
      <c r="G1311" t="s">
        <v>700</v>
      </c>
      <c r="I1311" t="s">
        <v>1205</v>
      </c>
      <c r="J1311">
        <v>370</v>
      </c>
    </row>
    <row r="1312" spans="1:10" x14ac:dyDescent="0.3">
      <c r="A1312">
        <v>1481</v>
      </c>
      <c r="B1312" t="s">
        <v>1670</v>
      </c>
      <c r="C1312" t="s">
        <v>1202</v>
      </c>
      <c r="D1312" t="s">
        <v>1203</v>
      </c>
      <c r="E1312" t="s">
        <v>1204</v>
      </c>
      <c r="F1312">
        <v>6739</v>
      </c>
      <c r="G1312" t="s">
        <v>701</v>
      </c>
      <c r="I1312" t="s">
        <v>1205</v>
      </c>
      <c r="J1312">
        <v>80</v>
      </c>
    </row>
    <row r="1313" spans="1:10" x14ac:dyDescent="0.3">
      <c r="A1313">
        <v>1481</v>
      </c>
      <c r="B1313" t="s">
        <v>1670</v>
      </c>
      <c r="C1313" t="s">
        <v>1202</v>
      </c>
      <c r="D1313" t="s">
        <v>1203</v>
      </c>
      <c r="E1313" t="s">
        <v>1204</v>
      </c>
      <c r="F1313">
        <v>6739</v>
      </c>
      <c r="G1313" t="s">
        <v>703</v>
      </c>
      <c r="H1313" t="s">
        <v>1671</v>
      </c>
      <c r="I1313" t="s">
        <v>1205</v>
      </c>
      <c r="J1313">
        <v>1319</v>
      </c>
    </row>
    <row r="1314" spans="1:10" x14ac:dyDescent="0.3">
      <c r="A1314">
        <v>1481</v>
      </c>
      <c r="B1314" t="s">
        <v>1670</v>
      </c>
      <c r="C1314" t="s">
        <v>1202</v>
      </c>
      <c r="D1314" t="s">
        <v>1203</v>
      </c>
      <c r="E1314" t="s">
        <v>1204</v>
      </c>
      <c r="F1314">
        <v>6739</v>
      </c>
      <c r="G1314" t="s">
        <v>696</v>
      </c>
      <c r="I1314" t="s">
        <v>1205</v>
      </c>
      <c r="J1314">
        <v>5523</v>
      </c>
    </row>
    <row r="1315" spans="1:10" x14ac:dyDescent="0.3">
      <c r="A1315">
        <v>1481</v>
      </c>
      <c r="B1315" t="s">
        <v>1670</v>
      </c>
      <c r="C1315" t="s">
        <v>1202</v>
      </c>
      <c r="D1315" t="s">
        <v>1203</v>
      </c>
      <c r="E1315" t="s">
        <v>1204</v>
      </c>
      <c r="F1315">
        <v>6739</v>
      </c>
      <c r="G1315" t="s">
        <v>687</v>
      </c>
      <c r="H1315" t="s">
        <v>1672</v>
      </c>
      <c r="I1315" t="s">
        <v>1205</v>
      </c>
      <c r="J1315">
        <v>98</v>
      </c>
    </row>
    <row r="1316" spans="1:10" x14ac:dyDescent="0.3">
      <c r="A1316">
        <v>1481</v>
      </c>
      <c r="B1316" t="s">
        <v>1670</v>
      </c>
      <c r="C1316" t="s">
        <v>1202</v>
      </c>
      <c r="D1316" t="s">
        <v>1203</v>
      </c>
      <c r="E1316" t="s">
        <v>1204</v>
      </c>
      <c r="F1316">
        <v>6739</v>
      </c>
      <c r="G1316" t="s">
        <v>686</v>
      </c>
      <c r="I1316" t="s">
        <v>1205</v>
      </c>
      <c r="J1316">
        <v>440</v>
      </c>
    </row>
    <row r="1317" spans="1:10" x14ac:dyDescent="0.3">
      <c r="A1317">
        <v>1481</v>
      </c>
      <c r="B1317" t="s">
        <v>1670</v>
      </c>
      <c r="C1317" t="s">
        <v>1202</v>
      </c>
      <c r="D1317" t="s">
        <v>1203</v>
      </c>
      <c r="E1317" t="s">
        <v>1204</v>
      </c>
      <c r="F1317">
        <v>6739</v>
      </c>
      <c r="G1317" t="s">
        <v>691</v>
      </c>
      <c r="H1317" t="s">
        <v>1673</v>
      </c>
      <c r="I1317" t="s">
        <v>1205</v>
      </c>
      <c r="J1317">
        <v>18</v>
      </c>
    </row>
    <row r="1318" spans="1:10" x14ac:dyDescent="0.3">
      <c r="A1318">
        <v>1484</v>
      </c>
      <c r="B1318" t="s">
        <v>1674</v>
      </c>
      <c r="C1318" t="s">
        <v>1202</v>
      </c>
      <c r="D1318" t="s">
        <v>1203</v>
      </c>
      <c r="E1318" t="s">
        <v>1204</v>
      </c>
      <c r="F1318">
        <v>6741</v>
      </c>
      <c r="G1318" t="s">
        <v>701</v>
      </c>
      <c r="I1318" t="s">
        <v>1205</v>
      </c>
      <c r="J1318">
        <v>82</v>
      </c>
    </row>
    <row r="1319" spans="1:10" x14ac:dyDescent="0.3">
      <c r="A1319">
        <v>1484</v>
      </c>
      <c r="B1319" t="s">
        <v>1674</v>
      </c>
      <c r="C1319" t="s">
        <v>1202</v>
      </c>
      <c r="D1319" t="s">
        <v>1203</v>
      </c>
      <c r="E1319" t="s">
        <v>1204</v>
      </c>
      <c r="F1319">
        <v>6741</v>
      </c>
      <c r="G1319" t="s">
        <v>686</v>
      </c>
      <c r="I1319" t="s">
        <v>1205</v>
      </c>
      <c r="J1319">
        <v>2163</v>
      </c>
    </row>
    <row r="1320" spans="1:10" x14ac:dyDescent="0.3">
      <c r="A1320">
        <v>1484</v>
      </c>
      <c r="B1320" t="s">
        <v>1674</v>
      </c>
      <c r="C1320" t="s">
        <v>1202</v>
      </c>
      <c r="D1320" t="s">
        <v>1203</v>
      </c>
      <c r="E1320" t="s">
        <v>1204</v>
      </c>
      <c r="F1320">
        <v>6741</v>
      </c>
      <c r="G1320" t="s">
        <v>687</v>
      </c>
      <c r="H1320" t="s">
        <v>1675</v>
      </c>
      <c r="I1320" t="s">
        <v>1205</v>
      </c>
      <c r="J1320">
        <v>539</v>
      </c>
    </row>
    <row r="1321" spans="1:10" x14ac:dyDescent="0.3">
      <c r="A1321">
        <v>1484</v>
      </c>
      <c r="B1321" t="s">
        <v>1674</v>
      </c>
      <c r="C1321" t="s">
        <v>1202</v>
      </c>
      <c r="D1321" t="s">
        <v>1203</v>
      </c>
      <c r="E1321" t="s">
        <v>1204</v>
      </c>
      <c r="F1321">
        <v>6741</v>
      </c>
      <c r="G1321" t="s">
        <v>691</v>
      </c>
      <c r="H1321" t="s">
        <v>1673</v>
      </c>
      <c r="I1321" t="s">
        <v>1205</v>
      </c>
      <c r="J1321">
        <v>266</v>
      </c>
    </row>
    <row r="1322" spans="1:10" x14ac:dyDescent="0.3">
      <c r="A1322">
        <v>1484</v>
      </c>
      <c r="B1322" t="s">
        <v>1674</v>
      </c>
      <c r="C1322" t="s">
        <v>1202</v>
      </c>
      <c r="D1322" t="s">
        <v>1203</v>
      </c>
      <c r="E1322" t="s">
        <v>1204</v>
      </c>
      <c r="F1322">
        <v>6741</v>
      </c>
      <c r="G1322" t="s">
        <v>703</v>
      </c>
      <c r="H1322" t="s">
        <v>1676</v>
      </c>
      <c r="I1322" t="s">
        <v>1205</v>
      </c>
      <c r="J1322">
        <v>2544</v>
      </c>
    </row>
    <row r="1323" spans="1:10" x14ac:dyDescent="0.3">
      <c r="A1323">
        <v>1484</v>
      </c>
      <c r="B1323" t="s">
        <v>1674</v>
      </c>
      <c r="C1323" t="s">
        <v>1202</v>
      </c>
      <c r="D1323" t="s">
        <v>1203</v>
      </c>
      <c r="E1323" t="s">
        <v>1204</v>
      </c>
      <c r="F1323">
        <v>6741</v>
      </c>
      <c r="G1323" t="s">
        <v>696</v>
      </c>
      <c r="I1323" t="s">
        <v>1205</v>
      </c>
      <c r="J1323">
        <v>29191</v>
      </c>
    </row>
    <row r="1324" spans="1:10" x14ac:dyDescent="0.3">
      <c r="A1324">
        <v>1484</v>
      </c>
      <c r="B1324" t="s">
        <v>1674</v>
      </c>
      <c r="C1324" t="s">
        <v>1202</v>
      </c>
      <c r="D1324" t="s">
        <v>1203</v>
      </c>
      <c r="E1324" t="s">
        <v>1204</v>
      </c>
      <c r="F1324">
        <v>6741</v>
      </c>
      <c r="G1324" t="s">
        <v>698</v>
      </c>
      <c r="I1324" t="s">
        <v>1205</v>
      </c>
      <c r="J1324">
        <v>3866</v>
      </c>
    </row>
    <row r="1325" spans="1:10" x14ac:dyDescent="0.3">
      <c r="A1325">
        <v>1484</v>
      </c>
      <c r="B1325" t="s">
        <v>1674</v>
      </c>
      <c r="C1325" t="s">
        <v>1202</v>
      </c>
      <c r="D1325" t="s">
        <v>1203</v>
      </c>
      <c r="E1325" t="s">
        <v>1204</v>
      </c>
      <c r="F1325">
        <v>6741</v>
      </c>
      <c r="G1325" t="s">
        <v>700</v>
      </c>
      <c r="I1325" t="s">
        <v>1205</v>
      </c>
      <c r="J1325">
        <v>7167</v>
      </c>
    </row>
    <row r="1326" spans="1:10" x14ac:dyDescent="0.3">
      <c r="A1326">
        <v>1487</v>
      </c>
      <c r="B1326" t="s">
        <v>1677</v>
      </c>
      <c r="C1326" t="s">
        <v>1202</v>
      </c>
      <c r="D1326" t="s">
        <v>1203</v>
      </c>
      <c r="E1326" t="s">
        <v>1204</v>
      </c>
      <c r="F1326">
        <v>5663</v>
      </c>
      <c r="G1326" t="s">
        <v>686</v>
      </c>
      <c r="I1326" t="s">
        <v>1205</v>
      </c>
      <c r="J1326">
        <v>1465</v>
      </c>
    </row>
    <row r="1327" spans="1:10" x14ac:dyDescent="0.3">
      <c r="A1327">
        <v>1487</v>
      </c>
      <c r="B1327" t="s">
        <v>1677</v>
      </c>
      <c r="C1327" t="s">
        <v>1202</v>
      </c>
      <c r="D1327" t="s">
        <v>1203</v>
      </c>
      <c r="E1327" t="s">
        <v>1204</v>
      </c>
      <c r="F1327">
        <v>5663</v>
      </c>
      <c r="G1327" t="s">
        <v>698</v>
      </c>
      <c r="I1327" t="s">
        <v>1205</v>
      </c>
      <c r="J1327">
        <v>355</v>
      </c>
    </row>
    <row r="1328" spans="1:10" x14ac:dyDescent="0.3">
      <c r="A1328">
        <v>1487</v>
      </c>
      <c r="B1328" t="s">
        <v>1677</v>
      </c>
      <c r="C1328" t="s">
        <v>1202</v>
      </c>
      <c r="D1328" t="s">
        <v>1203</v>
      </c>
      <c r="E1328" t="s">
        <v>1204</v>
      </c>
      <c r="F1328">
        <v>5663</v>
      </c>
      <c r="G1328" t="s">
        <v>696</v>
      </c>
      <c r="I1328" t="s">
        <v>1205</v>
      </c>
      <c r="J1328">
        <v>4797</v>
      </c>
    </row>
    <row r="1329" spans="1:10" x14ac:dyDescent="0.3">
      <c r="A1329">
        <v>1487</v>
      </c>
      <c r="B1329" t="s">
        <v>1677</v>
      </c>
      <c r="C1329" t="s">
        <v>1202</v>
      </c>
      <c r="D1329" t="s">
        <v>1203</v>
      </c>
      <c r="E1329" t="s">
        <v>1204</v>
      </c>
      <c r="F1329">
        <v>5663</v>
      </c>
      <c r="G1329" t="s">
        <v>700</v>
      </c>
      <c r="I1329" t="s">
        <v>1205</v>
      </c>
      <c r="J1329">
        <v>1107</v>
      </c>
    </row>
    <row r="1330" spans="1:10" x14ac:dyDescent="0.3">
      <c r="A1330">
        <v>1487</v>
      </c>
      <c r="B1330" t="s">
        <v>1677</v>
      </c>
      <c r="C1330" t="s">
        <v>1202</v>
      </c>
      <c r="D1330" t="s">
        <v>1203</v>
      </c>
      <c r="E1330" t="s">
        <v>1204</v>
      </c>
      <c r="F1330">
        <v>5663</v>
      </c>
      <c r="G1330" t="s">
        <v>702</v>
      </c>
      <c r="I1330" t="s">
        <v>1205</v>
      </c>
      <c r="J1330">
        <v>584</v>
      </c>
    </row>
    <row r="1331" spans="1:10" x14ac:dyDescent="0.3">
      <c r="A1331">
        <v>1506</v>
      </c>
      <c r="B1331" t="s">
        <v>1678</v>
      </c>
      <c r="C1331" t="s">
        <v>1202</v>
      </c>
      <c r="D1331" t="s">
        <v>159</v>
      </c>
      <c r="E1331" t="s">
        <v>159</v>
      </c>
      <c r="F1331">
        <v>7862</v>
      </c>
      <c r="G1331" t="s">
        <v>686</v>
      </c>
      <c r="I1331" t="s">
        <v>1205</v>
      </c>
      <c r="J1331">
        <v>493</v>
      </c>
    </row>
    <row r="1332" spans="1:10" x14ac:dyDescent="0.3">
      <c r="A1332">
        <v>1506</v>
      </c>
      <c r="B1332" t="s">
        <v>1678</v>
      </c>
      <c r="C1332" t="s">
        <v>1202</v>
      </c>
      <c r="D1332" t="s">
        <v>159</v>
      </c>
      <c r="E1332" t="s">
        <v>159</v>
      </c>
      <c r="F1332">
        <v>7862</v>
      </c>
      <c r="G1332" t="s">
        <v>696</v>
      </c>
      <c r="I1332" t="s">
        <v>1205</v>
      </c>
      <c r="J1332">
        <v>2018</v>
      </c>
    </row>
    <row r="1333" spans="1:10" x14ac:dyDescent="0.3">
      <c r="A1333">
        <v>1506</v>
      </c>
      <c r="B1333" t="s">
        <v>1678</v>
      </c>
      <c r="C1333" t="s">
        <v>1202</v>
      </c>
      <c r="D1333" t="s">
        <v>159</v>
      </c>
      <c r="E1333" t="s">
        <v>159</v>
      </c>
      <c r="F1333">
        <v>7862</v>
      </c>
      <c r="G1333" t="s">
        <v>700</v>
      </c>
      <c r="I1333" t="s">
        <v>1205</v>
      </c>
      <c r="J1333">
        <v>1918</v>
      </c>
    </row>
    <row r="1334" spans="1:10" x14ac:dyDescent="0.3">
      <c r="A1334">
        <v>1506</v>
      </c>
      <c r="B1334" t="s">
        <v>1678</v>
      </c>
      <c r="C1334" t="s">
        <v>1202</v>
      </c>
      <c r="D1334" t="s">
        <v>159</v>
      </c>
      <c r="E1334" t="s">
        <v>159</v>
      </c>
      <c r="F1334">
        <v>7862</v>
      </c>
      <c r="G1334" t="s">
        <v>701</v>
      </c>
      <c r="I1334" t="s">
        <v>1205</v>
      </c>
      <c r="J1334">
        <v>219</v>
      </c>
    </row>
    <row r="1335" spans="1:10" x14ac:dyDescent="0.3">
      <c r="A1335">
        <v>1506</v>
      </c>
      <c r="B1335" t="s">
        <v>1678</v>
      </c>
      <c r="C1335" t="s">
        <v>1202</v>
      </c>
      <c r="D1335" t="s">
        <v>159</v>
      </c>
      <c r="E1335" t="s">
        <v>159</v>
      </c>
      <c r="F1335">
        <v>7862</v>
      </c>
      <c r="G1335" t="s">
        <v>698</v>
      </c>
      <c r="I1335" t="s">
        <v>1205</v>
      </c>
      <c r="J1335">
        <v>636</v>
      </c>
    </row>
    <row r="1336" spans="1:10" x14ac:dyDescent="0.3">
      <c r="A1336">
        <v>1533</v>
      </c>
      <c r="B1336" t="s">
        <v>1679</v>
      </c>
      <c r="C1336" t="s">
        <v>1202</v>
      </c>
      <c r="D1336" t="s">
        <v>159</v>
      </c>
      <c r="E1336" t="s">
        <v>159</v>
      </c>
      <c r="F1336">
        <v>8052</v>
      </c>
      <c r="G1336" t="s">
        <v>696</v>
      </c>
      <c r="I1336" t="s">
        <v>1205</v>
      </c>
      <c r="J1336">
        <v>467</v>
      </c>
    </row>
    <row r="1337" spans="1:10" x14ac:dyDescent="0.3">
      <c r="A1337">
        <v>1533</v>
      </c>
      <c r="B1337" t="s">
        <v>1679</v>
      </c>
      <c r="C1337" t="s">
        <v>1202</v>
      </c>
      <c r="D1337" t="s">
        <v>159</v>
      </c>
      <c r="E1337" t="s">
        <v>159</v>
      </c>
      <c r="F1337">
        <v>8052</v>
      </c>
      <c r="G1337" t="s">
        <v>698</v>
      </c>
      <c r="H1337" t="s">
        <v>1680</v>
      </c>
      <c r="I1337" t="s">
        <v>1205</v>
      </c>
      <c r="J1337">
        <v>736</v>
      </c>
    </row>
    <row r="1338" spans="1:10" x14ac:dyDescent="0.3">
      <c r="A1338">
        <v>1533</v>
      </c>
      <c r="B1338" t="s">
        <v>1679</v>
      </c>
      <c r="C1338" t="s">
        <v>1202</v>
      </c>
      <c r="D1338" t="s">
        <v>159</v>
      </c>
      <c r="E1338" t="s">
        <v>159</v>
      </c>
      <c r="F1338">
        <v>8052</v>
      </c>
      <c r="G1338" t="s">
        <v>700</v>
      </c>
      <c r="H1338" t="s">
        <v>1681</v>
      </c>
      <c r="I1338" t="s">
        <v>1205</v>
      </c>
      <c r="J1338">
        <v>304</v>
      </c>
    </row>
    <row r="1339" spans="1:10" x14ac:dyDescent="0.3">
      <c r="A1339">
        <v>1533</v>
      </c>
      <c r="B1339" t="s">
        <v>1679</v>
      </c>
      <c r="C1339" t="s">
        <v>1202</v>
      </c>
      <c r="D1339" t="s">
        <v>159</v>
      </c>
      <c r="E1339" t="s">
        <v>159</v>
      </c>
      <c r="F1339">
        <v>8052</v>
      </c>
      <c r="G1339" t="s">
        <v>703</v>
      </c>
      <c r="H1339" t="s">
        <v>1682</v>
      </c>
      <c r="I1339" t="s">
        <v>1205</v>
      </c>
      <c r="J1339">
        <v>55</v>
      </c>
    </row>
    <row r="1340" spans="1:10" x14ac:dyDescent="0.3">
      <c r="A1340">
        <v>1533</v>
      </c>
      <c r="B1340" t="s">
        <v>1679</v>
      </c>
      <c r="C1340" t="s">
        <v>1202</v>
      </c>
      <c r="D1340" t="s">
        <v>159</v>
      </c>
      <c r="E1340" t="s">
        <v>159</v>
      </c>
      <c r="F1340">
        <v>8052</v>
      </c>
      <c r="G1340" t="s">
        <v>692</v>
      </c>
      <c r="H1340" t="s">
        <v>1683</v>
      </c>
      <c r="I1340" t="s">
        <v>1210</v>
      </c>
      <c r="J1340">
        <v>62</v>
      </c>
    </row>
    <row r="1341" spans="1:10" x14ac:dyDescent="0.3">
      <c r="A1341">
        <v>1533</v>
      </c>
      <c r="B1341" t="s">
        <v>1679</v>
      </c>
      <c r="C1341" t="s">
        <v>1202</v>
      </c>
      <c r="D1341" t="s">
        <v>159</v>
      </c>
      <c r="E1341" t="s">
        <v>159</v>
      </c>
      <c r="F1341">
        <v>8052</v>
      </c>
      <c r="G1341" t="s">
        <v>686</v>
      </c>
      <c r="I1341" t="s">
        <v>1205</v>
      </c>
      <c r="J1341">
        <v>148</v>
      </c>
    </row>
    <row r="1342" spans="1:10" x14ac:dyDescent="0.3">
      <c r="A1342">
        <v>1533</v>
      </c>
      <c r="B1342" t="s">
        <v>1679</v>
      </c>
      <c r="C1342" t="s">
        <v>1202</v>
      </c>
      <c r="D1342" t="s">
        <v>159</v>
      </c>
      <c r="E1342" t="s">
        <v>159</v>
      </c>
      <c r="F1342">
        <v>8052</v>
      </c>
      <c r="G1342" t="s">
        <v>702</v>
      </c>
      <c r="H1342" t="s">
        <v>1663</v>
      </c>
      <c r="I1342" t="s">
        <v>1205</v>
      </c>
      <c r="J1342">
        <v>251</v>
      </c>
    </row>
    <row r="1343" spans="1:10" x14ac:dyDescent="0.3">
      <c r="A1343">
        <v>1536</v>
      </c>
      <c r="B1343" t="s">
        <v>1684</v>
      </c>
      <c r="C1343" t="s">
        <v>1202</v>
      </c>
      <c r="D1343" t="s">
        <v>1203</v>
      </c>
      <c r="E1343" t="s">
        <v>1204</v>
      </c>
      <c r="F1343">
        <v>5518</v>
      </c>
      <c r="G1343" t="s">
        <v>698</v>
      </c>
      <c r="I1343" t="s">
        <v>1205</v>
      </c>
      <c r="J1343">
        <v>350</v>
      </c>
    </row>
    <row r="1344" spans="1:10" x14ac:dyDescent="0.3">
      <c r="A1344">
        <v>1536</v>
      </c>
      <c r="B1344" t="s">
        <v>1684</v>
      </c>
      <c r="C1344" t="s">
        <v>1202</v>
      </c>
      <c r="D1344" t="s">
        <v>1203</v>
      </c>
      <c r="E1344" t="s">
        <v>1204</v>
      </c>
      <c r="F1344">
        <v>5518</v>
      </c>
      <c r="G1344" t="s">
        <v>700</v>
      </c>
      <c r="H1344" t="s">
        <v>1685</v>
      </c>
      <c r="I1344" t="s">
        <v>1205</v>
      </c>
      <c r="J1344">
        <v>617</v>
      </c>
    </row>
    <row r="1345" spans="1:10" x14ac:dyDescent="0.3">
      <c r="A1345">
        <v>1536</v>
      </c>
      <c r="B1345" t="s">
        <v>1684</v>
      </c>
      <c r="C1345" t="s">
        <v>1202</v>
      </c>
      <c r="D1345" t="s">
        <v>1203</v>
      </c>
      <c r="E1345" t="s">
        <v>1204</v>
      </c>
      <c r="F1345">
        <v>5518</v>
      </c>
      <c r="G1345" t="s">
        <v>701</v>
      </c>
      <c r="I1345" t="s">
        <v>1205</v>
      </c>
      <c r="J1345">
        <v>241</v>
      </c>
    </row>
    <row r="1346" spans="1:10" x14ac:dyDescent="0.3">
      <c r="A1346">
        <v>1536</v>
      </c>
      <c r="B1346" t="s">
        <v>1684</v>
      </c>
      <c r="C1346" t="s">
        <v>1202</v>
      </c>
      <c r="D1346" t="s">
        <v>1203</v>
      </c>
      <c r="E1346" t="s">
        <v>1204</v>
      </c>
      <c r="F1346">
        <v>5518</v>
      </c>
      <c r="G1346" t="s">
        <v>702</v>
      </c>
      <c r="I1346" t="s">
        <v>1205</v>
      </c>
      <c r="J1346">
        <v>202</v>
      </c>
    </row>
    <row r="1347" spans="1:10" x14ac:dyDescent="0.3">
      <c r="A1347">
        <v>1536</v>
      </c>
      <c r="B1347" t="s">
        <v>1684</v>
      </c>
      <c r="C1347" t="s">
        <v>1202</v>
      </c>
      <c r="D1347" t="s">
        <v>1203</v>
      </c>
      <c r="E1347" t="s">
        <v>1204</v>
      </c>
      <c r="F1347">
        <v>5518</v>
      </c>
      <c r="G1347" t="s">
        <v>686</v>
      </c>
      <c r="I1347" t="s">
        <v>1205</v>
      </c>
      <c r="J1347">
        <v>245</v>
      </c>
    </row>
    <row r="1348" spans="1:10" x14ac:dyDescent="0.3">
      <c r="A1348">
        <v>1536</v>
      </c>
      <c r="B1348" t="s">
        <v>1684</v>
      </c>
      <c r="C1348" t="s">
        <v>1202</v>
      </c>
      <c r="D1348" t="s">
        <v>1203</v>
      </c>
      <c r="E1348" t="s">
        <v>1204</v>
      </c>
      <c r="F1348">
        <v>5518</v>
      </c>
      <c r="G1348" t="s">
        <v>696</v>
      </c>
      <c r="I1348" t="s">
        <v>1205</v>
      </c>
      <c r="J1348">
        <v>3202</v>
      </c>
    </row>
    <row r="1349" spans="1:10" x14ac:dyDescent="0.3">
      <c r="A1349">
        <v>1546</v>
      </c>
      <c r="B1349" t="s">
        <v>1686</v>
      </c>
      <c r="C1349" t="s">
        <v>1202</v>
      </c>
      <c r="D1349" t="s">
        <v>159</v>
      </c>
      <c r="E1349" t="s">
        <v>159</v>
      </c>
      <c r="F1349">
        <v>8065</v>
      </c>
      <c r="G1349" t="s">
        <v>696</v>
      </c>
      <c r="I1349" t="s">
        <v>1205</v>
      </c>
      <c r="J1349">
        <v>15287</v>
      </c>
    </row>
    <row r="1350" spans="1:10" x14ac:dyDescent="0.3">
      <c r="A1350">
        <v>1546</v>
      </c>
      <c r="B1350" t="s">
        <v>1686</v>
      </c>
      <c r="C1350" t="s">
        <v>1202</v>
      </c>
      <c r="D1350" t="s">
        <v>159</v>
      </c>
      <c r="E1350" t="s">
        <v>159</v>
      </c>
      <c r="F1350">
        <v>8065</v>
      </c>
      <c r="G1350" t="s">
        <v>694</v>
      </c>
      <c r="H1350" t="s">
        <v>1687</v>
      </c>
      <c r="I1350" t="s">
        <v>1210</v>
      </c>
      <c r="J1350">
        <v>12699</v>
      </c>
    </row>
    <row r="1351" spans="1:10" x14ac:dyDescent="0.3">
      <c r="A1351">
        <v>1546</v>
      </c>
      <c r="B1351" t="s">
        <v>1686</v>
      </c>
      <c r="C1351" t="s">
        <v>1202</v>
      </c>
      <c r="D1351" t="s">
        <v>159</v>
      </c>
      <c r="E1351" t="s">
        <v>159</v>
      </c>
      <c r="F1351">
        <v>8065</v>
      </c>
      <c r="G1351" t="s">
        <v>691</v>
      </c>
      <c r="H1351" t="s">
        <v>1688</v>
      </c>
      <c r="I1351" t="s">
        <v>1205</v>
      </c>
      <c r="J1351">
        <v>748</v>
      </c>
    </row>
    <row r="1352" spans="1:10" x14ac:dyDescent="0.3">
      <c r="A1352">
        <v>1546</v>
      </c>
      <c r="B1352" t="s">
        <v>1686</v>
      </c>
      <c r="C1352" t="s">
        <v>1202</v>
      </c>
      <c r="D1352" t="s">
        <v>159</v>
      </c>
      <c r="E1352" t="s">
        <v>159</v>
      </c>
      <c r="F1352">
        <v>8065</v>
      </c>
      <c r="G1352" t="s">
        <v>691</v>
      </c>
      <c r="H1352" t="s">
        <v>1689</v>
      </c>
      <c r="I1352" t="s">
        <v>1205</v>
      </c>
      <c r="J1352">
        <v>0</v>
      </c>
    </row>
    <row r="1353" spans="1:10" x14ac:dyDescent="0.3">
      <c r="A1353">
        <v>1546</v>
      </c>
      <c r="B1353" t="s">
        <v>1686</v>
      </c>
      <c r="C1353" t="s">
        <v>1202</v>
      </c>
      <c r="D1353" t="s">
        <v>159</v>
      </c>
      <c r="E1353" t="s">
        <v>159</v>
      </c>
      <c r="F1353">
        <v>8065</v>
      </c>
      <c r="G1353" t="s">
        <v>692</v>
      </c>
      <c r="H1353" t="s">
        <v>1690</v>
      </c>
      <c r="I1353" t="s">
        <v>1210</v>
      </c>
      <c r="J1353">
        <v>180</v>
      </c>
    </row>
    <row r="1354" spans="1:10" x14ac:dyDescent="0.3">
      <c r="A1354">
        <v>1546</v>
      </c>
      <c r="B1354" t="s">
        <v>1686</v>
      </c>
      <c r="C1354" t="s">
        <v>1202</v>
      </c>
      <c r="D1354" t="s">
        <v>159</v>
      </c>
      <c r="E1354" t="s">
        <v>159</v>
      </c>
      <c r="F1354">
        <v>8065</v>
      </c>
      <c r="G1354" t="s">
        <v>698</v>
      </c>
      <c r="I1354" t="s">
        <v>1205</v>
      </c>
      <c r="J1354">
        <v>3311</v>
      </c>
    </row>
    <row r="1355" spans="1:10" x14ac:dyDescent="0.3">
      <c r="A1355">
        <v>1546</v>
      </c>
      <c r="B1355" t="s">
        <v>1686</v>
      </c>
      <c r="C1355" t="s">
        <v>1202</v>
      </c>
      <c r="D1355" t="s">
        <v>159</v>
      </c>
      <c r="E1355" t="s">
        <v>159</v>
      </c>
      <c r="F1355">
        <v>8065</v>
      </c>
      <c r="G1355" t="s">
        <v>691</v>
      </c>
      <c r="H1355" t="s">
        <v>1691</v>
      </c>
      <c r="I1355" t="s">
        <v>1205</v>
      </c>
      <c r="J1355">
        <v>62</v>
      </c>
    </row>
    <row r="1356" spans="1:10" x14ac:dyDescent="0.3">
      <c r="A1356">
        <v>1546</v>
      </c>
      <c r="B1356" t="s">
        <v>1686</v>
      </c>
      <c r="C1356" t="s">
        <v>1202</v>
      </c>
      <c r="D1356" t="s">
        <v>159</v>
      </c>
      <c r="E1356" t="s">
        <v>159</v>
      </c>
      <c r="F1356">
        <v>8065</v>
      </c>
      <c r="G1356" t="s">
        <v>702</v>
      </c>
      <c r="I1356" t="s">
        <v>1205</v>
      </c>
      <c r="J1356">
        <v>1525</v>
      </c>
    </row>
    <row r="1357" spans="1:10" x14ac:dyDescent="0.3">
      <c r="A1357">
        <v>1546</v>
      </c>
      <c r="B1357" t="s">
        <v>1686</v>
      </c>
      <c r="C1357" t="s">
        <v>1202</v>
      </c>
      <c r="D1357" t="s">
        <v>159</v>
      </c>
      <c r="E1357" t="s">
        <v>159</v>
      </c>
      <c r="F1357">
        <v>8065</v>
      </c>
      <c r="G1357" t="s">
        <v>703</v>
      </c>
      <c r="I1357" t="s">
        <v>1205</v>
      </c>
      <c r="J1357">
        <v>1323</v>
      </c>
    </row>
    <row r="1358" spans="1:10" x14ac:dyDescent="0.3">
      <c r="A1358">
        <v>1546</v>
      </c>
      <c r="B1358" t="s">
        <v>1686</v>
      </c>
      <c r="C1358" t="s">
        <v>1202</v>
      </c>
      <c r="D1358" t="s">
        <v>159</v>
      </c>
      <c r="E1358" t="s">
        <v>159</v>
      </c>
      <c r="F1358">
        <v>8065</v>
      </c>
      <c r="G1358" t="s">
        <v>700</v>
      </c>
      <c r="H1358" t="s">
        <v>1692</v>
      </c>
      <c r="I1358" t="s">
        <v>1205</v>
      </c>
      <c r="J1358">
        <v>2282</v>
      </c>
    </row>
    <row r="1359" spans="1:10" x14ac:dyDescent="0.3">
      <c r="A1359">
        <v>1546</v>
      </c>
      <c r="B1359" t="s">
        <v>1686</v>
      </c>
      <c r="C1359" t="s">
        <v>1202</v>
      </c>
      <c r="D1359" t="s">
        <v>159</v>
      </c>
      <c r="E1359" t="s">
        <v>159</v>
      </c>
      <c r="F1359">
        <v>8065</v>
      </c>
      <c r="G1359" t="s">
        <v>686</v>
      </c>
      <c r="H1359" t="s">
        <v>1344</v>
      </c>
      <c r="I1359" t="s">
        <v>1205</v>
      </c>
      <c r="J1359">
        <v>2732</v>
      </c>
    </row>
    <row r="1360" spans="1:10" x14ac:dyDescent="0.3">
      <c r="A1360">
        <v>1547</v>
      </c>
      <c r="B1360" t="s">
        <v>1693</v>
      </c>
      <c r="C1360" t="s">
        <v>1202</v>
      </c>
      <c r="D1360" t="s">
        <v>159</v>
      </c>
      <c r="E1360" t="s">
        <v>159</v>
      </c>
      <c r="F1360">
        <v>5782</v>
      </c>
      <c r="G1360" t="s">
        <v>702</v>
      </c>
      <c r="I1360" t="s">
        <v>1205</v>
      </c>
      <c r="J1360">
        <v>523</v>
      </c>
    </row>
    <row r="1361" spans="1:10" x14ac:dyDescent="0.3">
      <c r="A1361">
        <v>1547</v>
      </c>
      <c r="B1361" t="s">
        <v>1693</v>
      </c>
      <c r="C1361" t="s">
        <v>1202</v>
      </c>
      <c r="D1361" t="s">
        <v>159</v>
      </c>
      <c r="E1361" t="s">
        <v>159</v>
      </c>
      <c r="F1361">
        <v>5782</v>
      </c>
      <c r="G1361" t="s">
        <v>696</v>
      </c>
      <c r="I1361" t="s">
        <v>1205</v>
      </c>
      <c r="J1361">
        <v>1179</v>
      </c>
    </row>
    <row r="1362" spans="1:10" x14ac:dyDescent="0.3">
      <c r="A1362">
        <v>1547</v>
      </c>
      <c r="B1362" t="s">
        <v>1693</v>
      </c>
      <c r="C1362" t="s">
        <v>1202</v>
      </c>
      <c r="D1362" t="s">
        <v>159</v>
      </c>
      <c r="E1362" t="s">
        <v>159</v>
      </c>
      <c r="F1362">
        <v>5782</v>
      </c>
      <c r="G1362" t="s">
        <v>698</v>
      </c>
      <c r="I1362" t="s">
        <v>1205</v>
      </c>
      <c r="J1362">
        <v>938</v>
      </c>
    </row>
    <row r="1363" spans="1:10" x14ac:dyDescent="0.3">
      <c r="A1363">
        <v>1547</v>
      </c>
      <c r="B1363" t="s">
        <v>1693</v>
      </c>
      <c r="C1363" t="s">
        <v>1202</v>
      </c>
      <c r="D1363" t="s">
        <v>159</v>
      </c>
      <c r="E1363" t="s">
        <v>159</v>
      </c>
      <c r="F1363">
        <v>5782</v>
      </c>
      <c r="G1363" t="s">
        <v>700</v>
      </c>
      <c r="I1363" t="s">
        <v>1205</v>
      </c>
      <c r="J1363">
        <v>325</v>
      </c>
    </row>
    <row r="1364" spans="1:10" x14ac:dyDescent="0.3">
      <c r="A1364">
        <v>1547</v>
      </c>
      <c r="B1364" t="s">
        <v>1693</v>
      </c>
      <c r="C1364" t="s">
        <v>1202</v>
      </c>
      <c r="D1364" t="s">
        <v>159</v>
      </c>
      <c r="E1364" t="s">
        <v>159</v>
      </c>
      <c r="F1364">
        <v>5782</v>
      </c>
      <c r="G1364" t="s">
        <v>701</v>
      </c>
      <c r="I1364" t="s">
        <v>1205</v>
      </c>
      <c r="J1364">
        <v>1</v>
      </c>
    </row>
    <row r="1365" spans="1:10" x14ac:dyDescent="0.3">
      <c r="A1365">
        <v>1547</v>
      </c>
      <c r="B1365" t="s">
        <v>1693</v>
      </c>
      <c r="C1365" t="s">
        <v>1202</v>
      </c>
      <c r="D1365" t="s">
        <v>159</v>
      </c>
      <c r="E1365" t="s">
        <v>159</v>
      </c>
      <c r="F1365">
        <v>5782</v>
      </c>
      <c r="G1365" t="s">
        <v>703</v>
      </c>
      <c r="I1365" t="s">
        <v>1205</v>
      </c>
      <c r="J1365">
        <v>138</v>
      </c>
    </row>
    <row r="1366" spans="1:10" x14ac:dyDescent="0.3">
      <c r="A1366">
        <v>1547</v>
      </c>
      <c r="B1366" t="s">
        <v>1693</v>
      </c>
      <c r="C1366" t="s">
        <v>1202</v>
      </c>
      <c r="D1366" t="s">
        <v>159</v>
      </c>
      <c r="E1366" t="s">
        <v>159</v>
      </c>
      <c r="F1366">
        <v>5782</v>
      </c>
      <c r="G1366" t="s">
        <v>686</v>
      </c>
      <c r="I1366" t="s">
        <v>1205</v>
      </c>
      <c r="J1366">
        <v>187</v>
      </c>
    </row>
    <row r="1367" spans="1:10" x14ac:dyDescent="0.3">
      <c r="A1367">
        <v>1554</v>
      </c>
      <c r="B1367" t="s">
        <v>1694</v>
      </c>
      <c r="C1367" t="s">
        <v>1202</v>
      </c>
      <c r="D1367" t="s">
        <v>1203</v>
      </c>
      <c r="E1367" t="s">
        <v>1204</v>
      </c>
      <c r="F1367">
        <v>5469</v>
      </c>
      <c r="G1367" t="s">
        <v>686</v>
      </c>
      <c r="I1367" t="s">
        <v>1205</v>
      </c>
      <c r="J1367">
        <v>1329</v>
      </c>
    </row>
    <row r="1368" spans="1:10" x14ac:dyDescent="0.3">
      <c r="A1368">
        <v>1554</v>
      </c>
      <c r="B1368" t="s">
        <v>1694</v>
      </c>
      <c r="C1368" t="s">
        <v>1202</v>
      </c>
      <c r="D1368" t="s">
        <v>1203</v>
      </c>
      <c r="E1368" t="s">
        <v>1204</v>
      </c>
      <c r="F1368">
        <v>5469</v>
      </c>
      <c r="G1368" t="s">
        <v>701</v>
      </c>
      <c r="I1368" t="s">
        <v>1205</v>
      </c>
      <c r="J1368">
        <v>158</v>
      </c>
    </row>
    <row r="1369" spans="1:10" x14ac:dyDescent="0.3">
      <c r="A1369">
        <v>1554</v>
      </c>
      <c r="B1369" t="s">
        <v>1694</v>
      </c>
      <c r="C1369" t="s">
        <v>1202</v>
      </c>
      <c r="D1369" t="s">
        <v>1203</v>
      </c>
      <c r="E1369" t="s">
        <v>1204</v>
      </c>
      <c r="F1369">
        <v>5469</v>
      </c>
      <c r="G1369" t="s">
        <v>702</v>
      </c>
      <c r="I1369" t="s">
        <v>1205</v>
      </c>
      <c r="J1369">
        <v>277</v>
      </c>
    </row>
    <row r="1370" spans="1:10" x14ac:dyDescent="0.3">
      <c r="A1370">
        <v>1554</v>
      </c>
      <c r="B1370" t="s">
        <v>1694</v>
      </c>
      <c r="C1370" t="s">
        <v>1202</v>
      </c>
      <c r="D1370" t="s">
        <v>1203</v>
      </c>
      <c r="E1370" t="s">
        <v>1204</v>
      </c>
      <c r="F1370">
        <v>5469</v>
      </c>
      <c r="G1370" t="s">
        <v>700</v>
      </c>
      <c r="H1370" t="s">
        <v>1264</v>
      </c>
      <c r="I1370" t="s">
        <v>1205</v>
      </c>
      <c r="J1370">
        <v>646</v>
      </c>
    </row>
    <row r="1371" spans="1:10" x14ac:dyDescent="0.3">
      <c r="A1371">
        <v>1554</v>
      </c>
      <c r="B1371" t="s">
        <v>1694</v>
      </c>
      <c r="C1371" t="s">
        <v>1202</v>
      </c>
      <c r="D1371" t="s">
        <v>1203</v>
      </c>
      <c r="E1371" t="s">
        <v>1204</v>
      </c>
      <c r="F1371">
        <v>5469</v>
      </c>
      <c r="G1371" t="s">
        <v>698</v>
      </c>
      <c r="I1371" t="s">
        <v>1205</v>
      </c>
      <c r="J1371">
        <v>402</v>
      </c>
    </row>
    <row r="1372" spans="1:10" x14ac:dyDescent="0.3">
      <c r="A1372">
        <v>1554</v>
      </c>
      <c r="B1372" t="s">
        <v>1694</v>
      </c>
      <c r="C1372" t="s">
        <v>1202</v>
      </c>
      <c r="D1372" t="s">
        <v>1203</v>
      </c>
      <c r="E1372" t="s">
        <v>1204</v>
      </c>
      <c r="F1372">
        <v>5469</v>
      </c>
      <c r="G1372" t="s">
        <v>696</v>
      </c>
      <c r="I1372" t="s">
        <v>1205</v>
      </c>
      <c r="J1372">
        <v>2340</v>
      </c>
    </row>
    <row r="1373" spans="1:10" x14ac:dyDescent="0.3">
      <c r="A1373">
        <v>3056</v>
      </c>
      <c r="B1373" t="s">
        <v>1695</v>
      </c>
      <c r="C1373" t="s">
        <v>1202</v>
      </c>
      <c r="D1373" t="s">
        <v>1203</v>
      </c>
      <c r="E1373" t="s">
        <v>1204</v>
      </c>
      <c r="F1373">
        <v>8088</v>
      </c>
      <c r="G1373" t="s">
        <v>691</v>
      </c>
      <c r="H1373" t="s">
        <v>1496</v>
      </c>
      <c r="I1373" t="s">
        <v>1205</v>
      </c>
      <c r="J1373">
        <v>1184.5907101</v>
      </c>
    </row>
    <row r="1374" spans="1:10" x14ac:dyDescent="0.3">
      <c r="A1374">
        <v>3056</v>
      </c>
      <c r="B1374" t="s">
        <v>1695</v>
      </c>
      <c r="C1374" t="s">
        <v>1202</v>
      </c>
      <c r="D1374" t="s">
        <v>1203</v>
      </c>
      <c r="E1374" t="s">
        <v>1204</v>
      </c>
      <c r="F1374">
        <v>8088</v>
      </c>
      <c r="G1374" t="s">
        <v>691</v>
      </c>
      <c r="H1374" t="s">
        <v>1696</v>
      </c>
      <c r="I1374" t="s">
        <v>1205</v>
      </c>
      <c r="J1374">
        <v>205.61548594999999</v>
      </c>
    </row>
    <row r="1375" spans="1:10" x14ac:dyDescent="0.3">
      <c r="A1375">
        <v>3056</v>
      </c>
      <c r="B1375" t="s">
        <v>1695</v>
      </c>
      <c r="C1375" t="s">
        <v>1202</v>
      </c>
      <c r="D1375" t="s">
        <v>1203</v>
      </c>
      <c r="E1375" t="s">
        <v>1204</v>
      </c>
      <c r="F1375">
        <v>8088</v>
      </c>
      <c r="G1375" t="s">
        <v>686</v>
      </c>
      <c r="H1375" t="s">
        <v>1269</v>
      </c>
      <c r="I1375" t="s">
        <v>1205</v>
      </c>
      <c r="J1375">
        <v>49.102205599999998</v>
      </c>
    </row>
    <row r="1376" spans="1:10" x14ac:dyDescent="0.3">
      <c r="A1376">
        <v>1570</v>
      </c>
      <c r="B1376" t="s">
        <v>1697</v>
      </c>
      <c r="C1376" t="s">
        <v>1202</v>
      </c>
      <c r="D1376" t="s">
        <v>159</v>
      </c>
      <c r="E1376" t="s">
        <v>159</v>
      </c>
      <c r="F1376">
        <v>6877</v>
      </c>
      <c r="G1376" t="s">
        <v>702</v>
      </c>
      <c r="I1376" t="s">
        <v>1205</v>
      </c>
      <c r="J1376">
        <v>12.275551399999999</v>
      </c>
    </row>
    <row r="1377" spans="1:10" x14ac:dyDescent="0.3">
      <c r="A1377">
        <v>1570</v>
      </c>
      <c r="B1377" t="s">
        <v>1697</v>
      </c>
      <c r="C1377" t="s">
        <v>1202</v>
      </c>
      <c r="D1377" t="s">
        <v>159</v>
      </c>
      <c r="E1377" t="s">
        <v>159</v>
      </c>
      <c r="F1377">
        <v>6877</v>
      </c>
      <c r="G1377" t="s">
        <v>698</v>
      </c>
      <c r="I1377" t="s">
        <v>1205</v>
      </c>
      <c r="J1377">
        <v>248.57991584999999</v>
      </c>
    </row>
    <row r="1378" spans="1:10" x14ac:dyDescent="0.3">
      <c r="A1378">
        <v>1570</v>
      </c>
      <c r="B1378" t="s">
        <v>1697</v>
      </c>
      <c r="C1378" t="s">
        <v>1202</v>
      </c>
      <c r="D1378" t="s">
        <v>159</v>
      </c>
      <c r="E1378" t="s">
        <v>159</v>
      </c>
      <c r="F1378">
        <v>6877</v>
      </c>
      <c r="G1378" t="s">
        <v>691</v>
      </c>
      <c r="H1378" t="s">
        <v>1698</v>
      </c>
      <c r="I1378" t="s">
        <v>1205</v>
      </c>
      <c r="J1378">
        <v>9.20666355</v>
      </c>
    </row>
    <row r="1379" spans="1:10" x14ac:dyDescent="0.3">
      <c r="A1379">
        <v>1570</v>
      </c>
      <c r="B1379" t="s">
        <v>1697</v>
      </c>
      <c r="C1379" t="s">
        <v>1202</v>
      </c>
      <c r="D1379" t="s">
        <v>159</v>
      </c>
      <c r="E1379" t="s">
        <v>159</v>
      </c>
      <c r="F1379">
        <v>6877</v>
      </c>
      <c r="G1379" t="s">
        <v>705</v>
      </c>
      <c r="I1379" t="s">
        <v>1205</v>
      </c>
      <c r="J1379">
        <v>24.551102799999999</v>
      </c>
    </row>
    <row r="1380" spans="1:10" x14ac:dyDescent="0.3">
      <c r="A1380">
        <v>1570</v>
      </c>
      <c r="B1380" t="s">
        <v>1697</v>
      </c>
      <c r="C1380" t="s">
        <v>1202</v>
      </c>
      <c r="D1380" t="s">
        <v>159</v>
      </c>
      <c r="E1380" t="s">
        <v>159</v>
      </c>
      <c r="F1380">
        <v>6877</v>
      </c>
      <c r="G1380" t="s">
        <v>703</v>
      </c>
      <c r="I1380" t="s">
        <v>1205</v>
      </c>
      <c r="J1380">
        <v>49.102205599999998</v>
      </c>
    </row>
    <row r="1381" spans="1:10" x14ac:dyDescent="0.3">
      <c r="A1381">
        <v>1570</v>
      </c>
      <c r="B1381" t="s">
        <v>1697</v>
      </c>
      <c r="C1381" t="s">
        <v>1202</v>
      </c>
      <c r="D1381" t="s">
        <v>159</v>
      </c>
      <c r="E1381" t="s">
        <v>159</v>
      </c>
      <c r="F1381">
        <v>6877</v>
      </c>
      <c r="G1381" t="s">
        <v>700</v>
      </c>
      <c r="I1381" t="s">
        <v>1205</v>
      </c>
      <c r="J1381">
        <v>122.75551400000001</v>
      </c>
    </row>
    <row r="1382" spans="1:10" x14ac:dyDescent="0.3">
      <c r="A1382">
        <v>1570</v>
      </c>
      <c r="B1382" t="s">
        <v>1697</v>
      </c>
      <c r="C1382" t="s">
        <v>1202</v>
      </c>
      <c r="D1382" t="s">
        <v>159</v>
      </c>
      <c r="E1382" t="s">
        <v>159</v>
      </c>
      <c r="F1382">
        <v>6877</v>
      </c>
      <c r="G1382" t="s">
        <v>696</v>
      </c>
      <c r="I1382" t="s">
        <v>1205</v>
      </c>
      <c r="J1382">
        <v>914.52857930000005</v>
      </c>
    </row>
    <row r="1383" spans="1:10" x14ac:dyDescent="0.3">
      <c r="A1383">
        <v>1587</v>
      </c>
      <c r="B1383" t="s">
        <v>1699</v>
      </c>
      <c r="C1383" t="s">
        <v>1202</v>
      </c>
      <c r="D1383" t="s">
        <v>159</v>
      </c>
      <c r="E1383" t="s">
        <v>159</v>
      </c>
      <c r="F1383">
        <v>7799</v>
      </c>
      <c r="G1383" t="s">
        <v>700</v>
      </c>
      <c r="I1383" t="s">
        <v>1205</v>
      </c>
      <c r="J1383">
        <v>622.98423355</v>
      </c>
    </row>
    <row r="1384" spans="1:10" x14ac:dyDescent="0.3">
      <c r="A1384">
        <v>1587</v>
      </c>
      <c r="B1384" t="s">
        <v>1699</v>
      </c>
      <c r="C1384" t="s">
        <v>1202</v>
      </c>
      <c r="D1384" t="s">
        <v>159</v>
      </c>
      <c r="E1384" t="s">
        <v>159</v>
      </c>
      <c r="F1384">
        <v>7799</v>
      </c>
      <c r="G1384" t="s">
        <v>687</v>
      </c>
      <c r="H1384" t="s">
        <v>1700</v>
      </c>
      <c r="I1384" t="s">
        <v>1205</v>
      </c>
      <c r="J1384">
        <v>9.20666355</v>
      </c>
    </row>
    <row r="1385" spans="1:10" x14ac:dyDescent="0.3">
      <c r="A1385">
        <v>1587</v>
      </c>
      <c r="B1385" t="s">
        <v>1699</v>
      </c>
      <c r="C1385" t="s">
        <v>1202</v>
      </c>
      <c r="D1385" t="s">
        <v>159</v>
      </c>
      <c r="E1385" t="s">
        <v>159</v>
      </c>
      <c r="F1385">
        <v>7799</v>
      </c>
      <c r="G1385" t="s">
        <v>701</v>
      </c>
      <c r="I1385" t="s">
        <v>1205</v>
      </c>
      <c r="J1385">
        <v>429.64429899999999</v>
      </c>
    </row>
    <row r="1386" spans="1:10" x14ac:dyDescent="0.3">
      <c r="A1386">
        <v>1587</v>
      </c>
      <c r="B1386" t="s">
        <v>1699</v>
      </c>
      <c r="C1386" t="s">
        <v>1202</v>
      </c>
      <c r="D1386" t="s">
        <v>159</v>
      </c>
      <c r="E1386" t="s">
        <v>159</v>
      </c>
      <c r="F1386">
        <v>7799</v>
      </c>
      <c r="G1386" t="s">
        <v>703</v>
      </c>
      <c r="I1386" t="s">
        <v>1205</v>
      </c>
      <c r="J1386">
        <v>300.75100930000002</v>
      </c>
    </row>
    <row r="1387" spans="1:10" x14ac:dyDescent="0.3">
      <c r="A1387">
        <v>1587</v>
      </c>
      <c r="B1387" t="s">
        <v>1699</v>
      </c>
      <c r="C1387" t="s">
        <v>1202</v>
      </c>
      <c r="D1387" t="s">
        <v>159</v>
      </c>
      <c r="E1387" t="s">
        <v>159</v>
      </c>
      <c r="F1387">
        <v>7799</v>
      </c>
      <c r="G1387" t="s">
        <v>702</v>
      </c>
      <c r="H1387" t="s">
        <v>1701</v>
      </c>
      <c r="I1387" t="s">
        <v>1205</v>
      </c>
      <c r="J1387">
        <v>426.57541114999998</v>
      </c>
    </row>
    <row r="1388" spans="1:10" x14ac:dyDescent="0.3">
      <c r="A1388">
        <v>1587</v>
      </c>
      <c r="B1388" t="s">
        <v>1699</v>
      </c>
      <c r="C1388" t="s">
        <v>1202</v>
      </c>
      <c r="D1388" t="s">
        <v>159</v>
      </c>
      <c r="E1388" t="s">
        <v>159</v>
      </c>
      <c r="F1388">
        <v>7799</v>
      </c>
      <c r="G1388" t="s">
        <v>698</v>
      </c>
      <c r="I1388" t="s">
        <v>1205</v>
      </c>
      <c r="J1388">
        <v>346.78432705</v>
      </c>
    </row>
    <row r="1389" spans="1:10" x14ac:dyDescent="0.3">
      <c r="A1389">
        <v>1587</v>
      </c>
      <c r="B1389" t="s">
        <v>1699</v>
      </c>
      <c r="C1389" t="s">
        <v>1202</v>
      </c>
      <c r="D1389" t="s">
        <v>159</v>
      </c>
      <c r="E1389" t="s">
        <v>159</v>
      </c>
      <c r="F1389">
        <v>7799</v>
      </c>
      <c r="G1389" t="s">
        <v>686</v>
      </c>
      <c r="H1389" t="s">
        <v>1702</v>
      </c>
      <c r="I1389" t="s">
        <v>1205</v>
      </c>
      <c r="J1389">
        <v>36.8266542</v>
      </c>
    </row>
    <row r="1390" spans="1:10" x14ac:dyDescent="0.3">
      <c r="A1390">
        <v>1587</v>
      </c>
      <c r="B1390" t="s">
        <v>1699</v>
      </c>
      <c r="C1390" t="s">
        <v>1202</v>
      </c>
      <c r="D1390" t="s">
        <v>159</v>
      </c>
      <c r="E1390" t="s">
        <v>159</v>
      </c>
      <c r="F1390">
        <v>7799</v>
      </c>
      <c r="G1390" t="s">
        <v>696</v>
      </c>
      <c r="I1390" t="s">
        <v>1205</v>
      </c>
      <c r="J1390">
        <v>1107.86851385</v>
      </c>
    </row>
    <row r="1391" spans="1:10" x14ac:dyDescent="0.3">
      <c r="A1391">
        <v>1589</v>
      </c>
      <c r="B1391" t="s">
        <v>1703</v>
      </c>
      <c r="C1391" t="s">
        <v>1202</v>
      </c>
      <c r="D1391" t="s">
        <v>1203</v>
      </c>
      <c r="E1391" t="s">
        <v>1204</v>
      </c>
      <c r="F1391">
        <v>5456</v>
      </c>
      <c r="G1391" t="s">
        <v>686</v>
      </c>
      <c r="I1391" t="s">
        <v>1205</v>
      </c>
      <c r="J1391">
        <v>1400</v>
      </c>
    </row>
    <row r="1392" spans="1:10" x14ac:dyDescent="0.3">
      <c r="A1392">
        <v>1589</v>
      </c>
      <c r="B1392" t="s">
        <v>1703</v>
      </c>
      <c r="C1392" t="s">
        <v>1202</v>
      </c>
      <c r="D1392" t="s">
        <v>1203</v>
      </c>
      <c r="E1392" t="s">
        <v>1204</v>
      </c>
      <c r="F1392">
        <v>5456</v>
      </c>
      <c r="G1392" t="s">
        <v>702</v>
      </c>
      <c r="I1392" t="s">
        <v>1205</v>
      </c>
      <c r="J1392">
        <v>1664</v>
      </c>
    </row>
    <row r="1393" spans="1:10" x14ac:dyDescent="0.3">
      <c r="A1393">
        <v>1589</v>
      </c>
      <c r="B1393" t="s">
        <v>1703</v>
      </c>
      <c r="C1393" t="s">
        <v>1202</v>
      </c>
      <c r="D1393" t="s">
        <v>1203</v>
      </c>
      <c r="E1393" t="s">
        <v>1204</v>
      </c>
      <c r="F1393">
        <v>5456</v>
      </c>
      <c r="G1393" t="s">
        <v>701</v>
      </c>
      <c r="I1393" t="s">
        <v>1205</v>
      </c>
      <c r="J1393">
        <v>411</v>
      </c>
    </row>
    <row r="1394" spans="1:10" x14ac:dyDescent="0.3">
      <c r="A1394">
        <v>1589</v>
      </c>
      <c r="B1394" t="s">
        <v>1703</v>
      </c>
      <c r="C1394" t="s">
        <v>1202</v>
      </c>
      <c r="D1394" t="s">
        <v>1203</v>
      </c>
      <c r="E1394" t="s">
        <v>1204</v>
      </c>
      <c r="F1394">
        <v>5456</v>
      </c>
      <c r="G1394" t="s">
        <v>700</v>
      </c>
      <c r="I1394" t="s">
        <v>1205</v>
      </c>
      <c r="J1394">
        <v>3041</v>
      </c>
    </row>
    <row r="1395" spans="1:10" x14ac:dyDescent="0.3">
      <c r="A1395">
        <v>1589</v>
      </c>
      <c r="B1395" t="s">
        <v>1703</v>
      </c>
      <c r="C1395" t="s">
        <v>1202</v>
      </c>
      <c r="D1395" t="s">
        <v>1203</v>
      </c>
      <c r="E1395" t="s">
        <v>1204</v>
      </c>
      <c r="F1395">
        <v>5456</v>
      </c>
      <c r="G1395" t="s">
        <v>698</v>
      </c>
      <c r="I1395" t="s">
        <v>1205</v>
      </c>
      <c r="J1395">
        <v>3257</v>
      </c>
    </row>
    <row r="1396" spans="1:10" x14ac:dyDescent="0.3">
      <c r="A1396">
        <v>1589</v>
      </c>
      <c r="B1396" t="s">
        <v>1703</v>
      </c>
      <c r="C1396" t="s">
        <v>1202</v>
      </c>
      <c r="D1396" t="s">
        <v>1203</v>
      </c>
      <c r="E1396" t="s">
        <v>1204</v>
      </c>
      <c r="F1396">
        <v>5456</v>
      </c>
      <c r="G1396" t="s">
        <v>696</v>
      </c>
      <c r="I1396" t="s">
        <v>1205</v>
      </c>
      <c r="J1396">
        <v>10303</v>
      </c>
    </row>
    <row r="1397" spans="1:10" x14ac:dyDescent="0.3">
      <c r="A1397">
        <v>1596</v>
      </c>
      <c r="B1397" t="s">
        <v>1704</v>
      </c>
      <c r="C1397" t="s">
        <v>1202</v>
      </c>
      <c r="D1397" t="s">
        <v>159</v>
      </c>
      <c r="E1397" t="s">
        <v>159</v>
      </c>
      <c r="F1397">
        <v>8071</v>
      </c>
      <c r="G1397" t="s">
        <v>687</v>
      </c>
      <c r="H1397" t="s">
        <v>1705</v>
      </c>
      <c r="I1397" t="s">
        <v>1205</v>
      </c>
      <c r="J1397">
        <v>15</v>
      </c>
    </row>
    <row r="1398" spans="1:10" x14ac:dyDescent="0.3">
      <c r="A1398">
        <v>1596</v>
      </c>
      <c r="B1398" t="s">
        <v>1704</v>
      </c>
      <c r="C1398" t="s">
        <v>1202</v>
      </c>
      <c r="D1398" t="s">
        <v>159</v>
      </c>
      <c r="E1398" t="s">
        <v>159</v>
      </c>
      <c r="F1398">
        <v>8071</v>
      </c>
      <c r="G1398" t="s">
        <v>696</v>
      </c>
      <c r="I1398" t="s">
        <v>1205</v>
      </c>
      <c r="J1398">
        <v>4875</v>
      </c>
    </row>
    <row r="1399" spans="1:10" x14ac:dyDescent="0.3">
      <c r="A1399">
        <v>1596</v>
      </c>
      <c r="B1399" t="s">
        <v>1704</v>
      </c>
      <c r="C1399" t="s">
        <v>1202</v>
      </c>
      <c r="D1399" t="s">
        <v>159</v>
      </c>
      <c r="E1399" t="s">
        <v>159</v>
      </c>
      <c r="F1399">
        <v>8071</v>
      </c>
      <c r="G1399" t="s">
        <v>686</v>
      </c>
      <c r="H1399" t="s">
        <v>1227</v>
      </c>
      <c r="I1399" t="s">
        <v>1205</v>
      </c>
      <c r="J1399">
        <v>844</v>
      </c>
    </row>
    <row r="1400" spans="1:10" x14ac:dyDescent="0.3">
      <c r="A1400">
        <v>1596</v>
      </c>
      <c r="B1400" t="s">
        <v>1704</v>
      </c>
      <c r="C1400" t="s">
        <v>1202</v>
      </c>
      <c r="D1400" t="s">
        <v>159</v>
      </c>
      <c r="E1400" t="s">
        <v>159</v>
      </c>
      <c r="F1400">
        <v>8071</v>
      </c>
      <c r="G1400" t="s">
        <v>702</v>
      </c>
      <c r="I1400" t="s">
        <v>1205</v>
      </c>
      <c r="J1400">
        <v>1549</v>
      </c>
    </row>
    <row r="1401" spans="1:10" x14ac:dyDescent="0.3">
      <c r="A1401">
        <v>1596</v>
      </c>
      <c r="B1401" t="s">
        <v>1704</v>
      </c>
      <c r="C1401" t="s">
        <v>1202</v>
      </c>
      <c r="D1401" t="s">
        <v>159</v>
      </c>
      <c r="E1401" t="s">
        <v>159</v>
      </c>
      <c r="F1401">
        <v>8071</v>
      </c>
      <c r="G1401" t="s">
        <v>701</v>
      </c>
      <c r="I1401" t="s">
        <v>1205</v>
      </c>
      <c r="J1401">
        <v>257</v>
      </c>
    </row>
    <row r="1402" spans="1:10" x14ac:dyDescent="0.3">
      <c r="A1402">
        <v>1596</v>
      </c>
      <c r="B1402" t="s">
        <v>1704</v>
      </c>
      <c r="C1402" t="s">
        <v>1202</v>
      </c>
      <c r="D1402" t="s">
        <v>159</v>
      </c>
      <c r="E1402" t="s">
        <v>159</v>
      </c>
      <c r="F1402">
        <v>8071</v>
      </c>
      <c r="G1402" t="s">
        <v>700</v>
      </c>
      <c r="I1402" t="s">
        <v>1205</v>
      </c>
      <c r="J1402">
        <v>2731</v>
      </c>
    </row>
    <row r="1403" spans="1:10" x14ac:dyDescent="0.3">
      <c r="A1403">
        <v>1596</v>
      </c>
      <c r="B1403" t="s">
        <v>1704</v>
      </c>
      <c r="C1403" t="s">
        <v>1202</v>
      </c>
      <c r="D1403" t="s">
        <v>159</v>
      </c>
      <c r="E1403" t="s">
        <v>159</v>
      </c>
      <c r="F1403">
        <v>8071</v>
      </c>
      <c r="G1403" t="s">
        <v>703</v>
      </c>
      <c r="I1403" t="s">
        <v>1205</v>
      </c>
      <c r="J1403">
        <v>904</v>
      </c>
    </row>
    <row r="1404" spans="1:10" x14ac:dyDescent="0.3">
      <c r="A1404">
        <v>1596</v>
      </c>
      <c r="B1404" t="s">
        <v>1704</v>
      </c>
      <c r="C1404" t="s">
        <v>1202</v>
      </c>
      <c r="D1404" t="s">
        <v>159</v>
      </c>
      <c r="E1404" t="s">
        <v>159</v>
      </c>
      <c r="F1404">
        <v>8071</v>
      </c>
      <c r="G1404" t="s">
        <v>698</v>
      </c>
      <c r="I1404" t="s">
        <v>1205</v>
      </c>
      <c r="J1404">
        <v>4942</v>
      </c>
    </row>
    <row r="1405" spans="1:10" x14ac:dyDescent="0.3">
      <c r="A1405">
        <v>1605</v>
      </c>
      <c r="B1405" t="s">
        <v>1706</v>
      </c>
      <c r="C1405" t="s">
        <v>1202</v>
      </c>
      <c r="D1405" t="s">
        <v>1203</v>
      </c>
      <c r="E1405" t="s">
        <v>1204</v>
      </c>
      <c r="F1405">
        <v>6395</v>
      </c>
      <c r="G1405" t="s">
        <v>700</v>
      </c>
      <c r="I1405" t="s">
        <v>1205</v>
      </c>
      <c r="J1405">
        <v>297.68212145000001</v>
      </c>
    </row>
    <row r="1406" spans="1:10" x14ac:dyDescent="0.3">
      <c r="A1406">
        <v>1605</v>
      </c>
      <c r="B1406" t="s">
        <v>1706</v>
      </c>
      <c r="C1406" t="s">
        <v>1202</v>
      </c>
      <c r="D1406" t="s">
        <v>1203</v>
      </c>
      <c r="E1406" t="s">
        <v>1204</v>
      </c>
      <c r="F1406">
        <v>6395</v>
      </c>
      <c r="G1406" t="s">
        <v>698</v>
      </c>
      <c r="I1406" t="s">
        <v>1205</v>
      </c>
      <c r="J1406">
        <v>506.36649525000001</v>
      </c>
    </row>
    <row r="1407" spans="1:10" x14ac:dyDescent="0.3">
      <c r="A1407">
        <v>1605</v>
      </c>
      <c r="B1407" t="s">
        <v>1706</v>
      </c>
      <c r="C1407" t="s">
        <v>1202</v>
      </c>
      <c r="D1407" t="s">
        <v>1203</v>
      </c>
      <c r="E1407" t="s">
        <v>1204</v>
      </c>
      <c r="F1407">
        <v>6395</v>
      </c>
      <c r="G1407" t="s">
        <v>686</v>
      </c>
      <c r="I1407" t="s">
        <v>1205</v>
      </c>
      <c r="J1407">
        <v>122.75551400000001</v>
      </c>
    </row>
    <row r="1408" spans="1:10" x14ac:dyDescent="0.3">
      <c r="A1408">
        <v>1605</v>
      </c>
      <c r="B1408" t="s">
        <v>1706</v>
      </c>
      <c r="C1408" t="s">
        <v>1202</v>
      </c>
      <c r="D1408" t="s">
        <v>1203</v>
      </c>
      <c r="E1408" t="s">
        <v>1204</v>
      </c>
      <c r="F1408">
        <v>6395</v>
      </c>
      <c r="G1408" t="s">
        <v>696</v>
      </c>
      <c r="I1408" t="s">
        <v>1205</v>
      </c>
      <c r="J1408">
        <v>1675.6127661</v>
      </c>
    </row>
    <row r="1409" spans="1:10" x14ac:dyDescent="0.3">
      <c r="A1409">
        <v>1605</v>
      </c>
      <c r="B1409" t="s">
        <v>1706</v>
      </c>
      <c r="C1409" t="s">
        <v>1202</v>
      </c>
      <c r="D1409" t="s">
        <v>1203</v>
      </c>
      <c r="E1409" t="s">
        <v>1204</v>
      </c>
      <c r="F1409">
        <v>6395</v>
      </c>
      <c r="G1409" t="s">
        <v>702</v>
      </c>
      <c r="I1409" t="s">
        <v>1205</v>
      </c>
      <c r="J1409">
        <v>214.82214949999999</v>
      </c>
    </row>
    <row r="1410" spans="1:10" x14ac:dyDescent="0.3">
      <c r="A1410">
        <v>1605</v>
      </c>
      <c r="B1410" t="s">
        <v>1706</v>
      </c>
      <c r="C1410" t="s">
        <v>1202</v>
      </c>
      <c r="D1410" t="s">
        <v>1203</v>
      </c>
      <c r="E1410" t="s">
        <v>1204</v>
      </c>
      <c r="F1410">
        <v>6395</v>
      </c>
      <c r="G1410" t="s">
        <v>703</v>
      </c>
      <c r="I1410" t="s">
        <v>1205</v>
      </c>
      <c r="J1410">
        <v>76.722196249999996</v>
      </c>
    </row>
    <row r="1411" spans="1:10" x14ac:dyDescent="0.3">
      <c r="A1411">
        <v>1605</v>
      </c>
      <c r="B1411" t="s">
        <v>1706</v>
      </c>
      <c r="C1411" t="s">
        <v>1202</v>
      </c>
      <c r="D1411" t="s">
        <v>1203</v>
      </c>
      <c r="E1411" t="s">
        <v>1204</v>
      </c>
      <c r="F1411">
        <v>6395</v>
      </c>
      <c r="G1411" t="s">
        <v>701</v>
      </c>
      <c r="I1411" t="s">
        <v>1205</v>
      </c>
      <c r="J1411">
        <v>98.204411199999996</v>
      </c>
    </row>
    <row r="1412" spans="1:10" x14ac:dyDescent="0.3">
      <c r="A1412">
        <v>1613</v>
      </c>
      <c r="B1412" t="s">
        <v>1707</v>
      </c>
      <c r="C1412" t="s">
        <v>1202</v>
      </c>
      <c r="D1412" t="s">
        <v>159</v>
      </c>
      <c r="E1412" t="s">
        <v>159</v>
      </c>
      <c r="F1412">
        <v>7976</v>
      </c>
      <c r="G1412" t="s">
        <v>696</v>
      </c>
      <c r="I1412" t="s">
        <v>1205</v>
      </c>
      <c r="J1412">
        <v>1021.9396540499999</v>
      </c>
    </row>
    <row r="1413" spans="1:10" x14ac:dyDescent="0.3">
      <c r="A1413">
        <v>1613</v>
      </c>
      <c r="B1413" t="s">
        <v>1707</v>
      </c>
      <c r="C1413" t="s">
        <v>1202</v>
      </c>
      <c r="D1413" t="s">
        <v>159</v>
      </c>
      <c r="E1413" t="s">
        <v>159</v>
      </c>
      <c r="F1413">
        <v>7976</v>
      </c>
      <c r="G1413" t="s">
        <v>686</v>
      </c>
      <c r="H1413" t="s">
        <v>1708</v>
      </c>
      <c r="I1413" t="s">
        <v>1205</v>
      </c>
      <c r="J1413">
        <v>159.58216820000001</v>
      </c>
    </row>
    <row r="1414" spans="1:10" x14ac:dyDescent="0.3">
      <c r="A1414">
        <v>1613</v>
      </c>
      <c r="B1414" t="s">
        <v>1707</v>
      </c>
      <c r="C1414" t="s">
        <v>1202</v>
      </c>
      <c r="D1414" t="s">
        <v>159</v>
      </c>
      <c r="E1414" t="s">
        <v>159</v>
      </c>
      <c r="F1414">
        <v>7976</v>
      </c>
      <c r="G1414" t="s">
        <v>702</v>
      </c>
      <c r="I1414" t="s">
        <v>1205</v>
      </c>
      <c r="J1414">
        <v>159.58216820000001</v>
      </c>
    </row>
    <row r="1415" spans="1:10" x14ac:dyDescent="0.3">
      <c r="A1415">
        <v>1613</v>
      </c>
      <c r="B1415" t="s">
        <v>1707</v>
      </c>
      <c r="C1415" t="s">
        <v>1202</v>
      </c>
      <c r="D1415" t="s">
        <v>159</v>
      </c>
      <c r="E1415" t="s">
        <v>159</v>
      </c>
      <c r="F1415">
        <v>7976</v>
      </c>
      <c r="G1415" t="s">
        <v>703</v>
      </c>
      <c r="H1415" t="s">
        <v>1709</v>
      </c>
      <c r="I1415" t="s">
        <v>1205</v>
      </c>
      <c r="J1415">
        <v>61.377757000000003</v>
      </c>
    </row>
    <row r="1416" spans="1:10" x14ac:dyDescent="0.3">
      <c r="A1416">
        <v>1613</v>
      </c>
      <c r="B1416" t="s">
        <v>1707</v>
      </c>
      <c r="C1416" t="s">
        <v>1202</v>
      </c>
      <c r="D1416" t="s">
        <v>159</v>
      </c>
      <c r="E1416" t="s">
        <v>159</v>
      </c>
      <c r="F1416">
        <v>7976</v>
      </c>
      <c r="G1416" t="s">
        <v>701</v>
      </c>
      <c r="I1416" t="s">
        <v>1205</v>
      </c>
      <c r="J1416">
        <v>0</v>
      </c>
    </row>
    <row r="1417" spans="1:10" x14ac:dyDescent="0.3">
      <c r="A1417">
        <v>1613</v>
      </c>
      <c r="B1417" t="s">
        <v>1707</v>
      </c>
      <c r="C1417" t="s">
        <v>1202</v>
      </c>
      <c r="D1417" t="s">
        <v>159</v>
      </c>
      <c r="E1417" t="s">
        <v>159</v>
      </c>
      <c r="F1417">
        <v>7976</v>
      </c>
      <c r="G1417" t="s">
        <v>687</v>
      </c>
      <c r="H1417" t="s">
        <v>1710</v>
      </c>
      <c r="I1417" t="s">
        <v>1205</v>
      </c>
      <c r="J1417">
        <v>1.22755514</v>
      </c>
    </row>
    <row r="1418" spans="1:10" x14ac:dyDescent="0.3">
      <c r="A1418">
        <v>1613</v>
      </c>
      <c r="B1418" t="s">
        <v>1707</v>
      </c>
      <c r="C1418" t="s">
        <v>1202</v>
      </c>
      <c r="D1418" t="s">
        <v>159</v>
      </c>
      <c r="E1418" t="s">
        <v>159</v>
      </c>
      <c r="F1418">
        <v>7976</v>
      </c>
      <c r="G1418" t="s">
        <v>698</v>
      </c>
      <c r="H1418" t="s">
        <v>1711</v>
      </c>
      <c r="I1418" t="s">
        <v>1205</v>
      </c>
      <c r="J1418">
        <v>365.19765415000001</v>
      </c>
    </row>
    <row r="1419" spans="1:10" x14ac:dyDescent="0.3">
      <c r="A1419">
        <v>1613</v>
      </c>
      <c r="B1419" t="s">
        <v>1707</v>
      </c>
      <c r="C1419" t="s">
        <v>1202</v>
      </c>
      <c r="D1419" t="s">
        <v>159</v>
      </c>
      <c r="E1419" t="s">
        <v>159</v>
      </c>
      <c r="F1419">
        <v>7976</v>
      </c>
      <c r="G1419" t="s">
        <v>700</v>
      </c>
      <c r="H1419" t="s">
        <v>1712</v>
      </c>
      <c r="I1419" t="s">
        <v>1205</v>
      </c>
      <c r="J1419">
        <v>334.50877565000002</v>
      </c>
    </row>
    <row r="1420" spans="1:10" x14ac:dyDescent="0.3">
      <c r="A1420">
        <v>1619</v>
      </c>
      <c r="B1420" t="s">
        <v>1713</v>
      </c>
      <c r="C1420" t="s">
        <v>1202</v>
      </c>
      <c r="D1420" t="s">
        <v>1203</v>
      </c>
      <c r="E1420" t="s">
        <v>1204</v>
      </c>
      <c r="F1420">
        <v>5467</v>
      </c>
      <c r="G1420" t="s">
        <v>696</v>
      </c>
      <c r="I1420" t="s">
        <v>1205</v>
      </c>
      <c r="J1420">
        <v>2961.4767752500002</v>
      </c>
    </row>
    <row r="1421" spans="1:10" x14ac:dyDescent="0.3">
      <c r="A1421">
        <v>1619</v>
      </c>
      <c r="B1421" t="s">
        <v>1713</v>
      </c>
      <c r="C1421" t="s">
        <v>1202</v>
      </c>
      <c r="D1421" t="s">
        <v>1203</v>
      </c>
      <c r="E1421" t="s">
        <v>1204</v>
      </c>
      <c r="F1421">
        <v>5467</v>
      </c>
      <c r="G1421" t="s">
        <v>698</v>
      </c>
      <c r="H1421" t="s">
        <v>1714</v>
      </c>
      <c r="I1421" t="s">
        <v>1205</v>
      </c>
      <c r="J1421">
        <v>2221.8748034</v>
      </c>
    </row>
    <row r="1422" spans="1:10" x14ac:dyDescent="0.3">
      <c r="A1422">
        <v>1619</v>
      </c>
      <c r="B1422" t="s">
        <v>1713</v>
      </c>
      <c r="C1422" t="s">
        <v>1202</v>
      </c>
      <c r="D1422" t="s">
        <v>1203</v>
      </c>
      <c r="E1422" t="s">
        <v>1204</v>
      </c>
      <c r="F1422">
        <v>5467</v>
      </c>
      <c r="G1422" t="s">
        <v>700</v>
      </c>
      <c r="I1422" t="s">
        <v>1205</v>
      </c>
      <c r="J1422">
        <v>847.01304660000005</v>
      </c>
    </row>
    <row r="1423" spans="1:10" x14ac:dyDescent="0.3">
      <c r="A1423">
        <v>1619</v>
      </c>
      <c r="B1423" t="s">
        <v>1713</v>
      </c>
      <c r="C1423" t="s">
        <v>1202</v>
      </c>
      <c r="D1423" t="s">
        <v>1203</v>
      </c>
      <c r="E1423" t="s">
        <v>1204</v>
      </c>
      <c r="F1423">
        <v>5467</v>
      </c>
      <c r="G1423" t="s">
        <v>701</v>
      </c>
      <c r="I1423" t="s">
        <v>1205</v>
      </c>
      <c r="J1423">
        <v>1089.4551867499999</v>
      </c>
    </row>
    <row r="1424" spans="1:10" x14ac:dyDescent="0.3">
      <c r="A1424">
        <v>1619</v>
      </c>
      <c r="B1424" t="s">
        <v>1713</v>
      </c>
      <c r="C1424" t="s">
        <v>1202</v>
      </c>
      <c r="D1424" t="s">
        <v>1203</v>
      </c>
      <c r="E1424" t="s">
        <v>1204</v>
      </c>
      <c r="F1424">
        <v>5467</v>
      </c>
      <c r="G1424" t="s">
        <v>703</v>
      </c>
      <c r="H1424" t="s">
        <v>1715</v>
      </c>
      <c r="I1424" t="s">
        <v>1205</v>
      </c>
      <c r="J1424">
        <v>448.05762609999999</v>
      </c>
    </row>
    <row r="1425" spans="1:10" x14ac:dyDescent="0.3">
      <c r="A1425">
        <v>1619</v>
      </c>
      <c r="B1425" t="s">
        <v>1713</v>
      </c>
      <c r="C1425" t="s">
        <v>1202</v>
      </c>
      <c r="D1425" t="s">
        <v>1203</v>
      </c>
      <c r="E1425" t="s">
        <v>1204</v>
      </c>
      <c r="F1425">
        <v>5467</v>
      </c>
      <c r="G1425" t="s">
        <v>702</v>
      </c>
      <c r="I1425" t="s">
        <v>1205</v>
      </c>
      <c r="J1425">
        <v>889.97747649999997</v>
      </c>
    </row>
    <row r="1426" spans="1:10" x14ac:dyDescent="0.3">
      <c r="A1426">
        <v>1619</v>
      </c>
      <c r="B1426" t="s">
        <v>1713</v>
      </c>
      <c r="C1426" t="s">
        <v>1202</v>
      </c>
      <c r="D1426" t="s">
        <v>1203</v>
      </c>
      <c r="E1426" t="s">
        <v>1204</v>
      </c>
      <c r="F1426">
        <v>5467</v>
      </c>
      <c r="G1426" t="s">
        <v>687</v>
      </c>
      <c r="H1426" t="s">
        <v>1410</v>
      </c>
      <c r="I1426" t="s">
        <v>1205</v>
      </c>
      <c r="J1426">
        <v>46.033317750000002</v>
      </c>
    </row>
    <row r="1427" spans="1:10" x14ac:dyDescent="0.3">
      <c r="A1427">
        <v>1619</v>
      </c>
      <c r="B1427" t="s">
        <v>1713</v>
      </c>
      <c r="C1427" t="s">
        <v>1202</v>
      </c>
      <c r="D1427" t="s">
        <v>1203</v>
      </c>
      <c r="E1427" t="s">
        <v>1204</v>
      </c>
      <c r="F1427">
        <v>5467</v>
      </c>
      <c r="G1427" t="s">
        <v>686</v>
      </c>
      <c r="I1427" t="s">
        <v>1205</v>
      </c>
      <c r="J1427">
        <v>926.80413069999997</v>
      </c>
    </row>
    <row r="1428" spans="1:10" x14ac:dyDescent="0.3">
      <c r="A1428">
        <v>1626</v>
      </c>
      <c r="B1428" t="s">
        <v>1716</v>
      </c>
      <c r="C1428" t="s">
        <v>1202</v>
      </c>
      <c r="D1428" t="s">
        <v>1203</v>
      </c>
      <c r="E1428" t="s">
        <v>1204</v>
      </c>
      <c r="F1428">
        <v>5700</v>
      </c>
      <c r="G1428" t="s">
        <v>687</v>
      </c>
      <c r="I1428" t="s">
        <v>1205</v>
      </c>
      <c r="J1428">
        <v>705</v>
      </c>
    </row>
    <row r="1429" spans="1:10" x14ac:dyDescent="0.3">
      <c r="A1429">
        <v>1626</v>
      </c>
      <c r="B1429" t="s">
        <v>1716</v>
      </c>
      <c r="C1429" t="s">
        <v>1202</v>
      </c>
      <c r="D1429" t="s">
        <v>1203</v>
      </c>
      <c r="E1429" t="s">
        <v>1204</v>
      </c>
      <c r="F1429">
        <v>5700</v>
      </c>
      <c r="G1429" t="s">
        <v>696</v>
      </c>
      <c r="I1429" t="s">
        <v>1205</v>
      </c>
      <c r="J1429">
        <v>4496</v>
      </c>
    </row>
    <row r="1430" spans="1:10" x14ac:dyDescent="0.3">
      <c r="A1430">
        <v>1626</v>
      </c>
      <c r="B1430" t="s">
        <v>1716</v>
      </c>
      <c r="C1430" t="s">
        <v>1202</v>
      </c>
      <c r="D1430" t="s">
        <v>1203</v>
      </c>
      <c r="E1430" t="s">
        <v>1204</v>
      </c>
      <c r="F1430">
        <v>5700</v>
      </c>
      <c r="G1430" t="s">
        <v>698</v>
      </c>
      <c r="I1430" t="s">
        <v>1205</v>
      </c>
      <c r="J1430">
        <v>1248</v>
      </c>
    </row>
    <row r="1431" spans="1:10" x14ac:dyDescent="0.3">
      <c r="A1431">
        <v>1626</v>
      </c>
      <c r="B1431" t="s">
        <v>1716</v>
      </c>
      <c r="C1431" t="s">
        <v>1202</v>
      </c>
      <c r="D1431" t="s">
        <v>1203</v>
      </c>
      <c r="E1431" t="s">
        <v>1204</v>
      </c>
      <c r="F1431">
        <v>5700</v>
      </c>
      <c r="G1431" t="s">
        <v>700</v>
      </c>
      <c r="I1431" t="s">
        <v>1205</v>
      </c>
      <c r="J1431">
        <v>435</v>
      </c>
    </row>
    <row r="1432" spans="1:10" x14ac:dyDescent="0.3">
      <c r="A1432">
        <v>1626</v>
      </c>
      <c r="B1432" t="s">
        <v>1716</v>
      </c>
      <c r="C1432" t="s">
        <v>1202</v>
      </c>
      <c r="D1432" t="s">
        <v>1203</v>
      </c>
      <c r="E1432" t="s">
        <v>1204</v>
      </c>
      <c r="F1432">
        <v>5700</v>
      </c>
      <c r="G1432" t="s">
        <v>701</v>
      </c>
      <c r="I1432" t="s">
        <v>1205</v>
      </c>
      <c r="J1432">
        <v>282</v>
      </c>
    </row>
    <row r="1433" spans="1:10" x14ac:dyDescent="0.3">
      <c r="A1433">
        <v>1626</v>
      </c>
      <c r="B1433" t="s">
        <v>1716</v>
      </c>
      <c r="C1433" t="s">
        <v>1202</v>
      </c>
      <c r="D1433" t="s">
        <v>1203</v>
      </c>
      <c r="E1433" t="s">
        <v>1204</v>
      </c>
      <c r="F1433">
        <v>5700</v>
      </c>
      <c r="G1433" t="s">
        <v>702</v>
      </c>
      <c r="I1433" t="s">
        <v>1205</v>
      </c>
      <c r="J1433">
        <v>933</v>
      </c>
    </row>
    <row r="1434" spans="1:10" x14ac:dyDescent="0.3">
      <c r="A1434">
        <v>1626</v>
      </c>
      <c r="B1434" t="s">
        <v>1716</v>
      </c>
      <c r="C1434" t="s">
        <v>1202</v>
      </c>
      <c r="D1434" t="s">
        <v>1203</v>
      </c>
      <c r="E1434" t="s">
        <v>1204</v>
      </c>
      <c r="F1434">
        <v>5700</v>
      </c>
      <c r="G1434" t="s">
        <v>703</v>
      </c>
      <c r="I1434" t="s">
        <v>1205</v>
      </c>
      <c r="J1434">
        <v>170</v>
      </c>
    </row>
    <row r="1435" spans="1:10" x14ac:dyDescent="0.3">
      <c r="A1435">
        <v>1631</v>
      </c>
      <c r="B1435" t="s">
        <v>1717</v>
      </c>
      <c r="C1435" t="s">
        <v>1202</v>
      </c>
      <c r="D1435" t="s">
        <v>159</v>
      </c>
      <c r="E1435" t="s">
        <v>159</v>
      </c>
      <c r="F1435">
        <v>6740</v>
      </c>
      <c r="G1435" t="s">
        <v>696</v>
      </c>
      <c r="I1435" t="s">
        <v>1205</v>
      </c>
      <c r="J1435">
        <v>27081</v>
      </c>
    </row>
    <row r="1436" spans="1:10" x14ac:dyDescent="0.3">
      <c r="A1436">
        <v>1631</v>
      </c>
      <c r="B1436" t="s">
        <v>1717</v>
      </c>
      <c r="C1436" t="s">
        <v>1202</v>
      </c>
      <c r="D1436" t="s">
        <v>159</v>
      </c>
      <c r="E1436" t="s">
        <v>159</v>
      </c>
      <c r="F1436">
        <v>6740</v>
      </c>
      <c r="G1436" t="s">
        <v>698</v>
      </c>
      <c r="I1436" t="s">
        <v>1205</v>
      </c>
      <c r="J1436">
        <v>5420</v>
      </c>
    </row>
    <row r="1437" spans="1:10" x14ac:dyDescent="0.3">
      <c r="A1437">
        <v>1631</v>
      </c>
      <c r="B1437" t="s">
        <v>1717</v>
      </c>
      <c r="C1437" t="s">
        <v>1202</v>
      </c>
      <c r="D1437" t="s">
        <v>159</v>
      </c>
      <c r="E1437" t="s">
        <v>159</v>
      </c>
      <c r="F1437">
        <v>6740</v>
      </c>
      <c r="G1437" t="s">
        <v>700</v>
      </c>
      <c r="I1437" t="s">
        <v>1205</v>
      </c>
      <c r="J1437">
        <v>8110</v>
      </c>
    </row>
    <row r="1438" spans="1:10" x14ac:dyDescent="0.3">
      <c r="A1438">
        <v>1631</v>
      </c>
      <c r="B1438" t="s">
        <v>1717</v>
      </c>
      <c r="C1438" t="s">
        <v>1202</v>
      </c>
      <c r="D1438" t="s">
        <v>159</v>
      </c>
      <c r="E1438" t="s">
        <v>159</v>
      </c>
      <c r="F1438">
        <v>6740</v>
      </c>
      <c r="G1438" t="s">
        <v>701</v>
      </c>
      <c r="I1438" t="s">
        <v>1205</v>
      </c>
      <c r="J1438">
        <v>2115</v>
      </c>
    </row>
    <row r="1439" spans="1:10" x14ac:dyDescent="0.3">
      <c r="A1439">
        <v>1631</v>
      </c>
      <c r="B1439" t="s">
        <v>1717</v>
      </c>
      <c r="C1439" t="s">
        <v>1202</v>
      </c>
      <c r="D1439" t="s">
        <v>159</v>
      </c>
      <c r="E1439" t="s">
        <v>159</v>
      </c>
      <c r="F1439">
        <v>6740</v>
      </c>
      <c r="G1439" t="s">
        <v>703</v>
      </c>
      <c r="I1439" t="s">
        <v>1205</v>
      </c>
      <c r="J1439">
        <v>1933</v>
      </c>
    </row>
    <row r="1440" spans="1:10" x14ac:dyDescent="0.3">
      <c r="A1440">
        <v>1631</v>
      </c>
      <c r="B1440" t="s">
        <v>1717</v>
      </c>
      <c r="C1440" t="s">
        <v>1202</v>
      </c>
      <c r="D1440" t="s">
        <v>159</v>
      </c>
      <c r="E1440" t="s">
        <v>159</v>
      </c>
      <c r="F1440">
        <v>6740</v>
      </c>
      <c r="G1440" t="s">
        <v>686</v>
      </c>
      <c r="I1440" t="s">
        <v>1205</v>
      </c>
      <c r="J1440">
        <v>5310</v>
      </c>
    </row>
    <row r="1441" spans="1:10" x14ac:dyDescent="0.3">
      <c r="A1441">
        <v>1631</v>
      </c>
      <c r="B1441" t="s">
        <v>1717</v>
      </c>
      <c r="C1441" t="s">
        <v>1202</v>
      </c>
      <c r="D1441" t="s">
        <v>159</v>
      </c>
      <c r="E1441" t="s">
        <v>159</v>
      </c>
      <c r="F1441">
        <v>6740</v>
      </c>
      <c r="G1441" t="s">
        <v>691</v>
      </c>
      <c r="H1441" t="s">
        <v>1718</v>
      </c>
      <c r="I1441" t="s">
        <v>1205</v>
      </c>
      <c r="J1441">
        <v>615</v>
      </c>
    </row>
    <row r="1442" spans="1:10" x14ac:dyDescent="0.3">
      <c r="A1442">
        <v>1631</v>
      </c>
      <c r="B1442" t="s">
        <v>1717</v>
      </c>
      <c r="C1442" t="s">
        <v>1202</v>
      </c>
      <c r="D1442" t="s">
        <v>159</v>
      </c>
      <c r="E1442" t="s">
        <v>159</v>
      </c>
      <c r="F1442">
        <v>6740</v>
      </c>
      <c r="G1442" t="s">
        <v>702</v>
      </c>
      <c r="I1442" t="s">
        <v>1205</v>
      </c>
      <c r="J1442">
        <v>2520</v>
      </c>
    </row>
    <row r="1443" spans="1:10" x14ac:dyDescent="0.3">
      <c r="A1443">
        <v>1639</v>
      </c>
      <c r="B1443" t="s">
        <v>1719</v>
      </c>
      <c r="C1443" t="s">
        <v>1202</v>
      </c>
      <c r="D1443" t="s">
        <v>1203</v>
      </c>
      <c r="E1443" t="s">
        <v>1204</v>
      </c>
      <c r="F1443">
        <v>5507</v>
      </c>
      <c r="G1443" t="s">
        <v>698</v>
      </c>
      <c r="I1443" t="s">
        <v>1205</v>
      </c>
      <c r="J1443">
        <v>1872</v>
      </c>
    </row>
    <row r="1444" spans="1:10" x14ac:dyDescent="0.3">
      <c r="A1444">
        <v>1639</v>
      </c>
      <c r="B1444" t="s">
        <v>1719</v>
      </c>
      <c r="C1444" t="s">
        <v>1202</v>
      </c>
      <c r="D1444" t="s">
        <v>1203</v>
      </c>
      <c r="E1444" t="s">
        <v>1204</v>
      </c>
      <c r="F1444">
        <v>5507</v>
      </c>
      <c r="G1444" t="s">
        <v>700</v>
      </c>
      <c r="H1444" t="s">
        <v>1588</v>
      </c>
      <c r="I1444" t="s">
        <v>1205</v>
      </c>
      <c r="J1444">
        <v>809</v>
      </c>
    </row>
    <row r="1445" spans="1:10" x14ac:dyDescent="0.3">
      <c r="A1445">
        <v>1639</v>
      </c>
      <c r="B1445" t="s">
        <v>1719</v>
      </c>
      <c r="C1445" t="s">
        <v>1202</v>
      </c>
      <c r="D1445" t="s">
        <v>1203</v>
      </c>
      <c r="E1445" t="s">
        <v>1204</v>
      </c>
      <c r="F1445">
        <v>5507</v>
      </c>
      <c r="G1445" t="s">
        <v>701</v>
      </c>
      <c r="I1445" t="s">
        <v>1205</v>
      </c>
      <c r="J1445">
        <v>19</v>
      </c>
    </row>
    <row r="1446" spans="1:10" x14ac:dyDescent="0.3">
      <c r="A1446">
        <v>1639</v>
      </c>
      <c r="B1446" t="s">
        <v>1719</v>
      </c>
      <c r="C1446" t="s">
        <v>1202</v>
      </c>
      <c r="D1446" t="s">
        <v>1203</v>
      </c>
      <c r="E1446" t="s">
        <v>1204</v>
      </c>
      <c r="F1446">
        <v>5507</v>
      </c>
      <c r="G1446" t="s">
        <v>696</v>
      </c>
      <c r="I1446" t="s">
        <v>1205</v>
      </c>
      <c r="J1446">
        <v>3613</v>
      </c>
    </row>
    <row r="1447" spans="1:10" x14ac:dyDescent="0.3">
      <c r="A1447">
        <v>1639</v>
      </c>
      <c r="B1447" t="s">
        <v>1719</v>
      </c>
      <c r="C1447" t="s">
        <v>1202</v>
      </c>
      <c r="D1447" t="s">
        <v>1203</v>
      </c>
      <c r="E1447" t="s">
        <v>1204</v>
      </c>
      <c r="F1447">
        <v>5507</v>
      </c>
      <c r="G1447" t="s">
        <v>702</v>
      </c>
      <c r="I1447" t="s">
        <v>1205</v>
      </c>
      <c r="J1447">
        <v>385</v>
      </c>
    </row>
    <row r="1448" spans="1:10" x14ac:dyDescent="0.3">
      <c r="A1448">
        <v>1639</v>
      </c>
      <c r="B1448" t="s">
        <v>1719</v>
      </c>
      <c r="C1448" t="s">
        <v>1202</v>
      </c>
      <c r="D1448" t="s">
        <v>1203</v>
      </c>
      <c r="E1448" t="s">
        <v>1204</v>
      </c>
      <c r="F1448">
        <v>5507</v>
      </c>
      <c r="G1448" t="s">
        <v>686</v>
      </c>
      <c r="I1448" t="s">
        <v>1205</v>
      </c>
      <c r="J1448">
        <v>278</v>
      </c>
    </row>
    <row r="1449" spans="1:10" x14ac:dyDescent="0.3">
      <c r="A1449">
        <v>1642</v>
      </c>
      <c r="B1449" t="s">
        <v>1720</v>
      </c>
      <c r="C1449" t="s">
        <v>1202</v>
      </c>
      <c r="D1449" t="s">
        <v>1203</v>
      </c>
      <c r="E1449" t="s">
        <v>1204</v>
      </c>
      <c r="F1449">
        <v>5531</v>
      </c>
      <c r="G1449" t="s">
        <v>684</v>
      </c>
      <c r="I1449" t="s">
        <v>1205</v>
      </c>
      <c r="J1449">
        <v>222</v>
      </c>
    </row>
    <row r="1450" spans="1:10" x14ac:dyDescent="0.3">
      <c r="A1450">
        <v>1642</v>
      </c>
      <c r="B1450" t="s">
        <v>1720</v>
      </c>
      <c r="C1450" t="s">
        <v>1202</v>
      </c>
      <c r="D1450" t="s">
        <v>1203</v>
      </c>
      <c r="E1450" t="s">
        <v>1204</v>
      </c>
      <c r="F1450">
        <v>5531</v>
      </c>
      <c r="G1450" t="s">
        <v>690</v>
      </c>
      <c r="I1450" t="s">
        <v>1205</v>
      </c>
      <c r="J1450">
        <v>2035</v>
      </c>
    </row>
    <row r="1451" spans="1:10" x14ac:dyDescent="0.3">
      <c r="A1451">
        <v>1642</v>
      </c>
      <c r="B1451" t="s">
        <v>1720</v>
      </c>
      <c r="C1451" t="s">
        <v>1202</v>
      </c>
      <c r="D1451" t="s">
        <v>1203</v>
      </c>
      <c r="E1451" t="s">
        <v>1204</v>
      </c>
      <c r="F1451">
        <v>5531</v>
      </c>
      <c r="G1451" t="s">
        <v>702</v>
      </c>
      <c r="I1451" t="s">
        <v>1205</v>
      </c>
      <c r="J1451">
        <v>595</v>
      </c>
    </row>
    <row r="1452" spans="1:10" x14ac:dyDescent="0.3">
      <c r="A1452">
        <v>1642</v>
      </c>
      <c r="B1452" t="s">
        <v>1720</v>
      </c>
      <c r="C1452" t="s">
        <v>1202</v>
      </c>
      <c r="D1452" t="s">
        <v>1203</v>
      </c>
      <c r="E1452" t="s">
        <v>1204</v>
      </c>
      <c r="F1452">
        <v>5531</v>
      </c>
      <c r="G1452" t="s">
        <v>703</v>
      </c>
      <c r="I1452" t="s">
        <v>1205</v>
      </c>
      <c r="J1452">
        <v>207</v>
      </c>
    </row>
    <row r="1453" spans="1:10" x14ac:dyDescent="0.3">
      <c r="A1453">
        <v>1642</v>
      </c>
      <c r="B1453" t="s">
        <v>1720</v>
      </c>
      <c r="C1453" t="s">
        <v>1202</v>
      </c>
      <c r="D1453" t="s">
        <v>1203</v>
      </c>
      <c r="E1453" t="s">
        <v>1204</v>
      </c>
      <c r="F1453">
        <v>5531</v>
      </c>
      <c r="G1453" t="s">
        <v>686</v>
      </c>
      <c r="I1453" t="s">
        <v>1205</v>
      </c>
      <c r="J1453">
        <v>748</v>
      </c>
    </row>
    <row r="1454" spans="1:10" x14ac:dyDescent="0.3">
      <c r="A1454">
        <v>1642</v>
      </c>
      <c r="B1454" t="s">
        <v>1720</v>
      </c>
      <c r="C1454" t="s">
        <v>1202</v>
      </c>
      <c r="D1454" t="s">
        <v>1203</v>
      </c>
      <c r="E1454" t="s">
        <v>1204</v>
      </c>
      <c r="F1454">
        <v>5531</v>
      </c>
      <c r="G1454" t="s">
        <v>700</v>
      </c>
      <c r="I1454" t="s">
        <v>1205</v>
      </c>
      <c r="J1454">
        <v>1186</v>
      </c>
    </row>
    <row r="1455" spans="1:10" x14ac:dyDescent="0.3">
      <c r="A1455">
        <v>1642</v>
      </c>
      <c r="B1455" t="s">
        <v>1720</v>
      </c>
      <c r="C1455" t="s">
        <v>1202</v>
      </c>
      <c r="D1455" t="s">
        <v>1203</v>
      </c>
      <c r="E1455" t="s">
        <v>1204</v>
      </c>
      <c r="F1455">
        <v>5531</v>
      </c>
      <c r="G1455" t="s">
        <v>698</v>
      </c>
      <c r="I1455" t="s">
        <v>1205</v>
      </c>
      <c r="J1455">
        <v>1295</v>
      </c>
    </row>
    <row r="1456" spans="1:10" x14ac:dyDescent="0.3">
      <c r="A1456">
        <v>1642</v>
      </c>
      <c r="B1456" t="s">
        <v>1720</v>
      </c>
      <c r="C1456" t="s">
        <v>1202</v>
      </c>
      <c r="D1456" t="s">
        <v>1203</v>
      </c>
      <c r="E1456" t="s">
        <v>1204</v>
      </c>
      <c r="F1456">
        <v>5531</v>
      </c>
      <c r="G1456" t="s">
        <v>696</v>
      </c>
      <c r="I1456" t="s">
        <v>1205</v>
      </c>
      <c r="J1456">
        <v>3765</v>
      </c>
    </row>
    <row r="1457" spans="1:10" x14ac:dyDescent="0.3">
      <c r="A1457">
        <v>1642</v>
      </c>
      <c r="B1457" t="s">
        <v>1720</v>
      </c>
      <c r="C1457" t="s">
        <v>1202</v>
      </c>
      <c r="D1457" t="s">
        <v>1203</v>
      </c>
      <c r="E1457" t="s">
        <v>1204</v>
      </c>
      <c r="F1457">
        <v>5531</v>
      </c>
      <c r="G1457" t="s">
        <v>701</v>
      </c>
      <c r="I1457" t="s">
        <v>1205</v>
      </c>
      <c r="J1457">
        <v>15</v>
      </c>
    </row>
    <row r="1458" spans="1:10" x14ac:dyDescent="0.3">
      <c r="A1458">
        <v>1644</v>
      </c>
      <c r="B1458" t="s">
        <v>1721</v>
      </c>
      <c r="C1458" t="s">
        <v>1202</v>
      </c>
      <c r="D1458" t="s">
        <v>1203</v>
      </c>
      <c r="E1458" t="s">
        <v>1204</v>
      </c>
      <c r="F1458">
        <v>5943</v>
      </c>
      <c r="G1458" t="s">
        <v>696</v>
      </c>
      <c r="I1458" t="s">
        <v>1205</v>
      </c>
      <c r="J1458">
        <v>704</v>
      </c>
    </row>
    <row r="1459" spans="1:10" x14ac:dyDescent="0.3">
      <c r="A1459">
        <v>1644</v>
      </c>
      <c r="B1459" t="s">
        <v>1721</v>
      </c>
      <c r="C1459" t="s">
        <v>1202</v>
      </c>
      <c r="D1459" t="s">
        <v>1203</v>
      </c>
      <c r="E1459" t="s">
        <v>1204</v>
      </c>
      <c r="F1459">
        <v>5943</v>
      </c>
      <c r="G1459" t="s">
        <v>698</v>
      </c>
      <c r="I1459" t="s">
        <v>1205</v>
      </c>
      <c r="J1459">
        <v>997</v>
      </c>
    </row>
    <row r="1460" spans="1:10" x14ac:dyDescent="0.3">
      <c r="A1460">
        <v>1644</v>
      </c>
      <c r="B1460" t="s">
        <v>1721</v>
      </c>
      <c r="C1460" t="s">
        <v>1202</v>
      </c>
      <c r="D1460" t="s">
        <v>1203</v>
      </c>
      <c r="E1460" t="s">
        <v>1204</v>
      </c>
      <c r="F1460">
        <v>5943</v>
      </c>
      <c r="G1460" t="s">
        <v>700</v>
      </c>
      <c r="I1460" t="s">
        <v>1205</v>
      </c>
      <c r="J1460">
        <v>439</v>
      </c>
    </row>
    <row r="1461" spans="1:10" x14ac:dyDescent="0.3">
      <c r="A1461">
        <v>1644</v>
      </c>
      <c r="B1461" t="s">
        <v>1721</v>
      </c>
      <c r="C1461" t="s">
        <v>1202</v>
      </c>
      <c r="D1461" t="s">
        <v>1203</v>
      </c>
      <c r="E1461" t="s">
        <v>1204</v>
      </c>
      <c r="F1461">
        <v>5943</v>
      </c>
      <c r="G1461" t="s">
        <v>701</v>
      </c>
      <c r="I1461" t="s">
        <v>1205</v>
      </c>
      <c r="J1461">
        <v>378</v>
      </c>
    </row>
    <row r="1462" spans="1:10" x14ac:dyDescent="0.3">
      <c r="A1462">
        <v>1644</v>
      </c>
      <c r="B1462" t="s">
        <v>1721</v>
      </c>
      <c r="C1462" t="s">
        <v>1202</v>
      </c>
      <c r="D1462" t="s">
        <v>1203</v>
      </c>
      <c r="E1462" t="s">
        <v>1204</v>
      </c>
      <c r="F1462">
        <v>5943</v>
      </c>
      <c r="G1462" t="s">
        <v>686</v>
      </c>
      <c r="I1462" t="s">
        <v>1205</v>
      </c>
      <c r="J1462">
        <v>320</v>
      </c>
    </row>
    <row r="1463" spans="1:10" x14ac:dyDescent="0.3">
      <c r="A1463">
        <v>1644</v>
      </c>
      <c r="B1463" t="s">
        <v>1721</v>
      </c>
      <c r="C1463" t="s">
        <v>1202</v>
      </c>
      <c r="D1463" t="s">
        <v>1203</v>
      </c>
      <c r="E1463" t="s">
        <v>1204</v>
      </c>
      <c r="F1463">
        <v>5943</v>
      </c>
      <c r="G1463" t="s">
        <v>703</v>
      </c>
      <c r="I1463" t="s">
        <v>1205</v>
      </c>
      <c r="J1463">
        <v>102</v>
      </c>
    </row>
    <row r="1464" spans="1:10" x14ac:dyDescent="0.3">
      <c r="A1464">
        <v>1645</v>
      </c>
      <c r="B1464" t="s">
        <v>1722</v>
      </c>
      <c r="C1464" t="s">
        <v>1202</v>
      </c>
      <c r="D1464" t="s">
        <v>159</v>
      </c>
      <c r="E1464" t="s">
        <v>159</v>
      </c>
      <c r="F1464">
        <v>7917</v>
      </c>
      <c r="G1464" t="s">
        <v>692</v>
      </c>
      <c r="H1464" t="s">
        <v>1723</v>
      </c>
      <c r="I1464" t="s">
        <v>1216</v>
      </c>
      <c r="J1464">
        <v>145</v>
      </c>
    </row>
    <row r="1465" spans="1:10" x14ac:dyDescent="0.3">
      <c r="A1465">
        <v>1645</v>
      </c>
      <c r="B1465" t="s">
        <v>1722</v>
      </c>
      <c r="C1465" t="s">
        <v>1202</v>
      </c>
      <c r="D1465" t="s">
        <v>159</v>
      </c>
      <c r="E1465" t="s">
        <v>159</v>
      </c>
      <c r="F1465">
        <v>7917</v>
      </c>
      <c r="G1465" t="s">
        <v>686</v>
      </c>
      <c r="I1465" t="s">
        <v>1205</v>
      </c>
      <c r="J1465">
        <v>320</v>
      </c>
    </row>
    <row r="1466" spans="1:10" x14ac:dyDescent="0.3">
      <c r="A1466">
        <v>1645</v>
      </c>
      <c r="B1466" t="s">
        <v>1722</v>
      </c>
      <c r="C1466" t="s">
        <v>1202</v>
      </c>
      <c r="D1466" t="s">
        <v>159</v>
      </c>
      <c r="E1466" t="s">
        <v>159</v>
      </c>
      <c r="F1466">
        <v>7917</v>
      </c>
      <c r="G1466" t="s">
        <v>684</v>
      </c>
      <c r="I1466" t="s">
        <v>1205</v>
      </c>
      <c r="J1466">
        <v>293</v>
      </c>
    </row>
    <row r="1467" spans="1:10" x14ac:dyDescent="0.3">
      <c r="A1467">
        <v>1645</v>
      </c>
      <c r="B1467" t="s">
        <v>1722</v>
      </c>
      <c r="C1467" t="s">
        <v>1202</v>
      </c>
      <c r="D1467" t="s">
        <v>159</v>
      </c>
      <c r="E1467" t="s">
        <v>159</v>
      </c>
      <c r="F1467">
        <v>7917</v>
      </c>
      <c r="G1467" t="s">
        <v>703</v>
      </c>
      <c r="I1467" t="s">
        <v>1205</v>
      </c>
      <c r="J1467">
        <v>222</v>
      </c>
    </row>
    <row r="1468" spans="1:10" x14ac:dyDescent="0.3">
      <c r="A1468">
        <v>1645</v>
      </c>
      <c r="B1468" t="s">
        <v>1722</v>
      </c>
      <c r="C1468" t="s">
        <v>1202</v>
      </c>
      <c r="D1468" t="s">
        <v>159</v>
      </c>
      <c r="E1468" t="s">
        <v>159</v>
      </c>
      <c r="F1468">
        <v>7917</v>
      </c>
      <c r="G1468" t="s">
        <v>700</v>
      </c>
      <c r="I1468" t="s">
        <v>1205</v>
      </c>
      <c r="J1468">
        <v>234</v>
      </c>
    </row>
    <row r="1469" spans="1:10" x14ac:dyDescent="0.3">
      <c r="A1469">
        <v>1645</v>
      </c>
      <c r="B1469" t="s">
        <v>1722</v>
      </c>
      <c r="C1469" t="s">
        <v>1202</v>
      </c>
      <c r="D1469" t="s">
        <v>159</v>
      </c>
      <c r="E1469" t="s">
        <v>159</v>
      </c>
      <c r="F1469">
        <v>7917</v>
      </c>
      <c r="G1469" t="s">
        <v>698</v>
      </c>
      <c r="I1469" t="s">
        <v>1205</v>
      </c>
      <c r="J1469">
        <v>100</v>
      </c>
    </row>
    <row r="1470" spans="1:10" x14ac:dyDescent="0.3">
      <c r="A1470">
        <v>1645</v>
      </c>
      <c r="B1470" t="s">
        <v>1722</v>
      </c>
      <c r="C1470" t="s">
        <v>1202</v>
      </c>
      <c r="D1470" t="s">
        <v>159</v>
      </c>
      <c r="E1470" t="s">
        <v>159</v>
      </c>
      <c r="F1470">
        <v>7917</v>
      </c>
      <c r="G1470" t="s">
        <v>696</v>
      </c>
      <c r="I1470" t="s">
        <v>1205</v>
      </c>
      <c r="J1470">
        <v>3181</v>
      </c>
    </row>
    <row r="1471" spans="1:10" x14ac:dyDescent="0.3">
      <c r="A1471">
        <v>1650</v>
      </c>
      <c r="B1471" t="s">
        <v>1724</v>
      </c>
      <c r="C1471" t="s">
        <v>1202</v>
      </c>
      <c r="D1471" t="s">
        <v>1203</v>
      </c>
      <c r="E1471" t="s">
        <v>1204</v>
      </c>
      <c r="F1471">
        <v>5505</v>
      </c>
      <c r="G1471" t="s">
        <v>686</v>
      </c>
      <c r="H1471" t="s">
        <v>1205</v>
      </c>
      <c r="I1471" t="s">
        <v>1205</v>
      </c>
      <c r="J1471">
        <v>774</v>
      </c>
    </row>
    <row r="1472" spans="1:10" x14ac:dyDescent="0.3">
      <c r="A1472">
        <v>1650</v>
      </c>
      <c r="B1472" t="s">
        <v>1724</v>
      </c>
      <c r="C1472" t="s">
        <v>1202</v>
      </c>
      <c r="D1472" t="s">
        <v>1203</v>
      </c>
      <c r="E1472" t="s">
        <v>1204</v>
      </c>
      <c r="F1472">
        <v>5505</v>
      </c>
      <c r="G1472" t="s">
        <v>702</v>
      </c>
      <c r="H1472" t="s">
        <v>1205</v>
      </c>
      <c r="I1472" t="s">
        <v>1205</v>
      </c>
      <c r="J1472">
        <v>175</v>
      </c>
    </row>
    <row r="1473" spans="1:10" x14ac:dyDescent="0.3">
      <c r="A1473">
        <v>1650</v>
      </c>
      <c r="B1473" t="s">
        <v>1724</v>
      </c>
      <c r="C1473" t="s">
        <v>1202</v>
      </c>
      <c r="D1473" t="s">
        <v>1203</v>
      </c>
      <c r="E1473" t="s">
        <v>1204</v>
      </c>
      <c r="F1473">
        <v>5505</v>
      </c>
      <c r="G1473" t="s">
        <v>703</v>
      </c>
      <c r="H1473" t="s">
        <v>1205</v>
      </c>
      <c r="I1473" t="s">
        <v>1205</v>
      </c>
      <c r="J1473">
        <v>145</v>
      </c>
    </row>
    <row r="1474" spans="1:10" x14ac:dyDescent="0.3">
      <c r="A1474">
        <v>1650</v>
      </c>
      <c r="B1474" t="s">
        <v>1724</v>
      </c>
      <c r="C1474" t="s">
        <v>1202</v>
      </c>
      <c r="D1474" t="s">
        <v>1203</v>
      </c>
      <c r="E1474" t="s">
        <v>1204</v>
      </c>
      <c r="F1474">
        <v>5505</v>
      </c>
      <c r="G1474" t="s">
        <v>701</v>
      </c>
      <c r="H1474" t="s">
        <v>1205</v>
      </c>
      <c r="I1474" t="s">
        <v>1205</v>
      </c>
      <c r="J1474">
        <v>23</v>
      </c>
    </row>
    <row r="1475" spans="1:10" x14ac:dyDescent="0.3">
      <c r="A1475">
        <v>1650</v>
      </c>
      <c r="B1475" t="s">
        <v>1724</v>
      </c>
      <c r="C1475" t="s">
        <v>1202</v>
      </c>
      <c r="D1475" t="s">
        <v>1203</v>
      </c>
      <c r="E1475" t="s">
        <v>1204</v>
      </c>
      <c r="F1475">
        <v>5505</v>
      </c>
      <c r="G1475" t="s">
        <v>698</v>
      </c>
      <c r="H1475" t="s">
        <v>1205</v>
      </c>
      <c r="I1475" t="s">
        <v>1205</v>
      </c>
      <c r="J1475">
        <v>2151</v>
      </c>
    </row>
    <row r="1476" spans="1:10" x14ac:dyDescent="0.3">
      <c r="A1476">
        <v>1650</v>
      </c>
      <c r="B1476" t="s">
        <v>1724</v>
      </c>
      <c r="C1476" t="s">
        <v>1202</v>
      </c>
      <c r="D1476" t="s">
        <v>1203</v>
      </c>
      <c r="E1476" t="s">
        <v>1204</v>
      </c>
      <c r="F1476">
        <v>5505</v>
      </c>
      <c r="G1476" t="s">
        <v>696</v>
      </c>
      <c r="H1476" t="s">
        <v>1205</v>
      </c>
      <c r="I1476" t="s">
        <v>1205</v>
      </c>
      <c r="J1476">
        <v>2613</v>
      </c>
    </row>
    <row r="1477" spans="1:10" x14ac:dyDescent="0.3">
      <c r="A1477">
        <v>1650</v>
      </c>
      <c r="B1477" t="s">
        <v>1724</v>
      </c>
      <c r="C1477" t="s">
        <v>1202</v>
      </c>
      <c r="D1477" t="s">
        <v>1203</v>
      </c>
      <c r="E1477" t="s">
        <v>1204</v>
      </c>
      <c r="F1477">
        <v>5505</v>
      </c>
      <c r="G1477" t="s">
        <v>700</v>
      </c>
      <c r="H1477" t="s">
        <v>1205</v>
      </c>
      <c r="I1477" t="s">
        <v>1205</v>
      </c>
      <c r="J1477">
        <v>1567</v>
      </c>
    </row>
    <row r="1478" spans="1:10" x14ac:dyDescent="0.3">
      <c r="A1478">
        <v>1656</v>
      </c>
      <c r="B1478" t="s">
        <v>1725</v>
      </c>
      <c r="C1478" t="s">
        <v>1202</v>
      </c>
      <c r="D1478" t="s">
        <v>1203</v>
      </c>
      <c r="E1478" t="s">
        <v>1204</v>
      </c>
      <c r="F1478">
        <v>6765</v>
      </c>
      <c r="G1478" t="s">
        <v>700</v>
      </c>
      <c r="H1478" t="s">
        <v>1726</v>
      </c>
      <c r="I1478" t="s">
        <v>1205</v>
      </c>
      <c r="J1478">
        <v>730</v>
      </c>
    </row>
    <row r="1479" spans="1:10" x14ac:dyDescent="0.3">
      <c r="A1479">
        <v>1656</v>
      </c>
      <c r="B1479" t="s">
        <v>1725</v>
      </c>
      <c r="C1479" t="s">
        <v>1202</v>
      </c>
      <c r="D1479" t="s">
        <v>1203</v>
      </c>
      <c r="E1479" t="s">
        <v>1204</v>
      </c>
      <c r="F1479">
        <v>6765</v>
      </c>
      <c r="G1479" t="s">
        <v>702</v>
      </c>
      <c r="I1479" t="s">
        <v>1205</v>
      </c>
      <c r="J1479">
        <v>1255</v>
      </c>
    </row>
    <row r="1480" spans="1:10" x14ac:dyDescent="0.3">
      <c r="A1480">
        <v>1656</v>
      </c>
      <c r="B1480" t="s">
        <v>1725</v>
      </c>
      <c r="C1480" t="s">
        <v>1202</v>
      </c>
      <c r="D1480" t="s">
        <v>1203</v>
      </c>
      <c r="E1480" t="s">
        <v>1204</v>
      </c>
      <c r="F1480">
        <v>6765</v>
      </c>
      <c r="G1480" t="s">
        <v>691</v>
      </c>
      <c r="I1480" t="s">
        <v>1205</v>
      </c>
      <c r="J1480">
        <v>45</v>
      </c>
    </row>
    <row r="1481" spans="1:10" x14ac:dyDescent="0.3">
      <c r="A1481">
        <v>1656</v>
      </c>
      <c r="B1481" t="s">
        <v>1725</v>
      </c>
      <c r="C1481" t="s">
        <v>1202</v>
      </c>
      <c r="D1481" t="s">
        <v>1203</v>
      </c>
      <c r="E1481" t="s">
        <v>1204</v>
      </c>
      <c r="F1481">
        <v>6765</v>
      </c>
      <c r="G1481" t="s">
        <v>686</v>
      </c>
      <c r="H1481" t="s">
        <v>1227</v>
      </c>
      <c r="I1481" t="s">
        <v>1205</v>
      </c>
      <c r="J1481">
        <v>827</v>
      </c>
    </row>
    <row r="1482" spans="1:10" x14ac:dyDescent="0.3">
      <c r="A1482">
        <v>1656</v>
      </c>
      <c r="B1482" t="s">
        <v>1725</v>
      </c>
      <c r="C1482" t="s">
        <v>1202</v>
      </c>
      <c r="D1482" t="s">
        <v>1203</v>
      </c>
      <c r="E1482" t="s">
        <v>1204</v>
      </c>
      <c r="F1482">
        <v>6765</v>
      </c>
      <c r="G1482" t="s">
        <v>696</v>
      </c>
      <c r="I1482" t="s">
        <v>1205</v>
      </c>
      <c r="J1482">
        <v>3736</v>
      </c>
    </row>
    <row r="1483" spans="1:10" x14ac:dyDescent="0.3">
      <c r="A1483">
        <v>1656</v>
      </c>
      <c r="B1483" t="s">
        <v>1725</v>
      </c>
      <c r="C1483" t="s">
        <v>1202</v>
      </c>
      <c r="D1483" t="s">
        <v>1203</v>
      </c>
      <c r="E1483" t="s">
        <v>1204</v>
      </c>
      <c r="F1483">
        <v>6765</v>
      </c>
      <c r="G1483" t="s">
        <v>698</v>
      </c>
      <c r="I1483" t="s">
        <v>1205</v>
      </c>
      <c r="J1483">
        <v>1214</v>
      </c>
    </row>
    <row r="1484" spans="1:10" x14ac:dyDescent="0.3">
      <c r="A1484">
        <v>1660</v>
      </c>
      <c r="B1484" t="s">
        <v>1727</v>
      </c>
      <c r="C1484" t="s">
        <v>1202</v>
      </c>
      <c r="D1484" t="s">
        <v>1203</v>
      </c>
      <c r="E1484" t="s">
        <v>1204</v>
      </c>
      <c r="F1484">
        <v>5935</v>
      </c>
      <c r="G1484" t="s">
        <v>702</v>
      </c>
      <c r="I1484" t="s">
        <v>1205</v>
      </c>
      <c r="J1484">
        <v>11</v>
      </c>
    </row>
    <row r="1485" spans="1:10" x14ac:dyDescent="0.3">
      <c r="A1485">
        <v>1660</v>
      </c>
      <c r="B1485" t="s">
        <v>1727</v>
      </c>
      <c r="C1485" t="s">
        <v>1202</v>
      </c>
      <c r="D1485" t="s">
        <v>1203</v>
      </c>
      <c r="E1485" t="s">
        <v>1204</v>
      </c>
      <c r="F1485">
        <v>5935</v>
      </c>
      <c r="G1485" t="s">
        <v>701</v>
      </c>
      <c r="I1485" t="s">
        <v>1205</v>
      </c>
      <c r="J1485">
        <v>0.5</v>
      </c>
    </row>
    <row r="1486" spans="1:10" x14ac:dyDescent="0.3">
      <c r="A1486">
        <v>1660</v>
      </c>
      <c r="B1486" t="s">
        <v>1727</v>
      </c>
      <c r="C1486" t="s">
        <v>1202</v>
      </c>
      <c r="D1486" t="s">
        <v>1203</v>
      </c>
      <c r="E1486" t="s">
        <v>1204</v>
      </c>
      <c r="F1486">
        <v>5935</v>
      </c>
      <c r="G1486" t="s">
        <v>703</v>
      </c>
      <c r="I1486" t="s">
        <v>1205</v>
      </c>
      <c r="J1486">
        <v>46</v>
      </c>
    </row>
    <row r="1487" spans="1:10" x14ac:dyDescent="0.3">
      <c r="A1487">
        <v>1660</v>
      </c>
      <c r="B1487" t="s">
        <v>1727</v>
      </c>
      <c r="C1487" t="s">
        <v>1202</v>
      </c>
      <c r="D1487" t="s">
        <v>1203</v>
      </c>
      <c r="E1487" t="s">
        <v>1204</v>
      </c>
      <c r="F1487">
        <v>5935</v>
      </c>
      <c r="G1487" t="s">
        <v>700</v>
      </c>
      <c r="I1487" t="s">
        <v>1205</v>
      </c>
      <c r="J1487">
        <v>210</v>
      </c>
    </row>
    <row r="1488" spans="1:10" x14ac:dyDescent="0.3">
      <c r="A1488">
        <v>1660</v>
      </c>
      <c r="B1488" t="s">
        <v>1727</v>
      </c>
      <c r="C1488" t="s">
        <v>1202</v>
      </c>
      <c r="D1488" t="s">
        <v>1203</v>
      </c>
      <c r="E1488" t="s">
        <v>1204</v>
      </c>
      <c r="F1488">
        <v>5935</v>
      </c>
      <c r="G1488" t="s">
        <v>698</v>
      </c>
      <c r="I1488" t="s">
        <v>1205</v>
      </c>
      <c r="J1488">
        <v>133</v>
      </c>
    </row>
    <row r="1489" spans="1:10" x14ac:dyDescent="0.3">
      <c r="A1489">
        <v>1660</v>
      </c>
      <c r="B1489" t="s">
        <v>1727</v>
      </c>
      <c r="C1489" t="s">
        <v>1202</v>
      </c>
      <c r="D1489" t="s">
        <v>1203</v>
      </c>
      <c r="E1489" t="s">
        <v>1204</v>
      </c>
      <c r="F1489">
        <v>5935</v>
      </c>
      <c r="G1489" t="s">
        <v>696</v>
      </c>
      <c r="I1489" t="s">
        <v>1205</v>
      </c>
      <c r="J1489">
        <v>560</v>
      </c>
    </row>
    <row r="1490" spans="1:10" x14ac:dyDescent="0.3">
      <c r="A1490">
        <v>1660</v>
      </c>
      <c r="B1490" t="s">
        <v>1727</v>
      </c>
      <c r="C1490" t="s">
        <v>1202</v>
      </c>
      <c r="D1490" t="s">
        <v>1203</v>
      </c>
      <c r="E1490" t="s">
        <v>1204</v>
      </c>
      <c r="F1490">
        <v>5935</v>
      </c>
      <c r="G1490" t="s">
        <v>686</v>
      </c>
      <c r="I1490" t="s">
        <v>1205</v>
      </c>
      <c r="J1490">
        <v>129</v>
      </c>
    </row>
    <row r="1491" spans="1:10" x14ac:dyDescent="0.3">
      <c r="A1491">
        <v>1663</v>
      </c>
      <c r="B1491" t="s">
        <v>1728</v>
      </c>
      <c r="C1491" t="s">
        <v>1202</v>
      </c>
      <c r="D1491" t="s">
        <v>159</v>
      </c>
      <c r="E1491" t="s">
        <v>159</v>
      </c>
      <c r="F1491">
        <v>7831</v>
      </c>
      <c r="G1491" t="s">
        <v>698</v>
      </c>
      <c r="I1491" t="s">
        <v>1205</v>
      </c>
      <c r="J1491">
        <v>1914</v>
      </c>
    </row>
    <row r="1492" spans="1:10" x14ac:dyDescent="0.3">
      <c r="A1492">
        <v>1663</v>
      </c>
      <c r="B1492" t="s">
        <v>1728</v>
      </c>
      <c r="C1492" t="s">
        <v>1202</v>
      </c>
      <c r="D1492" t="s">
        <v>159</v>
      </c>
      <c r="E1492" t="s">
        <v>159</v>
      </c>
      <c r="F1492">
        <v>7831</v>
      </c>
      <c r="G1492" t="s">
        <v>700</v>
      </c>
      <c r="H1492" t="s">
        <v>1264</v>
      </c>
      <c r="I1492" t="s">
        <v>1205</v>
      </c>
      <c r="J1492">
        <v>2316</v>
      </c>
    </row>
    <row r="1493" spans="1:10" x14ac:dyDescent="0.3">
      <c r="A1493">
        <v>1663</v>
      </c>
      <c r="B1493" t="s">
        <v>1728</v>
      </c>
      <c r="C1493" t="s">
        <v>1202</v>
      </c>
      <c r="D1493" t="s">
        <v>159</v>
      </c>
      <c r="E1493" t="s">
        <v>159</v>
      </c>
      <c r="F1493">
        <v>7831</v>
      </c>
      <c r="G1493" t="s">
        <v>696</v>
      </c>
      <c r="I1493" t="s">
        <v>1205</v>
      </c>
      <c r="J1493">
        <v>13964</v>
      </c>
    </row>
    <row r="1494" spans="1:10" x14ac:dyDescent="0.3">
      <c r="A1494">
        <v>1663</v>
      </c>
      <c r="B1494" t="s">
        <v>1728</v>
      </c>
      <c r="C1494" t="s">
        <v>1202</v>
      </c>
      <c r="D1494" t="s">
        <v>159</v>
      </c>
      <c r="E1494" t="s">
        <v>159</v>
      </c>
      <c r="F1494">
        <v>7831</v>
      </c>
      <c r="G1494" t="s">
        <v>702</v>
      </c>
      <c r="I1494" t="s">
        <v>1205</v>
      </c>
      <c r="J1494">
        <v>2645</v>
      </c>
    </row>
    <row r="1495" spans="1:10" x14ac:dyDescent="0.3">
      <c r="A1495">
        <v>1663</v>
      </c>
      <c r="B1495" t="s">
        <v>1728</v>
      </c>
      <c r="C1495" t="s">
        <v>1202</v>
      </c>
      <c r="D1495" t="s">
        <v>159</v>
      </c>
      <c r="E1495" t="s">
        <v>159</v>
      </c>
      <c r="F1495">
        <v>7831</v>
      </c>
      <c r="G1495" t="s">
        <v>686</v>
      </c>
      <c r="I1495" t="s">
        <v>1205</v>
      </c>
      <c r="J1495">
        <v>2224</v>
      </c>
    </row>
    <row r="1496" spans="1:10" x14ac:dyDescent="0.3">
      <c r="A1496">
        <v>1663</v>
      </c>
      <c r="B1496" t="s">
        <v>1728</v>
      </c>
      <c r="C1496" t="s">
        <v>1202</v>
      </c>
      <c r="D1496" t="s">
        <v>159</v>
      </c>
      <c r="E1496" t="s">
        <v>159</v>
      </c>
      <c r="F1496">
        <v>7831</v>
      </c>
      <c r="G1496" t="s">
        <v>691</v>
      </c>
      <c r="H1496" t="s">
        <v>1729</v>
      </c>
      <c r="I1496" t="s">
        <v>1205</v>
      </c>
      <c r="J1496">
        <v>20</v>
      </c>
    </row>
    <row r="1497" spans="1:10" x14ac:dyDescent="0.3">
      <c r="A1497">
        <v>4231</v>
      </c>
      <c r="B1497" t="s">
        <v>1730</v>
      </c>
      <c r="C1497" t="s">
        <v>1202</v>
      </c>
      <c r="D1497" t="s">
        <v>1203</v>
      </c>
      <c r="E1497" t="s">
        <v>1204</v>
      </c>
      <c r="F1497">
        <v>5492</v>
      </c>
      <c r="G1497" t="s">
        <v>698</v>
      </c>
      <c r="I1497" t="s">
        <v>1205</v>
      </c>
      <c r="J1497">
        <v>0</v>
      </c>
    </row>
    <row r="1498" spans="1:10" x14ac:dyDescent="0.3">
      <c r="A1498">
        <v>4231</v>
      </c>
      <c r="B1498" t="s">
        <v>1730</v>
      </c>
      <c r="C1498" t="s">
        <v>1202</v>
      </c>
      <c r="D1498" t="s">
        <v>1203</v>
      </c>
      <c r="E1498" t="s">
        <v>1204</v>
      </c>
      <c r="F1498">
        <v>5492</v>
      </c>
      <c r="G1498" t="s">
        <v>696</v>
      </c>
      <c r="H1498" t="s">
        <v>1731</v>
      </c>
      <c r="I1498" t="s">
        <v>1205</v>
      </c>
      <c r="J1498">
        <v>3084.0219999999999</v>
      </c>
    </row>
    <row r="1499" spans="1:10" x14ac:dyDescent="0.3">
      <c r="A1499">
        <v>4231</v>
      </c>
      <c r="B1499" t="s">
        <v>1730</v>
      </c>
      <c r="C1499" t="s">
        <v>1202</v>
      </c>
      <c r="D1499" t="s">
        <v>1203</v>
      </c>
      <c r="E1499" t="s">
        <v>1204</v>
      </c>
      <c r="F1499">
        <v>5492</v>
      </c>
      <c r="G1499" t="s">
        <v>700</v>
      </c>
      <c r="H1499" t="s">
        <v>1732</v>
      </c>
      <c r="I1499" t="s">
        <v>1205</v>
      </c>
      <c r="J1499">
        <v>336.065</v>
      </c>
    </row>
    <row r="1500" spans="1:10" x14ac:dyDescent="0.3">
      <c r="A1500">
        <v>4231</v>
      </c>
      <c r="B1500" t="s">
        <v>1730</v>
      </c>
      <c r="C1500" t="s">
        <v>1202</v>
      </c>
      <c r="D1500" t="s">
        <v>1203</v>
      </c>
      <c r="E1500" t="s">
        <v>1204</v>
      </c>
      <c r="F1500">
        <v>5492</v>
      </c>
      <c r="G1500" t="s">
        <v>703</v>
      </c>
      <c r="H1500" t="s">
        <v>1733</v>
      </c>
      <c r="I1500" t="s">
        <v>1205</v>
      </c>
      <c r="J1500">
        <v>389.35599999999999</v>
      </c>
    </row>
    <row r="1501" spans="1:10" x14ac:dyDescent="0.3">
      <c r="A1501">
        <v>4231</v>
      </c>
      <c r="B1501" t="s">
        <v>1730</v>
      </c>
      <c r="C1501" t="s">
        <v>1202</v>
      </c>
      <c r="D1501" t="s">
        <v>1203</v>
      </c>
      <c r="E1501" t="s">
        <v>1204</v>
      </c>
      <c r="F1501">
        <v>5492</v>
      </c>
      <c r="G1501" t="s">
        <v>701</v>
      </c>
      <c r="I1501" t="s">
        <v>1205</v>
      </c>
      <c r="J1501">
        <v>0</v>
      </c>
    </row>
    <row r="1502" spans="1:10" x14ac:dyDescent="0.3">
      <c r="A1502">
        <v>4231</v>
      </c>
      <c r="B1502" t="s">
        <v>1730</v>
      </c>
      <c r="C1502" t="s">
        <v>1202</v>
      </c>
      <c r="D1502" t="s">
        <v>1203</v>
      </c>
      <c r="E1502" t="s">
        <v>1204</v>
      </c>
      <c r="F1502">
        <v>5492</v>
      </c>
      <c r="G1502" t="s">
        <v>702</v>
      </c>
      <c r="H1502" t="s">
        <v>1734</v>
      </c>
      <c r="I1502" t="s">
        <v>1205</v>
      </c>
      <c r="J1502">
        <v>322.01799999999997</v>
      </c>
    </row>
    <row r="1503" spans="1:10" x14ac:dyDescent="0.3">
      <c r="A1503">
        <v>4231</v>
      </c>
      <c r="B1503" t="s">
        <v>1730</v>
      </c>
      <c r="C1503" t="s">
        <v>1202</v>
      </c>
      <c r="D1503" t="s">
        <v>1203</v>
      </c>
      <c r="E1503" t="s">
        <v>1204</v>
      </c>
      <c r="F1503">
        <v>5492</v>
      </c>
      <c r="G1503" t="s">
        <v>686</v>
      </c>
      <c r="I1503" t="s">
        <v>1205</v>
      </c>
      <c r="J1503">
        <v>540.78</v>
      </c>
    </row>
    <row r="1504" spans="1:10" x14ac:dyDescent="0.3">
      <c r="A1504">
        <v>4231</v>
      </c>
      <c r="B1504" t="s">
        <v>1730</v>
      </c>
      <c r="C1504" t="s">
        <v>1202</v>
      </c>
      <c r="D1504" t="s">
        <v>1203</v>
      </c>
      <c r="E1504" t="s">
        <v>1204</v>
      </c>
      <c r="F1504">
        <v>5492</v>
      </c>
      <c r="G1504" t="s">
        <v>692</v>
      </c>
      <c r="H1504" t="s">
        <v>1735</v>
      </c>
      <c r="I1504" t="s">
        <v>1210</v>
      </c>
      <c r="J1504">
        <v>0</v>
      </c>
    </row>
    <row r="1505" spans="1:10" x14ac:dyDescent="0.3">
      <c r="A1505">
        <v>1671</v>
      </c>
      <c r="B1505" t="s">
        <v>1736</v>
      </c>
      <c r="C1505" t="s">
        <v>1202</v>
      </c>
      <c r="D1505" t="s">
        <v>1203</v>
      </c>
      <c r="E1505" t="s">
        <v>1204</v>
      </c>
      <c r="F1505">
        <v>5775</v>
      </c>
      <c r="G1505" t="s">
        <v>687</v>
      </c>
      <c r="H1505" t="s">
        <v>1260</v>
      </c>
      <c r="I1505" t="s">
        <v>1205</v>
      </c>
      <c r="J1505">
        <v>6.9</v>
      </c>
    </row>
    <row r="1506" spans="1:10" x14ac:dyDescent="0.3">
      <c r="A1506">
        <v>1671</v>
      </c>
      <c r="B1506" t="s">
        <v>1736</v>
      </c>
      <c r="C1506" t="s">
        <v>1202</v>
      </c>
      <c r="D1506" t="s">
        <v>1203</v>
      </c>
      <c r="E1506" t="s">
        <v>1204</v>
      </c>
      <c r="F1506">
        <v>5775</v>
      </c>
      <c r="G1506" t="s">
        <v>702</v>
      </c>
      <c r="I1506" t="s">
        <v>1205</v>
      </c>
      <c r="J1506">
        <v>2366.5</v>
      </c>
    </row>
    <row r="1507" spans="1:10" x14ac:dyDescent="0.3">
      <c r="A1507">
        <v>1671</v>
      </c>
      <c r="B1507" t="s">
        <v>1736</v>
      </c>
      <c r="C1507" t="s">
        <v>1202</v>
      </c>
      <c r="D1507" t="s">
        <v>1203</v>
      </c>
      <c r="E1507" t="s">
        <v>1204</v>
      </c>
      <c r="F1507">
        <v>5775</v>
      </c>
      <c r="G1507" t="s">
        <v>701</v>
      </c>
      <c r="I1507" t="s">
        <v>1205</v>
      </c>
      <c r="J1507">
        <v>302.77</v>
      </c>
    </row>
    <row r="1508" spans="1:10" x14ac:dyDescent="0.3">
      <c r="A1508">
        <v>1671</v>
      </c>
      <c r="B1508" t="s">
        <v>1736</v>
      </c>
      <c r="C1508" t="s">
        <v>1202</v>
      </c>
      <c r="D1508" t="s">
        <v>1203</v>
      </c>
      <c r="E1508" t="s">
        <v>1204</v>
      </c>
      <c r="F1508">
        <v>5775</v>
      </c>
      <c r="G1508" t="s">
        <v>700</v>
      </c>
      <c r="H1508" t="s">
        <v>1272</v>
      </c>
      <c r="I1508" t="s">
        <v>1205</v>
      </c>
      <c r="J1508">
        <v>1062.1199999999999</v>
      </c>
    </row>
    <row r="1509" spans="1:10" x14ac:dyDescent="0.3">
      <c r="A1509">
        <v>1671</v>
      </c>
      <c r="B1509" t="s">
        <v>1736</v>
      </c>
      <c r="C1509" t="s">
        <v>1202</v>
      </c>
      <c r="D1509" t="s">
        <v>1203</v>
      </c>
      <c r="E1509" t="s">
        <v>1204</v>
      </c>
      <c r="F1509">
        <v>5775</v>
      </c>
      <c r="G1509" t="s">
        <v>698</v>
      </c>
      <c r="I1509" t="s">
        <v>1205</v>
      </c>
      <c r="J1509">
        <v>3062.59</v>
      </c>
    </row>
    <row r="1510" spans="1:10" x14ac:dyDescent="0.3">
      <c r="A1510">
        <v>1671</v>
      </c>
      <c r="B1510" t="s">
        <v>1736</v>
      </c>
      <c r="C1510" t="s">
        <v>1202</v>
      </c>
      <c r="D1510" t="s">
        <v>1203</v>
      </c>
      <c r="E1510" t="s">
        <v>1204</v>
      </c>
      <c r="F1510">
        <v>5775</v>
      </c>
      <c r="G1510" t="s">
        <v>696</v>
      </c>
      <c r="I1510" t="s">
        <v>1205</v>
      </c>
      <c r="J1510">
        <v>2688.61</v>
      </c>
    </row>
    <row r="1511" spans="1:10" x14ac:dyDescent="0.3">
      <c r="A1511">
        <v>1697</v>
      </c>
      <c r="B1511" t="s">
        <v>1737</v>
      </c>
      <c r="C1511" t="s">
        <v>1202</v>
      </c>
      <c r="D1511" t="s">
        <v>1203</v>
      </c>
      <c r="E1511" t="s">
        <v>1204</v>
      </c>
      <c r="F1511">
        <v>5833</v>
      </c>
      <c r="G1511" t="s">
        <v>696</v>
      </c>
      <c r="I1511" t="s">
        <v>1205</v>
      </c>
      <c r="J1511">
        <v>2474</v>
      </c>
    </row>
    <row r="1512" spans="1:10" x14ac:dyDescent="0.3">
      <c r="A1512">
        <v>1697</v>
      </c>
      <c r="B1512" t="s">
        <v>1737</v>
      </c>
      <c r="C1512" t="s">
        <v>1202</v>
      </c>
      <c r="D1512" t="s">
        <v>1203</v>
      </c>
      <c r="E1512" t="s">
        <v>1204</v>
      </c>
      <c r="F1512">
        <v>5833</v>
      </c>
      <c r="G1512" t="s">
        <v>687</v>
      </c>
      <c r="H1512" t="s">
        <v>1405</v>
      </c>
      <c r="I1512" t="s">
        <v>1205</v>
      </c>
      <c r="J1512">
        <v>416</v>
      </c>
    </row>
    <row r="1513" spans="1:10" x14ac:dyDescent="0.3">
      <c r="A1513">
        <v>1697</v>
      </c>
      <c r="B1513" t="s">
        <v>1737</v>
      </c>
      <c r="C1513" t="s">
        <v>1202</v>
      </c>
      <c r="D1513" t="s">
        <v>1203</v>
      </c>
      <c r="E1513" t="s">
        <v>1204</v>
      </c>
      <c r="F1513">
        <v>5833</v>
      </c>
      <c r="G1513" t="s">
        <v>698</v>
      </c>
      <c r="I1513" t="s">
        <v>1205</v>
      </c>
      <c r="J1513">
        <v>317</v>
      </c>
    </row>
    <row r="1514" spans="1:10" x14ac:dyDescent="0.3">
      <c r="A1514">
        <v>1697</v>
      </c>
      <c r="B1514" t="s">
        <v>1737</v>
      </c>
      <c r="C1514" t="s">
        <v>1202</v>
      </c>
      <c r="D1514" t="s">
        <v>1203</v>
      </c>
      <c r="E1514" t="s">
        <v>1204</v>
      </c>
      <c r="F1514">
        <v>5833</v>
      </c>
      <c r="G1514" t="s">
        <v>702</v>
      </c>
      <c r="I1514" t="s">
        <v>1205</v>
      </c>
      <c r="J1514">
        <v>274</v>
      </c>
    </row>
    <row r="1515" spans="1:10" x14ac:dyDescent="0.3">
      <c r="A1515">
        <v>1697</v>
      </c>
      <c r="B1515" t="s">
        <v>1737</v>
      </c>
      <c r="C1515" t="s">
        <v>1202</v>
      </c>
      <c r="D1515" t="s">
        <v>1203</v>
      </c>
      <c r="E1515" t="s">
        <v>1204</v>
      </c>
      <c r="F1515">
        <v>5833</v>
      </c>
      <c r="G1515" t="s">
        <v>700</v>
      </c>
      <c r="I1515" t="s">
        <v>1205</v>
      </c>
      <c r="J1515">
        <v>374</v>
      </c>
    </row>
    <row r="1516" spans="1:10" x14ac:dyDescent="0.3">
      <c r="A1516">
        <v>1697</v>
      </c>
      <c r="B1516" t="s">
        <v>1737</v>
      </c>
      <c r="C1516" t="s">
        <v>1202</v>
      </c>
      <c r="D1516" t="s">
        <v>1203</v>
      </c>
      <c r="E1516" t="s">
        <v>1204</v>
      </c>
      <c r="F1516">
        <v>5833</v>
      </c>
      <c r="G1516" t="s">
        <v>687</v>
      </c>
      <c r="H1516" t="s">
        <v>1738</v>
      </c>
      <c r="I1516" t="s">
        <v>1205</v>
      </c>
      <c r="J1516">
        <v>132</v>
      </c>
    </row>
    <row r="1517" spans="1:10" x14ac:dyDescent="0.3">
      <c r="A1517">
        <v>1701</v>
      </c>
      <c r="B1517" t="s">
        <v>1739</v>
      </c>
      <c r="C1517" t="s">
        <v>1202</v>
      </c>
      <c r="D1517" t="s">
        <v>1203</v>
      </c>
      <c r="E1517" t="s">
        <v>1204</v>
      </c>
      <c r="F1517">
        <v>5884</v>
      </c>
      <c r="G1517" t="s">
        <v>687</v>
      </c>
      <c r="H1517" t="s">
        <v>1740</v>
      </c>
      <c r="I1517" t="s">
        <v>1205</v>
      </c>
      <c r="J1517">
        <v>32</v>
      </c>
    </row>
    <row r="1518" spans="1:10" x14ac:dyDescent="0.3">
      <c r="A1518">
        <v>1701</v>
      </c>
      <c r="B1518" t="s">
        <v>1739</v>
      </c>
      <c r="C1518" t="s">
        <v>1202</v>
      </c>
      <c r="D1518" t="s">
        <v>1203</v>
      </c>
      <c r="E1518" t="s">
        <v>1204</v>
      </c>
      <c r="F1518">
        <v>5884</v>
      </c>
      <c r="G1518" t="s">
        <v>686</v>
      </c>
      <c r="H1518" t="s">
        <v>1741</v>
      </c>
      <c r="I1518" t="s">
        <v>1205</v>
      </c>
      <c r="J1518">
        <v>809</v>
      </c>
    </row>
    <row r="1519" spans="1:10" x14ac:dyDescent="0.3">
      <c r="A1519">
        <v>1701</v>
      </c>
      <c r="B1519" t="s">
        <v>1739</v>
      </c>
      <c r="C1519" t="s">
        <v>1202</v>
      </c>
      <c r="D1519" t="s">
        <v>1203</v>
      </c>
      <c r="E1519" t="s">
        <v>1204</v>
      </c>
      <c r="F1519">
        <v>5884</v>
      </c>
      <c r="G1519" t="s">
        <v>705</v>
      </c>
      <c r="H1519" t="s">
        <v>1742</v>
      </c>
      <c r="I1519" t="s">
        <v>1205</v>
      </c>
      <c r="J1519">
        <v>588</v>
      </c>
    </row>
    <row r="1520" spans="1:10" x14ac:dyDescent="0.3">
      <c r="A1520">
        <v>1701</v>
      </c>
      <c r="B1520" t="s">
        <v>1739</v>
      </c>
      <c r="C1520" t="s">
        <v>1202</v>
      </c>
      <c r="D1520" t="s">
        <v>1203</v>
      </c>
      <c r="E1520" t="s">
        <v>1204</v>
      </c>
      <c r="F1520">
        <v>5884</v>
      </c>
      <c r="G1520" t="s">
        <v>684</v>
      </c>
      <c r="H1520" t="s">
        <v>1743</v>
      </c>
      <c r="I1520" t="s">
        <v>1205</v>
      </c>
      <c r="J1520">
        <v>172</v>
      </c>
    </row>
    <row r="1521" spans="1:10" x14ac:dyDescent="0.3">
      <c r="A1521">
        <v>1701</v>
      </c>
      <c r="B1521" t="s">
        <v>1739</v>
      </c>
      <c r="C1521" t="s">
        <v>1202</v>
      </c>
      <c r="D1521" t="s">
        <v>1203</v>
      </c>
      <c r="E1521" t="s">
        <v>1204</v>
      </c>
      <c r="F1521">
        <v>5884</v>
      </c>
      <c r="G1521" t="s">
        <v>700</v>
      </c>
      <c r="H1521" t="s">
        <v>1744</v>
      </c>
      <c r="I1521" t="s">
        <v>1205</v>
      </c>
      <c r="J1521">
        <v>2792</v>
      </c>
    </row>
    <row r="1522" spans="1:10" x14ac:dyDescent="0.3">
      <c r="A1522">
        <v>1701</v>
      </c>
      <c r="B1522" t="s">
        <v>1739</v>
      </c>
      <c r="C1522" t="s">
        <v>1202</v>
      </c>
      <c r="D1522" t="s">
        <v>1203</v>
      </c>
      <c r="E1522" t="s">
        <v>1204</v>
      </c>
      <c r="F1522">
        <v>5884</v>
      </c>
      <c r="G1522" t="s">
        <v>703</v>
      </c>
      <c r="H1522" t="s">
        <v>1745</v>
      </c>
      <c r="I1522" t="s">
        <v>1205</v>
      </c>
      <c r="J1522">
        <v>266</v>
      </c>
    </row>
    <row r="1523" spans="1:10" x14ac:dyDescent="0.3">
      <c r="A1523">
        <v>1701</v>
      </c>
      <c r="B1523" t="s">
        <v>1739</v>
      </c>
      <c r="C1523" t="s">
        <v>1202</v>
      </c>
      <c r="D1523" t="s">
        <v>1203</v>
      </c>
      <c r="E1523" t="s">
        <v>1204</v>
      </c>
      <c r="F1523">
        <v>5884</v>
      </c>
      <c r="G1523" t="s">
        <v>696</v>
      </c>
      <c r="I1523" t="s">
        <v>1205</v>
      </c>
      <c r="J1523">
        <v>6654</v>
      </c>
    </row>
    <row r="1524" spans="1:10" x14ac:dyDescent="0.3">
      <c r="A1524">
        <v>1701</v>
      </c>
      <c r="B1524" t="s">
        <v>1739</v>
      </c>
      <c r="C1524" t="s">
        <v>1202</v>
      </c>
      <c r="D1524" t="s">
        <v>1203</v>
      </c>
      <c r="E1524" t="s">
        <v>1204</v>
      </c>
      <c r="F1524">
        <v>5884</v>
      </c>
      <c r="G1524" t="s">
        <v>698</v>
      </c>
      <c r="I1524" t="s">
        <v>1205</v>
      </c>
      <c r="J1524">
        <v>1794</v>
      </c>
    </row>
    <row r="1525" spans="1:10" x14ac:dyDescent="0.3">
      <c r="A1525">
        <v>1701</v>
      </c>
      <c r="B1525" t="s">
        <v>1739</v>
      </c>
      <c r="C1525" t="s">
        <v>1202</v>
      </c>
      <c r="D1525" t="s">
        <v>1203</v>
      </c>
      <c r="E1525" t="s">
        <v>1204</v>
      </c>
      <c r="F1525">
        <v>5884</v>
      </c>
      <c r="G1525" t="s">
        <v>702</v>
      </c>
      <c r="H1525" t="s">
        <v>1746</v>
      </c>
      <c r="I1525" t="s">
        <v>1205</v>
      </c>
      <c r="J1525">
        <v>985</v>
      </c>
    </row>
    <row r="1526" spans="1:10" x14ac:dyDescent="0.3">
      <c r="A1526">
        <v>1718</v>
      </c>
      <c r="B1526" t="s">
        <v>1747</v>
      </c>
      <c r="C1526" t="s">
        <v>1202</v>
      </c>
      <c r="D1526" t="s">
        <v>1203</v>
      </c>
      <c r="E1526" t="s">
        <v>1204</v>
      </c>
      <c r="F1526">
        <v>5882</v>
      </c>
      <c r="G1526" t="s">
        <v>687</v>
      </c>
      <c r="H1526" t="s">
        <v>1748</v>
      </c>
      <c r="I1526" t="s">
        <v>1210</v>
      </c>
      <c r="J1526">
        <v>9410</v>
      </c>
    </row>
    <row r="1527" spans="1:10" x14ac:dyDescent="0.3">
      <c r="A1527">
        <v>1718</v>
      </c>
      <c r="B1527" t="s">
        <v>1747</v>
      </c>
      <c r="C1527" t="s">
        <v>1202</v>
      </c>
      <c r="D1527" t="s">
        <v>1203</v>
      </c>
      <c r="E1527" t="s">
        <v>1204</v>
      </c>
      <c r="F1527">
        <v>5882</v>
      </c>
      <c r="G1527" t="s">
        <v>696</v>
      </c>
      <c r="I1527" t="s">
        <v>1205</v>
      </c>
      <c r="J1527">
        <v>6429</v>
      </c>
    </row>
    <row r="1528" spans="1:10" x14ac:dyDescent="0.3">
      <c r="A1528">
        <v>1718</v>
      </c>
      <c r="B1528" t="s">
        <v>1747</v>
      </c>
      <c r="C1528" t="s">
        <v>1202</v>
      </c>
      <c r="D1528" t="s">
        <v>1203</v>
      </c>
      <c r="E1528" t="s">
        <v>1204</v>
      </c>
      <c r="F1528">
        <v>5882</v>
      </c>
      <c r="G1528" t="s">
        <v>698</v>
      </c>
      <c r="I1528" t="s">
        <v>1205</v>
      </c>
      <c r="J1528">
        <v>636</v>
      </c>
    </row>
    <row r="1529" spans="1:10" x14ac:dyDescent="0.3">
      <c r="A1529">
        <v>1718</v>
      </c>
      <c r="B1529" t="s">
        <v>1747</v>
      </c>
      <c r="C1529" t="s">
        <v>1202</v>
      </c>
      <c r="D1529" t="s">
        <v>1203</v>
      </c>
      <c r="E1529" t="s">
        <v>1204</v>
      </c>
      <c r="F1529">
        <v>5882</v>
      </c>
      <c r="G1529" t="s">
        <v>700</v>
      </c>
      <c r="I1529" t="s">
        <v>1205</v>
      </c>
      <c r="J1529">
        <v>759</v>
      </c>
    </row>
    <row r="1530" spans="1:10" x14ac:dyDescent="0.3">
      <c r="A1530">
        <v>1718</v>
      </c>
      <c r="B1530" t="s">
        <v>1747</v>
      </c>
      <c r="C1530" t="s">
        <v>1202</v>
      </c>
      <c r="D1530" t="s">
        <v>1203</v>
      </c>
      <c r="E1530" t="s">
        <v>1204</v>
      </c>
      <c r="F1530">
        <v>5882</v>
      </c>
      <c r="G1530" t="s">
        <v>701</v>
      </c>
      <c r="I1530" t="s">
        <v>1205</v>
      </c>
      <c r="J1530">
        <v>0.22</v>
      </c>
    </row>
    <row r="1531" spans="1:10" x14ac:dyDescent="0.3">
      <c r="A1531">
        <v>1718</v>
      </c>
      <c r="B1531" t="s">
        <v>1747</v>
      </c>
      <c r="C1531" t="s">
        <v>1202</v>
      </c>
      <c r="D1531" t="s">
        <v>1203</v>
      </c>
      <c r="E1531" t="s">
        <v>1204</v>
      </c>
      <c r="F1531">
        <v>5882</v>
      </c>
      <c r="G1531" t="s">
        <v>703</v>
      </c>
      <c r="I1531" t="s">
        <v>1205</v>
      </c>
      <c r="J1531">
        <v>476</v>
      </c>
    </row>
    <row r="1532" spans="1:10" x14ac:dyDescent="0.3">
      <c r="A1532">
        <v>1718</v>
      </c>
      <c r="B1532" t="s">
        <v>1747</v>
      </c>
      <c r="C1532" t="s">
        <v>1202</v>
      </c>
      <c r="D1532" t="s">
        <v>1203</v>
      </c>
      <c r="E1532" t="s">
        <v>1204</v>
      </c>
      <c r="F1532">
        <v>5882</v>
      </c>
      <c r="G1532" t="s">
        <v>705</v>
      </c>
      <c r="I1532" t="s">
        <v>1205</v>
      </c>
      <c r="J1532">
        <v>108</v>
      </c>
    </row>
    <row r="1533" spans="1:10" x14ac:dyDescent="0.3">
      <c r="A1533">
        <v>1718</v>
      </c>
      <c r="B1533" t="s">
        <v>1747</v>
      </c>
      <c r="C1533" t="s">
        <v>1202</v>
      </c>
      <c r="D1533" t="s">
        <v>1203</v>
      </c>
      <c r="E1533" t="s">
        <v>1204</v>
      </c>
      <c r="F1533">
        <v>5882</v>
      </c>
      <c r="G1533" t="s">
        <v>705</v>
      </c>
      <c r="I1533" t="s">
        <v>1210</v>
      </c>
      <c r="J1533">
        <v>2891</v>
      </c>
    </row>
    <row r="1534" spans="1:10" x14ac:dyDescent="0.3">
      <c r="A1534">
        <v>1718</v>
      </c>
      <c r="B1534" t="s">
        <v>1747</v>
      </c>
      <c r="C1534" t="s">
        <v>1202</v>
      </c>
      <c r="D1534" t="s">
        <v>1203</v>
      </c>
      <c r="E1534" t="s">
        <v>1204</v>
      </c>
      <c r="F1534">
        <v>5882</v>
      </c>
      <c r="G1534" t="s">
        <v>687</v>
      </c>
      <c r="H1534" t="s">
        <v>1749</v>
      </c>
      <c r="I1534" t="s">
        <v>1210</v>
      </c>
      <c r="J1534">
        <v>139519</v>
      </c>
    </row>
    <row r="1535" spans="1:10" x14ac:dyDescent="0.3">
      <c r="A1535">
        <v>1718</v>
      </c>
      <c r="B1535" t="s">
        <v>1747</v>
      </c>
      <c r="C1535" t="s">
        <v>1202</v>
      </c>
      <c r="D1535" t="s">
        <v>1203</v>
      </c>
      <c r="E1535" t="s">
        <v>1204</v>
      </c>
      <c r="F1535">
        <v>5882</v>
      </c>
      <c r="G1535" t="s">
        <v>686</v>
      </c>
      <c r="H1535" t="s">
        <v>1750</v>
      </c>
      <c r="I1535" t="s">
        <v>1210</v>
      </c>
      <c r="J1535">
        <v>1200</v>
      </c>
    </row>
    <row r="1536" spans="1:10" x14ac:dyDescent="0.3">
      <c r="A1536">
        <v>1718</v>
      </c>
      <c r="B1536" t="s">
        <v>1747</v>
      </c>
      <c r="C1536" t="s">
        <v>1202</v>
      </c>
      <c r="D1536" t="s">
        <v>1203</v>
      </c>
      <c r="E1536" t="s">
        <v>1204</v>
      </c>
      <c r="F1536">
        <v>5882</v>
      </c>
      <c r="G1536" t="s">
        <v>687</v>
      </c>
      <c r="I1536" t="s">
        <v>1205</v>
      </c>
      <c r="J1536">
        <v>28</v>
      </c>
    </row>
    <row r="1537" spans="1:10" x14ac:dyDescent="0.3">
      <c r="A1537">
        <v>1718</v>
      </c>
      <c r="B1537" t="s">
        <v>1747</v>
      </c>
      <c r="C1537" t="s">
        <v>1202</v>
      </c>
      <c r="D1537" t="s">
        <v>1203</v>
      </c>
      <c r="E1537" t="s">
        <v>1204</v>
      </c>
      <c r="F1537">
        <v>5882</v>
      </c>
      <c r="G1537" t="s">
        <v>702</v>
      </c>
      <c r="I1537" t="s">
        <v>1205</v>
      </c>
      <c r="J1537">
        <v>222</v>
      </c>
    </row>
    <row r="1538" spans="1:10" x14ac:dyDescent="0.3">
      <c r="A1538">
        <v>1729</v>
      </c>
      <c r="B1538" t="s">
        <v>1751</v>
      </c>
      <c r="C1538" t="s">
        <v>1202</v>
      </c>
      <c r="D1538" t="s">
        <v>1203</v>
      </c>
      <c r="E1538" t="s">
        <v>1204</v>
      </c>
      <c r="F1538">
        <v>6758</v>
      </c>
      <c r="G1538" t="s">
        <v>686</v>
      </c>
      <c r="H1538" t="s">
        <v>1570</v>
      </c>
      <c r="I1538" t="s">
        <v>1205</v>
      </c>
      <c r="J1538">
        <v>245.51102800000001</v>
      </c>
    </row>
    <row r="1539" spans="1:10" x14ac:dyDescent="0.3">
      <c r="A1539">
        <v>1729</v>
      </c>
      <c r="B1539" t="s">
        <v>1751</v>
      </c>
      <c r="C1539" t="s">
        <v>1202</v>
      </c>
      <c r="D1539" t="s">
        <v>1203</v>
      </c>
      <c r="E1539" t="s">
        <v>1204</v>
      </c>
      <c r="F1539">
        <v>6758</v>
      </c>
      <c r="G1539" t="s">
        <v>702</v>
      </c>
      <c r="H1539" t="s">
        <v>1752</v>
      </c>
      <c r="I1539" t="s">
        <v>1205</v>
      </c>
      <c r="J1539">
        <v>165.39157290004999</v>
      </c>
    </row>
    <row r="1540" spans="1:10" x14ac:dyDescent="0.3">
      <c r="A1540">
        <v>1729</v>
      </c>
      <c r="B1540" t="s">
        <v>1751</v>
      </c>
      <c r="C1540" t="s">
        <v>1202</v>
      </c>
      <c r="D1540" t="s">
        <v>1203</v>
      </c>
      <c r="E1540" t="s">
        <v>1204</v>
      </c>
      <c r="F1540">
        <v>6758</v>
      </c>
      <c r="G1540" t="s">
        <v>701</v>
      </c>
      <c r="H1540" t="s">
        <v>1753</v>
      </c>
      <c r="I1540" t="s">
        <v>1205</v>
      </c>
      <c r="J1540">
        <v>234.73616275865001</v>
      </c>
    </row>
    <row r="1541" spans="1:10" x14ac:dyDescent="0.3">
      <c r="A1541">
        <v>1729</v>
      </c>
      <c r="B1541" t="s">
        <v>1751</v>
      </c>
      <c r="C1541" t="s">
        <v>1202</v>
      </c>
      <c r="D1541" t="s">
        <v>1203</v>
      </c>
      <c r="E1541" t="s">
        <v>1204</v>
      </c>
      <c r="F1541">
        <v>6758</v>
      </c>
      <c r="G1541" t="s">
        <v>700</v>
      </c>
      <c r="H1541" t="s">
        <v>1754</v>
      </c>
      <c r="I1541" t="s">
        <v>1205</v>
      </c>
      <c r="J1541">
        <v>239.48987003830001</v>
      </c>
    </row>
    <row r="1542" spans="1:10" x14ac:dyDescent="0.3">
      <c r="A1542">
        <v>1729</v>
      </c>
      <c r="B1542" t="s">
        <v>1751</v>
      </c>
      <c r="C1542" t="s">
        <v>1202</v>
      </c>
      <c r="D1542" t="s">
        <v>1203</v>
      </c>
      <c r="E1542" t="s">
        <v>1204</v>
      </c>
      <c r="F1542">
        <v>6758</v>
      </c>
      <c r="G1542" t="s">
        <v>698</v>
      </c>
      <c r="H1542" t="s">
        <v>1755</v>
      </c>
      <c r="I1542" t="s">
        <v>1205</v>
      </c>
      <c r="J1542">
        <v>84.234833706800003</v>
      </c>
    </row>
    <row r="1543" spans="1:10" x14ac:dyDescent="0.3">
      <c r="A1543">
        <v>1729</v>
      </c>
      <c r="B1543" t="s">
        <v>1751</v>
      </c>
      <c r="C1543" t="s">
        <v>1202</v>
      </c>
      <c r="D1543" t="s">
        <v>1203</v>
      </c>
      <c r="E1543" t="s">
        <v>1204</v>
      </c>
      <c r="F1543">
        <v>6758</v>
      </c>
      <c r="G1543" t="s">
        <v>696</v>
      </c>
      <c r="H1543" t="s">
        <v>1756</v>
      </c>
      <c r="I1543" t="s">
        <v>1205</v>
      </c>
      <c r="J1543">
        <v>1394.2264391335</v>
      </c>
    </row>
    <row r="1544" spans="1:10" x14ac:dyDescent="0.3">
      <c r="A1544">
        <v>1730</v>
      </c>
      <c r="B1544" t="s">
        <v>1757</v>
      </c>
      <c r="C1544" t="s">
        <v>1202</v>
      </c>
      <c r="D1544" t="s">
        <v>159</v>
      </c>
      <c r="E1544" t="s">
        <v>159</v>
      </c>
      <c r="F1544">
        <v>7710</v>
      </c>
      <c r="G1544" t="s">
        <v>698</v>
      </c>
      <c r="I1544" t="s">
        <v>1205</v>
      </c>
      <c r="J1544">
        <v>1782</v>
      </c>
    </row>
    <row r="1545" spans="1:10" x14ac:dyDescent="0.3">
      <c r="A1545">
        <v>1730</v>
      </c>
      <c r="B1545" t="s">
        <v>1757</v>
      </c>
      <c r="C1545" t="s">
        <v>1202</v>
      </c>
      <c r="D1545" t="s">
        <v>159</v>
      </c>
      <c r="E1545" t="s">
        <v>159</v>
      </c>
      <c r="F1545">
        <v>7710</v>
      </c>
      <c r="G1545" t="s">
        <v>696</v>
      </c>
      <c r="I1545" t="s">
        <v>1205</v>
      </c>
      <c r="J1545">
        <v>6750</v>
      </c>
    </row>
    <row r="1546" spans="1:10" x14ac:dyDescent="0.3">
      <c r="A1546">
        <v>1730</v>
      </c>
      <c r="B1546" t="s">
        <v>1757</v>
      </c>
      <c r="C1546" t="s">
        <v>1202</v>
      </c>
      <c r="D1546" t="s">
        <v>159</v>
      </c>
      <c r="E1546" t="s">
        <v>159</v>
      </c>
      <c r="F1546">
        <v>7710</v>
      </c>
      <c r="G1546" t="s">
        <v>703</v>
      </c>
      <c r="I1546" t="s">
        <v>1205</v>
      </c>
      <c r="J1546">
        <v>173</v>
      </c>
    </row>
    <row r="1547" spans="1:10" x14ac:dyDescent="0.3">
      <c r="A1547">
        <v>1730</v>
      </c>
      <c r="B1547" t="s">
        <v>1757</v>
      </c>
      <c r="C1547" t="s">
        <v>1202</v>
      </c>
      <c r="D1547" t="s">
        <v>159</v>
      </c>
      <c r="E1547" t="s">
        <v>159</v>
      </c>
      <c r="F1547">
        <v>7710</v>
      </c>
      <c r="G1547" t="s">
        <v>700</v>
      </c>
      <c r="I1547" t="s">
        <v>1205</v>
      </c>
      <c r="J1547">
        <v>2463</v>
      </c>
    </row>
    <row r="1548" spans="1:10" x14ac:dyDescent="0.3">
      <c r="A1548">
        <v>1730</v>
      </c>
      <c r="B1548" t="s">
        <v>1757</v>
      </c>
      <c r="C1548" t="s">
        <v>1202</v>
      </c>
      <c r="D1548" t="s">
        <v>159</v>
      </c>
      <c r="E1548" t="s">
        <v>159</v>
      </c>
      <c r="F1548">
        <v>7710</v>
      </c>
      <c r="G1548" t="s">
        <v>702</v>
      </c>
      <c r="H1548" t="s">
        <v>1282</v>
      </c>
      <c r="I1548" t="s">
        <v>1205</v>
      </c>
      <c r="J1548">
        <v>2629</v>
      </c>
    </row>
    <row r="1549" spans="1:10" x14ac:dyDescent="0.3">
      <c r="A1549">
        <v>1730</v>
      </c>
      <c r="B1549" t="s">
        <v>1757</v>
      </c>
      <c r="C1549" t="s">
        <v>1202</v>
      </c>
      <c r="D1549" t="s">
        <v>159</v>
      </c>
      <c r="E1549" t="s">
        <v>159</v>
      </c>
      <c r="F1549">
        <v>7710</v>
      </c>
      <c r="G1549" t="s">
        <v>687</v>
      </c>
      <c r="I1549" t="s">
        <v>1205</v>
      </c>
      <c r="J1549">
        <v>91</v>
      </c>
    </row>
    <row r="1550" spans="1:10" x14ac:dyDescent="0.3">
      <c r="A1550">
        <v>1730</v>
      </c>
      <c r="B1550" t="s">
        <v>1757</v>
      </c>
      <c r="C1550" t="s">
        <v>1202</v>
      </c>
      <c r="D1550" t="s">
        <v>159</v>
      </c>
      <c r="E1550" t="s">
        <v>159</v>
      </c>
      <c r="F1550">
        <v>7710</v>
      </c>
      <c r="G1550" t="s">
        <v>686</v>
      </c>
      <c r="H1550" t="s">
        <v>1269</v>
      </c>
      <c r="I1550" t="s">
        <v>1205</v>
      </c>
      <c r="J1550">
        <v>603</v>
      </c>
    </row>
    <row r="1551" spans="1:10" x14ac:dyDescent="0.3">
      <c r="A1551">
        <v>1731</v>
      </c>
      <c r="B1551" t="s">
        <v>1758</v>
      </c>
      <c r="C1551" t="s">
        <v>1202</v>
      </c>
      <c r="D1551" t="s">
        <v>1203</v>
      </c>
      <c r="E1551" t="s">
        <v>1204</v>
      </c>
      <c r="F1551">
        <v>6882</v>
      </c>
      <c r="G1551" t="s">
        <v>702</v>
      </c>
      <c r="I1551" t="s">
        <v>1205</v>
      </c>
      <c r="J1551">
        <v>271</v>
      </c>
    </row>
    <row r="1552" spans="1:10" x14ac:dyDescent="0.3">
      <c r="A1552">
        <v>1731</v>
      </c>
      <c r="B1552" t="s">
        <v>1758</v>
      </c>
      <c r="C1552" t="s">
        <v>1202</v>
      </c>
      <c r="D1552" t="s">
        <v>1203</v>
      </c>
      <c r="E1552" t="s">
        <v>1204</v>
      </c>
      <c r="F1552">
        <v>6882</v>
      </c>
      <c r="G1552" t="s">
        <v>700</v>
      </c>
      <c r="I1552" t="s">
        <v>1205</v>
      </c>
      <c r="J1552">
        <v>76</v>
      </c>
    </row>
    <row r="1553" spans="1:10" x14ac:dyDescent="0.3">
      <c r="A1553">
        <v>1731</v>
      </c>
      <c r="B1553" t="s">
        <v>1758</v>
      </c>
      <c r="C1553" t="s">
        <v>1202</v>
      </c>
      <c r="D1553" t="s">
        <v>1203</v>
      </c>
      <c r="E1553" t="s">
        <v>1204</v>
      </c>
      <c r="F1553">
        <v>6882</v>
      </c>
      <c r="G1553" t="s">
        <v>698</v>
      </c>
      <c r="I1553" t="s">
        <v>1205</v>
      </c>
      <c r="J1553">
        <v>122</v>
      </c>
    </row>
    <row r="1554" spans="1:10" x14ac:dyDescent="0.3">
      <c r="A1554">
        <v>1731</v>
      </c>
      <c r="B1554" t="s">
        <v>1758</v>
      </c>
      <c r="C1554" t="s">
        <v>1202</v>
      </c>
      <c r="D1554" t="s">
        <v>1203</v>
      </c>
      <c r="E1554" t="s">
        <v>1204</v>
      </c>
      <c r="F1554">
        <v>6882</v>
      </c>
      <c r="G1554" t="s">
        <v>696</v>
      </c>
      <c r="I1554" t="s">
        <v>1205</v>
      </c>
      <c r="J1554">
        <v>1326</v>
      </c>
    </row>
    <row r="1555" spans="1:10" x14ac:dyDescent="0.3">
      <c r="A1555">
        <v>1731</v>
      </c>
      <c r="B1555" t="s">
        <v>1758</v>
      </c>
      <c r="C1555" t="s">
        <v>1202</v>
      </c>
      <c r="D1555" t="s">
        <v>1203</v>
      </c>
      <c r="E1555" t="s">
        <v>1204</v>
      </c>
      <c r="F1555">
        <v>6882</v>
      </c>
      <c r="G1555" t="s">
        <v>687</v>
      </c>
      <c r="I1555" t="s">
        <v>1205</v>
      </c>
      <c r="J1555">
        <v>4</v>
      </c>
    </row>
    <row r="1556" spans="1:10" x14ac:dyDescent="0.3">
      <c r="A1556">
        <v>1731</v>
      </c>
      <c r="B1556" t="s">
        <v>1758</v>
      </c>
      <c r="C1556" t="s">
        <v>1202</v>
      </c>
      <c r="D1556" t="s">
        <v>1203</v>
      </c>
      <c r="E1556" t="s">
        <v>1204</v>
      </c>
      <c r="F1556">
        <v>6882</v>
      </c>
      <c r="G1556" t="s">
        <v>684</v>
      </c>
      <c r="I1556" t="s">
        <v>1205</v>
      </c>
      <c r="J1556">
        <v>12</v>
      </c>
    </row>
    <row r="1557" spans="1:10" x14ac:dyDescent="0.3">
      <c r="A1557">
        <v>1731</v>
      </c>
      <c r="B1557" t="s">
        <v>1758</v>
      </c>
      <c r="C1557" t="s">
        <v>1202</v>
      </c>
      <c r="D1557" t="s">
        <v>1203</v>
      </c>
      <c r="E1557" t="s">
        <v>1204</v>
      </c>
      <c r="F1557">
        <v>6882</v>
      </c>
      <c r="G1557" t="s">
        <v>686</v>
      </c>
      <c r="I1557" t="s">
        <v>1205</v>
      </c>
      <c r="J1557">
        <v>237</v>
      </c>
    </row>
    <row r="1558" spans="1:10" x14ac:dyDescent="0.3">
      <c r="A1558">
        <v>1732</v>
      </c>
      <c r="B1558" t="s">
        <v>1759</v>
      </c>
      <c r="C1558" t="s">
        <v>1202</v>
      </c>
      <c r="D1558" t="s">
        <v>1203</v>
      </c>
      <c r="E1558" t="s">
        <v>1204</v>
      </c>
      <c r="F1558">
        <v>5722</v>
      </c>
      <c r="G1558" t="s">
        <v>696</v>
      </c>
      <c r="I1558" t="s">
        <v>1205</v>
      </c>
      <c r="J1558">
        <v>3098</v>
      </c>
    </row>
    <row r="1559" spans="1:10" x14ac:dyDescent="0.3">
      <c r="A1559">
        <v>1732</v>
      </c>
      <c r="B1559" t="s">
        <v>1759</v>
      </c>
      <c r="C1559" t="s">
        <v>1202</v>
      </c>
      <c r="D1559" t="s">
        <v>1203</v>
      </c>
      <c r="E1559" t="s">
        <v>1204</v>
      </c>
      <c r="F1559">
        <v>5722</v>
      </c>
      <c r="G1559" t="s">
        <v>698</v>
      </c>
      <c r="I1559" t="s">
        <v>1205</v>
      </c>
      <c r="J1559">
        <v>30</v>
      </c>
    </row>
    <row r="1560" spans="1:10" x14ac:dyDescent="0.3">
      <c r="A1560">
        <v>1732</v>
      </c>
      <c r="B1560" t="s">
        <v>1759</v>
      </c>
      <c r="C1560" t="s">
        <v>1202</v>
      </c>
      <c r="D1560" t="s">
        <v>1203</v>
      </c>
      <c r="E1560" t="s">
        <v>1204</v>
      </c>
      <c r="F1560">
        <v>5722</v>
      </c>
      <c r="G1560" t="s">
        <v>700</v>
      </c>
      <c r="I1560" t="s">
        <v>1205</v>
      </c>
      <c r="J1560">
        <v>1267</v>
      </c>
    </row>
    <row r="1561" spans="1:10" x14ac:dyDescent="0.3">
      <c r="A1561">
        <v>1732</v>
      </c>
      <c r="B1561" t="s">
        <v>1759</v>
      </c>
      <c r="C1561" t="s">
        <v>1202</v>
      </c>
      <c r="D1561" t="s">
        <v>1203</v>
      </c>
      <c r="E1561" t="s">
        <v>1204</v>
      </c>
      <c r="F1561">
        <v>5722</v>
      </c>
      <c r="G1561" t="s">
        <v>701</v>
      </c>
      <c r="I1561" t="s">
        <v>1205</v>
      </c>
      <c r="J1561">
        <v>0</v>
      </c>
    </row>
    <row r="1562" spans="1:10" x14ac:dyDescent="0.3">
      <c r="A1562">
        <v>1732</v>
      </c>
      <c r="B1562" t="s">
        <v>1759</v>
      </c>
      <c r="C1562" t="s">
        <v>1202</v>
      </c>
      <c r="D1562" t="s">
        <v>1203</v>
      </c>
      <c r="E1562" t="s">
        <v>1204</v>
      </c>
      <c r="F1562">
        <v>5722</v>
      </c>
      <c r="G1562" t="s">
        <v>703</v>
      </c>
      <c r="I1562" t="s">
        <v>1205</v>
      </c>
      <c r="J1562">
        <v>1200</v>
      </c>
    </row>
    <row r="1563" spans="1:10" x14ac:dyDescent="0.3">
      <c r="A1563">
        <v>1732</v>
      </c>
      <c r="B1563" t="s">
        <v>1759</v>
      </c>
      <c r="C1563" t="s">
        <v>1202</v>
      </c>
      <c r="D1563" t="s">
        <v>1203</v>
      </c>
      <c r="E1563" t="s">
        <v>1204</v>
      </c>
      <c r="F1563">
        <v>5722</v>
      </c>
      <c r="G1563" t="s">
        <v>686</v>
      </c>
      <c r="I1563" t="s">
        <v>1205</v>
      </c>
      <c r="J1563">
        <v>669</v>
      </c>
    </row>
    <row r="1564" spans="1:10" x14ac:dyDescent="0.3">
      <c r="A1564">
        <v>1732</v>
      </c>
      <c r="B1564" t="s">
        <v>1759</v>
      </c>
      <c r="C1564" t="s">
        <v>1202</v>
      </c>
      <c r="D1564" t="s">
        <v>1203</v>
      </c>
      <c r="E1564" t="s">
        <v>1204</v>
      </c>
      <c r="F1564">
        <v>5722</v>
      </c>
      <c r="G1564" t="s">
        <v>702</v>
      </c>
      <c r="I1564" t="s">
        <v>1205</v>
      </c>
      <c r="J1564">
        <v>744</v>
      </c>
    </row>
    <row r="1565" spans="1:10" x14ac:dyDescent="0.3">
      <c r="A1565">
        <v>1739</v>
      </c>
      <c r="B1565" t="s">
        <v>1760</v>
      </c>
      <c r="C1565" t="s">
        <v>1202</v>
      </c>
      <c r="D1565" t="s">
        <v>159</v>
      </c>
      <c r="E1565" t="s">
        <v>159</v>
      </c>
      <c r="F1565">
        <v>8064</v>
      </c>
      <c r="G1565" t="s">
        <v>691</v>
      </c>
      <c r="H1565" t="s">
        <v>1761</v>
      </c>
      <c r="I1565" t="s">
        <v>1205</v>
      </c>
      <c r="J1565">
        <v>0.383379844892689</v>
      </c>
    </row>
    <row r="1566" spans="1:10" x14ac:dyDescent="0.3">
      <c r="A1566">
        <v>1739</v>
      </c>
      <c r="B1566" t="s">
        <v>1760</v>
      </c>
      <c r="C1566" t="s">
        <v>1202</v>
      </c>
      <c r="D1566" t="s">
        <v>159</v>
      </c>
      <c r="E1566" t="s">
        <v>159</v>
      </c>
      <c r="F1566">
        <v>8064</v>
      </c>
      <c r="G1566" t="s">
        <v>691</v>
      </c>
      <c r="H1566" t="s">
        <v>1762</v>
      </c>
      <c r="I1566" t="s">
        <v>1205</v>
      </c>
      <c r="J1566">
        <v>2.6836589142488299</v>
      </c>
    </row>
    <row r="1567" spans="1:10" x14ac:dyDescent="0.3">
      <c r="A1567">
        <v>1739</v>
      </c>
      <c r="B1567" t="s">
        <v>1760</v>
      </c>
      <c r="C1567" t="s">
        <v>1202</v>
      </c>
      <c r="D1567" t="s">
        <v>159</v>
      </c>
      <c r="E1567" t="s">
        <v>159</v>
      </c>
      <c r="F1567">
        <v>8064</v>
      </c>
      <c r="G1567" t="s">
        <v>696</v>
      </c>
      <c r="I1567" t="s">
        <v>1205</v>
      </c>
      <c r="J1567">
        <v>1712.0573072429099</v>
      </c>
    </row>
    <row r="1568" spans="1:10" x14ac:dyDescent="0.3">
      <c r="A1568">
        <v>1739</v>
      </c>
      <c r="B1568" t="s">
        <v>1760</v>
      </c>
      <c r="C1568" t="s">
        <v>1202</v>
      </c>
      <c r="D1568" t="s">
        <v>159</v>
      </c>
      <c r="E1568" t="s">
        <v>159</v>
      </c>
      <c r="F1568">
        <v>8064</v>
      </c>
      <c r="G1568" t="s">
        <v>698</v>
      </c>
      <c r="I1568" t="s">
        <v>1205</v>
      </c>
      <c r="J1568">
        <v>378.23980023182298</v>
      </c>
    </row>
    <row r="1569" spans="1:10" x14ac:dyDescent="0.3">
      <c r="A1569">
        <v>1739</v>
      </c>
      <c r="B1569" t="s">
        <v>1760</v>
      </c>
      <c r="C1569" t="s">
        <v>1202</v>
      </c>
      <c r="D1569" t="s">
        <v>159</v>
      </c>
      <c r="E1569" t="s">
        <v>159</v>
      </c>
      <c r="F1569">
        <v>8064</v>
      </c>
      <c r="G1569" t="s">
        <v>686</v>
      </c>
      <c r="I1569" t="s">
        <v>1205</v>
      </c>
      <c r="J1569">
        <v>308.91921460020899</v>
      </c>
    </row>
    <row r="1570" spans="1:10" x14ac:dyDescent="0.3">
      <c r="A1570">
        <v>1739</v>
      </c>
      <c r="B1570" t="s">
        <v>1760</v>
      </c>
      <c r="C1570" t="s">
        <v>1202</v>
      </c>
      <c r="D1570" t="s">
        <v>159</v>
      </c>
      <c r="E1570" t="s">
        <v>159</v>
      </c>
      <c r="F1570">
        <v>8064</v>
      </c>
      <c r="G1570" t="s">
        <v>703</v>
      </c>
      <c r="I1570" t="s">
        <v>1205</v>
      </c>
      <c r="J1570">
        <v>94.9795693437718</v>
      </c>
    </row>
    <row r="1571" spans="1:10" x14ac:dyDescent="0.3">
      <c r="A1571">
        <v>1739</v>
      </c>
      <c r="B1571" t="s">
        <v>1760</v>
      </c>
      <c r="C1571" t="s">
        <v>1202</v>
      </c>
      <c r="D1571" t="s">
        <v>159</v>
      </c>
      <c r="E1571" t="s">
        <v>159</v>
      </c>
      <c r="F1571">
        <v>8064</v>
      </c>
      <c r="G1571" t="s">
        <v>702</v>
      </c>
      <c r="I1571" t="s">
        <v>1205</v>
      </c>
      <c r="J1571">
        <v>84.827955973681199</v>
      </c>
    </row>
    <row r="1572" spans="1:10" x14ac:dyDescent="0.3">
      <c r="A1572">
        <v>1739</v>
      </c>
      <c r="B1572" t="s">
        <v>1760</v>
      </c>
      <c r="C1572" t="s">
        <v>1202</v>
      </c>
      <c r="D1572" t="s">
        <v>159</v>
      </c>
      <c r="E1572" t="s">
        <v>159</v>
      </c>
      <c r="F1572">
        <v>8064</v>
      </c>
      <c r="G1572" t="s">
        <v>705</v>
      </c>
      <c r="H1572" t="s">
        <v>1763</v>
      </c>
      <c r="I1572" t="s">
        <v>1205</v>
      </c>
      <c r="J1572">
        <v>30.817229210328101</v>
      </c>
    </row>
    <row r="1573" spans="1:10" x14ac:dyDescent="0.3">
      <c r="A1573">
        <v>1739</v>
      </c>
      <c r="B1573" t="s">
        <v>1760</v>
      </c>
      <c r="C1573" t="s">
        <v>1202</v>
      </c>
      <c r="D1573" t="s">
        <v>159</v>
      </c>
      <c r="E1573" t="s">
        <v>159</v>
      </c>
      <c r="F1573">
        <v>8064</v>
      </c>
      <c r="G1573" t="s">
        <v>700</v>
      </c>
      <c r="I1573" t="s">
        <v>1205</v>
      </c>
      <c r="J1573">
        <v>192.90663692414799</v>
      </c>
    </row>
    <row r="1574" spans="1:10" x14ac:dyDescent="0.3">
      <c r="A1574">
        <v>1748</v>
      </c>
      <c r="B1574" t="s">
        <v>1764</v>
      </c>
      <c r="C1574" t="s">
        <v>1202</v>
      </c>
      <c r="D1574" t="s">
        <v>159</v>
      </c>
      <c r="E1574" t="s">
        <v>159</v>
      </c>
      <c r="F1574">
        <v>8066</v>
      </c>
      <c r="G1574" t="s">
        <v>700</v>
      </c>
      <c r="I1574" t="s">
        <v>1205</v>
      </c>
      <c r="J1574">
        <v>815.69</v>
      </c>
    </row>
    <row r="1575" spans="1:10" x14ac:dyDescent="0.3">
      <c r="A1575">
        <v>1748</v>
      </c>
      <c r="B1575" t="s">
        <v>1764</v>
      </c>
      <c r="C1575" t="s">
        <v>1202</v>
      </c>
      <c r="D1575" t="s">
        <v>159</v>
      </c>
      <c r="E1575" t="s">
        <v>159</v>
      </c>
      <c r="F1575">
        <v>8066</v>
      </c>
      <c r="G1575" t="s">
        <v>698</v>
      </c>
      <c r="H1575" t="s">
        <v>1765</v>
      </c>
      <c r="I1575" t="s">
        <v>1205</v>
      </c>
      <c r="J1575">
        <v>1160.31</v>
      </c>
    </row>
    <row r="1576" spans="1:10" x14ac:dyDescent="0.3">
      <c r="A1576">
        <v>1748</v>
      </c>
      <c r="B1576" t="s">
        <v>1764</v>
      </c>
      <c r="C1576" t="s">
        <v>1202</v>
      </c>
      <c r="D1576" t="s">
        <v>159</v>
      </c>
      <c r="E1576" t="s">
        <v>159</v>
      </c>
      <c r="F1576">
        <v>8066</v>
      </c>
      <c r="G1576" t="s">
        <v>696</v>
      </c>
      <c r="I1576" t="s">
        <v>1205</v>
      </c>
      <c r="J1576">
        <v>4863.2299999999996</v>
      </c>
    </row>
    <row r="1577" spans="1:10" x14ac:dyDescent="0.3">
      <c r="A1577">
        <v>1748</v>
      </c>
      <c r="B1577" t="s">
        <v>1764</v>
      </c>
      <c r="C1577" t="s">
        <v>1202</v>
      </c>
      <c r="D1577" t="s">
        <v>159</v>
      </c>
      <c r="E1577" t="s">
        <v>159</v>
      </c>
      <c r="F1577">
        <v>8066</v>
      </c>
      <c r="G1577" t="s">
        <v>691</v>
      </c>
      <c r="H1577" t="s">
        <v>1766</v>
      </c>
      <c r="I1577" t="s">
        <v>1205</v>
      </c>
      <c r="J1577">
        <v>59.66</v>
      </c>
    </row>
    <row r="1578" spans="1:10" x14ac:dyDescent="0.3">
      <c r="A1578">
        <v>1748</v>
      </c>
      <c r="B1578" t="s">
        <v>1764</v>
      </c>
      <c r="C1578" t="s">
        <v>1202</v>
      </c>
      <c r="D1578" t="s">
        <v>159</v>
      </c>
      <c r="E1578" t="s">
        <v>159</v>
      </c>
      <c r="F1578">
        <v>8066</v>
      </c>
      <c r="G1578" t="s">
        <v>692</v>
      </c>
      <c r="H1578" t="s">
        <v>1767</v>
      </c>
      <c r="I1578" t="s">
        <v>1210</v>
      </c>
      <c r="J1578">
        <v>201.74</v>
      </c>
    </row>
    <row r="1579" spans="1:10" x14ac:dyDescent="0.3">
      <c r="A1579">
        <v>1748</v>
      </c>
      <c r="B1579" t="s">
        <v>1764</v>
      </c>
      <c r="C1579" t="s">
        <v>1202</v>
      </c>
      <c r="D1579" t="s">
        <v>159</v>
      </c>
      <c r="E1579" t="s">
        <v>159</v>
      </c>
      <c r="F1579">
        <v>8066</v>
      </c>
      <c r="G1579" t="s">
        <v>691</v>
      </c>
      <c r="H1579" t="s">
        <v>1689</v>
      </c>
      <c r="I1579" t="s">
        <v>1205</v>
      </c>
      <c r="J1579">
        <v>74.09</v>
      </c>
    </row>
    <row r="1580" spans="1:10" x14ac:dyDescent="0.3">
      <c r="A1580">
        <v>1748</v>
      </c>
      <c r="B1580" t="s">
        <v>1764</v>
      </c>
      <c r="C1580" t="s">
        <v>1202</v>
      </c>
      <c r="D1580" t="s">
        <v>159</v>
      </c>
      <c r="E1580" t="s">
        <v>159</v>
      </c>
      <c r="F1580">
        <v>8066</v>
      </c>
      <c r="G1580" t="s">
        <v>686</v>
      </c>
      <c r="H1580" t="s">
        <v>1346</v>
      </c>
      <c r="I1580" t="s">
        <v>1205</v>
      </c>
      <c r="J1580">
        <v>0</v>
      </c>
    </row>
    <row r="1581" spans="1:10" x14ac:dyDescent="0.3">
      <c r="A1581">
        <v>1748</v>
      </c>
      <c r="B1581" t="s">
        <v>1764</v>
      </c>
      <c r="C1581" t="s">
        <v>1202</v>
      </c>
      <c r="D1581" t="s">
        <v>159</v>
      </c>
      <c r="E1581" t="s">
        <v>159</v>
      </c>
      <c r="F1581">
        <v>8066</v>
      </c>
      <c r="G1581" t="s">
        <v>691</v>
      </c>
      <c r="H1581" t="s">
        <v>1768</v>
      </c>
      <c r="I1581" t="s">
        <v>1205</v>
      </c>
      <c r="J1581">
        <v>90.46</v>
      </c>
    </row>
    <row r="1582" spans="1:10" x14ac:dyDescent="0.3">
      <c r="A1582">
        <v>1748</v>
      </c>
      <c r="B1582" t="s">
        <v>1764</v>
      </c>
      <c r="C1582" t="s">
        <v>1202</v>
      </c>
      <c r="D1582" t="s">
        <v>159</v>
      </c>
      <c r="E1582" t="s">
        <v>159</v>
      </c>
      <c r="F1582">
        <v>8066</v>
      </c>
      <c r="G1582" t="s">
        <v>702</v>
      </c>
      <c r="I1582" t="s">
        <v>1205</v>
      </c>
      <c r="J1582">
        <v>718.93</v>
      </c>
    </row>
    <row r="1583" spans="1:10" x14ac:dyDescent="0.3">
      <c r="A1583">
        <v>1748</v>
      </c>
      <c r="B1583" t="s">
        <v>1764</v>
      </c>
      <c r="C1583" t="s">
        <v>1202</v>
      </c>
      <c r="D1583" t="s">
        <v>159</v>
      </c>
      <c r="E1583" t="s">
        <v>159</v>
      </c>
      <c r="F1583">
        <v>8066</v>
      </c>
      <c r="G1583" t="s">
        <v>703</v>
      </c>
      <c r="I1583" t="s">
        <v>1205</v>
      </c>
      <c r="J1583">
        <v>210.09</v>
      </c>
    </row>
    <row r="1584" spans="1:10" x14ac:dyDescent="0.3">
      <c r="A1584">
        <v>1752</v>
      </c>
      <c r="B1584" t="s">
        <v>1769</v>
      </c>
      <c r="C1584" t="s">
        <v>1202</v>
      </c>
      <c r="D1584" t="s">
        <v>159</v>
      </c>
      <c r="E1584" t="s">
        <v>159</v>
      </c>
      <c r="F1584">
        <v>5545</v>
      </c>
      <c r="G1584" t="s">
        <v>698</v>
      </c>
      <c r="I1584" t="s">
        <v>1205</v>
      </c>
      <c r="J1584">
        <v>168.78883175000001</v>
      </c>
    </row>
    <row r="1585" spans="1:10" x14ac:dyDescent="0.3">
      <c r="A1585">
        <v>1752</v>
      </c>
      <c r="B1585" t="s">
        <v>1769</v>
      </c>
      <c r="C1585" t="s">
        <v>1202</v>
      </c>
      <c r="D1585" t="s">
        <v>159</v>
      </c>
      <c r="E1585" t="s">
        <v>159</v>
      </c>
      <c r="F1585">
        <v>5545</v>
      </c>
      <c r="G1585" t="s">
        <v>700</v>
      </c>
      <c r="I1585" t="s">
        <v>1205</v>
      </c>
      <c r="J1585">
        <v>174.92660745000001</v>
      </c>
    </row>
    <row r="1586" spans="1:10" x14ac:dyDescent="0.3">
      <c r="A1586">
        <v>1752</v>
      </c>
      <c r="B1586" t="s">
        <v>1769</v>
      </c>
      <c r="C1586" t="s">
        <v>1202</v>
      </c>
      <c r="D1586" t="s">
        <v>159</v>
      </c>
      <c r="E1586" t="s">
        <v>159</v>
      </c>
      <c r="F1586">
        <v>5545</v>
      </c>
      <c r="G1586" t="s">
        <v>702</v>
      </c>
      <c r="I1586" t="s">
        <v>1205</v>
      </c>
      <c r="J1586">
        <v>61.377757000000003</v>
      </c>
    </row>
    <row r="1587" spans="1:10" x14ac:dyDescent="0.3">
      <c r="A1587">
        <v>1752</v>
      </c>
      <c r="B1587" t="s">
        <v>1769</v>
      </c>
      <c r="C1587" t="s">
        <v>1202</v>
      </c>
      <c r="D1587" t="s">
        <v>159</v>
      </c>
      <c r="E1587" t="s">
        <v>159</v>
      </c>
      <c r="F1587">
        <v>5545</v>
      </c>
      <c r="G1587" t="s">
        <v>691</v>
      </c>
      <c r="I1587" t="s">
        <v>1205</v>
      </c>
      <c r="J1587">
        <v>3.0688878499999999</v>
      </c>
    </row>
    <row r="1588" spans="1:10" x14ac:dyDescent="0.3">
      <c r="A1588">
        <v>1752</v>
      </c>
      <c r="B1588" t="s">
        <v>1769</v>
      </c>
      <c r="C1588" t="s">
        <v>1202</v>
      </c>
      <c r="D1588" t="s">
        <v>159</v>
      </c>
      <c r="E1588" t="s">
        <v>159</v>
      </c>
      <c r="F1588">
        <v>5545</v>
      </c>
      <c r="G1588" t="s">
        <v>686</v>
      </c>
      <c r="H1588" t="s">
        <v>1770</v>
      </c>
      <c r="I1588" t="s">
        <v>1205</v>
      </c>
      <c r="J1588">
        <v>230.16658874999999</v>
      </c>
    </row>
    <row r="1589" spans="1:10" x14ac:dyDescent="0.3">
      <c r="A1589">
        <v>1752</v>
      </c>
      <c r="B1589" t="s">
        <v>1769</v>
      </c>
      <c r="C1589" t="s">
        <v>1202</v>
      </c>
      <c r="D1589" t="s">
        <v>159</v>
      </c>
      <c r="E1589" t="s">
        <v>159</v>
      </c>
      <c r="F1589">
        <v>5545</v>
      </c>
      <c r="G1589" t="s">
        <v>696</v>
      </c>
      <c r="I1589" t="s">
        <v>1205</v>
      </c>
      <c r="J1589">
        <v>530.91759805000004</v>
      </c>
    </row>
    <row r="1590" spans="1:10" x14ac:dyDescent="0.3">
      <c r="A1590">
        <v>1756</v>
      </c>
      <c r="B1590" t="s">
        <v>1771</v>
      </c>
      <c r="C1590" t="s">
        <v>1202</v>
      </c>
      <c r="D1590" t="s">
        <v>1203</v>
      </c>
      <c r="E1590" t="s">
        <v>1204</v>
      </c>
      <c r="F1590">
        <v>5685</v>
      </c>
      <c r="G1590" t="s">
        <v>698</v>
      </c>
      <c r="I1590" t="s">
        <v>1205</v>
      </c>
      <c r="J1590">
        <v>356</v>
      </c>
    </row>
    <row r="1591" spans="1:10" x14ac:dyDescent="0.3">
      <c r="A1591">
        <v>1756</v>
      </c>
      <c r="B1591" t="s">
        <v>1771</v>
      </c>
      <c r="C1591" t="s">
        <v>1202</v>
      </c>
      <c r="D1591" t="s">
        <v>1203</v>
      </c>
      <c r="E1591" t="s">
        <v>1204</v>
      </c>
      <c r="F1591">
        <v>5685</v>
      </c>
      <c r="G1591" t="s">
        <v>700</v>
      </c>
      <c r="I1591" t="s">
        <v>1205</v>
      </c>
      <c r="J1591">
        <v>240</v>
      </c>
    </row>
    <row r="1592" spans="1:10" x14ac:dyDescent="0.3">
      <c r="A1592">
        <v>1756</v>
      </c>
      <c r="B1592" t="s">
        <v>1771</v>
      </c>
      <c r="C1592" t="s">
        <v>1202</v>
      </c>
      <c r="D1592" t="s">
        <v>1203</v>
      </c>
      <c r="E1592" t="s">
        <v>1204</v>
      </c>
      <c r="F1592">
        <v>5685</v>
      </c>
      <c r="G1592" t="s">
        <v>701</v>
      </c>
      <c r="I1592" t="s">
        <v>1205</v>
      </c>
      <c r="J1592">
        <v>38</v>
      </c>
    </row>
    <row r="1593" spans="1:10" x14ac:dyDescent="0.3">
      <c r="A1593">
        <v>1756</v>
      </c>
      <c r="B1593" t="s">
        <v>1771</v>
      </c>
      <c r="C1593" t="s">
        <v>1202</v>
      </c>
      <c r="D1593" t="s">
        <v>1203</v>
      </c>
      <c r="E1593" t="s">
        <v>1204</v>
      </c>
      <c r="F1593">
        <v>5685</v>
      </c>
      <c r="G1593" t="s">
        <v>702</v>
      </c>
      <c r="I1593" t="s">
        <v>1205</v>
      </c>
      <c r="J1593">
        <v>53</v>
      </c>
    </row>
    <row r="1594" spans="1:10" x14ac:dyDescent="0.3">
      <c r="A1594">
        <v>1756</v>
      </c>
      <c r="B1594" t="s">
        <v>1771</v>
      </c>
      <c r="C1594" t="s">
        <v>1202</v>
      </c>
      <c r="D1594" t="s">
        <v>1203</v>
      </c>
      <c r="E1594" t="s">
        <v>1204</v>
      </c>
      <c r="F1594">
        <v>5685</v>
      </c>
      <c r="G1594" t="s">
        <v>691</v>
      </c>
      <c r="I1594" t="s">
        <v>1205</v>
      </c>
      <c r="J1594">
        <v>26</v>
      </c>
    </row>
    <row r="1595" spans="1:10" x14ac:dyDescent="0.3">
      <c r="A1595">
        <v>1756</v>
      </c>
      <c r="B1595" t="s">
        <v>1771</v>
      </c>
      <c r="C1595" t="s">
        <v>1202</v>
      </c>
      <c r="D1595" t="s">
        <v>1203</v>
      </c>
      <c r="E1595" t="s">
        <v>1204</v>
      </c>
      <c r="F1595">
        <v>5685</v>
      </c>
      <c r="G1595" t="s">
        <v>686</v>
      </c>
      <c r="H1595" t="s">
        <v>1570</v>
      </c>
      <c r="I1595" t="s">
        <v>1205</v>
      </c>
      <c r="J1595">
        <v>102</v>
      </c>
    </row>
    <row r="1596" spans="1:10" x14ac:dyDescent="0.3">
      <c r="A1596">
        <v>1756</v>
      </c>
      <c r="B1596" t="s">
        <v>1771</v>
      </c>
      <c r="C1596" t="s">
        <v>1202</v>
      </c>
      <c r="D1596" t="s">
        <v>1203</v>
      </c>
      <c r="E1596" t="s">
        <v>1204</v>
      </c>
      <c r="F1596">
        <v>5685</v>
      </c>
      <c r="G1596" t="s">
        <v>696</v>
      </c>
      <c r="I1596" t="s">
        <v>1205</v>
      </c>
      <c r="J1596">
        <v>1249</v>
      </c>
    </row>
    <row r="1597" spans="1:10" x14ac:dyDescent="0.3">
      <c r="A1597">
        <v>1765</v>
      </c>
      <c r="B1597" t="s">
        <v>1772</v>
      </c>
      <c r="C1597" t="s">
        <v>1202</v>
      </c>
      <c r="D1597" t="s">
        <v>1203</v>
      </c>
      <c r="E1597" t="s">
        <v>1204</v>
      </c>
      <c r="F1597">
        <v>7136</v>
      </c>
      <c r="G1597" t="s">
        <v>703</v>
      </c>
      <c r="I1597" t="s">
        <v>1205</v>
      </c>
      <c r="J1597">
        <v>333</v>
      </c>
    </row>
    <row r="1598" spans="1:10" x14ac:dyDescent="0.3">
      <c r="A1598">
        <v>1765</v>
      </c>
      <c r="B1598" t="s">
        <v>1772</v>
      </c>
      <c r="C1598" t="s">
        <v>1202</v>
      </c>
      <c r="D1598" t="s">
        <v>1203</v>
      </c>
      <c r="E1598" t="s">
        <v>1204</v>
      </c>
      <c r="F1598">
        <v>7136</v>
      </c>
      <c r="G1598" t="s">
        <v>702</v>
      </c>
      <c r="I1598" t="s">
        <v>1205</v>
      </c>
      <c r="J1598">
        <v>848</v>
      </c>
    </row>
    <row r="1599" spans="1:10" x14ac:dyDescent="0.3">
      <c r="A1599">
        <v>1765</v>
      </c>
      <c r="B1599" t="s">
        <v>1772</v>
      </c>
      <c r="C1599" t="s">
        <v>1202</v>
      </c>
      <c r="D1599" t="s">
        <v>1203</v>
      </c>
      <c r="E1599" t="s">
        <v>1204</v>
      </c>
      <c r="F1599">
        <v>7136</v>
      </c>
      <c r="G1599" t="s">
        <v>686</v>
      </c>
      <c r="I1599" t="s">
        <v>1205</v>
      </c>
      <c r="J1599">
        <v>403</v>
      </c>
    </row>
    <row r="1600" spans="1:10" x14ac:dyDescent="0.3">
      <c r="A1600">
        <v>1765</v>
      </c>
      <c r="B1600" t="s">
        <v>1772</v>
      </c>
      <c r="C1600" t="s">
        <v>1202</v>
      </c>
      <c r="D1600" t="s">
        <v>1203</v>
      </c>
      <c r="E1600" t="s">
        <v>1204</v>
      </c>
      <c r="F1600">
        <v>7136</v>
      </c>
      <c r="G1600" t="s">
        <v>696</v>
      </c>
      <c r="I1600" t="s">
        <v>1205</v>
      </c>
      <c r="J1600">
        <v>3017</v>
      </c>
    </row>
    <row r="1601" spans="1:10" x14ac:dyDescent="0.3">
      <c r="A1601">
        <v>1765</v>
      </c>
      <c r="B1601" t="s">
        <v>1772</v>
      </c>
      <c r="C1601" t="s">
        <v>1202</v>
      </c>
      <c r="D1601" t="s">
        <v>1203</v>
      </c>
      <c r="E1601" t="s">
        <v>1204</v>
      </c>
      <c r="F1601">
        <v>7136</v>
      </c>
      <c r="G1601" t="s">
        <v>698</v>
      </c>
      <c r="I1601" t="s">
        <v>1205</v>
      </c>
      <c r="J1601">
        <v>286</v>
      </c>
    </row>
    <row r="1602" spans="1:10" x14ac:dyDescent="0.3">
      <c r="A1602">
        <v>1765</v>
      </c>
      <c r="B1602" t="s">
        <v>1772</v>
      </c>
      <c r="C1602" t="s">
        <v>1202</v>
      </c>
      <c r="D1602" t="s">
        <v>1203</v>
      </c>
      <c r="E1602" t="s">
        <v>1204</v>
      </c>
      <c r="F1602">
        <v>7136</v>
      </c>
      <c r="G1602" t="s">
        <v>700</v>
      </c>
      <c r="I1602" t="s">
        <v>1205</v>
      </c>
      <c r="J1602">
        <v>329</v>
      </c>
    </row>
    <row r="1603" spans="1:10" x14ac:dyDescent="0.3">
      <c r="A1603">
        <v>1777</v>
      </c>
      <c r="B1603" t="s">
        <v>1773</v>
      </c>
      <c r="C1603" t="s">
        <v>1202</v>
      </c>
      <c r="D1603" t="s">
        <v>159</v>
      </c>
      <c r="E1603" t="s">
        <v>159</v>
      </c>
      <c r="F1603">
        <v>5661</v>
      </c>
      <c r="G1603" t="s">
        <v>696</v>
      </c>
      <c r="H1603" t="s">
        <v>1774</v>
      </c>
      <c r="I1603" t="s">
        <v>1205</v>
      </c>
      <c r="J1603">
        <v>9788</v>
      </c>
    </row>
    <row r="1604" spans="1:10" x14ac:dyDescent="0.3">
      <c r="A1604">
        <v>1777</v>
      </c>
      <c r="B1604" t="s">
        <v>1773</v>
      </c>
      <c r="C1604" t="s">
        <v>1202</v>
      </c>
      <c r="D1604" t="s">
        <v>159</v>
      </c>
      <c r="E1604" t="s">
        <v>159</v>
      </c>
      <c r="F1604">
        <v>5661</v>
      </c>
      <c r="G1604" t="s">
        <v>684</v>
      </c>
      <c r="H1604" t="s">
        <v>1775</v>
      </c>
      <c r="I1604" t="s">
        <v>1205</v>
      </c>
      <c r="J1604">
        <v>804</v>
      </c>
    </row>
    <row r="1605" spans="1:10" x14ac:dyDescent="0.3">
      <c r="A1605">
        <v>1777</v>
      </c>
      <c r="B1605" t="s">
        <v>1773</v>
      </c>
      <c r="C1605" t="s">
        <v>1202</v>
      </c>
      <c r="D1605" t="s">
        <v>159</v>
      </c>
      <c r="E1605" t="s">
        <v>159</v>
      </c>
      <c r="F1605">
        <v>5661</v>
      </c>
      <c r="G1605" t="s">
        <v>702</v>
      </c>
      <c r="H1605" t="s">
        <v>1776</v>
      </c>
      <c r="I1605" t="s">
        <v>1205</v>
      </c>
      <c r="J1605">
        <v>4014</v>
      </c>
    </row>
    <row r="1606" spans="1:10" x14ac:dyDescent="0.3">
      <c r="A1606">
        <v>1777</v>
      </c>
      <c r="B1606" t="s">
        <v>1773</v>
      </c>
      <c r="C1606" t="s">
        <v>1202</v>
      </c>
      <c r="D1606" t="s">
        <v>159</v>
      </c>
      <c r="E1606" t="s">
        <v>159</v>
      </c>
      <c r="F1606">
        <v>5661</v>
      </c>
      <c r="G1606" t="s">
        <v>701</v>
      </c>
      <c r="H1606" t="s">
        <v>1777</v>
      </c>
      <c r="I1606" t="s">
        <v>1205</v>
      </c>
      <c r="J1606">
        <v>749</v>
      </c>
    </row>
    <row r="1607" spans="1:10" x14ac:dyDescent="0.3">
      <c r="A1607">
        <v>1777</v>
      </c>
      <c r="B1607" t="s">
        <v>1773</v>
      </c>
      <c r="C1607" t="s">
        <v>1202</v>
      </c>
      <c r="D1607" t="s">
        <v>159</v>
      </c>
      <c r="E1607" t="s">
        <v>159</v>
      </c>
      <c r="F1607">
        <v>5661</v>
      </c>
      <c r="G1607" t="s">
        <v>705</v>
      </c>
      <c r="H1607" t="s">
        <v>1778</v>
      </c>
      <c r="I1607" t="s">
        <v>1205</v>
      </c>
      <c r="J1607">
        <v>9</v>
      </c>
    </row>
    <row r="1608" spans="1:10" x14ac:dyDescent="0.3">
      <c r="A1608">
        <v>1777</v>
      </c>
      <c r="B1608" t="s">
        <v>1773</v>
      </c>
      <c r="C1608" t="s">
        <v>1202</v>
      </c>
      <c r="D1608" t="s">
        <v>159</v>
      </c>
      <c r="E1608" t="s">
        <v>159</v>
      </c>
      <c r="F1608">
        <v>5661</v>
      </c>
      <c r="G1608" t="s">
        <v>698</v>
      </c>
      <c r="H1608" t="s">
        <v>1779</v>
      </c>
      <c r="I1608" t="s">
        <v>1205</v>
      </c>
      <c r="J1608">
        <v>4172</v>
      </c>
    </row>
    <row r="1609" spans="1:10" x14ac:dyDescent="0.3">
      <c r="A1609">
        <v>1777</v>
      </c>
      <c r="B1609" t="s">
        <v>1773</v>
      </c>
      <c r="C1609" t="s">
        <v>1202</v>
      </c>
      <c r="D1609" t="s">
        <v>159</v>
      </c>
      <c r="E1609" t="s">
        <v>159</v>
      </c>
      <c r="F1609">
        <v>5661</v>
      </c>
      <c r="G1609" t="s">
        <v>700</v>
      </c>
      <c r="H1609" t="s">
        <v>1780</v>
      </c>
      <c r="I1609" t="s">
        <v>1205</v>
      </c>
      <c r="J1609">
        <v>1818</v>
      </c>
    </row>
    <row r="1610" spans="1:10" x14ac:dyDescent="0.3">
      <c r="A1610">
        <v>1777</v>
      </c>
      <c r="B1610" t="s">
        <v>1773</v>
      </c>
      <c r="C1610" t="s">
        <v>1202</v>
      </c>
      <c r="D1610" t="s">
        <v>159</v>
      </c>
      <c r="E1610" t="s">
        <v>159</v>
      </c>
      <c r="F1610">
        <v>5661</v>
      </c>
      <c r="G1610" t="s">
        <v>686</v>
      </c>
      <c r="J1610">
        <v>2609</v>
      </c>
    </row>
    <row r="1611" spans="1:10" x14ac:dyDescent="0.3">
      <c r="A1611">
        <v>1792</v>
      </c>
      <c r="B1611" t="s">
        <v>1781</v>
      </c>
      <c r="C1611" t="s">
        <v>1202</v>
      </c>
      <c r="D1611" t="s">
        <v>1203</v>
      </c>
      <c r="E1611" t="s">
        <v>1204</v>
      </c>
      <c r="F1611">
        <v>6604</v>
      </c>
      <c r="G1611" t="s">
        <v>698</v>
      </c>
      <c r="I1611" t="s">
        <v>1205</v>
      </c>
      <c r="J1611">
        <v>141.16884110000001</v>
      </c>
    </row>
    <row r="1612" spans="1:10" x14ac:dyDescent="0.3">
      <c r="A1612">
        <v>1792</v>
      </c>
      <c r="B1612" t="s">
        <v>1781</v>
      </c>
      <c r="C1612" t="s">
        <v>1202</v>
      </c>
      <c r="D1612" t="s">
        <v>1203</v>
      </c>
      <c r="E1612" t="s">
        <v>1204</v>
      </c>
      <c r="F1612">
        <v>6604</v>
      </c>
      <c r="G1612" t="s">
        <v>700</v>
      </c>
      <c r="H1612" t="s">
        <v>1782</v>
      </c>
      <c r="I1612" t="s">
        <v>1205</v>
      </c>
      <c r="J1612">
        <v>297.68212145000001</v>
      </c>
    </row>
    <row r="1613" spans="1:10" x14ac:dyDescent="0.3">
      <c r="A1613">
        <v>1792</v>
      </c>
      <c r="B1613" t="s">
        <v>1781</v>
      </c>
      <c r="C1613" t="s">
        <v>1202</v>
      </c>
      <c r="D1613" t="s">
        <v>1203</v>
      </c>
      <c r="E1613" t="s">
        <v>1204</v>
      </c>
      <c r="F1613">
        <v>6604</v>
      </c>
      <c r="G1613" t="s">
        <v>701</v>
      </c>
      <c r="I1613" t="s">
        <v>1205</v>
      </c>
      <c r="J1613">
        <v>30.688878500000001</v>
      </c>
    </row>
    <row r="1614" spans="1:10" x14ac:dyDescent="0.3">
      <c r="A1614">
        <v>1792</v>
      </c>
      <c r="B1614" t="s">
        <v>1781</v>
      </c>
      <c r="C1614" t="s">
        <v>1202</v>
      </c>
      <c r="D1614" t="s">
        <v>1203</v>
      </c>
      <c r="E1614" t="s">
        <v>1204</v>
      </c>
      <c r="F1614">
        <v>6604</v>
      </c>
      <c r="G1614" t="s">
        <v>696</v>
      </c>
      <c r="I1614" t="s">
        <v>1205</v>
      </c>
      <c r="J1614">
        <v>2887.8234668499999</v>
      </c>
    </row>
    <row r="1615" spans="1:10" x14ac:dyDescent="0.3">
      <c r="A1615">
        <v>1792</v>
      </c>
      <c r="B1615" t="s">
        <v>1781</v>
      </c>
      <c r="C1615" t="s">
        <v>1202</v>
      </c>
      <c r="D1615" t="s">
        <v>1203</v>
      </c>
      <c r="E1615" t="s">
        <v>1204</v>
      </c>
      <c r="F1615">
        <v>6604</v>
      </c>
      <c r="G1615" t="s">
        <v>702</v>
      </c>
      <c r="I1615" t="s">
        <v>1205</v>
      </c>
      <c r="J1615">
        <v>254.71769155000001</v>
      </c>
    </row>
    <row r="1616" spans="1:10" x14ac:dyDescent="0.3">
      <c r="A1616">
        <v>1792</v>
      </c>
      <c r="B1616" t="s">
        <v>1781</v>
      </c>
      <c r="C1616" t="s">
        <v>1202</v>
      </c>
      <c r="D1616" t="s">
        <v>1203</v>
      </c>
      <c r="E1616" t="s">
        <v>1204</v>
      </c>
      <c r="F1616">
        <v>6604</v>
      </c>
      <c r="G1616" t="s">
        <v>687</v>
      </c>
      <c r="H1616" t="s">
        <v>1783</v>
      </c>
      <c r="I1616" t="s">
        <v>1205</v>
      </c>
      <c r="J1616">
        <v>181.06438315</v>
      </c>
    </row>
    <row r="1617" spans="1:10" x14ac:dyDescent="0.3">
      <c r="A1617">
        <v>1792</v>
      </c>
      <c r="B1617" t="s">
        <v>1781</v>
      </c>
      <c r="C1617" t="s">
        <v>1202</v>
      </c>
      <c r="D1617" t="s">
        <v>1203</v>
      </c>
      <c r="E1617" t="s">
        <v>1204</v>
      </c>
      <c r="F1617">
        <v>6604</v>
      </c>
      <c r="G1617" t="s">
        <v>687</v>
      </c>
      <c r="H1617" t="s">
        <v>1784</v>
      </c>
      <c r="I1617" t="s">
        <v>1205</v>
      </c>
      <c r="J1617">
        <v>9.20666355</v>
      </c>
    </row>
    <row r="1618" spans="1:10" x14ac:dyDescent="0.3">
      <c r="A1618">
        <v>1792</v>
      </c>
      <c r="B1618" t="s">
        <v>1781</v>
      </c>
      <c r="C1618" t="s">
        <v>1202</v>
      </c>
      <c r="D1618" t="s">
        <v>1203</v>
      </c>
      <c r="E1618" t="s">
        <v>1204</v>
      </c>
      <c r="F1618">
        <v>6604</v>
      </c>
      <c r="G1618" t="s">
        <v>686</v>
      </c>
      <c r="I1618" t="s">
        <v>1205</v>
      </c>
      <c r="J1618">
        <v>435.78207470000001</v>
      </c>
    </row>
    <row r="1619" spans="1:10" x14ac:dyDescent="0.3">
      <c r="A1619">
        <v>1793</v>
      </c>
      <c r="B1619" t="s">
        <v>1785</v>
      </c>
      <c r="C1619" t="s">
        <v>1202</v>
      </c>
      <c r="D1619" t="s">
        <v>159</v>
      </c>
      <c r="E1619" t="s">
        <v>159</v>
      </c>
      <c r="F1619">
        <v>8027</v>
      </c>
      <c r="G1619" t="s">
        <v>696</v>
      </c>
      <c r="I1619" t="s">
        <v>1205</v>
      </c>
      <c r="J1619">
        <v>12003</v>
      </c>
    </row>
    <row r="1620" spans="1:10" x14ac:dyDescent="0.3">
      <c r="A1620">
        <v>1793</v>
      </c>
      <c r="B1620" t="s">
        <v>1785</v>
      </c>
      <c r="C1620" t="s">
        <v>1202</v>
      </c>
      <c r="D1620" t="s">
        <v>159</v>
      </c>
      <c r="E1620" t="s">
        <v>159</v>
      </c>
      <c r="F1620">
        <v>8027</v>
      </c>
      <c r="G1620" t="s">
        <v>698</v>
      </c>
      <c r="I1620" t="s">
        <v>1205</v>
      </c>
      <c r="J1620">
        <v>655</v>
      </c>
    </row>
    <row r="1621" spans="1:10" x14ac:dyDescent="0.3">
      <c r="A1621">
        <v>1793</v>
      </c>
      <c r="B1621" t="s">
        <v>1785</v>
      </c>
      <c r="C1621" t="s">
        <v>1202</v>
      </c>
      <c r="D1621" t="s">
        <v>159</v>
      </c>
      <c r="E1621" t="s">
        <v>159</v>
      </c>
      <c r="F1621">
        <v>8027</v>
      </c>
      <c r="G1621" t="s">
        <v>702</v>
      </c>
      <c r="I1621" t="s">
        <v>1205</v>
      </c>
      <c r="J1621">
        <v>2004</v>
      </c>
    </row>
    <row r="1622" spans="1:10" x14ac:dyDescent="0.3">
      <c r="A1622">
        <v>1793</v>
      </c>
      <c r="B1622" t="s">
        <v>1785</v>
      </c>
      <c r="C1622" t="s">
        <v>1202</v>
      </c>
      <c r="D1622" t="s">
        <v>159</v>
      </c>
      <c r="E1622" t="s">
        <v>159</v>
      </c>
      <c r="F1622">
        <v>8027</v>
      </c>
      <c r="G1622" t="s">
        <v>684</v>
      </c>
      <c r="I1622" t="s">
        <v>1205</v>
      </c>
      <c r="J1622">
        <v>434</v>
      </c>
    </row>
    <row r="1623" spans="1:10" x14ac:dyDescent="0.3">
      <c r="A1623">
        <v>1793</v>
      </c>
      <c r="B1623" t="s">
        <v>1785</v>
      </c>
      <c r="C1623" t="s">
        <v>1202</v>
      </c>
      <c r="D1623" t="s">
        <v>159</v>
      </c>
      <c r="E1623" t="s">
        <v>159</v>
      </c>
      <c r="F1623">
        <v>8027</v>
      </c>
      <c r="G1623" t="s">
        <v>686</v>
      </c>
      <c r="H1623" t="s">
        <v>1786</v>
      </c>
      <c r="I1623" t="s">
        <v>1205</v>
      </c>
      <c r="J1623">
        <v>1328</v>
      </c>
    </row>
    <row r="1624" spans="1:10" x14ac:dyDescent="0.3">
      <c r="A1624">
        <v>1793</v>
      </c>
      <c r="B1624" t="s">
        <v>1785</v>
      </c>
      <c r="C1624" t="s">
        <v>1202</v>
      </c>
      <c r="D1624" t="s">
        <v>159</v>
      </c>
      <c r="E1624" t="s">
        <v>159</v>
      </c>
      <c r="F1624">
        <v>8027</v>
      </c>
      <c r="G1624" t="s">
        <v>700</v>
      </c>
      <c r="I1624" t="s">
        <v>1205</v>
      </c>
      <c r="J1624">
        <v>676</v>
      </c>
    </row>
    <row r="1625" spans="1:10" x14ac:dyDescent="0.3">
      <c r="A1625">
        <v>1795</v>
      </c>
      <c r="B1625" t="s">
        <v>1787</v>
      </c>
      <c r="C1625" t="s">
        <v>1202</v>
      </c>
      <c r="D1625" t="s">
        <v>159</v>
      </c>
      <c r="E1625" t="s">
        <v>159</v>
      </c>
      <c r="F1625">
        <v>5536</v>
      </c>
      <c r="G1625" t="s">
        <v>700</v>
      </c>
      <c r="I1625" t="s">
        <v>1205</v>
      </c>
      <c r="J1625">
        <v>5359</v>
      </c>
    </row>
    <row r="1626" spans="1:10" x14ac:dyDescent="0.3">
      <c r="A1626">
        <v>1795</v>
      </c>
      <c r="B1626" t="s">
        <v>1787</v>
      </c>
      <c r="C1626" t="s">
        <v>1202</v>
      </c>
      <c r="D1626" t="s">
        <v>159</v>
      </c>
      <c r="E1626" t="s">
        <v>159</v>
      </c>
      <c r="F1626">
        <v>5536</v>
      </c>
      <c r="G1626" t="s">
        <v>701</v>
      </c>
      <c r="I1626" t="s">
        <v>1205</v>
      </c>
      <c r="J1626">
        <v>2078</v>
      </c>
    </row>
    <row r="1627" spans="1:10" x14ac:dyDescent="0.3">
      <c r="A1627">
        <v>1795</v>
      </c>
      <c r="B1627" t="s">
        <v>1787</v>
      </c>
      <c r="C1627" t="s">
        <v>1202</v>
      </c>
      <c r="D1627" t="s">
        <v>159</v>
      </c>
      <c r="E1627" t="s">
        <v>159</v>
      </c>
      <c r="F1627">
        <v>5536</v>
      </c>
      <c r="G1627" t="s">
        <v>703</v>
      </c>
      <c r="I1627" t="s">
        <v>1205</v>
      </c>
      <c r="J1627">
        <v>538</v>
      </c>
    </row>
    <row r="1628" spans="1:10" x14ac:dyDescent="0.3">
      <c r="A1628">
        <v>1795</v>
      </c>
      <c r="B1628" t="s">
        <v>1787</v>
      </c>
      <c r="C1628" t="s">
        <v>1202</v>
      </c>
      <c r="D1628" t="s">
        <v>159</v>
      </c>
      <c r="E1628" t="s">
        <v>159</v>
      </c>
      <c r="F1628">
        <v>5536</v>
      </c>
      <c r="G1628" t="s">
        <v>702</v>
      </c>
      <c r="I1628" t="s">
        <v>1205</v>
      </c>
      <c r="J1628">
        <v>4631</v>
      </c>
    </row>
    <row r="1629" spans="1:10" x14ac:dyDescent="0.3">
      <c r="A1629">
        <v>1795</v>
      </c>
      <c r="B1629" t="s">
        <v>1787</v>
      </c>
      <c r="C1629" t="s">
        <v>1202</v>
      </c>
      <c r="D1629" t="s">
        <v>159</v>
      </c>
      <c r="E1629" t="s">
        <v>159</v>
      </c>
      <c r="F1629">
        <v>5536</v>
      </c>
      <c r="G1629" t="s">
        <v>686</v>
      </c>
      <c r="I1629" t="s">
        <v>1205</v>
      </c>
      <c r="J1629">
        <v>1565</v>
      </c>
    </row>
    <row r="1630" spans="1:10" x14ac:dyDescent="0.3">
      <c r="A1630">
        <v>1795</v>
      </c>
      <c r="B1630" t="s">
        <v>1787</v>
      </c>
      <c r="C1630" t="s">
        <v>1202</v>
      </c>
      <c r="D1630" t="s">
        <v>159</v>
      </c>
      <c r="E1630" t="s">
        <v>159</v>
      </c>
      <c r="F1630">
        <v>5536</v>
      </c>
      <c r="G1630" t="s">
        <v>687</v>
      </c>
      <c r="H1630" t="s">
        <v>1499</v>
      </c>
      <c r="I1630" t="s">
        <v>1205</v>
      </c>
      <c r="J1630">
        <v>368</v>
      </c>
    </row>
    <row r="1631" spans="1:10" x14ac:dyDescent="0.3">
      <c r="A1631">
        <v>1795</v>
      </c>
      <c r="B1631" t="s">
        <v>1787</v>
      </c>
      <c r="C1631" t="s">
        <v>1202</v>
      </c>
      <c r="D1631" t="s">
        <v>159</v>
      </c>
      <c r="E1631" t="s">
        <v>159</v>
      </c>
      <c r="F1631">
        <v>5536</v>
      </c>
      <c r="G1631" t="s">
        <v>696</v>
      </c>
      <c r="I1631" t="s">
        <v>1205</v>
      </c>
      <c r="J1631">
        <v>12502</v>
      </c>
    </row>
    <row r="1632" spans="1:10" x14ac:dyDescent="0.3">
      <c r="A1632">
        <v>1795</v>
      </c>
      <c r="B1632" t="s">
        <v>1787</v>
      </c>
      <c r="C1632" t="s">
        <v>1202</v>
      </c>
      <c r="D1632" t="s">
        <v>159</v>
      </c>
      <c r="E1632" t="s">
        <v>159</v>
      </c>
      <c r="F1632">
        <v>5536</v>
      </c>
      <c r="G1632" t="s">
        <v>698</v>
      </c>
      <c r="I1632" t="s">
        <v>1205</v>
      </c>
      <c r="J1632">
        <v>5068</v>
      </c>
    </row>
    <row r="1633" spans="1:10" x14ac:dyDescent="0.3">
      <c r="A1633">
        <v>1797</v>
      </c>
      <c r="B1633" t="s">
        <v>1788</v>
      </c>
      <c r="C1633" t="s">
        <v>1202</v>
      </c>
      <c r="D1633" t="s">
        <v>1203</v>
      </c>
      <c r="E1633" t="s">
        <v>1204</v>
      </c>
      <c r="F1633">
        <v>6744</v>
      </c>
      <c r="G1633" t="s">
        <v>703</v>
      </c>
      <c r="I1633" t="s">
        <v>1205</v>
      </c>
      <c r="J1633">
        <v>497</v>
      </c>
    </row>
    <row r="1634" spans="1:10" x14ac:dyDescent="0.3">
      <c r="A1634">
        <v>1797</v>
      </c>
      <c r="B1634" t="s">
        <v>1788</v>
      </c>
      <c r="C1634" t="s">
        <v>1202</v>
      </c>
      <c r="D1634" t="s">
        <v>1203</v>
      </c>
      <c r="E1634" t="s">
        <v>1204</v>
      </c>
      <c r="F1634">
        <v>6744</v>
      </c>
      <c r="G1634" t="s">
        <v>700</v>
      </c>
      <c r="I1634" t="s">
        <v>1205</v>
      </c>
      <c r="J1634">
        <v>7695</v>
      </c>
    </row>
    <row r="1635" spans="1:10" x14ac:dyDescent="0.3">
      <c r="A1635">
        <v>1797</v>
      </c>
      <c r="B1635" t="s">
        <v>1788</v>
      </c>
      <c r="C1635" t="s">
        <v>1202</v>
      </c>
      <c r="D1635" t="s">
        <v>1203</v>
      </c>
      <c r="E1635" t="s">
        <v>1204</v>
      </c>
      <c r="F1635">
        <v>6744</v>
      </c>
      <c r="G1635" t="s">
        <v>698</v>
      </c>
      <c r="I1635" t="s">
        <v>1205</v>
      </c>
      <c r="J1635">
        <v>4320</v>
      </c>
    </row>
    <row r="1636" spans="1:10" x14ac:dyDescent="0.3">
      <c r="A1636">
        <v>1797</v>
      </c>
      <c r="B1636" t="s">
        <v>1788</v>
      </c>
      <c r="C1636" t="s">
        <v>1202</v>
      </c>
      <c r="D1636" t="s">
        <v>1203</v>
      </c>
      <c r="E1636" t="s">
        <v>1204</v>
      </c>
      <c r="F1636">
        <v>6744</v>
      </c>
      <c r="G1636" t="s">
        <v>696</v>
      </c>
      <c r="I1636" t="s">
        <v>1205</v>
      </c>
      <c r="J1636">
        <v>11650</v>
      </c>
    </row>
    <row r="1637" spans="1:10" x14ac:dyDescent="0.3">
      <c r="A1637">
        <v>1797</v>
      </c>
      <c r="B1637" t="s">
        <v>1788</v>
      </c>
      <c r="C1637" t="s">
        <v>1202</v>
      </c>
      <c r="D1637" t="s">
        <v>1203</v>
      </c>
      <c r="E1637" t="s">
        <v>1204</v>
      </c>
      <c r="F1637">
        <v>6744</v>
      </c>
      <c r="G1637" t="s">
        <v>686</v>
      </c>
      <c r="H1637" t="s">
        <v>1227</v>
      </c>
      <c r="I1637" t="s">
        <v>1205</v>
      </c>
      <c r="J1637">
        <v>2711</v>
      </c>
    </row>
    <row r="1638" spans="1:10" x14ac:dyDescent="0.3">
      <c r="A1638">
        <v>1797</v>
      </c>
      <c r="B1638" t="s">
        <v>1788</v>
      </c>
      <c r="C1638" t="s">
        <v>1202</v>
      </c>
      <c r="D1638" t="s">
        <v>1203</v>
      </c>
      <c r="E1638" t="s">
        <v>1204</v>
      </c>
      <c r="F1638">
        <v>6744</v>
      </c>
      <c r="G1638" t="s">
        <v>702</v>
      </c>
      <c r="H1638" t="s">
        <v>1282</v>
      </c>
      <c r="I1638" t="s">
        <v>1205</v>
      </c>
      <c r="J1638">
        <v>120</v>
      </c>
    </row>
    <row r="1639" spans="1:10" x14ac:dyDescent="0.3">
      <c r="A1639">
        <v>1803</v>
      </c>
      <c r="B1639" t="s">
        <v>1789</v>
      </c>
      <c r="C1639" t="s">
        <v>1202</v>
      </c>
      <c r="D1639" t="s">
        <v>1203</v>
      </c>
      <c r="E1639" t="s">
        <v>1204</v>
      </c>
      <c r="F1639">
        <v>5880</v>
      </c>
      <c r="G1639" t="s">
        <v>686</v>
      </c>
      <c r="H1639" t="s">
        <v>1254</v>
      </c>
      <c r="I1639" t="s">
        <v>1205</v>
      </c>
      <c r="J1639">
        <v>175</v>
      </c>
    </row>
    <row r="1640" spans="1:10" x14ac:dyDescent="0.3">
      <c r="A1640">
        <v>1803</v>
      </c>
      <c r="B1640" t="s">
        <v>1789</v>
      </c>
      <c r="C1640" t="s">
        <v>1202</v>
      </c>
      <c r="D1640" t="s">
        <v>1203</v>
      </c>
      <c r="E1640" t="s">
        <v>1204</v>
      </c>
      <c r="F1640">
        <v>5880</v>
      </c>
      <c r="G1640" t="s">
        <v>700</v>
      </c>
      <c r="H1640" t="s">
        <v>1790</v>
      </c>
      <c r="I1640" t="s">
        <v>1205</v>
      </c>
      <c r="J1640">
        <v>143</v>
      </c>
    </row>
    <row r="1641" spans="1:10" x14ac:dyDescent="0.3">
      <c r="A1641">
        <v>1803</v>
      </c>
      <c r="B1641" t="s">
        <v>1789</v>
      </c>
      <c r="C1641" t="s">
        <v>1202</v>
      </c>
      <c r="D1641" t="s">
        <v>1203</v>
      </c>
      <c r="E1641" t="s">
        <v>1204</v>
      </c>
      <c r="F1641">
        <v>5880</v>
      </c>
      <c r="G1641" t="s">
        <v>701</v>
      </c>
      <c r="I1641" t="s">
        <v>1205</v>
      </c>
      <c r="J1641">
        <v>213</v>
      </c>
    </row>
    <row r="1642" spans="1:10" x14ac:dyDescent="0.3">
      <c r="A1642">
        <v>1803</v>
      </c>
      <c r="B1642" t="s">
        <v>1789</v>
      </c>
      <c r="C1642" t="s">
        <v>1202</v>
      </c>
      <c r="D1642" t="s">
        <v>1203</v>
      </c>
      <c r="E1642" t="s">
        <v>1204</v>
      </c>
      <c r="F1642">
        <v>5880</v>
      </c>
      <c r="G1642" t="s">
        <v>696</v>
      </c>
      <c r="I1642" t="s">
        <v>1205</v>
      </c>
      <c r="J1642">
        <v>3206.5</v>
      </c>
    </row>
    <row r="1643" spans="1:10" x14ac:dyDescent="0.3">
      <c r="A1643">
        <v>1803</v>
      </c>
      <c r="B1643" t="s">
        <v>1789</v>
      </c>
      <c r="C1643" t="s">
        <v>1202</v>
      </c>
      <c r="D1643" t="s">
        <v>1203</v>
      </c>
      <c r="E1643" t="s">
        <v>1204</v>
      </c>
      <c r="F1643">
        <v>5880</v>
      </c>
      <c r="G1643" t="s">
        <v>698</v>
      </c>
      <c r="I1643" t="s">
        <v>1205</v>
      </c>
      <c r="J1643">
        <v>309.5</v>
      </c>
    </row>
    <row r="1644" spans="1:10" x14ac:dyDescent="0.3">
      <c r="A1644">
        <v>1803</v>
      </c>
      <c r="B1644" t="s">
        <v>1789</v>
      </c>
      <c r="C1644" t="s">
        <v>1202</v>
      </c>
      <c r="D1644" t="s">
        <v>1203</v>
      </c>
      <c r="E1644" t="s">
        <v>1204</v>
      </c>
      <c r="F1644">
        <v>5880</v>
      </c>
      <c r="G1644" t="s">
        <v>684</v>
      </c>
      <c r="I1644" t="s">
        <v>1205</v>
      </c>
      <c r="J1644">
        <v>16</v>
      </c>
    </row>
    <row r="1645" spans="1:10" x14ac:dyDescent="0.3">
      <c r="A1645">
        <v>1803</v>
      </c>
      <c r="B1645" t="s">
        <v>1789</v>
      </c>
      <c r="C1645" t="s">
        <v>1202</v>
      </c>
      <c r="D1645" t="s">
        <v>1203</v>
      </c>
      <c r="E1645" t="s">
        <v>1204</v>
      </c>
      <c r="F1645">
        <v>5880</v>
      </c>
      <c r="G1645" t="s">
        <v>702</v>
      </c>
      <c r="I1645" t="s">
        <v>1205</v>
      </c>
      <c r="J1645">
        <v>171</v>
      </c>
    </row>
    <row r="1646" spans="1:10" x14ac:dyDescent="0.3">
      <c r="A1646">
        <v>1804</v>
      </c>
      <c r="B1646" t="s">
        <v>1791</v>
      </c>
      <c r="C1646" t="s">
        <v>1202</v>
      </c>
      <c r="D1646" t="s">
        <v>159</v>
      </c>
      <c r="E1646" t="s">
        <v>159</v>
      </c>
      <c r="F1646">
        <v>7865</v>
      </c>
      <c r="G1646" t="s">
        <v>696</v>
      </c>
      <c r="I1646" t="s">
        <v>1205</v>
      </c>
      <c r="J1646">
        <v>1666</v>
      </c>
    </row>
    <row r="1647" spans="1:10" x14ac:dyDescent="0.3">
      <c r="A1647">
        <v>1804</v>
      </c>
      <c r="B1647" t="s">
        <v>1791</v>
      </c>
      <c r="C1647" t="s">
        <v>1202</v>
      </c>
      <c r="D1647" t="s">
        <v>159</v>
      </c>
      <c r="E1647" t="s">
        <v>159</v>
      </c>
      <c r="F1647">
        <v>7865</v>
      </c>
      <c r="G1647" t="s">
        <v>686</v>
      </c>
      <c r="I1647" t="s">
        <v>1205</v>
      </c>
      <c r="J1647">
        <v>85</v>
      </c>
    </row>
    <row r="1648" spans="1:10" x14ac:dyDescent="0.3">
      <c r="A1648">
        <v>1804</v>
      </c>
      <c r="B1648" t="s">
        <v>1791</v>
      </c>
      <c r="C1648" t="s">
        <v>1202</v>
      </c>
      <c r="D1648" t="s">
        <v>159</v>
      </c>
      <c r="E1648" t="s">
        <v>159</v>
      </c>
      <c r="F1648">
        <v>7865</v>
      </c>
      <c r="G1648" t="s">
        <v>700</v>
      </c>
      <c r="I1648" t="s">
        <v>1205</v>
      </c>
      <c r="J1648">
        <v>209</v>
      </c>
    </row>
    <row r="1649" spans="1:10" x14ac:dyDescent="0.3">
      <c r="A1649">
        <v>1821</v>
      </c>
      <c r="B1649" t="s">
        <v>1792</v>
      </c>
      <c r="C1649" t="s">
        <v>1202</v>
      </c>
      <c r="D1649" t="s">
        <v>159</v>
      </c>
      <c r="E1649" t="s">
        <v>159</v>
      </c>
      <c r="F1649">
        <v>7982</v>
      </c>
      <c r="G1649" t="s">
        <v>686</v>
      </c>
      <c r="I1649" t="s">
        <v>1205</v>
      </c>
      <c r="J1649">
        <v>1111</v>
      </c>
    </row>
    <row r="1650" spans="1:10" x14ac:dyDescent="0.3">
      <c r="A1650">
        <v>1821</v>
      </c>
      <c r="B1650" t="s">
        <v>1792</v>
      </c>
      <c r="C1650" t="s">
        <v>1202</v>
      </c>
      <c r="D1650" t="s">
        <v>159</v>
      </c>
      <c r="E1650" t="s">
        <v>159</v>
      </c>
      <c r="F1650">
        <v>7982</v>
      </c>
      <c r="G1650" t="s">
        <v>691</v>
      </c>
      <c r="I1650" t="s">
        <v>1205</v>
      </c>
      <c r="J1650">
        <v>180</v>
      </c>
    </row>
    <row r="1651" spans="1:10" x14ac:dyDescent="0.3">
      <c r="A1651">
        <v>1821</v>
      </c>
      <c r="B1651" t="s">
        <v>1792</v>
      </c>
      <c r="C1651" t="s">
        <v>1202</v>
      </c>
      <c r="D1651" t="s">
        <v>159</v>
      </c>
      <c r="E1651" t="s">
        <v>159</v>
      </c>
      <c r="F1651">
        <v>7982</v>
      </c>
      <c r="G1651" t="s">
        <v>702</v>
      </c>
      <c r="I1651" t="s">
        <v>1205</v>
      </c>
      <c r="J1651">
        <v>3582</v>
      </c>
    </row>
    <row r="1652" spans="1:10" x14ac:dyDescent="0.3">
      <c r="A1652">
        <v>1821</v>
      </c>
      <c r="B1652" t="s">
        <v>1792</v>
      </c>
      <c r="C1652" t="s">
        <v>1202</v>
      </c>
      <c r="D1652" t="s">
        <v>159</v>
      </c>
      <c r="E1652" t="s">
        <v>159</v>
      </c>
      <c r="F1652">
        <v>7982</v>
      </c>
      <c r="G1652" t="s">
        <v>696</v>
      </c>
      <c r="I1652" t="s">
        <v>1205</v>
      </c>
      <c r="J1652">
        <v>14040</v>
      </c>
    </row>
    <row r="1653" spans="1:10" x14ac:dyDescent="0.3">
      <c r="A1653">
        <v>1821</v>
      </c>
      <c r="B1653" t="s">
        <v>1792</v>
      </c>
      <c r="C1653" t="s">
        <v>1202</v>
      </c>
      <c r="D1653" t="s">
        <v>159</v>
      </c>
      <c r="E1653" t="s">
        <v>159</v>
      </c>
      <c r="F1653">
        <v>7982</v>
      </c>
      <c r="G1653" t="s">
        <v>698</v>
      </c>
      <c r="I1653" t="s">
        <v>1205</v>
      </c>
      <c r="J1653">
        <v>3807</v>
      </c>
    </row>
    <row r="1654" spans="1:10" x14ac:dyDescent="0.3">
      <c r="A1654">
        <v>1821</v>
      </c>
      <c r="B1654" t="s">
        <v>1792</v>
      </c>
      <c r="C1654" t="s">
        <v>1202</v>
      </c>
      <c r="D1654" t="s">
        <v>159</v>
      </c>
      <c r="E1654" t="s">
        <v>159</v>
      </c>
      <c r="F1654">
        <v>7982</v>
      </c>
      <c r="G1654" t="s">
        <v>687</v>
      </c>
      <c r="H1654" t="s">
        <v>1793</v>
      </c>
      <c r="I1654" t="s">
        <v>1205</v>
      </c>
      <c r="J1654">
        <v>3098</v>
      </c>
    </row>
    <row r="1655" spans="1:10" x14ac:dyDescent="0.3">
      <c r="A1655">
        <v>1821</v>
      </c>
      <c r="B1655" t="s">
        <v>1792</v>
      </c>
      <c r="C1655" t="s">
        <v>1202</v>
      </c>
      <c r="D1655" t="s">
        <v>159</v>
      </c>
      <c r="E1655" t="s">
        <v>159</v>
      </c>
      <c r="F1655">
        <v>7982</v>
      </c>
      <c r="G1655" t="s">
        <v>703</v>
      </c>
      <c r="I1655" t="s">
        <v>1205</v>
      </c>
      <c r="J1655">
        <v>1630</v>
      </c>
    </row>
    <row r="1656" spans="1:10" x14ac:dyDescent="0.3">
      <c r="A1656">
        <v>1827</v>
      </c>
      <c r="B1656" t="s">
        <v>1794</v>
      </c>
      <c r="C1656" t="s">
        <v>1202</v>
      </c>
      <c r="D1656" t="s">
        <v>1203</v>
      </c>
      <c r="E1656" t="s">
        <v>1204</v>
      </c>
      <c r="F1656">
        <v>5837</v>
      </c>
      <c r="G1656" t="s">
        <v>1497</v>
      </c>
      <c r="H1656" t="s">
        <v>1795</v>
      </c>
      <c r="I1656" t="s">
        <v>1205</v>
      </c>
      <c r="J1656">
        <v>1007</v>
      </c>
    </row>
    <row r="1657" spans="1:10" x14ac:dyDescent="0.3">
      <c r="A1657">
        <v>1827</v>
      </c>
      <c r="B1657" t="s">
        <v>1794</v>
      </c>
      <c r="C1657" t="s">
        <v>1202</v>
      </c>
      <c r="D1657" t="s">
        <v>1203</v>
      </c>
      <c r="E1657" t="s">
        <v>1204</v>
      </c>
      <c r="F1657">
        <v>5837</v>
      </c>
      <c r="G1657" t="s">
        <v>686</v>
      </c>
      <c r="I1657" t="s">
        <v>1205</v>
      </c>
      <c r="J1657">
        <v>2434</v>
      </c>
    </row>
    <row r="1658" spans="1:10" x14ac:dyDescent="0.3">
      <c r="A1658">
        <v>1827</v>
      </c>
      <c r="B1658" t="s">
        <v>1794</v>
      </c>
      <c r="C1658" t="s">
        <v>1202</v>
      </c>
      <c r="D1658" t="s">
        <v>1203</v>
      </c>
      <c r="E1658" t="s">
        <v>1204</v>
      </c>
      <c r="F1658">
        <v>5837</v>
      </c>
      <c r="G1658" t="s">
        <v>684</v>
      </c>
      <c r="I1658" t="s">
        <v>1205</v>
      </c>
      <c r="J1658">
        <v>1084</v>
      </c>
    </row>
    <row r="1659" spans="1:10" x14ac:dyDescent="0.3">
      <c r="A1659">
        <v>1827</v>
      </c>
      <c r="B1659" t="s">
        <v>1794</v>
      </c>
      <c r="C1659" t="s">
        <v>1202</v>
      </c>
      <c r="D1659" t="s">
        <v>1203</v>
      </c>
      <c r="E1659" t="s">
        <v>1204</v>
      </c>
      <c r="F1659">
        <v>5837</v>
      </c>
      <c r="G1659" t="s">
        <v>687</v>
      </c>
      <c r="H1659" t="s">
        <v>1796</v>
      </c>
      <c r="I1659" t="s">
        <v>1205</v>
      </c>
      <c r="J1659">
        <v>31</v>
      </c>
    </row>
    <row r="1660" spans="1:10" x14ac:dyDescent="0.3">
      <c r="A1660">
        <v>1827</v>
      </c>
      <c r="B1660" t="s">
        <v>1794</v>
      </c>
      <c r="C1660" t="s">
        <v>1202</v>
      </c>
      <c r="D1660" t="s">
        <v>1203</v>
      </c>
      <c r="E1660" t="s">
        <v>1204</v>
      </c>
      <c r="F1660">
        <v>5837</v>
      </c>
      <c r="G1660" t="s">
        <v>696</v>
      </c>
      <c r="I1660" t="s">
        <v>1205</v>
      </c>
      <c r="J1660">
        <v>8830</v>
      </c>
    </row>
    <row r="1661" spans="1:10" x14ac:dyDescent="0.3">
      <c r="A1661">
        <v>1827</v>
      </c>
      <c r="B1661" t="s">
        <v>1794</v>
      </c>
      <c r="C1661" t="s">
        <v>1202</v>
      </c>
      <c r="D1661" t="s">
        <v>1203</v>
      </c>
      <c r="E1661" t="s">
        <v>1204</v>
      </c>
      <c r="F1661">
        <v>5837</v>
      </c>
      <c r="G1661" t="s">
        <v>700</v>
      </c>
      <c r="I1661" t="s">
        <v>1205</v>
      </c>
      <c r="J1661">
        <v>3744</v>
      </c>
    </row>
    <row r="1662" spans="1:10" x14ac:dyDescent="0.3">
      <c r="A1662">
        <v>1827</v>
      </c>
      <c r="B1662" t="s">
        <v>1794</v>
      </c>
      <c r="C1662" t="s">
        <v>1202</v>
      </c>
      <c r="D1662" t="s">
        <v>1203</v>
      </c>
      <c r="E1662" t="s">
        <v>1204</v>
      </c>
      <c r="F1662">
        <v>5837</v>
      </c>
      <c r="G1662" t="s">
        <v>701</v>
      </c>
      <c r="I1662" t="s">
        <v>1205</v>
      </c>
      <c r="J1662">
        <v>2227</v>
      </c>
    </row>
    <row r="1663" spans="1:10" x14ac:dyDescent="0.3">
      <c r="A1663">
        <v>1827</v>
      </c>
      <c r="B1663" t="s">
        <v>1794</v>
      </c>
      <c r="C1663" t="s">
        <v>1202</v>
      </c>
      <c r="D1663" t="s">
        <v>1203</v>
      </c>
      <c r="E1663" t="s">
        <v>1204</v>
      </c>
      <c r="F1663">
        <v>5837</v>
      </c>
      <c r="G1663" t="s">
        <v>702</v>
      </c>
      <c r="I1663" t="s">
        <v>1205</v>
      </c>
      <c r="J1663">
        <v>2915</v>
      </c>
    </row>
    <row r="1664" spans="1:10" x14ac:dyDescent="0.3">
      <c r="A1664">
        <v>1827</v>
      </c>
      <c r="B1664" t="s">
        <v>1794</v>
      </c>
      <c r="C1664" t="s">
        <v>1202</v>
      </c>
      <c r="D1664" t="s">
        <v>1203</v>
      </c>
      <c r="E1664" t="s">
        <v>1204</v>
      </c>
      <c r="F1664">
        <v>5837</v>
      </c>
      <c r="G1664" t="s">
        <v>698</v>
      </c>
      <c r="I1664" t="s">
        <v>1205</v>
      </c>
      <c r="J1664">
        <v>3613</v>
      </c>
    </row>
    <row r="1665" spans="1:10" x14ac:dyDescent="0.3">
      <c r="A1665">
        <v>1838</v>
      </c>
      <c r="B1665" t="s">
        <v>1797</v>
      </c>
      <c r="C1665" t="s">
        <v>1202</v>
      </c>
      <c r="D1665" t="s">
        <v>1203</v>
      </c>
      <c r="E1665" t="s">
        <v>1204</v>
      </c>
      <c r="F1665">
        <v>5805</v>
      </c>
      <c r="G1665" t="s">
        <v>703</v>
      </c>
      <c r="H1665" t="s">
        <v>1798</v>
      </c>
      <c r="I1665" t="s">
        <v>1205</v>
      </c>
      <c r="J1665">
        <v>191</v>
      </c>
    </row>
    <row r="1666" spans="1:10" x14ac:dyDescent="0.3">
      <c r="A1666">
        <v>1838</v>
      </c>
      <c r="B1666" t="s">
        <v>1797</v>
      </c>
      <c r="C1666" t="s">
        <v>1202</v>
      </c>
      <c r="D1666" t="s">
        <v>1203</v>
      </c>
      <c r="E1666" t="s">
        <v>1204</v>
      </c>
      <c r="F1666">
        <v>5805</v>
      </c>
      <c r="G1666" t="s">
        <v>702</v>
      </c>
      <c r="H1666" t="s">
        <v>1798</v>
      </c>
      <c r="I1666" t="s">
        <v>1205</v>
      </c>
      <c r="J1666">
        <v>362</v>
      </c>
    </row>
    <row r="1667" spans="1:10" x14ac:dyDescent="0.3">
      <c r="A1667">
        <v>1838</v>
      </c>
      <c r="B1667" t="s">
        <v>1797</v>
      </c>
      <c r="C1667" t="s">
        <v>1202</v>
      </c>
      <c r="D1667" t="s">
        <v>1203</v>
      </c>
      <c r="E1667" t="s">
        <v>1204</v>
      </c>
      <c r="F1667">
        <v>5805</v>
      </c>
      <c r="G1667" t="s">
        <v>700</v>
      </c>
      <c r="H1667" t="s">
        <v>1798</v>
      </c>
      <c r="I1667" t="s">
        <v>1205</v>
      </c>
      <c r="J1667">
        <v>1112</v>
      </c>
    </row>
    <row r="1668" spans="1:10" x14ac:dyDescent="0.3">
      <c r="A1668">
        <v>1838</v>
      </c>
      <c r="B1668" t="s">
        <v>1797</v>
      </c>
      <c r="C1668" t="s">
        <v>1202</v>
      </c>
      <c r="D1668" t="s">
        <v>1203</v>
      </c>
      <c r="E1668" t="s">
        <v>1204</v>
      </c>
      <c r="F1668">
        <v>5805</v>
      </c>
      <c r="G1668" t="s">
        <v>687</v>
      </c>
      <c r="H1668" t="s">
        <v>1799</v>
      </c>
      <c r="I1668" t="s">
        <v>1205</v>
      </c>
      <c r="J1668">
        <v>18</v>
      </c>
    </row>
    <row r="1669" spans="1:10" x14ac:dyDescent="0.3">
      <c r="A1669">
        <v>1838</v>
      </c>
      <c r="B1669" t="s">
        <v>1797</v>
      </c>
      <c r="C1669" t="s">
        <v>1202</v>
      </c>
      <c r="D1669" t="s">
        <v>1203</v>
      </c>
      <c r="E1669" t="s">
        <v>1204</v>
      </c>
      <c r="F1669">
        <v>5805</v>
      </c>
      <c r="G1669" t="s">
        <v>696</v>
      </c>
      <c r="H1669" t="s">
        <v>1798</v>
      </c>
      <c r="I1669" t="s">
        <v>1205</v>
      </c>
      <c r="J1669">
        <v>5446.5771349862298</v>
      </c>
    </row>
    <row r="1670" spans="1:10" x14ac:dyDescent="0.3">
      <c r="A1670">
        <v>1838</v>
      </c>
      <c r="B1670" t="s">
        <v>1797</v>
      </c>
      <c r="C1670" t="s">
        <v>1202</v>
      </c>
      <c r="D1670" t="s">
        <v>1203</v>
      </c>
      <c r="E1670" t="s">
        <v>1204</v>
      </c>
      <c r="F1670">
        <v>5805</v>
      </c>
      <c r="G1670" t="s">
        <v>698</v>
      </c>
      <c r="H1670" t="s">
        <v>1798</v>
      </c>
      <c r="I1670" t="s">
        <v>1205</v>
      </c>
      <c r="J1670">
        <v>1792.61248852158</v>
      </c>
    </row>
    <row r="1671" spans="1:10" x14ac:dyDescent="0.3">
      <c r="A1671">
        <v>1838</v>
      </c>
      <c r="B1671" t="s">
        <v>1797</v>
      </c>
      <c r="C1671" t="s">
        <v>1202</v>
      </c>
      <c r="D1671" t="s">
        <v>1203</v>
      </c>
      <c r="E1671" t="s">
        <v>1204</v>
      </c>
      <c r="F1671">
        <v>5805</v>
      </c>
      <c r="G1671" t="s">
        <v>686</v>
      </c>
      <c r="I1671" t="s">
        <v>1205</v>
      </c>
      <c r="J1671">
        <v>431</v>
      </c>
    </row>
    <row r="1672" spans="1:10" x14ac:dyDescent="0.3">
      <c r="A1672">
        <v>1838</v>
      </c>
      <c r="B1672" t="s">
        <v>1797</v>
      </c>
      <c r="C1672" t="s">
        <v>1202</v>
      </c>
      <c r="D1672" t="s">
        <v>1203</v>
      </c>
      <c r="E1672" t="s">
        <v>1204</v>
      </c>
      <c r="F1672">
        <v>5805</v>
      </c>
      <c r="G1672" t="s">
        <v>687</v>
      </c>
      <c r="H1672" t="s">
        <v>1784</v>
      </c>
      <c r="I1672" t="s">
        <v>1205</v>
      </c>
      <c r="J1672">
        <v>30</v>
      </c>
    </row>
    <row r="1673" spans="1:10" x14ac:dyDescent="0.3">
      <c r="A1673">
        <v>1838</v>
      </c>
      <c r="B1673" t="s">
        <v>1797</v>
      </c>
      <c r="C1673" t="s">
        <v>1202</v>
      </c>
      <c r="D1673" t="s">
        <v>1203</v>
      </c>
      <c r="E1673" t="s">
        <v>1204</v>
      </c>
      <c r="F1673">
        <v>5805</v>
      </c>
      <c r="G1673" t="s">
        <v>687</v>
      </c>
      <c r="H1673" t="s">
        <v>1260</v>
      </c>
      <c r="I1673" t="s">
        <v>1205</v>
      </c>
      <c r="J1673">
        <v>99</v>
      </c>
    </row>
    <row r="1674" spans="1:10" x14ac:dyDescent="0.3">
      <c r="A1674">
        <v>1838</v>
      </c>
      <c r="B1674" t="s">
        <v>1797</v>
      </c>
      <c r="C1674" t="s">
        <v>1202</v>
      </c>
      <c r="D1674" t="s">
        <v>1203</v>
      </c>
      <c r="E1674" t="s">
        <v>1204</v>
      </c>
      <c r="F1674">
        <v>5805</v>
      </c>
      <c r="G1674" t="s">
        <v>684</v>
      </c>
      <c r="I1674" t="s">
        <v>1205</v>
      </c>
      <c r="J1674">
        <v>106</v>
      </c>
    </row>
    <row r="1675" spans="1:10" x14ac:dyDescent="0.3">
      <c r="A1675">
        <v>1849</v>
      </c>
      <c r="B1675" t="s">
        <v>960</v>
      </c>
      <c r="C1675" t="s">
        <v>1202</v>
      </c>
      <c r="D1675" t="s">
        <v>1203</v>
      </c>
      <c r="E1675" t="s">
        <v>1204</v>
      </c>
      <c r="F1675">
        <v>5733</v>
      </c>
      <c r="G1675" t="s">
        <v>686</v>
      </c>
      <c r="I1675" t="s">
        <v>1205</v>
      </c>
      <c r="J1675">
        <v>1997</v>
      </c>
    </row>
    <row r="1676" spans="1:10" x14ac:dyDescent="0.3">
      <c r="A1676">
        <v>1849</v>
      </c>
      <c r="B1676" t="s">
        <v>960</v>
      </c>
      <c r="C1676" t="s">
        <v>1202</v>
      </c>
      <c r="D1676" t="s">
        <v>1203</v>
      </c>
      <c r="E1676" t="s">
        <v>1204</v>
      </c>
      <c r="F1676">
        <v>5733</v>
      </c>
      <c r="G1676" t="s">
        <v>705</v>
      </c>
      <c r="I1676" t="s">
        <v>1205</v>
      </c>
      <c r="J1676">
        <v>1301</v>
      </c>
    </row>
    <row r="1677" spans="1:10" x14ac:dyDescent="0.3">
      <c r="A1677">
        <v>1849</v>
      </c>
      <c r="B1677" t="s">
        <v>960</v>
      </c>
      <c r="C1677" t="s">
        <v>1202</v>
      </c>
      <c r="D1677" t="s">
        <v>1203</v>
      </c>
      <c r="E1677" t="s">
        <v>1204</v>
      </c>
      <c r="F1677">
        <v>5733</v>
      </c>
      <c r="G1677" t="s">
        <v>702</v>
      </c>
      <c r="I1677" t="s">
        <v>1205</v>
      </c>
      <c r="J1677">
        <v>1040</v>
      </c>
    </row>
    <row r="1678" spans="1:10" x14ac:dyDescent="0.3">
      <c r="A1678">
        <v>1849</v>
      </c>
      <c r="B1678" t="s">
        <v>960</v>
      </c>
      <c r="C1678" t="s">
        <v>1202</v>
      </c>
      <c r="D1678" t="s">
        <v>1203</v>
      </c>
      <c r="E1678" t="s">
        <v>1204</v>
      </c>
      <c r="F1678">
        <v>5733</v>
      </c>
      <c r="G1678" t="s">
        <v>701</v>
      </c>
      <c r="I1678" t="s">
        <v>1205</v>
      </c>
      <c r="J1678">
        <v>1637</v>
      </c>
    </row>
    <row r="1679" spans="1:10" x14ac:dyDescent="0.3">
      <c r="A1679">
        <v>1849</v>
      </c>
      <c r="B1679" t="s">
        <v>960</v>
      </c>
      <c r="C1679" t="s">
        <v>1202</v>
      </c>
      <c r="D1679" t="s">
        <v>1203</v>
      </c>
      <c r="E1679" t="s">
        <v>1204</v>
      </c>
      <c r="F1679">
        <v>5733</v>
      </c>
      <c r="G1679" t="s">
        <v>700</v>
      </c>
      <c r="I1679" t="s">
        <v>1205</v>
      </c>
      <c r="J1679">
        <v>1190</v>
      </c>
    </row>
    <row r="1680" spans="1:10" x14ac:dyDescent="0.3">
      <c r="A1680">
        <v>1849</v>
      </c>
      <c r="B1680" t="s">
        <v>960</v>
      </c>
      <c r="C1680" t="s">
        <v>1202</v>
      </c>
      <c r="D1680" t="s">
        <v>1203</v>
      </c>
      <c r="E1680" t="s">
        <v>1204</v>
      </c>
      <c r="F1680">
        <v>5733</v>
      </c>
      <c r="G1680" t="s">
        <v>698</v>
      </c>
      <c r="I1680" t="s">
        <v>1205</v>
      </c>
      <c r="J1680">
        <v>1555</v>
      </c>
    </row>
    <row r="1681" spans="1:10" x14ac:dyDescent="0.3">
      <c r="A1681">
        <v>1849</v>
      </c>
      <c r="B1681" t="s">
        <v>960</v>
      </c>
      <c r="C1681" t="s">
        <v>1202</v>
      </c>
      <c r="D1681" t="s">
        <v>1203</v>
      </c>
      <c r="E1681" t="s">
        <v>1204</v>
      </c>
      <c r="F1681">
        <v>5733</v>
      </c>
      <c r="G1681" t="s">
        <v>696</v>
      </c>
      <c r="I1681" t="s">
        <v>1205</v>
      </c>
      <c r="J1681">
        <v>11757</v>
      </c>
    </row>
    <row r="1682" spans="1:10" x14ac:dyDescent="0.3">
      <c r="A1682">
        <v>1849</v>
      </c>
      <c r="B1682" t="s">
        <v>960</v>
      </c>
      <c r="C1682" t="s">
        <v>1202</v>
      </c>
      <c r="D1682" t="s">
        <v>1203</v>
      </c>
      <c r="E1682" t="s">
        <v>1204</v>
      </c>
      <c r="F1682">
        <v>5733</v>
      </c>
      <c r="G1682" t="s">
        <v>687</v>
      </c>
      <c r="I1682" t="s">
        <v>1205</v>
      </c>
      <c r="J1682">
        <v>34</v>
      </c>
    </row>
    <row r="1683" spans="1:10" x14ac:dyDescent="0.3">
      <c r="A1683">
        <v>1851</v>
      </c>
      <c r="B1683" t="s">
        <v>1800</v>
      </c>
      <c r="C1683" t="s">
        <v>1202</v>
      </c>
      <c r="D1683" t="s">
        <v>159</v>
      </c>
      <c r="E1683" t="s">
        <v>159</v>
      </c>
      <c r="F1683">
        <v>7787</v>
      </c>
      <c r="G1683" t="s">
        <v>700</v>
      </c>
      <c r="I1683" t="s">
        <v>1205</v>
      </c>
      <c r="J1683">
        <v>1628</v>
      </c>
    </row>
    <row r="1684" spans="1:10" x14ac:dyDescent="0.3">
      <c r="A1684">
        <v>1851</v>
      </c>
      <c r="B1684" t="s">
        <v>1800</v>
      </c>
      <c r="C1684" t="s">
        <v>1202</v>
      </c>
      <c r="D1684" t="s">
        <v>159</v>
      </c>
      <c r="E1684" t="s">
        <v>159</v>
      </c>
      <c r="F1684">
        <v>7787</v>
      </c>
      <c r="G1684" t="s">
        <v>698</v>
      </c>
      <c r="I1684" t="s">
        <v>1205</v>
      </c>
      <c r="J1684">
        <v>1797</v>
      </c>
    </row>
    <row r="1685" spans="1:10" x14ac:dyDescent="0.3">
      <c r="A1685">
        <v>1851</v>
      </c>
      <c r="B1685" t="s">
        <v>1800</v>
      </c>
      <c r="C1685" t="s">
        <v>1202</v>
      </c>
      <c r="D1685" t="s">
        <v>159</v>
      </c>
      <c r="E1685" t="s">
        <v>159</v>
      </c>
      <c r="F1685">
        <v>7787</v>
      </c>
      <c r="G1685" t="s">
        <v>701</v>
      </c>
      <c r="I1685" t="s">
        <v>1205</v>
      </c>
      <c r="J1685">
        <v>295</v>
      </c>
    </row>
    <row r="1686" spans="1:10" x14ac:dyDescent="0.3">
      <c r="A1686">
        <v>1851</v>
      </c>
      <c r="B1686" t="s">
        <v>1800</v>
      </c>
      <c r="C1686" t="s">
        <v>1202</v>
      </c>
      <c r="D1686" t="s">
        <v>159</v>
      </c>
      <c r="E1686" t="s">
        <v>159</v>
      </c>
      <c r="F1686">
        <v>7787</v>
      </c>
      <c r="G1686" t="s">
        <v>703</v>
      </c>
      <c r="I1686" t="s">
        <v>1205</v>
      </c>
      <c r="J1686">
        <v>754</v>
      </c>
    </row>
    <row r="1687" spans="1:10" x14ac:dyDescent="0.3">
      <c r="A1687">
        <v>1851</v>
      </c>
      <c r="B1687" t="s">
        <v>1800</v>
      </c>
      <c r="C1687" t="s">
        <v>1202</v>
      </c>
      <c r="D1687" t="s">
        <v>159</v>
      </c>
      <c r="E1687" t="s">
        <v>159</v>
      </c>
      <c r="F1687">
        <v>7787</v>
      </c>
      <c r="G1687" t="s">
        <v>702</v>
      </c>
      <c r="I1687" t="s">
        <v>1205</v>
      </c>
      <c r="J1687">
        <v>1278</v>
      </c>
    </row>
    <row r="1688" spans="1:10" x14ac:dyDescent="0.3">
      <c r="A1688">
        <v>1851</v>
      </c>
      <c r="B1688" t="s">
        <v>1800</v>
      </c>
      <c r="C1688" t="s">
        <v>1202</v>
      </c>
      <c r="D1688" t="s">
        <v>159</v>
      </c>
      <c r="E1688" t="s">
        <v>159</v>
      </c>
      <c r="F1688">
        <v>7787</v>
      </c>
      <c r="G1688" t="s">
        <v>686</v>
      </c>
      <c r="I1688" t="s">
        <v>1205</v>
      </c>
      <c r="J1688">
        <v>199</v>
      </c>
    </row>
    <row r="1689" spans="1:10" x14ac:dyDescent="0.3">
      <c r="A1689">
        <v>1851</v>
      </c>
      <c r="B1689" t="s">
        <v>1800</v>
      </c>
      <c r="C1689" t="s">
        <v>1202</v>
      </c>
      <c r="D1689" t="s">
        <v>159</v>
      </c>
      <c r="E1689" t="s">
        <v>159</v>
      </c>
      <c r="F1689">
        <v>7787</v>
      </c>
      <c r="G1689" t="s">
        <v>696</v>
      </c>
      <c r="I1689" t="s">
        <v>1205</v>
      </c>
      <c r="J1689">
        <v>4967</v>
      </c>
    </row>
    <row r="1690" spans="1:10" x14ac:dyDescent="0.3">
      <c r="A1690">
        <v>1851</v>
      </c>
      <c r="B1690" t="s">
        <v>1800</v>
      </c>
      <c r="C1690" t="s">
        <v>1202</v>
      </c>
      <c r="D1690" t="s">
        <v>159</v>
      </c>
      <c r="E1690" t="s">
        <v>159</v>
      </c>
      <c r="F1690">
        <v>7787</v>
      </c>
      <c r="G1690" t="s">
        <v>691</v>
      </c>
      <c r="I1690" t="s">
        <v>1205</v>
      </c>
      <c r="J1690">
        <v>3</v>
      </c>
    </row>
    <row r="1691" spans="1:10" x14ac:dyDescent="0.3">
      <c r="A1691">
        <v>1859</v>
      </c>
      <c r="B1691" t="s">
        <v>1801</v>
      </c>
      <c r="C1691" t="s">
        <v>1202</v>
      </c>
      <c r="D1691" t="s">
        <v>1203</v>
      </c>
      <c r="E1691" t="s">
        <v>1204</v>
      </c>
      <c r="F1691">
        <v>5801</v>
      </c>
      <c r="G1691" t="s">
        <v>696</v>
      </c>
      <c r="H1691" t="s">
        <v>1802</v>
      </c>
      <c r="I1691" t="s">
        <v>1205</v>
      </c>
      <c r="J1691">
        <v>744</v>
      </c>
    </row>
    <row r="1692" spans="1:10" x14ac:dyDescent="0.3">
      <c r="A1692">
        <v>1859</v>
      </c>
      <c r="B1692" t="s">
        <v>1801</v>
      </c>
      <c r="C1692" t="s">
        <v>1202</v>
      </c>
      <c r="D1692" t="s">
        <v>1203</v>
      </c>
      <c r="E1692" t="s">
        <v>1204</v>
      </c>
      <c r="F1692">
        <v>5801</v>
      </c>
      <c r="G1692" t="s">
        <v>684</v>
      </c>
      <c r="H1692" t="s">
        <v>1802</v>
      </c>
      <c r="I1692" t="s">
        <v>1205</v>
      </c>
      <c r="J1692">
        <v>0</v>
      </c>
    </row>
    <row r="1693" spans="1:10" x14ac:dyDescent="0.3">
      <c r="A1693">
        <v>1859</v>
      </c>
      <c r="B1693" t="s">
        <v>1801</v>
      </c>
      <c r="C1693" t="s">
        <v>1202</v>
      </c>
      <c r="D1693" t="s">
        <v>1203</v>
      </c>
      <c r="E1693" t="s">
        <v>1204</v>
      </c>
      <c r="F1693">
        <v>5801</v>
      </c>
      <c r="G1693" t="s">
        <v>700</v>
      </c>
      <c r="H1693" t="s">
        <v>1802</v>
      </c>
      <c r="I1693" t="s">
        <v>1205</v>
      </c>
      <c r="J1693">
        <v>146</v>
      </c>
    </row>
    <row r="1694" spans="1:10" x14ac:dyDescent="0.3">
      <c r="A1694">
        <v>1859</v>
      </c>
      <c r="B1694" t="s">
        <v>1801</v>
      </c>
      <c r="C1694" t="s">
        <v>1202</v>
      </c>
      <c r="D1694" t="s">
        <v>1203</v>
      </c>
      <c r="E1694" t="s">
        <v>1204</v>
      </c>
      <c r="F1694">
        <v>5801</v>
      </c>
      <c r="G1694" t="s">
        <v>703</v>
      </c>
      <c r="H1694" t="s">
        <v>1802</v>
      </c>
      <c r="I1694" t="s">
        <v>1205</v>
      </c>
      <c r="J1694">
        <v>403</v>
      </c>
    </row>
    <row r="1695" spans="1:10" x14ac:dyDescent="0.3">
      <c r="A1695">
        <v>1859</v>
      </c>
      <c r="B1695" t="s">
        <v>1801</v>
      </c>
      <c r="C1695" t="s">
        <v>1202</v>
      </c>
      <c r="D1695" t="s">
        <v>1203</v>
      </c>
      <c r="E1695" t="s">
        <v>1204</v>
      </c>
      <c r="F1695">
        <v>5801</v>
      </c>
      <c r="G1695" t="s">
        <v>705</v>
      </c>
      <c r="I1695" t="s">
        <v>1205</v>
      </c>
      <c r="J1695">
        <v>441</v>
      </c>
    </row>
    <row r="1696" spans="1:10" x14ac:dyDescent="0.3">
      <c r="A1696">
        <v>1859</v>
      </c>
      <c r="B1696" t="s">
        <v>1801</v>
      </c>
      <c r="C1696" t="s">
        <v>1202</v>
      </c>
      <c r="D1696" t="s">
        <v>1203</v>
      </c>
      <c r="E1696" t="s">
        <v>1204</v>
      </c>
      <c r="F1696">
        <v>5801</v>
      </c>
      <c r="G1696" t="s">
        <v>686</v>
      </c>
      <c r="H1696" t="s">
        <v>1803</v>
      </c>
      <c r="I1696" t="s">
        <v>1216</v>
      </c>
      <c r="J1696">
        <v>532</v>
      </c>
    </row>
    <row r="1697" spans="1:10" x14ac:dyDescent="0.3">
      <c r="A1697">
        <v>1859</v>
      </c>
      <c r="B1697" t="s">
        <v>1801</v>
      </c>
      <c r="C1697" t="s">
        <v>1202</v>
      </c>
      <c r="D1697" t="s">
        <v>1203</v>
      </c>
      <c r="E1697" t="s">
        <v>1204</v>
      </c>
      <c r="F1697">
        <v>5801</v>
      </c>
      <c r="G1697" t="s">
        <v>698</v>
      </c>
      <c r="H1697" t="s">
        <v>1802</v>
      </c>
      <c r="I1697" t="s">
        <v>1205</v>
      </c>
      <c r="J1697">
        <v>135</v>
      </c>
    </row>
    <row r="1698" spans="1:10" x14ac:dyDescent="0.3">
      <c r="A1698">
        <v>1859</v>
      </c>
      <c r="B1698" t="s">
        <v>1801</v>
      </c>
      <c r="C1698" t="s">
        <v>1202</v>
      </c>
      <c r="D1698" t="s">
        <v>1203</v>
      </c>
      <c r="E1698" t="s">
        <v>1204</v>
      </c>
      <c r="F1698">
        <v>5801</v>
      </c>
      <c r="G1698" t="s">
        <v>702</v>
      </c>
      <c r="H1698" t="s">
        <v>1802</v>
      </c>
      <c r="I1698" t="s">
        <v>1205</v>
      </c>
      <c r="J1698">
        <v>20</v>
      </c>
    </row>
    <row r="1699" spans="1:10" x14ac:dyDescent="0.3">
      <c r="A1699">
        <v>1859</v>
      </c>
      <c r="B1699" t="s">
        <v>1801</v>
      </c>
      <c r="C1699" t="s">
        <v>1202</v>
      </c>
      <c r="D1699" t="s">
        <v>1203</v>
      </c>
      <c r="E1699" t="s">
        <v>1204</v>
      </c>
      <c r="F1699">
        <v>5801</v>
      </c>
      <c r="G1699" t="s">
        <v>686</v>
      </c>
      <c r="H1699" t="s">
        <v>1802</v>
      </c>
      <c r="I1699" t="s">
        <v>1205</v>
      </c>
      <c r="J1699">
        <v>1403</v>
      </c>
    </row>
    <row r="1700" spans="1:10" x14ac:dyDescent="0.3">
      <c r="A1700">
        <v>1859</v>
      </c>
      <c r="B1700" t="s">
        <v>1801</v>
      </c>
      <c r="C1700" t="s">
        <v>1202</v>
      </c>
      <c r="D1700" t="s">
        <v>1203</v>
      </c>
      <c r="E1700" t="s">
        <v>1204</v>
      </c>
      <c r="F1700">
        <v>5801</v>
      </c>
      <c r="G1700" t="s">
        <v>696</v>
      </c>
      <c r="H1700" t="s">
        <v>1804</v>
      </c>
      <c r="I1700" t="s">
        <v>1216</v>
      </c>
      <c r="J1700">
        <v>386</v>
      </c>
    </row>
    <row r="1701" spans="1:10" x14ac:dyDescent="0.3">
      <c r="A1701">
        <v>1859</v>
      </c>
      <c r="B1701" t="s">
        <v>1801</v>
      </c>
      <c r="C1701" t="s">
        <v>1202</v>
      </c>
      <c r="D1701" t="s">
        <v>1203</v>
      </c>
      <c r="E1701" t="s">
        <v>1204</v>
      </c>
      <c r="F1701">
        <v>5801</v>
      </c>
      <c r="G1701" t="s">
        <v>698</v>
      </c>
      <c r="H1701" t="s">
        <v>1804</v>
      </c>
      <c r="I1701" t="s">
        <v>1216</v>
      </c>
      <c r="J1701">
        <v>70</v>
      </c>
    </row>
    <row r="1702" spans="1:10" x14ac:dyDescent="0.3">
      <c r="A1702">
        <v>1859</v>
      </c>
      <c r="B1702" t="s">
        <v>1801</v>
      </c>
      <c r="C1702" t="s">
        <v>1202</v>
      </c>
      <c r="D1702" t="s">
        <v>1203</v>
      </c>
      <c r="E1702" t="s">
        <v>1204</v>
      </c>
      <c r="F1702">
        <v>5801</v>
      </c>
      <c r="G1702" t="s">
        <v>700</v>
      </c>
      <c r="H1702" t="s">
        <v>1804</v>
      </c>
      <c r="I1702" t="s">
        <v>1216</v>
      </c>
      <c r="J1702">
        <v>76</v>
      </c>
    </row>
    <row r="1703" spans="1:10" x14ac:dyDescent="0.3">
      <c r="A1703">
        <v>1859</v>
      </c>
      <c r="B1703" t="s">
        <v>1801</v>
      </c>
      <c r="C1703" t="s">
        <v>1202</v>
      </c>
      <c r="D1703" t="s">
        <v>1203</v>
      </c>
      <c r="E1703" t="s">
        <v>1204</v>
      </c>
      <c r="F1703">
        <v>5801</v>
      </c>
      <c r="G1703" t="s">
        <v>702</v>
      </c>
      <c r="H1703" t="s">
        <v>1804</v>
      </c>
      <c r="I1703" t="s">
        <v>1216</v>
      </c>
      <c r="J1703">
        <v>10</v>
      </c>
    </row>
    <row r="1704" spans="1:10" x14ac:dyDescent="0.3">
      <c r="A1704">
        <v>1859</v>
      </c>
      <c r="B1704" t="s">
        <v>1801</v>
      </c>
      <c r="C1704" t="s">
        <v>1202</v>
      </c>
      <c r="D1704" t="s">
        <v>1203</v>
      </c>
      <c r="E1704" t="s">
        <v>1204</v>
      </c>
      <c r="F1704">
        <v>5801</v>
      </c>
      <c r="G1704" t="s">
        <v>684</v>
      </c>
      <c r="H1704" t="s">
        <v>1804</v>
      </c>
      <c r="I1704" t="s">
        <v>1216</v>
      </c>
      <c r="J1704">
        <v>0</v>
      </c>
    </row>
    <row r="1705" spans="1:10" x14ac:dyDescent="0.3">
      <c r="A1705">
        <v>1859</v>
      </c>
      <c r="B1705" t="s">
        <v>1801</v>
      </c>
      <c r="C1705" t="s">
        <v>1202</v>
      </c>
      <c r="D1705" t="s">
        <v>1203</v>
      </c>
      <c r="E1705" t="s">
        <v>1204</v>
      </c>
      <c r="F1705">
        <v>5801</v>
      </c>
      <c r="G1705" t="s">
        <v>703</v>
      </c>
      <c r="H1705" t="s">
        <v>1804</v>
      </c>
      <c r="I1705" t="s">
        <v>1216</v>
      </c>
      <c r="J1705">
        <v>4</v>
      </c>
    </row>
    <row r="1706" spans="1:10" x14ac:dyDescent="0.3">
      <c r="A1706">
        <v>1866</v>
      </c>
      <c r="B1706" t="s">
        <v>1805</v>
      </c>
      <c r="C1706" t="s">
        <v>1202</v>
      </c>
      <c r="D1706" t="s">
        <v>159</v>
      </c>
      <c r="E1706" t="s">
        <v>159</v>
      </c>
      <c r="F1706">
        <v>5596</v>
      </c>
      <c r="G1706" t="s">
        <v>696</v>
      </c>
      <c r="I1706" t="s">
        <v>1205</v>
      </c>
      <c r="J1706">
        <v>1400</v>
      </c>
    </row>
    <row r="1707" spans="1:10" x14ac:dyDescent="0.3">
      <c r="A1707">
        <v>1866</v>
      </c>
      <c r="B1707" t="s">
        <v>1805</v>
      </c>
      <c r="C1707" t="s">
        <v>1202</v>
      </c>
      <c r="D1707" t="s">
        <v>159</v>
      </c>
      <c r="E1707" t="s">
        <v>159</v>
      </c>
      <c r="F1707">
        <v>5596</v>
      </c>
      <c r="G1707" t="s">
        <v>698</v>
      </c>
      <c r="I1707" t="s">
        <v>1205</v>
      </c>
      <c r="J1707">
        <v>2073</v>
      </c>
    </row>
    <row r="1708" spans="1:10" x14ac:dyDescent="0.3">
      <c r="A1708">
        <v>1866</v>
      </c>
      <c r="B1708" t="s">
        <v>1805</v>
      </c>
      <c r="C1708" t="s">
        <v>1202</v>
      </c>
      <c r="D1708" t="s">
        <v>159</v>
      </c>
      <c r="E1708" t="s">
        <v>159</v>
      </c>
      <c r="F1708">
        <v>5596</v>
      </c>
      <c r="G1708" t="s">
        <v>700</v>
      </c>
      <c r="I1708" t="s">
        <v>1205</v>
      </c>
      <c r="J1708">
        <v>623</v>
      </c>
    </row>
    <row r="1709" spans="1:10" x14ac:dyDescent="0.3">
      <c r="A1709">
        <v>1866</v>
      </c>
      <c r="B1709" t="s">
        <v>1805</v>
      </c>
      <c r="C1709" t="s">
        <v>1202</v>
      </c>
      <c r="D1709" t="s">
        <v>159</v>
      </c>
      <c r="E1709" t="s">
        <v>159</v>
      </c>
      <c r="F1709">
        <v>5596</v>
      </c>
      <c r="G1709" t="s">
        <v>701</v>
      </c>
      <c r="I1709" t="s">
        <v>1205</v>
      </c>
      <c r="J1709">
        <v>666</v>
      </c>
    </row>
    <row r="1710" spans="1:10" x14ac:dyDescent="0.3">
      <c r="A1710">
        <v>1866</v>
      </c>
      <c r="B1710" t="s">
        <v>1805</v>
      </c>
      <c r="C1710" t="s">
        <v>1202</v>
      </c>
      <c r="D1710" t="s">
        <v>159</v>
      </c>
      <c r="E1710" t="s">
        <v>159</v>
      </c>
      <c r="F1710">
        <v>5596</v>
      </c>
      <c r="G1710" t="s">
        <v>702</v>
      </c>
      <c r="I1710" t="s">
        <v>1205</v>
      </c>
      <c r="J1710">
        <v>665</v>
      </c>
    </row>
    <row r="1711" spans="1:10" x14ac:dyDescent="0.3">
      <c r="A1711">
        <v>1866</v>
      </c>
      <c r="B1711" t="s">
        <v>1805</v>
      </c>
      <c r="C1711" t="s">
        <v>1202</v>
      </c>
      <c r="D1711" t="s">
        <v>159</v>
      </c>
      <c r="E1711" t="s">
        <v>159</v>
      </c>
      <c r="F1711">
        <v>5596</v>
      </c>
      <c r="G1711" t="s">
        <v>686</v>
      </c>
      <c r="I1711" t="s">
        <v>1205</v>
      </c>
      <c r="J1711">
        <v>410</v>
      </c>
    </row>
    <row r="1712" spans="1:10" x14ac:dyDescent="0.3">
      <c r="A1712">
        <v>1873</v>
      </c>
      <c r="B1712" t="s">
        <v>1806</v>
      </c>
      <c r="C1712" t="s">
        <v>1202</v>
      </c>
      <c r="D1712" t="s">
        <v>159</v>
      </c>
      <c r="E1712" t="s">
        <v>159</v>
      </c>
      <c r="F1712">
        <v>7209</v>
      </c>
      <c r="G1712" t="s">
        <v>687</v>
      </c>
      <c r="H1712" t="s">
        <v>1807</v>
      </c>
      <c r="I1712" t="s">
        <v>1205</v>
      </c>
      <c r="J1712">
        <v>80</v>
      </c>
    </row>
    <row r="1713" spans="1:10" x14ac:dyDescent="0.3">
      <c r="A1713">
        <v>1873</v>
      </c>
      <c r="B1713" t="s">
        <v>1806</v>
      </c>
      <c r="C1713" t="s">
        <v>1202</v>
      </c>
      <c r="D1713" t="s">
        <v>159</v>
      </c>
      <c r="E1713" t="s">
        <v>159</v>
      </c>
      <c r="F1713">
        <v>7209</v>
      </c>
      <c r="G1713" t="s">
        <v>686</v>
      </c>
      <c r="H1713" t="s">
        <v>1808</v>
      </c>
      <c r="I1713" t="s">
        <v>1205</v>
      </c>
      <c r="J1713">
        <v>2586</v>
      </c>
    </row>
    <row r="1714" spans="1:10" x14ac:dyDescent="0.3">
      <c r="A1714">
        <v>1873</v>
      </c>
      <c r="B1714" t="s">
        <v>1806</v>
      </c>
      <c r="C1714" t="s">
        <v>1202</v>
      </c>
      <c r="D1714" t="s">
        <v>159</v>
      </c>
      <c r="E1714" t="s">
        <v>159</v>
      </c>
      <c r="F1714">
        <v>7209</v>
      </c>
      <c r="G1714" t="s">
        <v>703</v>
      </c>
      <c r="H1714" t="s">
        <v>1809</v>
      </c>
      <c r="I1714" t="s">
        <v>1205</v>
      </c>
      <c r="J1714">
        <v>1311</v>
      </c>
    </row>
    <row r="1715" spans="1:10" x14ac:dyDescent="0.3">
      <c r="A1715">
        <v>1873</v>
      </c>
      <c r="B1715" t="s">
        <v>1806</v>
      </c>
      <c r="C1715" t="s">
        <v>1202</v>
      </c>
      <c r="D1715" t="s">
        <v>159</v>
      </c>
      <c r="E1715" t="s">
        <v>159</v>
      </c>
      <c r="F1715">
        <v>7209</v>
      </c>
      <c r="G1715" t="s">
        <v>698</v>
      </c>
      <c r="I1715" t="s">
        <v>1205</v>
      </c>
      <c r="J1715">
        <v>5190</v>
      </c>
    </row>
    <row r="1716" spans="1:10" x14ac:dyDescent="0.3">
      <c r="A1716">
        <v>1873</v>
      </c>
      <c r="B1716" t="s">
        <v>1806</v>
      </c>
      <c r="C1716" t="s">
        <v>1202</v>
      </c>
      <c r="D1716" t="s">
        <v>159</v>
      </c>
      <c r="E1716" t="s">
        <v>159</v>
      </c>
      <c r="F1716">
        <v>7209</v>
      </c>
      <c r="G1716" t="s">
        <v>700</v>
      </c>
      <c r="H1716" t="s">
        <v>1810</v>
      </c>
      <c r="I1716" t="s">
        <v>1205</v>
      </c>
      <c r="J1716">
        <v>6530</v>
      </c>
    </row>
    <row r="1717" spans="1:10" x14ac:dyDescent="0.3">
      <c r="A1717">
        <v>1873</v>
      </c>
      <c r="B1717" t="s">
        <v>1806</v>
      </c>
      <c r="C1717" t="s">
        <v>1202</v>
      </c>
      <c r="D1717" t="s">
        <v>159</v>
      </c>
      <c r="E1717" t="s">
        <v>159</v>
      </c>
      <c r="F1717">
        <v>7209</v>
      </c>
      <c r="G1717" t="s">
        <v>696</v>
      </c>
      <c r="I1717" t="s">
        <v>1205</v>
      </c>
      <c r="J1717">
        <v>13593</v>
      </c>
    </row>
    <row r="1718" spans="1:10" x14ac:dyDescent="0.3">
      <c r="A1718">
        <v>1875</v>
      </c>
      <c r="B1718" t="s">
        <v>1811</v>
      </c>
      <c r="C1718" t="s">
        <v>1202</v>
      </c>
      <c r="D1718" t="s">
        <v>1203</v>
      </c>
      <c r="E1718" t="s">
        <v>1204</v>
      </c>
      <c r="F1718">
        <v>5876</v>
      </c>
      <c r="G1718" t="s">
        <v>698</v>
      </c>
      <c r="I1718" t="s">
        <v>1205</v>
      </c>
      <c r="J1718">
        <v>638</v>
      </c>
    </row>
    <row r="1719" spans="1:10" x14ac:dyDescent="0.3">
      <c r="A1719">
        <v>1875</v>
      </c>
      <c r="B1719" t="s">
        <v>1811</v>
      </c>
      <c r="C1719" t="s">
        <v>1202</v>
      </c>
      <c r="D1719" t="s">
        <v>1203</v>
      </c>
      <c r="E1719" t="s">
        <v>1204</v>
      </c>
      <c r="F1719">
        <v>5876</v>
      </c>
      <c r="G1719" t="s">
        <v>687</v>
      </c>
      <c r="I1719" t="s">
        <v>1205</v>
      </c>
      <c r="J1719">
        <v>39</v>
      </c>
    </row>
    <row r="1720" spans="1:10" x14ac:dyDescent="0.3">
      <c r="A1720">
        <v>1875</v>
      </c>
      <c r="B1720" t="s">
        <v>1811</v>
      </c>
      <c r="C1720" t="s">
        <v>1202</v>
      </c>
      <c r="D1720" t="s">
        <v>1203</v>
      </c>
      <c r="E1720" t="s">
        <v>1204</v>
      </c>
      <c r="F1720">
        <v>5876</v>
      </c>
      <c r="G1720" t="s">
        <v>702</v>
      </c>
      <c r="I1720" t="s">
        <v>1205</v>
      </c>
      <c r="J1720">
        <v>690</v>
      </c>
    </row>
    <row r="1721" spans="1:10" x14ac:dyDescent="0.3">
      <c r="A1721">
        <v>1875</v>
      </c>
      <c r="B1721" t="s">
        <v>1811</v>
      </c>
      <c r="C1721" t="s">
        <v>1202</v>
      </c>
      <c r="D1721" t="s">
        <v>1203</v>
      </c>
      <c r="E1721" t="s">
        <v>1204</v>
      </c>
      <c r="F1721">
        <v>5876</v>
      </c>
      <c r="G1721" t="s">
        <v>703</v>
      </c>
      <c r="I1721" t="s">
        <v>1205</v>
      </c>
      <c r="J1721">
        <v>288</v>
      </c>
    </row>
    <row r="1722" spans="1:10" x14ac:dyDescent="0.3">
      <c r="A1722">
        <v>1875</v>
      </c>
      <c r="B1722" t="s">
        <v>1811</v>
      </c>
      <c r="C1722" t="s">
        <v>1202</v>
      </c>
      <c r="D1722" t="s">
        <v>1203</v>
      </c>
      <c r="E1722" t="s">
        <v>1204</v>
      </c>
      <c r="F1722">
        <v>5876</v>
      </c>
      <c r="G1722" t="s">
        <v>701</v>
      </c>
      <c r="I1722" t="s">
        <v>1205</v>
      </c>
      <c r="J1722">
        <v>508</v>
      </c>
    </row>
    <row r="1723" spans="1:10" x14ac:dyDescent="0.3">
      <c r="A1723">
        <v>1875</v>
      </c>
      <c r="B1723" t="s">
        <v>1811</v>
      </c>
      <c r="C1723" t="s">
        <v>1202</v>
      </c>
      <c r="D1723" t="s">
        <v>1203</v>
      </c>
      <c r="E1723" t="s">
        <v>1204</v>
      </c>
      <c r="F1723">
        <v>5876</v>
      </c>
      <c r="G1723" t="s">
        <v>700</v>
      </c>
      <c r="I1723" t="s">
        <v>1205</v>
      </c>
      <c r="J1723">
        <v>580</v>
      </c>
    </row>
    <row r="1724" spans="1:10" x14ac:dyDescent="0.3">
      <c r="A1724">
        <v>1875</v>
      </c>
      <c r="B1724" t="s">
        <v>1811</v>
      </c>
      <c r="C1724" t="s">
        <v>1202</v>
      </c>
      <c r="D1724" t="s">
        <v>1203</v>
      </c>
      <c r="E1724" t="s">
        <v>1204</v>
      </c>
      <c r="F1724">
        <v>5876</v>
      </c>
      <c r="G1724" t="s">
        <v>696</v>
      </c>
      <c r="I1724" t="s">
        <v>1205</v>
      </c>
      <c r="J1724">
        <v>2727</v>
      </c>
    </row>
    <row r="1725" spans="1:10" x14ac:dyDescent="0.3">
      <c r="A1725">
        <v>1875</v>
      </c>
      <c r="B1725" t="s">
        <v>1811</v>
      </c>
      <c r="C1725" t="s">
        <v>1202</v>
      </c>
      <c r="D1725" t="s">
        <v>1203</v>
      </c>
      <c r="E1725" t="s">
        <v>1204</v>
      </c>
      <c r="F1725">
        <v>5876</v>
      </c>
      <c r="G1725" t="s">
        <v>686</v>
      </c>
      <c r="I1725" t="s">
        <v>1205</v>
      </c>
      <c r="J1725">
        <v>275</v>
      </c>
    </row>
    <row r="1726" spans="1:10" x14ac:dyDescent="0.3">
      <c r="A1726">
        <v>1877</v>
      </c>
      <c r="B1726" t="s">
        <v>1812</v>
      </c>
      <c r="C1726" t="s">
        <v>1202</v>
      </c>
      <c r="D1726" t="s">
        <v>1203</v>
      </c>
      <c r="E1726" t="s">
        <v>1204</v>
      </c>
      <c r="F1726">
        <v>5751</v>
      </c>
      <c r="G1726" t="s">
        <v>696</v>
      </c>
      <c r="H1726" t="s">
        <v>1813</v>
      </c>
      <c r="I1726" t="s">
        <v>1205</v>
      </c>
      <c r="J1726">
        <v>2626</v>
      </c>
    </row>
    <row r="1727" spans="1:10" x14ac:dyDescent="0.3">
      <c r="A1727">
        <v>1877</v>
      </c>
      <c r="B1727" t="s">
        <v>1812</v>
      </c>
      <c r="C1727" t="s">
        <v>1202</v>
      </c>
      <c r="D1727" t="s">
        <v>1203</v>
      </c>
      <c r="E1727" t="s">
        <v>1204</v>
      </c>
      <c r="F1727">
        <v>5751</v>
      </c>
      <c r="G1727" t="s">
        <v>692</v>
      </c>
      <c r="H1727" t="s">
        <v>1813</v>
      </c>
      <c r="I1727" t="s">
        <v>1216</v>
      </c>
      <c r="J1727">
        <v>560</v>
      </c>
    </row>
    <row r="1728" spans="1:10" x14ac:dyDescent="0.3">
      <c r="A1728">
        <v>1877</v>
      </c>
      <c r="B1728" t="s">
        <v>1812</v>
      </c>
      <c r="C1728" t="s">
        <v>1202</v>
      </c>
      <c r="D1728" t="s">
        <v>1203</v>
      </c>
      <c r="E1728" t="s">
        <v>1204</v>
      </c>
      <c r="F1728">
        <v>5751</v>
      </c>
      <c r="G1728" t="s">
        <v>686</v>
      </c>
      <c r="H1728" t="s">
        <v>1813</v>
      </c>
      <c r="I1728" t="s">
        <v>1205</v>
      </c>
      <c r="J1728">
        <v>401</v>
      </c>
    </row>
    <row r="1729" spans="1:10" x14ac:dyDescent="0.3">
      <c r="A1729">
        <v>1877</v>
      </c>
      <c r="B1729" t="s">
        <v>1812</v>
      </c>
      <c r="C1729" t="s">
        <v>1202</v>
      </c>
      <c r="D1729" t="s">
        <v>1203</v>
      </c>
      <c r="E1729" t="s">
        <v>1204</v>
      </c>
      <c r="F1729">
        <v>5751</v>
      </c>
      <c r="G1729" t="s">
        <v>702</v>
      </c>
      <c r="H1729" t="s">
        <v>1813</v>
      </c>
      <c r="I1729" t="s">
        <v>1205</v>
      </c>
      <c r="J1729">
        <v>412</v>
      </c>
    </row>
    <row r="1730" spans="1:10" x14ac:dyDescent="0.3">
      <c r="A1730">
        <v>1877</v>
      </c>
      <c r="B1730" t="s">
        <v>1812</v>
      </c>
      <c r="C1730" t="s">
        <v>1202</v>
      </c>
      <c r="D1730" t="s">
        <v>1203</v>
      </c>
      <c r="E1730" t="s">
        <v>1204</v>
      </c>
      <c r="F1730">
        <v>5751</v>
      </c>
      <c r="G1730" t="s">
        <v>700</v>
      </c>
      <c r="H1730" t="s">
        <v>1813</v>
      </c>
      <c r="I1730" t="s">
        <v>1205</v>
      </c>
      <c r="J1730">
        <v>381</v>
      </c>
    </row>
    <row r="1731" spans="1:10" x14ac:dyDescent="0.3">
      <c r="A1731">
        <v>1877</v>
      </c>
      <c r="B1731" t="s">
        <v>1812</v>
      </c>
      <c r="C1731" t="s">
        <v>1202</v>
      </c>
      <c r="D1731" t="s">
        <v>1203</v>
      </c>
      <c r="E1731" t="s">
        <v>1204</v>
      </c>
      <c r="F1731">
        <v>5751</v>
      </c>
      <c r="G1731" t="s">
        <v>698</v>
      </c>
      <c r="H1731" t="s">
        <v>1813</v>
      </c>
      <c r="I1731" t="s">
        <v>1205</v>
      </c>
      <c r="J1731">
        <v>74</v>
      </c>
    </row>
    <row r="1732" spans="1:10" x14ac:dyDescent="0.3">
      <c r="A1732">
        <v>1894</v>
      </c>
      <c r="B1732" t="s">
        <v>1814</v>
      </c>
      <c r="C1732" t="s">
        <v>1202</v>
      </c>
      <c r="D1732" t="s">
        <v>159</v>
      </c>
      <c r="E1732" t="s">
        <v>159</v>
      </c>
      <c r="F1732">
        <v>7981</v>
      </c>
      <c r="G1732" t="s">
        <v>691</v>
      </c>
      <c r="I1732" t="s">
        <v>1205</v>
      </c>
      <c r="J1732">
        <v>3</v>
      </c>
    </row>
    <row r="1733" spans="1:10" x14ac:dyDescent="0.3">
      <c r="A1733">
        <v>1894</v>
      </c>
      <c r="B1733" t="s">
        <v>1814</v>
      </c>
      <c r="C1733" t="s">
        <v>1202</v>
      </c>
      <c r="D1733" t="s">
        <v>159</v>
      </c>
      <c r="E1733" t="s">
        <v>159</v>
      </c>
      <c r="F1733">
        <v>7981</v>
      </c>
      <c r="G1733" t="s">
        <v>702</v>
      </c>
      <c r="H1733" t="s">
        <v>1815</v>
      </c>
      <c r="I1733" t="s">
        <v>1205</v>
      </c>
      <c r="J1733">
        <v>893</v>
      </c>
    </row>
    <row r="1734" spans="1:10" x14ac:dyDescent="0.3">
      <c r="A1734">
        <v>1894</v>
      </c>
      <c r="B1734" t="s">
        <v>1814</v>
      </c>
      <c r="C1734" t="s">
        <v>1202</v>
      </c>
      <c r="D1734" t="s">
        <v>159</v>
      </c>
      <c r="E1734" t="s">
        <v>159</v>
      </c>
      <c r="F1734">
        <v>7981</v>
      </c>
      <c r="G1734" t="s">
        <v>703</v>
      </c>
      <c r="I1734" t="s">
        <v>1205</v>
      </c>
      <c r="J1734">
        <v>235</v>
      </c>
    </row>
    <row r="1735" spans="1:10" x14ac:dyDescent="0.3">
      <c r="A1735">
        <v>1894</v>
      </c>
      <c r="B1735" t="s">
        <v>1814</v>
      </c>
      <c r="C1735" t="s">
        <v>1202</v>
      </c>
      <c r="D1735" t="s">
        <v>159</v>
      </c>
      <c r="E1735" t="s">
        <v>159</v>
      </c>
      <c r="F1735">
        <v>7981</v>
      </c>
      <c r="G1735" t="s">
        <v>696</v>
      </c>
      <c r="I1735" t="s">
        <v>1205</v>
      </c>
      <c r="J1735">
        <v>4354</v>
      </c>
    </row>
    <row r="1736" spans="1:10" x14ac:dyDescent="0.3">
      <c r="A1736">
        <v>1894</v>
      </c>
      <c r="B1736" t="s">
        <v>1814</v>
      </c>
      <c r="C1736" t="s">
        <v>1202</v>
      </c>
      <c r="D1736" t="s">
        <v>159</v>
      </c>
      <c r="E1736" t="s">
        <v>159</v>
      </c>
      <c r="F1736">
        <v>7981</v>
      </c>
      <c r="G1736" t="s">
        <v>700</v>
      </c>
      <c r="I1736" t="s">
        <v>1205</v>
      </c>
      <c r="J1736">
        <v>955</v>
      </c>
    </row>
    <row r="1737" spans="1:10" x14ac:dyDescent="0.3">
      <c r="A1737">
        <v>1894</v>
      </c>
      <c r="B1737" t="s">
        <v>1814</v>
      </c>
      <c r="C1737" t="s">
        <v>1202</v>
      </c>
      <c r="D1737" t="s">
        <v>159</v>
      </c>
      <c r="E1737" t="s">
        <v>159</v>
      </c>
      <c r="F1737">
        <v>7981</v>
      </c>
      <c r="G1737" t="s">
        <v>698</v>
      </c>
      <c r="I1737" t="s">
        <v>1205</v>
      </c>
      <c r="J1737">
        <v>888</v>
      </c>
    </row>
    <row r="1738" spans="1:10" x14ac:dyDescent="0.3">
      <c r="A1738">
        <v>1894</v>
      </c>
      <c r="B1738" t="s">
        <v>1814</v>
      </c>
      <c r="C1738" t="s">
        <v>1202</v>
      </c>
      <c r="D1738" t="s">
        <v>159</v>
      </c>
      <c r="E1738" t="s">
        <v>159</v>
      </c>
      <c r="F1738">
        <v>7981</v>
      </c>
      <c r="G1738" t="s">
        <v>701</v>
      </c>
      <c r="I1738" t="s">
        <v>1205</v>
      </c>
      <c r="J1738">
        <v>403</v>
      </c>
    </row>
    <row r="1739" spans="1:10" x14ac:dyDescent="0.3">
      <c r="A1739">
        <v>1896</v>
      </c>
      <c r="B1739" t="s">
        <v>1816</v>
      </c>
      <c r="C1739" t="s">
        <v>1202</v>
      </c>
      <c r="D1739" t="s">
        <v>159</v>
      </c>
      <c r="E1739" t="s">
        <v>159</v>
      </c>
      <c r="F1739">
        <v>7991</v>
      </c>
      <c r="G1739" t="s">
        <v>696</v>
      </c>
      <c r="I1739" t="s">
        <v>1205</v>
      </c>
      <c r="J1739">
        <v>2171</v>
      </c>
    </row>
    <row r="1740" spans="1:10" x14ac:dyDescent="0.3">
      <c r="A1740">
        <v>1896</v>
      </c>
      <c r="B1740" t="s">
        <v>1816</v>
      </c>
      <c r="C1740" t="s">
        <v>1202</v>
      </c>
      <c r="D1740" t="s">
        <v>159</v>
      </c>
      <c r="E1740" t="s">
        <v>159</v>
      </c>
      <c r="F1740">
        <v>7991</v>
      </c>
      <c r="G1740" t="s">
        <v>686</v>
      </c>
      <c r="I1740" t="s">
        <v>1205</v>
      </c>
      <c r="J1740">
        <v>432</v>
      </c>
    </row>
    <row r="1741" spans="1:10" x14ac:dyDescent="0.3">
      <c r="A1741">
        <v>1896</v>
      </c>
      <c r="B1741" t="s">
        <v>1816</v>
      </c>
      <c r="C1741" t="s">
        <v>1202</v>
      </c>
      <c r="D1741" t="s">
        <v>159</v>
      </c>
      <c r="E1741" t="s">
        <v>159</v>
      </c>
      <c r="F1741">
        <v>7991</v>
      </c>
      <c r="G1741" t="s">
        <v>698</v>
      </c>
      <c r="I1741" t="s">
        <v>1205</v>
      </c>
      <c r="J1741">
        <v>2</v>
      </c>
    </row>
    <row r="1742" spans="1:10" x14ac:dyDescent="0.3">
      <c r="A1742">
        <v>1896</v>
      </c>
      <c r="B1742" t="s">
        <v>1816</v>
      </c>
      <c r="C1742" t="s">
        <v>1202</v>
      </c>
      <c r="D1742" t="s">
        <v>159</v>
      </c>
      <c r="E1742" t="s">
        <v>159</v>
      </c>
      <c r="F1742">
        <v>7991</v>
      </c>
      <c r="G1742" t="s">
        <v>700</v>
      </c>
      <c r="I1742" t="s">
        <v>1205</v>
      </c>
      <c r="J1742">
        <v>94</v>
      </c>
    </row>
    <row r="1743" spans="1:10" x14ac:dyDescent="0.3">
      <c r="A1743">
        <v>1896</v>
      </c>
      <c r="B1743" t="s">
        <v>1816</v>
      </c>
      <c r="C1743" t="s">
        <v>1202</v>
      </c>
      <c r="D1743" t="s">
        <v>159</v>
      </c>
      <c r="E1743" t="s">
        <v>159</v>
      </c>
      <c r="F1743">
        <v>7991</v>
      </c>
      <c r="G1743" t="s">
        <v>687</v>
      </c>
      <c r="H1743" t="s">
        <v>1817</v>
      </c>
      <c r="I1743" t="s">
        <v>1205</v>
      </c>
      <c r="J1743">
        <v>249</v>
      </c>
    </row>
    <row r="1744" spans="1:10" x14ac:dyDescent="0.3">
      <c r="A1744">
        <v>1899</v>
      </c>
      <c r="B1744" t="s">
        <v>1818</v>
      </c>
      <c r="C1744" t="s">
        <v>1202</v>
      </c>
      <c r="D1744" t="s">
        <v>1203</v>
      </c>
      <c r="E1744" t="s">
        <v>1204</v>
      </c>
      <c r="F1744">
        <v>5877</v>
      </c>
      <c r="G1744" t="s">
        <v>691</v>
      </c>
      <c r="H1744" t="s">
        <v>1819</v>
      </c>
      <c r="I1744" t="s">
        <v>1205</v>
      </c>
      <c r="J1744">
        <v>1235</v>
      </c>
    </row>
    <row r="1745" spans="1:10" x14ac:dyDescent="0.3">
      <c r="A1745">
        <v>1899</v>
      </c>
      <c r="B1745" t="s">
        <v>1818</v>
      </c>
      <c r="C1745" t="s">
        <v>1202</v>
      </c>
      <c r="D1745" t="s">
        <v>1203</v>
      </c>
      <c r="E1745" t="s">
        <v>1204</v>
      </c>
      <c r="F1745">
        <v>5877</v>
      </c>
      <c r="G1745" t="s">
        <v>705</v>
      </c>
      <c r="H1745" t="s">
        <v>1820</v>
      </c>
      <c r="I1745" t="s">
        <v>1205</v>
      </c>
      <c r="J1745">
        <v>1800</v>
      </c>
    </row>
    <row r="1746" spans="1:10" x14ac:dyDescent="0.3">
      <c r="A1746">
        <v>1899</v>
      </c>
      <c r="B1746" t="s">
        <v>1818</v>
      </c>
      <c r="C1746" t="s">
        <v>1202</v>
      </c>
      <c r="D1746" t="s">
        <v>1203</v>
      </c>
      <c r="E1746" t="s">
        <v>1204</v>
      </c>
      <c r="F1746">
        <v>5877</v>
      </c>
      <c r="G1746" t="s">
        <v>691</v>
      </c>
      <c r="H1746" t="s">
        <v>1821</v>
      </c>
      <c r="I1746" t="s">
        <v>1205</v>
      </c>
      <c r="J1746">
        <v>2985</v>
      </c>
    </row>
    <row r="1747" spans="1:10" x14ac:dyDescent="0.3">
      <c r="A1747">
        <v>1900</v>
      </c>
      <c r="B1747" t="s">
        <v>1822</v>
      </c>
      <c r="C1747" t="s">
        <v>1202</v>
      </c>
      <c r="D1747" t="s">
        <v>159</v>
      </c>
      <c r="E1747" t="s">
        <v>159</v>
      </c>
      <c r="F1747">
        <v>5519</v>
      </c>
      <c r="G1747" t="s">
        <v>696</v>
      </c>
      <c r="I1747" t="s">
        <v>1205</v>
      </c>
      <c r="J1747">
        <v>1592</v>
      </c>
    </row>
    <row r="1748" spans="1:10" x14ac:dyDescent="0.3">
      <c r="A1748">
        <v>1900</v>
      </c>
      <c r="B1748" t="s">
        <v>1822</v>
      </c>
      <c r="C1748" t="s">
        <v>1202</v>
      </c>
      <c r="D1748" t="s">
        <v>159</v>
      </c>
      <c r="E1748" t="s">
        <v>159</v>
      </c>
      <c r="F1748">
        <v>5519</v>
      </c>
      <c r="G1748" t="s">
        <v>686</v>
      </c>
      <c r="I1748" t="s">
        <v>1205</v>
      </c>
      <c r="J1748">
        <v>118</v>
      </c>
    </row>
    <row r="1749" spans="1:10" x14ac:dyDescent="0.3">
      <c r="A1749">
        <v>1900</v>
      </c>
      <c r="B1749" t="s">
        <v>1822</v>
      </c>
      <c r="C1749" t="s">
        <v>1202</v>
      </c>
      <c r="D1749" t="s">
        <v>159</v>
      </c>
      <c r="E1749" t="s">
        <v>159</v>
      </c>
      <c r="F1749">
        <v>5519</v>
      </c>
      <c r="G1749" t="s">
        <v>701</v>
      </c>
      <c r="I1749" t="s">
        <v>1205</v>
      </c>
      <c r="J1749">
        <v>1</v>
      </c>
    </row>
    <row r="1750" spans="1:10" x14ac:dyDescent="0.3">
      <c r="A1750">
        <v>1900</v>
      </c>
      <c r="B1750" t="s">
        <v>1822</v>
      </c>
      <c r="C1750" t="s">
        <v>1202</v>
      </c>
      <c r="D1750" t="s">
        <v>159</v>
      </c>
      <c r="E1750" t="s">
        <v>159</v>
      </c>
      <c r="F1750">
        <v>5519</v>
      </c>
      <c r="G1750" t="s">
        <v>700</v>
      </c>
      <c r="H1750" t="s">
        <v>1588</v>
      </c>
      <c r="I1750" t="s">
        <v>1205</v>
      </c>
      <c r="J1750">
        <v>680</v>
      </c>
    </row>
    <row r="1751" spans="1:10" x14ac:dyDescent="0.3">
      <c r="A1751">
        <v>1900</v>
      </c>
      <c r="B1751" t="s">
        <v>1822</v>
      </c>
      <c r="C1751" t="s">
        <v>1202</v>
      </c>
      <c r="D1751" t="s">
        <v>159</v>
      </c>
      <c r="E1751" t="s">
        <v>159</v>
      </c>
      <c r="F1751">
        <v>5519</v>
      </c>
      <c r="G1751" t="s">
        <v>698</v>
      </c>
      <c r="I1751" t="s">
        <v>1205</v>
      </c>
      <c r="J1751">
        <v>425</v>
      </c>
    </row>
    <row r="1752" spans="1:10" x14ac:dyDescent="0.3">
      <c r="A1752">
        <v>1923</v>
      </c>
      <c r="B1752" t="s">
        <v>1823</v>
      </c>
      <c r="C1752" t="s">
        <v>1202</v>
      </c>
      <c r="D1752" t="s">
        <v>1203</v>
      </c>
      <c r="E1752" t="s">
        <v>1204</v>
      </c>
      <c r="F1752">
        <v>5777</v>
      </c>
      <c r="G1752" t="s">
        <v>702</v>
      </c>
      <c r="I1752" t="s">
        <v>1205</v>
      </c>
      <c r="J1752">
        <v>225</v>
      </c>
    </row>
    <row r="1753" spans="1:10" x14ac:dyDescent="0.3">
      <c r="A1753">
        <v>1923</v>
      </c>
      <c r="B1753" t="s">
        <v>1823</v>
      </c>
      <c r="C1753" t="s">
        <v>1202</v>
      </c>
      <c r="D1753" t="s">
        <v>1203</v>
      </c>
      <c r="E1753" t="s">
        <v>1204</v>
      </c>
      <c r="F1753">
        <v>5777</v>
      </c>
      <c r="G1753" t="s">
        <v>687</v>
      </c>
      <c r="I1753" t="s">
        <v>1205</v>
      </c>
      <c r="J1753">
        <v>0</v>
      </c>
    </row>
    <row r="1754" spans="1:10" x14ac:dyDescent="0.3">
      <c r="A1754">
        <v>1923</v>
      </c>
      <c r="B1754" t="s">
        <v>1823</v>
      </c>
      <c r="C1754" t="s">
        <v>1202</v>
      </c>
      <c r="D1754" t="s">
        <v>1203</v>
      </c>
      <c r="E1754" t="s">
        <v>1204</v>
      </c>
      <c r="F1754">
        <v>5777</v>
      </c>
      <c r="G1754" t="s">
        <v>700</v>
      </c>
      <c r="I1754" t="s">
        <v>1205</v>
      </c>
      <c r="J1754">
        <v>392</v>
      </c>
    </row>
    <row r="1755" spans="1:10" x14ac:dyDescent="0.3">
      <c r="A1755">
        <v>1923</v>
      </c>
      <c r="B1755" t="s">
        <v>1823</v>
      </c>
      <c r="C1755" t="s">
        <v>1202</v>
      </c>
      <c r="D1755" t="s">
        <v>1203</v>
      </c>
      <c r="E1755" t="s">
        <v>1204</v>
      </c>
      <c r="F1755">
        <v>5777</v>
      </c>
      <c r="G1755" t="s">
        <v>696</v>
      </c>
      <c r="I1755" t="s">
        <v>1205</v>
      </c>
      <c r="J1755">
        <v>781</v>
      </c>
    </row>
    <row r="1756" spans="1:10" x14ac:dyDescent="0.3">
      <c r="A1756">
        <v>1923</v>
      </c>
      <c r="B1756" t="s">
        <v>1823</v>
      </c>
      <c r="C1756" t="s">
        <v>1202</v>
      </c>
      <c r="D1756" t="s">
        <v>1203</v>
      </c>
      <c r="E1756" t="s">
        <v>1204</v>
      </c>
      <c r="F1756">
        <v>5777</v>
      </c>
      <c r="G1756" t="s">
        <v>698</v>
      </c>
      <c r="I1756" t="s">
        <v>1205</v>
      </c>
      <c r="J1756">
        <v>214</v>
      </c>
    </row>
    <row r="1757" spans="1:10" x14ac:dyDescent="0.3">
      <c r="A1757">
        <v>1925</v>
      </c>
      <c r="B1757" t="s">
        <v>1824</v>
      </c>
      <c r="C1757" t="s">
        <v>1202</v>
      </c>
      <c r="D1757" t="s">
        <v>1203</v>
      </c>
      <c r="E1757" t="s">
        <v>1204</v>
      </c>
      <c r="F1757">
        <v>6160</v>
      </c>
      <c r="G1757" t="s">
        <v>686</v>
      </c>
      <c r="H1757" t="s">
        <v>1825</v>
      </c>
      <c r="I1757" t="s">
        <v>1205</v>
      </c>
      <c r="J1757">
        <v>1192</v>
      </c>
    </row>
    <row r="1758" spans="1:10" x14ac:dyDescent="0.3">
      <c r="A1758">
        <v>1925</v>
      </c>
      <c r="B1758" t="s">
        <v>1824</v>
      </c>
      <c r="C1758" t="s">
        <v>1202</v>
      </c>
      <c r="D1758" t="s">
        <v>1203</v>
      </c>
      <c r="E1758" t="s">
        <v>1204</v>
      </c>
      <c r="F1758">
        <v>6160</v>
      </c>
      <c r="G1758" t="s">
        <v>687</v>
      </c>
      <c r="H1758" t="s">
        <v>1826</v>
      </c>
      <c r="I1758" t="s">
        <v>1205</v>
      </c>
      <c r="J1758">
        <v>23</v>
      </c>
    </row>
    <row r="1759" spans="1:10" x14ac:dyDescent="0.3">
      <c r="A1759">
        <v>1925</v>
      </c>
      <c r="B1759" t="s">
        <v>1824</v>
      </c>
      <c r="C1759" t="s">
        <v>1202</v>
      </c>
      <c r="D1759" t="s">
        <v>1203</v>
      </c>
      <c r="E1759" t="s">
        <v>1204</v>
      </c>
      <c r="F1759">
        <v>6160</v>
      </c>
      <c r="G1759" t="s">
        <v>702</v>
      </c>
      <c r="I1759" t="s">
        <v>1205</v>
      </c>
      <c r="J1759">
        <v>915</v>
      </c>
    </row>
    <row r="1760" spans="1:10" x14ac:dyDescent="0.3">
      <c r="A1760">
        <v>1925</v>
      </c>
      <c r="B1760" t="s">
        <v>1824</v>
      </c>
      <c r="C1760" t="s">
        <v>1202</v>
      </c>
      <c r="D1760" t="s">
        <v>1203</v>
      </c>
      <c r="E1760" t="s">
        <v>1204</v>
      </c>
      <c r="F1760">
        <v>6160</v>
      </c>
      <c r="G1760" t="s">
        <v>703</v>
      </c>
      <c r="I1760" t="s">
        <v>1205</v>
      </c>
      <c r="J1760">
        <v>152</v>
      </c>
    </row>
    <row r="1761" spans="1:10" x14ac:dyDescent="0.3">
      <c r="A1761">
        <v>1925</v>
      </c>
      <c r="B1761" t="s">
        <v>1824</v>
      </c>
      <c r="C1761" t="s">
        <v>1202</v>
      </c>
      <c r="D1761" t="s">
        <v>1203</v>
      </c>
      <c r="E1761" t="s">
        <v>1204</v>
      </c>
      <c r="F1761">
        <v>6160</v>
      </c>
      <c r="G1761" t="s">
        <v>701</v>
      </c>
      <c r="I1761" t="s">
        <v>1205</v>
      </c>
      <c r="J1761">
        <v>889</v>
      </c>
    </row>
    <row r="1762" spans="1:10" x14ac:dyDescent="0.3">
      <c r="A1762">
        <v>1925</v>
      </c>
      <c r="B1762" t="s">
        <v>1824</v>
      </c>
      <c r="C1762" t="s">
        <v>1202</v>
      </c>
      <c r="D1762" t="s">
        <v>1203</v>
      </c>
      <c r="E1762" t="s">
        <v>1204</v>
      </c>
      <c r="F1762">
        <v>6160</v>
      </c>
      <c r="G1762" t="s">
        <v>698</v>
      </c>
      <c r="I1762" t="s">
        <v>1205</v>
      </c>
      <c r="J1762">
        <v>1184</v>
      </c>
    </row>
    <row r="1763" spans="1:10" x14ac:dyDescent="0.3">
      <c r="A1763">
        <v>1925</v>
      </c>
      <c r="B1763" t="s">
        <v>1824</v>
      </c>
      <c r="C1763" t="s">
        <v>1202</v>
      </c>
      <c r="D1763" t="s">
        <v>1203</v>
      </c>
      <c r="E1763" t="s">
        <v>1204</v>
      </c>
      <c r="F1763">
        <v>6160</v>
      </c>
      <c r="G1763" t="s">
        <v>700</v>
      </c>
      <c r="I1763" t="s">
        <v>1205</v>
      </c>
      <c r="J1763">
        <v>479</v>
      </c>
    </row>
    <row r="1764" spans="1:10" x14ac:dyDescent="0.3">
      <c r="A1764">
        <v>1925</v>
      </c>
      <c r="B1764" t="s">
        <v>1824</v>
      </c>
      <c r="C1764" t="s">
        <v>1202</v>
      </c>
      <c r="D1764" t="s">
        <v>1203</v>
      </c>
      <c r="E1764" t="s">
        <v>1204</v>
      </c>
      <c r="F1764">
        <v>6160</v>
      </c>
      <c r="G1764" t="s">
        <v>696</v>
      </c>
      <c r="I1764" t="s">
        <v>1205</v>
      </c>
      <c r="J1764">
        <v>4399</v>
      </c>
    </row>
    <row r="1765" spans="1:10" x14ac:dyDescent="0.3">
      <c r="A1765">
        <v>1927</v>
      </c>
      <c r="B1765" t="s">
        <v>771</v>
      </c>
      <c r="C1765" t="s">
        <v>1202</v>
      </c>
      <c r="D1765" t="s">
        <v>1203</v>
      </c>
      <c r="E1765" t="s">
        <v>1204</v>
      </c>
      <c r="F1765">
        <v>6885</v>
      </c>
      <c r="G1765" t="s">
        <v>686</v>
      </c>
      <c r="I1765" t="s">
        <v>1205</v>
      </c>
      <c r="J1765">
        <v>2778</v>
      </c>
    </row>
    <row r="1766" spans="1:10" x14ac:dyDescent="0.3">
      <c r="A1766">
        <v>1927</v>
      </c>
      <c r="B1766" t="s">
        <v>771</v>
      </c>
      <c r="C1766" t="s">
        <v>1202</v>
      </c>
      <c r="D1766" t="s">
        <v>1203</v>
      </c>
      <c r="E1766" t="s">
        <v>1204</v>
      </c>
      <c r="F1766">
        <v>6885</v>
      </c>
      <c r="G1766" t="s">
        <v>698</v>
      </c>
      <c r="I1766" t="s">
        <v>1205</v>
      </c>
      <c r="J1766">
        <v>2212</v>
      </c>
    </row>
    <row r="1767" spans="1:10" x14ac:dyDescent="0.3">
      <c r="A1767">
        <v>1927</v>
      </c>
      <c r="B1767" t="s">
        <v>771</v>
      </c>
      <c r="C1767" t="s">
        <v>1202</v>
      </c>
      <c r="D1767" t="s">
        <v>1203</v>
      </c>
      <c r="E1767" t="s">
        <v>1204</v>
      </c>
      <c r="F1767">
        <v>6885</v>
      </c>
      <c r="G1767" t="s">
        <v>700</v>
      </c>
      <c r="I1767" t="s">
        <v>1205</v>
      </c>
      <c r="J1767">
        <v>2841</v>
      </c>
    </row>
    <row r="1768" spans="1:10" x14ac:dyDescent="0.3">
      <c r="A1768">
        <v>1927</v>
      </c>
      <c r="B1768" t="s">
        <v>771</v>
      </c>
      <c r="C1768" t="s">
        <v>1202</v>
      </c>
      <c r="D1768" t="s">
        <v>1203</v>
      </c>
      <c r="E1768" t="s">
        <v>1204</v>
      </c>
      <c r="F1768">
        <v>6885</v>
      </c>
      <c r="G1768" t="s">
        <v>701</v>
      </c>
      <c r="I1768" t="s">
        <v>1205</v>
      </c>
      <c r="J1768">
        <v>449</v>
      </c>
    </row>
    <row r="1769" spans="1:10" x14ac:dyDescent="0.3">
      <c r="A1769">
        <v>1927</v>
      </c>
      <c r="B1769" t="s">
        <v>771</v>
      </c>
      <c r="C1769" t="s">
        <v>1202</v>
      </c>
      <c r="D1769" t="s">
        <v>1203</v>
      </c>
      <c r="E1769" t="s">
        <v>1204</v>
      </c>
      <c r="F1769">
        <v>6885</v>
      </c>
      <c r="G1769" t="s">
        <v>703</v>
      </c>
      <c r="H1769" t="s">
        <v>1414</v>
      </c>
      <c r="I1769" t="s">
        <v>1205</v>
      </c>
      <c r="J1769">
        <v>929</v>
      </c>
    </row>
    <row r="1770" spans="1:10" x14ac:dyDescent="0.3">
      <c r="A1770">
        <v>1927</v>
      </c>
      <c r="B1770" t="s">
        <v>771</v>
      </c>
      <c r="C1770" t="s">
        <v>1202</v>
      </c>
      <c r="D1770" t="s">
        <v>1203</v>
      </c>
      <c r="E1770" t="s">
        <v>1204</v>
      </c>
      <c r="F1770">
        <v>6885</v>
      </c>
      <c r="G1770" t="s">
        <v>702</v>
      </c>
      <c r="I1770" t="s">
        <v>1205</v>
      </c>
      <c r="J1770">
        <v>2858</v>
      </c>
    </row>
    <row r="1771" spans="1:10" x14ac:dyDescent="0.3">
      <c r="A1771">
        <v>1927</v>
      </c>
      <c r="B1771" t="s">
        <v>771</v>
      </c>
      <c r="C1771" t="s">
        <v>1202</v>
      </c>
      <c r="D1771" t="s">
        <v>1203</v>
      </c>
      <c r="E1771" t="s">
        <v>1204</v>
      </c>
      <c r="F1771">
        <v>6885</v>
      </c>
      <c r="G1771" t="s">
        <v>687</v>
      </c>
      <c r="H1771" t="s">
        <v>1827</v>
      </c>
      <c r="I1771" t="s">
        <v>1210</v>
      </c>
      <c r="J1771">
        <v>72548</v>
      </c>
    </row>
    <row r="1772" spans="1:10" x14ac:dyDescent="0.3">
      <c r="A1772">
        <v>1927</v>
      </c>
      <c r="B1772" t="s">
        <v>771</v>
      </c>
      <c r="C1772" t="s">
        <v>1202</v>
      </c>
      <c r="D1772" t="s">
        <v>1203</v>
      </c>
      <c r="E1772" t="s">
        <v>1204</v>
      </c>
      <c r="F1772">
        <v>6885</v>
      </c>
      <c r="G1772" t="s">
        <v>696</v>
      </c>
      <c r="I1772" t="s">
        <v>1205</v>
      </c>
      <c r="J1772">
        <v>16610</v>
      </c>
    </row>
    <row r="1773" spans="1:10" x14ac:dyDescent="0.3">
      <c r="A1773">
        <v>1927</v>
      </c>
      <c r="B1773" t="s">
        <v>771</v>
      </c>
      <c r="C1773" t="s">
        <v>1202</v>
      </c>
      <c r="D1773" t="s">
        <v>1203</v>
      </c>
      <c r="E1773" t="s">
        <v>1204</v>
      </c>
      <c r="F1773">
        <v>6885</v>
      </c>
      <c r="G1773" t="s">
        <v>687</v>
      </c>
      <c r="H1773" t="s">
        <v>1525</v>
      </c>
      <c r="I1773" t="s">
        <v>1205</v>
      </c>
      <c r="J1773">
        <v>388</v>
      </c>
    </row>
    <row r="1774" spans="1:10" x14ac:dyDescent="0.3">
      <c r="A1774">
        <v>1940</v>
      </c>
      <c r="B1774" t="s">
        <v>1828</v>
      </c>
      <c r="C1774" t="s">
        <v>1202</v>
      </c>
      <c r="D1774" t="s">
        <v>159</v>
      </c>
      <c r="E1774" t="s">
        <v>159</v>
      </c>
      <c r="F1774">
        <v>7213</v>
      </c>
      <c r="G1774" t="s">
        <v>696</v>
      </c>
      <c r="I1774" t="s">
        <v>1205</v>
      </c>
      <c r="J1774">
        <v>7904</v>
      </c>
    </row>
    <row r="1775" spans="1:10" x14ac:dyDescent="0.3">
      <c r="A1775">
        <v>1940</v>
      </c>
      <c r="B1775" t="s">
        <v>1828</v>
      </c>
      <c r="C1775" t="s">
        <v>1202</v>
      </c>
      <c r="D1775" t="s">
        <v>159</v>
      </c>
      <c r="E1775" t="s">
        <v>159</v>
      </c>
      <c r="F1775">
        <v>7213</v>
      </c>
      <c r="G1775" t="s">
        <v>698</v>
      </c>
      <c r="I1775" t="s">
        <v>1205</v>
      </c>
      <c r="J1775">
        <v>1299</v>
      </c>
    </row>
    <row r="1776" spans="1:10" x14ac:dyDescent="0.3">
      <c r="A1776">
        <v>1940</v>
      </c>
      <c r="B1776" t="s">
        <v>1828</v>
      </c>
      <c r="C1776" t="s">
        <v>1202</v>
      </c>
      <c r="D1776" t="s">
        <v>159</v>
      </c>
      <c r="E1776" t="s">
        <v>159</v>
      </c>
      <c r="F1776">
        <v>7213</v>
      </c>
      <c r="G1776" t="s">
        <v>700</v>
      </c>
      <c r="I1776" t="s">
        <v>1205</v>
      </c>
      <c r="J1776">
        <v>1215</v>
      </c>
    </row>
    <row r="1777" spans="1:10" x14ac:dyDescent="0.3">
      <c r="A1777">
        <v>1940</v>
      </c>
      <c r="B1777" t="s">
        <v>1828</v>
      </c>
      <c r="C1777" t="s">
        <v>1202</v>
      </c>
      <c r="D1777" t="s">
        <v>159</v>
      </c>
      <c r="E1777" t="s">
        <v>159</v>
      </c>
      <c r="F1777">
        <v>7213</v>
      </c>
      <c r="G1777" t="s">
        <v>701</v>
      </c>
      <c r="I1777" t="s">
        <v>1205</v>
      </c>
      <c r="J1777">
        <v>58</v>
      </c>
    </row>
    <row r="1778" spans="1:10" x14ac:dyDescent="0.3">
      <c r="A1778">
        <v>1940</v>
      </c>
      <c r="B1778" t="s">
        <v>1828</v>
      </c>
      <c r="C1778" t="s">
        <v>1202</v>
      </c>
      <c r="D1778" t="s">
        <v>159</v>
      </c>
      <c r="E1778" t="s">
        <v>159</v>
      </c>
      <c r="F1778">
        <v>7213</v>
      </c>
      <c r="G1778" t="s">
        <v>702</v>
      </c>
      <c r="I1778" t="s">
        <v>1205</v>
      </c>
      <c r="J1778">
        <v>2996</v>
      </c>
    </row>
    <row r="1779" spans="1:10" x14ac:dyDescent="0.3">
      <c r="A1779">
        <v>1940</v>
      </c>
      <c r="B1779" t="s">
        <v>1828</v>
      </c>
      <c r="C1779" t="s">
        <v>1202</v>
      </c>
      <c r="D1779" t="s">
        <v>159</v>
      </c>
      <c r="E1779" t="s">
        <v>159</v>
      </c>
      <c r="F1779">
        <v>7213</v>
      </c>
      <c r="G1779" t="s">
        <v>686</v>
      </c>
      <c r="I1779" t="s">
        <v>1205</v>
      </c>
      <c r="J1779">
        <v>1308</v>
      </c>
    </row>
    <row r="1780" spans="1:10" x14ac:dyDescent="0.3">
      <c r="A1780">
        <v>1945</v>
      </c>
      <c r="B1780" t="s">
        <v>1829</v>
      </c>
      <c r="C1780" t="s">
        <v>1202</v>
      </c>
      <c r="D1780" t="s">
        <v>159</v>
      </c>
      <c r="E1780" t="s">
        <v>159</v>
      </c>
      <c r="F1780">
        <v>5546</v>
      </c>
      <c r="G1780" t="s">
        <v>686</v>
      </c>
      <c r="I1780" t="s">
        <v>1205</v>
      </c>
      <c r="J1780">
        <v>1020</v>
      </c>
    </row>
    <row r="1781" spans="1:10" x14ac:dyDescent="0.3">
      <c r="A1781">
        <v>1945</v>
      </c>
      <c r="B1781" t="s">
        <v>1829</v>
      </c>
      <c r="C1781" t="s">
        <v>1202</v>
      </c>
      <c r="D1781" t="s">
        <v>159</v>
      </c>
      <c r="E1781" t="s">
        <v>159</v>
      </c>
      <c r="F1781">
        <v>5546</v>
      </c>
      <c r="G1781" t="s">
        <v>702</v>
      </c>
      <c r="I1781" t="s">
        <v>1205</v>
      </c>
      <c r="J1781">
        <v>1042</v>
      </c>
    </row>
    <row r="1782" spans="1:10" x14ac:dyDescent="0.3">
      <c r="A1782">
        <v>1945</v>
      </c>
      <c r="B1782" t="s">
        <v>1829</v>
      </c>
      <c r="C1782" t="s">
        <v>1202</v>
      </c>
      <c r="D1782" t="s">
        <v>159</v>
      </c>
      <c r="E1782" t="s">
        <v>159</v>
      </c>
      <c r="F1782">
        <v>5546</v>
      </c>
      <c r="G1782" t="s">
        <v>703</v>
      </c>
      <c r="I1782" t="s">
        <v>1205</v>
      </c>
      <c r="J1782">
        <v>1522</v>
      </c>
    </row>
    <row r="1783" spans="1:10" x14ac:dyDescent="0.3">
      <c r="A1783">
        <v>1945</v>
      </c>
      <c r="B1783" t="s">
        <v>1829</v>
      </c>
      <c r="C1783" t="s">
        <v>1202</v>
      </c>
      <c r="D1783" t="s">
        <v>159</v>
      </c>
      <c r="E1783" t="s">
        <v>159</v>
      </c>
      <c r="F1783">
        <v>5546</v>
      </c>
      <c r="G1783" t="s">
        <v>700</v>
      </c>
      <c r="I1783" t="s">
        <v>1205</v>
      </c>
      <c r="J1783">
        <v>3140</v>
      </c>
    </row>
    <row r="1784" spans="1:10" x14ac:dyDescent="0.3">
      <c r="A1784">
        <v>1945</v>
      </c>
      <c r="B1784" t="s">
        <v>1829</v>
      </c>
      <c r="C1784" t="s">
        <v>1202</v>
      </c>
      <c r="D1784" t="s">
        <v>159</v>
      </c>
      <c r="E1784" t="s">
        <v>159</v>
      </c>
      <c r="F1784">
        <v>5546</v>
      </c>
      <c r="G1784" t="s">
        <v>698</v>
      </c>
      <c r="I1784" t="s">
        <v>1205</v>
      </c>
      <c r="J1784">
        <v>3670</v>
      </c>
    </row>
    <row r="1785" spans="1:10" x14ac:dyDescent="0.3">
      <c r="A1785">
        <v>1945</v>
      </c>
      <c r="B1785" t="s">
        <v>1829</v>
      </c>
      <c r="C1785" t="s">
        <v>1202</v>
      </c>
      <c r="D1785" t="s">
        <v>159</v>
      </c>
      <c r="E1785" t="s">
        <v>159</v>
      </c>
      <c r="F1785">
        <v>5546</v>
      </c>
      <c r="G1785" t="s">
        <v>696</v>
      </c>
      <c r="I1785" t="s">
        <v>1205</v>
      </c>
      <c r="J1785">
        <v>9078</v>
      </c>
    </row>
    <row r="1786" spans="1:10" x14ac:dyDescent="0.3">
      <c r="A1786">
        <v>1953</v>
      </c>
      <c r="B1786" t="s">
        <v>1830</v>
      </c>
      <c r="C1786" t="s">
        <v>1202</v>
      </c>
      <c r="D1786" t="s">
        <v>159</v>
      </c>
      <c r="E1786" t="s">
        <v>159</v>
      </c>
      <c r="F1786">
        <v>5730</v>
      </c>
      <c r="G1786" t="s">
        <v>696</v>
      </c>
      <c r="H1786" t="s">
        <v>1205</v>
      </c>
      <c r="I1786" t="s">
        <v>1205</v>
      </c>
      <c r="J1786">
        <v>953</v>
      </c>
    </row>
    <row r="1787" spans="1:10" x14ac:dyDescent="0.3">
      <c r="A1787">
        <v>1953</v>
      </c>
      <c r="B1787" t="s">
        <v>1830</v>
      </c>
      <c r="C1787" t="s">
        <v>1202</v>
      </c>
      <c r="D1787" t="s">
        <v>159</v>
      </c>
      <c r="E1787" t="s">
        <v>159</v>
      </c>
      <c r="F1787">
        <v>5730</v>
      </c>
      <c r="G1787" t="s">
        <v>686</v>
      </c>
      <c r="H1787" t="s">
        <v>1205</v>
      </c>
      <c r="I1787" t="s">
        <v>1205</v>
      </c>
      <c r="J1787">
        <v>21</v>
      </c>
    </row>
    <row r="1788" spans="1:10" x14ac:dyDescent="0.3">
      <c r="A1788">
        <v>1953</v>
      </c>
      <c r="B1788" t="s">
        <v>1830</v>
      </c>
      <c r="C1788" t="s">
        <v>1202</v>
      </c>
      <c r="D1788" t="s">
        <v>159</v>
      </c>
      <c r="E1788" t="s">
        <v>159</v>
      </c>
      <c r="F1788">
        <v>5730</v>
      </c>
      <c r="G1788" t="s">
        <v>684</v>
      </c>
      <c r="H1788" t="s">
        <v>1205</v>
      </c>
      <c r="I1788" t="s">
        <v>1205</v>
      </c>
      <c r="J1788">
        <v>351</v>
      </c>
    </row>
    <row r="1789" spans="1:10" x14ac:dyDescent="0.3">
      <c r="A1789">
        <v>1953</v>
      </c>
      <c r="B1789" t="s">
        <v>1830</v>
      </c>
      <c r="C1789" t="s">
        <v>1202</v>
      </c>
      <c r="D1789" t="s">
        <v>159</v>
      </c>
      <c r="E1789" t="s">
        <v>159</v>
      </c>
      <c r="F1789">
        <v>5730</v>
      </c>
      <c r="G1789" t="s">
        <v>701</v>
      </c>
      <c r="H1789" t="s">
        <v>1205</v>
      </c>
      <c r="I1789" t="s">
        <v>1205</v>
      </c>
      <c r="J1789">
        <v>14</v>
      </c>
    </row>
    <row r="1790" spans="1:10" x14ac:dyDescent="0.3">
      <c r="A1790">
        <v>1953</v>
      </c>
      <c r="B1790" t="s">
        <v>1830</v>
      </c>
      <c r="C1790" t="s">
        <v>1202</v>
      </c>
      <c r="D1790" t="s">
        <v>159</v>
      </c>
      <c r="E1790" t="s">
        <v>159</v>
      </c>
      <c r="F1790">
        <v>5730</v>
      </c>
      <c r="G1790" t="s">
        <v>700</v>
      </c>
      <c r="H1790" t="s">
        <v>1205</v>
      </c>
      <c r="I1790" t="s">
        <v>1205</v>
      </c>
      <c r="J1790">
        <v>154</v>
      </c>
    </row>
    <row r="1791" spans="1:10" x14ac:dyDescent="0.3">
      <c r="A1791">
        <v>1953</v>
      </c>
      <c r="B1791" t="s">
        <v>1830</v>
      </c>
      <c r="C1791" t="s">
        <v>1202</v>
      </c>
      <c r="D1791" t="s">
        <v>159</v>
      </c>
      <c r="E1791" t="s">
        <v>159</v>
      </c>
      <c r="F1791">
        <v>5730</v>
      </c>
      <c r="G1791" t="s">
        <v>698</v>
      </c>
      <c r="H1791" t="s">
        <v>1205</v>
      </c>
      <c r="I1791" t="s">
        <v>1205</v>
      </c>
      <c r="J1791">
        <v>372</v>
      </c>
    </row>
    <row r="1792" spans="1:10" x14ac:dyDescent="0.3">
      <c r="A1792">
        <v>1956</v>
      </c>
      <c r="B1792" t="s">
        <v>1831</v>
      </c>
      <c r="C1792" t="s">
        <v>1202</v>
      </c>
      <c r="D1792" t="s">
        <v>1203</v>
      </c>
      <c r="E1792" t="s">
        <v>1204</v>
      </c>
      <c r="F1792">
        <v>8024</v>
      </c>
      <c r="G1792" t="s">
        <v>698</v>
      </c>
      <c r="I1792" t="s">
        <v>1205</v>
      </c>
      <c r="J1792">
        <v>1196.8662615000001</v>
      </c>
    </row>
    <row r="1793" spans="1:10" x14ac:dyDescent="0.3">
      <c r="A1793">
        <v>1956</v>
      </c>
      <c r="B1793" t="s">
        <v>1831</v>
      </c>
      <c r="C1793" t="s">
        <v>1202</v>
      </c>
      <c r="D1793" t="s">
        <v>1203</v>
      </c>
      <c r="E1793" t="s">
        <v>1204</v>
      </c>
      <c r="F1793">
        <v>8024</v>
      </c>
      <c r="G1793" t="s">
        <v>696</v>
      </c>
      <c r="I1793" t="s">
        <v>1205</v>
      </c>
      <c r="J1793">
        <v>6214.4978962499999</v>
      </c>
    </row>
    <row r="1794" spans="1:10" x14ac:dyDescent="0.3">
      <c r="A1794">
        <v>1956</v>
      </c>
      <c r="B1794" t="s">
        <v>1831</v>
      </c>
      <c r="C1794" t="s">
        <v>1202</v>
      </c>
      <c r="D1794" t="s">
        <v>1203</v>
      </c>
      <c r="E1794" t="s">
        <v>1204</v>
      </c>
      <c r="F1794">
        <v>8024</v>
      </c>
      <c r="G1794" t="s">
        <v>700</v>
      </c>
      <c r="I1794" t="s">
        <v>1205</v>
      </c>
      <c r="J1794">
        <v>1374.8617568</v>
      </c>
    </row>
    <row r="1795" spans="1:10" x14ac:dyDescent="0.3">
      <c r="A1795">
        <v>1956</v>
      </c>
      <c r="B1795" t="s">
        <v>1831</v>
      </c>
      <c r="C1795" t="s">
        <v>1202</v>
      </c>
      <c r="D1795" t="s">
        <v>1203</v>
      </c>
      <c r="E1795" t="s">
        <v>1204</v>
      </c>
      <c r="F1795">
        <v>8024</v>
      </c>
      <c r="G1795" t="s">
        <v>701</v>
      </c>
      <c r="I1795" t="s">
        <v>1205</v>
      </c>
      <c r="J1795">
        <v>30.688878500000001</v>
      </c>
    </row>
    <row r="1796" spans="1:10" x14ac:dyDescent="0.3">
      <c r="A1796">
        <v>1956</v>
      </c>
      <c r="B1796" t="s">
        <v>1831</v>
      </c>
      <c r="C1796" t="s">
        <v>1202</v>
      </c>
      <c r="D1796" t="s">
        <v>1203</v>
      </c>
      <c r="E1796" t="s">
        <v>1204</v>
      </c>
      <c r="F1796">
        <v>8024</v>
      </c>
      <c r="G1796" t="s">
        <v>702</v>
      </c>
      <c r="I1796" t="s">
        <v>1205</v>
      </c>
      <c r="J1796">
        <v>684.36199054999997</v>
      </c>
    </row>
    <row r="1797" spans="1:10" x14ac:dyDescent="0.3">
      <c r="A1797">
        <v>1956</v>
      </c>
      <c r="B1797" t="s">
        <v>1831</v>
      </c>
      <c r="C1797" t="s">
        <v>1202</v>
      </c>
      <c r="D1797" t="s">
        <v>1203</v>
      </c>
      <c r="E1797" t="s">
        <v>1204</v>
      </c>
      <c r="F1797">
        <v>8024</v>
      </c>
      <c r="G1797" t="s">
        <v>686</v>
      </c>
      <c r="I1797" t="s">
        <v>1205</v>
      </c>
      <c r="J1797">
        <v>1236.76180355</v>
      </c>
    </row>
    <row r="1798" spans="1:10" x14ac:dyDescent="0.3">
      <c r="A1798">
        <v>1956</v>
      </c>
      <c r="B1798" t="s">
        <v>1831</v>
      </c>
      <c r="C1798" t="s">
        <v>1202</v>
      </c>
      <c r="D1798" t="s">
        <v>1203</v>
      </c>
      <c r="E1798" t="s">
        <v>1204</v>
      </c>
      <c r="F1798">
        <v>8024</v>
      </c>
      <c r="G1798" t="s">
        <v>687</v>
      </c>
      <c r="I1798" t="s">
        <v>1205</v>
      </c>
      <c r="J1798">
        <v>454.19540180000001</v>
      </c>
    </row>
    <row r="1799" spans="1:10" x14ac:dyDescent="0.3">
      <c r="A1799">
        <v>1956</v>
      </c>
      <c r="B1799" t="s">
        <v>1831</v>
      </c>
      <c r="C1799" t="s">
        <v>1202</v>
      </c>
      <c r="D1799" t="s">
        <v>1203</v>
      </c>
      <c r="E1799" t="s">
        <v>1204</v>
      </c>
      <c r="F1799">
        <v>8024</v>
      </c>
      <c r="G1799" t="s">
        <v>684</v>
      </c>
      <c r="I1799" t="s">
        <v>1205</v>
      </c>
      <c r="J1799">
        <v>0</v>
      </c>
    </row>
    <row r="1800" spans="1:10" x14ac:dyDescent="0.3">
      <c r="A1800">
        <v>1964</v>
      </c>
      <c r="B1800" t="s">
        <v>1832</v>
      </c>
      <c r="C1800" t="s">
        <v>1202</v>
      </c>
      <c r="D1800" t="s">
        <v>1203</v>
      </c>
      <c r="E1800" t="s">
        <v>1204</v>
      </c>
      <c r="F1800">
        <v>5509</v>
      </c>
      <c r="G1800" t="s">
        <v>696</v>
      </c>
      <c r="I1800" t="s">
        <v>1205</v>
      </c>
      <c r="J1800">
        <v>5533</v>
      </c>
    </row>
    <row r="1801" spans="1:10" x14ac:dyDescent="0.3">
      <c r="A1801">
        <v>1964</v>
      </c>
      <c r="B1801" t="s">
        <v>1832</v>
      </c>
      <c r="C1801" t="s">
        <v>1202</v>
      </c>
      <c r="D1801" t="s">
        <v>1203</v>
      </c>
      <c r="E1801" t="s">
        <v>1204</v>
      </c>
      <c r="F1801">
        <v>5509</v>
      </c>
      <c r="G1801" t="s">
        <v>698</v>
      </c>
      <c r="I1801" t="s">
        <v>1205</v>
      </c>
      <c r="J1801">
        <v>425</v>
      </c>
    </row>
    <row r="1802" spans="1:10" x14ac:dyDescent="0.3">
      <c r="A1802">
        <v>1964</v>
      </c>
      <c r="B1802" t="s">
        <v>1832</v>
      </c>
      <c r="C1802" t="s">
        <v>1202</v>
      </c>
      <c r="D1802" t="s">
        <v>1203</v>
      </c>
      <c r="E1802" t="s">
        <v>1204</v>
      </c>
      <c r="F1802">
        <v>5509</v>
      </c>
      <c r="G1802" t="s">
        <v>700</v>
      </c>
      <c r="I1802" t="s">
        <v>1205</v>
      </c>
      <c r="J1802">
        <v>1168</v>
      </c>
    </row>
    <row r="1803" spans="1:10" x14ac:dyDescent="0.3">
      <c r="A1803">
        <v>1964</v>
      </c>
      <c r="B1803" t="s">
        <v>1832</v>
      </c>
      <c r="C1803" t="s">
        <v>1202</v>
      </c>
      <c r="D1803" t="s">
        <v>1203</v>
      </c>
      <c r="E1803" t="s">
        <v>1204</v>
      </c>
      <c r="F1803">
        <v>5509</v>
      </c>
      <c r="G1803" t="s">
        <v>701</v>
      </c>
      <c r="I1803" t="s">
        <v>1205</v>
      </c>
      <c r="J1803">
        <v>102</v>
      </c>
    </row>
    <row r="1804" spans="1:10" x14ac:dyDescent="0.3">
      <c r="A1804">
        <v>1964</v>
      </c>
      <c r="B1804" t="s">
        <v>1832</v>
      </c>
      <c r="C1804" t="s">
        <v>1202</v>
      </c>
      <c r="D1804" t="s">
        <v>1203</v>
      </c>
      <c r="E1804" t="s">
        <v>1204</v>
      </c>
      <c r="F1804">
        <v>5509</v>
      </c>
      <c r="G1804" t="s">
        <v>705</v>
      </c>
      <c r="H1804" t="s">
        <v>1833</v>
      </c>
      <c r="I1804" t="s">
        <v>1205</v>
      </c>
      <c r="J1804">
        <v>79</v>
      </c>
    </row>
    <row r="1805" spans="1:10" x14ac:dyDescent="0.3">
      <c r="A1805">
        <v>1964</v>
      </c>
      <c r="B1805" t="s">
        <v>1832</v>
      </c>
      <c r="C1805" t="s">
        <v>1202</v>
      </c>
      <c r="D1805" t="s">
        <v>1203</v>
      </c>
      <c r="E1805" t="s">
        <v>1204</v>
      </c>
      <c r="F1805">
        <v>5509</v>
      </c>
      <c r="G1805" t="s">
        <v>702</v>
      </c>
      <c r="H1805" t="s">
        <v>1834</v>
      </c>
      <c r="I1805" t="s">
        <v>1210</v>
      </c>
      <c r="J1805">
        <v>516</v>
      </c>
    </row>
    <row r="1806" spans="1:10" x14ac:dyDescent="0.3">
      <c r="A1806">
        <v>1964</v>
      </c>
      <c r="B1806" t="s">
        <v>1832</v>
      </c>
      <c r="C1806" t="s">
        <v>1202</v>
      </c>
      <c r="D1806" t="s">
        <v>1203</v>
      </c>
      <c r="E1806" t="s">
        <v>1204</v>
      </c>
      <c r="F1806">
        <v>5509</v>
      </c>
      <c r="G1806" t="s">
        <v>684</v>
      </c>
      <c r="I1806" t="s">
        <v>1205</v>
      </c>
      <c r="J1806">
        <v>36</v>
      </c>
    </row>
    <row r="1807" spans="1:10" x14ac:dyDescent="0.3">
      <c r="A1807">
        <v>1964</v>
      </c>
      <c r="B1807" t="s">
        <v>1832</v>
      </c>
      <c r="C1807" t="s">
        <v>1202</v>
      </c>
      <c r="D1807" t="s">
        <v>1203</v>
      </c>
      <c r="E1807" t="s">
        <v>1204</v>
      </c>
      <c r="F1807">
        <v>5509</v>
      </c>
      <c r="G1807" t="s">
        <v>686</v>
      </c>
      <c r="I1807" t="s">
        <v>1205</v>
      </c>
      <c r="J1807">
        <v>474</v>
      </c>
    </row>
    <row r="1808" spans="1:10" x14ac:dyDescent="0.3">
      <c r="A1808">
        <v>1964</v>
      </c>
      <c r="B1808" t="s">
        <v>1832</v>
      </c>
      <c r="C1808" t="s">
        <v>1202</v>
      </c>
      <c r="D1808" t="s">
        <v>1203</v>
      </c>
      <c r="E1808" t="s">
        <v>1204</v>
      </c>
      <c r="F1808">
        <v>5509</v>
      </c>
      <c r="G1808" t="s">
        <v>702</v>
      </c>
      <c r="I1808" t="s">
        <v>1205</v>
      </c>
      <c r="J1808">
        <v>441</v>
      </c>
    </row>
    <row r="1809" spans="1:10" x14ac:dyDescent="0.3">
      <c r="A1809">
        <v>1983</v>
      </c>
      <c r="B1809" t="s">
        <v>1835</v>
      </c>
      <c r="C1809" t="s">
        <v>1202</v>
      </c>
      <c r="D1809" t="s">
        <v>1203</v>
      </c>
      <c r="E1809" t="s">
        <v>1204</v>
      </c>
      <c r="F1809">
        <v>5745</v>
      </c>
      <c r="G1809" t="s">
        <v>686</v>
      </c>
      <c r="I1809" t="s">
        <v>1205</v>
      </c>
      <c r="J1809">
        <v>47</v>
      </c>
    </row>
    <row r="1810" spans="1:10" x14ac:dyDescent="0.3">
      <c r="A1810">
        <v>1983</v>
      </c>
      <c r="B1810" t="s">
        <v>1835</v>
      </c>
      <c r="C1810" t="s">
        <v>1202</v>
      </c>
      <c r="D1810" t="s">
        <v>1203</v>
      </c>
      <c r="E1810" t="s">
        <v>1204</v>
      </c>
      <c r="F1810">
        <v>5745</v>
      </c>
      <c r="G1810" t="s">
        <v>702</v>
      </c>
      <c r="I1810" t="s">
        <v>1205</v>
      </c>
      <c r="J1810">
        <v>223.3</v>
      </c>
    </row>
    <row r="1811" spans="1:10" x14ac:dyDescent="0.3">
      <c r="A1811">
        <v>1983</v>
      </c>
      <c r="B1811" t="s">
        <v>1835</v>
      </c>
      <c r="C1811" t="s">
        <v>1202</v>
      </c>
      <c r="D1811" t="s">
        <v>1203</v>
      </c>
      <c r="E1811" t="s">
        <v>1204</v>
      </c>
      <c r="F1811">
        <v>5745</v>
      </c>
      <c r="G1811" t="s">
        <v>696</v>
      </c>
      <c r="I1811" t="s">
        <v>1205</v>
      </c>
      <c r="J1811">
        <v>3667</v>
      </c>
    </row>
    <row r="1812" spans="1:10" x14ac:dyDescent="0.3">
      <c r="A1812">
        <v>1983</v>
      </c>
      <c r="B1812" t="s">
        <v>1835</v>
      </c>
      <c r="C1812" t="s">
        <v>1202</v>
      </c>
      <c r="D1812" t="s">
        <v>1203</v>
      </c>
      <c r="E1812" t="s">
        <v>1204</v>
      </c>
      <c r="F1812">
        <v>5745</v>
      </c>
      <c r="G1812" t="s">
        <v>698</v>
      </c>
      <c r="I1812" t="s">
        <v>1205</v>
      </c>
      <c r="J1812">
        <v>612.1</v>
      </c>
    </row>
    <row r="1813" spans="1:10" x14ac:dyDescent="0.3">
      <c r="A1813">
        <v>1983</v>
      </c>
      <c r="B1813" t="s">
        <v>1835</v>
      </c>
      <c r="C1813" t="s">
        <v>1202</v>
      </c>
      <c r="D1813" t="s">
        <v>1203</v>
      </c>
      <c r="E1813" t="s">
        <v>1204</v>
      </c>
      <c r="F1813">
        <v>5745</v>
      </c>
      <c r="G1813" t="s">
        <v>700</v>
      </c>
      <c r="I1813" t="s">
        <v>1205</v>
      </c>
      <c r="J1813">
        <v>175.5</v>
      </c>
    </row>
    <row r="1814" spans="1:10" x14ac:dyDescent="0.3">
      <c r="A1814">
        <v>1990</v>
      </c>
      <c r="B1814" t="s">
        <v>1836</v>
      </c>
      <c r="C1814" t="s">
        <v>1202</v>
      </c>
      <c r="D1814" t="s">
        <v>159</v>
      </c>
      <c r="E1814" t="s">
        <v>159</v>
      </c>
      <c r="F1814">
        <v>7651</v>
      </c>
      <c r="G1814" t="s">
        <v>700</v>
      </c>
      <c r="I1814" t="s">
        <v>1205</v>
      </c>
      <c r="J1814">
        <v>745</v>
      </c>
    </row>
    <row r="1815" spans="1:10" x14ac:dyDescent="0.3">
      <c r="A1815">
        <v>1990</v>
      </c>
      <c r="B1815" t="s">
        <v>1836</v>
      </c>
      <c r="C1815" t="s">
        <v>1202</v>
      </c>
      <c r="D1815" t="s">
        <v>159</v>
      </c>
      <c r="E1815" t="s">
        <v>159</v>
      </c>
      <c r="F1815">
        <v>7651</v>
      </c>
      <c r="G1815" t="s">
        <v>696</v>
      </c>
      <c r="I1815" t="s">
        <v>1205</v>
      </c>
      <c r="J1815">
        <v>3266</v>
      </c>
    </row>
    <row r="1816" spans="1:10" x14ac:dyDescent="0.3">
      <c r="A1816">
        <v>1990</v>
      </c>
      <c r="B1816" t="s">
        <v>1836</v>
      </c>
      <c r="C1816" t="s">
        <v>1202</v>
      </c>
      <c r="D1816" t="s">
        <v>159</v>
      </c>
      <c r="E1816" t="s">
        <v>159</v>
      </c>
      <c r="F1816">
        <v>7651</v>
      </c>
      <c r="G1816" t="s">
        <v>698</v>
      </c>
      <c r="I1816" t="s">
        <v>1205</v>
      </c>
      <c r="J1816">
        <v>280</v>
      </c>
    </row>
    <row r="1817" spans="1:10" x14ac:dyDescent="0.3">
      <c r="A1817">
        <v>1990</v>
      </c>
      <c r="B1817" t="s">
        <v>1836</v>
      </c>
      <c r="C1817" t="s">
        <v>1202</v>
      </c>
      <c r="D1817" t="s">
        <v>159</v>
      </c>
      <c r="E1817" t="s">
        <v>159</v>
      </c>
      <c r="F1817">
        <v>7651</v>
      </c>
      <c r="G1817" t="s">
        <v>703</v>
      </c>
      <c r="I1817" t="s">
        <v>1205</v>
      </c>
      <c r="J1817">
        <v>43</v>
      </c>
    </row>
    <row r="1818" spans="1:10" x14ac:dyDescent="0.3">
      <c r="A1818">
        <v>1990</v>
      </c>
      <c r="B1818" t="s">
        <v>1836</v>
      </c>
      <c r="C1818" t="s">
        <v>1202</v>
      </c>
      <c r="D1818" t="s">
        <v>159</v>
      </c>
      <c r="E1818" t="s">
        <v>159</v>
      </c>
      <c r="F1818">
        <v>7651</v>
      </c>
      <c r="G1818" t="s">
        <v>684</v>
      </c>
      <c r="I1818" t="s">
        <v>1205</v>
      </c>
      <c r="J1818">
        <v>8876</v>
      </c>
    </row>
    <row r="1819" spans="1:10" x14ac:dyDescent="0.3">
      <c r="A1819">
        <v>1990</v>
      </c>
      <c r="B1819" t="s">
        <v>1836</v>
      </c>
      <c r="C1819" t="s">
        <v>1202</v>
      </c>
      <c r="D1819" t="s">
        <v>159</v>
      </c>
      <c r="E1819" t="s">
        <v>159</v>
      </c>
      <c r="F1819">
        <v>7651</v>
      </c>
      <c r="G1819" t="s">
        <v>686</v>
      </c>
      <c r="H1819" t="s">
        <v>1837</v>
      </c>
      <c r="I1819" t="s">
        <v>1205</v>
      </c>
      <c r="J1819">
        <v>1087</v>
      </c>
    </row>
    <row r="1820" spans="1:10" x14ac:dyDescent="0.3">
      <c r="A1820">
        <v>1996</v>
      </c>
      <c r="B1820" t="s">
        <v>1838</v>
      </c>
      <c r="C1820" t="s">
        <v>1202</v>
      </c>
      <c r="D1820" t="s">
        <v>1203</v>
      </c>
      <c r="E1820" t="s">
        <v>1204</v>
      </c>
      <c r="F1820">
        <v>5798</v>
      </c>
      <c r="G1820" t="s">
        <v>684</v>
      </c>
      <c r="I1820" t="s">
        <v>1210</v>
      </c>
      <c r="J1820">
        <v>820</v>
      </c>
    </row>
    <row r="1821" spans="1:10" x14ac:dyDescent="0.3">
      <c r="A1821">
        <v>1996</v>
      </c>
      <c r="B1821" t="s">
        <v>1838</v>
      </c>
      <c r="C1821" t="s">
        <v>1202</v>
      </c>
      <c r="D1821" t="s">
        <v>1203</v>
      </c>
      <c r="E1821" t="s">
        <v>1204</v>
      </c>
      <c r="F1821">
        <v>5798</v>
      </c>
      <c r="G1821" t="s">
        <v>703</v>
      </c>
      <c r="I1821" t="s">
        <v>1205</v>
      </c>
      <c r="J1821">
        <v>223</v>
      </c>
    </row>
    <row r="1822" spans="1:10" x14ac:dyDescent="0.3">
      <c r="A1822">
        <v>1996</v>
      </c>
      <c r="B1822" t="s">
        <v>1838</v>
      </c>
      <c r="C1822" t="s">
        <v>1202</v>
      </c>
      <c r="D1822" t="s">
        <v>1203</v>
      </c>
      <c r="E1822" t="s">
        <v>1204</v>
      </c>
      <c r="F1822">
        <v>5798</v>
      </c>
      <c r="G1822" t="s">
        <v>698</v>
      </c>
      <c r="I1822" t="s">
        <v>1205</v>
      </c>
      <c r="J1822">
        <v>483</v>
      </c>
    </row>
    <row r="1823" spans="1:10" x14ac:dyDescent="0.3">
      <c r="A1823">
        <v>1996</v>
      </c>
      <c r="B1823" t="s">
        <v>1838</v>
      </c>
      <c r="C1823" t="s">
        <v>1202</v>
      </c>
      <c r="D1823" t="s">
        <v>1203</v>
      </c>
      <c r="E1823" t="s">
        <v>1204</v>
      </c>
      <c r="F1823">
        <v>5798</v>
      </c>
      <c r="G1823" t="s">
        <v>696</v>
      </c>
      <c r="I1823" t="s">
        <v>1205</v>
      </c>
      <c r="J1823">
        <v>2600</v>
      </c>
    </row>
    <row r="1824" spans="1:10" x14ac:dyDescent="0.3">
      <c r="A1824">
        <v>1996</v>
      </c>
      <c r="B1824" t="s">
        <v>1838</v>
      </c>
      <c r="C1824" t="s">
        <v>1202</v>
      </c>
      <c r="D1824" t="s">
        <v>1203</v>
      </c>
      <c r="E1824" t="s">
        <v>1204</v>
      </c>
      <c r="F1824">
        <v>5798</v>
      </c>
      <c r="G1824" t="s">
        <v>684</v>
      </c>
      <c r="I1824" t="s">
        <v>1205</v>
      </c>
      <c r="J1824">
        <v>29</v>
      </c>
    </row>
    <row r="1825" spans="1:10" x14ac:dyDescent="0.3">
      <c r="A1825">
        <v>1996</v>
      </c>
      <c r="B1825" t="s">
        <v>1838</v>
      </c>
      <c r="C1825" t="s">
        <v>1202</v>
      </c>
      <c r="D1825" t="s">
        <v>1203</v>
      </c>
      <c r="E1825" t="s">
        <v>1204</v>
      </c>
      <c r="F1825">
        <v>5798</v>
      </c>
      <c r="G1825" t="s">
        <v>700</v>
      </c>
      <c r="I1825" t="s">
        <v>1205</v>
      </c>
      <c r="J1825">
        <v>270</v>
      </c>
    </row>
    <row r="1826" spans="1:10" x14ac:dyDescent="0.3">
      <c r="A1826">
        <v>1996</v>
      </c>
      <c r="B1826" t="s">
        <v>1838</v>
      </c>
      <c r="C1826" t="s">
        <v>1202</v>
      </c>
      <c r="D1826" t="s">
        <v>1203</v>
      </c>
      <c r="E1826" t="s">
        <v>1204</v>
      </c>
      <c r="F1826">
        <v>5798</v>
      </c>
      <c r="G1826" t="s">
        <v>691</v>
      </c>
      <c r="H1826" t="s">
        <v>1260</v>
      </c>
      <c r="I1826" t="s">
        <v>1205</v>
      </c>
      <c r="J1826">
        <v>17</v>
      </c>
    </row>
    <row r="1827" spans="1:10" x14ac:dyDescent="0.3">
      <c r="A1827">
        <v>1996</v>
      </c>
      <c r="B1827" t="s">
        <v>1838</v>
      </c>
      <c r="C1827" t="s">
        <v>1202</v>
      </c>
      <c r="D1827" t="s">
        <v>1203</v>
      </c>
      <c r="E1827" t="s">
        <v>1204</v>
      </c>
      <c r="F1827">
        <v>5798</v>
      </c>
      <c r="G1827" t="s">
        <v>686</v>
      </c>
      <c r="I1827" t="s">
        <v>1205</v>
      </c>
      <c r="J1827">
        <v>305</v>
      </c>
    </row>
    <row r="1828" spans="1:10" x14ac:dyDescent="0.3">
      <c r="A1828">
        <v>2000</v>
      </c>
      <c r="B1828" t="s">
        <v>1839</v>
      </c>
      <c r="C1828" t="s">
        <v>1202</v>
      </c>
      <c r="D1828" t="s">
        <v>159</v>
      </c>
      <c r="E1828" t="s">
        <v>159</v>
      </c>
      <c r="F1828">
        <v>7709</v>
      </c>
      <c r="G1828" t="s">
        <v>700</v>
      </c>
      <c r="I1828" t="s">
        <v>1205</v>
      </c>
      <c r="J1828">
        <v>2763</v>
      </c>
    </row>
    <row r="1829" spans="1:10" x14ac:dyDescent="0.3">
      <c r="A1829">
        <v>2000</v>
      </c>
      <c r="B1829" t="s">
        <v>1839</v>
      </c>
      <c r="C1829" t="s">
        <v>1202</v>
      </c>
      <c r="D1829" t="s">
        <v>159</v>
      </c>
      <c r="E1829" t="s">
        <v>159</v>
      </c>
      <c r="F1829">
        <v>7709</v>
      </c>
      <c r="G1829" t="s">
        <v>703</v>
      </c>
      <c r="I1829" t="s">
        <v>1205</v>
      </c>
      <c r="J1829">
        <v>263</v>
      </c>
    </row>
    <row r="1830" spans="1:10" x14ac:dyDescent="0.3">
      <c r="A1830">
        <v>2000</v>
      </c>
      <c r="B1830" t="s">
        <v>1839</v>
      </c>
      <c r="C1830" t="s">
        <v>1202</v>
      </c>
      <c r="D1830" t="s">
        <v>159</v>
      </c>
      <c r="E1830" t="s">
        <v>159</v>
      </c>
      <c r="F1830">
        <v>7709</v>
      </c>
      <c r="G1830" t="s">
        <v>696</v>
      </c>
      <c r="I1830" t="s">
        <v>1205</v>
      </c>
      <c r="J1830">
        <v>25753</v>
      </c>
    </row>
    <row r="1831" spans="1:10" x14ac:dyDescent="0.3">
      <c r="A1831">
        <v>2000</v>
      </c>
      <c r="B1831" t="s">
        <v>1839</v>
      </c>
      <c r="C1831" t="s">
        <v>1202</v>
      </c>
      <c r="D1831" t="s">
        <v>159</v>
      </c>
      <c r="E1831" t="s">
        <v>159</v>
      </c>
      <c r="F1831">
        <v>7709</v>
      </c>
      <c r="G1831" t="s">
        <v>698</v>
      </c>
      <c r="I1831" t="s">
        <v>1205</v>
      </c>
      <c r="J1831">
        <v>2018</v>
      </c>
    </row>
    <row r="1832" spans="1:10" x14ac:dyDescent="0.3">
      <c r="A1832">
        <v>2000</v>
      </c>
      <c r="B1832" t="s">
        <v>1839</v>
      </c>
      <c r="C1832" t="s">
        <v>1202</v>
      </c>
      <c r="D1832" t="s">
        <v>159</v>
      </c>
      <c r="E1832" t="s">
        <v>159</v>
      </c>
      <c r="F1832">
        <v>7709</v>
      </c>
      <c r="G1832" t="s">
        <v>702</v>
      </c>
      <c r="I1832" t="s">
        <v>1205</v>
      </c>
      <c r="J1832">
        <v>3998</v>
      </c>
    </row>
    <row r="1833" spans="1:10" x14ac:dyDescent="0.3">
      <c r="A1833">
        <v>2000</v>
      </c>
      <c r="B1833" t="s">
        <v>1839</v>
      </c>
      <c r="C1833" t="s">
        <v>1202</v>
      </c>
      <c r="D1833" t="s">
        <v>159</v>
      </c>
      <c r="E1833" t="s">
        <v>159</v>
      </c>
      <c r="F1833">
        <v>7709</v>
      </c>
      <c r="G1833" t="s">
        <v>684</v>
      </c>
      <c r="I1833" t="s">
        <v>1205</v>
      </c>
      <c r="J1833">
        <v>10910</v>
      </c>
    </row>
    <row r="1834" spans="1:10" x14ac:dyDescent="0.3">
      <c r="A1834">
        <v>2000</v>
      </c>
      <c r="B1834" t="s">
        <v>1839</v>
      </c>
      <c r="C1834" t="s">
        <v>1202</v>
      </c>
      <c r="D1834" t="s">
        <v>159</v>
      </c>
      <c r="E1834" t="s">
        <v>159</v>
      </c>
      <c r="F1834">
        <v>7709</v>
      </c>
      <c r="G1834" t="s">
        <v>705</v>
      </c>
      <c r="H1834" t="s">
        <v>1840</v>
      </c>
      <c r="I1834" t="s">
        <v>1205</v>
      </c>
      <c r="J1834">
        <v>176</v>
      </c>
    </row>
    <row r="1835" spans="1:10" x14ac:dyDescent="0.3">
      <c r="A1835">
        <v>2000</v>
      </c>
      <c r="B1835" t="s">
        <v>1839</v>
      </c>
      <c r="C1835" t="s">
        <v>1202</v>
      </c>
      <c r="D1835" t="s">
        <v>159</v>
      </c>
      <c r="E1835" t="s">
        <v>159</v>
      </c>
      <c r="F1835">
        <v>7709</v>
      </c>
      <c r="G1835" t="s">
        <v>691</v>
      </c>
      <c r="H1835" t="s">
        <v>1841</v>
      </c>
      <c r="I1835" t="s">
        <v>1205</v>
      </c>
      <c r="J1835">
        <v>332</v>
      </c>
    </row>
    <row r="1836" spans="1:10" x14ac:dyDescent="0.3">
      <c r="A1836">
        <v>2000</v>
      </c>
      <c r="B1836" t="s">
        <v>1839</v>
      </c>
      <c r="C1836" t="s">
        <v>1202</v>
      </c>
      <c r="D1836" t="s">
        <v>159</v>
      </c>
      <c r="E1836" t="s">
        <v>159</v>
      </c>
      <c r="F1836">
        <v>7709</v>
      </c>
      <c r="G1836" t="s">
        <v>691</v>
      </c>
      <c r="H1836" t="s">
        <v>1842</v>
      </c>
      <c r="I1836" t="s">
        <v>1210</v>
      </c>
      <c r="J1836">
        <v>4799</v>
      </c>
    </row>
    <row r="1837" spans="1:10" x14ac:dyDescent="0.3">
      <c r="A1837">
        <v>2000</v>
      </c>
      <c r="B1837" t="s">
        <v>1839</v>
      </c>
      <c r="C1837" t="s">
        <v>1202</v>
      </c>
      <c r="D1837" t="s">
        <v>159</v>
      </c>
      <c r="E1837" t="s">
        <v>159</v>
      </c>
      <c r="F1837">
        <v>7709</v>
      </c>
      <c r="G1837" t="s">
        <v>686</v>
      </c>
      <c r="I1837" t="s">
        <v>1205</v>
      </c>
      <c r="J1837">
        <v>2974</v>
      </c>
    </row>
    <row r="1838" spans="1:10" x14ac:dyDescent="0.3">
      <c r="A1838">
        <v>2033</v>
      </c>
      <c r="B1838" t="s">
        <v>865</v>
      </c>
      <c r="C1838" t="s">
        <v>1202</v>
      </c>
      <c r="D1838" t="s">
        <v>1203</v>
      </c>
      <c r="E1838" t="s">
        <v>1204</v>
      </c>
      <c r="F1838">
        <v>5479</v>
      </c>
      <c r="G1838" t="s">
        <v>686</v>
      </c>
      <c r="J1838">
        <v>2313.9414388999999</v>
      </c>
    </row>
    <row r="1839" spans="1:10" x14ac:dyDescent="0.3">
      <c r="A1839">
        <v>2033</v>
      </c>
      <c r="B1839" t="s">
        <v>865</v>
      </c>
      <c r="C1839" t="s">
        <v>1202</v>
      </c>
      <c r="D1839" t="s">
        <v>1203</v>
      </c>
      <c r="E1839" t="s">
        <v>1204</v>
      </c>
      <c r="F1839">
        <v>5479</v>
      </c>
      <c r="G1839" t="s">
        <v>705</v>
      </c>
      <c r="I1839" t="s">
        <v>1210</v>
      </c>
      <c r="J1839">
        <v>79.791084100000006</v>
      </c>
    </row>
    <row r="1840" spans="1:10" x14ac:dyDescent="0.3">
      <c r="A1840">
        <v>2033</v>
      </c>
      <c r="B1840" t="s">
        <v>865</v>
      </c>
      <c r="C1840" t="s">
        <v>1202</v>
      </c>
      <c r="D1840" t="s">
        <v>1203</v>
      </c>
      <c r="E1840" t="s">
        <v>1204</v>
      </c>
      <c r="F1840">
        <v>5479</v>
      </c>
      <c r="G1840" t="s">
        <v>703</v>
      </c>
      <c r="I1840" t="s">
        <v>1205</v>
      </c>
      <c r="J1840">
        <v>2188.1170370499999</v>
      </c>
    </row>
    <row r="1841" spans="1:10" x14ac:dyDescent="0.3">
      <c r="A1841">
        <v>2033</v>
      </c>
      <c r="B1841" t="s">
        <v>865</v>
      </c>
      <c r="C1841" t="s">
        <v>1202</v>
      </c>
      <c r="D1841" t="s">
        <v>1203</v>
      </c>
      <c r="E1841" t="s">
        <v>1204</v>
      </c>
      <c r="F1841">
        <v>5479</v>
      </c>
      <c r="G1841" t="s">
        <v>701</v>
      </c>
      <c r="I1841" t="s">
        <v>1205</v>
      </c>
      <c r="J1841">
        <v>1129.3507288000001</v>
      </c>
    </row>
    <row r="1842" spans="1:10" x14ac:dyDescent="0.3">
      <c r="A1842">
        <v>2033</v>
      </c>
      <c r="B1842" t="s">
        <v>865</v>
      </c>
      <c r="C1842" t="s">
        <v>1202</v>
      </c>
      <c r="D1842" t="s">
        <v>1203</v>
      </c>
      <c r="E1842" t="s">
        <v>1204</v>
      </c>
      <c r="F1842">
        <v>5479</v>
      </c>
      <c r="G1842" t="s">
        <v>700</v>
      </c>
      <c r="H1842" t="s">
        <v>1264</v>
      </c>
      <c r="I1842" t="s">
        <v>1205</v>
      </c>
      <c r="J1842">
        <v>3388.0521864000002</v>
      </c>
    </row>
    <row r="1843" spans="1:10" x14ac:dyDescent="0.3">
      <c r="A1843">
        <v>2033</v>
      </c>
      <c r="B1843" t="s">
        <v>865</v>
      </c>
      <c r="C1843" t="s">
        <v>1202</v>
      </c>
      <c r="D1843" t="s">
        <v>1203</v>
      </c>
      <c r="E1843" t="s">
        <v>1204</v>
      </c>
      <c r="F1843">
        <v>5479</v>
      </c>
      <c r="G1843" t="s">
        <v>698</v>
      </c>
      <c r="I1843" t="s">
        <v>1205</v>
      </c>
      <c r="J1843">
        <v>2473.5236070999999</v>
      </c>
    </row>
    <row r="1844" spans="1:10" x14ac:dyDescent="0.3">
      <c r="A1844">
        <v>2033</v>
      </c>
      <c r="B1844" t="s">
        <v>865</v>
      </c>
      <c r="C1844" t="s">
        <v>1202</v>
      </c>
      <c r="D1844" t="s">
        <v>1203</v>
      </c>
      <c r="E1844" t="s">
        <v>1204</v>
      </c>
      <c r="F1844">
        <v>5479</v>
      </c>
      <c r="G1844" t="s">
        <v>696</v>
      </c>
      <c r="I1844" t="s">
        <v>1205</v>
      </c>
      <c r="J1844">
        <v>14439.117334250001</v>
      </c>
    </row>
    <row r="1845" spans="1:10" x14ac:dyDescent="0.3">
      <c r="A1845">
        <v>2035</v>
      </c>
      <c r="B1845" t="s">
        <v>1843</v>
      </c>
      <c r="C1845" t="s">
        <v>1202</v>
      </c>
      <c r="D1845" t="s">
        <v>1203</v>
      </c>
      <c r="E1845" t="s">
        <v>1204</v>
      </c>
      <c r="F1845">
        <v>5747</v>
      </c>
      <c r="G1845" t="s">
        <v>698</v>
      </c>
      <c r="H1845" t="s">
        <v>698</v>
      </c>
      <c r="I1845" t="s">
        <v>1205</v>
      </c>
      <c r="J1845">
        <v>2901</v>
      </c>
    </row>
    <row r="1846" spans="1:10" x14ac:dyDescent="0.3">
      <c r="A1846">
        <v>2035</v>
      </c>
      <c r="B1846" t="s">
        <v>1843</v>
      </c>
      <c r="C1846" t="s">
        <v>1202</v>
      </c>
      <c r="D1846" t="s">
        <v>1203</v>
      </c>
      <c r="E1846" t="s">
        <v>1204</v>
      </c>
      <c r="F1846">
        <v>5747</v>
      </c>
      <c r="G1846" t="s">
        <v>696</v>
      </c>
      <c r="H1846" t="s">
        <v>696</v>
      </c>
      <c r="I1846" t="s">
        <v>1205</v>
      </c>
      <c r="J1846">
        <v>12949</v>
      </c>
    </row>
    <row r="1847" spans="1:10" x14ac:dyDescent="0.3">
      <c r="A1847">
        <v>2035</v>
      </c>
      <c r="B1847" t="s">
        <v>1843</v>
      </c>
      <c r="C1847" t="s">
        <v>1202</v>
      </c>
      <c r="D1847" t="s">
        <v>1203</v>
      </c>
      <c r="E1847" t="s">
        <v>1204</v>
      </c>
      <c r="F1847">
        <v>5747</v>
      </c>
      <c r="G1847" t="s">
        <v>700</v>
      </c>
      <c r="H1847" t="s">
        <v>1404</v>
      </c>
      <c r="I1847" t="s">
        <v>1205</v>
      </c>
      <c r="J1847">
        <v>2640</v>
      </c>
    </row>
    <row r="1848" spans="1:10" x14ac:dyDescent="0.3">
      <c r="A1848">
        <v>2035</v>
      </c>
      <c r="B1848" t="s">
        <v>1843</v>
      </c>
      <c r="C1848" t="s">
        <v>1202</v>
      </c>
      <c r="D1848" t="s">
        <v>1203</v>
      </c>
      <c r="E1848" t="s">
        <v>1204</v>
      </c>
      <c r="F1848">
        <v>5747</v>
      </c>
      <c r="G1848" t="s">
        <v>702</v>
      </c>
      <c r="H1848" t="s">
        <v>702</v>
      </c>
      <c r="I1848" t="s">
        <v>1205</v>
      </c>
      <c r="J1848">
        <v>2220</v>
      </c>
    </row>
    <row r="1849" spans="1:10" x14ac:dyDescent="0.3">
      <c r="A1849">
        <v>2035</v>
      </c>
      <c r="B1849" t="s">
        <v>1843</v>
      </c>
      <c r="C1849" t="s">
        <v>1202</v>
      </c>
      <c r="D1849" t="s">
        <v>1203</v>
      </c>
      <c r="E1849" t="s">
        <v>1204</v>
      </c>
      <c r="F1849">
        <v>5747</v>
      </c>
      <c r="G1849" t="s">
        <v>684</v>
      </c>
      <c r="H1849" t="s">
        <v>1844</v>
      </c>
      <c r="I1849" t="s">
        <v>1205</v>
      </c>
      <c r="J1849">
        <v>276</v>
      </c>
    </row>
    <row r="1850" spans="1:10" x14ac:dyDescent="0.3">
      <c r="A1850">
        <v>2035</v>
      </c>
      <c r="B1850" t="s">
        <v>1843</v>
      </c>
      <c r="C1850" t="s">
        <v>1202</v>
      </c>
      <c r="D1850" t="s">
        <v>1203</v>
      </c>
      <c r="E1850" t="s">
        <v>1204</v>
      </c>
      <c r="F1850">
        <v>5747</v>
      </c>
      <c r="G1850" t="s">
        <v>687</v>
      </c>
      <c r="H1850" t="s">
        <v>687</v>
      </c>
      <c r="I1850" t="s">
        <v>1205</v>
      </c>
      <c r="J1850">
        <v>151</v>
      </c>
    </row>
    <row r="1851" spans="1:10" x14ac:dyDescent="0.3">
      <c r="A1851">
        <v>2035</v>
      </c>
      <c r="B1851" t="s">
        <v>1843</v>
      </c>
      <c r="C1851" t="s">
        <v>1202</v>
      </c>
      <c r="D1851" t="s">
        <v>1203</v>
      </c>
      <c r="E1851" t="s">
        <v>1204</v>
      </c>
      <c r="F1851">
        <v>5747</v>
      </c>
      <c r="G1851" t="s">
        <v>700</v>
      </c>
      <c r="H1851" t="s">
        <v>1404</v>
      </c>
      <c r="I1851" t="s">
        <v>1210</v>
      </c>
      <c r="J1851">
        <v>158</v>
      </c>
    </row>
    <row r="1852" spans="1:10" x14ac:dyDescent="0.3">
      <c r="A1852">
        <v>2035</v>
      </c>
      <c r="B1852" t="s">
        <v>1843</v>
      </c>
      <c r="C1852" t="s">
        <v>1202</v>
      </c>
      <c r="D1852" t="s">
        <v>1203</v>
      </c>
      <c r="E1852" t="s">
        <v>1204</v>
      </c>
      <c r="F1852">
        <v>5747</v>
      </c>
      <c r="G1852" t="s">
        <v>702</v>
      </c>
      <c r="H1852" t="s">
        <v>702</v>
      </c>
      <c r="I1852" t="s">
        <v>1210</v>
      </c>
      <c r="J1852">
        <v>1267</v>
      </c>
    </row>
    <row r="1853" spans="1:10" x14ac:dyDescent="0.3">
      <c r="A1853">
        <v>2035</v>
      </c>
      <c r="B1853" t="s">
        <v>1843</v>
      </c>
      <c r="C1853" t="s">
        <v>1202</v>
      </c>
      <c r="D1853" t="s">
        <v>1203</v>
      </c>
      <c r="E1853" t="s">
        <v>1204</v>
      </c>
      <c r="F1853">
        <v>5747</v>
      </c>
      <c r="G1853" t="s">
        <v>684</v>
      </c>
      <c r="H1853" t="s">
        <v>1844</v>
      </c>
      <c r="I1853" t="s">
        <v>1210</v>
      </c>
      <c r="J1853">
        <v>4</v>
      </c>
    </row>
    <row r="1854" spans="1:10" x14ac:dyDescent="0.3">
      <c r="A1854">
        <v>2035</v>
      </c>
      <c r="B1854" t="s">
        <v>1843</v>
      </c>
      <c r="C1854" t="s">
        <v>1202</v>
      </c>
      <c r="D1854" t="s">
        <v>1203</v>
      </c>
      <c r="E1854" t="s">
        <v>1204</v>
      </c>
      <c r="F1854">
        <v>5747</v>
      </c>
      <c r="G1854" t="s">
        <v>686</v>
      </c>
      <c r="H1854" t="s">
        <v>1482</v>
      </c>
      <c r="I1854" t="s">
        <v>1205</v>
      </c>
      <c r="J1854">
        <v>3327</v>
      </c>
    </row>
    <row r="1855" spans="1:10" x14ac:dyDescent="0.3">
      <c r="A1855">
        <v>2037</v>
      </c>
      <c r="B1855" t="s">
        <v>1845</v>
      </c>
      <c r="C1855" t="s">
        <v>1202</v>
      </c>
      <c r="D1855" t="s">
        <v>159</v>
      </c>
      <c r="E1855" t="s">
        <v>159</v>
      </c>
      <c r="F1855">
        <v>5619</v>
      </c>
      <c r="G1855" t="s">
        <v>701</v>
      </c>
      <c r="I1855" t="s">
        <v>1205</v>
      </c>
      <c r="J1855">
        <v>86</v>
      </c>
    </row>
    <row r="1856" spans="1:10" x14ac:dyDescent="0.3">
      <c r="A1856">
        <v>2037</v>
      </c>
      <c r="B1856" t="s">
        <v>1845</v>
      </c>
      <c r="C1856" t="s">
        <v>1202</v>
      </c>
      <c r="D1856" t="s">
        <v>159</v>
      </c>
      <c r="E1856" t="s">
        <v>159</v>
      </c>
      <c r="F1856">
        <v>5619</v>
      </c>
      <c r="G1856" t="s">
        <v>703</v>
      </c>
      <c r="I1856" t="s">
        <v>1205</v>
      </c>
      <c r="J1856">
        <v>34</v>
      </c>
    </row>
    <row r="1857" spans="1:10" x14ac:dyDescent="0.3">
      <c r="A1857">
        <v>2037</v>
      </c>
      <c r="B1857" t="s">
        <v>1845</v>
      </c>
      <c r="C1857" t="s">
        <v>1202</v>
      </c>
      <c r="D1857" t="s">
        <v>159</v>
      </c>
      <c r="E1857" t="s">
        <v>159</v>
      </c>
      <c r="F1857">
        <v>5619</v>
      </c>
      <c r="G1857" t="s">
        <v>702</v>
      </c>
      <c r="I1857" t="s">
        <v>1205</v>
      </c>
      <c r="J1857">
        <v>824</v>
      </c>
    </row>
    <row r="1858" spans="1:10" x14ac:dyDescent="0.3">
      <c r="A1858">
        <v>2037</v>
      </c>
      <c r="B1858" t="s">
        <v>1845</v>
      </c>
      <c r="C1858" t="s">
        <v>1202</v>
      </c>
      <c r="D1858" t="s">
        <v>159</v>
      </c>
      <c r="E1858" t="s">
        <v>159</v>
      </c>
      <c r="F1858">
        <v>5619</v>
      </c>
      <c r="G1858" t="s">
        <v>686</v>
      </c>
      <c r="I1858" t="s">
        <v>1205</v>
      </c>
      <c r="J1858">
        <v>1089</v>
      </c>
    </row>
    <row r="1859" spans="1:10" x14ac:dyDescent="0.3">
      <c r="A1859">
        <v>2037</v>
      </c>
      <c r="B1859" t="s">
        <v>1845</v>
      </c>
      <c r="C1859" t="s">
        <v>1202</v>
      </c>
      <c r="D1859" t="s">
        <v>159</v>
      </c>
      <c r="E1859" t="s">
        <v>159</v>
      </c>
      <c r="F1859">
        <v>5619</v>
      </c>
      <c r="G1859" t="s">
        <v>696</v>
      </c>
      <c r="I1859" t="s">
        <v>1205</v>
      </c>
      <c r="J1859">
        <v>4427</v>
      </c>
    </row>
    <row r="1860" spans="1:10" x14ac:dyDescent="0.3">
      <c r="A1860">
        <v>2037</v>
      </c>
      <c r="B1860" t="s">
        <v>1845</v>
      </c>
      <c r="C1860" t="s">
        <v>1202</v>
      </c>
      <c r="D1860" t="s">
        <v>159</v>
      </c>
      <c r="E1860" t="s">
        <v>159</v>
      </c>
      <c r="F1860">
        <v>5619</v>
      </c>
      <c r="G1860" t="s">
        <v>687</v>
      </c>
      <c r="H1860" t="s">
        <v>1846</v>
      </c>
      <c r="I1860" t="s">
        <v>1205</v>
      </c>
      <c r="J1860">
        <v>20</v>
      </c>
    </row>
    <row r="1861" spans="1:10" x14ac:dyDescent="0.3">
      <c r="A1861">
        <v>2037</v>
      </c>
      <c r="B1861" t="s">
        <v>1845</v>
      </c>
      <c r="C1861" t="s">
        <v>1202</v>
      </c>
      <c r="D1861" t="s">
        <v>159</v>
      </c>
      <c r="E1861" t="s">
        <v>159</v>
      </c>
      <c r="F1861">
        <v>5619</v>
      </c>
      <c r="G1861" t="s">
        <v>700</v>
      </c>
      <c r="I1861" t="s">
        <v>1205</v>
      </c>
      <c r="J1861">
        <v>1375</v>
      </c>
    </row>
    <row r="1862" spans="1:10" x14ac:dyDescent="0.3">
      <c r="A1862">
        <v>2037</v>
      </c>
      <c r="B1862" t="s">
        <v>1845</v>
      </c>
      <c r="C1862" t="s">
        <v>1202</v>
      </c>
      <c r="D1862" t="s">
        <v>159</v>
      </c>
      <c r="E1862" t="s">
        <v>159</v>
      </c>
      <c r="F1862">
        <v>5619</v>
      </c>
      <c r="G1862" t="s">
        <v>698</v>
      </c>
      <c r="I1862" t="s">
        <v>1205</v>
      </c>
      <c r="J1862">
        <v>1824</v>
      </c>
    </row>
    <row r="1863" spans="1:10" x14ac:dyDescent="0.3">
      <c r="A1863">
        <v>2037</v>
      </c>
      <c r="B1863" t="s">
        <v>1845</v>
      </c>
      <c r="C1863" t="s">
        <v>1202</v>
      </c>
      <c r="D1863" t="s">
        <v>159</v>
      </c>
      <c r="E1863" t="s">
        <v>159</v>
      </c>
      <c r="F1863">
        <v>5619</v>
      </c>
      <c r="G1863" t="s">
        <v>687</v>
      </c>
      <c r="H1863" t="s">
        <v>1847</v>
      </c>
      <c r="I1863" t="s">
        <v>1205</v>
      </c>
      <c r="J1863">
        <v>173</v>
      </c>
    </row>
    <row r="1864" spans="1:10" x14ac:dyDescent="0.3">
      <c r="A1864">
        <v>2042</v>
      </c>
      <c r="B1864" t="s">
        <v>1848</v>
      </c>
      <c r="C1864" t="s">
        <v>1202</v>
      </c>
      <c r="D1864" t="s">
        <v>1203</v>
      </c>
      <c r="E1864" t="s">
        <v>1204</v>
      </c>
      <c r="F1864">
        <v>7759</v>
      </c>
      <c r="G1864" t="s">
        <v>686</v>
      </c>
      <c r="I1864" t="s">
        <v>1205</v>
      </c>
      <c r="J1864">
        <v>1945.6748969</v>
      </c>
    </row>
    <row r="1865" spans="1:10" x14ac:dyDescent="0.3">
      <c r="A1865">
        <v>2042</v>
      </c>
      <c r="B1865" t="s">
        <v>1848</v>
      </c>
      <c r="C1865" t="s">
        <v>1202</v>
      </c>
      <c r="D1865" t="s">
        <v>1203</v>
      </c>
      <c r="E1865" t="s">
        <v>1204</v>
      </c>
      <c r="F1865">
        <v>7759</v>
      </c>
      <c r="G1865" t="s">
        <v>702</v>
      </c>
      <c r="I1865" t="s">
        <v>1205</v>
      </c>
      <c r="J1865">
        <v>242.44214015</v>
      </c>
    </row>
    <row r="1866" spans="1:10" x14ac:dyDescent="0.3">
      <c r="A1866">
        <v>2042</v>
      </c>
      <c r="B1866" t="s">
        <v>1848</v>
      </c>
      <c r="C1866" t="s">
        <v>1202</v>
      </c>
      <c r="D1866" t="s">
        <v>1203</v>
      </c>
      <c r="E1866" t="s">
        <v>1204</v>
      </c>
      <c r="F1866">
        <v>7759</v>
      </c>
      <c r="G1866" t="s">
        <v>701</v>
      </c>
      <c r="I1866" t="s">
        <v>1205</v>
      </c>
      <c r="J1866">
        <v>141.16884110000001</v>
      </c>
    </row>
    <row r="1867" spans="1:10" x14ac:dyDescent="0.3">
      <c r="A1867">
        <v>2042</v>
      </c>
      <c r="B1867" t="s">
        <v>1848</v>
      </c>
      <c r="C1867" t="s">
        <v>1202</v>
      </c>
      <c r="D1867" t="s">
        <v>1203</v>
      </c>
      <c r="E1867" t="s">
        <v>1204</v>
      </c>
      <c r="F1867">
        <v>7759</v>
      </c>
      <c r="G1867" t="s">
        <v>700</v>
      </c>
      <c r="I1867" t="s">
        <v>1205</v>
      </c>
      <c r="J1867">
        <v>570.81314010000006</v>
      </c>
    </row>
    <row r="1868" spans="1:10" x14ac:dyDescent="0.3">
      <c r="A1868">
        <v>2042</v>
      </c>
      <c r="B1868" t="s">
        <v>1848</v>
      </c>
      <c r="C1868" t="s">
        <v>1202</v>
      </c>
      <c r="D1868" t="s">
        <v>1203</v>
      </c>
      <c r="E1868" t="s">
        <v>1204</v>
      </c>
      <c r="F1868">
        <v>7759</v>
      </c>
      <c r="G1868" t="s">
        <v>698</v>
      </c>
      <c r="I1868" t="s">
        <v>1205</v>
      </c>
      <c r="J1868">
        <v>355.99099059999998</v>
      </c>
    </row>
    <row r="1869" spans="1:10" x14ac:dyDescent="0.3">
      <c r="A1869">
        <v>2042</v>
      </c>
      <c r="B1869" t="s">
        <v>1848</v>
      </c>
      <c r="C1869" t="s">
        <v>1202</v>
      </c>
      <c r="D1869" t="s">
        <v>1203</v>
      </c>
      <c r="E1869" t="s">
        <v>1204</v>
      </c>
      <c r="F1869">
        <v>7759</v>
      </c>
      <c r="G1869" t="s">
        <v>696</v>
      </c>
      <c r="I1869" t="s">
        <v>1205</v>
      </c>
      <c r="J1869">
        <v>1773.8171772999999</v>
      </c>
    </row>
    <row r="1870" spans="1:10" x14ac:dyDescent="0.3">
      <c r="A1870">
        <v>2049</v>
      </c>
      <c r="B1870" t="s">
        <v>1849</v>
      </c>
      <c r="C1870" t="s">
        <v>1202</v>
      </c>
      <c r="D1870" t="s">
        <v>1203</v>
      </c>
      <c r="E1870" t="s">
        <v>1204</v>
      </c>
      <c r="F1870">
        <v>5727</v>
      </c>
      <c r="G1870" t="s">
        <v>700</v>
      </c>
      <c r="H1870" t="s">
        <v>700</v>
      </c>
      <c r="I1870" t="s">
        <v>1205</v>
      </c>
      <c r="J1870">
        <v>1477</v>
      </c>
    </row>
    <row r="1871" spans="1:10" x14ac:dyDescent="0.3">
      <c r="A1871">
        <v>2049</v>
      </c>
      <c r="B1871" t="s">
        <v>1849</v>
      </c>
      <c r="C1871" t="s">
        <v>1202</v>
      </c>
      <c r="D1871" t="s">
        <v>1203</v>
      </c>
      <c r="E1871" t="s">
        <v>1204</v>
      </c>
      <c r="F1871">
        <v>5727</v>
      </c>
      <c r="G1871" t="s">
        <v>703</v>
      </c>
      <c r="H1871" t="s">
        <v>1850</v>
      </c>
      <c r="I1871" t="s">
        <v>1205</v>
      </c>
      <c r="J1871">
        <v>727</v>
      </c>
    </row>
    <row r="1872" spans="1:10" x14ac:dyDescent="0.3">
      <c r="A1872">
        <v>2049</v>
      </c>
      <c r="B1872" t="s">
        <v>1849</v>
      </c>
      <c r="C1872" t="s">
        <v>1202</v>
      </c>
      <c r="D1872" t="s">
        <v>1203</v>
      </c>
      <c r="E1872" t="s">
        <v>1204</v>
      </c>
      <c r="F1872">
        <v>5727</v>
      </c>
      <c r="G1872" t="s">
        <v>1497</v>
      </c>
      <c r="H1872" t="s">
        <v>1427</v>
      </c>
      <c r="I1872" t="s">
        <v>1205</v>
      </c>
      <c r="J1872">
        <v>0</v>
      </c>
    </row>
    <row r="1873" spans="1:10" x14ac:dyDescent="0.3">
      <c r="A1873">
        <v>2049</v>
      </c>
      <c r="B1873" t="s">
        <v>1849</v>
      </c>
      <c r="C1873" t="s">
        <v>1202</v>
      </c>
      <c r="D1873" t="s">
        <v>1203</v>
      </c>
      <c r="E1873" t="s">
        <v>1204</v>
      </c>
      <c r="F1873">
        <v>5727</v>
      </c>
      <c r="G1873" t="s">
        <v>696</v>
      </c>
      <c r="H1873" t="s">
        <v>1393</v>
      </c>
      <c r="I1873" t="s">
        <v>1205</v>
      </c>
      <c r="J1873">
        <v>6112</v>
      </c>
    </row>
    <row r="1874" spans="1:10" x14ac:dyDescent="0.3">
      <c r="A1874">
        <v>2049</v>
      </c>
      <c r="B1874" t="s">
        <v>1849</v>
      </c>
      <c r="C1874" t="s">
        <v>1202</v>
      </c>
      <c r="D1874" t="s">
        <v>1203</v>
      </c>
      <c r="E1874" t="s">
        <v>1204</v>
      </c>
      <c r="F1874">
        <v>5727</v>
      </c>
      <c r="G1874" t="s">
        <v>686</v>
      </c>
      <c r="H1874" t="s">
        <v>1415</v>
      </c>
      <c r="I1874" t="s">
        <v>1205</v>
      </c>
      <c r="J1874">
        <v>614</v>
      </c>
    </row>
    <row r="1875" spans="1:10" x14ac:dyDescent="0.3">
      <c r="A1875">
        <v>2057</v>
      </c>
      <c r="B1875" t="s">
        <v>1851</v>
      </c>
      <c r="C1875" t="s">
        <v>1202</v>
      </c>
      <c r="D1875" t="s">
        <v>159</v>
      </c>
      <c r="E1875" t="s">
        <v>159</v>
      </c>
      <c r="F1875">
        <v>5680</v>
      </c>
      <c r="G1875" t="s">
        <v>703</v>
      </c>
      <c r="I1875" t="s">
        <v>1205</v>
      </c>
      <c r="J1875">
        <v>189</v>
      </c>
    </row>
    <row r="1876" spans="1:10" x14ac:dyDescent="0.3">
      <c r="A1876">
        <v>2057</v>
      </c>
      <c r="B1876" t="s">
        <v>1851</v>
      </c>
      <c r="C1876" t="s">
        <v>1202</v>
      </c>
      <c r="D1876" t="s">
        <v>159</v>
      </c>
      <c r="E1876" t="s">
        <v>159</v>
      </c>
      <c r="F1876">
        <v>5680</v>
      </c>
      <c r="G1876" t="s">
        <v>701</v>
      </c>
      <c r="I1876" t="s">
        <v>1205</v>
      </c>
      <c r="J1876">
        <v>75</v>
      </c>
    </row>
    <row r="1877" spans="1:10" x14ac:dyDescent="0.3">
      <c r="A1877">
        <v>2057</v>
      </c>
      <c r="B1877" t="s">
        <v>1851</v>
      </c>
      <c r="C1877" t="s">
        <v>1202</v>
      </c>
      <c r="D1877" t="s">
        <v>159</v>
      </c>
      <c r="E1877" t="s">
        <v>159</v>
      </c>
      <c r="F1877">
        <v>5680</v>
      </c>
      <c r="G1877" t="s">
        <v>684</v>
      </c>
      <c r="I1877" t="s">
        <v>1205</v>
      </c>
      <c r="J1877">
        <v>20</v>
      </c>
    </row>
    <row r="1878" spans="1:10" x14ac:dyDescent="0.3">
      <c r="A1878">
        <v>2057</v>
      </c>
      <c r="B1878" t="s">
        <v>1851</v>
      </c>
      <c r="C1878" t="s">
        <v>1202</v>
      </c>
      <c r="D1878" t="s">
        <v>159</v>
      </c>
      <c r="E1878" t="s">
        <v>159</v>
      </c>
      <c r="F1878">
        <v>5680</v>
      </c>
      <c r="G1878" t="s">
        <v>702</v>
      </c>
      <c r="I1878" t="s">
        <v>1205</v>
      </c>
      <c r="J1878">
        <v>333</v>
      </c>
    </row>
    <row r="1879" spans="1:10" x14ac:dyDescent="0.3">
      <c r="A1879">
        <v>2057</v>
      </c>
      <c r="B1879" t="s">
        <v>1851</v>
      </c>
      <c r="C1879" t="s">
        <v>1202</v>
      </c>
      <c r="D1879" t="s">
        <v>159</v>
      </c>
      <c r="E1879" t="s">
        <v>159</v>
      </c>
      <c r="F1879">
        <v>5680</v>
      </c>
      <c r="G1879" t="s">
        <v>700</v>
      </c>
      <c r="I1879" t="s">
        <v>1205</v>
      </c>
      <c r="J1879">
        <v>628</v>
      </c>
    </row>
    <row r="1880" spans="1:10" x14ac:dyDescent="0.3">
      <c r="A1880">
        <v>2057</v>
      </c>
      <c r="B1880" t="s">
        <v>1851</v>
      </c>
      <c r="C1880" t="s">
        <v>1202</v>
      </c>
      <c r="D1880" t="s">
        <v>159</v>
      </c>
      <c r="E1880" t="s">
        <v>159</v>
      </c>
      <c r="F1880">
        <v>5680</v>
      </c>
      <c r="G1880" t="s">
        <v>698</v>
      </c>
      <c r="I1880" t="s">
        <v>1205</v>
      </c>
      <c r="J1880">
        <v>516</v>
      </c>
    </row>
    <row r="1881" spans="1:10" x14ac:dyDescent="0.3">
      <c r="A1881">
        <v>2057</v>
      </c>
      <c r="B1881" t="s">
        <v>1851</v>
      </c>
      <c r="C1881" t="s">
        <v>1202</v>
      </c>
      <c r="D1881" t="s">
        <v>159</v>
      </c>
      <c r="E1881" t="s">
        <v>159</v>
      </c>
      <c r="F1881">
        <v>5680</v>
      </c>
      <c r="G1881" t="s">
        <v>696</v>
      </c>
      <c r="I1881" t="s">
        <v>1205</v>
      </c>
      <c r="J1881">
        <v>2869</v>
      </c>
    </row>
    <row r="1882" spans="1:10" x14ac:dyDescent="0.3">
      <c r="A1882">
        <v>2063</v>
      </c>
      <c r="B1882" t="s">
        <v>1852</v>
      </c>
      <c r="C1882" t="s">
        <v>1202</v>
      </c>
      <c r="D1882" t="s">
        <v>159</v>
      </c>
      <c r="E1882" t="s">
        <v>159</v>
      </c>
      <c r="F1882">
        <v>8043</v>
      </c>
      <c r="G1882" t="s">
        <v>700</v>
      </c>
      <c r="I1882" t="s">
        <v>1205</v>
      </c>
      <c r="J1882">
        <v>405</v>
      </c>
    </row>
    <row r="1883" spans="1:10" x14ac:dyDescent="0.3">
      <c r="A1883">
        <v>2063</v>
      </c>
      <c r="B1883" t="s">
        <v>1852</v>
      </c>
      <c r="C1883" t="s">
        <v>1202</v>
      </c>
      <c r="D1883" t="s">
        <v>159</v>
      </c>
      <c r="E1883" t="s">
        <v>159</v>
      </c>
      <c r="F1883">
        <v>8043</v>
      </c>
      <c r="G1883" t="s">
        <v>698</v>
      </c>
      <c r="I1883" t="s">
        <v>1205</v>
      </c>
      <c r="J1883">
        <v>80</v>
      </c>
    </row>
    <row r="1884" spans="1:10" x14ac:dyDescent="0.3">
      <c r="A1884">
        <v>2063</v>
      </c>
      <c r="B1884" t="s">
        <v>1852</v>
      </c>
      <c r="C1884" t="s">
        <v>1202</v>
      </c>
      <c r="D1884" t="s">
        <v>159</v>
      </c>
      <c r="E1884" t="s">
        <v>159</v>
      </c>
      <c r="F1884">
        <v>8043</v>
      </c>
      <c r="G1884" t="s">
        <v>701</v>
      </c>
      <c r="I1884" t="s">
        <v>1205</v>
      </c>
      <c r="J1884">
        <v>4</v>
      </c>
    </row>
    <row r="1885" spans="1:10" x14ac:dyDescent="0.3">
      <c r="A1885">
        <v>2063</v>
      </c>
      <c r="B1885" t="s">
        <v>1852</v>
      </c>
      <c r="C1885" t="s">
        <v>1202</v>
      </c>
      <c r="D1885" t="s">
        <v>159</v>
      </c>
      <c r="E1885" t="s">
        <v>159</v>
      </c>
      <c r="F1885">
        <v>8043</v>
      </c>
      <c r="G1885" t="s">
        <v>702</v>
      </c>
      <c r="I1885" t="s">
        <v>1205</v>
      </c>
      <c r="J1885">
        <v>41</v>
      </c>
    </row>
    <row r="1886" spans="1:10" x14ac:dyDescent="0.3">
      <c r="A1886">
        <v>2063</v>
      </c>
      <c r="B1886" t="s">
        <v>1852</v>
      </c>
      <c r="C1886" t="s">
        <v>1202</v>
      </c>
      <c r="D1886" t="s">
        <v>159</v>
      </c>
      <c r="E1886" t="s">
        <v>159</v>
      </c>
      <c r="F1886">
        <v>8043</v>
      </c>
      <c r="G1886" t="s">
        <v>686</v>
      </c>
      <c r="I1886" t="s">
        <v>1205</v>
      </c>
      <c r="J1886">
        <v>78</v>
      </c>
    </row>
    <row r="1887" spans="1:10" x14ac:dyDescent="0.3">
      <c r="A1887">
        <v>2063</v>
      </c>
      <c r="B1887" t="s">
        <v>1852</v>
      </c>
      <c r="C1887" t="s">
        <v>1202</v>
      </c>
      <c r="D1887" t="s">
        <v>159</v>
      </c>
      <c r="E1887" t="s">
        <v>159</v>
      </c>
      <c r="F1887">
        <v>8043</v>
      </c>
      <c r="G1887" t="s">
        <v>696</v>
      </c>
      <c r="I1887" t="s">
        <v>1205</v>
      </c>
      <c r="J1887">
        <v>1417</v>
      </c>
    </row>
    <row r="1888" spans="1:10" x14ac:dyDescent="0.3">
      <c r="A1888">
        <v>2074</v>
      </c>
      <c r="B1888" t="s">
        <v>1853</v>
      </c>
      <c r="C1888" t="s">
        <v>1202</v>
      </c>
      <c r="D1888" t="s">
        <v>1203</v>
      </c>
      <c r="E1888" t="s">
        <v>1204</v>
      </c>
      <c r="F1888">
        <v>6341</v>
      </c>
      <c r="G1888" t="s">
        <v>701</v>
      </c>
      <c r="I1888" t="s">
        <v>1205</v>
      </c>
      <c r="J1888">
        <v>9</v>
      </c>
    </row>
    <row r="1889" spans="1:10" x14ac:dyDescent="0.3">
      <c r="A1889">
        <v>2074</v>
      </c>
      <c r="B1889" t="s">
        <v>1853</v>
      </c>
      <c r="C1889" t="s">
        <v>1202</v>
      </c>
      <c r="D1889" t="s">
        <v>1203</v>
      </c>
      <c r="E1889" t="s">
        <v>1204</v>
      </c>
      <c r="F1889">
        <v>6341</v>
      </c>
      <c r="G1889" t="s">
        <v>700</v>
      </c>
      <c r="I1889" t="s">
        <v>1205</v>
      </c>
      <c r="J1889">
        <v>223.8</v>
      </c>
    </row>
    <row r="1890" spans="1:10" x14ac:dyDescent="0.3">
      <c r="A1890">
        <v>2074</v>
      </c>
      <c r="B1890" t="s">
        <v>1853</v>
      </c>
      <c r="C1890" t="s">
        <v>1202</v>
      </c>
      <c r="D1890" t="s">
        <v>1203</v>
      </c>
      <c r="E1890" t="s">
        <v>1204</v>
      </c>
      <c r="F1890">
        <v>6341</v>
      </c>
      <c r="G1890" t="s">
        <v>703</v>
      </c>
      <c r="I1890" t="s">
        <v>1205</v>
      </c>
      <c r="J1890">
        <v>117.41</v>
      </c>
    </row>
    <row r="1891" spans="1:10" x14ac:dyDescent="0.3">
      <c r="A1891">
        <v>2074</v>
      </c>
      <c r="B1891" t="s">
        <v>1853</v>
      </c>
      <c r="C1891" t="s">
        <v>1202</v>
      </c>
      <c r="D1891" t="s">
        <v>1203</v>
      </c>
      <c r="E1891" t="s">
        <v>1204</v>
      </c>
      <c r="F1891">
        <v>6341</v>
      </c>
      <c r="G1891" t="s">
        <v>686</v>
      </c>
      <c r="J1891">
        <v>492.9</v>
      </c>
    </row>
    <row r="1892" spans="1:10" x14ac:dyDescent="0.3">
      <c r="A1892">
        <v>2074</v>
      </c>
      <c r="B1892" t="s">
        <v>1853</v>
      </c>
      <c r="C1892" t="s">
        <v>1202</v>
      </c>
      <c r="D1892" t="s">
        <v>1203</v>
      </c>
      <c r="E1892" t="s">
        <v>1204</v>
      </c>
      <c r="F1892">
        <v>6341</v>
      </c>
      <c r="G1892" t="s">
        <v>696</v>
      </c>
      <c r="I1892" t="s">
        <v>1205</v>
      </c>
      <c r="J1892">
        <v>3581.4</v>
      </c>
    </row>
    <row r="1893" spans="1:10" x14ac:dyDescent="0.3">
      <c r="A1893">
        <v>2083</v>
      </c>
      <c r="B1893" t="s">
        <v>1854</v>
      </c>
      <c r="C1893" t="s">
        <v>1202</v>
      </c>
      <c r="D1893" t="s">
        <v>159</v>
      </c>
      <c r="E1893" t="s">
        <v>159</v>
      </c>
      <c r="F1893">
        <v>5706</v>
      </c>
      <c r="G1893" t="s">
        <v>696</v>
      </c>
      <c r="I1893" t="s">
        <v>1205</v>
      </c>
      <c r="J1893">
        <v>34250</v>
      </c>
    </row>
    <row r="1894" spans="1:10" x14ac:dyDescent="0.3">
      <c r="A1894">
        <v>2083</v>
      </c>
      <c r="B1894" t="s">
        <v>1854</v>
      </c>
      <c r="C1894" t="s">
        <v>1202</v>
      </c>
      <c r="D1894" t="s">
        <v>159</v>
      </c>
      <c r="E1894" t="s">
        <v>159</v>
      </c>
      <c r="F1894">
        <v>5706</v>
      </c>
      <c r="G1894" t="s">
        <v>702</v>
      </c>
      <c r="I1894" t="s">
        <v>1205</v>
      </c>
      <c r="J1894">
        <v>4166</v>
      </c>
    </row>
    <row r="1895" spans="1:10" x14ac:dyDescent="0.3">
      <c r="A1895">
        <v>2083</v>
      </c>
      <c r="B1895" t="s">
        <v>1854</v>
      </c>
      <c r="C1895" t="s">
        <v>1202</v>
      </c>
      <c r="D1895" t="s">
        <v>159</v>
      </c>
      <c r="E1895" t="s">
        <v>159</v>
      </c>
      <c r="F1895">
        <v>5706</v>
      </c>
      <c r="G1895" t="s">
        <v>700</v>
      </c>
      <c r="I1895" t="s">
        <v>1205</v>
      </c>
      <c r="J1895">
        <v>12067</v>
      </c>
    </row>
    <row r="1896" spans="1:10" x14ac:dyDescent="0.3">
      <c r="A1896">
        <v>2083</v>
      </c>
      <c r="B1896" t="s">
        <v>1854</v>
      </c>
      <c r="C1896" t="s">
        <v>1202</v>
      </c>
      <c r="D1896" t="s">
        <v>159</v>
      </c>
      <c r="E1896" t="s">
        <v>159</v>
      </c>
      <c r="F1896">
        <v>5706</v>
      </c>
      <c r="G1896" t="s">
        <v>698</v>
      </c>
      <c r="I1896" t="s">
        <v>1205</v>
      </c>
      <c r="J1896">
        <v>6159</v>
      </c>
    </row>
    <row r="1897" spans="1:10" x14ac:dyDescent="0.3">
      <c r="A1897">
        <v>2083</v>
      </c>
      <c r="B1897" t="s">
        <v>1854</v>
      </c>
      <c r="C1897" t="s">
        <v>1202</v>
      </c>
      <c r="D1897" t="s">
        <v>159</v>
      </c>
      <c r="E1897" t="s">
        <v>159</v>
      </c>
      <c r="F1897">
        <v>5706</v>
      </c>
      <c r="G1897" t="s">
        <v>684</v>
      </c>
      <c r="I1897" t="s">
        <v>1205</v>
      </c>
      <c r="J1897">
        <v>1394</v>
      </c>
    </row>
    <row r="1898" spans="1:10" x14ac:dyDescent="0.3">
      <c r="A1898">
        <v>2083</v>
      </c>
      <c r="B1898" t="s">
        <v>1854</v>
      </c>
      <c r="C1898" t="s">
        <v>1202</v>
      </c>
      <c r="D1898" t="s">
        <v>159</v>
      </c>
      <c r="E1898" t="s">
        <v>159</v>
      </c>
      <c r="F1898">
        <v>5706</v>
      </c>
      <c r="G1898" t="s">
        <v>687</v>
      </c>
      <c r="H1898" t="s">
        <v>1855</v>
      </c>
      <c r="I1898" t="s">
        <v>1205</v>
      </c>
      <c r="J1898">
        <v>289</v>
      </c>
    </row>
    <row r="1899" spans="1:10" x14ac:dyDescent="0.3">
      <c r="A1899">
        <v>2083</v>
      </c>
      <c r="B1899" t="s">
        <v>1854</v>
      </c>
      <c r="C1899" t="s">
        <v>1202</v>
      </c>
      <c r="D1899" t="s">
        <v>159</v>
      </c>
      <c r="E1899" t="s">
        <v>159</v>
      </c>
      <c r="F1899">
        <v>5706</v>
      </c>
      <c r="G1899" t="s">
        <v>686</v>
      </c>
      <c r="H1899" t="s">
        <v>1612</v>
      </c>
      <c r="I1899" t="s">
        <v>1205</v>
      </c>
      <c r="J1899">
        <v>7382</v>
      </c>
    </row>
    <row r="1900" spans="1:10" x14ac:dyDescent="0.3">
      <c r="A1900">
        <v>2083</v>
      </c>
      <c r="B1900" t="s">
        <v>1854</v>
      </c>
      <c r="C1900" t="s">
        <v>1202</v>
      </c>
      <c r="D1900" t="s">
        <v>159</v>
      </c>
      <c r="E1900" t="s">
        <v>159</v>
      </c>
      <c r="F1900">
        <v>5706</v>
      </c>
      <c r="G1900" t="s">
        <v>687</v>
      </c>
      <c r="H1900" t="s">
        <v>1856</v>
      </c>
      <c r="I1900" t="s">
        <v>1210</v>
      </c>
      <c r="J1900">
        <v>9958</v>
      </c>
    </row>
    <row r="1901" spans="1:10" x14ac:dyDescent="0.3">
      <c r="A1901">
        <v>2083</v>
      </c>
      <c r="B1901" t="s">
        <v>1854</v>
      </c>
      <c r="C1901" t="s">
        <v>1202</v>
      </c>
      <c r="D1901" t="s">
        <v>159</v>
      </c>
      <c r="E1901" t="s">
        <v>159</v>
      </c>
      <c r="F1901">
        <v>5706</v>
      </c>
      <c r="G1901" t="s">
        <v>687</v>
      </c>
      <c r="H1901" t="s">
        <v>1857</v>
      </c>
      <c r="I1901" t="s">
        <v>1210</v>
      </c>
      <c r="J1901">
        <v>867</v>
      </c>
    </row>
    <row r="1902" spans="1:10" x14ac:dyDescent="0.3">
      <c r="A1902">
        <v>2083</v>
      </c>
      <c r="B1902" t="s">
        <v>1854</v>
      </c>
      <c r="C1902" t="s">
        <v>1202</v>
      </c>
      <c r="D1902" t="s">
        <v>159</v>
      </c>
      <c r="E1902" t="s">
        <v>159</v>
      </c>
      <c r="F1902">
        <v>5706</v>
      </c>
      <c r="G1902" t="s">
        <v>687</v>
      </c>
      <c r="H1902" t="s">
        <v>1858</v>
      </c>
      <c r="I1902" t="s">
        <v>1210</v>
      </c>
      <c r="J1902">
        <v>428</v>
      </c>
    </row>
    <row r="1903" spans="1:10" x14ac:dyDescent="0.3">
      <c r="A1903">
        <v>2083</v>
      </c>
      <c r="B1903" t="s">
        <v>1854</v>
      </c>
      <c r="C1903" t="s">
        <v>1202</v>
      </c>
      <c r="D1903" t="s">
        <v>159</v>
      </c>
      <c r="E1903" t="s">
        <v>159</v>
      </c>
      <c r="F1903">
        <v>5706</v>
      </c>
      <c r="G1903" t="s">
        <v>687</v>
      </c>
      <c r="H1903" t="s">
        <v>1859</v>
      </c>
      <c r="I1903" t="s">
        <v>1210</v>
      </c>
      <c r="J1903">
        <v>597</v>
      </c>
    </row>
    <row r="1904" spans="1:10" x14ac:dyDescent="0.3">
      <c r="A1904">
        <v>2087</v>
      </c>
      <c r="B1904" t="s">
        <v>1860</v>
      </c>
      <c r="C1904" t="s">
        <v>1202</v>
      </c>
      <c r="D1904" t="s">
        <v>1203</v>
      </c>
      <c r="E1904" t="s">
        <v>1204</v>
      </c>
      <c r="F1904">
        <v>5755</v>
      </c>
      <c r="G1904" t="s">
        <v>686</v>
      </c>
      <c r="H1904" t="s">
        <v>1482</v>
      </c>
      <c r="I1904" t="s">
        <v>1205</v>
      </c>
      <c r="J1904">
        <v>241</v>
      </c>
    </row>
    <row r="1905" spans="1:10" x14ac:dyDescent="0.3">
      <c r="A1905">
        <v>2087</v>
      </c>
      <c r="B1905" t="s">
        <v>1860</v>
      </c>
      <c r="C1905" t="s">
        <v>1202</v>
      </c>
      <c r="D1905" t="s">
        <v>1203</v>
      </c>
      <c r="E1905" t="s">
        <v>1204</v>
      </c>
      <c r="F1905">
        <v>5755</v>
      </c>
      <c r="G1905" t="s">
        <v>687</v>
      </c>
      <c r="H1905" t="s">
        <v>687</v>
      </c>
      <c r="I1905" t="s">
        <v>1205</v>
      </c>
      <c r="J1905">
        <v>34</v>
      </c>
    </row>
    <row r="1906" spans="1:10" x14ac:dyDescent="0.3">
      <c r="A1906">
        <v>2087</v>
      </c>
      <c r="B1906" t="s">
        <v>1860</v>
      </c>
      <c r="C1906" t="s">
        <v>1202</v>
      </c>
      <c r="D1906" t="s">
        <v>1203</v>
      </c>
      <c r="E1906" t="s">
        <v>1204</v>
      </c>
      <c r="F1906">
        <v>5755</v>
      </c>
      <c r="G1906" t="s">
        <v>684</v>
      </c>
      <c r="H1906" t="s">
        <v>1844</v>
      </c>
      <c r="I1906" t="s">
        <v>1210</v>
      </c>
      <c r="J1906">
        <v>77</v>
      </c>
    </row>
    <row r="1907" spans="1:10" x14ac:dyDescent="0.3">
      <c r="A1907">
        <v>2087</v>
      </c>
      <c r="B1907" t="s">
        <v>1860</v>
      </c>
      <c r="C1907" t="s">
        <v>1202</v>
      </c>
      <c r="D1907" t="s">
        <v>1203</v>
      </c>
      <c r="E1907" t="s">
        <v>1204</v>
      </c>
      <c r="F1907">
        <v>5755</v>
      </c>
      <c r="G1907" t="s">
        <v>702</v>
      </c>
      <c r="H1907" t="s">
        <v>702</v>
      </c>
      <c r="I1907" t="s">
        <v>1205</v>
      </c>
      <c r="J1907">
        <v>552</v>
      </c>
    </row>
    <row r="1908" spans="1:10" x14ac:dyDescent="0.3">
      <c r="A1908">
        <v>2087</v>
      </c>
      <c r="B1908" t="s">
        <v>1860</v>
      </c>
      <c r="C1908" t="s">
        <v>1202</v>
      </c>
      <c r="D1908" t="s">
        <v>1203</v>
      </c>
      <c r="E1908" t="s">
        <v>1204</v>
      </c>
      <c r="F1908">
        <v>5755</v>
      </c>
      <c r="G1908" t="s">
        <v>696</v>
      </c>
      <c r="H1908" t="s">
        <v>1662</v>
      </c>
      <c r="I1908" t="s">
        <v>1205</v>
      </c>
      <c r="J1908">
        <v>2959</v>
      </c>
    </row>
    <row r="1909" spans="1:10" x14ac:dyDescent="0.3">
      <c r="A1909">
        <v>2087</v>
      </c>
      <c r="B1909" t="s">
        <v>1860</v>
      </c>
      <c r="C1909" t="s">
        <v>1202</v>
      </c>
      <c r="D1909" t="s">
        <v>1203</v>
      </c>
      <c r="E1909" t="s">
        <v>1204</v>
      </c>
      <c r="F1909">
        <v>5755</v>
      </c>
      <c r="G1909" t="s">
        <v>701</v>
      </c>
      <c r="H1909" t="s">
        <v>701</v>
      </c>
      <c r="I1909" t="s">
        <v>1205</v>
      </c>
      <c r="J1909">
        <v>6</v>
      </c>
    </row>
    <row r="1910" spans="1:10" x14ac:dyDescent="0.3">
      <c r="A1910">
        <v>2087</v>
      </c>
      <c r="B1910" t="s">
        <v>1860</v>
      </c>
      <c r="C1910" t="s">
        <v>1202</v>
      </c>
      <c r="D1910" t="s">
        <v>1203</v>
      </c>
      <c r="E1910" t="s">
        <v>1204</v>
      </c>
      <c r="F1910">
        <v>5755</v>
      </c>
      <c r="G1910" t="s">
        <v>700</v>
      </c>
      <c r="H1910" t="s">
        <v>1861</v>
      </c>
      <c r="I1910" t="s">
        <v>1205</v>
      </c>
      <c r="J1910">
        <v>151</v>
      </c>
    </row>
    <row r="1911" spans="1:10" x14ac:dyDescent="0.3">
      <c r="A1911">
        <v>2087</v>
      </c>
      <c r="B1911" t="s">
        <v>1860</v>
      </c>
      <c r="C1911" t="s">
        <v>1202</v>
      </c>
      <c r="D1911" t="s">
        <v>1203</v>
      </c>
      <c r="E1911" t="s">
        <v>1204</v>
      </c>
      <c r="F1911">
        <v>5755</v>
      </c>
      <c r="G1911" t="s">
        <v>698</v>
      </c>
      <c r="H1911" t="s">
        <v>699</v>
      </c>
      <c r="I1911" t="s">
        <v>1205</v>
      </c>
      <c r="J1911">
        <v>226</v>
      </c>
    </row>
    <row r="1912" spans="1:10" x14ac:dyDescent="0.3">
      <c r="A1912">
        <v>2103</v>
      </c>
      <c r="B1912" t="s">
        <v>1862</v>
      </c>
      <c r="C1912" t="s">
        <v>1202</v>
      </c>
      <c r="D1912" t="s">
        <v>1203</v>
      </c>
      <c r="E1912" t="s">
        <v>1204</v>
      </c>
      <c r="F1912">
        <v>6641</v>
      </c>
      <c r="G1912" t="s">
        <v>698</v>
      </c>
      <c r="I1912" t="s">
        <v>1205</v>
      </c>
      <c r="J1912">
        <v>1462</v>
      </c>
    </row>
    <row r="1913" spans="1:10" x14ac:dyDescent="0.3">
      <c r="A1913">
        <v>2103</v>
      </c>
      <c r="B1913" t="s">
        <v>1862</v>
      </c>
      <c r="C1913" t="s">
        <v>1202</v>
      </c>
      <c r="D1913" t="s">
        <v>1203</v>
      </c>
      <c r="E1913" t="s">
        <v>1204</v>
      </c>
      <c r="F1913">
        <v>6641</v>
      </c>
      <c r="G1913" t="s">
        <v>700</v>
      </c>
      <c r="H1913" t="s">
        <v>1863</v>
      </c>
      <c r="I1913" t="s">
        <v>1205</v>
      </c>
      <c r="J1913">
        <v>455</v>
      </c>
    </row>
    <row r="1914" spans="1:10" x14ac:dyDescent="0.3">
      <c r="A1914">
        <v>2103</v>
      </c>
      <c r="B1914" t="s">
        <v>1862</v>
      </c>
      <c r="C1914" t="s">
        <v>1202</v>
      </c>
      <c r="D1914" t="s">
        <v>1203</v>
      </c>
      <c r="E1914" t="s">
        <v>1204</v>
      </c>
      <c r="F1914">
        <v>6641</v>
      </c>
      <c r="G1914" t="s">
        <v>702</v>
      </c>
      <c r="I1914" t="s">
        <v>1205</v>
      </c>
      <c r="J1914">
        <v>408</v>
      </c>
    </row>
    <row r="1915" spans="1:10" x14ac:dyDescent="0.3">
      <c r="A1915">
        <v>2103</v>
      </c>
      <c r="B1915" t="s">
        <v>1862</v>
      </c>
      <c r="C1915" t="s">
        <v>1202</v>
      </c>
      <c r="D1915" t="s">
        <v>1203</v>
      </c>
      <c r="E1915" t="s">
        <v>1204</v>
      </c>
      <c r="F1915">
        <v>6641</v>
      </c>
      <c r="G1915" t="s">
        <v>686</v>
      </c>
      <c r="I1915" t="s">
        <v>1205</v>
      </c>
      <c r="J1915">
        <v>283</v>
      </c>
    </row>
    <row r="1916" spans="1:10" x14ac:dyDescent="0.3">
      <c r="A1916">
        <v>2103</v>
      </c>
      <c r="B1916" t="s">
        <v>1862</v>
      </c>
      <c r="C1916" t="s">
        <v>1202</v>
      </c>
      <c r="D1916" t="s">
        <v>1203</v>
      </c>
      <c r="E1916" t="s">
        <v>1204</v>
      </c>
      <c r="F1916">
        <v>6641</v>
      </c>
      <c r="G1916" t="s">
        <v>696</v>
      </c>
      <c r="I1916" t="s">
        <v>1205</v>
      </c>
      <c r="J1916">
        <v>1966</v>
      </c>
    </row>
    <row r="1917" spans="1:10" x14ac:dyDescent="0.3">
      <c r="A1917">
        <v>2111</v>
      </c>
      <c r="B1917" t="s">
        <v>868</v>
      </c>
      <c r="C1917" t="s">
        <v>1202</v>
      </c>
      <c r="D1917" t="s">
        <v>1203</v>
      </c>
      <c r="E1917" t="s">
        <v>1204</v>
      </c>
      <c r="F1917">
        <v>5659</v>
      </c>
      <c r="G1917" t="s">
        <v>698</v>
      </c>
      <c r="H1917" t="s">
        <v>1864</v>
      </c>
      <c r="I1917" t="s">
        <v>1205</v>
      </c>
      <c r="J1917">
        <v>1416</v>
      </c>
    </row>
    <row r="1918" spans="1:10" x14ac:dyDescent="0.3">
      <c r="A1918">
        <v>2111</v>
      </c>
      <c r="B1918" t="s">
        <v>868</v>
      </c>
      <c r="C1918" t="s">
        <v>1202</v>
      </c>
      <c r="D1918" t="s">
        <v>1203</v>
      </c>
      <c r="E1918" t="s">
        <v>1204</v>
      </c>
      <c r="F1918">
        <v>5659</v>
      </c>
      <c r="G1918" t="s">
        <v>703</v>
      </c>
      <c r="H1918" t="s">
        <v>1864</v>
      </c>
      <c r="I1918" t="s">
        <v>1205</v>
      </c>
      <c r="J1918">
        <v>412</v>
      </c>
    </row>
    <row r="1919" spans="1:10" x14ac:dyDescent="0.3">
      <c r="A1919">
        <v>2111</v>
      </c>
      <c r="B1919" t="s">
        <v>868</v>
      </c>
      <c r="C1919" t="s">
        <v>1202</v>
      </c>
      <c r="D1919" t="s">
        <v>1203</v>
      </c>
      <c r="E1919" t="s">
        <v>1204</v>
      </c>
      <c r="F1919">
        <v>5659</v>
      </c>
      <c r="G1919" t="s">
        <v>701</v>
      </c>
      <c r="H1919" t="s">
        <v>1864</v>
      </c>
      <c r="I1919" t="s">
        <v>1205</v>
      </c>
      <c r="J1919">
        <v>254</v>
      </c>
    </row>
    <row r="1920" spans="1:10" x14ac:dyDescent="0.3">
      <c r="A1920">
        <v>2111</v>
      </c>
      <c r="B1920" t="s">
        <v>868</v>
      </c>
      <c r="C1920" t="s">
        <v>1202</v>
      </c>
      <c r="D1920" t="s">
        <v>1203</v>
      </c>
      <c r="E1920" t="s">
        <v>1204</v>
      </c>
      <c r="F1920">
        <v>5659</v>
      </c>
      <c r="G1920" t="s">
        <v>700</v>
      </c>
      <c r="H1920" t="s">
        <v>1864</v>
      </c>
      <c r="I1920" t="s">
        <v>1205</v>
      </c>
      <c r="J1920">
        <v>2630</v>
      </c>
    </row>
    <row r="1921" spans="1:10" x14ac:dyDescent="0.3">
      <c r="A1921">
        <v>2111</v>
      </c>
      <c r="B1921" t="s">
        <v>868</v>
      </c>
      <c r="C1921" t="s">
        <v>1202</v>
      </c>
      <c r="D1921" t="s">
        <v>1203</v>
      </c>
      <c r="E1921" t="s">
        <v>1204</v>
      </c>
      <c r="F1921">
        <v>5659</v>
      </c>
      <c r="G1921" t="s">
        <v>696</v>
      </c>
      <c r="H1921" t="s">
        <v>1864</v>
      </c>
      <c r="I1921" t="s">
        <v>1205</v>
      </c>
      <c r="J1921">
        <v>17115</v>
      </c>
    </row>
    <row r="1922" spans="1:10" x14ac:dyDescent="0.3">
      <c r="A1922">
        <v>2111</v>
      </c>
      <c r="B1922" t="s">
        <v>868</v>
      </c>
      <c r="C1922" t="s">
        <v>1202</v>
      </c>
      <c r="D1922" t="s">
        <v>1203</v>
      </c>
      <c r="E1922" t="s">
        <v>1204</v>
      </c>
      <c r="F1922">
        <v>5659</v>
      </c>
      <c r="G1922" t="s">
        <v>702</v>
      </c>
      <c r="H1922" t="s">
        <v>1864</v>
      </c>
      <c r="I1922" t="s">
        <v>1205</v>
      </c>
      <c r="J1922">
        <v>6422</v>
      </c>
    </row>
    <row r="1923" spans="1:10" x14ac:dyDescent="0.3">
      <c r="A1923">
        <v>2111</v>
      </c>
      <c r="B1923" t="s">
        <v>868</v>
      </c>
      <c r="C1923" t="s">
        <v>1202</v>
      </c>
      <c r="D1923" t="s">
        <v>1203</v>
      </c>
      <c r="E1923" t="s">
        <v>1204</v>
      </c>
      <c r="F1923">
        <v>5659</v>
      </c>
      <c r="G1923" t="s">
        <v>686</v>
      </c>
      <c r="H1923" t="s">
        <v>1864</v>
      </c>
      <c r="I1923" t="s">
        <v>1205</v>
      </c>
      <c r="J1923">
        <v>1600</v>
      </c>
    </row>
    <row r="1924" spans="1:10" x14ac:dyDescent="0.3">
      <c r="A1924">
        <v>2111</v>
      </c>
      <c r="B1924" t="s">
        <v>868</v>
      </c>
      <c r="C1924" t="s">
        <v>1202</v>
      </c>
      <c r="D1924" t="s">
        <v>1203</v>
      </c>
      <c r="E1924" t="s">
        <v>1204</v>
      </c>
      <c r="F1924">
        <v>5659</v>
      </c>
      <c r="G1924" t="s">
        <v>705</v>
      </c>
      <c r="H1924" t="s">
        <v>1864</v>
      </c>
      <c r="I1924" t="s">
        <v>1205</v>
      </c>
      <c r="J1924">
        <v>1451</v>
      </c>
    </row>
    <row r="1925" spans="1:10" x14ac:dyDescent="0.3">
      <c r="A1925">
        <v>2111</v>
      </c>
      <c r="B1925" t="s">
        <v>868</v>
      </c>
      <c r="C1925" t="s">
        <v>1202</v>
      </c>
      <c r="D1925" t="s">
        <v>1203</v>
      </c>
      <c r="E1925" t="s">
        <v>1204</v>
      </c>
      <c r="F1925">
        <v>5659</v>
      </c>
      <c r="G1925" t="s">
        <v>705</v>
      </c>
      <c r="H1925" t="s">
        <v>1865</v>
      </c>
      <c r="I1925" t="s">
        <v>1210</v>
      </c>
      <c r="J1925">
        <v>404</v>
      </c>
    </row>
    <row r="1926" spans="1:10" x14ac:dyDescent="0.3">
      <c r="A1926">
        <v>2111</v>
      </c>
      <c r="B1926" t="s">
        <v>868</v>
      </c>
      <c r="C1926" t="s">
        <v>1202</v>
      </c>
      <c r="D1926" t="s">
        <v>1203</v>
      </c>
      <c r="E1926" t="s">
        <v>1204</v>
      </c>
      <c r="F1926">
        <v>5659</v>
      </c>
      <c r="G1926" t="s">
        <v>690</v>
      </c>
      <c r="H1926" t="s">
        <v>1866</v>
      </c>
      <c r="I1926" t="s">
        <v>1205</v>
      </c>
      <c r="J1926">
        <v>597</v>
      </c>
    </row>
    <row r="1927" spans="1:10" x14ac:dyDescent="0.3">
      <c r="A1927">
        <v>2115</v>
      </c>
      <c r="B1927" t="s">
        <v>1867</v>
      </c>
      <c r="C1927" t="s">
        <v>1202</v>
      </c>
      <c r="D1927" t="s">
        <v>159</v>
      </c>
      <c r="E1927" t="s">
        <v>159</v>
      </c>
      <c r="F1927">
        <v>5512</v>
      </c>
      <c r="G1927" t="s">
        <v>687</v>
      </c>
      <c r="H1927" t="s">
        <v>1868</v>
      </c>
      <c r="I1927" t="s">
        <v>1205</v>
      </c>
      <c r="J1927">
        <v>20</v>
      </c>
    </row>
    <row r="1928" spans="1:10" x14ac:dyDescent="0.3">
      <c r="A1928">
        <v>2115</v>
      </c>
      <c r="B1928" t="s">
        <v>1867</v>
      </c>
      <c r="C1928" t="s">
        <v>1202</v>
      </c>
      <c r="D1928" t="s">
        <v>159</v>
      </c>
      <c r="E1928" t="s">
        <v>159</v>
      </c>
      <c r="F1928">
        <v>5512</v>
      </c>
      <c r="G1928" t="s">
        <v>686</v>
      </c>
      <c r="I1928" t="s">
        <v>1205</v>
      </c>
      <c r="J1928">
        <v>533</v>
      </c>
    </row>
    <row r="1929" spans="1:10" x14ac:dyDescent="0.3">
      <c r="A1929">
        <v>2115</v>
      </c>
      <c r="B1929" t="s">
        <v>1867</v>
      </c>
      <c r="C1929" t="s">
        <v>1202</v>
      </c>
      <c r="D1929" t="s">
        <v>159</v>
      </c>
      <c r="E1929" t="s">
        <v>159</v>
      </c>
      <c r="F1929">
        <v>5512</v>
      </c>
      <c r="G1929" t="s">
        <v>700</v>
      </c>
      <c r="I1929" t="s">
        <v>1205</v>
      </c>
      <c r="J1929">
        <v>4099</v>
      </c>
    </row>
    <row r="1930" spans="1:10" x14ac:dyDescent="0.3">
      <c r="A1930">
        <v>2115</v>
      </c>
      <c r="B1930" t="s">
        <v>1867</v>
      </c>
      <c r="C1930" t="s">
        <v>1202</v>
      </c>
      <c r="D1930" t="s">
        <v>159</v>
      </c>
      <c r="E1930" t="s">
        <v>159</v>
      </c>
      <c r="F1930">
        <v>5512</v>
      </c>
      <c r="G1930" t="s">
        <v>698</v>
      </c>
      <c r="I1930" t="s">
        <v>1205</v>
      </c>
      <c r="J1930">
        <v>1178</v>
      </c>
    </row>
    <row r="1931" spans="1:10" x14ac:dyDescent="0.3">
      <c r="A1931">
        <v>2115</v>
      </c>
      <c r="B1931" t="s">
        <v>1867</v>
      </c>
      <c r="C1931" t="s">
        <v>1202</v>
      </c>
      <c r="D1931" t="s">
        <v>159</v>
      </c>
      <c r="E1931" t="s">
        <v>159</v>
      </c>
      <c r="F1931">
        <v>5512</v>
      </c>
      <c r="G1931" t="s">
        <v>696</v>
      </c>
      <c r="I1931" t="s">
        <v>1205</v>
      </c>
      <c r="J1931">
        <v>3797</v>
      </c>
    </row>
    <row r="1932" spans="1:10" x14ac:dyDescent="0.3">
      <c r="A1932">
        <v>2118</v>
      </c>
      <c r="B1932" t="s">
        <v>1869</v>
      </c>
      <c r="C1932" t="s">
        <v>1202</v>
      </c>
      <c r="D1932" t="s">
        <v>159</v>
      </c>
      <c r="E1932" t="s">
        <v>159</v>
      </c>
      <c r="F1932">
        <v>7993</v>
      </c>
      <c r="G1932" t="s">
        <v>691</v>
      </c>
      <c r="H1932" t="s">
        <v>1870</v>
      </c>
      <c r="I1932" t="s">
        <v>1205</v>
      </c>
      <c r="J1932">
        <v>969</v>
      </c>
    </row>
    <row r="1933" spans="1:10" x14ac:dyDescent="0.3">
      <c r="A1933">
        <v>2118</v>
      </c>
      <c r="B1933" t="s">
        <v>1869</v>
      </c>
      <c r="C1933" t="s">
        <v>1202</v>
      </c>
      <c r="D1933" t="s">
        <v>159</v>
      </c>
      <c r="E1933" t="s">
        <v>159</v>
      </c>
      <c r="F1933">
        <v>7993</v>
      </c>
      <c r="G1933" t="s">
        <v>691</v>
      </c>
      <c r="H1933" t="s">
        <v>1871</v>
      </c>
      <c r="I1933" t="s">
        <v>1205</v>
      </c>
      <c r="J1933">
        <v>83</v>
      </c>
    </row>
    <row r="1934" spans="1:10" x14ac:dyDescent="0.3">
      <c r="A1934">
        <v>2118</v>
      </c>
      <c r="B1934" t="s">
        <v>1869</v>
      </c>
      <c r="C1934" t="s">
        <v>1202</v>
      </c>
      <c r="D1934" t="s">
        <v>159</v>
      </c>
      <c r="E1934" t="s">
        <v>159</v>
      </c>
      <c r="F1934">
        <v>7993</v>
      </c>
      <c r="G1934" t="s">
        <v>691</v>
      </c>
      <c r="H1934" t="s">
        <v>1872</v>
      </c>
      <c r="I1934" t="s">
        <v>1205</v>
      </c>
      <c r="J1934">
        <v>4</v>
      </c>
    </row>
    <row r="1935" spans="1:10" x14ac:dyDescent="0.3">
      <c r="A1935">
        <v>2118</v>
      </c>
      <c r="B1935" t="s">
        <v>1869</v>
      </c>
      <c r="C1935" t="s">
        <v>1202</v>
      </c>
      <c r="D1935" t="s">
        <v>159</v>
      </c>
      <c r="E1935" t="s">
        <v>159</v>
      </c>
      <c r="F1935">
        <v>7993</v>
      </c>
      <c r="G1935" t="s">
        <v>686</v>
      </c>
      <c r="H1935" t="s">
        <v>1873</v>
      </c>
      <c r="I1935" t="s">
        <v>1205</v>
      </c>
      <c r="J1935">
        <v>91</v>
      </c>
    </row>
    <row r="1936" spans="1:10" x14ac:dyDescent="0.3">
      <c r="A1936">
        <v>2118</v>
      </c>
      <c r="B1936" t="s">
        <v>1869</v>
      </c>
      <c r="C1936" t="s">
        <v>1202</v>
      </c>
      <c r="D1936" t="s">
        <v>159</v>
      </c>
      <c r="E1936" t="s">
        <v>159</v>
      </c>
      <c r="F1936">
        <v>7993</v>
      </c>
      <c r="G1936" t="s">
        <v>691</v>
      </c>
      <c r="H1936" t="s">
        <v>1874</v>
      </c>
      <c r="I1936" t="s">
        <v>1205</v>
      </c>
      <c r="J1936">
        <v>3623</v>
      </c>
    </row>
    <row r="1937" spans="1:10" x14ac:dyDescent="0.3">
      <c r="A1937">
        <v>2118</v>
      </c>
      <c r="B1937" t="s">
        <v>1869</v>
      </c>
      <c r="C1937" t="s">
        <v>1202</v>
      </c>
      <c r="D1937" t="s">
        <v>159</v>
      </c>
      <c r="E1937" t="s">
        <v>159</v>
      </c>
      <c r="F1937">
        <v>7993</v>
      </c>
      <c r="G1937" t="s">
        <v>686</v>
      </c>
      <c r="H1937" t="s">
        <v>1875</v>
      </c>
      <c r="I1937" t="s">
        <v>1210</v>
      </c>
      <c r="J1937">
        <v>31</v>
      </c>
    </row>
    <row r="1938" spans="1:10" x14ac:dyDescent="0.3">
      <c r="A1938">
        <v>2118</v>
      </c>
      <c r="B1938" t="s">
        <v>1869</v>
      </c>
      <c r="C1938" t="s">
        <v>1202</v>
      </c>
      <c r="D1938" t="s">
        <v>159</v>
      </c>
      <c r="E1938" t="s">
        <v>159</v>
      </c>
      <c r="F1938">
        <v>7993</v>
      </c>
      <c r="G1938" t="s">
        <v>702</v>
      </c>
      <c r="H1938" t="s">
        <v>1876</v>
      </c>
      <c r="I1938" t="s">
        <v>1210</v>
      </c>
      <c r="J1938">
        <v>382</v>
      </c>
    </row>
    <row r="1939" spans="1:10" x14ac:dyDescent="0.3">
      <c r="A1939">
        <v>2118</v>
      </c>
      <c r="B1939" t="s">
        <v>1869</v>
      </c>
      <c r="C1939" t="s">
        <v>1202</v>
      </c>
      <c r="D1939" t="s">
        <v>159</v>
      </c>
      <c r="E1939" t="s">
        <v>159</v>
      </c>
      <c r="F1939">
        <v>7993</v>
      </c>
      <c r="G1939" t="s">
        <v>692</v>
      </c>
      <c r="H1939" t="s">
        <v>1428</v>
      </c>
      <c r="I1939" t="s">
        <v>1210</v>
      </c>
      <c r="J1939">
        <v>4</v>
      </c>
    </row>
    <row r="1940" spans="1:10" x14ac:dyDescent="0.3">
      <c r="A1940">
        <v>2119</v>
      </c>
      <c r="B1940" t="s">
        <v>1877</v>
      </c>
      <c r="C1940" t="s">
        <v>1202</v>
      </c>
      <c r="D1940" t="s">
        <v>1203</v>
      </c>
      <c r="E1940" t="s">
        <v>1204</v>
      </c>
      <c r="F1940">
        <v>5809</v>
      </c>
      <c r="G1940" t="s">
        <v>696</v>
      </c>
      <c r="I1940" t="s">
        <v>1205</v>
      </c>
      <c r="J1940">
        <v>1725</v>
      </c>
    </row>
    <row r="1941" spans="1:10" x14ac:dyDescent="0.3">
      <c r="A1941">
        <v>2119</v>
      </c>
      <c r="B1941" t="s">
        <v>1877</v>
      </c>
      <c r="C1941" t="s">
        <v>1202</v>
      </c>
      <c r="D1941" t="s">
        <v>1203</v>
      </c>
      <c r="E1941" t="s">
        <v>1204</v>
      </c>
      <c r="F1941">
        <v>5809</v>
      </c>
      <c r="G1941" t="s">
        <v>698</v>
      </c>
      <c r="I1941" t="s">
        <v>1205</v>
      </c>
      <c r="J1941">
        <v>168</v>
      </c>
    </row>
    <row r="1942" spans="1:10" x14ac:dyDescent="0.3">
      <c r="A1942">
        <v>2119</v>
      </c>
      <c r="B1942" t="s">
        <v>1877</v>
      </c>
      <c r="C1942" t="s">
        <v>1202</v>
      </c>
      <c r="D1942" t="s">
        <v>1203</v>
      </c>
      <c r="E1942" t="s">
        <v>1204</v>
      </c>
      <c r="F1942">
        <v>5809</v>
      </c>
      <c r="G1942" t="s">
        <v>700</v>
      </c>
      <c r="H1942" t="s">
        <v>1438</v>
      </c>
      <c r="I1942" t="s">
        <v>1205</v>
      </c>
      <c r="J1942">
        <v>126</v>
      </c>
    </row>
    <row r="1943" spans="1:10" x14ac:dyDescent="0.3">
      <c r="A1943">
        <v>2119</v>
      </c>
      <c r="B1943" t="s">
        <v>1877</v>
      </c>
      <c r="C1943" t="s">
        <v>1202</v>
      </c>
      <c r="D1943" t="s">
        <v>1203</v>
      </c>
      <c r="E1943" t="s">
        <v>1204</v>
      </c>
      <c r="F1943">
        <v>5809</v>
      </c>
      <c r="G1943" t="s">
        <v>686</v>
      </c>
      <c r="I1943" t="s">
        <v>1205</v>
      </c>
      <c r="J1943">
        <v>132</v>
      </c>
    </row>
    <row r="1944" spans="1:10" x14ac:dyDescent="0.3">
      <c r="A1944">
        <v>2119</v>
      </c>
      <c r="B1944" t="s">
        <v>1877</v>
      </c>
      <c r="C1944" t="s">
        <v>1202</v>
      </c>
      <c r="D1944" t="s">
        <v>1203</v>
      </c>
      <c r="E1944" t="s">
        <v>1204</v>
      </c>
      <c r="F1944">
        <v>5809</v>
      </c>
      <c r="G1944" t="s">
        <v>702</v>
      </c>
      <c r="I1944" t="s">
        <v>1205</v>
      </c>
      <c r="J1944">
        <v>24</v>
      </c>
    </row>
    <row r="1945" spans="1:10" x14ac:dyDescent="0.3">
      <c r="A1945">
        <v>2122</v>
      </c>
      <c r="B1945" t="s">
        <v>1878</v>
      </c>
      <c r="C1945" t="s">
        <v>1202</v>
      </c>
      <c r="D1945" t="s">
        <v>1203</v>
      </c>
      <c r="E1945" t="s">
        <v>1204</v>
      </c>
      <c r="F1945">
        <v>7711</v>
      </c>
      <c r="G1945" t="s">
        <v>686</v>
      </c>
      <c r="I1945" t="s">
        <v>1205</v>
      </c>
      <c r="J1945">
        <v>38</v>
      </c>
    </row>
    <row r="1946" spans="1:10" x14ac:dyDescent="0.3">
      <c r="A1946">
        <v>2122</v>
      </c>
      <c r="B1946" t="s">
        <v>1878</v>
      </c>
      <c r="C1946" t="s">
        <v>1202</v>
      </c>
      <c r="D1946" t="s">
        <v>1203</v>
      </c>
      <c r="E1946" t="s">
        <v>1204</v>
      </c>
      <c r="F1946">
        <v>7711</v>
      </c>
      <c r="G1946" t="s">
        <v>705</v>
      </c>
      <c r="I1946" t="s">
        <v>1205</v>
      </c>
      <c r="J1946">
        <v>2</v>
      </c>
    </row>
    <row r="1947" spans="1:10" x14ac:dyDescent="0.3">
      <c r="A1947">
        <v>2122</v>
      </c>
      <c r="B1947" t="s">
        <v>1878</v>
      </c>
      <c r="C1947" t="s">
        <v>1202</v>
      </c>
      <c r="D1947" t="s">
        <v>1203</v>
      </c>
      <c r="E1947" t="s">
        <v>1204</v>
      </c>
      <c r="F1947">
        <v>7711</v>
      </c>
      <c r="G1947" t="s">
        <v>702</v>
      </c>
      <c r="I1947" t="s">
        <v>1205</v>
      </c>
      <c r="J1947">
        <v>12.8</v>
      </c>
    </row>
    <row r="1948" spans="1:10" x14ac:dyDescent="0.3">
      <c r="A1948">
        <v>2122</v>
      </c>
      <c r="B1948" t="s">
        <v>1878</v>
      </c>
      <c r="C1948" t="s">
        <v>1202</v>
      </c>
      <c r="D1948" t="s">
        <v>1203</v>
      </c>
      <c r="E1948" t="s">
        <v>1204</v>
      </c>
      <c r="F1948">
        <v>7711</v>
      </c>
      <c r="G1948" t="s">
        <v>700</v>
      </c>
      <c r="H1948" t="s">
        <v>1404</v>
      </c>
      <c r="I1948" t="s">
        <v>1205</v>
      </c>
      <c r="J1948">
        <v>39.4</v>
      </c>
    </row>
    <row r="1949" spans="1:10" x14ac:dyDescent="0.3">
      <c r="A1949">
        <v>2122</v>
      </c>
      <c r="B1949" t="s">
        <v>1878</v>
      </c>
      <c r="C1949" t="s">
        <v>1202</v>
      </c>
      <c r="D1949" t="s">
        <v>1203</v>
      </c>
      <c r="E1949" t="s">
        <v>1204</v>
      </c>
      <c r="F1949">
        <v>7711</v>
      </c>
      <c r="G1949" t="s">
        <v>698</v>
      </c>
      <c r="I1949" t="s">
        <v>1205</v>
      </c>
      <c r="J1949">
        <v>13.6</v>
      </c>
    </row>
    <row r="1950" spans="1:10" x14ac:dyDescent="0.3">
      <c r="A1950">
        <v>2122</v>
      </c>
      <c r="B1950" t="s">
        <v>1878</v>
      </c>
      <c r="C1950" t="s">
        <v>1202</v>
      </c>
      <c r="D1950" t="s">
        <v>1203</v>
      </c>
      <c r="E1950" t="s">
        <v>1204</v>
      </c>
      <c r="F1950">
        <v>7711</v>
      </c>
      <c r="G1950" t="s">
        <v>696</v>
      </c>
      <c r="I1950" t="s">
        <v>1205</v>
      </c>
      <c r="J1950">
        <v>340.6</v>
      </c>
    </row>
    <row r="1951" spans="1:10" x14ac:dyDescent="0.3">
      <c r="A1951">
        <v>2130</v>
      </c>
      <c r="B1951" t="s">
        <v>1879</v>
      </c>
      <c r="C1951" t="s">
        <v>1202</v>
      </c>
      <c r="D1951" t="s">
        <v>159</v>
      </c>
      <c r="E1951" t="s">
        <v>159</v>
      </c>
      <c r="F1951">
        <v>6776</v>
      </c>
      <c r="G1951" t="s">
        <v>686</v>
      </c>
      <c r="I1951" t="s">
        <v>1205</v>
      </c>
      <c r="J1951">
        <v>13197</v>
      </c>
    </row>
    <row r="1952" spans="1:10" x14ac:dyDescent="0.3">
      <c r="A1952">
        <v>2130</v>
      </c>
      <c r="B1952" t="s">
        <v>1879</v>
      </c>
      <c r="C1952" t="s">
        <v>1202</v>
      </c>
      <c r="D1952" t="s">
        <v>159</v>
      </c>
      <c r="E1952" t="s">
        <v>159</v>
      </c>
      <c r="F1952">
        <v>6776</v>
      </c>
      <c r="G1952" t="s">
        <v>705</v>
      </c>
      <c r="H1952" t="s">
        <v>1880</v>
      </c>
      <c r="I1952" t="s">
        <v>1205</v>
      </c>
      <c r="J1952">
        <v>3607</v>
      </c>
    </row>
    <row r="1953" spans="1:10" x14ac:dyDescent="0.3">
      <c r="A1953">
        <v>2130</v>
      </c>
      <c r="B1953" t="s">
        <v>1879</v>
      </c>
      <c r="C1953" t="s">
        <v>1202</v>
      </c>
      <c r="D1953" t="s">
        <v>159</v>
      </c>
      <c r="E1953" t="s">
        <v>159</v>
      </c>
      <c r="F1953">
        <v>6776</v>
      </c>
      <c r="G1953" t="s">
        <v>691</v>
      </c>
      <c r="I1953" t="s">
        <v>1205</v>
      </c>
      <c r="J1953">
        <v>650</v>
      </c>
    </row>
    <row r="1954" spans="1:10" x14ac:dyDescent="0.3">
      <c r="A1954">
        <v>2130</v>
      </c>
      <c r="B1954" t="s">
        <v>1879</v>
      </c>
      <c r="C1954" t="s">
        <v>1202</v>
      </c>
      <c r="D1954" t="s">
        <v>159</v>
      </c>
      <c r="E1954" t="s">
        <v>159</v>
      </c>
      <c r="F1954">
        <v>6776</v>
      </c>
      <c r="G1954" t="s">
        <v>702</v>
      </c>
      <c r="I1954" t="s">
        <v>1205</v>
      </c>
      <c r="J1954">
        <v>2905</v>
      </c>
    </row>
    <row r="1955" spans="1:10" x14ac:dyDescent="0.3">
      <c r="A1955">
        <v>2130</v>
      </c>
      <c r="B1955" t="s">
        <v>1879</v>
      </c>
      <c r="C1955" t="s">
        <v>1202</v>
      </c>
      <c r="D1955" t="s">
        <v>159</v>
      </c>
      <c r="E1955" t="s">
        <v>159</v>
      </c>
      <c r="F1955">
        <v>6776</v>
      </c>
      <c r="G1955" t="s">
        <v>703</v>
      </c>
      <c r="I1955" t="s">
        <v>1205</v>
      </c>
      <c r="J1955">
        <v>5740</v>
      </c>
    </row>
    <row r="1956" spans="1:10" x14ac:dyDescent="0.3">
      <c r="A1956">
        <v>2130</v>
      </c>
      <c r="B1956" t="s">
        <v>1879</v>
      </c>
      <c r="C1956" t="s">
        <v>1202</v>
      </c>
      <c r="D1956" t="s">
        <v>159</v>
      </c>
      <c r="E1956" t="s">
        <v>159</v>
      </c>
      <c r="F1956">
        <v>6776</v>
      </c>
      <c r="G1956" t="s">
        <v>700</v>
      </c>
      <c r="H1956" t="s">
        <v>1881</v>
      </c>
      <c r="I1956" t="s">
        <v>1205</v>
      </c>
      <c r="J1956">
        <v>15984</v>
      </c>
    </row>
    <row r="1957" spans="1:10" x14ac:dyDescent="0.3">
      <c r="A1957">
        <v>2130</v>
      </c>
      <c r="B1957" t="s">
        <v>1879</v>
      </c>
      <c r="C1957" t="s">
        <v>1202</v>
      </c>
      <c r="D1957" t="s">
        <v>159</v>
      </c>
      <c r="E1957" t="s">
        <v>159</v>
      </c>
      <c r="F1957">
        <v>6776</v>
      </c>
      <c r="G1957" t="s">
        <v>698</v>
      </c>
      <c r="I1957" t="s">
        <v>1205</v>
      </c>
      <c r="J1957">
        <v>13979</v>
      </c>
    </row>
    <row r="1958" spans="1:10" x14ac:dyDescent="0.3">
      <c r="A1958">
        <v>2130</v>
      </c>
      <c r="B1958" t="s">
        <v>1879</v>
      </c>
      <c r="C1958" t="s">
        <v>1202</v>
      </c>
      <c r="D1958" t="s">
        <v>159</v>
      </c>
      <c r="E1958" t="s">
        <v>159</v>
      </c>
      <c r="F1958">
        <v>6776</v>
      </c>
      <c r="G1958" t="s">
        <v>696</v>
      </c>
      <c r="I1958" t="s">
        <v>1205</v>
      </c>
      <c r="J1958">
        <v>44419</v>
      </c>
    </row>
    <row r="1959" spans="1:10" x14ac:dyDescent="0.3">
      <c r="A1959">
        <v>2132</v>
      </c>
      <c r="B1959" t="s">
        <v>772</v>
      </c>
      <c r="C1959" t="s">
        <v>1202</v>
      </c>
      <c r="D1959" t="s">
        <v>1203</v>
      </c>
      <c r="E1959" t="s">
        <v>1204</v>
      </c>
      <c r="F1959">
        <v>5606</v>
      </c>
      <c r="G1959" t="s">
        <v>691</v>
      </c>
      <c r="H1959" t="s">
        <v>1882</v>
      </c>
      <c r="I1959" t="s">
        <v>1205</v>
      </c>
      <c r="J1959">
        <v>4550</v>
      </c>
    </row>
    <row r="1960" spans="1:10" x14ac:dyDescent="0.3">
      <c r="A1960">
        <v>2132</v>
      </c>
      <c r="B1960" t="s">
        <v>772</v>
      </c>
      <c r="C1960" t="s">
        <v>1202</v>
      </c>
      <c r="D1960" t="s">
        <v>1203</v>
      </c>
      <c r="E1960" t="s">
        <v>1204</v>
      </c>
      <c r="F1960">
        <v>5606</v>
      </c>
      <c r="G1960" t="s">
        <v>691</v>
      </c>
      <c r="H1960" t="s">
        <v>1883</v>
      </c>
      <c r="I1960" t="s">
        <v>1205</v>
      </c>
      <c r="J1960">
        <v>31102</v>
      </c>
    </row>
    <row r="1961" spans="1:10" x14ac:dyDescent="0.3">
      <c r="A1961">
        <v>2132</v>
      </c>
      <c r="B1961" t="s">
        <v>772</v>
      </c>
      <c r="C1961" t="s">
        <v>1202</v>
      </c>
      <c r="D1961" t="s">
        <v>1203</v>
      </c>
      <c r="E1961" t="s">
        <v>1204</v>
      </c>
      <c r="F1961">
        <v>5606</v>
      </c>
      <c r="G1961" t="s">
        <v>686</v>
      </c>
      <c r="H1961" t="s">
        <v>1884</v>
      </c>
      <c r="I1961" t="s">
        <v>1205</v>
      </c>
      <c r="J1961">
        <v>10774</v>
      </c>
    </row>
    <row r="1962" spans="1:10" x14ac:dyDescent="0.3">
      <c r="A1962">
        <v>2140</v>
      </c>
      <c r="B1962" t="s">
        <v>1885</v>
      </c>
      <c r="C1962" t="s">
        <v>1202</v>
      </c>
      <c r="D1962" t="s">
        <v>159</v>
      </c>
      <c r="E1962" t="s">
        <v>159</v>
      </c>
      <c r="F1962">
        <v>7526</v>
      </c>
      <c r="G1962" t="s">
        <v>698</v>
      </c>
      <c r="I1962" t="s">
        <v>1205</v>
      </c>
      <c r="J1962">
        <v>7332</v>
      </c>
    </row>
    <row r="1963" spans="1:10" x14ac:dyDescent="0.3">
      <c r="A1963">
        <v>2140</v>
      </c>
      <c r="B1963" t="s">
        <v>1885</v>
      </c>
      <c r="C1963" t="s">
        <v>1202</v>
      </c>
      <c r="D1963" t="s">
        <v>159</v>
      </c>
      <c r="E1963" t="s">
        <v>159</v>
      </c>
      <c r="F1963">
        <v>7526</v>
      </c>
      <c r="G1963" t="s">
        <v>696</v>
      </c>
      <c r="I1963" t="s">
        <v>1205</v>
      </c>
      <c r="J1963">
        <v>17848</v>
      </c>
    </row>
    <row r="1964" spans="1:10" x14ac:dyDescent="0.3">
      <c r="A1964">
        <v>2140</v>
      </c>
      <c r="B1964" t="s">
        <v>1885</v>
      </c>
      <c r="C1964" t="s">
        <v>1202</v>
      </c>
      <c r="D1964" t="s">
        <v>159</v>
      </c>
      <c r="E1964" t="s">
        <v>159</v>
      </c>
      <c r="F1964">
        <v>7526</v>
      </c>
      <c r="G1964" t="s">
        <v>686</v>
      </c>
      <c r="H1964" t="s">
        <v>1886</v>
      </c>
      <c r="I1964" t="s">
        <v>1205</v>
      </c>
      <c r="J1964">
        <v>1211</v>
      </c>
    </row>
    <row r="1965" spans="1:10" x14ac:dyDescent="0.3">
      <c r="A1965">
        <v>2140</v>
      </c>
      <c r="B1965" t="s">
        <v>1885</v>
      </c>
      <c r="C1965" t="s">
        <v>1202</v>
      </c>
      <c r="D1965" t="s">
        <v>159</v>
      </c>
      <c r="E1965" t="s">
        <v>159</v>
      </c>
      <c r="F1965">
        <v>7526</v>
      </c>
      <c r="G1965" t="s">
        <v>705</v>
      </c>
      <c r="H1965" t="s">
        <v>1887</v>
      </c>
      <c r="I1965" t="s">
        <v>1205</v>
      </c>
      <c r="J1965">
        <v>6667</v>
      </c>
    </row>
    <row r="1966" spans="1:10" x14ac:dyDescent="0.3">
      <c r="A1966">
        <v>2140</v>
      </c>
      <c r="B1966" t="s">
        <v>1885</v>
      </c>
      <c r="C1966" t="s">
        <v>1202</v>
      </c>
      <c r="D1966" t="s">
        <v>159</v>
      </c>
      <c r="E1966" t="s">
        <v>159</v>
      </c>
      <c r="F1966">
        <v>7526</v>
      </c>
      <c r="G1966" t="s">
        <v>701</v>
      </c>
      <c r="I1966" t="s">
        <v>1205</v>
      </c>
      <c r="J1966">
        <v>63</v>
      </c>
    </row>
    <row r="1967" spans="1:10" x14ac:dyDescent="0.3">
      <c r="A1967">
        <v>2140</v>
      </c>
      <c r="B1967" t="s">
        <v>1885</v>
      </c>
      <c r="C1967" t="s">
        <v>1202</v>
      </c>
      <c r="D1967" t="s">
        <v>159</v>
      </c>
      <c r="E1967" t="s">
        <v>159</v>
      </c>
      <c r="F1967">
        <v>7526</v>
      </c>
      <c r="G1967" t="s">
        <v>702</v>
      </c>
      <c r="I1967" t="s">
        <v>1205</v>
      </c>
      <c r="J1967">
        <v>1827</v>
      </c>
    </row>
    <row r="1968" spans="1:10" x14ac:dyDescent="0.3">
      <c r="A1968">
        <v>2140</v>
      </c>
      <c r="B1968" t="s">
        <v>1885</v>
      </c>
      <c r="C1968" t="s">
        <v>1202</v>
      </c>
      <c r="D1968" t="s">
        <v>159</v>
      </c>
      <c r="E1968" t="s">
        <v>159</v>
      </c>
      <c r="F1968">
        <v>7526</v>
      </c>
      <c r="G1968" t="s">
        <v>700</v>
      </c>
      <c r="I1968" t="s">
        <v>1205</v>
      </c>
      <c r="J1968">
        <v>2619</v>
      </c>
    </row>
    <row r="1969" spans="1:10" x14ac:dyDescent="0.3">
      <c r="A1969">
        <v>2140</v>
      </c>
      <c r="B1969" t="s">
        <v>1885</v>
      </c>
      <c r="C1969" t="s">
        <v>1202</v>
      </c>
      <c r="D1969" t="s">
        <v>159</v>
      </c>
      <c r="E1969" t="s">
        <v>159</v>
      </c>
      <c r="F1969">
        <v>7526</v>
      </c>
      <c r="G1969" t="s">
        <v>703</v>
      </c>
      <c r="I1969" t="s">
        <v>1205</v>
      </c>
      <c r="J1969">
        <v>2187</v>
      </c>
    </row>
    <row r="1970" spans="1:10" x14ac:dyDescent="0.3">
      <c r="A1970">
        <v>2140</v>
      </c>
      <c r="B1970" t="s">
        <v>1885</v>
      </c>
      <c r="C1970" t="s">
        <v>1202</v>
      </c>
      <c r="D1970" t="s">
        <v>159</v>
      </c>
      <c r="E1970" t="s">
        <v>159</v>
      </c>
      <c r="F1970">
        <v>7526</v>
      </c>
      <c r="G1970" t="s">
        <v>705</v>
      </c>
      <c r="H1970" t="s">
        <v>1888</v>
      </c>
      <c r="I1970" t="s">
        <v>1205</v>
      </c>
      <c r="J1970">
        <v>159</v>
      </c>
    </row>
    <row r="1971" spans="1:10" x14ac:dyDescent="0.3">
      <c r="A1971">
        <v>2150</v>
      </c>
      <c r="B1971" t="s">
        <v>1889</v>
      </c>
      <c r="C1971" t="s">
        <v>1202</v>
      </c>
      <c r="D1971" t="s">
        <v>1203</v>
      </c>
      <c r="E1971" t="s">
        <v>1204</v>
      </c>
      <c r="F1971">
        <v>5758</v>
      </c>
      <c r="G1971" t="s">
        <v>696</v>
      </c>
      <c r="H1971" t="s">
        <v>1890</v>
      </c>
      <c r="I1971" t="s">
        <v>1205</v>
      </c>
      <c r="J1971">
        <v>18159</v>
      </c>
    </row>
    <row r="1972" spans="1:10" x14ac:dyDescent="0.3">
      <c r="A1972">
        <v>2150</v>
      </c>
      <c r="B1972" t="s">
        <v>1889</v>
      </c>
      <c r="C1972" t="s">
        <v>1202</v>
      </c>
      <c r="D1972" t="s">
        <v>1203</v>
      </c>
      <c r="E1972" t="s">
        <v>1204</v>
      </c>
      <c r="F1972">
        <v>5758</v>
      </c>
      <c r="G1972" t="s">
        <v>701</v>
      </c>
      <c r="H1972" t="s">
        <v>1891</v>
      </c>
      <c r="I1972" t="s">
        <v>1205</v>
      </c>
      <c r="J1972">
        <v>6142</v>
      </c>
    </row>
    <row r="1973" spans="1:10" x14ac:dyDescent="0.3">
      <c r="A1973">
        <v>2150</v>
      </c>
      <c r="B1973" t="s">
        <v>1889</v>
      </c>
      <c r="C1973" t="s">
        <v>1202</v>
      </c>
      <c r="D1973" t="s">
        <v>1203</v>
      </c>
      <c r="E1973" t="s">
        <v>1204</v>
      </c>
      <c r="F1973">
        <v>5758</v>
      </c>
      <c r="G1973" t="s">
        <v>702</v>
      </c>
      <c r="H1973" t="s">
        <v>1663</v>
      </c>
      <c r="I1973" t="s">
        <v>1205</v>
      </c>
      <c r="J1973">
        <v>5962</v>
      </c>
    </row>
    <row r="1974" spans="1:10" x14ac:dyDescent="0.3">
      <c r="A1974">
        <v>2150</v>
      </c>
      <c r="B1974" t="s">
        <v>1889</v>
      </c>
      <c r="C1974" t="s">
        <v>1202</v>
      </c>
      <c r="D1974" t="s">
        <v>1203</v>
      </c>
      <c r="E1974" t="s">
        <v>1204</v>
      </c>
      <c r="F1974">
        <v>5758</v>
      </c>
      <c r="G1974" t="s">
        <v>687</v>
      </c>
      <c r="H1974" t="s">
        <v>1302</v>
      </c>
      <c r="I1974" t="s">
        <v>1205</v>
      </c>
      <c r="J1974">
        <v>27</v>
      </c>
    </row>
    <row r="1975" spans="1:10" x14ac:dyDescent="0.3">
      <c r="A1975">
        <v>2150</v>
      </c>
      <c r="B1975" t="s">
        <v>1889</v>
      </c>
      <c r="C1975" t="s">
        <v>1202</v>
      </c>
      <c r="D1975" t="s">
        <v>1203</v>
      </c>
      <c r="E1975" t="s">
        <v>1204</v>
      </c>
      <c r="F1975">
        <v>5758</v>
      </c>
      <c r="G1975" t="s">
        <v>686</v>
      </c>
      <c r="H1975" t="s">
        <v>1482</v>
      </c>
      <c r="I1975" t="s">
        <v>1205</v>
      </c>
      <c r="J1975">
        <v>4155</v>
      </c>
    </row>
    <row r="1976" spans="1:10" x14ac:dyDescent="0.3">
      <c r="A1976">
        <v>2150</v>
      </c>
      <c r="B1976" t="s">
        <v>1889</v>
      </c>
      <c r="C1976" t="s">
        <v>1202</v>
      </c>
      <c r="D1976" t="s">
        <v>1203</v>
      </c>
      <c r="E1976" t="s">
        <v>1204</v>
      </c>
      <c r="F1976">
        <v>5758</v>
      </c>
      <c r="G1976" t="s">
        <v>1497</v>
      </c>
      <c r="H1976" t="s">
        <v>1427</v>
      </c>
      <c r="I1976" t="s">
        <v>1205</v>
      </c>
      <c r="J1976">
        <v>2</v>
      </c>
    </row>
    <row r="1977" spans="1:10" x14ac:dyDescent="0.3">
      <c r="A1977">
        <v>2150</v>
      </c>
      <c r="B1977" t="s">
        <v>1889</v>
      </c>
      <c r="C1977" t="s">
        <v>1202</v>
      </c>
      <c r="D1977" t="s">
        <v>1203</v>
      </c>
      <c r="E1977" t="s">
        <v>1204</v>
      </c>
      <c r="F1977">
        <v>5758</v>
      </c>
      <c r="G1977" t="s">
        <v>698</v>
      </c>
      <c r="H1977" t="s">
        <v>1892</v>
      </c>
      <c r="I1977" t="s">
        <v>1205</v>
      </c>
      <c r="J1977">
        <v>5661</v>
      </c>
    </row>
    <row r="1978" spans="1:10" x14ac:dyDescent="0.3">
      <c r="A1978">
        <v>2150</v>
      </c>
      <c r="B1978" t="s">
        <v>1889</v>
      </c>
      <c r="C1978" t="s">
        <v>1202</v>
      </c>
      <c r="D1978" t="s">
        <v>1203</v>
      </c>
      <c r="E1978" t="s">
        <v>1204</v>
      </c>
      <c r="F1978">
        <v>5758</v>
      </c>
      <c r="G1978" t="s">
        <v>702</v>
      </c>
      <c r="H1978" t="s">
        <v>1893</v>
      </c>
      <c r="I1978" t="s">
        <v>1210</v>
      </c>
      <c r="J1978">
        <v>2075</v>
      </c>
    </row>
    <row r="1979" spans="1:10" x14ac:dyDescent="0.3">
      <c r="A1979">
        <v>2154</v>
      </c>
      <c r="B1979" t="s">
        <v>1894</v>
      </c>
      <c r="C1979" t="s">
        <v>1202</v>
      </c>
      <c r="D1979" t="s">
        <v>1203</v>
      </c>
      <c r="E1979" t="s">
        <v>1204</v>
      </c>
      <c r="F1979">
        <v>5791</v>
      </c>
      <c r="G1979" t="s">
        <v>696</v>
      </c>
      <c r="I1979" t="s">
        <v>1205</v>
      </c>
      <c r="J1979">
        <v>2006.6</v>
      </c>
    </row>
    <row r="1980" spans="1:10" x14ac:dyDescent="0.3">
      <c r="A1980">
        <v>2154</v>
      </c>
      <c r="B1980" t="s">
        <v>1894</v>
      </c>
      <c r="C1980" t="s">
        <v>1202</v>
      </c>
      <c r="D1980" t="s">
        <v>1203</v>
      </c>
      <c r="E1980" t="s">
        <v>1204</v>
      </c>
      <c r="F1980">
        <v>5791</v>
      </c>
      <c r="G1980" t="s">
        <v>698</v>
      </c>
      <c r="I1980" t="s">
        <v>1205</v>
      </c>
      <c r="J1980">
        <v>4.7</v>
      </c>
    </row>
    <row r="1981" spans="1:10" x14ac:dyDescent="0.3">
      <c r="A1981">
        <v>2154</v>
      </c>
      <c r="B1981" t="s">
        <v>1894</v>
      </c>
      <c r="C1981" t="s">
        <v>1202</v>
      </c>
      <c r="D1981" t="s">
        <v>1203</v>
      </c>
      <c r="E1981" t="s">
        <v>1204</v>
      </c>
      <c r="F1981">
        <v>5791</v>
      </c>
      <c r="G1981" t="s">
        <v>700</v>
      </c>
      <c r="I1981" t="s">
        <v>1205</v>
      </c>
      <c r="J1981">
        <v>46.6</v>
      </c>
    </row>
    <row r="1982" spans="1:10" x14ac:dyDescent="0.3">
      <c r="A1982">
        <v>2154</v>
      </c>
      <c r="B1982" t="s">
        <v>1894</v>
      </c>
      <c r="C1982" t="s">
        <v>1202</v>
      </c>
      <c r="D1982" t="s">
        <v>1203</v>
      </c>
      <c r="E1982" t="s">
        <v>1204</v>
      </c>
      <c r="F1982">
        <v>5791</v>
      </c>
      <c r="G1982" t="s">
        <v>703</v>
      </c>
      <c r="I1982" t="s">
        <v>1205</v>
      </c>
      <c r="J1982">
        <v>143.69999999999999</v>
      </c>
    </row>
    <row r="1983" spans="1:10" x14ac:dyDescent="0.3">
      <c r="A1983">
        <v>2154</v>
      </c>
      <c r="B1983" t="s">
        <v>1894</v>
      </c>
      <c r="C1983" t="s">
        <v>1202</v>
      </c>
      <c r="D1983" t="s">
        <v>1203</v>
      </c>
      <c r="E1983" t="s">
        <v>1204</v>
      </c>
      <c r="F1983">
        <v>5791</v>
      </c>
      <c r="G1983" t="s">
        <v>702</v>
      </c>
      <c r="I1983" t="s">
        <v>1205</v>
      </c>
      <c r="J1983">
        <v>38</v>
      </c>
    </row>
    <row r="1984" spans="1:10" x14ac:dyDescent="0.3">
      <c r="A1984">
        <v>2154</v>
      </c>
      <c r="B1984" t="s">
        <v>1894</v>
      </c>
      <c r="C1984" t="s">
        <v>1202</v>
      </c>
      <c r="D1984" t="s">
        <v>1203</v>
      </c>
      <c r="E1984" t="s">
        <v>1204</v>
      </c>
      <c r="F1984">
        <v>5791</v>
      </c>
      <c r="G1984" t="s">
        <v>686</v>
      </c>
      <c r="I1984" t="s">
        <v>1205</v>
      </c>
      <c r="J1984">
        <v>453.1</v>
      </c>
    </row>
    <row r="1985" spans="1:10" x14ac:dyDescent="0.3">
      <c r="A1985">
        <v>2154</v>
      </c>
      <c r="B1985" t="s">
        <v>1894</v>
      </c>
      <c r="C1985" t="s">
        <v>1202</v>
      </c>
      <c r="D1985" t="s">
        <v>1203</v>
      </c>
      <c r="E1985" t="s">
        <v>1204</v>
      </c>
      <c r="F1985">
        <v>5791</v>
      </c>
      <c r="G1985" t="s">
        <v>687</v>
      </c>
      <c r="H1985" t="s">
        <v>1895</v>
      </c>
      <c r="I1985" t="s">
        <v>1205</v>
      </c>
      <c r="J1985">
        <v>8.5</v>
      </c>
    </row>
    <row r="1986" spans="1:10" x14ac:dyDescent="0.3">
      <c r="A1986">
        <v>2891</v>
      </c>
      <c r="B1986" t="s">
        <v>1896</v>
      </c>
      <c r="C1986" t="s">
        <v>1202</v>
      </c>
      <c r="D1986" t="s">
        <v>1203</v>
      </c>
      <c r="E1986" t="s">
        <v>1204</v>
      </c>
      <c r="F1986">
        <v>5799</v>
      </c>
      <c r="G1986" t="s">
        <v>686</v>
      </c>
      <c r="I1986" t="s">
        <v>1205</v>
      </c>
      <c r="J1986">
        <v>193.07</v>
      </c>
    </row>
    <row r="1987" spans="1:10" x14ac:dyDescent="0.3">
      <c r="A1987">
        <v>2891</v>
      </c>
      <c r="B1987" t="s">
        <v>1896</v>
      </c>
      <c r="C1987" t="s">
        <v>1202</v>
      </c>
      <c r="D1987" t="s">
        <v>1203</v>
      </c>
      <c r="E1987" t="s">
        <v>1204</v>
      </c>
      <c r="F1987">
        <v>5799</v>
      </c>
      <c r="G1987" t="s">
        <v>703</v>
      </c>
      <c r="I1987" t="s">
        <v>1205</v>
      </c>
      <c r="J1987">
        <v>109.3</v>
      </c>
    </row>
    <row r="1988" spans="1:10" x14ac:dyDescent="0.3">
      <c r="A1988">
        <v>2891</v>
      </c>
      <c r="B1988" t="s">
        <v>1896</v>
      </c>
      <c r="C1988" t="s">
        <v>1202</v>
      </c>
      <c r="D1988" t="s">
        <v>1203</v>
      </c>
      <c r="E1988" t="s">
        <v>1204</v>
      </c>
      <c r="F1988">
        <v>5799</v>
      </c>
      <c r="G1988" t="s">
        <v>700</v>
      </c>
      <c r="I1988" t="s">
        <v>1205</v>
      </c>
      <c r="J1988">
        <v>15.2</v>
      </c>
    </row>
    <row r="1989" spans="1:10" x14ac:dyDescent="0.3">
      <c r="A1989">
        <v>2891</v>
      </c>
      <c r="B1989" t="s">
        <v>1896</v>
      </c>
      <c r="C1989" t="s">
        <v>1202</v>
      </c>
      <c r="D1989" t="s">
        <v>1203</v>
      </c>
      <c r="E1989" t="s">
        <v>1204</v>
      </c>
      <c r="F1989">
        <v>5799</v>
      </c>
      <c r="G1989" t="s">
        <v>698</v>
      </c>
      <c r="I1989" t="s">
        <v>1205</v>
      </c>
      <c r="J1989">
        <v>0.2</v>
      </c>
    </row>
    <row r="1990" spans="1:10" x14ac:dyDescent="0.3">
      <c r="A1990">
        <v>2891</v>
      </c>
      <c r="B1990" t="s">
        <v>1896</v>
      </c>
      <c r="C1990" t="s">
        <v>1202</v>
      </c>
      <c r="D1990" t="s">
        <v>1203</v>
      </c>
      <c r="E1990" t="s">
        <v>1204</v>
      </c>
      <c r="F1990">
        <v>5799</v>
      </c>
      <c r="G1990" t="s">
        <v>696</v>
      </c>
      <c r="I1990" t="s">
        <v>1205</v>
      </c>
      <c r="J1990">
        <v>1299.5</v>
      </c>
    </row>
    <row r="1991" spans="1:10" x14ac:dyDescent="0.3">
      <c r="A1991">
        <v>2157</v>
      </c>
      <c r="B1991" t="s">
        <v>1897</v>
      </c>
      <c r="C1991" t="s">
        <v>1202</v>
      </c>
      <c r="D1991" t="s">
        <v>1203</v>
      </c>
      <c r="E1991" t="s">
        <v>1204</v>
      </c>
      <c r="F1991">
        <v>6643</v>
      </c>
      <c r="G1991" t="s">
        <v>700</v>
      </c>
      <c r="H1991" t="s">
        <v>1898</v>
      </c>
      <c r="I1991" t="s">
        <v>1205</v>
      </c>
      <c r="J1991">
        <v>612.15564114961103</v>
      </c>
    </row>
    <row r="1992" spans="1:10" x14ac:dyDescent="0.3">
      <c r="A1992">
        <v>2157</v>
      </c>
      <c r="B1992" t="s">
        <v>1897</v>
      </c>
      <c r="C1992" t="s">
        <v>1202</v>
      </c>
      <c r="D1992" t="s">
        <v>1203</v>
      </c>
      <c r="E1992" t="s">
        <v>1204</v>
      </c>
      <c r="F1992">
        <v>6643</v>
      </c>
      <c r="G1992" t="s">
        <v>687</v>
      </c>
      <c r="H1992" t="s">
        <v>1393</v>
      </c>
      <c r="I1992" t="s">
        <v>1205</v>
      </c>
      <c r="J1992">
        <v>2391.8388186201701</v>
      </c>
    </row>
    <row r="1993" spans="1:10" x14ac:dyDescent="0.3">
      <c r="A1993">
        <v>2157</v>
      </c>
      <c r="B1993" t="s">
        <v>1897</v>
      </c>
      <c r="C1993" t="s">
        <v>1202</v>
      </c>
      <c r="D1993" t="s">
        <v>1203</v>
      </c>
      <c r="E1993" t="s">
        <v>1204</v>
      </c>
      <c r="F1993">
        <v>6643</v>
      </c>
      <c r="G1993" t="s">
        <v>703</v>
      </c>
      <c r="H1993" t="s">
        <v>1899</v>
      </c>
      <c r="I1993" t="s">
        <v>1205</v>
      </c>
      <c r="J1993">
        <v>207.32782158033299</v>
      </c>
    </row>
    <row r="1994" spans="1:10" x14ac:dyDescent="0.3">
      <c r="A1994">
        <v>2157</v>
      </c>
      <c r="B1994" t="s">
        <v>1897</v>
      </c>
      <c r="C1994" t="s">
        <v>1202</v>
      </c>
      <c r="D1994" t="s">
        <v>1203</v>
      </c>
      <c r="E1994" t="s">
        <v>1204</v>
      </c>
      <c r="F1994">
        <v>6643</v>
      </c>
      <c r="G1994" t="s">
        <v>686</v>
      </c>
      <c r="H1994" t="s">
        <v>1898</v>
      </c>
      <c r="I1994" t="s">
        <v>1205</v>
      </c>
      <c r="J1994">
        <v>287.26813297937599</v>
      </c>
    </row>
    <row r="1995" spans="1:10" x14ac:dyDescent="0.3">
      <c r="A1995">
        <v>2158</v>
      </c>
      <c r="B1995" t="s">
        <v>1900</v>
      </c>
      <c r="C1995" t="s">
        <v>1202</v>
      </c>
      <c r="D1995" t="s">
        <v>1203</v>
      </c>
      <c r="E1995" t="s">
        <v>1204</v>
      </c>
      <c r="F1995">
        <v>5792</v>
      </c>
      <c r="G1995" t="s">
        <v>698</v>
      </c>
      <c r="I1995" t="s">
        <v>1205</v>
      </c>
      <c r="J1995">
        <v>3443</v>
      </c>
    </row>
    <row r="1996" spans="1:10" x14ac:dyDescent="0.3">
      <c r="A1996">
        <v>2158</v>
      </c>
      <c r="B1996" t="s">
        <v>1900</v>
      </c>
      <c r="C1996" t="s">
        <v>1202</v>
      </c>
      <c r="D1996" t="s">
        <v>1203</v>
      </c>
      <c r="E1996" t="s">
        <v>1204</v>
      </c>
      <c r="F1996">
        <v>5792</v>
      </c>
      <c r="G1996" t="s">
        <v>696</v>
      </c>
      <c r="I1996" t="s">
        <v>1205</v>
      </c>
      <c r="J1996">
        <v>5489</v>
      </c>
    </row>
    <row r="1997" spans="1:10" x14ac:dyDescent="0.3">
      <c r="A1997">
        <v>2158</v>
      </c>
      <c r="B1997" t="s">
        <v>1900</v>
      </c>
      <c r="C1997" t="s">
        <v>1202</v>
      </c>
      <c r="D1997" t="s">
        <v>1203</v>
      </c>
      <c r="E1997" t="s">
        <v>1204</v>
      </c>
      <c r="F1997">
        <v>5792</v>
      </c>
      <c r="G1997" t="s">
        <v>700</v>
      </c>
      <c r="I1997" t="s">
        <v>1205</v>
      </c>
      <c r="J1997">
        <v>3219</v>
      </c>
    </row>
    <row r="1998" spans="1:10" x14ac:dyDescent="0.3">
      <c r="A1998">
        <v>2158</v>
      </c>
      <c r="B1998" t="s">
        <v>1900</v>
      </c>
      <c r="C1998" t="s">
        <v>1202</v>
      </c>
      <c r="D1998" t="s">
        <v>1203</v>
      </c>
      <c r="E1998" t="s">
        <v>1204</v>
      </c>
      <c r="F1998">
        <v>5792</v>
      </c>
      <c r="G1998" t="s">
        <v>702</v>
      </c>
      <c r="H1998" t="s">
        <v>1275</v>
      </c>
      <c r="I1998" t="s">
        <v>1205</v>
      </c>
      <c r="J1998">
        <v>380</v>
      </c>
    </row>
    <row r="1999" spans="1:10" x14ac:dyDescent="0.3">
      <c r="A1999">
        <v>2158</v>
      </c>
      <c r="B1999" t="s">
        <v>1900</v>
      </c>
      <c r="C1999" t="s">
        <v>1202</v>
      </c>
      <c r="D1999" t="s">
        <v>1203</v>
      </c>
      <c r="E1999" t="s">
        <v>1204</v>
      </c>
      <c r="F1999">
        <v>5792</v>
      </c>
      <c r="G1999" t="s">
        <v>691</v>
      </c>
      <c r="H1999" t="s">
        <v>1901</v>
      </c>
      <c r="I1999" t="s">
        <v>1205</v>
      </c>
      <c r="J1999">
        <v>160</v>
      </c>
    </row>
    <row r="2000" spans="1:10" x14ac:dyDescent="0.3">
      <c r="A2000">
        <v>2158</v>
      </c>
      <c r="B2000" t="s">
        <v>1900</v>
      </c>
      <c r="C2000" t="s">
        <v>1202</v>
      </c>
      <c r="D2000" t="s">
        <v>1203</v>
      </c>
      <c r="E2000" t="s">
        <v>1204</v>
      </c>
      <c r="F2000">
        <v>5792</v>
      </c>
      <c r="G2000" t="s">
        <v>686</v>
      </c>
      <c r="I2000" t="s">
        <v>1205</v>
      </c>
      <c r="J2000">
        <v>865</v>
      </c>
    </row>
    <row r="2001" spans="1:10" x14ac:dyDescent="0.3">
      <c r="A2001">
        <v>2159</v>
      </c>
      <c r="B2001" t="s">
        <v>1902</v>
      </c>
      <c r="C2001" t="s">
        <v>1202</v>
      </c>
      <c r="D2001" t="s">
        <v>1203</v>
      </c>
      <c r="E2001" t="s">
        <v>1204</v>
      </c>
      <c r="F2001">
        <v>5472</v>
      </c>
      <c r="G2001" t="s">
        <v>687</v>
      </c>
      <c r="H2001" t="s">
        <v>1903</v>
      </c>
      <c r="I2001" t="s">
        <v>1205</v>
      </c>
      <c r="J2001">
        <v>23</v>
      </c>
    </row>
    <row r="2002" spans="1:10" x14ac:dyDescent="0.3">
      <c r="A2002">
        <v>2159</v>
      </c>
      <c r="B2002" t="s">
        <v>1902</v>
      </c>
      <c r="C2002" t="s">
        <v>1202</v>
      </c>
      <c r="D2002" t="s">
        <v>1203</v>
      </c>
      <c r="E2002" t="s">
        <v>1204</v>
      </c>
      <c r="F2002">
        <v>5472</v>
      </c>
      <c r="G2002" t="s">
        <v>686</v>
      </c>
      <c r="H2002" t="s">
        <v>1622</v>
      </c>
      <c r="I2002" t="s">
        <v>1205</v>
      </c>
      <c r="J2002">
        <v>157</v>
      </c>
    </row>
    <row r="2003" spans="1:10" x14ac:dyDescent="0.3">
      <c r="A2003">
        <v>2159</v>
      </c>
      <c r="B2003" t="s">
        <v>1902</v>
      </c>
      <c r="C2003" t="s">
        <v>1202</v>
      </c>
      <c r="D2003" t="s">
        <v>1203</v>
      </c>
      <c r="E2003" t="s">
        <v>1204</v>
      </c>
      <c r="F2003">
        <v>5472</v>
      </c>
      <c r="G2003" t="s">
        <v>696</v>
      </c>
      <c r="I2003" t="s">
        <v>1205</v>
      </c>
      <c r="J2003">
        <v>4112</v>
      </c>
    </row>
    <row r="2004" spans="1:10" x14ac:dyDescent="0.3">
      <c r="A2004">
        <v>2159</v>
      </c>
      <c r="B2004" t="s">
        <v>1902</v>
      </c>
      <c r="C2004" t="s">
        <v>1202</v>
      </c>
      <c r="D2004" t="s">
        <v>1203</v>
      </c>
      <c r="E2004" t="s">
        <v>1204</v>
      </c>
      <c r="F2004">
        <v>5472</v>
      </c>
      <c r="G2004" t="s">
        <v>700</v>
      </c>
      <c r="I2004" t="s">
        <v>1205</v>
      </c>
      <c r="J2004">
        <v>618</v>
      </c>
    </row>
    <row r="2005" spans="1:10" x14ac:dyDescent="0.3">
      <c r="A2005">
        <v>2159</v>
      </c>
      <c r="B2005" t="s">
        <v>1902</v>
      </c>
      <c r="C2005" t="s">
        <v>1202</v>
      </c>
      <c r="D2005" t="s">
        <v>1203</v>
      </c>
      <c r="E2005" t="s">
        <v>1204</v>
      </c>
      <c r="F2005">
        <v>5472</v>
      </c>
      <c r="G2005" t="s">
        <v>698</v>
      </c>
      <c r="I2005" t="s">
        <v>1205</v>
      </c>
      <c r="J2005">
        <v>1236</v>
      </c>
    </row>
    <row r="2006" spans="1:10" x14ac:dyDescent="0.3">
      <c r="A2006">
        <v>2159</v>
      </c>
      <c r="B2006" t="s">
        <v>1902</v>
      </c>
      <c r="C2006" t="s">
        <v>1202</v>
      </c>
      <c r="D2006" t="s">
        <v>1203</v>
      </c>
      <c r="E2006" t="s">
        <v>1204</v>
      </c>
      <c r="F2006">
        <v>5472</v>
      </c>
      <c r="G2006" t="s">
        <v>702</v>
      </c>
      <c r="I2006" t="s">
        <v>1205</v>
      </c>
      <c r="J2006">
        <v>952</v>
      </c>
    </row>
    <row r="2007" spans="1:10" x14ac:dyDescent="0.3">
      <c r="A2007">
        <v>2160</v>
      </c>
      <c r="B2007" t="s">
        <v>1904</v>
      </c>
      <c r="C2007" t="s">
        <v>1202</v>
      </c>
      <c r="D2007" t="s">
        <v>1203</v>
      </c>
      <c r="E2007" t="s">
        <v>1204</v>
      </c>
      <c r="F2007">
        <v>5474</v>
      </c>
      <c r="G2007" t="s">
        <v>686</v>
      </c>
      <c r="H2007" t="s">
        <v>1227</v>
      </c>
      <c r="I2007" t="s">
        <v>1205</v>
      </c>
      <c r="J2007">
        <v>16185</v>
      </c>
    </row>
    <row r="2008" spans="1:10" x14ac:dyDescent="0.3">
      <c r="A2008">
        <v>2160</v>
      </c>
      <c r="B2008" t="s">
        <v>1904</v>
      </c>
      <c r="C2008" t="s">
        <v>1202</v>
      </c>
      <c r="D2008" t="s">
        <v>1203</v>
      </c>
      <c r="E2008" t="s">
        <v>1204</v>
      </c>
      <c r="F2008">
        <v>5474</v>
      </c>
      <c r="G2008" t="s">
        <v>696</v>
      </c>
      <c r="H2008" t="s">
        <v>1905</v>
      </c>
      <c r="I2008" t="s">
        <v>1205</v>
      </c>
      <c r="J2008">
        <v>54228</v>
      </c>
    </row>
    <row r="2009" spans="1:10" x14ac:dyDescent="0.3">
      <c r="A2009">
        <v>2160</v>
      </c>
      <c r="B2009" t="s">
        <v>1904</v>
      </c>
      <c r="C2009" t="s">
        <v>1202</v>
      </c>
      <c r="D2009" t="s">
        <v>1203</v>
      </c>
      <c r="E2009" t="s">
        <v>1204</v>
      </c>
      <c r="F2009">
        <v>5474</v>
      </c>
      <c r="G2009" t="s">
        <v>698</v>
      </c>
      <c r="H2009" t="s">
        <v>1905</v>
      </c>
      <c r="I2009" t="s">
        <v>1205</v>
      </c>
      <c r="J2009">
        <v>35370</v>
      </c>
    </row>
    <row r="2010" spans="1:10" x14ac:dyDescent="0.3">
      <c r="A2010">
        <v>2160</v>
      </c>
      <c r="B2010" t="s">
        <v>1904</v>
      </c>
      <c r="C2010" t="s">
        <v>1202</v>
      </c>
      <c r="D2010" t="s">
        <v>1203</v>
      </c>
      <c r="E2010" t="s">
        <v>1204</v>
      </c>
      <c r="F2010">
        <v>5474</v>
      </c>
      <c r="G2010" t="s">
        <v>700</v>
      </c>
      <c r="H2010" t="s">
        <v>1906</v>
      </c>
      <c r="I2010" t="s">
        <v>1205</v>
      </c>
      <c r="J2010">
        <v>38615</v>
      </c>
    </row>
    <row r="2011" spans="1:10" x14ac:dyDescent="0.3">
      <c r="A2011">
        <v>2160</v>
      </c>
      <c r="B2011" t="s">
        <v>1904</v>
      </c>
      <c r="C2011" t="s">
        <v>1202</v>
      </c>
      <c r="D2011" t="s">
        <v>1203</v>
      </c>
      <c r="E2011" t="s">
        <v>1204</v>
      </c>
      <c r="F2011">
        <v>5474</v>
      </c>
      <c r="G2011" t="s">
        <v>702</v>
      </c>
      <c r="H2011" t="s">
        <v>1663</v>
      </c>
      <c r="I2011" t="s">
        <v>1205</v>
      </c>
      <c r="J2011">
        <v>17175</v>
      </c>
    </row>
    <row r="2012" spans="1:10" x14ac:dyDescent="0.3">
      <c r="A2012">
        <v>2162</v>
      </c>
      <c r="B2012" t="s">
        <v>1907</v>
      </c>
      <c r="C2012" t="s">
        <v>1202</v>
      </c>
      <c r="D2012" t="s">
        <v>159</v>
      </c>
      <c r="E2012" t="s">
        <v>159</v>
      </c>
      <c r="F2012">
        <v>7208</v>
      </c>
      <c r="G2012" t="s">
        <v>698</v>
      </c>
      <c r="I2012" t="s">
        <v>1205</v>
      </c>
      <c r="J2012">
        <v>1102</v>
      </c>
    </row>
    <row r="2013" spans="1:10" x14ac:dyDescent="0.3">
      <c r="A2013">
        <v>2162</v>
      </c>
      <c r="B2013" t="s">
        <v>1907</v>
      </c>
      <c r="C2013" t="s">
        <v>1202</v>
      </c>
      <c r="D2013" t="s">
        <v>159</v>
      </c>
      <c r="E2013" t="s">
        <v>159</v>
      </c>
      <c r="F2013">
        <v>7208</v>
      </c>
      <c r="G2013" t="s">
        <v>700</v>
      </c>
      <c r="I2013" t="s">
        <v>1205</v>
      </c>
      <c r="J2013">
        <v>501</v>
      </c>
    </row>
    <row r="2014" spans="1:10" x14ac:dyDescent="0.3">
      <c r="A2014">
        <v>2162</v>
      </c>
      <c r="B2014" t="s">
        <v>1907</v>
      </c>
      <c r="C2014" t="s">
        <v>1202</v>
      </c>
      <c r="D2014" t="s">
        <v>159</v>
      </c>
      <c r="E2014" t="s">
        <v>159</v>
      </c>
      <c r="F2014">
        <v>7208</v>
      </c>
      <c r="G2014" t="s">
        <v>703</v>
      </c>
      <c r="I2014" t="s">
        <v>1205</v>
      </c>
      <c r="J2014">
        <v>166</v>
      </c>
    </row>
    <row r="2015" spans="1:10" x14ac:dyDescent="0.3">
      <c r="A2015">
        <v>2162</v>
      </c>
      <c r="B2015" t="s">
        <v>1907</v>
      </c>
      <c r="C2015" t="s">
        <v>1202</v>
      </c>
      <c r="D2015" t="s">
        <v>159</v>
      </c>
      <c r="E2015" t="s">
        <v>159</v>
      </c>
      <c r="F2015">
        <v>7208</v>
      </c>
      <c r="G2015" t="s">
        <v>702</v>
      </c>
      <c r="I2015" t="s">
        <v>1205</v>
      </c>
      <c r="J2015">
        <v>328</v>
      </c>
    </row>
    <row r="2016" spans="1:10" x14ac:dyDescent="0.3">
      <c r="A2016">
        <v>2162</v>
      </c>
      <c r="B2016" t="s">
        <v>1907</v>
      </c>
      <c r="C2016" t="s">
        <v>1202</v>
      </c>
      <c r="D2016" t="s">
        <v>159</v>
      </c>
      <c r="E2016" t="s">
        <v>159</v>
      </c>
      <c r="F2016">
        <v>7208</v>
      </c>
      <c r="G2016" t="s">
        <v>684</v>
      </c>
      <c r="I2016" t="s">
        <v>1205</v>
      </c>
      <c r="J2016">
        <v>186</v>
      </c>
    </row>
    <row r="2017" spans="1:10" x14ac:dyDescent="0.3">
      <c r="A2017">
        <v>2162</v>
      </c>
      <c r="B2017" t="s">
        <v>1907</v>
      </c>
      <c r="C2017" t="s">
        <v>1202</v>
      </c>
      <c r="D2017" t="s">
        <v>159</v>
      </c>
      <c r="E2017" t="s">
        <v>159</v>
      </c>
      <c r="F2017">
        <v>7208</v>
      </c>
      <c r="G2017" t="s">
        <v>696</v>
      </c>
      <c r="I2017" t="s">
        <v>1205</v>
      </c>
      <c r="J2017">
        <v>2994</v>
      </c>
    </row>
    <row r="2018" spans="1:10" x14ac:dyDescent="0.3">
      <c r="A2018">
        <v>2162</v>
      </c>
      <c r="B2018" t="s">
        <v>1907</v>
      </c>
      <c r="C2018" t="s">
        <v>1202</v>
      </c>
      <c r="D2018" t="s">
        <v>159</v>
      </c>
      <c r="E2018" t="s">
        <v>159</v>
      </c>
      <c r="F2018">
        <v>7208</v>
      </c>
      <c r="G2018" t="s">
        <v>686</v>
      </c>
      <c r="I2018" t="s">
        <v>1205</v>
      </c>
      <c r="J2018">
        <v>186</v>
      </c>
    </row>
    <row r="2019" spans="1:10" x14ac:dyDescent="0.3">
      <c r="A2019">
        <v>2163</v>
      </c>
      <c r="B2019" t="s">
        <v>1908</v>
      </c>
      <c r="C2019" t="s">
        <v>1202</v>
      </c>
      <c r="D2019" t="s">
        <v>159</v>
      </c>
      <c r="E2019" t="s">
        <v>159</v>
      </c>
      <c r="F2019">
        <v>6759</v>
      </c>
      <c r="G2019" t="s">
        <v>686</v>
      </c>
      <c r="H2019" t="s">
        <v>1570</v>
      </c>
      <c r="I2019" t="s">
        <v>1205</v>
      </c>
      <c r="J2019">
        <v>212</v>
      </c>
    </row>
    <row r="2020" spans="1:10" x14ac:dyDescent="0.3">
      <c r="A2020">
        <v>2163</v>
      </c>
      <c r="B2020" t="s">
        <v>1908</v>
      </c>
      <c r="C2020" t="s">
        <v>1202</v>
      </c>
      <c r="D2020" t="s">
        <v>159</v>
      </c>
      <c r="E2020" t="s">
        <v>159</v>
      </c>
      <c r="F2020">
        <v>6759</v>
      </c>
      <c r="G2020" t="s">
        <v>702</v>
      </c>
      <c r="I2020" t="s">
        <v>1205</v>
      </c>
      <c r="J2020">
        <v>87</v>
      </c>
    </row>
    <row r="2021" spans="1:10" x14ac:dyDescent="0.3">
      <c r="A2021">
        <v>2163</v>
      </c>
      <c r="B2021" t="s">
        <v>1908</v>
      </c>
      <c r="C2021" t="s">
        <v>1202</v>
      </c>
      <c r="D2021" t="s">
        <v>159</v>
      </c>
      <c r="E2021" t="s">
        <v>159</v>
      </c>
      <c r="F2021">
        <v>6759</v>
      </c>
      <c r="G2021" t="s">
        <v>696</v>
      </c>
      <c r="I2021" t="s">
        <v>1205</v>
      </c>
      <c r="J2021">
        <v>1411</v>
      </c>
    </row>
    <row r="2022" spans="1:10" x14ac:dyDescent="0.3">
      <c r="A2022">
        <v>2163</v>
      </c>
      <c r="B2022" t="s">
        <v>1908</v>
      </c>
      <c r="C2022" t="s">
        <v>1202</v>
      </c>
      <c r="D2022" t="s">
        <v>159</v>
      </c>
      <c r="E2022" t="s">
        <v>159</v>
      </c>
      <c r="F2022">
        <v>6759</v>
      </c>
      <c r="G2022" t="s">
        <v>701</v>
      </c>
      <c r="I2022" t="s">
        <v>1205</v>
      </c>
      <c r="J2022">
        <v>211</v>
      </c>
    </row>
    <row r="2023" spans="1:10" x14ac:dyDescent="0.3">
      <c r="A2023">
        <v>2163</v>
      </c>
      <c r="B2023" t="s">
        <v>1908</v>
      </c>
      <c r="C2023" t="s">
        <v>1202</v>
      </c>
      <c r="D2023" t="s">
        <v>159</v>
      </c>
      <c r="E2023" t="s">
        <v>159</v>
      </c>
      <c r="F2023">
        <v>6759</v>
      </c>
      <c r="G2023" t="s">
        <v>703</v>
      </c>
      <c r="I2023" t="s">
        <v>1205</v>
      </c>
      <c r="J2023">
        <v>173</v>
      </c>
    </row>
    <row r="2024" spans="1:10" x14ac:dyDescent="0.3">
      <c r="A2024">
        <v>2163</v>
      </c>
      <c r="B2024" t="s">
        <v>1908</v>
      </c>
      <c r="C2024" t="s">
        <v>1202</v>
      </c>
      <c r="D2024" t="s">
        <v>159</v>
      </c>
      <c r="E2024" t="s">
        <v>159</v>
      </c>
      <c r="F2024">
        <v>6759</v>
      </c>
      <c r="G2024" t="s">
        <v>700</v>
      </c>
      <c r="I2024" t="s">
        <v>1205</v>
      </c>
      <c r="J2024">
        <v>317</v>
      </c>
    </row>
    <row r="2025" spans="1:10" x14ac:dyDescent="0.3">
      <c r="A2025">
        <v>2163</v>
      </c>
      <c r="B2025" t="s">
        <v>1908</v>
      </c>
      <c r="C2025" t="s">
        <v>1202</v>
      </c>
      <c r="D2025" t="s">
        <v>159</v>
      </c>
      <c r="E2025" t="s">
        <v>159</v>
      </c>
      <c r="F2025">
        <v>6759</v>
      </c>
      <c r="G2025" t="s">
        <v>698</v>
      </c>
      <c r="I2025" t="s">
        <v>1205</v>
      </c>
      <c r="J2025">
        <v>451</v>
      </c>
    </row>
    <row r="2026" spans="1:10" x14ac:dyDescent="0.3">
      <c r="A2026">
        <v>2164</v>
      </c>
      <c r="B2026" t="s">
        <v>1909</v>
      </c>
      <c r="C2026" t="s">
        <v>1202</v>
      </c>
      <c r="D2026" t="s">
        <v>159</v>
      </c>
      <c r="E2026" t="s">
        <v>159</v>
      </c>
      <c r="F2026">
        <v>6833</v>
      </c>
      <c r="G2026" t="s">
        <v>686</v>
      </c>
      <c r="H2026" t="s">
        <v>1910</v>
      </c>
      <c r="I2026" t="s">
        <v>1205</v>
      </c>
      <c r="J2026">
        <v>8070</v>
      </c>
    </row>
    <row r="2027" spans="1:10" x14ac:dyDescent="0.3">
      <c r="A2027">
        <v>2164</v>
      </c>
      <c r="B2027" t="s">
        <v>1909</v>
      </c>
      <c r="C2027" t="s">
        <v>1202</v>
      </c>
      <c r="D2027" t="s">
        <v>159</v>
      </c>
      <c r="E2027" t="s">
        <v>159</v>
      </c>
      <c r="F2027">
        <v>6833</v>
      </c>
      <c r="G2027" t="s">
        <v>687</v>
      </c>
      <c r="H2027" t="s">
        <v>1911</v>
      </c>
      <c r="I2027" t="s">
        <v>1205</v>
      </c>
      <c r="J2027">
        <v>26880</v>
      </c>
    </row>
    <row r="2028" spans="1:10" x14ac:dyDescent="0.3">
      <c r="A2028">
        <v>2164</v>
      </c>
      <c r="B2028" t="s">
        <v>1909</v>
      </c>
      <c r="C2028" t="s">
        <v>1202</v>
      </c>
      <c r="D2028" t="s">
        <v>159</v>
      </c>
      <c r="E2028" t="s">
        <v>159</v>
      </c>
      <c r="F2028">
        <v>6833</v>
      </c>
      <c r="G2028" t="s">
        <v>698</v>
      </c>
      <c r="I2028" t="s">
        <v>1205</v>
      </c>
      <c r="J2028">
        <v>25650</v>
      </c>
    </row>
    <row r="2029" spans="1:10" x14ac:dyDescent="0.3">
      <c r="A2029">
        <v>2164</v>
      </c>
      <c r="B2029" t="s">
        <v>1909</v>
      </c>
      <c r="C2029" t="s">
        <v>1202</v>
      </c>
      <c r="D2029" t="s">
        <v>159</v>
      </c>
      <c r="E2029" t="s">
        <v>159</v>
      </c>
      <c r="F2029">
        <v>6833</v>
      </c>
      <c r="G2029" t="s">
        <v>696</v>
      </c>
      <c r="I2029" t="s">
        <v>1205</v>
      </c>
      <c r="J2029">
        <v>16350</v>
      </c>
    </row>
    <row r="2030" spans="1:10" x14ac:dyDescent="0.3">
      <c r="A2030">
        <v>2165</v>
      </c>
      <c r="B2030" t="s">
        <v>1912</v>
      </c>
      <c r="C2030" t="s">
        <v>1202</v>
      </c>
      <c r="D2030" t="s">
        <v>159</v>
      </c>
      <c r="E2030" t="s">
        <v>159</v>
      </c>
      <c r="F2030">
        <v>5523</v>
      </c>
      <c r="G2030" t="s">
        <v>687</v>
      </c>
      <c r="I2030" t="s">
        <v>1205</v>
      </c>
      <c r="J2030">
        <v>264</v>
      </c>
    </row>
    <row r="2031" spans="1:10" x14ac:dyDescent="0.3">
      <c r="A2031">
        <v>2165</v>
      </c>
      <c r="B2031" t="s">
        <v>1912</v>
      </c>
      <c r="C2031" t="s">
        <v>1202</v>
      </c>
      <c r="D2031" t="s">
        <v>159</v>
      </c>
      <c r="E2031" t="s">
        <v>159</v>
      </c>
      <c r="F2031">
        <v>5523</v>
      </c>
      <c r="G2031" t="s">
        <v>686</v>
      </c>
      <c r="I2031" t="s">
        <v>1205</v>
      </c>
      <c r="J2031">
        <v>315</v>
      </c>
    </row>
    <row r="2032" spans="1:10" x14ac:dyDescent="0.3">
      <c r="A2032">
        <v>2165</v>
      </c>
      <c r="B2032" t="s">
        <v>1912</v>
      </c>
      <c r="C2032" t="s">
        <v>1202</v>
      </c>
      <c r="D2032" t="s">
        <v>159</v>
      </c>
      <c r="E2032" t="s">
        <v>159</v>
      </c>
      <c r="F2032">
        <v>5523</v>
      </c>
      <c r="G2032" t="s">
        <v>702</v>
      </c>
      <c r="I2032" t="s">
        <v>1205</v>
      </c>
      <c r="J2032">
        <v>230</v>
      </c>
    </row>
    <row r="2033" spans="1:10" x14ac:dyDescent="0.3">
      <c r="A2033">
        <v>2165</v>
      </c>
      <c r="B2033" t="s">
        <v>1912</v>
      </c>
      <c r="C2033" t="s">
        <v>1202</v>
      </c>
      <c r="D2033" t="s">
        <v>159</v>
      </c>
      <c r="E2033" t="s">
        <v>159</v>
      </c>
      <c r="F2033">
        <v>5523</v>
      </c>
      <c r="G2033" t="s">
        <v>700</v>
      </c>
      <c r="H2033" t="s">
        <v>1913</v>
      </c>
      <c r="I2033" t="s">
        <v>1205</v>
      </c>
      <c r="J2033">
        <v>1029</v>
      </c>
    </row>
    <row r="2034" spans="1:10" x14ac:dyDescent="0.3">
      <c r="A2034">
        <v>2165</v>
      </c>
      <c r="B2034" t="s">
        <v>1912</v>
      </c>
      <c r="C2034" t="s">
        <v>1202</v>
      </c>
      <c r="D2034" t="s">
        <v>159</v>
      </c>
      <c r="E2034" t="s">
        <v>159</v>
      </c>
      <c r="F2034">
        <v>5523</v>
      </c>
      <c r="G2034" t="s">
        <v>698</v>
      </c>
      <c r="I2034" t="s">
        <v>1205</v>
      </c>
      <c r="J2034">
        <v>839</v>
      </c>
    </row>
    <row r="2035" spans="1:10" x14ac:dyDescent="0.3">
      <c r="A2035">
        <v>2165</v>
      </c>
      <c r="B2035" t="s">
        <v>1912</v>
      </c>
      <c r="C2035" t="s">
        <v>1202</v>
      </c>
      <c r="D2035" t="s">
        <v>159</v>
      </c>
      <c r="E2035" t="s">
        <v>159</v>
      </c>
      <c r="F2035">
        <v>5523</v>
      </c>
      <c r="G2035" t="s">
        <v>696</v>
      </c>
      <c r="I2035" t="s">
        <v>1205</v>
      </c>
      <c r="J2035">
        <v>2454</v>
      </c>
    </row>
    <row r="2036" spans="1:10" x14ac:dyDescent="0.3">
      <c r="A2036">
        <v>2167</v>
      </c>
      <c r="B2036" t="s">
        <v>1914</v>
      </c>
      <c r="C2036" t="s">
        <v>1202</v>
      </c>
      <c r="D2036" t="s">
        <v>159</v>
      </c>
      <c r="E2036" t="s">
        <v>159</v>
      </c>
      <c r="F2036">
        <v>5516</v>
      </c>
      <c r="G2036" t="s">
        <v>686</v>
      </c>
      <c r="I2036" t="s">
        <v>1205</v>
      </c>
      <c r="J2036">
        <v>1878</v>
      </c>
    </row>
    <row r="2037" spans="1:10" x14ac:dyDescent="0.3">
      <c r="A2037">
        <v>2167</v>
      </c>
      <c r="B2037" t="s">
        <v>1914</v>
      </c>
      <c r="C2037" t="s">
        <v>1202</v>
      </c>
      <c r="D2037" t="s">
        <v>159</v>
      </c>
      <c r="E2037" t="s">
        <v>159</v>
      </c>
      <c r="F2037">
        <v>5516</v>
      </c>
      <c r="G2037" t="s">
        <v>696</v>
      </c>
      <c r="I2037" t="s">
        <v>1205</v>
      </c>
      <c r="J2037">
        <v>13840</v>
      </c>
    </row>
    <row r="2038" spans="1:10" x14ac:dyDescent="0.3">
      <c r="A2038">
        <v>2167</v>
      </c>
      <c r="B2038" t="s">
        <v>1914</v>
      </c>
      <c r="C2038" t="s">
        <v>1202</v>
      </c>
      <c r="D2038" t="s">
        <v>159</v>
      </c>
      <c r="E2038" t="s">
        <v>159</v>
      </c>
      <c r="F2038">
        <v>5516</v>
      </c>
      <c r="G2038" t="s">
        <v>698</v>
      </c>
      <c r="I2038" t="s">
        <v>1205</v>
      </c>
      <c r="J2038">
        <v>5448</v>
      </c>
    </row>
    <row r="2039" spans="1:10" x14ac:dyDescent="0.3">
      <c r="A2039">
        <v>2167</v>
      </c>
      <c r="B2039" t="s">
        <v>1914</v>
      </c>
      <c r="C2039" t="s">
        <v>1202</v>
      </c>
      <c r="D2039" t="s">
        <v>159</v>
      </c>
      <c r="E2039" t="s">
        <v>159</v>
      </c>
      <c r="F2039">
        <v>5516</v>
      </c>
      <c r="G2039" t="s">
        <v>700</v>
      </c>
      <c r="I2039" t="s">
        <v>1205</v>
      </c>
      <c r="J2039">
        <v>6443</v>
      </c>
    </row>
    <row r="2040" spans="1:10" x14ac:dyDescent="0.3">
      <c r="A2040">
        <v>2167</v>
      </c>
      <c r="B2040" t="s">
        <v>1914</v>
      </c>
      <c r="C2040" t="s">
        <v>1202</v>
      </c>
      <c r="D2040" t="s">
        <v>159</v>
      </c>
      <c r="E2040" t="s">
        <v>159</v>
      </c>
      <c r="F2040">
        <v>5516</v>
      </c>
      <c r="G2040" t="s">
        <v>701</v>
      </c>
      <c r="I2040" t="s">
        <v>1205</v>
      </c>
      <c r="J2040">
        <v>1783</v>
      </c>
    </row>
    <row r="2041" spans="1:10" x14ac:dyDescent="0.3">
      <c r="A2041">
        <v>2167</v>
      </c>
      <c r="B2041" t="s">
        <v>1914</v>
      </c>
      <c r="C2041" t="s">
        <v>1202</v>
      </c>
      <c r="D2041" t="s">
        <v>159</v>
      </c>
      <c r="E2041" t="s">
        <v>159</v>
      </c>
      <c r="F2041">
        <v>5516</v>
      </c>
      <c r="G2041" t="s">
        <v>702</v>
      </c>
      <c r="I2041" t="s">
        <v>1205</v>
      </c>
      <c r="J2041">
        <v>504</v>
      </c>
    </row>
    <row r="2042" spans="1:10" x14ac:dyDescent="0.3">
      <c r="A2042">
        <v>2167</v>
      </c>
      <c r="B2042" t="s">
        <v>1914</v>
      </c>
      <c r="C2042" t="s">
        <v>1202</v>
      </c>
      <c r="D2042" t="s">
        <v>159</v>
      </c>
      <c r="E2042" t="s">
        <v>159</v>
      </c>
      <c r="F2042">
        <v>5516</v>
      </c>
      <c r="G2042" t="s">
        <v>703</v>
      </c>
      <c r="I2042" t="s">
        <v>1205</v>
      </c>
      <c r="J2042">
        <v>2234</v>
      </c>
    </row>
    <row r="2043" spans="1:10" x14ac:dyDescent="0.3">
      <c r="A2043">
        <v>2166</v>
      </c>
      <c r="B2043" t="s">
        <v>1915</v>
      </c>
      <c r="C2043" t="s">
        <v>1202</v>
      </c>
      <c r="D2043" t="s">
        <v>159</v>
      </c>
      <c r="E2043" t="s">
        <v>159</v>
      </c>
      <c r="F2043">
        <v>6634</v>
      </c>
      <c r="G2043" t="s">
        <v>691</v>
      </c>
      <c r="H2043" t="s">
        <v>1260</v>
      </c>
      <c r="I2043" t="s">
        <v>1205</v>
      </c>
      <c r="J2043">
        <v>316</v>
      </c>
    </row>
    <row r="2044" spans="1:10" x14ac:dyDescent="0.3">
      <c r="A2044">
        <v>2166</v>
      </c>
      <c r="B2044" t="s">
        <v>1915</v>
      </c>
      <c r="C2044" t="s">
        <v>1202</v>
      </c>
      <c r="D2044" t="s">
        <v>159</v>
      </c>
      <c r="E2044" t="s">
        <v>159</v>
      </c>
      <c r="F2044">
        <v>6634</v>
      </c>
      <c r="G2044" t="s">
        <v>691</v>
      </c>
      <c r="H2044" t="s">
        <v>1410</v>
      </c>
      <c r="I2044" t="s">
        <v>1205</v>
      </c>
      <c r="J2044">
        <v>0</v>
      </c>
    </row>
    <row r="2045" spans="1:10" x14ac:dyDescent="0.3">
      <c r="A2045">
        <v>2166</v>
      </c>
      <c r="B2045" t="s">
        <v>1915</v>
      </c>
      <c r="C2045" t="s">
        <v>1202</v>
      </c>
      <c r="D2045" t="s">
        <v>159</v>
      </c>
      <c r="E2045" t="s">
        <v>159</v>
      </c>
      <c r="F2045">
        <v>6634</v>
      </c>
      <c r="G2045" t="s">
        <v>703</v>
      </c>
      <c r="H2045" t="s">
        <v>1230</v>
      </c>
      <c r="I2045" t="s">
        <v>1205</v>
      </c>
      <c r="J2045">
        <v>1410</v>
      </c>
    </row>
    <row r="2046" spans="1:10" x14ac:dyDescent="0.3">
      <c r="A2046">
        <v>2166</v>
      </c>
      <c r="B2046" t="s">
        <v>1915</v>
      </c>
      <c r="C2046" t="s">
        <v>1202</v>
      </c>
      <c r="D2046" t="s">
        <v>159</v>
      </c>
      <c r="E2046" t="s">
        <v>159</v>
      </c>
      <c r="F2046">
        <v>6634</v>
      </c>
      <c r="G2046" t="s">
        <v>701</v>
      </c>
      <c r="I2046" t="s">
        <v>1205</v>
      </c>
      <c r="J2046">
        <v>3256</v>
      </c>
    </row>
    <row r="2047" spans="1:10" x14ac:dyDescent="0.3">
      <c r="A2047">
        <v>2166</v>
      </c>
      <c r="B2047" t="s">
        <v>1915</v>
      </c>
      <c r="C2047" t="s">
        <v>1202</v>
      </c>
      <c r="D2047" t="s">
        <v>159</v>
      </c>
      <c r="E2047" t="s">
        <v>159</v>
      </c>
      <c r="F2047">
        <v>6634</v>
      </c>
      <c r="G2047" t="s">
        <v>691</v>
      </c>
      <c r="H2047" t="s">
        <v>1916</v>
      </c>
      <c r="I2047" t="s">
        <v>1205</v>
      </c>
      <c r="J2047">
        <v>47</v>
      </c>
    </row>
    <row r="2048" spans="1:10" x14ac:dyDescent="0.3">
      <c r="A2048">
        <v>2166</v>
      </c>
      <c r="B2048" t="s">
        <v>1915</v>
      </c>
      <c r="C2048" t="s">
        <v>1202</v>
      </c>
      <c r="D2048" t="s">
        <v>159</v>
      </c>
      <c r="E2048" t="s">
        <v>159</v>
      </c>
      <c r="F2048">
        <v>6634</v>
      </c>
      <c r="G2048" t="s">
        <v>696</v>
      </c>
      <c r="I2048" t="s">
        <v>1205</v>
      </c>
      <c r="J2048">
        <v>18933</v>
      </c>
    </row>
    <row r="2049" spans="1:10" x14ac:dyDescent="0.3">
      <c r="A2049">
        <v>2166</v>
      </c>
      <c r="B2049" t="s">
        <v>1915</v>
      </c>
      <c r="C2049" t="s">
        <v>1202</v>
      </c>
      <c r="D2049" t="s">
        <v>159</v>
      </c>
      <c r="E2049" t="s">
        <v>159</v>
      </c>
      <c r="F2049">
        <v>6634</v>
      </c>
      <c r="G2049" t="s">
        <v>698</v>
      </c>
      <c r="H2049" t="s">
        <v>1917</v>
      </c>
      <c r="I2049" t="s">
        <v>1205</v>
      </c>
      <c r="J2049">
        <v>3526</v>
      </c>
    </row>
    <row r="2050" spans="1:10" x14ac:dyDescent="0.3">
      <c r="A2050">
        <v>2166</v>
      </c>
      <c r="B2050" t="s">
        <v>1915</v>
      </c>
      <c r="C2050" t="s">
        <v>1202</v>
      </c>
      <c r="D2050" t="s">
        <v>159</v>
      </c>
      <c r="E2050" t="s">
        <v>159</v>
      </c>
      <c r="F2050">
        <v>6634</v>
      </c>
      <c r="G2050" t="s">
        <v>700</v>
      </c>
      <c r="I2050" t="s">
        <v>1205</v>
      </c>
      <c r="J2050">
        <v>4099</v>
      </c>
    </row>
    <row r="2051" spans="1:10" x14ac:dyDescent="0.3">
      <c r="A2051">
        <v>2166</v>
      </c>
      <c r="B2051" t="s">
        <v>1915</v>
      </c>
      <c r="C2051" t="s">
        <v>1202</v>
      </c>
      <c r="D2051" t="s">
        <v>159</v>
      </c>
      <c r="E2051" t="s">
        <v>159</v>
      </c>
      <c r="F2051">
        <v>6634</v>
      </c>
      <c r="G2051" t="s">
        <v>702</v>
      </c>
      <c r="H2051" t="s">
        <v>1918</v>
      </c>
      <c r="I2051" t="s">
        <v>1205</v>
      </c>
      <c r="J2051">
        <v>4621</v>
      </c>
    </row>
    <row r="2052" spans="1:10" x14ac:dyDescent="0.3">
      <c r="A2052">
        <v>2166</v>
      </c>
      <c r="B2052" t="s">
        <v>1915</v>
      </c>
      <c r="C2052" t="s">
        <v>1202</v>
      </c>
      <c r="D2052" t="s">
        <v>159</v>
      </c>
      <c r="E2052" t="s">
        <v>159</v>
      </c>
      <c r="F2052">
        <v>6634</v>
      </c>
      <c r="G2052" t="s">
        <v>686</v>
      </c>
      <c r="I2052" t="s">
        <v>1205</v>
      </c>
      <c r="J2052">
        <v>3187</v>
      </c>
    </row>
    <row r="2053" spans="1:10" x14ac:dyDescent="0.3">
      <c r="A2053">
        <v>2169</v>
      </c>
      <c r="B2053" t="s">
        <v>1919</v>
      </c>
      <c r="C2053" t="s">
        <v>1202</v>
      </c>
      <c r="D2053" t="s">
        <v>159</v>
      </c>
      <c r="E2053" t="s">
        <v>159</v>
      </c>
      <c r="F2053">
        <v>5514</v>
      </c>
      <c r="G2053" t="s">
        <v>696</v>
      </c>
      <c r="I2053" t="s">
        <v>1205</v>
      </c>
      <c r="J2053">
        <v>1176</v>
      </c>
    </row>
    <row r="2054" spans="1:10" x14ac:dyDescent="0.3">
      <c r="A2054">
        <v>2169</v>
      </c>
      <c r="B2054" t="s">
        <v>1919</v>
      </c>
      <c r="C2054" t="s">
        <v>1202</v>
      </c>
      <c r="D2054" t="s">
        <v>159</v>
      </c>
      <c r="E2054" t="s">
        <v>159</v>
      </c>
      <c r="F2054">
        <v>5514</v>
      </c>
      <c r="G2054" t="s">
        <v>700</v>
      </c>
      <c r="I2054" t="s">
        <v>1205</v>
      </c>
      <c r="J2054">
        <v>321</v>
      </c>
    </row>
    <row r="2055" spans="1:10" x14ac:dyDescent="0.3">
      <c r="A2055">
        <v>2169</v>
      </c>
      <c r="B2055" t="s">
        <v>1919</v>
      </c>
      <c r="C2055" t="s">
        <v>1202</v>
      </c>
      <c r="D2055" t="s">
        <v>159</v>
      </c>
      <c r="E2055" t="s">
        <v>159</v>
      </c>
      <c r="F2055">
        <v>5514</v>
      </c>
      <c r="G2055" t="s">
        <v>701</v>
      </c>
      <c r="I2055" t="s">
        <v>1205</v>
      </c>
      <c r="J2055">
        <v>7</v>
      </c>
    </row>
    <row r="2056" spans="1:10" x14ac:dyDescent="0.3">
      <c r="A2056">
        <v>2169</v>
      </c>
      <c r="B2056" t="s">
        <v>1919</v>
      </c>
      <c r="C2056" t="s">
        <v>1202</v>
      </c>
      <c r="D2056" t="s">
        <v>159</v>
      </c>
      <c r="E2056" t="s">
        <v>159</v>
      </c>
      <c r="F2056">
        <v>5514</v>
      </c>
      <c r="G2056" t="s">
        <v>703</v>
      </c>
      <c r="I2056" t="s">
        <v>1205</v>
      </c>
      <c r="J2056">
        <v>226</v>
      </c>
    </row>
    <row r="2057" spans="1:10" x14ac:dyDescent="0.3">
      <c r="A2057">
        <v>2169</v>
      </c>
      <c r="B2057" t="s">
        <v>1919</v>
      </c>
      <c r="C2057" t="s">
        <v>1202</v>
      </c>
      <c r="D2057" t="s">
        <v>159</v>
      </c>
      <c r="E2057" t="s">
        <v>159</v>
      </c>
      <c r="F2057">
        <v>5514</v>
      </c>
      <c r="G2057" t="s">
        <v>702</v>
      </c>
      <c r="I2057" t="s">
        <v>1205</v>
      </c>
      <c r="J2057">
        <v>57</v>
      </c>
    </row>
    <row r="2058" spans="1:10" x14ac:dyDescent="0.3">
      <c r="A2058">
        <v>2169</v>
      </c>
      <c r="B2058" t="s">
        <v>1919</v>
      </c>
      <c r="C2058" t="s">
        <v>1202</v>
      </c>
      <c r="D2058" t="s">
        <v>159</v>
      </c>
      <c r="E2058" t="s">
        <v>159</v>
      </c>
      <c r="F2058">
        <v>5514</v>
      </c>
      <c r="G2058" t="s">
        <v>684</v>
      </c>
      <c r="I2058" t="s">
        <v>1205</v>
      </c>
      <c r="J2058">
        <v>23</v>
      </c>
    </row>
    <row r="2059" spans="1:10" x14ac:dyDescent="0.3">
      <c r="A2059">
        <v>2169</v>
      </c>
      <c r="B2059" t="s">
        <v>1919</v>
      </c>
      <c r="C2059" t="s">
        <v>1202</v>
      </c>
      <c r="D2059" t="s">
        <v>159</v>
      </c>
      <c r="E2059" t="s">
        <v>159</v>
      </c>
      <c r="F2059">
        <v>5514</v>
      </c>
      <c r="G2059" t="s">
        <v>686</v>
      </c>
      <c r="I2059" t="s">
        <v>1205</v>
      </c>
      <c r="J2059">
        <v>399</v>
      </c>
    </row>
    <row r="2060" spans="1:10" x14ac:dyDescent="0.3">
      <c r="A2060">
        <v>2169</v>
      </c>
      <c r="B2060" t="s">
        <v>1919</v>
      </c>
      <c r="C2060" t="s">
        <v>1202</v>
      </c>
      <c r="D2060" t="s">
        <v>159</v>
      </c>
      <c r="E2060" t="s">
        <v>159</v>
      </c>
      <c r="F2060">
        <v>5514</v>
      </c>
      <c r="G2060" t="s">
        <v>698</v>
      </c>
      <c r="I2060" t="s">
        <v>1205</v>
      </c>
      <c r="J2060">
        <v>441</v>
      </c>
    </row>
    <row r="2061" spans="1:10" x14ac:dyDescent="0.3">
      <c r="A2061">
        <v>2174</v>
      </c>
      <c r="B2061" t="s">
        <v>1920</v>
      </c>
      <c r="C2061" t="s">
        <v>1202</v>
      </c>
      <c r="D2061" t="s">
        <v>159</v>
      </c>
      <c r="E2061" t="s">
        <v>159</v>
      </c>
      <c r="F2061">
        <v>7800</v>
      </c>
      <c r="G2061" t="s">
        <v>696</v>
      </c>
      <c r="I2061" t="s">
        <v>1205</v>
      </c>
      <c r="J2061">
        <v>7920</v>
      </c>
    </row>
    <row r="2062" spans="1:10" x14ac:dyDescent="0.3">
      <c r="A2062">
        <v>2174</v>
      </c>
      <c r="B2062" t="s">
        <v>1920</v>
      </c>
      <c r="C2062" t="s">
        <v>1202</v>
      </c>
      <c r="D2062" t="s">
        <v>159</v>
      </c>
      <c r="E2062" t="s">
        <v>159</v>
      </c>
      <c r="F2062">
        <v>7800</v>
      </c>
      <c r="G2062" t="s">
        <v>698</v>
      </c>
      <c r="I2062" t="s">
        <v>1205</v>
      </c>
      <c r="J2062">
        <v>2694</v>
      </c>
    </row>
    <row r="2063" spans="1:10" x14ac:dyDescent="0.3">
      <c r="A2063">
        <v>2174</v>
      </c>
      <c r="B2063" t="s">
        <v>1920</v>
      </c>
      <c r="C2063" t="s">
        <v>1202</v>
      </c>
      <c r="D2063" t="s">
        <v>159</v>
      </c>
      <c r="E2063" t="s">
        <v>159</v>
      </c>
      <c r="F2063">
        <v>7800</v>
      </c>
      <c r="G2063" t="s">
        <v>700</v>
      </c>
      <c r="I2063" t="s">
        <v>1205</v>
      </c>
      <c r="J2063">
        <v>1040</v>
      </c>
    </row>
    <row r="2064" spans="1:10" x14ac:dyDescent="0.3">
      <c r="A2064">
        <v>2174</v>
      </c>
      <c r="B2064" t="s">
        <v>1920</v>
      </c>
      <c r="C2064" t="s">
        <v>1202</v>
      </c>
      <c r="D2064" t="s">
        <v>159</v>
      </c>
      <c r="E2064" t="s">
        <v>159</v>
      </c>
      <c r="F2064">
        <v>7800</v>
      </c>
      <c r="G2064" t="s">
        <v>701</v>
      </c>
      <c r="I2064" t="s">
        <v>1205</v>
      </c>
      <c r="J2064">
        <v>1837</v>
      </c>
    </row>
    <row r="2065" spans="1:10" x14ac:dyDescent="0.3">
      <c r="A2065">
        <v>2174</v>
      </c>
      <c r="B2065" t="s">
        <v>1920</v>
      </c>
      <c r="C2065" t="s">
        <v>1202</v>
      </c>
      <c r="D2065" t="s">
        <v>159</v>
      </c>
      <c r="E2065" t="s">
        <v>159</v>
      </c>
      <c r="F2065">
        <v>7800</v>
      </c>
      <c r="G2065" t="s">
        <v>703</v>
      </c>
      <c r="I2065" t="s">
        <v>1205</v>
      </c>
      <c r="J2065">
        <v>176</v>
      </c>
    </row>
    <row r="2066" spans="1:10" x14ac:dyDescent="0.3">
      <c r="A2066">
        <v>2174</v>
      </c>
      <c r="B2066" t="s">
        <v>1920</v>
      </c>
      <c r="C2066" t="s">
        <v>1202</v>
      </c>
      <c r="D2066" t="s">
        <v>159</v>
      </c>
      <c r="E2066" t="s">
        <v>159</v>
      </c>
      <c r="F2066">
        <v>7800</v>
      </c>
      <c r="G2066" t="s">
        <v>702</v>
      </c>
      <c r="H2066" t="s">
        <v>1275</v>
      </c>
      <c r="I2066" t="s">
        <v>1205</v>
      </c>
      <c r="J2066">
        <v>2873</v>
      </c>
    </row>
    <row r="2067" spans="1:10" x14ac:dyDescent="0.3">
      <c r="A2067">
        <v>2174</v>
      </c>
      <c r="B2067" t="s">
        <v>1920</v>
      </c>
      <c r="C2067" t="s">
        <v>1202</v>
      </c>
      <c r="D2067" t="s">
        <v>159</v>
      </c>
      <c r="E2067" t="s">
        <v>159</v>
      </c>
      <c r="F2067">
        <v>7800</v>
      </c>
      <c r="G2067" t="s">
        <v>686</v>
      </c>
      <c r="I2067" t="s">
        <v>1205</v>
      </c>
      <c r="J2067">
        <v>1006</v>
      </c>
    </row>
    <row r="2068" spans="1:10" x14ac:dyDescent="0.3">
      <c r="A2068">
        <v>2175</v>
      </c>
      <c r="B2068" t="s">
        <v>1921</v>
      </c>
      <c r="C2068" t="s">
        <v>1202</v>
      </c>
      <c r="D2068" t="s">
        <v>159</v>
      </c>
      <c r="E2068" t="s">
        <v>159</v>
      </c>
      <c r="F2068">
        <v>5725</v>
      </c>
      <c r="G2068" t="s">
        <v>691</v>
      </c>
      <c r="H2068" t="s">
        <v>1922</v>
      </c>
      <c r="I2068" t="s">
        <v>1205</v>
      </c>
      <c r="J2068">
        <v>184.13327100000001</v>
      </c>
    </row>
    <row r="2069" spans="1:10" x14ac:dyDescent="0.3">
      <c r="A2069">
        <v>2175</v>
      </c>
      <c r="B2069" t="s">
        <v>1921</v>
      </c>
      <c r="C2069" t="s">
        <v>1202</v>
      </c>
      <c r="D2069" t="s">
        <v>159</v>
      </c>
      <c r="E2069" t="s">
        <v>159</v>
      </c>
      <c r="F2069">
        <v>5725</v>
      </c>
      <c r="G2069" t="s">
        <v>691</v>
      </c>
      <c r="H2069" t="s">
        <v>1923</v>
      </c>
      <c r="I2069" t="s">
        <v>1205</v>
      </c>
      <c r="J2069">
        <v>159.58216820000001</v>
      </c>
    </row>
    <row r="2070" spans="1:10" x14ac:dyDescent="0.3">
      <c r="A2070">
        <v>2175</v>
      </c>
      <c r="B2070" t="s">
        <v>1921</v>
      </c>
      <c r="C2070" t="s">
        <v>1202</v>
      </c>
      <c r="D2070" t="s">
        <v>159</v>
      </c>
      <c r="E2070" t="s">
        <v>159</v>
      </c>
      <c r="F2070">
        <v>5725</v>
      </c>
      <c r="G2070" t="s">
        <v>686</v>
      </c>
      <c r="H2070" t="s">
        <v>1924</v>
      </c>
      <c r="I2070" t="s">
        <v>1205</v>
      </c>
      <c r="J2070">
        <v>9077.7702602999998</v>
      </c>
    </row>
    <row r="2071" spans="1:10" x14ac:dyDescent="0.3">
      <c r="A2071">
        <v>2175</v>
      </c>
      <c r="B2071" t="s">
        <v>1921</v>
      </c>
      <c r="C2071" t="s">
        <v>1202</v>
      </c>
      <c r="D2071" t="s">
        <v>159</v>
      </c>
      <c r="E2071" t="s">
        <v>159</v>
      </c>
      <c r="F2071">
        <v>5725</v>
      </c>
      <c r="G2071" t="s">
        <v>705</v>
      </c>
      <c r="H2071" t="s">
        <v>1925</v>
      </c>
      <c r="I2071" t="s">
        <v>1210</v>
      </c>
      <c r="J2071">
        <v>21.482214949999999</v>
      </c>
    </row>
    <row r="2072" spans="1:10" x14ac:dyDescent="0.3">
      <c r="A2072">
        <v>2175</v>
      </c>
      <c r="B2072" t="s">
        <v>1921</v>
      </c>
      <c r="C2072" t="s">
        <v>1202</v>
      </c>
      <c r="D2072" t="s">
        <v>159</v>
      </c>
      <c r="E2072" t="s">
        <v>159</v>
      </c>
      <c r="F2072">
        <v>5725</v>
      </c>
      <c r="G2072" t="s">
        <v>705</v>
      </c>
      <c r="H2072" t="s">
        <v>1925</v>
      </c>
      <c r="I2072" t="s">
        <v>1205</v>
      </c>
      <c r="J2072">
        <v>500.22871954999999</v>
      </c>
    </row>
    <row r="2073" spans="1:10" x14ac:dyDescent="0.3">
      <c r="A2073">
        <v>2175</v>
      </c>
      <c r="B2073" t="s">
        <v>1921</v>
      </c>
      <c r="C2073" t="s">
        <v>1202</v>
      </c>
      <c r="D2073" t="s">
        <v>159</v>
      </c>
      <c r="E2073" t="s">
        <v>159</v>
      </c>
      <c r="F2073">
        <v>5725</v>
      </c>
      <c r="G2073" t="s">
        <v>702</v>
      </c>
      <c r="I2073" t="s">
        <v>1205</v>
      </c>
      <c r="J2073">
        <v>7353.0552885999996</v>
      </c>
    </row>
    <row r="2074" spans="1:10" x14ac:dyDescent="0.3">
      <c r="A2074">
        <v>2175</v>
      </c>
      <c r="B2074" t="s">
        <v>1921</v>
      </c>
      <c r="C2074" t="s">
        <v>1202</v>
      </c>
      <c r="D2074" t="s">
        <v>159</v>
      </c>
      <c r="E2074" t="s">
        <v>159</v>
      </c>
      <c r="F2074">
        <v>5725</v>
      </c>
      <c r="G2074" t="s">
        <v>703</v>
      </c>
      <c r="I2074" t="s">
        <v>1205</v>
      </c>
      <c r="J2074">
        <v>5183.3515786500002</v>
      </c>
    </row>
    <row r="2075" spans="1:10" x14ac:dyDescent="0.3">
      <c r="A2075">
        <v>2175</v>
      </c>
      <c r="B2075" t="s">
        <v>1921</v>
      </c>
      <c r="C2075" t="s">
        <v>1202</v>
      </c>
      <c r="D2075" t="s">
        <v>159</v>
      </c>
      <c r="E2075" t="s">
        <v>159</v>
      </c>
      <c r="F2075">
        <v>5725</v>
      </c>
      <c r="G2075" t="s">
        <v>701</v>
      </c>
      <c r="I2075" t="s">
        <v>1205</v>
      </c>
      <c r="J2075">
        <v>527.84871020000003</v>
      </c>
    </row>
    <row r="2076" spans="1:10" x14ac:dyDescent="0.3">
      <c r="A2076">
        <v>2175</v>
      </c>
      <c r="B2076" t="s">
        <v>1921</v>
      </c>
      <c r="C2076" t="s">
        <v>1202</v>
      </c>
      <c r="D2076" t="s">
        <v>159</v>
      </c>
      <c r="E2076" t="s">
        <v>159</v>
      </c>
      <c r="F2076">
        <v>5725</v>
      </c>
      <c r="G2076" t="s">
        <v>700</v>
      </c>
      <c r="I2076" t="s">
        <v>1205</v>
      </c>
      <c r="J2076">
        <v>14254.98406325</v>
      </c>
    </row>
    <row r="2077" spans="1:10" x14ac:dyDescent="0.3">
      <c r="A2077">
        <v>2175</v>
      </c>
      <c r="B2077" t="s">
        <v>1921</v>
      </c>
      <c r="C2077" t="s">
        <v>1202</v>
      </c>
      <c r="D2077" t="s">
        <v>159</v>
      </c>
      <c r="E2077" t="s">
        <v>159</v>
      </c>
      <c r="F2077">
        <v>5725</v>
      </c>
      <c r="G2077" t="s">
        <v>698</v>
      </c>
      <c r="I2077" t="s">
        <v>1205</v>
      </c>
      <c r="J2077">
        <v>24744.442734550001</v>
      </c>
    </row>
    <row r="2078" spans="1:10" x14ac:dyDescent="0.3">
      <c r="A2078">
        <v>2175</v>
      </c>
      <c r="B2078" t="s">
        <v>1921</v>
      </c>
      <c r="C2078" t="s">
        <v>1202</v>
      </c>
      <c r="D2078" t="s">
        <v>159</v>
      </c>
      <c r="E2078" t="s">
        <v>159</v>
      </c>
      <c r="F2078">
        <v>5725</v>
      </c>
      <c r="G2078" t="s">
        <v>696</v>
      </c>
      <c r="I2078" t="s">
        <v>1205</v>
      </c>
      <c r="J2078">
        <v>59496.528747949997</v>
      </c>
    </row>
    <row r="2079" spans="1:10" x14ac:dyDescent="0.3">
      <c r="A2079">
        <v>2179</v>
      </c>
      <c r="B2079" t="s">
        <v>774</v>
      </c>
      <c r="C2079" t="s">
        <v>1202</v>
      </c>
      <c r="D2079" t="s">
        <v>1203</v>
      </c>
      <c r="E2079" t="s">
        <v>1204</v>
      </c>
      <c r="F2079">
        <v>5657</v>
      </c>
      <c r="G2079" t="s">
        <v>691</v>
      </c>
      <c r="H2079" t="s">
        <v>1926</v>
      </c>
      <c r="I2079" t="s">
        <v>1205</v>
      </c>
      <c r="J2079">
        <v>11811</v>
      </c>
    </row>
    <row r="2080" spans="1:10" x14ac:dyDescent="0.3">
      <c r="A2080">
        <v>2180</v>
      </c>
      <c r="B2080" t="s">
        <v>1927</v>
      </c>
      <c r="C2080" t="s">
        <v>1202</v>
      </c>
      <c r="D2080" t="s">
        <v>1203</v>
      </c>
      <c r="E2080" t="s">
        <v>1204</v>
      </c>
      <c r="F2080">
        <v>5535</v>
      </c>
      <c r="G2080" t="s">
        <v>687</v>
      </c>
      <c r="H2080" t="s">
        <v>1129</v>
      </c>
      <c r="I2080" t="s">
        <v>1205</v>
      </c>
      <c r="J2080">
        <v>6</v>
      </c>
    </row>
    <row r="2081" spans="1:10" x14ac:dyDescent="0.3">
      <c r="A2081">
        <v>2180</v>
      </c>
      <c r="B2081" t="s">
        <v>1927</v>
      </c>
      <c r="C2081" t="s">
        <v>1202</v>
      </c>
      <c r="D2081" t="s">
        <v>1203</v>
      </c>
      <c r="E2081" t="s">
        <v>1204</v>
      </c>
      <c r="F2081">
        <v>5535</v>
      </c>
      <c r="G2081" t="s">
        <v>702</v>
      </c>
      <c r="I2081" t="s">
        <v>1205</v>
      </c>
      <c r="J2081">
        <v>9</v>
      </c>
    </row>
    <row r="2082" spans="1:10" x14ac:dyDescent="0.3">
      <c r="A2082">
        <v>2180</v>
      </c>
      <c r="B2082" t="s">
        <v>1927</v>
      </c>
      <c r="C2082" t="s">
        <v>1202</v>
      </c>
      <c r="D2082" t="s">
        <v>1203</v>
      </c>
      <c r="E2082" t="s">
        <v>1204</v>
      </c>
      <c r="F2082">
        <v>5535</v>
      </c>
      <c r="G2082" t="s">
        <v>687</v>
      </c>
      <c r="H2082" t="s">
        <v>1928</v>
      </c>
      <c r="I2082" t="s">
        <v>1205</v>
      </c>
      <c r="J2082">
        <v>141</v>
      </c>
    </row>
    <row r="2083" spans="1:10" x14ac:dyDescent="0.3">
      <c r="A2083">
        <v>2180</v>
      </c>
      <c r="B2083" t="s">
        <v>1927</v>
      </c>
      <c r="C2083" t="s">
        <v>1202</v>
      </c>
      <c r="D2083" t="s">
        <v>1203</v>
      </c>
      <c r="E2083" t="s">
        <v>1204</v>
      </c>
      <c r="F2083">
        <v>5535</v>
      </c>
      <c r="G2083" t="s">
        <v>686</v>
      </c>
      <c r="I2083" t="s">
        <v>1205</v>
      </c>
      <c r="J2083">
        <v>463</v>
      </c>
    </row>
    <row r="2084" spans="1:10" x14ac:dyDescent="0.3">
      <c r="A2084">
        <v>2180</v>
      </c>
      <c r="B2084" t="s">
        <v>1927</v>
      </c>
      <c r="C2084" t="s">
        <v>1202</v>
      </c>
      <c r="D2084" t="s">
        <v>1203</v>
      </c>
      <c r="E2084" t="s">
        <v>1204</v>
      </c>
      <c r="F2084">
        <v>5535</v>
      </c>
      <c r="G2084" t="s">
        <v>698</v>
      </c>
      <c r="I2084" t="s">
        <v>1205</v>
      </c>
      <c r="J2084">
        <v>252</v>
      </c>
    </row>
    <row r="2085" spans="1:10" x14ac:dyDescent="0.3">
      <c r="A2085">
        <v>2180</v>
      </c>
      <c r="B2085" t="s">
        <v>1927</v>
      </c>
      <c r="C2085" t="s">
        <v>1202</v>
      </c>
      <c r="D2085" t="s">
        <v>1203</v>
      </c>
      <c r="E2085" t="s">
        <v>1204</v>
      </c>
      <c r="F2085">
        <v>5535</v>
      </c>
      <c r="G2085" t="s">
        <v>696</v>
      </c>
      <c r="I2085" t="s">
        <v>1205</v>
      </c>
      <c r="J2085">
        <v>1179</v>
      </c>
    </row>
    <row r="2086" spans="1:10" x14ac:dyDescent="0.3">
      <c r="A2086">
        <v>2182</v>
      </c>
      <c r="B2086" t="s">
        <v>1929</v>
      </c>
      <c r="C2086" t="s">
        <v>1202</v>
      </c>
      <c r="D2086" t="s">
        <v>159</v>
      </c>
      <c r="E2086" t="s">
        <v>159</v>
      </c>
      <c r="F2086">
        <v>6091</v>
      </c>
      <c r="G2086" t="s">
        <v>686</v>
      </c>
      <c r="I2086" t="s">
        <v>1205</v>
      </c>
      <c r="J2086">
        <v>469</v>
      </c>
    </row>
    <row r="2087" spans="1:10" x14ac:dyDescent="0.3">
      <c r="A2087">
        <v>2182</v>
      </c>
      <c r="B2087" t="s">
        <v>1929</v>
      </c>
      <c r="C2087" t="s">
        <v>1202</v>
      </c>
      <c r="D2087" t="s">
        <v>159</v>
      </c>
      <c r="E2087" t="s">
        <v>159</v>
      </c>
      <c r="F2087">
        <v>6091</v>
      </c>
      <c r="G2087" t="s">
        <v>687</v>
      </c>
      <c r="H2087" t="s">
        <v>1930</v>
      </c>
      <c r="I2087" t="s">
        <v>1205</v>
      </c>
      <c r="J2087">
        <v>922</v>
      </c>
    </row>
    <row r="2088" spans="1:10" x14ac:dyDescent="0.3">
      <c r="A2088">
        <v>2182</v>
      </c>
      <c r="B2088" t="s">
        <v>1929</v>
      </c>
      <c r="C2088" t="s">
        <v>1202</v>
      </c>
      <c r="D2088" t="s">
        <v>159</v>
      </c>
      <c r="E2088" t="s">
        <v>159</v>
      </c>
      <c r="F2088">
        <v>6091</v>
      </c>
      <c r="G2088" t="s">
        <v>702</v>
      </c>
      <c r="I2088" t="s">
        <v>1205</v>
      </c>
      <c r="J2088">
        <v>397</v>
      </c>
    </row>
    <row r="2089" spans="1:10" x14ac:dyDescent="0.3">
      <c r="A2089">
        <v>2182</v>
      </c>
      <c r="B2089" t="s">
        <v>1929</v>
      </c>
      <c r="C2089" t="s">
        <v>1202</v>
      </c>
      <c r="D2089" t="s">
        <v>159</v>
      </c>
      <c r="E2089" t="s">
        <v>159</v>
      </c>
      <c r="F2089">
        <v>6091</v>
      </c>
      <c r="G2089" t="s">
        <v>698</v>
      </c>
      <c r="I2089" t="s">
        <v>1205</v>
      </c>
      <c r="J2089">
        <v>943</v>
      </c>
    </row>
    <row r="2090" spans="1:10" x14ac:dyDescent="0.3">
      <c r="A2090">
        <v>2182</v>
      </c>
      <c r="B2090" t="s">
        <v>1929</v>
      </c>
      <c r="C2090" t="s">
        <v>1202</v>
      </c>
      <c r="D2090" t="s">
        <v>159</v>
      </c>
      <c r="E2090" t="s">
        <v>159</v>
      </c>
      <c r="F2090">
        <v>6091</v>
      </c>
      <c r="G2090" t="s">
        <v>696</v>
      </c>
      <c r="I2090" t="s">
        <v>1205</v>
      </c>
      <c r="J2090">
        <v>2087</v>
      </c>
    </row>
    <row r="2091" spans="1:10" x14ac:dyDescent="0.3">
      <c r="A2091">
        <v>2205</v>
      </c>
      <c r="B2091" t="s">
        <v>1931</v>
      </c>
      <c r="C2091" t="s">
        <v>1202</v>
      </c>
      <c r="D2091" t="s">
        <v>1203</v>
      </c>
      <c r="E2091" t="s">
        <v>1204</v>
      </c>
      <c r="F2091">
        <v>7516</v>
      </c>
      <c r="G2091" t="s">
        <v>686</v>
      </c>
      <c r="H2091" t="s">
        <v>1570</v>
      </c>
      <c r="I2091" t="s">
        <v>1205</v>
      </c>
      <c r="J2091">
        <v>603.06715140350002</v>
      </c>
    </row>
    <row r="2092" spans="1:10" x14ac:dyDescent="0.3">
      <c r="A2092">
        <v>2205</v>
      </c>
      <c r="B2092" t="s">
        <v>1931</v>
      </c>
      <c r="C2092" t="s">
        <v>1202</v>
      </c>
      <c r="D2092" t="s">
        <v>1203</v>
      </c>
      <c r="E2092" t="s">
        <v>1204</v>
      </c>
      <c r="F2092">
        <v>7516</v>
      </c>
      <c r="G2092" t="s">
        <v>701</v>
      </c>
      <c r="H2092" t="s">
        <v>1932</v>
      </c>
      <c r="I2092" t="s">
        <v>1205</v>
      </c>
      <c r="J2092">
        <v>1151.1398325350001</v>
      </c>
    </row>
    <row r="2093" spans="1:10" x14ac:dyDescent="0.3">
      <c r="A2093">
        <v>2205</v>
      </c>
      <c r="B2093" t="s">
        <v>1931</v>
      </c>
      <c r="C2093" t="s">
        <v>1202</v>
      </c>
      <c r="D2093" t="s">
        <v>1203</v>
      </c>
      <c r="E2093" t="s">
        <v>1204</v>
      </c>
      <c r="F2093">
        <v>7516</v>
      </c>
      <c r="G2093" t="s">
        <v>696</v>
      </c>
      <c r="H2093" t="s">
        <v>1933</v>
      </c>
      <c r="I2093" t="s">
        <v>1205</v>
      </c>
      <c r="J2093">
        <v>3605.0225573950001</v>
      </c>
    </row>
    <row r="2094" spans="1:10" x14ac:dyDescent="0.3">
      <c r="A2094">
        <v>2205</v>
      </c>
      <c r="B2094" t="s">
        <v>1931</v>
      </c>
      <c r="C2094" t="s">
        <v>1202</v>
      </c>
      <c r="D2094" t="s">
        <v>1203</v>
      </c>
      <c r="E2094" t="s">
        <v>1204</v>
      </c>
      <c r="F2094">
        <v>7516</v>
      </c>
      <c r="G2094" t="s">
        <v>698</v>
      </c>
      <c r="H2094" t="s">
        <v>1934</v>
      </c>
      <c r="I2094" t="s">
        <v>1205</v>
      </c>
      <c r="J2094">
        <v>247.4444273455</v>
      </c>
    </row>
    <row r="2095" spans="1:10" x14ac:dyDescent="0.3">
      <c r="A2095">
        <v>2205</v>
      </c>
      <c r="B2095" t="s">
        <v>1931</v>
      </c>
      <c r="C2095" t="s">
        <v>1202</v>
      </c>
      <c r="D2095" t="s">
        <v>1203</v>
      </c>
      <c r="E2095" t="s">
        <v>1204</v>
      </c>
      <c r="F2095">
        <v>7516</v>
      </c>
      <c r="G2095" t="s">
        <v>700</v>
      </c>
      <c r="H2095" t="s">
        <v>1935</v>
      </c>
      <c r="I2095" t="s">
        <v>1205</v>
      </c>
      <c r="J2095">
        <v>725.57715437549996</v>
      </c>
    </row>
    <row r="2096" spans="1:10" x14ac:dyDescent="0.3">
      <c r="A2096">
        <v>2207</v>
      </c>
      <c r="B2096" t="s">
        <v>1936</v>
      </c>
      <c r="C2096" t="s">
        <v>1202</v>
      </c>
      <c r="D2096" t="s">
        <v>159</v>
      </c>
      <c r="E2096" t="s">
        <v>159</v>
      </c>
      <c r="F2096">
        <v>7855</v>
      </c>
      <c r="G2096" t="s">
        <v>700</v>
      </c>
      <c r="I2096" t="s">
        <v>1205</v>
      </c>
      <c r="J2096">
        <v>5364</v>
      </c>
    </row>
    <row r="2097" spans="1:10" x14ac:dyDescent="0.3">
      <c r="A2097">
        <v>2207</v>
      </c>
      <c r="B2097" t="s">
        <v>1936</v>
      </c>
      <c r="C2097" t="s">
        <v>1202</v>
      </c>
      <c r="D2097" t="s">
        <v>159</v>
      </c>
      <c r="E2097" t="s">
        <v>159</v>
      </c>
      <c r="F2097">
        <v>7855</v>
      </c>
      <c r="G2097" t="s">
        <v>701</v>
      </c>
      <c r="I2097" t="s">
        <v>1205</v>
      </c>
      <c r="J2097">
        <v>987</v>
      </c>
    </row>
    <row r="2098" spans="1:10" x14ac:dyDescent="0.3">
      <c r="A2098">
        <v>2207</v>
      </c>
      <c r="B2098" t="s">
        <v>1936</v>
      </c>
      <c r="C2098" t="s">
        <v>1202</v>
      </c>
      <c r="D2098" t="s">
        <v>159</v>
      </c>
      <c r="E2098" t="s">
        <v>159</v>
      </c>
      <c r="F2098">
        <v>7855</v>
      </c>
      <c r="G2098" t="s">
        <v>703</v>
      </c>
      <c r="I2098" t="s">
        <v>1205</v>
      </c>
      <c r="J2098">
        <v>1788</v>
      </c>
    </row>
    <row r="2099" spans="1:10" x14ac:dyDescent="0.3">
      <c r="A2099">
        <v>2207</v>
      </c>
      <c r="B2099" t="s">
        <v>1936</v>
      </c>
      <c r="C2099" t="s">
        <v>1202</v>
      </c>
      <c r="D2099" t="s">
        <v>159</v>
      </c>
      <c r="E2099" t="s">
        <v>159</v>
      </c>
      <c r="F2099">
        <v>7855</v>
      </c>
      <c r="G2099" t="s">
        <v>702</v>
      </c>
      <c r="H2099" t="s">
        <v>1282</v>
      </c>
      <c r="I2099" t="s">
        <v>1205</v>
      </c>
      <c r="J2099">
        <v>1349</v>
      </c>
    </row>
    <row r="2100" spans="1:10" x14ac:dyDescent="0.3">
      <c r="A2100">
        <v>2207</v>
      </c>
      <c r="B2100" t="s">
        <v>1936</v>
      </c>
      <c r="C2100" t="s">
        <v>1202</v>
      </c>
      <c r="D2100" t="s">
        <v>159</v>
      </c>
      <c r="E2100" t="s">
        <v>159</v>
      </c>
      <c r="F2100">
        <v>7855</v>
      </c>
      <c r="G2100" t="s">
        <v>686</v>
      </c>
      <c r="H2100" t="s">
        <v>1227</v>
      </c>
      <c r="I2100" t="s">
        <v>1205</v>
      </c>
      <c r="J2100">
        <v>1940</v>
      </c>
    </row>
    <row r="2101" spans="1:10" x14ac:dyDescent="0.3">
      <c r="A2101">
        <v>2207</v>
      </c>
      <c r="B2101" t="s">
        <v>1936</v>
      </c>
      <c r="C2101" t="s">
        <v>1202</v>
      </c>
      <c r="D2101" t="s">
        <v>159</v>
      </c>
      <c r="E2101" t="s">
        <v>159</v>
      </c>
      <c r="F2101">
        <v>7855</v>
      </c>
      <c r="G2101" t="s">
        <v>687</v>
      </c>
      <c r="H2101" t="s">
        <v>1937</v>
      </c>
      <c r="I2101" t="s">
        <v>1205</v>
      </c>
      <c r="J2101">
        <v>24</v>
      </c>
    </row>
    <row r="2102" spans="1:10" x14ac:dyDescent="0.3">
      <c r="A2102">
        <v>2207</v>
      </c>
      <c r="B2102" t="s">
        <v>1936</v>
      </c>
      <c r="C2102" t="s">
        <v>1202</v>
      </c>
      <c r="D2102" t="s">
        <v>159</v>
      </c>
      <c r="E2102" t="s">
        <v>159</v>
      </c>
      <c r="F2102">
        <v>7855</v>
      </c>
      <c r="G2102" t="s">
        <v>696</v>
      </c>
      <c r="I2102" t="s">
        <v>1205</v>
      </c>
      <c r="J2102">
        <v>11916</v>
      </c>
    </row>
    <row r="2103" spans="1:10" x14ac:dyDescent="0.3">
      <c r="A2103">
        <v>2207</v>
      </c>
      <c r="B2103" t="s">
        <v>1936</v>
      </c>
      <c r="C2103" t="s">
        <v>1202</v>
      </c>
      <c r="D2103" t="s">
        <v>159</v>
      </c>
      <c r="E2103" t="s">
        <v>159</v>
      </c>
      <c r="F2103">
        <v>7855</v>
      </c>
      <c r="G2103" t="s">
        <v>698</v>
      </c>
      <c r="I2103" t="s">
        <v>1205</v>
      </c>
      <c r="J2103">
        <v>9872</v>
      </c>
    </row>
    <row r="2104" spans="1:10" x14ac:dyDescent="0.3">
      <c r="A2104">
        <v>2209</v>
      </c>
      <c r="B2104" t="s">
        <v>1938</v>
      </c>
      <c r="C2104" t="s">
        <v>1202</v>
      </c>
      <c r="D2104" t="s">
        <v>1203</v>
      </c>
      <c r="E2104" t="s">
        <v>1204</v>
      </c>
      <c r="F2104">
        <v>5793</v>
      </c>
      <c r="G2104" t="s">
        <v>705</v>
      </c>
      <c r="I2104" t="s">
        <v>1205</v>
      </c>
      <c r="J2104">
        <v>31</v>
      </c>
    </row>
    <row r="2105" spans="1:10" x14ac:dyDescent="0.3">
      <c r="A2105">
        <v>2209</v>
      </c>
      <c r="B2105" t="s">
        <v>1938</v>
      </c>
      <c r="C2105" t="s">
        <v>1202</v>
      </c>
      <c r="D2105" t="s">
        <v>1203</v>
      </c>
      <c r="E2105" t="s">
        <v>1204</v>
      </c>
      <c r="F2105">
        <v>5793</v>
      </c>
      <c r="G2105" t="s">
        <v>696</v>
      </c>
      <c r="I2105" t="s">
        <v>1205</v>
      </c>
      <c r="J2105">
        <v>4043</v>
      </c>
    </row>
    <row r="2106" spans="1:10" x14ac:dyDescent="0.3">
      <c r="A2106">
        <v>2209</v>
      </c>
      <c r="B2106" t="s">
        <v>1938</v>
      </c>
      <c r="C2106" t="s">
        <v>1202</v>
      </c>
      <c r="D2106" t="s">
        <v>1203</v>
      </c>
      <c r="E2106" t="s">
        <v>1204</v>
      </c>
      <c r="F2106">
        <v>5793</v>
      </c>
      <c r="G2106" t="s">
        <v>698</v>
      </c>
      <c r="I2106" t="s">
        <v>1205</v>
      </c>
      <c r="J2106">
        <v>2459</v>
      </c>
    </row>
    <row r="2107" spans="1:10" x14ac:dyDescent="0.3">
      <c r="A2107">
        <v>2209</v>
      </c>
      <c r="B2107" t="s">
        <v>1938</v>
      </c>
      <c r="C2107" t="s">
        <v>1202</v>
      </c>
      <c r="D2107" t="s">
        <v>1203</v>
      </c>
      <c r="E2107" t="s">
        <v>1204</v>
      </c>
      <c r="F2107">
        <v>5793</v>
      </c>
      <c r="G2107" t="s">
        <v>700</v>
      </c>
      <c r="I2107" t="s">
        <v>1205</v>
      </c>
      <c r="J2107">
        <v>1638</v>
      </c>
    </row>
    <row r="2108" spans="1:10" x14ac:dyDescent="0.3">
      <c r="A2108">
        <v>2209</v>
      </c>
      <c r="B2108" t="s">
        <v>1938</v>
      </c>
      <c r="C2108" t="s">
        <v>1202</v>
      </c>
      <c r="D2108" t="s">
        <v>1203</v>
      </c>
      <c r="E2108" t="s">
        <v>1204</v>
      </c>
      <c r="F2108">
        <v>5793</v>
      </c>
      <c r="G2108" t="s">
        <v>701</v>
      </c>
      <c r="I2108" t="s">
        <v>1205</v>
      </c>
      <c r="J2108">
        <v>164</v>
      </c>
    </row>
    <row r="2109" spans="1:10" x14ac:dyDescent="0.3">
      <c r="A2109">
        <v>2209</v>
      </c>
      <c r="B2109" t="s">
        <v>1938</v>
      </c>
      <c r="C2109" t="s">
        <v>1202</v>
      </c>
      <c r="D2109" t="s">
        <v>1203</v>
      </c>
      <c r="E2109" t="s">
        <v>1204</v>
      </c>
      <c r="F2109">
        <v>5793</v>
      </c>
      <c r="G2109" t="s">
        <v>703</v>
      </c>
      <c r="H2109" t="s">
        <v>1939</v>
      </c>
      <c r="I2109" t="s">
        <v>1205</v>
      </c>
      <c r="J2109">
        <v>0</v>
      </c>
    </row>
    <row r="2110" spans="1:10" x14ac:dyDescent="0.3">
      <c r="A2110">
        <v>2209</v>
      </c>
      <c r="B2110" t="s">
        <v>1938</v>
      </c>
      <c r="C2110" t="s">
        <v>1202</v>
      </c>
      <c r="D2110" t="s">
        <v>1203</v>
      </c>
      <c r="E2110" t="s">
        <v>1204</v>
      </c>
      <c r="F2110">
        <v>5793</v>
      </c>
      <c r="G2110" t="s">
        <v>702</v>
      </c>
      <c r="I2110" t="s">
        <v>1205</v>
      </c>
      <c r="J2110">
        <v>514</v>
      </c>
    </row>
    <row r="2111" spans="1:10" x14ac:dyDescent="0.3">
      <c r="A2111">
        <v>2209</v>
      </c>
      <c r="B2111" t="s">
        <v>1938</v>
      </c>
      <c r="C2111" t="s">
        <v>1202</v>
      </c>
      <c r="D2111" t="s">
        <v>1203</v>
      </c>
      <c r="E2111" t="s">
        <v>1204</v>
      </c>
      <c r="F2111">
        <v>5793</v>
      </c>
      <c r="G2111" t="s">
        <v>684</v>
      </c>
      <c r="I2111" t="s">
        <v>1205</v>
      </c>
      <c r="J2111">
        <v>0</v>
      </c>
    </row>
    <row r="2112" spans="1:10" x14ac:dyDescent="0.3">
      <c r="A2112">
        <v>2209</v>
      </c>
      <c r="B2112" t="s">
        <v>1938</v>
      </c>
      <c r="C2112" t="s">
        <v>1202</v>
      </c>
      <c r="D2112" t="s">
        <v>1203</v>
      </c>
      <c r="E2112" t="s">
        <v>1204</v>
      </c>
      <c r="F2112">
        <v>5793</v>
      </c>
      <c r="G2112" t="s">
        <v>686</v>
      </c>
      <c r="I2112" t="s">
        <v>1205</v>
      </c>
      <c r="J2112">
        <v>1042</v>
      </c>
    </row>
    <row r="2113" spans="1:10" x14ac:dyDescent="0.3">
      <c r="A2113">
        <v>2210</v>
      </c>
      <c r="B2113" t="s">
        <v>1940</v>
      </c>
      <c r="C2113" t="s">
        <v>1202</v>
      </c>
      <c r="D2113" t="s">
        <v>1203</v>
      </c>
      <c r="E2113" t="s">
        <v>1204</v>
      </c>
      <c r="F2113">
        <v>5756</v>
      </c>
      <c r="G2113" t="s">
        <v>703</v>
      </c>
      <c r="H2113" t="s">
        <v>1941</v>
      </c>
      <c r="I2113" t="s">
        <v>1205</v>
      </c>
      <c r="J2113">
        <v>562</v>
      </c>
    </row>
    <row r="2114" spans="1:10" x14ac:dyDescent="0.3">
      <c r="A2114">
        <v>2210</v>
      </c>
      <c r="B2114" t="s">
        <v>1940</v>
      </c>
      <c r="C2114" t="s">
        <v>1202</v>
      </c>
      <c r="D2114" t="s">
        <v>1203</v>
      </c>
      <c r="E2114" t="s">
        <v>1204</v>
      </c>
      <c r="F2114">
        <v>5756</v>
      </c>
      <c r="G2114" t="s">
        <v>700</v>
      </c>
      <c r="I2114" t="s">
        <v>1205</v>
      </c>
      <c r="J2114">
        <v>5307</v>
      </c>
    </row>
    <row r="2115" spans="1:10" x14ac:dyDescent="0.3">
      <c r="A2115">
        <v>2210</v>
      </c>
      <c r="B2115" t="s">
        <v>1940</v>
      </c>
      <c r="C2115" t="s">
        <v>1202</v>
      </c>
      <c r="D2115" t="s">
        <v>1203</v>
      </c>
      <c r="E2115" t="s">
        <v>1204</v>
      </c>
      <c r="F2115">
        <v>5756</v>
      </c>
      <c r="G2115" t="s">
        <v>696</v>
      </c>
      <c r="I2115" t="s">
        <v>1205</v>
      </c>
      <c r="J2115">
        <v>4458</v>
      </c>
    </row>
    <row r="2116" spans="1:10" x14ac:dyDescent="0.3">
      <c r="A2116">
        <v>2210</v>
      </c>
      <c r="B2116" t="s">
        <v>1940</v>
      </c>
      <c r="C2116" t="s">
        <v>1202</v>
      </c>
      <c r="D2116" t="s">
        <v>1203</v>
      </c>
      <c r="E2116" t="s">
        <v>1204</v>
      </c>
      <c r="F2116">
        <v>5756</v>
      </c>
      <c r="G2116" t="s">
        <v>701</v>
      </c>
      <c r="I2116" t="s">
        <v>1205</v>
      </c>
      <c r="J2116">
        <v>1610</v>
      </c>
    </row>
    <row r="2117" spans="1:10" x14ac:dyDescent="0.3">
      <c r="A2117">
        <v>2210</v>
      </c>
      <c r="B2117" t="s">
        <v>1940</v>
      </c>
      <c r="C2117" t="s">
        <v>1202</v>
      </c>
      <c r="D2117" t="s">
        <v>1203</v>
      </c>
      <c r="E2117" t="s">
        <v>1204</v>
      </c>
      <c r="F2117">
        <v>5756</v>
      </c>
      <c r="G2117" t="s">
        <v>698</v>
      </c>
      <c r="I2117" t="s">
        <v>1205</v>
      </c>
      <c r="J2117">
        <v>4722</v>
      </c>
    </row>
    <row r="2118" spans="1:10" x14ac:dyDescent="0.3">
      <c r="A2118">
        <v>2210</v>
      </c>
      <c r="B2118" t="s">
        <v>1940</v>
      </c>
      <c r="C2118" t="s">
        <v>1202</v>
      </c>
      <c r="D2118" t="s">
        <v>1203</v>
      </c>
      <c r="E2118" t="s">
        <v>1204</v>
      </c>
      <c r="F2118">
        <v>5756</v>
      </c>
      <c r="G2118" t="s">
        <v>703</v>
      </c>
      <c r="H2118" t="s">
        <v>1414</v>
      </c>
      <c r="I2118" t="s">
        <v>1205</v>
      </c>
      <c r="J2118">
        <v>345</v>
      </c>
    </row>
    <row r="2119" spans="1:10" x14ac:dyDescent="0.3">
      <c r="A2119">
        <v>2210</v>
      </c>
      <c r="B2119" t="s">
        <v>1940</v>
      </c>
      <c r="C2119" t="s">
        <v>1202</v>
      </c>
      <c r="D2119" t="s">
        <v>1203</v>
      </c>
      <c r="E2119" t="s">
        <v>1204</v>
      </c>
      <c r="F2119">
        <v>5756</v>
      </c>
      <c r="G2119" t="s">
        <v>686</v>
      </c>
      <c r="I2119" t="s">
        <v>1205</v>
      </c>
      <c r="J2119">
        <v>1299</v>
      </c>
    </row>
    <row r="2120" spans="1:10" x14ac:dyDescent="0.3">
      <c r="A2120">
        <v>4993</v>
      </c>
      <c r="B2120" t="s">
        <v>944</v>
      </c>
      <c r="C2120" t="s">
        <v>1202</v>
      </c>
      <c r="D2120" t="s">
        <v>1203</v>
      </c>
      <c r="E2120" t="s">
        <v>1204</v>
      </c>
      <c r="F2120">
        <v>5631</v>
      </c>
      <c r="G2120" t="s">
        <v>686</v>
      </c>
      <c r="H2120" t="s">
        <v>1227</v>
      </c>
      <c r="I2120" t="s">
        <v>1205</v>
      </c>
      <c r="J2120">
        <v>900</v>
      </c>
    </row>
    <row r="2121" spans="1:10" x14ac:dyDescent="0.3">
      <c r="A2121">
        <v>4993</v>
      </c>
      <c r="B2121" t="s">
        <v>944</v>
      </c>
      <c r="C2121" t="s">
        <v>1202</v>
      </c>
      <c r="D2121" t="s">
        <v>1203</v>
      </c>
      <c r="E2121" t="s">
        <v>1204</v>
      </c>
      <c r="F2121">
        <v>5631</v>
      </c>
      <c r="G2121" t="s">
        <v>698</v>
      </c>
      <c r="I2121" t="s">
        <v>1205</v>
      </c>
      <c r="J2121">
        <v>7000</v>
      </c>
    </row>
    <row r="2122" spans="1:10" x14ac:dyDescent="0.3">
      <c r="A2122">
        <v>4993</v>
      </c>
      <c r="B2122" t="s">
        <v>944</v>
      </c>
      <c r="C2122" t="s">
        <v>1202</v>
      </c>
      <c r="D2122" t="s">
        <v>1203</v>
      </c>
      <c r="E2122" t="s">
        <v>1204</v>
      </c>
      <c r="F2122">
        <v>5631</v>
      </c>
      <c r="G2122" t="s">
        <v>696</v>
      </c>
      <c r="I2122" t="s">
        <v>1205</v>
      </c>
      <c r="J2122">
        <v>34300</v>
      </c>
    </row>
    <row r="2123" spans="1:10" x14ac:dyDescent="0.3">
      <c r="A2123">
        <v>4993</v>
      </c>
      <c r="B2123" t="s">
        <v>944</v>
      </c>
      <c r="C2123" t="s">
        <v>1202</v>
      </c>
      <c r="D2123" t="s">
        <v>1203</v>
      </c>
      <c r="E2123" t="s">
        <v>1204</v>
      </c>
      <c r="F2123">
        <v>5631</v>
      </c>
      <c r="G2123" t="s">
        <v>705</v>
      </c>
      <c r="H2123" t="s">
        <v>1942</v>
      </c>
      <c r="I2123" t="s">
        <v>1205</v>
      </c>
      <c r="J2123">
        <v>1300</v>
      </c>
    </row>
    <row r="2124" spans="1:10" x14ac:dyDescent="0.3">
      <c r="A2124">
        <v>4993</v>
      </c>
      <c r="B2124" t="s">
        <v>944</v>
      </c>
      <c r="C2124" t="s">
        <v>1202</v>
      </c>
      <c r="D2124" t="s">
        <v>1203</v>
      </c>
      <c r="E2124" t="s">
        <v>1204</v>
      </c>
      <c r="F2124">
        <v>5631</v>
      </c>
      <c r="G2124" t="s">
        <v>687</v>
      </c>
      <c r="H2124" t="s">
        <v>1943</v>
      </c>
      <c r="I2124" t="s">
        <v>1205</v>
      </c>
      <c r="J2124">
        <v>400</v>
      </c>
    </row>
    <row r="2125" spans="1:10" x14ac:dyDescent="0.3">
      <c r="A2125">
        <v>4993</v>
      </c>
      <c r="B2125" t="s">
        <v>944</v>
      </c>
      <c r="C2125" t="s">
        <v>1202</v>
      </c>
      <c r="D2125" t="s">
        <v>1203</v>
      </c>
      <c r="E2125" t="s">
        <v>1204</v>
      </c>
      <c r="F2125">
        <v>5631</v>
      </c>
      <c r="G2125" t="s">
        <v>701</v>
      </c>
      <c r="I2125" t="s">
        <v>1205</v>
      </c>
      <c r="J2125">
        <v>1900</v>
      </c>
    </row>
    <row r="2126" spans="1:10" x14ac:dyDescent="0.3">
      <c r="A2126">
        <v>4993</v>
      </c>
      <c r="B2126" t="s">
        <v>944</v>
      </c>
      <c r="C2126" t="s">
        <v>1202</v>
      </c>
      <c r="D2126" t="s">
        <v>1203</v>
      </c>
      <c r="E2126" t="s">
        <v>1204</v>
      </c>
      <c r="F2126">
        <v>5631</v>
      </c>
      <c r="G2126" t="s">
        <v>703</v>
      </c>
      <c r="I2126" t="s">
        <v>1205</v>
      </c>
      <c r="J2126">
        <v>2400</v>
      </c>
    </row>
    <row r="2127" spans="1:10" x14ac:dyDescent="0.3">
      <c r="A2127">
        <v>4993</v>
      </c>
      <c r="B2127" t="s">
        <v>944</v>
      </c>
      <c r="C2127" t="s">
        <v>1202</v>
      </c>
      <c r="D2127" t="s">
        <v>1203</v>
      </c>
      <c r="E2127" t="s">
        <v>1204</v>
      </c>
      <c r="F2127">
        <v>5631</v>
      </c>
      <c r="G2127" t="s">
        <v>702</v>
      </c>
      <c r="I2127" t="s">
        <v>1205</v>
      </c>
      <c r="J2127">
        <v>12100</v>
      </c>
    </row>
    <row r="2128" spans="1:10" x14ac:dyDescent="0.3">
      <c r="A2128">
        <v>4993</v>
      </c>
      <c r="B2128" t="s">
        <v>944</v>
      </c>
      <c r="C2128" t="s">
        <v>1202</v>
      </c>
      <c r="D2128" t="s">
        <v>1203</v>
      </c>
      <c r="E2128" t="s">
        <v>1204</v>
      </c>
      <c r="F2128">
        <v>5631</v>
      </c>
      <c r="G2128" t="s">
        <v>700</v>
      </c>
      <c r="I2128" t="s">
        <v>1205</v>
      </c>
      <c r="J2128">
        <v>5300</v>
      </c>
    </row>
    <row r="2129" spans="1:10" x14ac:dyDescent="0.3">
      <c r="A2129">
        <v>2213</v>
      </c>
      <c r="B2129" t="s">
        <v>1944</v>
      </c>
      <c r="C2129" t="s">
        <v>1202</v>
      </c>
      <c r="D2129" t="s">
        <v>1203</v>
      </c>
      <c r="E2129" t="s">
        <v>1204</v>
      </c>
      <c r="F2129">
        <v>6652</v>
      </c>
      <c r="G2129" t="s">
        <v>686</v>
      </c>
      <c r="I2129" t="s">
        <v>1205</v>
      </c>
      <c r="J2129">
        <v>1015.80187835</v>
      </c>
    </row>
    <row r="2130" spans="1:10" x14ac:dyDescent="0.3">
      <c r="A2130">
        <v>2213</v>
      </c>
      <c r="B2130" t="s">
        <v>1944</v>
      </c>
      <c r="C2130" t="s">
        <v>1202</v>
      </c>
      <c r="D2130" t="s">
        <v>1203</v>
      </c>
      <c r="E2130" t="s">
        <v>1204</v>
      </c>
      <c r="F2130">
        <v>6652</v>
      </c>
      <c r="G2130" t="s">
        <v>705</v>
      </c>
      <c r="H2130" t="s">
        <v>1945</v>
      </c>
      <c r="I2130" t="s">
        <v>1205</v>
      </c>
      <c r="J2130">
        <v>39.895542050000003</v>
      </c>
    </row>
    <row r="2131" spans="1:10" x14ac:dyDescent="0.3">
      <c r="A2131">
        <v>2213</v>
      </c>
      <c r="B2131" t="s">
        <v>1944</v>
      </c>
      <c r="C2131" t="s">
        <v>1202</v>
      </c>
      <c r="D2131" t="s">
        <v>1203</v>
      </c>
      <c r="E2131" t="s">
        <v>1204</v>
      </c>
      <c r="F2131">
        <v>6652</v>
      </c>
      <c r="G2131" t="s">
        <v>691</v>
      </c>
      <c r="H2131" t="s">
        <v>1946</v>
      </c>
      <c r="I2131" t="s">
        <v>1205</v>
      </c>
      <c r="J2131">
        <v>12.275551399999999</v>
      </c>
    </row>
    <row r="2132" spans="1:10" x14ac:dyDescent="0.3">
      <c r="A2132">
        <v>2213</v>
      </c>
      <c r="B2132" t="s">
        <v>1944</v>
      </c>
      <c r="C2132" t="s">
        <v>1202</v>
      </c>
      <c r="D2132" t="s">
        <v>1203</v>
      </c>
      <c r="E2132" t="s">
        <v>1204</v>
      </c>
      <c r="F2132">
        <v>6652</v>
      </c>
      <c r="G2132" t="s">
        <v>702</v>
      </c>
      <c r="H2132" t="s">
        <v>1947</v>
      </c>
      <c r="I2132" t="s">
        <v>1205</v>
      </c>
      <c r="J2132">
        <v>119.68662615</v>
      </c>
    </row>
    <row r="2133" spans="1:10" x14ac:dyDescent="0.3">
      <c r="A2133">
        <v>2213</v>
      </c>
      <c r="B2133" t="s">
        <v>1944</v>
      </c>
      <c r="C2133" t="s">
        <v>1202</v>
      </c>
      <c r="D2133" t="s">
        <v>1203</v>
      </c>
      <c r="E2133" t="s">
        <v>1204</v>
      </c>
      <c r="F2133">
        <v>6652</v>
      </c>
      <c r="G2133" t="s">
        <v>702</v>
      </c>
      <c r="H2133" t="s">
        <v>1948</v>
      </c>
      <c r="I2133" t="s">
        <v>1205</v>
      </c>
      <c r="J2133">
        <v>236.30436445000001</v>
      </c>
    </row>
    <row r="2134" spans="1:10" x14ac:dyDescent="0.3">
      <c r="A2134">
        <v>2213</v>
      </c>
      <c r="B2134" t="s">
        <v>1944</v>
      </c>
      <c r="C2134" t="s">
        <v>1202</v>
      </c>
      <c r="D2134" t="s">
        <v>1203</v>
      </c>
      <c r="E2134" t="s">
        <v>1204</v>
      </c>
      <c r="F2134">
        <v>6652</v>
      </c>
      <c r="G2134" t="s">
        <v>698</v>
      </c>
      <c r="H2134" t="s">
        <v>1949</v>
      </c>
      <c r="I2134" t="s">
        <v>1205</v>
      </c>
      <c r="J2134">
        <v>1804.5060558</v>
      </c>
    </row>
    <row r="2135" spans="1:10" x14ac:dyDescent="0.3">
      <c r="A2135">
        <v>2213</v>
      </c>
      <c r="B2135" t="s">
        <v>1944</v>
      </c>
      <c r="C2135" t="s">
        <v>1202</v>
      </c>
      <c r="D2135" t="s">
        <v>1203</v>
      </c>
      <c r="E2135" t="s">
        <v>1204</v>
      </c>
      <c r="F2135">
        <v>6652</v>
      </c>
      <c r="G2135" t="s">
        <v>700</v>
      </c>
      <c r="H2135" t="s">
        <v>1563</v>
      </c>
      <c r="I2135" t="s">
        <v>1205</v>
      </c>
      <c r="J2135">
        <v>1190.7284858</v>
      </c>
    </row>
    <row r="2136" spans="1:10" x14ac:dyDescent="0.3">
      <c r="A2136">
        <v>2213</v>
      </c>
      <c r="B2136" t="s">
        <v>1944</v>
      </c>
      <c r="C2136" t="s">
        <v>1202</v>
      </c>
      <c r="D2136" t="s">
        <v>1203</v>
      </c>
      <c r="E2136" t="s">
        <v>1204</v>
      </c>
      <c r="F2136">
        <v>6652</v>
      </c>
      <c r="G2136" t="s">
        <v>701</v>
      </c>
      <c r="I2136" t="s">
        <v>1205</v>
      </c>
      <c r="J2136">
        <v>119.68662615</v>
      </c>
    </row>
    <row r="2137" spans="1:10" x14ac:dyDescent="0.3">
      <c r="A2137">
        <v>2213</v>
      </c>
      <c r="B2137" t="s">
        <v>1944</v>
      </c>
      <c r="C2137" t="s">
        <v>1202</v>
      </c>
      <c r="D2137" t="s">
        <v>1203</v>
      </c>
      <c r="E2137" t="s">
        <v>1204</v>
      </c>
      <c r="F2137">
        <v>6652</v>
      </c>
      <c r="G2137" t="s">
        <v>701</v>
      </c>
      <c r="H2137" t="s">
        <v>1950</v>
      </c>
      <c r="I2137" t="s">
        <v>1205</v>
      </c>
      <c r="J2137">
        <v>12.275551399999999</v>
      </c>
    </row>
    <row r="2138" spans="1:10" x14ac:dyDescent="0.3">
      <c r="A2138">
        <v>2213</v>
      </c>
      <c r="B2138" t="s">
        <v>1944</v>
      </c>
      <c r="C2138" t="s">
        <v>1202</v>
      </c>
      <c r="D2138" t="s">
        <v>1203</v>
      </c>
      <c r="E2138" t="s">
        <v>1204</v>
      </c>
      <c r="F2138">
        <v>6652</v>
      </c>
      <c r="G2138" t="s">
        <v>701</v>
      </c>
      <c r="H2138" t="s">
        <v>1951</v>
      </c>
      <c r="I2138" t="s">
        <v>1205</v>
      </c>
      <c r="J2138">
        <v>325.30211209999999</v>
      </c>
    </row>
    <row r="2139" spans="1:10" x14ac:dyDescent="0.3">
      <c r="A2139">
        <v>2213</v>
      </c>
      <c r="B2139" t="s">
        <v>1944</v>
      </c>
      <c r="C2139" t="s">
        <v>1202</v>
      </c>
      <c r="D2139" t="s">
        <v>1203</v>
      </c>
      <c r="E2139" t="s">
        <v>1204</v>
      </c>
      <c r="F2139">
        <v>6652</v>
      </c>
      <c r="G2139" t="s">
        <v>696</v>
      </c>
      <c r="H2139" t="s">
        <v>1952</v>
      </c>
      <c r="I2139" t="s">
        <v>1205</v>
      </c>
      <c r="J2139">
        <v>2921.5812332</v>
      </c>
    </row>
    <row r="2140" spans="1:10" x14ac:dyDescent="0.3">
      <c r="A2140">
        <v>2213</v>
      </c>
      <c r="B2140" t="s">
        <v>1944</v>
      </c>
      <c r="C2140" t="s">
        <v>1202</v>
      </c>
      <c r="D2140" t="s">
        <v>1203</v>
      </c>
      <c r="E2140" t="s">
        <v>1204</v>
      </c>
      <c r="F2140">
        <v>6652</v>
      </c>
      <c r="G2140" t="s">
        <v>703</v>
      </c>
      <c r="H2140" t="s">
        <v>1414</v>
      </c>
      <c r="I2140" t="s">
        <v>1205</v>
      </c>
      <c r="J2140">
        <v>202.54659810000001</v>
      </c>
    </row>
    <row r="2141" spans="1:10" x14ac:dyDescent="0.3">
      <c r="A2141">
        <v>2214</v>
      </c>
      <c r="B2141" t="s">
        <v>1953</v>
      </c>
      <c r="C2141" t="s">
        <v>1202</v>
      </c>
      <c r="D2141" t="s">
        <v>1203</v>
      </c>
      <c r="E2141" t="s">
        <v>1204</v>
      </c>
      <c r="F2141">
        <v>5462</v>
      </c>
      <c r="G2141" t="s">
        <v>698</v>
      </c>
      <c r="I2141" t="s">
        <v>1205</v>
      </c>
      <c r="J2141">
        <v>565</v>
      </c>
    </row>
    <row r="2142" spans="1:10" x14ac:dyDescent="0.3">
      <c r="A2142">
        <v>2214</v>
      </c>
      <c r="B2142" t="s">
        <v>1953</v>
      </c>
      <c r="C2142" t="s">
        <v>1202</v>
      </c>
      <c r="D2142" t="s">
        <v>1203</v>
      </c>
      <c r="E2142" t="s">
        <v>1204</v>
      </c>
      <c r="F2142">
        <v>5462</v>
      </c>
      <c r="G2142" t="s">
        <v>696</v>
      </c>
      <c r="I2142" t="s">
        <v>1205</v>
      </c>
      <c r="J2142">
        <v>6729</v>
      </c>
    </row>
    <row r="2143" spans="1:10" x14ac:dyDescent="0.3">
      <c r="A2143">
        <v>2214</v>
      </c>
      <c r="B2143" t="s">
        <v>1953</v>
      </c>
      <c r="C2143" t="s">
        <v>1202</v>
      </c>
      <c r="D2143" t="s">
        <v>1203</v>
      </c>
      <c r="E2143" t="s">
        <v>1204</v>
      </c>
      <c r="F2143">
        <v>5462</v>
      </c>
      <c r="G2143" t="s">
        <v>687</v>
      </c>
      <c r="I2143" t="s">
        <v>1205</v>
      </c>
      <c r="J2143">
        <v>12</v>
      </c>
    </row>
    <row r="2144" spans="1:10" x14ac:dyDescent="0.3">
      <c r="A2144">
        <v>2214</v>
      </c>
      <c r="B2144" t="s">
        <v>1953</v>
      </c>
      <c r="C2144" t="s">
        <v>1202</v>
      </c>
      <c r="D2144" t="s">
        <v>1203</v>
      </c>
      <c r="E2144" t="s">
        <v>1204</v>
      </c>
      <c r="F2144">
        <v>5462</v>
      </c>
      <c r="G2144" t="s">
        <v>686</v>
      </c>
      <c r="I2144" t="s">
        <v>1205</v>
      </c>
      <c r="J2144">
        <v>348</v>
      </c>
    </row>
    <row r="2145" spans="1:10" x14ac:dyDescent="0.3">
      <c r="A2145">
        <v>2214</v>
      </c>
      <c r="B2145" t="s">
        <v>1953</v>
      </c>
      <c r="C2145" t="s">
        <v>1202</v>
      </c>
      <c r="D2145" t="s">
        <v>1203</v>
      </c>
      <c r="E2145" t="s">
        <v>1204</v>
      </c>
      <c r="F2145">
        <v>5462</v>
      </c>
      <c r="G2145" t="s">
        <v>705</v>
      </c>
      <c r="I2145" t="s">
        <v>1205</v>
      </c>
      <c r="J2145">
        <v>91</v>
      </c>
    </row>
    <row r="2146" spans="1:10" x14ac:dyDescent="0.3">
      <c r="A2146">
        <v>2214</v>
      </c>
      <c r="B2146" t="s">
        <v>1953</v>
      </c>
      <c r="C2146" t="s">
        <v>1202</v>
      </c>
      <c r="D2146" t="s">
        <v>1203</v>
      </c>
      <c r="E2146" t="s">
        <v>1204</v>
      </c>
      <c r="F2146">
        <v>5462</v>
      </c>
      <c r="G2146" t="s">
        <v>1844</v>
      </c>
      <c r="I2146" t="s">
        <v>1205</v>
      </c>
      <c r="J2146">
        <v>110</v>
      </c>
    </row>
    <row r="2147" spans="1:10" x14ac:dyDescent="0.3">
      <c r="A2147">
        <v>2214</v>
      </c>
      <c r="B2147" t="s">
        <v>1953</v>
      </c>
      <c r="C2147" t="s">
        <v>1202</v>
      </c>
      <c r="D2147" t="s">
        <v>1203</v>
      </c>
      <c r="E2147" t="s">
        <v>1204</v>
      </c>
      <c r="F2147">
        <v>5462</v>
      </c>
      <c r="G2147" t="s">
        <v>702</v>
      </c>
      <c r="I2147" t="s">
        <v>1205</v>
      </c>
      <c r="J2147">
        <v>522</v>
      </c>
    </row>
    <row r="2148" spans="1:10" x14ac:dyDescent="0.3">
      <c r="A2148">
        <v>2214</v>
      </c>
      <c r="B2148" t="s">
        <v>1953</v>
      </c>
      <c r="C2148" t="s">
        <v>1202</v>
      </c>
      <c r="D2148" t="s">
        <v>1203</v>
      </c>
      <c r="E2148" t="s">
        <v>1204</v>
      </c>
      <c r="F2148">
        <v>5462</v>
      </c>
      <c r="G2148" t="s">
        <v>703</v>
      </c>
      <c r="I2148" t="s">
        <v>1205</v>
      </c>
      <c r="J2148">
        <v>129</v>
      </c>
    </row>
    <row r="2149" spans="1:10" x14ac:dyDescent="0.3">
      <c r="A2149">
        <v>2214</v>
      </c>
      <c r="B2149" t="s">
        <v>1953</v>
      </c>
      <c r="C2149" t="s">
        <v>1202</v>
      </c>
      <c r="D2149" t="s">
        <v>1203</v>
      </c>
      <c r="E2149" t="s">
        <v>1204</v>
      </c>
      <c r="F2149">
        <v>5462</v>
      </c>
      <c r="G2149" t="s">
        <v>700</v>
      </c>
      <c r="I2149" t="s">
        <v>1205</v>
      </c>
      <c r="J2149">
        <v>324</v>
      </c>
    </row>
    <row r="2150" spans="1:10" x14ac:dyDescent="0.3">
      <c r="A2150">
        <v>2215</v>
      </c>
      <c r="B2150" t="s">
        <v>1954</v>
      </c>
      <c r="C2150" t="s">
        <v>1202</v>
      </c>
      <c r="D2150" t="s">
        <v>1203</v>
      </c>
      <c r="E2150" t="s">
        <v>1204</v>
      </c>
      <c r="F2150">
        <v>5515</v>
      </c>
      <c r="G2150" t="s">
        <v>700</v>
      </c>
      <c r="I2150" t="s">
        <v>1205</v>
      </c>
      <c r="J2150">
        <v>3323</v>
      </c>
    </row>
    <row r="2151" spans="1:10" x14ac:dyDescent="0.3">
      <c r="A2151">
        <v>2215</v>
      </c>
      <c r="B2151" t="s">
        <v>1954</v>
      </c>
      <c r="C2151" t="s">
        <v>1202</v>
      </c>
      <c r="D2151" t="s">
        <v>1203</v>
      </c>
      <c r="E2151" t="s">
        <v>1204</v>
      </c>
      <c r="F2151">
        <v>5515</v>
      </c>
      <c r="G2151" t="s">
        <v>696</v>
      </c>
      <c r="H2151" t="s">
        <v>1627</v>
      </c>
      <c r="I2151" t="s">
        <v>1205</v>
      </c>
      <c r="J2151">
        <v>1629</v>
      </c>
    </row>
    <row r="2152" spans="1:10" x14ac:dyDescent="0.3">
      <c r="A2152">
        <v>2215</v>
      </c>
      <c r="B2152" t="s">
        <v>1954</v>
      </c>
      <c r="C2152" t="s">
        <v>1202</v>
      </c>
      <c r="D2152" t="s">
        <v>1203</v>
      </c>
      <c r="E2152" t="s">
        <v>1204</v>
      </c>
      <c r="F2152">
        <v>5515</v>
      </c>
      <c r="G2152" t="s">
        <v>686</v>
      </c>
      <c r="I2152" t="s">
        <v>1205</v>
      </c>
      <c r="J2152">
        <v>25</v>
      </c>
    </row>
    <row r="2153" spans="1:10" x14ac:dyDescent="0.3">
      <c r="A2153">
        <v>2217</v>
      </c>
      <c r="B2153" t="s">
        <v>1955</v>
      </c>
      <c r="C2153" t="s">
        <v>1202</v>
      </c>
      <c r="D2153" t="s">
        <v>159</v>
      </c>
      <c r="E2153" t="s">
        <v>159</v>
      </c>
      <c r="F2153">
        <v>5768</v>
      </c>
      <c r="G2153" t="s">
        <v>700</v>
      </c>
      <c r="H2153" t="s">
        <v>1956</v>
      </c>
      <c r="I2153" t="s">
        <v>1205</v>
      </c>
      <c r="J2153">
        <v>930</v>
      </c>
    </row>
    <row r="2154" spans="1:10" x14ac:dyDescent="0.3">
      <c r="A2154">
        <v>2217</v>
      </c>
      <c r="B2154" t="s">
        <v>1955</v>
      </c>
      <c r="C2154" t="s">
        <v>1202</v>
      </c>
      <c r="D2154" t="s">
        <v>159</v>
      </c>
      <c r="E2154" t="s">
        <v>159</v>
      </c>
      <c r="F2154">
        <v>5768</v>
      </c>
      <c r="G2154" t="s">
        <v>698</v>
      </c>
      <c r="I2154" t="s">
        <v>1205</v>
      </c>
      <c r="J2154">
        <v>2583</v>
      </c>
    </row>
    <row r="2155" spans="1:10" x14ac:dyDescent="0.3">
      <c r="A2155">
        <v>2217</v>
      </c>
      <c r="B2155" t="s">
        <v>1955</v>
      </c>
      <c r="C2155" t="s">
        <v>1202</v>
      </c>
      <c r="D2155" t="s">
        <v>159</v>
      </c>
      <c r="E2155" t="s">
        <v>159</v>
      </c>
      <c r="F2155">
        <v>5768</v>
      </c>
      <c r="G2155" t="s">
        <v>696</v>
      </c>
      <c r="I2155" t="s">
        <v>1205</v>
      </c>
      <c r="J2155">
        <v>14057</v>
      </c>
    </row>
    <row r="2156" spans="1:10" x14ac:dyDescent="0.3">
      <c r="A2156">
        <v>2217</v>
      </c>
      <c r="B2156" t="s">
        <v>1955</v>
      </c>
      <c r="C2156" t="s">
        <v>1202</v>
      </c>
      <c r="D2156" t="s">
        <v>159</v>
      </c>
      <c r="E2156" t="s">
        <v>159</v>
      </c>
      <c r="F2156">
        <v>5768</v>
      </c>
      <c r="G2156" t="s">
        <v>691</v>
      </c>
      <c r="H2156" t="s">
        <v>1957</v>
      </c>
      <c r="I2156" t="s">
        <v>1205</v>
      </c>
      <c r="J2156">
        <v>103</v>
      </c>
    </row>
    <row r="2157" spans="1:10" x14ac:dyDescent="0.3">
      <c r="A2157">
        <v>2217</v>
      </c>
      <c r="B2157" t="s">
        <v>1955</v>
      </c>
      <c r="C2157" t="s">
        <v>1202</v>
      </c>
      <c r="D2157" t="s">
        <v>159</v>
      </c>
      <c r="E2157" t="s">
        <v>159</v>
      </c>
      <c r="F2157">
        <v>5768</v>
      </c>
      <c r="G2157" t="s">
        <v>705</v>
      </c>
      <c r="H2157" t="s">
        <v>1958</v>
      </c>
      <c r="I2157" t="s">
        <v>1205</v>
      </c>
      <c r="J2157">
        <v>165</v>
      </c>
    </row>
    <row r="2158" spans="1:10" x14ac:dyDescent="0.3">
      <c r="A2158">
        <v>2217</v>
      </c>
      <c r="B2158" t="s">
        <v>1955</v>
      </c>
      <c r="C2158" t="s">
        <v>1202</v>
      </c>
      <c r="D2158" t="s">
        <v>159</v>
      </c>
      <c r="E2158" t="s">
        <v>159</v>
      </c>
      <c r="F2158">
        <v>5768</v>
      </c>
      <c r="G2158" t="s">
        <v>686</v>
      </c>
      <c r="I2158" t="s">
        <v>1205</v>
      </c>
      <c r="J2158">
        <v>1499</v>
      </c>
    </row>
    <row r="2159" spans="1:10" x14ac:dyDescent="0.3">
      <c r="A2159">
        <v>2217</v>
      </c>
      <c r="B2159" t="s">
        <v>1955</v>
      </c>
      <c r="C2159" t="s">
        <v>1202</v>
      </c>
      <c r="D2159" t="s">
        <v>159</v>
      </c>
      <c r="E2159" t="s">
        <v>159</v>
      </c>
      <c r="F2159">
        <v>5768</v>
      </c>
      <c r="G2159" t="s">
        <v>702</v>
      </c>
      <c r="I2159" t="s">
        <v>1205</v>
      </c>
      <c r="J2159">
        <v>4269</v>
      </c>
    </row>
    <row r="2160" spans="1:10" x14ac:dyDescent="0.3">
      <c r="A2160">
        <v>2218</v>
      </c>
      <c r="B2160" t="s">
        <v>1959</v>
      </c>
      <c r="C2160" t="s">
        <v>1202</v>
      </c>
      <c r="D2160" t="s">
        <v>1203</v>
      </c>
      <c r="E2160" t="s">
        <v>1204</v>
      </c>
      <c r="F2160">
        <v>5796</v>
      </c>
      <c r="G2160" t="s">
        <v>705</v>
      </c>
      <c r="H2160" t="s">
        <v>1960</v>
      </c>
      <c r="I2160" t="s">
        <v>1205</v>
      </c>
      <c r="J2160">
        <v>1117</v>
      </c>
    </row>
    <row r="2161" spans="1:10" x14ac:dyDescent="0.3">
      <c r="A2161">
        <v>2218</v>
      </c>
      <c r="B2161" t="s">
        <v>1959</v>
      </c>
      <c r="C2161" t="s">
        <v>1202</v>
      </c>
      <c r="D2161" t="s">
        <v>1203</v>
      </c>
      <c r="E2161" t="s">
        <v>1204</v>
      </c>
      <c r="F2161">
        <v>5796</v>
      </c>
      <c r="G2161" t="s">
        <v>696</v>
      </c>
      <c r="I2161" t="s">
        <v>1205</v>
      </c>
      <c r="J2161">
        <v>5398</v>
      </c>
    </row>
    <row r="2162" spans="1:10" x14ac:dyDescent="0.3">
      <c r="A2162">
        <v>2218</v>
      </c>
      <c r="B2162" t="s">
        <v>1959</v>
      </c>
      <c r="C2162" t="s">
        <v>1202</v>
      </c>
      <c r="D2162" t="s">
        <v>1203</v>
      </c>
      <c r="E2162" t="s">
        <v>1204</v>
      </c>
      <c r="F2162">
        <v>5796</v>
      </c>
      <c r="G2162" t="s">
        <v>698</v>
      </c>
      <c r="H2162" t="s">
        <v>1961</v>
      </c>
      <c r="I2162" t="s">
        <v>1205</v>
      </c>
      <c r="J2162">
        <v>1885</v>
      </c>
    </row>
    <row r="2163" spans="1:10" x14ac:dyDescent="0.3">
      <c r="A2163">
        <v>2218</v>
      </c>
      <c r="B2163" t="s">
        <v>1959</v>
      </c>
      <c r="C2163" t="s">
        <v>1202</v>
      </c>
      <c r="D2163" t="s">
        <v>1203</v>
      </c>
      <c r="E2163" t="s">
        <v>1204</v>
      </c>
      <c r="F2163">
        <v>5796</v>
      </c>
      <c r="G2163" t="s">
        <v>700</v>
      </c>
      <c r="H2163" t="s">
        <v>1961</v>
      </c>
      <c r="I2163" t="s">
        <v>1205</v>
      </c>
      <c r="J2163">
        <v>1950</v>
      </c>
    </row>
    <row r="2164" spans="1:10" x14ac:dyDescent="0.3">
      <c r="A2164">
        <v>2218</v>
      </c>
      <c r="B2164" t="s">
        <v>1959</v>
      </c>
      <c r="C2164" t="s">
        <v>1202</v>
      </c>
      <c r="D2164" t="s">
        <v>1203</v>
      </c>
      <c r="E2164" t="s">
        <v>1204</v>
      </c>
      <c r="F2164">
        <v>5796</v>
      </c>
      <c r="G2164" t="s">
        <v>701</v>
      </c>
      <c r="I2164" t="s">
        <v>1205</v>
      </c>
      <c r="J2164">
        <v>722</v>
      </c>
    </row>
    <row r="2165" spans="1:10" x14ac:dyDescent="0.3">
      <c r="A2165">
        <v>2218</v>
      </c>
      <c r="B2165" t="s">
        <v>1959</v>
      </c>
      <c r="C2165" t="s">
        <v>1202</v>
      </c>
      <c r="D2165" t="s">
        <v>1203</v>
      </c>
      <c r="E2165" t="s">
        <v>1204</v>
      </c>
      <c r="F2165">
        <v>5796</v>
      </c>
      <c r="G2165" t="s">
        <v>702</v>
      </c>
      <c r="I2165" t="s">
        <v>1205</v>
      </c>
      <c r="J2165">
        <v>1430</v>
      </c>
    </row>
    <row r="2166" spans="1:10" x14ac:dyDescent="0.3">
      <c r="A2166">
        <v>2218</v>
      </c>
      <c r="B2166" t="s">
        <v>1959</v>
      </c>
      <c r="C2166" t="s">
        <v>1202</v>
      </c>
      <c r="D2166" t="s">
        <v>1203</v>
      </c>
      <c r="E2166" t="s">
        <v>1204</v>
      </c>
      <c r="F2166">
        <v>5796</v>
      </c>
      <c r="G2166" t="s">
        <v>686</v>
      </c>
      <c r="I2166" t="s">
        <v>1205</v>
      </c>
      <c r="J2166">
        <v>488</v>
      </c>
    </row>
    <row r="2167" spans="1:10" x14ac:dyDescent="0.3">
      <c r="A2167">
        <v>2218</v>
      </c>
      <c r="B2167" t="s">
        <v>1959</v>
      </c>
      <c r="C2167" t="s">
        <v>1202</v>
      </c>
      <c r="D2167" t="s">
        <v>1203</v>
      </c>
      <c r="E2167" t="s">
        <v>1204</v>
      </c>
      <c r="F2167">
        <v>5796</v>
      </c>
      <c r="G2167" t="s">
        <v>687</v>
      </c>
      <c r="I2167" t="s">
        <v>1205</v>
      </c>
      <c r="J2167">
        <v>254</v>
      </c>
    </row>
    <row r="2168" spans="1:10" x14ac:dyDescent="0.3">
      <c r="A2168">
        <v>2220</v>
      </c>
      <c r="B2168" t="s">
        <v>1962</v>
      </c>
      <c r="C2168" t="s">
        <v>1202</v>
      </c>
      <c r="D2168" t="s">
        <v>159</v>
      </c>
      <c r="E2168" t="s">
        <v>159</v>
      </c>
      <c r="F2168">
        <v>6742</v>
      </c>
      <c r="G2168" t="s">
        <v>691</v>
      </c>
      <c r="I2168" t="s">
        <v>1205</v>
      </c>
      <c r="J2168">
        <v>2</v>
      </c>
    </row>
    <row r="2169" spans="1:10" x14ac:dyDescent="0.3">
      <c r="A2169">
        <v>2220</v>
      </c>
      <c r="B2169" t="s">
        <v>1962</v>
      </c>
      <c r="C2169" t="s">
        <v>1202</v>
      </c>
      <c r="D2169" t="s">
        <v>159</v>
      </c>
      <c r="E2169" t="s">
        <v>159</v>
      </c>
      <c r="F2169">
        <v>6742</v>
      </c>
      <c r="G2169" t="s">
        <v>702</v>
      </c>
      <c r="I2169" t="s">
        <v>1205</v>
      </c>
      <c r="J2169">
        <v>438</v>
      </c>
    </row>
    <row r="2170" spans="1:10" x14ac:dyDescent="0.3">
      <c r="A2170">
        <v>2220</v>
      </c>
      <c r="B2170" t="s">
        <v>1962</v>
      </c>
      <c r="C2170" t="s">
        <v>1202</v>
      </c>
      <c r="D2170" t="s">
        <v>159</v>
      </c>
      <c r="E2170" t="s">
        <v>159</v>
      </c>
      <c r="F2170">
        <v>6742</v>
      </c>
      <c r="G2170" t="s">
        <v>696</v>
      </c>
      <c r="I2170" t="s">
        <v>1205</v>
      </c>
      <c r="J2170">
        <v>2756</v>
      </c>
    </row>
    <row r="2171" spans="1:10" x14ac:dyDescent="0.3">
      <c r="A2171">
        <v>2220</v>
      </c>
      <c r="B2171" t="s">
        <v>1962</v>
      </c>
      <c r="C2171" t="s">
        <v>1202</v>
      </c>
      <c r="D2171" t="s">
        <v>159</v>
      </c>
      <c r="E2171" t="s">
        <v>159</v>
      </c>
      <c r="F2171">
        <v>6742</v>
      </c>
      <c r="G2171" t="s">
        <v>686</v>
      </c>
      <c r="I2171" t="s">
        <v>1205</v>
      </c>
      <c r="J2171">
        <v>66</v>
      </c>
    </row>
    <row r="2172" spans="1:10" x14ac:dyDescent="0.3">
      <c r="A2172">
        <v>2220</v>
      </c>
      <c r="B2172" t="s">
        <v>1962</v>
      </c>
      <c r="C2172" t="s">
        <v>1202</v>
      </c>
      <c r="D2172" t="s">
        <v>159</v>
      </c>
      <c r="E2172" t="s">
        <v>159</v>
      </c>
      <c r="F2172">
        <v>6742</v>
      </c>
      <c r="G2172" t="s">
        <v>698</v>
      </c>
      <c r="I2172" t="s">
        <v>1205</v>
      </c>
      <c r="J2172">
        <v>4944</v>
      </c>
    </row>
    <row r="2173" spans="1:10" x14ac:dyDescent="0.3">
      <c r="A2173">
        <v>2220</v>
      </c>
      <c r="B2173" t="s">
        <v>1962</v>
      </c>
      <c r="C2173" t="s">
        <v>1202</v>
      </c>
      <c r="D2173" t="s">
        <v>159</v>
      </c>
      <c r="E2173" t="s">
        <v>159</v>
      </c>
      <c r="F2173">
        <v>6742</v>
      </c>
      <c r="G2173" t="s">
        <v>700</v>
      </c>
      <c r="H2173" t="s">
        <v>1963</v>
      </c>
      <c r="I2173" t="s">
        <v>1205</v>
      </c>
      <c r="J2173">
        <v>2100</v>
      </c>
    </row>
    <row r="2174" spans="1:10" x14ac:dyDescent="0.3">
      <c r="A2174">
        <v>2220</v>
      </c>
      <c r="B2174" t="s">
        <v>1962</v>
      </c>
      <c r="C2174" t="s">
        <v>1202</v>
      </c>
      <c r="D2174" t="s">
        <v>159</v>
      </c>
      <c r="E2174" t="s">
        <v>159</v>
      </c>
      <c r="F2174">
        <v>6742</v>
      </c>
      <c r="G2174" t="s">
        <v>703</v>
      </c>
      <c r="I2174" t="s">
        <v>1205</v>
      </c>
      <c r="J2174">
        <v>273</v>
      </c>
    </row>
    <row r="2175" spans="1:10" x14ac:dyDescent="0.3">
      <c r="A2175">
        <v>2222</v>
      </c>
      <c r="B2175" t="s">
        <v>1964</v>
      </c>
      <c r="C2175" t="s">
        <v>1202</v>
      </c>
      <c r="D2175" t="s">
        <v>1203</v>
      </c>
      <c r="E2175" t="s">
        <v>1204</v>
      </c>
      <c r="F2175">
        <v>5644</v>
      </c>
      <c r="G2175" t="s">
        <v>700</v>
      </c>
      <c r="I2175" t="s">
        <v>1205</v>
      </c>
      <c r="J2175">
        <v>500</v>
      </c>
    </row>
    <row r="2176" spans="1:10" x14ac:dyDescent="0.3">
      <c r="A2176">
        <v>2222</v>
      </c>
      <c r="B2176" t="s">
        <v>1964</v>
      </c>
      <c r="C2176" t="s">
        <v>1202</v>
      </c>
      <c r="D2176" t="s">
        <v>1203</v>
      </c>
      <c r="E2176" t="s">
        <v>1204</v>
      </c>
      <c r="F2176">
        <v>5644</v>
      </c>
      <c r="G2176" t="s">
        <v>701</v>
      </c>
      <c r="I2176" t="s">
        <v>1205</v>
      </c>
      <c r="J2176">
        <v>49</v>
      </c>
    </row>
    <row r="2177" spans="1:10" x14ac:dyDescent="0.3">
      <c r="A2177">
        <v>2222</v>
      </c>
      <c r="B2177" t="s">
        <v>1964</v>
      </c>
      <c r="C2177" t="s">
        <v>1202</v>
      </c>
      <c r="D2177" t="s">
        <v>1203</v>
      </c>
      <c r="E2177" t="s">
        <v>1204</v>
      </c>
      <c r="F2177">
        <v>5644</v>
      </c>
      <c r="G2177" t="s">
        <v>686</v>
      </c>
      <c r="I2177" t="s">
        <v>1205</v>
      </c>
      <c r="J2177">
        <v>151</v>
      </c>
    </row>
    <row r="2178" spans="1:10" x14ac:dyDescent="0.3">
      <c r="A2178">
        <v>2222</v>
      </c>
      <c r="B2178" t="s">
        <v>1964</v>
      </c>
      <c r="C2178" t="s">
        <v>1202</v>
      </c>
      <c r="D2178" t="s">
        <v>1203</v>
      </c>
      <c r="E2178" t="s">
        <v>1204</v>
      </c>
      <c r="F2178">
        <v>5644</v>
      </c>
      <c r="G2178" t="s">
        <v>705</v>
      </c>
      <c r="H2178" t="s">
        <v>1965</v>
      </c>
      <c r="I2178" t="s">
        <v>1205</v>
      </c>
      <c r="J2178">
        <v>41</v>
      </c>
    </row>
    <row r="2179" spans="1:10" x14ac:dyDescent="0.3">
      <c r="A2179">
        <v>2222</v>
      </c>
      <c r="B2179" t="s">
        <v>1964</v>
      </c>
      <c r="C2179" t="s">
        <v>1202</v>
      </c>
      <c r="D2179" t="s">
        <v>1203</v>
      </c>
      <c r="E2179" t="s">
        <v>1204</v>
      </c>
      <c r="F2179">
        <v>5644</v>
      </c>
      <c r="G2179" t="s">
        <v>698</v>
      </c>
      <c r="I2179" t="s">
        <v>1205</v>
      </c>
      <c r="J2179">
        <v>811</v>
      </c>
    </row>
    <row r="2180" spans="1:10" x14ac:dyDescent="0.3">
      <c r="A2180">
        <v>2222</v>
      </c>
      <c r="B2180" t="s">
        <v>1964</v>
      </c>
      <c r="C2180" t="s">
        <v>1202</v>
      </c>
      <c r="D2180" t="s">
        <v>1203</v>
      </c>
      <c r="E2180" t="s">
        <v>1204</v>
      </c>
      <c r="F2180">
        <v>5644</v>
      </c>
      <c r="G2180" t="s">
        <v>696</v>
      </c>
      <c r="I2180" t="s">
        <v>1205</v>
      </c>
      <c r="J2180">
        <v>2185</v>
      </c>
    </row>
    <row r="2181" spans="1:10" x14ac:dyDescent="0.3">
      <c r="A2181">
        <v>2222</v>
      </c>
      <c r="B2181" t="s">
        <v>1964</v>
      </c>
      <c r="C2181" t="s">
        <v>1202</v>
      </c>
      <c r="D2181" t="s">
        <v>1203</v>
      </c>
      <c r="E2181" t="s">
        <v>1204</v>
      </c>
      <c r="F2181">
        <v>5644</v>
      </c>
      <c r="G2181" t="s">
        <v>702</v>
      </c>
      <c r="I2181" t="s">
        <v>1205</v>
      </c>
      <c r="J2181">
        <v>520</v>
      </c>
    </row>
    <row r="2182" spans="1:10" x14ac:dyDescent="0.3">
      <c r="A2182">
        <v>2222</v>
      </c>
      <c r="B2182" t="s">
        <v>1964</v>
      </c>
      <c r="C2182" t="s">
        <v>1202</v>
      </c>
      <c r="D2182" t="s">
        <v>1203</v>
      </c>
      <c r="E2182" t="s">
        <v>1204</v>
      </c>
      <c r="F2182">
        <v>5644</v>
      </c>
      <c r="G2182" t="s">
        <v>687</v>
      </c>
      <c r="I2182" t="s">
        <v>1205</v>
      </c>
      <c r="J2182">
        <v>33</v>
      </c>
    </row>
    <row r="2183" spans="1:10" x14ac:dyDescent="0.3">
      <c r="A2183">
        <v>2224</v>
      </c>
      <c r="B2183" t="s">
        <v>1966</v>
      </c>
      <c r="C2183" t="s">
        <v>1202</v>
      </c>
      <c r="D2183" t="s">
        <v>159</v>
      </c>
      <c r="E2183" t="s">
        <v>159</v>
      </c>
      <c r="F2183">
        <v>8051</v>
      </c>
      <c r="G2183" t="s">
        <v>687</v>
      </c>
      <c r="H2183" t="s">
        <v>1967</v>
      </c>
      <c r="I2183" t="s">
        <v>1205</v>
      </c>
      <c r="J2183">
        <v>198</v>
      </c>
    </row>
    <row r="2184" spans="1:10" x14ac:dyDescent="0.3">
      <c r="A2184">
        <v>2224</v>
      </c>
      <c r="B2184" t="s">
        <v>1966</v>
      </c>
      <c r="C2184" t="s">
        <v>1202</v>
      </c>
      <c r="D2184" t="s">
        <v>159</v>
      </c>
      <c r="E2184" t="s">
        <v>159</v>
      </c>
      <c r="F2184">
        <v>8051</v>
      </c>
      <c r="G2184" t="s">
        <v>686</v>
      </c>
      <c r="H2184" t="s">
        <v>1968</v>
      </c>
      <c r="I2184" t="s">
        <v>1205</v>
      </c>
      <c r="J2184">
        <v>1284</v>
      </c>
    </row>
    <row r="2185" spans="1:10" x14ac:dyDescent="0.3">
      <c r="A2185">
        <v>2224</v>
      </c>
      <c r="B2185" t="s">
        <v>1966</v>
      </c>
      <c r="C2185" t="s">
        <v>1202</v>
      </c>
      <c r="D2185" t="s">
        <v>159</v>
      </c>
      <c r="E2185" t="s">
        <v>159</v>
      </c>
      <c r="F2185">
        <v>8051</v>
      </c>
      <c r="G2185" t="s">
        <v>705</v>
      </c>
    </row>
    <row r="2186" spans="1:10" x14ac:dyDescent="0.3">
      <c r="A2186">
        <v>2224</v>
      </c>
      <c r="B2186" t="s">
        <v>1966</v>
      </c>
      <c r="C2186" t="s">
        <v>1202</v>
      </c>
      <c r="D2186" t="s">
        <v>159</v>
      </c>
      <c r="E2186" t="s">
        <v>159</v>
      </c>
      <c r="F2186">
        <v>8051</v>
      </c>
      <c r="G2186" t="s">
        <v>694</v>
      </c>
    </row>
    <row r="2187" spans="1:10" x14ac:dyDescent="0.3">
      <c r="A2187">
        <v>2224</v>
      </c>
      <c r="B2187" t="s">
        <v>1966</v>
      </c>
      <c r="C2187" t="s">
        <v>1202</v>
      </c>
      <c r="D2187" t="s">
        <v>159</v>
      </c>
      <c r="E2187" t="s">
        <v>159</v>
      </c>
      <c r="F2187">
        <v>8051</v>
      </c>
      <c r="G2187" t="s">
        <v>696</v>
      </c>
      <c r="I2187" t="s">
        <v>1205</v>
      </c>
      <c r="J2187">
        <v>9863</v>
      </c>
    </row>
    <row r="2188" spans="1:10" x14ac:dyDescent="0.3">
      <c r="A2188">
        <v>2224</v>
      </c>
      <c r="B2188" t="s">
        <v>1966</v>
      </c>
      <c r="C2188" t="s">
        <v>1202</v>
      </c>
      <c r="D2188" t="s">
        <v>159</v>
      </c>
      <c r="E2188" t="s">
        <v>159</v>
      </c>
      <c r="F2188">
        <v>8051</v>
      </c>
      <c r="G2188" t="s">
        <v>684</v>
      </c>
    </row>
    <row r="2189" spans="1:10" x14ac:dyDescent="0.3">
      <c r="A2189">
        <v>2224</v>
      </c>
      <c r="B2189" t="s">
        <v>1966</v>
      </c>
      <c r="C2189" t="s">
        <v>1202</v>
      </c>
      <c r="D2189" t="s">
        <v>159</v>
      </c>
      <c r="E2189" t="s">
        <v>159</v>
      </c>
      <c r="F2189">
        <v>8051</v>
      </c>
      <c r="G2189" t="s">
        <v>706</v>
      </c>
    </row>
    <row r="2190" spans="1:10" x14ac:dyDescent="0.3">
      <c r="A2190">
        <v>2224</v>
      </c>
      <c r="B2190" t="s">
        <v>1966</v>
      </c>
      <c r="C2190" t="s">
        <v>1202</v>
      </c>
      <c r="D2190" t="s">
        <v>159</v>
      </c>
      <c r="E2190" t="s">
        <v>159</v>
      </c>
      <c r="F2190">
        <v>8051</v>
      </c>
      <c r="G2190" t="s">
        <v>690</v>
      </c>
    </row>
    <row r="2191" spans="1:10" x14ac:dyDescent="0.3">
      <c r="A2191">
        <v>2224</v>
      </c>
      <c r="B2191" t="s">
        <v>1966</v>
      </c>
      <c r="C2191" t="s">
        <v>1202</v>
      </c>
      <c r="D2191" t="s">
        <v>159</v>
      </c>
      <c r="E2191" t="s">
        <v>159</v>
      </c>
      <c r="F2191">
        <v>8051</v>
      </c>
      <c r="G2191" t="s">
        <v>702</v>
      </c>
      <c r="I2191" t="s">
        <v>1205</v>
      </c>
      <c r="J2191">
        <v>1991</v>
      </c>
    </row>
    <row r="2192" spans="1:10" x14ac:dyDescent="0.3">
      <c r="A2192">
        <v>2224</v>
      </c>
      <c r="B2192" t="s">
        <v>1966</v>
      </c>
      <c r="C2192" t="s">
        <v>1202</v>
      </c>
      <c r="D2192" t="s">
        <v>159</v>
      </c>
      <c r="E2192" t="s">
        <v>159</v>
      </c>
      <c r="F2192">
        <v>8051</v>
      </c>
      <c r="G2192" t="s">
        <v>703</v>
      </c>
      <c r="I2192" t="s">
        <v>1205</v>
      </c>
      <c r="J2192">
        <v>308</v>
      </c>
    </row>
    <row r="2193" spans="1:10" x14ac:dyDescent="0.3">
      <c r="A2193">
        <v>2224</v>
      </c>
      <c r="B2193" t="s">
        <v>1966</v>
      </c>
      <c r="C2193" t="s">
        <v>1202</v>
      </c>
      <c r="D2193" t="s">
        <v>159</v>
      </c>
      <c r="E2193" t="s">
        <v>159</v>
      </c>
      <c r="F2193">
        <v>8051</v>
      </c>
      <c r="G2193" t="s">
        <v>701</v>
      </c>
      <c r="I2193" t="s">
        <v>1205</v>
      </c>
      <c r="J2193">
        <v>304</v>
      </c>
    </row>
    <row r="2194" spans="1:10" x14ac:dyDescent="0.3">
      <c r="A2194">
        <v>2224</v>
      </c>
      <c r="B2194" t="s">
        <v>1966</v>
      </c>
      <c r="C2194" t="s">
        <v>1202</v>
      </c>
      <c r="D2194" t="s">
        <v>159</v>
      </c>
      <c r="E2194" t="s">
        <v>159</v>
      </c>
      <c r="F2194">
        <v>8051</v>
      </c>
      <c r="G2194" t="s">
        <v>700</v>
      </c>
      <c r="I2194" t="s">
        <v>1205</v>
      </c>
      <c r="J2194">
        <v>2020</v>
      </c>
    </row>
    <row r="2195" spans="1:10" x14ac:dyDescent="0.3">
      <c r="A2195">
        <v>2224</v>
      </c>
      <c r="B2195" t="s">
        <v>1966</v>
      </c>
      <c r="C2195" t="s">
        <v>1202</v>
      </c>
      <c r="D2195" t="s">
        <v>159</v>
      </c>
      <c r="E2195" t="s">
        <v>159</v>
      </c>
      <c r="F2195">
        <v>8051</v>
      </c>
      <c r="G2195" t="s">
        <v>698</v>
      </c>
      <c r="I2195" t="s">
        <v>1205</v>
      </c>
      <c r="J2195">
        <v>3309</v>
      </c>
    </row>
    <row r="2196" spans="1:10" x14ac:dyDescent="0.3">
      <c r="A2196">
        <v>2237</v>
      </c>
      <c r="B2196" t="s">
        <v>1969</v>
      </c>
      <c r="C2196" t="s">
        <v>1202</v>
      </c>
      <c r="D2196" t="s">
        <v>1203</v>
      </c>
      <c r="E2196" t="s">
        <v>1204</v>
      </c>
      <c r="F2196">
        <v>5524</v>
      </c>
      <c r="G2196" t="s">
        <v>686</v>
      </c>
      <c r="I2196" t="s">
        <v>1205</v>
      </c>
      <c r="J2196">
        <v>118</v>
      </c>
    </row>
    <row r="2197" spans="1:10" x14ac:dyDescent="0.3">
      <c r="A2197">
        <v>2237</v>
      </c>
      <c r="B2197" t="s">
        <v>1969</v>
      </c>
      <c r="C2197" t="s">
        <v>1202</v>
      </c>
      <c r="D2197" t="s">
        <v>1203</v>
      </c>
      <c r="E2197" t="s">
        <v>1204</v>
      </c>
      <c r="F2197">
        <v>5524</v>
      </c>
      <c r="G2197" t="s">
        <v>687</v>
      </c>
      <c r="H2197" t="s">
        <v>1302</v>
      </c>
      <c r="I2197" t="s">
        <v>1205</v>
      </c>
      <c r="J2197">
        <v>1</v>
      </c>
    </row>
    <row r="2198" spans="1:10" x14ac:dyDescent="0.3">
      <c r="A2198">
        <v>2237</v>
      </c>
      <c r="B2198" t="s">
        <v>1969</v>
      </c>
      <c r="C2198" t="s">
        <v>1202</v>
      </c>
      <c r="D2198" t="s">
        <v>1203</v>
      </c>
      <c r="E2198" t="s">
        <v>1204</v>
      </c>
      <c r="F2198">
        <v>5524</v>
      </c>
      <c r="G2198" t="s">
        <v>702</v>
      </c>
      <c r="I2198" t="s">
        <v>1205</v>
      </c>
      <c r="J2198">
        <v>59</v>
      </c>
    </row>
    <row r="2199" spans="1:10" x14ac:dyDescent="0.3">
      <c r="A2199">
        <v>2237</v>
      </c>
      <c r="B2199" t="s">
        <v>1969</v>
      </c>
      <c r="C2199" t="s">
        <v>1202</v>
      </c>
      <c r="D2199" t="s">
        <v>1203</v>
      </c>
      <c r="E2199" t="s">
        <v>1204</v>
      </c>
      <c r="F2199">
        <v>5524</v>
      </c>
      <c r="G2199" t="s">
        <v>687</v>
      </c>
      <c r="H2199" t="s">
        <v>1970</v>
      </c>
      <c r="I2199" t="s">
        <v>1205</v>
      </c>
      <c r="J2199">
        <v>4</v>
      </c>
    </row>
    <row r="2200" spans="1:10" x14ac:dyDescent="0.3">
      <c r="A2200">
        <v>2237</v>
      </c>
      <c r="B2200" t="s">
        <v>1969</v>
      </c>
      <c r="C2200" t="s">
        <v>1202</v>
      </c>
      <c r="D2200" t="s">
        <v>1203</v>
      </c>
      <c r="E2200" t="s">
        <v>1204</v>
      </c>
      <c r="F2200">
        <v>5524</v>
      </c>
      <c r="G2200" t="s">
        <v>698</v>
      </c>
      <c r="I2200" t="s">
        <v>1205</v>
      </c>
      <c r="J2200">
        <v>67</v>
      </c>
    </row>
    <row r="2201" spans="1:10" x14ac:dyDescent="0.3">
      <c r="A2201">
        <v>2237</v>
      </c>
      <c r="B2201" t="s">
        <v>1969</v>
      </c>
      <c r="C2201" t="s">
        <v>1202</v>
      </c>
      <c r="D2201" t="s">
        <v>1203</v>
      </c>
      <c r="E2201" t="s">
        <v>1204</v>
      </c>
      <c r="F2201">
        <v>5524</v>
      </c>
      <c r="G2201" t="s">
        <v>696</v>
      </c>
      <c r="I2201" t="s">
        <v>1205</v>
      </c>
      <c r="J2201">
        <v>661</v>
      </c>
    </row>
    <row r="2202" spans="1:10" x14ac:dyDescent="0.3">
      <c r="A2202">
        <v>2237</v>
      </c>
      <c r="B2202" t="s">
        <v>1969</v>
      </c>
      <c r="C2202" t="s">
        <v>1202</v>
      </c>
      <c r="D2202" t="s">
        <v>1203</v>
      </c>
      <c r="E2202" t="s">
        <v>1204</v>
      </c>
      <c r="F2202">
        <v>5524</v>
      </c>
      <c r="G2202" t="s">
        <v>687</v>
      </c>
      <c r="H2202" t="s">
        <v>1457</v>
      </c>
      <c r="I2202" t="s">
        <v>1205</v>
      </c>
      <c r="J2202">
        <v>226</v>
      </c>
    </row>
    <row r="2203" spans="1:10" x14ac:dyDescent="0.3">
      <c r="A2203">
        <v>2241</v>
      </c>
      <c r="B2203" t="s">
        <v>1971</v>
      </c>
      <c r="C2203" t="s">
        <v>1202</v>
      </c>
      <c r="D2203" t="s">
        <v>159</v>
      </c>
      <c r="E2203" t="s">
        <v>159</v>
      </c>
      <c r="F2203">
        <v>7852</v>
      </c>
      <c r="G2203" t="s">
        <v>696</v>
      </c>
      <c r="H2203" t="s">
        <v>1972</v>
      </c>
      <c r="I2203" t="s">
        <v>1205</v>
      </c>
      <c r="J2203">
        <v>2306.4</v>
      </c>
    </row>
    <row r="2204" spans="1:10" x14ac:dyDescent="0.3">
      <c r="A2204">
        <v>2241</v>
      </c>
      <c r="B2204" t="s">
        <v>1971</v>
      </c>
      <c r="C2204" t="s">
        <v>1202</v>
      </c>
      <c r="D2204" t="s">
        <v>159</v>
      </c>
      <c r="E2204" t="s">
        <v>159</v>
      </c>
      <c r="F2204">
        <v>7852</v>
      </c>
      <c r="G2204" t="s">
        <v>686</v>
      </c>
      <c r="H2204" t="s">
        <v>1227</v>
      </c>
      <c r="I2204" t="s">
        <v>1205</v>
      </c>
      <c r="J2204">
        <v>347</v>
      </c>
    </row>
    <row r="2205" spans="1:10" x14ac:dyDescent="0.3">
      <c r="A2205">
        <v>2241</v>
      </c>
      <c r="B2205" t="s">
        <v>1971</v>
      </c>
      <c r="C2205" t="s">
        <v>1202</v>
      </c>
      <c r="D2205" t="s">
        <v>159</v>
      </c>
      <c r="E2205" t="s">
        <v>159</v>
      </c>
      <c r="F2205">
        <v>7852</v>
      </c>
      <c r="G2205" t="s">
        <v>702</v>
      </c>
      <c r="H2205" t="s">
        <v>1282</v>
      </c>
      <c r="I2205" t="s">
        <v>1205</v>
      </c>
      <c r="J2205">
        <v>16.2</v>
      </c>
    </row>
    <row r="2206" spans="1:10" x14ac:dyDescent="0.3">
      <c r="A2206">
        <v>2241</v>
      </c>
      <c r="B2206" t="s">
        <v>1971</v>
      </c>
      <c r="C2206" t="s">
        <v>1202</v>
      </c>
      <c r="D2206" t="s">
        <v>159</v>
      </c>
      <c r="E2206" t="s">
        <v>159</v>
      </c>
      <c r="F2206">
        <v>7852</v>
      </c>
      <c r="G2206" t="s">
        <v>703</v>
      </c>
      <c r="H2206" t="s">
        <v>1973</v>
      </c>
      <c r="I2206" t="s">
        <v>1205</v>
      </c>
      <c r="J2206">
        <v>111.3</v>
      </c>
    </row>
    <row r="2207" spans="1:10" x14ac:dyDescent="0.3">
      <c r="A2207">
        <v>2241</v>
      </c>
      <c r="B2207" t="s">
        <v>1971</v>
      </c>
      <c r="C2207" t="s">
        <v>1202</v>
      </c>
      <c r="D2207" t="s">
        <v>159</v>
      </c>
      <c r="E2207" t="s">
        <v>159</v>
      </c>
      <c r="F2207">
        <v>7852</v>
      </c>
      <c r="G2207" t="s">
        <v>700</v>
      </c>
      <c r="H2207" t="s">
        <v>1974</v>
      </c>
      <c r="I2207" t="s">
        <v>1205</v>
      </c>
      <c r="J2207">
        <v>492.4</v>
      </c>
    </row>
    <row r="2208" spans="1:10" x14ac:dyDescent="0.3">
      <c r="A2208">
        <v>2251</v>
      </c>
      <c r="B2208" t="s">
        <v>1975</v>
      </c>
      <c r="C2208" t="s">
        <v>1202</v>
      </c>
      <c r="D2208" t="s">
        <v>159</v>
      </c>
      <c r="E2208" t="s">
        <v>159</v>
      </c>
      <c r="F2208">
        <v>7898</v>
      </c>
      <c r="G2208" t="s">
        <v>686</v>
      </c>
      <c r="I2208" t="s">
        <v>1205</v>
      </c>
      <c r="J2208">
        <v>102</v>
      </c>
    </row>
    <row r="2209" spans="1:10" x14ac:dyDescent="0.3">
      <c r="A2209">
        <v>2251</v>
      </c>
      <c r="B2209" t="s">
        <v>1975</v>
      </c>
      <c r="C2209" t="s">
        <v>1202</v>
      </c>
      <c r="D2209" t="s">
        <v>159</v>
      </c>
      <c r="E2209" t="s">
        <v>159</v>
      </c>
      <c r="F2209">
        <v>7898</v>
      </c>
      <c r="G2209" t="s">
        <v>702</v>
      </c>
      <c r="I2209" t="s">
        <v>1205</v>
      </c>
      <c r="J2209">
        <v>20</v>
      </c>
    </row>
    <row r="2210" spans="1:10" x14ac:dyDescent="0.3">
      <c r="A2210">
        <v>2251</v>
      </c>
      <c r="B2210" t="s">
        <v>1975</v>
      </c>
      <c r="C2210" t="s">
        <v>1202</v>
      </c>
      <c r="D2210" t="s">
        <v>159</v>
      </c>
      <c r="E2210" t="s">
        <v>159</v>
      </c>
      <c r="F2210">
        <v>7898</v>
      </c>
      <c r="G2210" t="s">
        <v>691</v>
      </c>
      <c r="I2210" t="s">
        <v>1205</v>
      </c>
      <c r="J2210">
        <v>120</v>
      </c>
    </row>
    <row r="2211" spans="1:10" x14ac:dyDescent="0.3">
      <c r="A2211">
        <v>2251</v>
      </c>
      <c r="B2211" t="s">
        <v>1975</v>
      </c>
      <c r="C2211" t="s">
        <v>1202</v>
      </c>
      <c r="D2211" t="s">
        <v>159</v>
      </c>
      <c r="E2211" t="s">
        <v>159</v>
      </c>
      <c r="F2211">
        <v>7898</v>
      </c>
      <c r="G2211" t="s">
        <v>696</v>
      </c>
      <c r="I2211" t="s">
        <v>1205</v>
      </c>
      <c r="J2211">
        <v>2277</v>
      </c>
    </row>
    <row r="2212" spans="1:10" x14ac:dyDescent="0.3">
      <c r="A2212">
        <v>2260</v>
      </c>
      <c r="B2212" t="s">
        <v>1976</v>
      </c>
      <c r="C2212" t="s">
        <v>1202</v>
      </c>
      <c r="D2212" t="s">
        <v>159</v>
      </c>
      <c r="E2212" t="s">
        <v>159</v>
      </c>
      <c r="F2212">
        <v>7916</v>
      </c>
      <c r="G2212" t="s">
        <v>687</v>
      </c>
      <c r="H2212" t="s">
        <v>1977</v>
      </c>
      <c r="I2212" t="s">
        <v>1205</v>
      </c>
      <c r="J2212">
        <v>1721.64608385</v>
      </c>
    </row>
    <row r="2213" spans="1:10" x14ac:dyDescent="0.3">
      <c r="A2213">
        <v>2260</v>
      </c>
      <c r="B2213" t="s">
        <v>1976</v>
      </c>
      <c r="C2213" t="s">
        <v>1202</v>
      </c>
      <c r="D2213" t="s">
        <v>159</v>
      </c>
      <c r="E2213" t="s">
        <v>159</v>
      </c>
      <c r="F2213">
        <v>7916</v>
      </c>
      <c r="G2213" t="s">
        <v>686</v>
      </c>
      <c r="I2213" t="s">
        <v>1205</v>
      </c>
      <c r="J2213">
        <v>49.102205599999998</v>
      </c>
    </row>
    <row r="2214" spans="1:10" x14ac:dyDescent="0.3">
      <c r="A2214">
        <v>2260</v>
      </c>
      <c r="B2214" t="s">
        <v>1976</v>
      </c>
      <c r="C2214" t="s">
        <v>1202</v>
      </c>
      <c r="D2214" t="s">
        <v>159</v>
      </c>
      <c r="E2214" t="s">
        <v>159</v>
      </c>
      <c r="F2214">
        <v>7916</v>
      </c>
      <c r="G2214" t="s">
        <v>696</v>
      </c>
      <c r="H2214" t="s">
        <v>1627</v>
      </c>
      <c r="I2214" t="s">
        <v>1205</v>
      </c>
      <c r="J2214">
        <v>2059.2237473499999</v>
      </c>
    </row>
    <row r="2215" spans="1:10" x14ac:dyDescent="0.3">
      <c r="A2215">
        <v>2260</v>
      </c>
      <c r="B2215" t="s">
        <v>1976</v>
      </c>
      <c r="C2215" t="s">
        <v>1202</v>
      </c>
      <c r="D2215" t="s">
        <v>159</v>
      </c>
      <c r="E2215" t="s">
        <v>159</v>
      </c>
      <c r="F2215">
        <v>7916</v>
      </c>
      <c r="G2215" t="s">
        <v>700</v>
      </c>
      <c r="H2215" t="s">
        <v>1272</v>
      </c>
      <c r="I2215" t="s">
        <v>1205</v>
      </c>
      <c r="J2215">
        <v>985.11299985000005</v>
      </c>
    </row>
    <row r="2216" spans="1:10" x14ac:dyDescent="0.3">
      <c r="A2216">
        <v>2260</v>
      </c>
      <c r="B2216" t="s">
        <v>1976</v>
      </c>
      <c r="C2216" t="s">
        <v>1202</v>
      </c>
      <c r="D2216" t="s">
        <v>159</v>
      </c>
      <c r="E2216" t="s">
        <v>159</v>
      </c>
      <c r="F2216">
        <v>7916</v>
      </c>
      <c r="G2216" t="s">
        <v>701</v>
      </c>
      <c r="I2216" t="s">
        <v>1205</v>
      </c>
      <c r="J2216">
        <v>168.78883175000001</v>
      </c>
    </row>
    <row r="2217" spans="1:10" x14ac:dyDescent="0.3">
      <c r="A2217">
        <v>2260</v>
      </c>
      <c r="B2217" t="s">
        <v>1976</v>
      </c>
      <c r="C2217" t="s">
        <v>1202</v>
      </c>
      <c r="D2217" t="s">
        <v>159</v>
      </c>
      <c r="E2217" t="s">
        <v>159</v>
      </c>
      <c r="F2217">
        <v>7916</v>
      </c>
      <c r="G2217" t="s">
        <v>702</v>
      </c>
      <c r="I2217" t="s">
        <v>1205</v>
      </c>
      <c r="J2217">
        <v>0</v>
      </c>
    </row>
    <row r="2218" spans="1:10" x14ac:dyDescent="0.3">
      <c r="A2218">
        <v>2260</v>
      </c>
      <c r="B2218" t="s">
        <v>1976</v>
      </c>
      <c r="C2218" t="s">
        <v>1202</v>
      </c>
      <c r="D2218" t="s">
        <v>159</v>
      </c>
      <c r="E2218" t="s">
        <v>159</v>
      </c>
      <c r="F2218">
        <v>7916</v>
      </c>
      <c r="G2218" t="s">
        <v>684</v>
      </c>
      <c r="I2218" t="s">
        <v>1205</v>
      </c>
      <c r="J2218">
        <v>0</v>
      </c>
    </row>
    <row r="2219" spans="1:10" x14ac:dyDescent="0.3">
      <c r="A2219">
        <v>2260</v>
      </c>
      <c r="B2219" t="s">
        <v>1976</v>
      </c>
      <c r="C2219" t="s">
        <v>1202</v>
      </c>
      <c r="D2219" t="s">
        <v>159</v>
      </c>
      <c r="E2219" t="s">
        <v>159</v>
      </c>
      <c r="F2219">
        <v>7916</v>
      </c>
      <c r="G2219" t="s">
        <v>687</v>
      </c>
      <c r="I2219" t="s">
        <v>1205</v>
      </c>
      <c r="J2219">
        <v>0</v>
      </c>
    </row>
    <row r="2220" spans="1:10" x14ac:dyDescent="0.3">
      <c r="A2220">
        <v>2273</v>
      </c>
      <c r="B2220" t="s">
        <v>889</v>
      </c>
      <c r="C2220" t="s">
        <v>1202</v>
      </c>
      <c r="D2220" t="s">
        <v>1203</v>
      </c>
      <c r="E2220" t="s">
        <v>1204</v>
      </c>
      <c r="F2220">
        <v>5534</v>
      </c>
      <c r="G2220" t="s">
        <v>686</v>
      </c>
      <c r="I2220" t="s">
        <v>1205</v>
      </c>
      <c r="J2220">
        <v>166</v>
      </c>
    </row>
    <row r="2221" spans="1:10" x14ac:dyDescent="0.3">
      <c r="A2221">
        <v>2273</v>
      </c>
      <c r="B2221" t="s">
        <v>889</v>
      </c>
      <c r="C2221" t="s">
        <v>1202</v>
      </c>
      <c r="D2221" t="s">
        <v>1203</v>
      </c>
      <c r="E2221" t="s">
        <v>1204</v>
      </c>
      <c r="F2221">
        <v>5534</v>
      </c>
      <c r="G2221" t="s">
        <v>698</v>
      </c>
      <c r="I2221" t="s">
        <v>1205</v>
      </c>
      <c r="J2221">
        <v>156</v>
      </c>
    </row>
    <row r="2222" spans="1:10" x14ac:dyDescent="0.3">
      <c r="A2222">
        <v>2273</v>
      </c>
      <c r="B2222" t="s">
        <v>889</v>
      </c>
      <c r="C2222" t="s">
        <v>1202</v>
      </c>
      <c r="D2222" t="s">
        <v>1203</v>
      </c>
      <c r="E2222" t="s">
        <v>1204</v>
      </c>
      <c r="F2222">
        <v>5534</v>
      </c>
      <c r="G2222" t="s">
        <v>700</v>
      </c>
      <c r="H2222" t="s">
        <v>1272</v>
      </c>
      <c r="I2222" t="s">
        <v>1205</v>
      </c>
      <c r="J2222">
        <v>130</v>
      </c>
    </row>
    <row r="2223" spans="1:10" x14ac:dyDescent="0.3">
      <c r="A2223">
        <v>2273</v>
      </c>
      <c r="B2223" t="s">
        <v>889</v>
      </c>
      <c r="C2223" t="s">
        <v>1202</v>
      </c>
      <c r="D2223" t="s">
        <v>1203</v>
      </c>
      <c r="E2223" t="s">
        <v>1204</v>
      </c>
      <c r="F2223">
        <v>5534</v>
      </c>
      <c r="G2223" t="s">
        <v>701</v>
      </c>
      <c r="I2223" t="s">
        <v>1205</v>
      </c>
      <c r="J2223">
        <v>289</v>
      </c>
    </row>
    <row r="2224" spans="1:10" x14ac:dyDescent="0.3">
      <c r="A2224">
        <v>2273</v>
      </c>
      <c r="B2224" t="s">
        <v>889</v>
      </c>
      <c r="C2224" t="s">
        <v>1202</v>
      </c>
      <c r="D2224" t="s">
        <v>1203</v>
      </c>
      <c r="E2224" t="s">
        <v>1204</v>
      </c>
      <c r="F2224">
        <v>5534</v>
      </c>
      <c r="G2224" t="s">
        <v>702</v>
      </c>
      <c r="I2224" t="s">
        <v>1205</v>
      </c>
      <c r="J2224">
        <v>102</v>
      </c>
    </row>
    <row r="2225" spans="1:10" x14ac:dyDescent="0.3">
      <c r="A2225">
        <v>2273</v>
      </c>
      <c r="B2225" t="s">
        <v>889</v>
      </c>
      <c r="C2225" t="s">
        <v>1202</v>
      </c>
      <c r="D2225" t="s">
        <v>1203</v>
      </c>
      <c r="E2225" t="s">
        <v>1204</v>
      </c>
      <c r="F2225">
        <v>5534</v>
      </c>
      <c r="G2225" t="s">
        <v>684</v>
      </c>
      <c r="I2225" t="s">
        <v>1205</v>
      </c>
      <c r="J2225">
        <v>0</v>
      </c>
    </row>
    <row r="2226" spans="1:10" x14ac:dyDescent="0.3">
      <c r="A2226">
        <v>2273</v>
      </c>
      <c r="B2226" t="s">
        <v>889</v>
      </c>
      <c r="C2226" t="s">
        <v>1202</v>
      </c>
      <c r="D2226" t="s">
        <v>1203</v>
      </c>
      <c r="E2226" t="s">
        <v>1204</v>
      </c>
      <c r="F2226">
        <v>5534</v>
      </c>
      <c r="G2226" t="s">
        <v>687</v>
      </c>
      <c r="H2226" t="s">
        <v>1978</v>
      </c>
      <c r="I2226" t="s">
        <v>1205</v>
      </c>
      <c r="J2226">
        <v>31</v>
      </c>
    </row>
    <row r="2227" spans="1:10" x14ac:dyDescent="0.3">
      <c r="A2227">
        <v>2273</v>
      </c>
      <c r="B2227" t="s">
        <v>889</v>
      </c>
      <c r="C2227" t="s">
        <v>1202</v>
      </c>
      <c r="D2227" t="s">
        <v>1203</v>
      </c>
      <c r="E2227" t="s">
        <v>1204</v>
      </c>
      <c r="F2227">
        <v>5534</v>
      </c>
      <c r="G2227" t="s">
        <v>696</v>
      </c>
      <c r="I2227" t="s">
        <v>1205</v>
      </c>
      <c r="J2227">
        <v>1341</v>
      </c>
    </row>
    <row r="2228" spans="1:10" x14ac:dyDescent="0.3">
      <c r="A2228">
        <v>2290</v>
      </c>
      <c r="B2228" t="s">
        <v>1979</v>
      </c>
      <c r="C2228" t="s">
        <v>1202</v>
      </c>
      <c r="D2228" t="s">
        <v>1203</v>
      </c>
      <c r="E2228" t="s">
        <v>1204</v>
      </c>
      <c r="F2228">
        <v>5817</v>
      </c>
      <c r="G2228" t="s">
        <v>696</v>
      </c>
      <c r="I2228" t="s">
        <v>1205</v>
      </c>
      <c r="J2228">
        <v>1784</v>
      </c>
    </row>
    <row r="2229" spans="1:10" x14ac:dyDescent="0.3">
      <c r="A2229">
        <v>2290</v>
      </c>
      <c r="B2229" t="s">
        <v>1979</v>
      </c>
      <c r="C2229" t="s">
        <v>1202</v>
      </c>
      <c r="D2229" t="s">
        <v>1203</v>
      </c>
      <c r="E2229" t="s">
        <v>1204</v>
      </c>
      <c r="F2229">
        <v>5817</v>
      </c>
      <c r="G2229" t="s">
        <v>698</v>
      </c>
      <c r="I2229" t="s">
        <v>1205</v>
      </c>
      <c r="J2229">
        <v>35</v>
      </c>
    </row>
    <row r="2230" spans="1:10" x14ac:dyDescent="0.3">
      <c r="A2230">
        <v>2290</v>
      </c>
      <c r="B2230" t="s">
        <v>1979</v>
      </c>
      <c r="C2230" t="s">
        <v>1202</v>
      </c>
      <c r="D2230" t="s">
        <v>1203</v>
      </c>
      <c r="E2230" t="s">
        <v>1204</v>
      </c>
      <c r="F2230">
        <v>5817</v>
      </c>
      <c r="G2230" t="s">
        <v>700</v>
      </c>
      <c r="I2230" t="s">
        <v>1205</v>
      </c>
      <c r="J2230">
        <v>55</v>
      </c>
    </row>
    <row r="2231" spans="1:10" x14ac:dyDescent="0.3">
      <c r="A2231">
        <v>2290</v>
      </c>
      <c r="B2231" t="s">
        <v>1979</v>
      </c>
      <c r="C2231" t="s">
        <v>1202</v>
      </c>
      <c r="D2231" t="s">
        <v>1203</v>
      </c>
      <c r="E2231" t="s">
        <v>1204</v>
      </c>
      <c r="F2231">
        <v>5817</v>
      </c>
      <c r="G2231" t="s">
        <v>703</v>
      </c>
      <c r="I2231" t="s">
        <v>1205</v>
      </c>
      <c r="J2231">
        <v>131</v>
      </c>
    </row>
    <row r="2232" spans="1:10" x14ac:dyDescent="0.3">
      <c r="A2232">
        <v>2290</v>
      </c>
      <c r="B2232" t="s">
        <v>1979</v>
      </c>
      <c r="C2232" t="s">
        <v>1202</v>
      </c>
      <c r="D2232" t="s">
        <v>1203</v>
      </c>
      <c r="E2232" t="s">
        <v>1204</v>
      </c>
      <c r="F2232">
        <v>5817</v>
      </c>
      <c r="G2232" t="s">
        <v>702</v>
      </c>
      <c r="I2232" t="s">
        <v>1205</v>
      </c>
      <c r="J2232">
        <v>6</v>
      </c>
    </row>
    <row r="2233" spans="1:10" x14ac:dyDescent="0.3">
      <c r="A2233">
        <v>2290</v>
      </c>
      <c r="B2233" t="s">
        <v>1979</v>
      </c>
      <c r="C2233" t="s">
        <v>1202</v>
      </c>
      <c r="D2233" t="s">
        <v>1203</v>
      </c>
      <c r="E2233" t="s">
        <v>1204</v>
      </c>
      <c r="F2233">
        <v>5817</v>
      </c>
      <c r="G2233" t="s">
        <v>686</v>
      </c>
      <c r="I2233" t="s">
        <v>1205</v>
      </c>
      <c r="J2233">
        <v>341</v>
      </c>
    </row>
    <row r="2234" spans="1:10" x14ac:dyDescent="0.3">
      <c r="A2234">
        <v>2290</v>
      </c>
      <c r="B2234" t="s">
        <v>1979</v>
      </c>
      <c r="C2234" t="s">
        <v>1202</v>
      </c>
      <c r="D2234" t="s">
        <v>1203</v>
      </c>
      <c r="E2234" t="s">
        <v>1204</v>
      </c>
      <c r="F2234">
        <v>5817</v>
      </c>
      <c r="G2234" t="s">
        <v>687</v>
      </c>
      <c r="H2234" t="s">
        <v>1980</v>
      </c>
      <c r="I2234" t="s">
        <v>1205</v>
      </c>
      <c r="J2234">
        <v>40</v>
      </c>
    </row>
    <row r="2235" spans="1:10" x14ac:dyDescent="0.3">
      <c r="A2235">
        <v>2298</v>
      </c>
      <c r="B2235" t="s">
        <v>1981</v>
      </c>
      <c r="C2235" t="s">
        <v>1202</v>
      </c>
      <c r="D2235" t="s">
        <v>159</v>
      </c>
      <c r="E2235" t="s">
        <v>159</v>
      </c>
      <c r="F2235">
        <v>8061</v>
      </c>
      <c r="G2235" t="s">
        <v>702</v>
      </c>
      <c r="I2235" t="s">
        <v>1205</v>
      </c>
      <c r="J2235">
        <v>215.5</v>
      </c>
    </row>
    <row r="2236" spans="1:10" x14ac:dyDescent="0.3">
      <c r="A2236">
        <v>2298</v>
      </c>
      <c r="B2236" t="s">
        <v>1981</v>
      </c>
      <c r="C2236" t="s">
        <v>1202</v>
      </c>
      <c r="D2236" t="s">
        <v>159</v>
      </c>
      <c r="E2236" t="s">
        <v>159</v>
      </c>
      <c r="F2236">
        <v>8061</v>
      </c>
      <c r="G2236" t="s">
        <v>687</v>
      </c>
      <c r="H2236" t="s">
        <v>1302</v>
      </c>
      <c r="I2236" t="s">
        <v>1205</v>
      </c>
      <c r="J2236">
        <v>0</v>
      </c>
    </row>
    <row r="2237" spans="1:10" x14ac:dyDescent="0.3">
      <c r="A2237">
        <v>2298</v>
      </c>
      <c r="B2237" t="s">
        <v>1981</v>
      </c>
      <c r="C2237" t="s">
        <v>1202</v>
      </c>
      <c r="D2237" t="s">
        <v>159</v>
      </c>
      <c r="E2237" t="s">
        <v>159</v>
      </c>
      <c r="F2237">
        <v>8061</v>
      </c>
      <c r="G2237" t="s">
        <v>687</v>
      </c>
      <c r="H2237" t="s">
        <v>1982</v>
      </c>
      <c r="I2237" t="s">
        <v>1205</v>
      </c>
      <c r="J2237">
        <v>17.600000000000001</v>
      </c>
    </row>
    <row r="2238" spans="1:10" x14ac:dyDescent="0.3">
      <c r="A2238">
        <v>2298</v>
      </c>
      <c r="B2238" t="s">
        <v>1981</v>
      </c>
      <c r="C2238" t="s">
        <v>1202</v>
      </c>
      <c r="D2238" t="s">
        <v>159</v>
      </c>
      <c r="E2238" t="s">
        <v>159</v>
      </c>
      <c r="F2238">
        <v>8061</v>
      </c>
      <c r="G2238" t="s">
        <v>686</v>
      </c>
      <c r="I2238" t="s">
        <v>1205</v>
      </c>
      <c r="J2238">
        <v>183</v>
      </c>
    </row>
    <row r="2239" spans="1:10" x14ac:dyDescent="0.3">
      <c r="A2239">
        <v>2298</v>
      </c>
      <c r="B2239" t="s">
        <v>1981</v>
      </c>
      <c r="C2239" t="s">
        <v>1202</v>
      </c>
      <c r="D2239" t="s">
        <v>159</v>
      </c>
      <c r="E2239" t="s">
        <v>159</v>
      </c>
      <c r="F2239">
        <v>8061</v>
      </c>
      <c r="G2239" t="s">
        <v>696</v>
      </c>
      <c r="I2239" t="s">
        <v>1205</v>
      </c>
      <c r="J2239">
        <v>393.9</v>
      </c>
    </row>
    <row r="2240" spans="1:10" x14ac:dyDescent="0.3">
      <c r="A2240">
        <v>2298</v>
      </c>
      <c r="B2240" t="s">
        <v>1981</v>
      </c>
      <c r="C2240" t="s">
        <v>1202</v>
      </c>
      <c r="D2240" t="s">
        <v>159</v>
      </c>
      <c r="E2240" t="s">
        <v>159</v>
      </c>
      <c r="F2240">
        <v>8061</v>
      </c>
      <c r="G2240" t="s">
        <v>698</v>
      </c>
      <c r="I2240" t="s">
        <v>1205</v>
      </c>
      <c r="J2240">
        <v>520.6</v>
      </c>
    </row>
    <row r="2241" spans="1:10" x14ac:dyDescent="0.3">
      <c r="A2241">
        <v>2298</v>
      </c>
      <c r="B2241" t="s">
        <v>1981</v>
      </c>
      <c r="C2241" t="s">
        <v>1202</v>
      </c>
      <c r="D2241" t="s">
        <v>159</v>
      </c>
      <c r="E2241" t="s">
        <v>159</v>
      </c>
      <c r="F2241">
        <v>8061</v>
      </c>
      <c r="G2241" t="s">
        <v>700</v>
      </c>
      <c r="I2241" t="s">
        <v>1205</v>
      </c>
      <c r="J2241">
        <v>403.2</v>
      </c>
    </row>
    <row r="2242" spans="1:10" x14ac:dyDescent="0.3">
      <c r="A2242">
        <v>2298</v>
      </c>
      <c r="B2242" t="s">
        <v>1981</v>
      </c>
      <c r="C2242" t="s">
        <v>1202</v>
      </c>
      <c r="D2242" t="s">
        <v>159</v>
      </c>
      <c r="E2242" t="s">
        <v>159</v>
      </c>
      <c r="F2242">
        <v>8061</v>
      </c>
      <c r="G2242" t="s">
        <v>703</v>
      </c>
      <c r="I2242" t="s">
        <v>1205</v>
      </c>
      <c r="J2242">
        <v>51.7</v>
      </c>
    </row>
    <row r="2243" spans="1:10" x14ac:dyDescent="0.3">
      <c r="A2243">
        <v>2298</v>
      </c>
      <c r="B2243" t="s">
        <v>1981</v>
      </c>
      <c r="C2243" t="s">
        <v>1202</v>
      </c>
      <c r="D2243" t="s">
        <v>159</v>
      </c>
      <c r="E2243" t="s">
        <v>159</v>
      </c>
      <c r="F2243">
        <v>8061</v>
      </c>
      <c r="G2243" t="s">
        <v>701</v>
      </c>
      <c r="I2243" t="s">
        <v>1205</v>
      </c>
      <c r="J2243">
        <v>132.80000000000001</v>
      </c>
    </row>
    <row r="2244" spans="1:10" x14ac:dyDescent="0.3">
      <c r="A2244">
        <v>2323</v>
      </c>
      <c r="B2244" t="s">
        <v>1983</v>
      </c>
      <c r="C2244" t="s">
        <v>1202</v>
      </c>
      <c r="D2244" t="s">
        <v>1203</v>
      </c>
      <c r="E2244" t="s">
        <v>1204</v>
      </c>
      <c r="F2244">
        <v>5912</v>
      </c>
      <c r="G2244" t="s">
        <v>702</v>
      </c>
      <c r="I2244" t="s">
        <v>1205</v>
      </c>
      <c r="J2244">
        <v>79</v>
      </c>
    </row>
    <row r="2245" spans="1:10" x14ac:dyDescent="0.3">
      <c r="A2245">
        <v>2323</v>
      </c>
      <c r="B2245" t="s">
        <v>1983</v>
      </c>
      <c r="C2245" t="s">
        <v>1202</v>
      </c>
      <c r="D2245" t="s">
        <v>1203</v>
      </c>
      <c r="E2245" t="s">
        <v>1204</v>
      </c>
      <c r="F2245">
        <v>5912</v>
      </c>
      <c r="G2245" t="s">
        <v>696</v>
      </c>
      <c r="H2245" t="s">
        <v>1393</v>
      </c>
      <c r="I2245" t="s">
        <v>1205</v>
      </c>
      <c r="J2245">
        <v>1334</v>
      </c>
    </row>
    <row r="2246" spans="1:10" x14ac:dyDescent="0.3">
      <c r="A2246">
        <v>2323</v>
      </c>
      <c r="B2246" t="s">
        <v>1983</v>
      </c>
      <c r="C2246" t="s">
        <v>1202</v>
      </c>
      <c r="D2246" t="s">
        <v>1203</v>
      </c>
      <c r="E2246" t="s">
        <v>1204</v>
      </c>
      <c r="F2246">
        <v>5912</v>
      </c>
      <c r="G2246" t="s">
        <v>701</v>
      </c>
      <c r="I2246" t="s">
        <v>1205</v>
      </c>
      <c r="J2246">
        <v>4</v>
      </c>
    </row>
    <row r="2247" spans="1:10" x14ac:dyDescent="0.3">
      <c r="A2247">
        <v>2323</v>
      </c>
      <c r="B2247" t="s">
        <v>1983</v>
      </c>
      <c r="C2247" t="s">
        <v>1202</v>
      </c>
      <c r="D2247" t="s">
        <v>1203</v>
      </c>
      <c r="E2247" t="s">
        <v>1204</v>
      </c>
      <c r="F2247">
        <v>5912</v>
      </c>
      <c r="G2247" t="s">
        <v>703</v>
      </c>
      <c r="I2247" t="s">
        <v>1205</v>
      </c>
      <c r="J2247">
        <v>219</v>
      </c>
    </row>
    <row r="2248" spans="1:10" x14ac:dyDescent="0.3">
      <c r="A2248">
        <v>2323</v>
      </c>
      <c r="B2248" t="s">
        <v>1983</v>
      </c>
      <c r="C2248" t="s">
        <v>1202</v>
      </c>
      <c r="D2248" t="s">
        <v>1203</v>
      </c>
      <c r="E2248" t="s">
        <v>1204</v>
      </c>
      <c r="F2248">
        <v>5912</v>
      </c>
      <c r="G2248" t="s">
        <v>686</v>
      </c>
      <c r="I2248" t="s">
        <v>1205</v>
      </c>
      <c r="J2248">
        <v>180</v>
      </c>
    </row>
    <row r="2249" spans="1:10" x14ac:dyDescent="0.3">
      <c r="A2249">
        <v>2323</v>
      </c>
      <c r="B2249" t="s">
        <v>1983</v>
      </c>
      <c r="C2249" t="s">
        <v>1202</v>
      </c>
      <c r="D2249" t="s">
        <v>1203</v>
      </c>
      <c r="E2249" t="s">
        <v>1204</v>
      </c>
      <c r="F2249">
        <v>5912</v>
      </c>
      <c r="G2249" t="s">
        <v>691</v>
      </c>
      <c r="H2249" t="s">
        <v>1984</v>
      </c>
      <c r="I2249" t="s">
        <v>1205</v>
      </c>
      <c r="J2249">
        <v>23</v>
      </c>
    </row>
    <row r="2250" spans="1:10" x14ac:dyDescent="0.3">
      <c r="A2250">
        <v>2323</v>
      </c>
      <c r="B2250" t="s">
        <v>1983</v>
      </c>
      <c r="C2250" t="s">
        <v>1202</v>
      </c>
      <c r="D2250" t="s">
        <v>1203</v>
      </c>
      <c r="E2250" t="s">
        <v>1204</v>
      </c>
      <c r="F2250">
        <v>5912</v>
      </c>
      <c r="G2250" t="s">
        <v>691</v>
      </c>
      <c r="H2250" t="s">
        <v>1499</v>
      </c>
      <c r="I2250" t="s">
        <v>1205</v>
      </c>
      <c r="J2250">
        <v>25</v>
      </c>
    </row>
    <row r="2251" spans="1:10" x14ac:dyDescent="0.3">
      <c r="A2251">
        <v>2323</v>
      </c>
      <c r="B2251" t="s">
        <v>1983</v>
      </c>
      <c r="C2251" t="s">
        <v>1202</v>
      </c>
      <c r="D2251" t="s">
        <v>1203</v>
      </c>
      <c r="E2251" t="s">
        <v>1204</v>
      </c>
      <c r="F2251">
        <v>5912</v>
      </c>
      <c r="G2251" t="s">
        <v>698</v>
      </c>
      <c r="H2251" t="s">
        <v>1393</v>
      </c>
      <c r="I2251" t="s">
        <v>1205</v>
      </c>
      <c r="J2251">
        <v>276</v>
      </c>
    </row>
    <row r="2252" spans="1:10" x14ac:dyDescent="0.3">
      <c r="A2252">
        <v>2323</v>
      </c>
      <c r="B2252" t="s">
        <v>1983</v>
      </c>
      <c r="C2252" t="s">
        <v>1202</v>
      </c>
      <c r="D2252" t="s">
        <v>1203</v>
      </c>
      <c r="E2252" t="s">
        <v>1204</v>
      </c>
      <c r="F2252">
        <v>5912</v>
      </c>
      <c r="G2252" t="s">
        <v>700</v>
      </c>
      <c r="I2252" t="s">
        <v>1205</v>
      </c>
      <c r="J2252">
        <v>126</v>
      </c>
    </row>
    <row r="2253" spans="1:10" x14ac:dyDescent="0.3">
      <c r="A2253">
        <v>2326</v>
      </c>
      <c r="B2253" t="s">
        <v>1985</v>
      </c>
      <c r="C2253" t="s">
        <v>1202</v>
      </c>
      <c r="D2253" t="s">
        <v>159</v>
      </c>
      <c r="E2253" t="s">
        <v>159</v>
      </c>
      <c r="F2253">
        <v>5567</v>
      </c>
      <c r="G2253" t="s">
        <v>696</v>
      </c>
      <c r="I2253" t="s">
        <v>1205</v>
      </c>
      <c r="J2253">
        <v>1223.2059999999999</v>
      </c>
    </row>
    <row r="2254" spans="1:10" x14ac:dyDescent="0.3">
      <c r="A2254">
        <v>2326</v>
      </c>
      <c r="B2254" t="s">
        <v>1985</v>
      </c>
      <c r="C2254" t="s">
        <v>1202</v>
      </c>
      <c r="D2254" t="s">
        <v>159</v>
      </c>
      <c r="E2254" t="s">
        <v>159</v>
      </c>
      <c r="F2254">
        <v>5567</v>
      </c>
      <c r="G2254" t="s">
        <v>702</v>
      </c>
      <c r="H2254" t="s">
        <v>1663</v>
      </c>
      <c r="I2254" t="s">
        <v>1205</v>
      </c>
      <c r="J2254">
        <v>136.12</v>
      </c>
    </row>
    <row r="2255" spans="1:10" x14ac:dyDescent="0.3">
      <c r="A2255">
        <v>2326</v>
      </c>
      <c r="B2255" t="s">
        <v>1985</v>
      </c>
      <c r="C2255" t="s">
        <v>1202</v>
      </c>
      <c r="D2255" t="s">
        <v>159</v>
      </c>
      <c r="E2255" t="s">
        <v>159</v>
      </c>
      <c r="F2255">
        <v>5567</v>
      </c>
      <c r="G2255" t="s">
        <v>700</v>
      </c>
      <c r="H2255" t="s">
        <v>1404</v>
      </c>
      <c r="I2255" t="s">
        <v>1205</v>
      </c>
      <c r="J2255">
        <v>371.48</v>
      </c>
    </row>
    <row r="2256" spans="1:10" x14ac:dyDescent="0.3">
      <c r="A2256">
        <v>2326</v>
      </c>
      <c r="B2256" t="s">
        <v>1985</v>
      </c>
      <c r="C2256" t="s">
        <v>1202</v>
      </c>
      <c r="D2256" t="s">
        <v>159</v>
      </c>
      <c r="E2256" t="s">
        <v>159</v>
      </c>
      <c r="F2256">
        <v>5567</v>
      </c>
      <c r="G2256" t="s">
        <v>687</v>
      </c>
      <c r="H2256" t="s">
        <v>1986</v>
      </c>
      <c r="I2256" t="s">
        <v>1205</v>
      </c>
      <c r="J2256">
        <v>0.58599999999999997</v>
      </c>
    </row>
    <row r="2257" spans="1:10" x14ac:dyDescent="0.3">
      <c r="A2257">
        <v>2326</v>
      </c>
      <c r="B2257" t="s">
        <v>1985</v>
      </c>
      <c r="C2257" t="s">
        <v>1202</v>
      </c>
      <c r="D2257" t="s">
        <v>159</v>
      </c>
      <c r="E2257" t="s">
        <v>159</v>
      </c>
      <c r="F2257">
        <v>5567</v>
      </c>
      <c r="G2257" t="s">
        <v>686</v>
      </c>
      <c r="H2257" t="s">
        <v>1344</v>
      </c>
      <c r="I2257" t="s">
        <v>1205</v>
      </c>
      <c r="J2257">
        <v>137.16999999999999</v>
      </c>
    </row>
    <row r="2258" spans="1:10" x14ac:dyDescent="0.3">
      <c r="A2258">
        <v>2326</v>
      </c>
      <c r="B2258" t="s">
        <v>1985</v>
      </c>
      <c r="C2258" t="s">
        <v>1202</v>
      </c>
      <c r="D2258" t="s">
        <v>159</v>
      </c>
      <c r="E2258" t="s">
        <v>159</v>
      </c>
      <c r="F2258">
        <v>5567</v>
      </c>
      <c r="G2258" t="s">
        <v>698</v>
      </c>
      <c r="I2258" t="s">
        <v>1205</v>
      </c>
      <c r="J2258">
        <v>305.87</v>
      </c>
    </row>
    <row r="2259" spans="1:10" x14ac:dyDescent="0.3">
      <c r="A2259">
        <v>2330</v>
      </c>
      <c r="B2259" t="s">
        <v>1987</v>
      </c>
      <c r="C2259" t="s">
        <v>1202</v>
      </c>
      <c r="D2259" t="s">
        <v>159</v>
      </c>
      <c r="E2259" t="s">
        <v>159</v>
      </c>
      <c r="F2259">
        <v>7828</v>
      </c>
      <c r="G2259" t="s">
        <v>687</v>
      </c>
      <c r="H2259" t="s">
        <v>1410</v>
      </c>
      <c r="I2259" t="s">
        <v>1205</v>
      </c>
      <c r="J2259">
        <v>0</v>
      </c>
    </row>
    <row r="2260" spans="1:10" x14ac:dyDescent="0.3">
      <c r="A2260">
        <v>2330</v>
      </c>
      <c r="B2260" t="s">
        <v>1987</v>
      </c>
      <c r="C2260" t="s">
        <v>1202</v>
      </c>
      <c r="D2260" t="s">
        <v>159</v>
      </c>
      <c r="E2260" t="s">
        <v>159</v>
      </c>
      <c r="F2260">
        <v>7828</v>
      </c>
      <c r="G2260" t="s">
        <v>702</v>
      </c>
      <c r="H2260" t="s">
        <v>1988</v>
      </c>
      <c r="I2260" t="s">
        <v>1205</v>
      </c>
      <c r="J2260">
        <v>191</v>
      </c>
    </row>
    <row r="2261" spans="1:10" x14ac:dyDescent="0.3">
      <c r="A2261">
        <v>2330</v>
      </c>
      <c r="B2261" t="s">
        <v>1987</v>
      </c>
      <c r="C2261" t="s">
        <v>1202</v>
      </c>
      <c r="D2261" t="s">
        <v>159</v>
      </c>
      <c r="E2261" t="s">
        <v>159</v>
      </c>
      <c r="F2261">
        <v>7828</v>
      </c>
      <c r="G2261" t="s">
        <v>700</v>
      </c>
      <c r="I2261" t="s">
        <v>1205</v>
      </c>
      <c r="J2261">
        <v>300</v>
      </c>
    </row>
    <row r="2262" spans="1:10" x14ac:dyDescent="0.3">
      <c r="A2262">
        <v>2330</v>
      </c>
      <c r="B2262" t="s">
        <v>1987</v>
      </c>
      <c r="C2262" t="s">
        <v>1202</v>
      </c>
      <c r="D2262" t="s">
        <v>159</v>
      </c>
      <c r="E2262" t="s">
        <v>159</v>
      </c>
      <c r="F2262">
        <v>7828</v>
      </c>
      <c r="G2262" t="s">
        <v>687</v>
      </c>
      <c r="H2262" t="s">
        <v>1989</v>
      </c>
      <c r="I2262" t="s">
        <v>1205</v>
      </c>
      <c r="J2262">
        <v>61</v>
      </c>
    </row>
    <row r="2263" spans="1:10" x14ac:dyDescent="0.3">
      <c r="A2263">
        <v>2330</v>
      </c>
      <c r="B2263" t="s">
        <v>1987</v>
      </c>
      <c r="C2263" t="s">
        <v>1202</v>
      </c>
      <c r="D2263" t="s">
        <v>159</v>
      </c>
      <c r="E2263" t="s">
        <v>159</v>
      </c>
      <c r="F2263">
        <v>7828</v>
      </c>
      <c r="G2263" t="s">
        <v>696</v>
      </c>
      <c r="I2263" t="s">
        <v>1205</v>
      </c>
      <c r="J2263">
        <v>1902</v>
      </c>
    </row>
    <row r="2264" spans="1:10" x14ac:dyDescent="0.3">
      <c r="A2264">
        <v>2330</v>
      </c>
      <c r="B2264" t="s">
        <v>1987</v>
      </c>
      <c r="C2264" t="s">
        <v>1202</v>
      </c>
      <c r="D2264" t="s">
        <v>159</v>
      </c>
      <c r="E2264" t="s">
        <v>159</v>
      </c>
      <c r="F2264">
        <v>7828</v>
      </c>
      <c r="G2264" t="s">
        <v>686</v>
      </c>
      <c r="I2264" t="s">
        <v>1205</v>
      </c>
      <c r="J2264">
        <v>284</v>
      </c>
    </row>
    <row r="2265" spans="1:10" x14ac:dyDescent="0.3">
      <c r="A2265">
        <v>2330</v>
      </c>
      <c r="B2265" t="s">
        <v>1987</v>
      </c>
      <c r="C2265" t="s">
        <v>1202</v>
      </c>
      <c r="D2265" t="s">
        <v>159</v>
      </c>
      <c r="E2265" t="s">
        <v>159</v>
      </c>
      <c r="F2265">
        <v>7828</v>
      </c>
      <c r="G2265" t="s">
        <v>698</v>
      </c>
      <c r="I2265" t="s">
        <v>1205</v>
      </c>
      <c r="J2265">
        <v>609</v>
      </c>
    </row>
    <row r="2266" spans="1:10" x14ac:dyDescent="0.3">
      <c r="A2266">
        <v>2334</v>
      </c>
      <c r="B2266" t="s">
        <v>1990</v>
      </c>
      <c r="C2266" t="s">
        <v>1202</v>
      </c>
      <c r="D2266" t="s">
        <v>159</v>
      </c>
      <c r="E2266" t="s">
        <v>159</v>
      </c>
      <c r="F2266">
        <v>5637</v>
      </c>
      <c r="G2266" t="s">
        <v>696</v>
      </c>
      <c r="I2266" t="s">
        <v>1205</v>
      </c>
      <c r="J2266">
        <v>2817</v>
      </c>
    </row>
    <row r="2267" spans="1:10" x14ac:dyDescent="0.3">
      <c r="A2267">
        <v>2334</v>
      </c>
      <c r="B2267" t="s">
        <v>1990</v>
      </c>
      <c r="C2267" t="s">
        <v>1202</v>
      </c>
      <c r="D2267" t="s">
        <v>159</v>
      </c>
      <c r="E2267" t="s">
        <v>159</v>
      </c>
      <c r="F2267">
        <v>5637</v>
      </c>
      <c r="G2267" t="s">
        <v>698</v>
      </c>
      <c r="I2267" t="s">
        <v>1205</v>
      </c>
      <c r="J2267">
        <v>986</v>
      </c>
    </row>
    <row r="2268" spans="1:10" x14ac:dyDescent="0.3">
      <c r="A2268">
        <v>2334</v>
      </c>
      <c r="B2268" t="s">
        <v>1990</v>
      </c>
      <c r="C2268" t="s">
        <v>1202</v>
      </c>
      <c r="D2268" t="s">
        <v>159</v>
      </c>
      <c r="E2268" t="s">
        <v>159</v>
      </c>
      <c r="F2268">
        <v>5637</v>
      </c>
      <c r="G2268" t="s">
        <v>702</v>
      </c>
      <c r="H2268" t="s">
        <v>1282</v>
      </c>
      <c r="I2268" t="s">
        <v>1205</v>
      </c>
      <c r="J2268">
        <v>554</v>
      </c>
    </row>
    <row r="2269" spans="1:10" x14ac:dyDescent="0.3">
      <c r="A2269">
        <v>2334</v>
      </c>
      <c r="B2269" t="s">
        <v>1990</v>
      </c>
      <c r="C2269" t="s">
        <v>1202</v>
      </c>
      <c r="D2269" t="s">
        <v>159</v>
      </c>
      <c r="E2269" t="s">
        <v>159</v>
      </c>
      <c r="F2269">
        <v>5637</v>
      </c>
      <c r="G2269" t="s">
        <v>686</v>
      </c>
      <c r="H2269" t="s">
        <v>1289</v>
      </c>
      <c r="I2269" t="s">
        <v>1205</v>
      </c>
      <c r="J2269">
        <v>159</v>
      </c>
    </row>
    <row r="2270" spans="1:10" x14ac:dyDescent="0.3">
      <c r="A2270">
        <v>2334</v>
      </c>
      <c r="B2270" t="s">
        <v>1990</v>
      </c>
      <c r="C2270" t="s">
        <v>1202</v>
      </c>
      <c r="D2270" t="s">
        <v>159</v>
      </c>
      <c r="E2270" t="s">
        <v>159</v>
      </c>
      <c r="F2270">
        <v>5637</v>
      </c>
      <c r="G2270" t="s">
        <v>687</v>
      </c>
      <c r="H2270" t="s">
        <v>1991</v>
      </c>
      <c r="I2270" t="s">
        <v>1205</v>
      </c>
      <c r="J2270">
        <v>21</v>
      </c>
    </row>
    <row r="2271" spans="1:10" x14ac:dyDescent="0.3">
      <c r="A2271">
        <v>2334</v>
      </c>
      <c r="B2271" t="s">
        <v>1990</v>
      </c>
      <c r="C2271" t="s">
        <v>1202</v>
      </c>
      <c r="D2271" t="s">
        <v>159</v>
      </c>
      <c r="E2271" t="s">
        <v>159</v>
      </c>
      <c r="F2271">
        <v>5637</v>
      </c>
      <c r="G2271" t="s">
        <v>700</v>
      </c>
      <c r="H2271" t="s">
        <v>1992</v>
      </c>
      <c r="I2271" t="s">
        <v>1205</v>
      </c>
      <c r="J2271">
        <v>839</v>
      </c>
    </row>
    <row r="2272" spans="1:10" x14ac:dyDescent="0.3">
      <c r="A2272">
        <v>2337</v>
      </c>
      <c r="B2272" t="s">
        <v>1993</v>
      </c>
      <c r="C2272" t="s">
        <v>1202</v>
      </c>
      <c r="D2272" t="s">
        <v>1203</v>
      </c>
      <c r="E2272" t="s">
        <v>1204</v>
      </c>
      <c r="F2272">
        <v>5742</v>
      </c>
      <c r="G2272" t="s">
        <v>698</v>
      </c>
      <c r="I2272" t="s">
        <v>1205</v>
      </c>
      <c r="J2272">
        <v>337.57766350000003</v>
      </c>
    </row>
    <row r="2273" spans="1:10" x14ac:dyDescent="0.3">
      <c r="A2273">
        <v>2337</v>
      </c>
      <c r="B2273" t="s">
        <v>1993</v>
      </c>
      <c r="C2273" t="s">
        <v>1202</v>
      </c>
      <c r="D2273" t="s">
        <v>1203</v>
      </c>
      <c r="E2273" t="s">
        <v>1204</v>
      </c>
      <c r="F2273">
        <v>5742</v>
      </c>
      <c r="G2273" t="s">
        <v>684</v>
      </c>
      <c r="I2273" t="s">
        <v>1205</v>
      </c>
      <c r="J2273">
        <v>73.6533084</v>
      </c>
    </row>
    <row r="2274" spans="1:10" x14ac:dyDescent="0.3">
      <c r="A2274">
        <v>2337</v>
      </c>
      <c r="B2274" t="s">
        <v>1993</v>
      </c>
      <c r="C2274" t="s">
        <v>1202</v>
      </c>
      <c r="D2274" t="s">
        <v>1203</v>
      </c>
      <c r="E2274" t="s">
        <v>1204</v>
      </c>
      <c r="F2274">
        <v>5742</v>
      </c>
      <c r="G2274" t="s">
        <v>702</v>
      </c>
      <c r="I2274" t="s">
        <v>1205</v>
      </c>
      <c r="J2274">
        <v>3.0688878499999999</v>
      </c>
    </row>
    <row r="2275" spans="1:10" x14ac:dyDescent="0.3">
      <c r="A2275">
        <v>2337</v>
      </c>
      <c r="B2275" t="s">
        <v>1993</v>
      </c>
      <c r="C2275" t="s">
        <v>1202</v>
      </c>
      <c r="D2275" t="s">
        <v>1203</v>
      </c>
      <c r="E2275" t="s">
        <v>1204</v>
      </c>
      <c r="F2275">
        <v>5742</v>
      </c>
      <c r="G2275" t="s">
        <v>703</v>
      </c>
      <c r="I2275" t="s">
        <v>1205</v>
      </c>
      <c r="J2275">
        <v>156.51328035</v>
      </c>
    </row>
    <row r="2276" spans="1:10" x14ac:dyDescent="0.3">
      <c r="A2276">
        <v>2337</v>
      </c>
      <c r="B2276" t="s">
        <v>1993</v>
      </c>
      <c r="C2276" t="s">
        <v>1202</v>
      </c>
      <c r="D2276" t="s">
        <v>1203</v>
      </c>
      <c r="E2276" t="s">
        <v>1204</v>
      </c>
      <c r="F2276">
        <v>5742</v>
      </c>
      <c r="G2276" t="s">
        <v>701</v>
      </c>
      <c r="I2276" t="s">
        <v>1205</v>
      </c>
      <c r="J2276">
        <v>0</v>
      </c>
    </row>
    <row r="2277" spans="1:10" x14ac:dyDescent="0.3">
      <c r="A2277">
        <v>2337</v>
      </c>
      <c r="B2277" t="s">
        <v>1993</v>
      </c>
      <c r="C2277" t="s">
        <v>1202</v>
      </c>
      <c r="D2277" t="s">
        <v>1203</v>
      </c>
      <c r="E2277" t="s">
        <v>1204</v>
      </c>
      <c r="F2277">
        <v>5742</v>
      </c>
      <c r="G2277" t="s">
        <v>700</v>
      </c>
      <c r="I2277" t="s">
        <v>1205</v>
      </c>
      <c r="J2277">
        <v>454.19540180000001</v>
      </c>
    </row>
    <row r="2278" spans="1:10" x14ac:dyDescent="0.3">
      <c r="A2278">
        <v>2337</v>
      </c>
      <c r="B2278" t="s">
        <v>1993</v>
      </c>
      <c r="C2278" t="s">
        <v>1202</v>
      </c>
      <c r="D2278" t="s">
        <v>1203</v>
      </c>
      <c r="E2278" t="s">
        <v>1204</v>
      </c>
      <c r="F2278">
        <v>5742</v>
      </c>
      <c r="G2278" t="s">
        <v>696</v>
      </c>
      <c r="I2278" t="s">
        <v>1205</v>
      </c>
      <c r="J2278">
        <v>4379.3029619500003</v>
      </c>
    </row>
    <row r="2279" spans="1:10" x14ac:dyDescent="0.3">
      <c r="A2279">
        <v>2341</v>
      </c>
      <c r="B2279" t="s">
        <v>1994</v>
      </c>
      <c r="C2279" t="s">
        <v>1202</v>
      </c>
      <c r="D2279" t="s">
        <v>159</v>
      </c>
      <c r="E2279" t="s">
        <v>159</v>
      </c>
      <c r="F2279">
        <v>6850</v>
      </c>
      <c r="G2279" t="s">
        <v>698</v>
      </c>
      <c r="I2279" t="s">
        <v>1205</v>
      </c>
      <c r="J2279">
        <v>2615.5</v>
      </c>
    </row>
    <row r="2280" spans="1:10" x14ac:dyDescent="0.3">
      <c r="A2280">
        <v>2341</v>
      </c>
      <c r="B2280" t="s">
        <v>1994</v>
      </c>
      <c r="C2280" t="s">
        <v>1202</v>
      </c>
      <c r="D2280" t="s">
        <v>159</v>
      </c>
      <c r="E2280" t="s">
        <v>159</v>
      </c>
      <c r="F2280">
        <v>6850</v>
      </c>
      <c r="G2280" t="s">
        <v>696</v>
      </c>
      <c r="I2280" t="s">
        <v>1205</v>
      </c>
      <c r="J2280">
        <v>2814.19</v>
      </c>
    </row>
    <row r="2281" spans="1:10" x14ac:dyDescent="0.3">
      <c r="A2281">
        <v>2341</v>
      </c>
      <c r="B2281" t="s">
        <v>1994</v>
      </c>
      <c r="C2281" t="s">
        <v>1202</v>
      </c>
      <c r="D2281" t="s">
        <v>159</v>
      </c>
      <c r="E2281" t="s">
        <v>159</v>
      </c>
      <c r="F2281">
        <v>6850</v>
      </c>
      <c r="G2281" t="s">
        <v>700</v>
      </c>
      <c r="I2281" t="s">
        <v>1205</v>
      </c>
      <c r="J2281">
        <v>1374.61</v>
      </c>
    </row>
    <row r="2282" spans="1:10" x14ac:dyDescent="0.3">
      <c r="A2282">
        <v>2341</v>
      </c>
      <c r="B2282" t="s">
        <v>1994</v>
      </c>
      <c r="C2282" t="s">
        <v>1202</v>
      </c>
      <c r="D2282" t="s">
        <v>159</v>
      </c>
      <c r="E2282" t="s">
        <v>159</v>
      </c>
      <c r="F2282">
        <v>6850</v>
      </c>
      <c r="G2282" t="s">
        <v>701</v>
      </c>
      <c r="I2282" t="s">
        <v>1205</v>
      </c>
      <c r="J2282">
        <v>368.73</v>
      </c>
    </row>
    <row r="2283" spans="1:10" x14ac:dyDescent="0.3">
      <c r="A2283">
        <v>2341</v>
      </c>
      <c r="B2283" t="s">
        <v>1994</v>
      </c>
      <c r="C2283" t="s">
        <v>1202</v>
      </c>
      <c r="D2283" t="s">
        <v>159</v>
      </c>
      <c r="E2283" t="s">
        <v>159</v>
      </c>
      <c r="F2283">
        <v>6850</v>
      </c>
      <c r="G2283" t="s">
        <v>702</v>
      </c>
      <c r="I2283" t="s">
        <v>1205</v>
      </c>
      <c r="J2283">
        <v>21.48</v>
      </c>
    </row>
    <row r="2284" spans="1:10" x14ac:dyDescent="0.3">
      <c r="A2284">
        <v>2341</v>
      </c>
      <c r="B2284" t="s">
        <v>1994</v>
      </c>
      <c r="C2284" t="s">
        <v>1202</v>
      </c>
      <c r="D2284" t="s">
        <v>159</v>
      </c>
      <c r="E2284" t="s">
        <v>159</v>
      </c>
      <c r="F2284">
        <v>6850</v>
      </c>
      <c r="G2284" t="s">
        <v>691</v>
      </c>
      <c r="H2284" t="s">
        <v>1410</v>
      </c>
      <c r="I2284" t="s">
        <v>1205</v>
      </c>
      <c r="J2284">
        <v>41.52</v>
      </c>
    </row>
    <row r="2285" spans="1:10" x14ac:dyDescent="0.3">
      <c r="A2285">
        <v>2341</v>
      </c>
      <c r="B2285" t="s">
        <v>1994</v>
      </c>
      <c r="C2285" t="s">
        <v>1202</v>
      </c>
      <c r="D2285" t="s">
        <v>159</v>
      </c>
      <c r="E2285" t="s">
        <v>159</v>
      </c>
      <c r="F2285">
        <v>6850</v>
      </c>
      <c r="G2285" t="s">
        <v>686</v>
      </c>
      <c r="H2285" t="s">
        <v>1511</v>
      </c>
      <c r="I2285" t="s">
        <v>1205</v>
      </c>
      <c r="J2285">
        <v>1075.31</v>
      </c>
    </row>
    <row r="2286" spans="1:10" x14ac:dyDescent="0.3">
      <c r="A2286">
        <v>2343</v>
      </c>
      <c r="B2286" t="s">
        <v>1995</v>
      </c>
      <c r="C2286" t="s">
        <v>1202</v>
      </c>
      <c r="D2286" t="s">
        <v>1203</v>
      </c>
      <c r="E2286" t="s">
        <v>1204</v>
      </c>
      <c r="F2286">
        <v>5812</v>
      </c>
      <c r="G2286" t="s">
        <v>698</v>
      </c>
      <c r="I2286" t="s">
        <v>1205</v>
      </c>
      <c r="J2286">
        <v>349</v>
      </c>
    </row>
    <row r="2287" spans="1:10" x14ac:dyDescent="0.3">
      <c r="A2287">
        <v>2343</v>
      </c>
      <c r="B2287" t="s">
        <v>1995</v>
      </c>
      <c r="C2287" t="s">
        <v>1202</v>
      </c>
      <c r="D2287" t="s">
        <v>1203</v>
      </c>
      <c r="E2287" t="s">
        <v>1204</v>
      </c>
      <c r="F2287">
        <v>5812</v>
      </c>
      <c r="G2287" t="s">
        <v>700</v>
      </c>
      <c r="I2287" t="s">
        <v>1205</v>
      </c>
      <c r="J2287">
        <v>242</v>
      </c>
    </row>
    <row r="2288" spans="1:10" x14ac:dyDescent="0.3">
      <c r="A2288">
        <v>2343</v>
      </c>
      <c r="B2288" t="s">
        <v>1995</v>
      </c>
      <c r="C2288" t="s">
        <v>1202</v>
      </c>
      <c r="D2288" t="s">
        <v>1203</v>
      </c>
      <c r="E2288" t="s">
        <v>1204</v>
      </c>
      <c r="F2288">
        <v>5812</v>
      </c>
      <c r="G2288" t="s">
        <v>686</v>
      </c>
      <c r="I2288" t="s">
        <v>1205</v>
      </c>
      <c r="J2288">
        <v>183</v>
      </c>
    </row>
    <row r="2289" spans="1:10" x14ac:dyDescent="0.3">
      <c r="A2289">
        <v>2343</v>
      </c>
      <c r="B2289" t="s">
        <v>1995</v>
      </c>
      <c r="C2289" t="s">
        <v>1202</v>
      </c>
      <c r="D2289" t="s">
        <v>1203</v>
      </c>
      <c r="E2289" t="s">
        <v>1204</v>
      </c>
      <c r="F2289">
        <v>5812</v>
      </c>
      <c r="G2289" t="s">
        <v>696</v>
      </c>
      <c r="I2289" t="s">
        <v>1205</v>
      </c>
      <c r="J2289">
        <v>1387</v>
      </c>
    </row>
    <row r="2290" spans="1:10" x14ac:dyDescent="0.3">
      <c r="A2290">
        <v>2343</v>
      </c>
      <c r="B2290" t="s">
        <v>1995</v>
      </c>
      <c r="C2290" t="s">
        <v>1202</v>
      </c>
      <c r="D2290" t="s">
        <v>1203</v>
      </c>
      <c r="E2290" t="s">
        <v>1204</v>
      </c>
      <c r="F2290">
        <v>5812</v>
      </c>
      <c r="G2290" t="s">
        <v>701</v>
      </c>
      <c r="I2290" t="s">
        <v>1205</v>
      </c>
      <c r="J2290">
        <v>1</v>
      </c>
    </row>
    <row r="2291" spans="1:10" x14ac:dyDescent="0.3">
      <c r="A2291">
        <v>2343</v>
      </c>
      <c r="B2291" t="s">
        <v>1995</v>
      </c>
      <c r="C2291" t="s">
        <v>1202</v>
      </c>
      <c r="D2291" t="s">
        <v>1203</v>
      </c>
      <c r="E2291" t="s">
        <v>1204</v>
      </c>
      <c r="F2291">
        <v>5812</v>
      </c>
      <c r="G2291" t="s">
        <v>702</v>
      </c>
      <c r="H2291" t="s">
        <v>1996</v>
      </c>
      <c r="I2291" t="s">
        <v>1205</v>
      </c>
      <c r="J2291">
        <v>108</v>
      </c>
    </row>
    <row r="2292" spans="1:10" x14ac:dyDescent="0.3">
      <c r="A2292">
        <v>2345</v>
      </c>
      <c r="B2292" t="s">
        <v>1997</v>
      </c>
      <c r="C2292" t="s">
        <v>1202</v>
      </c>
      <c r="D2292" t="s">
        <v>1203</v>
      </c>
      <c r="E2292" t="s">
        <v>1204</v>
      </c>
      <c r="F2292">
        <v>5554</v>
      </c>
      <c r="G2292" t="s">
        <v>687</v>
      </c>
      <c r="H2292" t="s">
        <v>1293</v>
      </c>
      <c r="I2292" t="s">
        <v>1205</v>
      </c>
      <c r="J2292">
        <v>7</v>
      </c>
    </row>
    <row r="2293" spans="1:10" x14ac:dyDescent="0.3">
      <c r="A2293">
        <v>2345</v>
      </c>
      <c r="B2293" t="s">
        <v>1997</v>
      </c>
      <c r="C2293" t="s">
        <v>1202</v>
      </c>
      <c r="D2293" t="s">
        <v>1203</v>
      </c>
      <c r="E2293" t="s">
        <v>1204</v>
      </c>
      <c r="F2293">
        <v>5554</v>
      </c>
      <c r="G2293" t="s">
        <v>702</v>
      </c>
      <c r="I2293" t="s">
        <v>1205</v>
      </c>
      <c r="J2293">
        <v>4</v>
      </c>
    </row>
    <row r="2294" spans="1:10" x14ac:dyDescent="0.3">
      <c r="A2294">
        <v>2345</v>
      </c>
      <c r="B2294" t="s">
        <v>1997</v>
      </c>
      <c r="C2294" t="s">
        <v>1202</v>
      </c>
      <c r="D2294" t="s">
        <v>1203</v>
      </c>
      <c r="E2294" t="s">
        <v>1204</v>
      </c>
      <c r="F2294">
        <v>5554</v>
      </c>
      <c r="G2294" t="s">
        <v>703</v>
      </c>
      <c r="I2294" t="s">
        <v>1205</v>
      </c>
      <c r="J2294">
        <v>85</v>
      </c>
    </row>
    <row r="2295" spans="1:10" x14ac:dyDescent="0.3">
      <c r="A2295">
        <v>2345</v>
      </c>
      <c r="B2295" t="s">
        <v>1997</v>
      </c>
      <c r="C2295" t="s">
        <v>1202</v>
      </c>
      <c r="D2295" t="s">
        <v>1203</v>
      </c>
      <c r="E2295" t="s">
        <v>1204</v>
      </c>
      <c r="F2295">
        <v>5554</v>
      </c>
      <c r="G2295" t="s">
        <v>700</v>
      </c>
      <c r="I2295" t="s">
        <v>1205</v>
      </c>
      <c r="J2295">
        <v>450</v>
      </c>
    </row>
    <row r="2296" spans="1:10" x14ac:dyDescent="0.3">
      <c r="A2296">
        <v>2345</v>
      </c>
      <c r="B2296" t="s">
        <v>1997</v>
      </c>
      <c r="C2296" t="s">
        <v>1202</v>
      </c>
      <c r="D2296" t="s">
        <v>1203</v>
      </c>
      <c r="E2296" t="s">
        <v>1204</v>
      </c>
      <c r="F2296">
        <v>5554</v>
      </c>
      <c r="G2296" t="s">
        <v>698</v>
      </c>
      <c r="I2296" t="s">
        <v>1205</v>
      </c>
      <c r="J2296">
        <v>992</v>
      </c>
    </row>
    <row r="2297" spans="1:10" x14ac:dyDescent="0.3">
      <c r="A2297">
        <v>2345</v>
      </c>
      <c r="B2297" t="s">
        <v>1997</v>
      </c>
      <c r="C2297" t="s">
        <v>1202</v>
      </c>
      <c r="D2297" t="s">
        <v>1203</v>
      </c>
      <c r="E2297" t="s">
        <v>1204</v>
      </c>
      <c r="F2297">
        <v>5554</v>
      </c>
      <c r="G2297" t="s">
        <v>696</v>
      </c>
      <c r="I2297" t="s">
        <v>1205</v>
      </c>
      <c r="J2297">
        <v>1962</v>
      </c>
    </row>
    <row r="2298" spans="1:10" x14ac:dyDescent="0.3">
      <c r="A2298">
        <v>2345</v>
      </c>
      <c r="B2298" t="s">
        <v>1997</v>
      </c>
      <c r="C2298" t="s">
        <v>1202</v>
      </c>
      <c r="D2298" t="s">
        <v>1203</v>
      </c>
      <c r="E2298" t="s">
        <v>1204</v>
      </c>
      <c r="F2298">
        <v>5554</v>
      </c>
      <c r="G2298" t="s">
        <v>686</v>
      </c>
      <c r="I2298" t="s">
        <v>1205</v>
      </c>
      <c r="J2298">
        <v>46</v>
      </c>
    </row>
    <row r="2299" spans="1:10" x14ac:dyDescent="0.3">
      <c r="A2299">
        <v>2348</v>
      </c>
      <c r="B2299" t="s">
        <v>1998</v>
      </c>
      <c r="C2299" t="s">
        <v>1202</v>
      </c>
      <c r="D2299" t="s">
        <v>159</v>
      </c>
      <c r="E2299" t="s">
        <v>159</v>
      </c>
      <c r="F2299">
        <v>6953</v>
      </c>
      <c r="G2299" t="s">
        <v>686</v>
      </c>
      <c r="I2299" t="s">
        <v>1205</v>
      </c>
      <c r="J2299">
        <v>935.23</v>
      </c>
    </row>
    <row r="2300" spans="1:10" x14ac:dyDescent="0.3">
      <c r="A2300">
        <v>2348</v>
      </c>
      <c r="B2300" t="s">
        <v>1998</v>
      </c>
      <c r="C2300" t="s">
        <v>1202</v>
      </c>
      <c r="D2300" t="s">
        <v>159</v>
      </c>
      <c r="E2300" t="s">
        <v>159</v>
      </c>
      <c r="F2300">
        <v>6953</v>
      </c>
      <c r="G2300" t="s">
        <v>700</v>
      </c>
      <c r="H2300" t="s">
        <v>1999</v>
      </c>
      <c r="I2300" t="s">
        <v>1205</v>
      </c>
      <c r="J2300">
        <v>750.25</v>
      </c>
    </row>
    <row r="2301" spans="1:10" x14ac:dyDescent="0.3">
      <c r="A2301">
        <v>2348</v>
      </c>
      <c r="B2301" t="s">
        <v>1998</v>
      </c>
      <c r="C2301" t="s">
        <v>1202</v>
      </c>
      <c r="D2301" t="s">
        <v>159</v>
      </c>
      <c r="E2301" t="s">
        <v>159</v>
      </c>
      <c r="F2301">
        <v>6953</v>
      </c>
      <c r="G2301" t="s">
        <v>698</v>
      </c>
      <c r="I2301" t="s">
        <v>1205</v>
      </c>
      <c r="J2301">
        <v>786.64</v>
      </c>
    </row>
    <row r="2302" spans="1:10" x14ac:dyDescent="0.3">
      <c r="A2302">
        <v>2348</v>
      </c>
      <c r="B2302" t="s">
        <v>1998</v>
      </c>
      <c r="C2302" t="s">
        <v>1202</v>
      </c>
      <c r="D2302" t="s">
        <v>159</v>
      </c>
      <c r="E2302" t="s">
        <v>159</v>
      </c>
      <c r="F2302">
        <v>6953</v>
      </c>
      <c r="G2302" t="s">
        <v>696</v>
      </c>
      <c r="I2302" t="s">
        <v>1205</v>
      </c>
      <c r="J2302">
        <v>3305.95</v>
      </c>
    </row>
    <row r="2303" spans="1:10" x14ac:dyDescent="0.3">
      <c r="A2303">
        <v>2381</v>
      </c>
      <c r="B2303" t="s">
        <v>2000</v>
      </c>
      <c r="C2303" t="s">
        <v>1202</v>
      </c>
      <c r="D2303" t="s">
        <v>159</v>
      </c>
      <c r="E2303" t="s">
        <v>159</v>
      </c>
      <c r="F2303">
        <v>7791</v>
      </c>
      <c r="G2303" t="s">
        <v>686</v>
      </c>
      <c r="H2303" t="s">
        <v>2001</v>
      </c>
      <c r="I2303" t="s">
        <v>1205</v>
      </c>
      <c r="J2303">
        <v>4991</v>
      </c>
    </row>
    <row r="2304" spans="1:10" x14ac:dyDescent="0.3">
      <c r="A2304">
        <v>2381</v>
      </c>
      <c r="B2304" t="s">
        <v>2000</v>
      </c>
      <c r="C2304" t="s">
        <v>1202</v>
      </c>
      <c r="D2304" t="s">
        <v>159</v>
      </c>
      <c r="E2304" t="s">
        <v>159</v>
      </c>
      <c r="F2304">
        <v>7791</v>
      </c>
      <c r="G2304" t="s">
        <v>696</v>
      </c>
      <c r="I2304" t="s">
        <v>1205</v>
      </c>
      <c r="J2304">
        <v>15758</v>
      </c>
    </row>
    <row r="2305" spans="1:10" x14ac:dyDescent="0.3">
      <c r="A2305">
        <v>2381</v>
      </c>
      <c r="B2305" t="s">
        <v>2000</v>
      </c>
      <c r="C2305" t="s">
        <v>1202</v>
      </c>
      <c r="D2305" t="s">
        <v>159</v>
      </c>
      <c r="E2305" t="s">
        <v>159</v>
      </c>
      <c r="F2305">
        <v>7791</v>
      </c>
      <c r="G2305" t="s">
        <v>691</v>
      </c>
      <c r="H2305" t="s">
        <v>2002</v>
      </c>
      <c r="I2305" t="s">
        <v>1205</v>
      </c>
      <c r="J2305">
        <v>132</v>
      </c>
    </row>
    <row r="2306" spans="1:10" x14ac:dyDescent="0.3">
      <c r="A2306">
        <v>2381</v>
      </c>
      <c r="B2306" t="s">
        <v>2000</v>
      </c>
      <c r="C2306" t="s">
        <v>1202</v>
      </c>
      <c r="D2306" t="s">
        <v>159</v>
      </c>
      <c r="E2306" t="s">
        <v>159</v>
      </c>
      <c r="F2306">
        <v>7791</v>
      </c>
      <c r="G2306" t="s">
        <v>705</v>
      </c>
      <c r="H2306" t="s">
        <v>2003</v>
      </c>
      <c r="I2306" t="s">
        <v>1205</v>
      </c>
      <c r="J2306">
        <v>1830</v>
      </c>
    </row>
    <row r="2307" spans="1:10" x14ac:dyDescent="0.3">
      <c r="A2307">
        <v>2381</v>
      </c>
      <c r="B2307" t="s">
        <v>2000</v>
      </c>
      <c r="C2307" t="s">
        <v>1202</v>
      </c>
      <c r="D2307" t="s">
        <v>159</v>
      </c>
      <c r="E2307" t="s">
        <v>159</v>
      </c>
      <c r="F2307">
        <v>7791</v>
      </c>
      <c r="G2307" t="s">
        <v>698</v>
      </c>
      <c r="I2307" t="s">
        <v>1205</v>
      </c>
      <c r="J2307">
        <v>3030</v>
      </c>
    </row>
    <row r="2308" spans="1:10" x14ac:dyDescent="0.3">
      <c r="A2308">
        <v>2381</v>
      </c>
      <c r="B2308" t="s">
        <v>2000</v>
      </c>
      <c r="C2308" t="s">
        <v>1202</v>
      </c>
      <c r="D2308" t="s">
        <v>159</v>
      </c>
      <c r="E2308" t="s">
        <v>159</v>
      </c>
      <c r="F2308">
        <v>7791</v>
      </c>
      <c r="G2308" t="s">
        <v>701</v>
      </c>
      <c r="H2308" t="s">
        <v>2004</v>
      </c>
      <c r="I2308" t="s">
        <v>1205</v>
      </c>
      <c r="J2308">
        <v>176</v>
      </c>
    </row>
    <row r="2309" spans="1:10" x14ac:dyDescent="0.3">
      <c r="A2309">
        <v>2381</v>
      </c>
      <c r="B2309" t="s">
        <v>2000</v>
      </c>
      <c r="C2309" t="s">
        <v>1202</v>
      </c>
      <c r="D2309" t="s">
        <v>159</v>
      </c>
      <c r="E2309" t="s">
        <v>159</v>
      </c>
      <c r="F2309">
        <v>7791</v>
      </c>
      <c r="G2309" t="s">
        <v>701</v>
      </c>
      <c r="I2309" t="s">
        <v>1205</v>
      </c>
      <c r="J2309">
        <v>533</v>
      </c>
    </row>
    <row r="2310" spans="1:10" x14ac:dyDescent="0.3">
      <c r="A2310">
        <v>2381</v>
      </c>
      <c r="B2310" t="s">
        <v>2000</v>
      </c>
      <c r="C2310" t="s">
        <v>1202</v>
      </c>
      <c r="D2310" t="s">
        <v>159</v>
      </c>
      <c r="E2310" t="s">
        <v>159</v>
      </c>
      <c r="F2310">
        <v>7791</v>
      </c>
      <c r="G2310" t="s">
        <v>700</v>
      </c>
      <c r="H2310" t="s">
        <v>2005</v>
      </c>
      <c r="I2310" t="s">
        <v>1205</v>
      </c>
      <c r="J2310">
        <v>4700</v>
      </c>
    </row>
    <row r="2311" spans="1:10" x14ac:dyDescent="0.3">
      <c r="A2311">
        <v>2381</v>
      </c>
      <c r="B2311" t="s">
        <v>2000</v>
      </c>
      <c r="C2311" t="s">
        <v>1202</v>
      </c>
      <c r="D2311" t="s">
        <v>159</v>
      </c>
      <c r="E2311" t="s">
        <v>159</v>
      </c>
      <c r="F2311">
        <v>7791</v>
      </c>
      <c r="G2311" t="s">
        <v>702</v>
      </c>
      <c r="I2311" t="s">
        <v>1205</v>
      </c>
      <c r="J2311">
        <v>3255</v>
      </c>
    </row>
    <row r="2312" spans="1:10" x14ac:dyDescent="0.3">
      <c r="A2312">
        <v>2401</v>
      </c>
      <c r="B2312" t="s">
        <v>2006</v>
      </c>
      <c r="C2312" t="s">
        <v>1202</v>
      </c>
      <c r="D2312" t="s">
        <v>1203</v>
      </c>
      <c r="E2312" t="s">
        <v>1204</v>
      </c>
      <c r="F2312">
        <v>5710</v>
      </c>
      <c r="G2312" t="s">
        <v>702</v>
      </c>
      <c r="I2312" t="s">
        <v>1205</v>
      </c>
      <c r="J2312">
        <v>911.8</v>
      </c>
    </row>
    <row r="2313" spans="1:10" x14ac:dyDescent="0.3">
      <c r="A2313">
        <v>2401</v>
      </c>
      <c r="B2313" t="s">
        <v>2006</v>
      </c>
      <c r="C2313" t="s">
        <v>1202</v>
      </c>
      <c r="D2313" t="s">
        <v>1203</v>
      </c>
      <c r="E2313" t="s">
        <v>1204</v>
      </c>
      <c r="F2313">
        <v>5710</v>
      </c>
      <c r="G2313" t="s">
        <v>696</v>
      </c>
      <c r="I2313" t="s">
        <v>1205</v>
      </c>
      <c r="J2313">
        <v>16626.599999999999</v>
      </c>
    </row>
    <row r="2314" spans="1:10" x14ac:dyDescent="0.3">
      <c r="A2314">
        <v>2401</v>
      </c>
      <c r="B2314" t="s">
        <v>2006</v>
      </c>
      <c r="C2314" t="s">
        <v>1202</v>
      </c>
      <c r="D2314" t="s">
        <v>1203</v>
      </c>
      <c r="E2314" t="s">
        <v>1204</v>
      </c>
      <c r="F2314">
        <v>5710</v>
      </c>
      <c r="G2314" t="s">
        <v>700</v>
      </c>
      <c r="I2314" t="s">
        <v>1205</v>
      </c>
      <c r="J2314">
        <v>4212.6000000000004</v>
      </c>
    </row>
    <row r="2315" spans="1:10" x14ac:dyDescent="0.3">
      <c r="A2315">
        <v>2401</v>
      </c>
      <c r="B2315" t="s">
        <v>2006</v>
      </c>
      <c r="C2315" t="s">
        <v>1202</v>
      </c>
      <c r="D2315" t="s">
        <v>1203</v>
      </c>
      <c r="E2315" t="s">
        <v>1204</v>
      </c>
      <c r="F2315">
        <v>5710</v>
      </c>
      <c r="G2315" t="s">
        <v>703</v>
      </c>
      <c r="I2315" t="s">
        <v>1205</v>
      </c>
      <c r="J2315">
        <v>775.2</v>
      </c>
    </row>
    <row r="2316" spans="1:10" x14ac:dyDescent="0.3">
      <c r="A2316">
        <v>2401</v>
      </c>
      <c r="B2316" t="s">
        <v>2006</v>
      </c>
      <c r="C2316" t="s">
        <v>1202</v>
      </c>
      <c r="D2316" t="s">
        <v>1203</v>
      </c>
      <c r="E2316" t="s">
        <v>1204</v>
      </c>
      <c r="F2316">
        <v>5710</v>
      </c>
      <c r="G2316" t="s">
        <v>701</v>
      </c>
      <c r="I2316" t="s">
        <v>1205</v>
      </c>
      <c r="J2316">
        <v>901</v>
      </c>
    </row>
    <row r="2317" spans="1:10" x14ac:dyDescent="0.3">
      <c r="A2317">
        <v>2401</v>
      </c>
      <c r="B2317" t="s">
        <v>2006</v>
      </c>
      <c r="C2317" t="s">
        <v>1202</v>
      </c>
      <c r="D2317" t="s">
        <v>1203</v>
      </c>
      <c r="E2317" t="s">
        <v>1204</v>
      </c>
      <c r="F2317">
        <v>5710</v>
      </c>
      <c r="G2317" t="s">
        <v>687</v>
      </c>
      <c r="H2317" t="s">
        <v>2007</v>
      </c>
      <c r="I2317" t="s">
        <v>1205</v>
      </c>
      <c r="J2317">
        <v>11.8</v>
      </c>
    </row>
    <row r="2318" spans="1:10" x14ac:dyDescent="0.3">
      <c r="A2318">
        <v>2401</v>
      </c>
      <c r="B2318" t="s">
        <v>2006</v>
      </c>
      <c r="C2318" t="s">
        <v>1202</v>
      </c>
      <c r="D2318" t="s">
        <v>1203</v>
      </c>
      <c r="E2318" t="s">
        <v>1204</v>
      </c>
      <c r="F2318">
        <v>5710</v>
      </c>
      <c r="G2318" t="s">
        <v>686</v>
      </c>
      <c r="I2318" t="s">
        <v>1205</v>
      </c>
      <c r="J2318">
        <v>1499.6</v>
      </c>
    </row>
    <row r="2319" spans="1:10" x14ac:dyDescent="0.3">
      <c r="A2319">
        <v>2402</v>
      </c>
      <c r="B2319" t="s">
        <v>2008</v>
      </c>
      <c r="C2319" t="s">
        <v>1202</v>
      </c>
      <c r="D2319" t="s">
        <v>1203</v>
      </c>
      <c r="E2319" t="s">
        <v>1204</v>
      </c>
      <c r="F2319">
        <v>5714</v>
      </c>
      <c r="G2319" t="s">
        <v>702</v>
      </c>
      <c r="I2319" t="s">
        <v>1205</v>
      </c>
      <c r="J2319">
        <v>1126</v>
      </c>
    </row>
    <row r="2320" spans="1:10" x14ac:dyDescent="0.3">
      <c r="A2320">
        <v>2402</v>
      </c>
      <c r="B2320" t="s">
        <v>2008</v>
      </c>
      <c r="C2320" t="s">
        <v>1202</v>
      </c>
      <c r="D2320" t="s">
        <v>1203</v>
      </c>
      <c r="E2320" t="s">
        <v>1204</v>
      </c>
      <c r="F2320">
        <v>5714</v>
      </c>
      <c r="G2320" t="s">
        <v>687</v>
      </c>
      <c r="H2320" t="s">
        <v>2007</v>
      </c>
      <c r="I2320" t="s">
        <v>1205</v>
      </c>
      <c r="J2320">
        <v>50</v>
      </c>
    </row>
    <row r="2321" spans="1:10" x14ac:dyDescent="0.3">
      <c r="A2321">
        <v>2402</v>
      </c>
      <c r="B2321" t="s">
        <v>2008</v>
      </c>
      <c r="C2321" t="s">
        <v>1202</v>
      </c>
      <c r="D2321" t="s">
        <v>1203</v>
      </c>
      <c r="E2321" t="s">
        <v>1204</v>
      </c>
      <c r="F2321">
        <v>5714</v>
      </c>
      <c r="G2321" t="s">
        <v>686</v>
      </c>
      <c r="I2321" t="s">
        <v>1205</v>
      </c>
      <c r="J2321">
        <v>2031</v>
      </c>
    </row>
    <row r="2322" spans="1:10" x14ac:dyDescent="0.3">
      <c r="A2322">
        <v>2402</v>
      </c>
      <c r="B2322" t="s">
        <v>2008</v>
      </c>
      <c r="C2322" t="s">
        <v>1202</v>
      </c>
      <c r="D2322" t="s">
        <v>1203</v>
      </c>
      <c r="E2322" t="s">
        <v>1204</v>
      </c>
      <c r="F2322">
        <v>5714</v>
      </c>
      <c r="G2322" t="s">
        <v>696</v>
      </c>
      <c r="I2322" t="s">
        <v>1205</v>
      </c>
      <c r="J2322">
        <v>12673</v>
      </c>
    </row>
    <row r="2323" spans="1:10" x14ac:dyDescent="0.3">
      <c r="A2323">
        <v>2402</v>
      </c>
      <c r="B2323" t="s">
        <v>2008</v>
      </c>
      <c r="C2323" t="s">
        <v>1202</v>
      </c>
      <c r="D2323" t="s">
        <v>1203</v>
      </c>
      <c r="E2323" t="s">
        <v>1204</v>
      </c>
      <c r="F2323">
        <v>5714</v>
      </c>
      <c r="G2323" t="s">
        <v>701</v>
      </c>
      <c r="I2323" t="s">
        <v>1205</v>
      </c>
      <c r="J2323">
        <v>344</v>
      </c>
    </row>
    <row r="2324" spans="1:10" x14ac:dyDescent="0.3">
      <c r="A2324">
        <v>2402</v>
      </c>
      <c r="B2324" t="s">
        <v>2008</v>
      </c>
      <c r="C2324" t="s">
        <v>1202</v>
      </c>
      <c r="D2324" t="s">
        <v>1203</v>
      </c>
      <c r="E2324" t="s">
        <v>1204</v>
      </c>
      <c r="F2324">
        <v>5714</v>
      </c>
      <c r="G2324" t="s">
        <v>703</v>
      </c>
      <c r="I2324" t="s">
        <v>1205</v>
      </c>
      <c r="J2324">
        <v>1008</v>
      </c>
    </row>
    <row r="2325" spans="1:10" x14ac:dyDescent="0.3">
      <c r="A2325">
        <v>2402</v>
      </c>
      <c r="B2325" t="s">
        <v>2008</v>
      </c>
      <c r="C2325" t="s">
        <v>1202</v>
      </c>
      <c r="D2325" t="s">
        <v>1203</v>
      </c>
      <c r="E2325" t="s">
        <v>1204</v>
      </c>
      <c r="F2325">
        <v>5714</v>
      </c>
      <c r="G2325" t="s">
        <v>700</v>
      </c>
      <c r="I2325" t="s">
        <v>1205</v>
      </c>
      <c r="J2325">
        <v>3219</v>
      </c>
    </row>
    <row r="2326" spans="1:10" x14ac:dyDescent="0.3">
      <c r="A2326">
        <v>2419</v>
      </c>
      <c r="B2326" t="s">
        <v>2009</v>
      </c>
      <c r="C2326" t="s">
        <v>1202</v>
      </c>
      <c r="D2326" t="s">
        <v>1203</v>
      </c>
      <c r="E2326" t="s">
        <v>1204</v>
      </c>
      <c r="F2326">
        <v>5537</v>
      </c>
      <c r="G2326" t="s">
        <v>696</v>
      </c>
      <c r="I2326" t="s">
        <v>1205</v>
      </c>
      <c r="J2326">
        <v>2541</v>
      </c>
    </row>
    <row r="2327" spans="1:10" x14ac:dyDescent="0.3">
      <c r="A2327">
        <v>2419</v>
      </c>
      <c r="B2327" t="s">
        <v>2009</v>
      </c>
      <c r="C2327" t="s">
        <v>1202</v>
      </c>
      <c r="D2327" t="s">
        <v>1203</v>
      </c>
      <c r="E2327" t="s">
        <v>1204</v>
      </c>
      <c r="F2327">
        <v>5537</v>
      </c>
      <c r="G2327" t="s">
        <v>698</v>
      </c>
      <c r="I2327" t="s">
        <v>1205</v>
      </c>
      <c r="J2327">
        <v>359</v>
      </c>
    </row>
    <row r="2328" spans="1:10" x14ac:dyDescent="0.3">
      <c r="A2328">
        <v>2419</v>
      </c>
      <c r="B2328" t="s">
        <v>2009</v>
      </c>
      <c r="C2328" t="s">
        <v>1202</v>
      </c>
      <c r="D2328" t="s">
        <v>1203</v>
      </c>
      <c r="E2328" t="s">
        <v>1204</v>
      </c>
      <c r="F2328">
        <v>5537</v>
      </c>
      <c r="G2328" t="s">
        <v>686</v>
      </c>
      <c r="I2328" t="s">
        <v>1205</v>
      </c>
      <c r="J2328">
        <v>295</v>
      </c>
    </row>
    <row r="2329" spans="1:10" x14ac:dyDescent="0.3">
      <c r="A2329">
        <v>2419</v>
      </c>
      <c r="B2329" t="s">
        <v>2009</v>
      </c>
      <c r="C2329" t="s">
        <v>1202</v>
      </c>
      <c r="D2329" t="s">
        <v>1203</v>
      </c>
      <c r="E2329" t="s">
        <v>1204</v>
      </c>
      <c r="F2329">
        <v>5537</v>
      </c>
      <c r="G2329" t="s">
        <v>700</v>
      </c>
      <c r="I2329" t="s">
        <v>1205</v>
      </c>
      <c r="J2329">
        <v>430</v>
      </c>
    </row>
    <row r="2330" spans="1:10" x14ac:dyDescent="0.3">
      <c r="A2330">
        <v>2424</v>
      </c>
      <c r="B2330" t="s">
        <v>2010</v>
      </c>
      <c r="C2330" t="s">
        <v>1202</v>
      </c>
      <c r="D2330" t="s">
        <v>159</v>
      </c>
      <c r="E2330" t="s">
        <v>159</v>
      </c>
      <c r="F2330">
        <v>7812</v>
      </c>
      <c r="G2330" t="s">
        <v>687</v>
      </c>
      <c r="I2330" t="s">
        <v>1216</v>
      </c>
      <c r="J2330">
        <v>2</v>
      </c>
    </row>
    <row r="2331" spans="1:10" x14ac:dyDescent="0.3">
      <c r="A2331">
        <v>2424</v>
      </c>
      <c r="B2331" t="s">
        <v>2010</v>
      </c>
      <c r="C2331" t="s">
        <v>1202</v>
      </c>
      <c r="D2331" t="s">
        <v>159</v>
      </c>
      <c r="E2331" t="s">
        <v>159</v>
      </c>
      <c r="F2331">
        <v>7812</v>
      </c>
      <c r="G2331" t="s">
        <v>686</v>
      </c>
      <c r="H2331" t="s">
        <v>2011</v>
      </c>
      <c r="I2331" t="s">
        <v>1210</v>
      </c>
      <c r="J2331">
        <v>92</v>
      </c>
    </row>
    <row r="2332" spans="1:10" x14ac:dyDescent="0.3">
      <c r="A2332">
        <v>2424</v>
      </c>
      <c r="B2332" t="s">
        <v>2010</v>
      </c>
      <c r="C2332" t="s">
        <v>1202</v>
      </c>
      <c r="D2332" t="s">
        <v>159</v>
      </c>
      <c r="E2332" t="s">
        <v>159</v>
      </c>
      <c r="F2332">
        <v>7812</v>
      </c>
      <c r="G2332" t="s">
        <v>696</v>
      </c>
      <c r="I2332" t="s">
        <v>1205</v>
      </c>
      <c r="J2332">
        <v>2101</v>
      </c>
    </row>
    <row r="2333" spans="1:10" x14ac:dyDescent="0.3">
      <c r="A2333">
        <v>2424</v>
      </c>
      <c r="B2333" t="s">
        <v>2010</v>
      </c>
      <c r="C2333" t="s">
        <v>1202</v>
      </c>
      <c r="D2333" t="s">
        <v>159</v>
      </c>
      <c r="E2333" t="s">
        <v>159</v>
      </c>
      <c r="F2333">
        <v>7812</v>
      </c>
      <c r="G2333" t="s">
        <v>698</v>
      </c>
      <c r="I2333" t="s">
        <v>1205</v>
      </c>
      <c r="J2333">
        <v>210</v>
      </c>
    </row>
    <row r="2334" spans="1:10" x14ac:dyDescent="0.3">
      <c r="A2334">
        <v>2424</v>
      </c>
      <c r="B2334" t="s">
        <v>2010</v>
      </c>
      <c r="C2334" t="s">
        <v>1202</v>
      </c>
      <c r="D2334" t="s">
        <v>159</v>
      </c>
      <c r="E2334" t="s">
        <v>159</v>
      </c>
      <c r="F2334">
        <v>7812</v>
      </c>
      <c r="G2334" t="s">
        <v>700</v>
      </c>
      <c r="I2334" t="s">
        <v>1205</v>
      </c>
      <c r="J2334">
        <v>9</v>
      </c>
    </row>
    <row r="2335" spans="1:10" x14ac:dyDescent="0.3">
      <c r="A2335">
        <v>2424</v>
      </c>
      <c r="B2335" t="s">
        <v>2010</v>
      </c>
      <c r="C2335" t="s">
        <v>1202</v>
      </c>
      <c r="D2335" t="s">
        <v>159</v>
      </c>
      <c r="E2335" t="s">
        <v>159</v>
      </c>
      <c r="F2335">
        <v>7812</v>
      </c>
      <c r="G2335" t="s">
        <v>701</v>
      </c>
      <c r="I2335" t="s">
        <v>1205</v>
      </c>
      <c r="J2335">
        <v>32</v>
      </c>
    </row>
    <row r="2336" spans="1:10" x14ac:dyDescent="0.3">
      <c r="A2336">
        <v>2424</v>
      </c>
      <c r="B2336" t="s">
        <v>2010</v>
      </c>
      <c r="C2336" t="s">
        <v>1202</v>
      </c>
      <c r="D2336" t="s">
        <v>159</v>
      </c>
      <c r="E2336" t="s">
        <v>159</v>
      </c>
      <c r="F2336">
        <v>7812</v>
      </c>
      <c r="G2336" t="s">
        <v>702</v>
      </c>
      <c r="I2336" t="s">
        <v>1205</v>
      </c>
      <c r="J2336">
        <v>128</v>
      </c>
    </row>
    <row r="2337" spans="1:10" x14ac:dyDescent="0.3">
      <c r="A2337">
        <v>2424</v>
      </c>
      <c r="B2337" t="s">
        <v>2010</v>
      </c>
      <c r="C2337" t="s">
        <v>1202</v>
      </c>
      <c r="D2337" t="s">
        <v>159</v>
      </c>
      <c r="E2337" t="s">
        <v>159</v>
      </c>
      <c r="F2337">
        <v>7812</v>
      </c>
      <c r="G2337" t="s">
        <v>684</v>
      </c>
      <c r="I2337" t="s">
        <v>1205</v>
      </c>
      <c r="J2337">
        <v>5</v>
      </c>
    </row>
    <row r="2338" spans="1:10" x14ac:dyDescent="0.3">
      <c r="A2338">
        <v>2425</v>
      </c>
      <c r="B2338" t="s">
        <v>2012</v>
      </c>
      <c r="C2338" t="s">
        <v>1202</v>
      </c>
      <c r="D2338" t="s">
        <v>159</v>
      </c>
      <c r="E2338" t="s">
        <v>159</v>
      </c>
      <c r="F2338">
        <v>6886</v>
      </c>
      <c r="G2338" t="s">
        <v>700</v>
      </c>
      <c r="H2338" t="s">
        <v>2013</v>
      </c>
      <c r="I2338" t="s">
        <v>1205</v>
      </c>
      <c r="J2338">
        <v>3364</v>
      </c>
    </row>
    <row r="2339" spans="1:10" x14ac:dyDescent="0.3">
      <c r="A2339">
        <v>2425</v>
      </c>
      <c r="B2339" t="s">
        <v>2012</v>
      </c>
      <c r="C2339" t="s">
        <v>1202</v>
      </c>
      <c r="D2339" t="s">
        <v>159</v>
      </c>
      <c r="E2339" t="s">
        <v>159</v>
      </c>
      <c r="F2339">
        <v>6886</v>
      </c>
      <c r="G2339" t="s">
        <v>703</v>
      </c>
      <c r="I2339" t="s">
        <v>1205</v>
      </c>
      <c r="J2339">
        <v>229</v>
      </c>
    </row>
    <row r="2340" spans="1:10" x14ac:dyDescent="0.3">
      <c r="A2340">
        <v>2425</v>
      </c>
      <c r="B2340" t="s">
        <v>2012</v>
      </c>
      <c r="C2340" t="s">
        <v>1202</v>
      </c>
      <c r="D2340" t="s">
        <v>159</v>
      </c>
      <c r="E2340" t="s">
        <v>159</v>
      </c>
      <c r="F2340">
        <v>6886</v>
      </c>
      <c r="G2340" t="s">
        <v>702</v>
      </c>
      <c r="H2340" t="s">
        <v>1275</v>
      </c>
      <c r="I2340" t="s">
        <v>1205</v>
      </c>
      <c r="J2340">
        <v>2233</v>
      </c>
    </row>
    <row r="2341" spans="1:10" x14ac:dyDescent="0.3">
      <c r="A2341">
        <v>2425</v>
      </c>
      <c r="B2341" t="s">
        <v>2012</v>
      </c>
      <c r="C2341" t="s">
        <v>1202</v>
      </c>
      <c r="D2341" t="s">
        <v>159</v>
      </c>
      <c r="E2341" t="s">
        <v>159</v>
      </c>
      <c r="F2341">
        <v>6886</v>
      </c>
      <c r="G2341" t="s">
        <v>691</v>
      </c>
      <c r="H2341" t="s">
        <v>2014</v>
      </c>
      <c r="I2341" t="s">
        <v>1205</v>
      </c>
      <c r="J2341">
        <v>11</v>
      </c>
    </row>
    <row r="2342" spans="1:10" x14ac:dyDescent="0.3">
      <c r="A2342">
        <v>2425</v>
      </c>
      <c r="B2342" t="s">
        <v>2012</v>
      </c>
      <c r="C2342" t="s">
        <v>1202</v>
      </c>
      <c r="D2342" t="s">
        <v>159</v>
      </c>
      <c r="E2342" t="s">
        <v>159</v>
      </c>
      <c r="F2342">
        <v>6886</v>
      </c>
      <c r="G2342" t="s">
        <v>686</v>
      </c>
      <c r="I2342" t="s">
        <v>1205</v>
      </c>
      <c r="J2342">
        <v>1457</v>
      </c>
    </row>
    <row r="2343" spans="1:10" x14ac:dyDescent="0.3">
      <c r="A2343">
        <v>2425</v>
      </c>
      <c r="B2343" t="s">
        <v>2012</v>
      </c>
      <c r="C2343" t="s">
        <v>1202</v>
      </c>
      <c r="D2343" t="s">
        <v>159</v>
      </c>
      <c r="E2343" t="s">
        <v>159</v>
      </c>
      <c r="F2343">
        <v>6886</v>
      </c>
      <c r="G2343" t="s">
        <v>696</v>
      </c>
      <c r="I2343" t="s">
        <v>1205</v>
      </c>
      <c r="J2343">
        <v>6285</v>
      </c>
    </row>
    <row r="2344" spans="1:10" x14ac:dyDescent="0.3">
      <c r="A2344">
        <v>2425</v>
      </c>
      <c r="B2344" t="s">
        <v>2012</v>
      </c>
      <c r="C2344" t="s">
        <v>1202</v>
      </c>
      <c r="D2344" t="s">
        <v>159</v>
      </c>
      <c r="E2344" t="s">
        <v>159</v>
      </c>
      <c r="F2344">
        <v>6886</v>
      </c>
      <c r="G2344" t="s">
        <v>698</v>
      </c>
      <c r="I2344" t="s">
        <v>1205</v>
      </c>
      <c r="J2344">
        <v>5614</v>
      </c>
    </row>
    <row r="2345" spans="1:10" x14ac:dyDescent="0.3">
      <c r="A2345">
        <v>2437</v>
      </c>
      <c r="B2345" t="s">
        <v>2015</v>
      </c>
      <c r="C2345" t="s">
        <v>1202</v>
      </c>
      <c r="D2345" t="s">
        <v>1203</v>
      </c>
      <c r="E2345" t="s">
        <v>1204</v>
      </c>
      <c r="F2345">
        <v>8090</v>
      </c>
      <c r="G2345" t="s">
        <v>687</v>
      </c>
      <c r="I2345" t="s">
        <v>1205</v>
      </c>
      <c r="J2345">
        <v>38</v>
      </c>
    </row>
    <row r="2346" spans="1:10" x14ac:dyDescent="0.3">
      <c r="A2346">
        <v>2437</v>
      </c>
      <c r="B2346" t="s">
        <v>2015</v>
      </c>
      <c r="C2346" t="s">
        <v>1202</v>
      </c>
      <c r="D2346" t="s">
        <v>1203</v>
      </c>
      <c r="E2346" t="s">
        <v>1204</v>
      </c>
      <c r="F2346">
        <v>8090</v>
      </c>
      <c r="G2346" t="s">
        <v>698</v>
      </c>
      <c r="I2346" t="s">
        <v>1205</v>
      </c>
      <c r="J2346">
        <v>5525</v>
      </c>
    </row>
    <row r="2347" spans="1:10" x14ac:dyDescent="0.3">
      <c r="A2347">
        <v>2437</v>
      </c>
      <c r="B2347" t="s">
        <v>2015</v>
      </c>
      <c r="C2347" t="s">
        <v>1202</v>
      </c>
      <c r="D2347" t="s">
        <v>1203</v>
      </c>
      <c r="E2347" t="s">
        <v>1204</v>
      </c>
      <c r="F2347">
        <v>8090</v>
      </c>
      <c r="G2347" t="s">
        <v>700</v>
      </c>
      <c r="I2347" t="s">
        <v>1205</v>
      </c>
      <c r="J2347">
        <v>3692</v>
      </c>
    </row>
    <row r="2348" spans="1:10" x14ac:dyDescent="0.3">
      <c r="A2348">
        <v>2437</v>
      </c>
      <c r="B2348" t="s">
        <v>2015</v>
      </c>
      <c r="C2348" t="s">
        <v>1202</v>
      </c>
      <c r="D2348" t="s">
        <v>1203</v>
      </c>
      <c r="E2348" t="s">
        <v>1204</v>
      </c>
      <c r="F2348">
        <v>8090</v>
      </c>
      <c r="G2348" t="s">
        <v>701</v>
      </c>
      <c r="I2348" t="s">
        <v>1205</v>
      </c>
      <c r="J2348">
        <v>81</v>
      </c>
    </row>
    <row r="2349" spans="1:10" x14ac:dyDescent="0.3">
      <c r="A2349">
        <v>2437</v>
      </c>
      <c r="B2349" t="s">
        <v>2015</v>
      </c>
      <c r="C2349" t="s">
        <v>1202</v>
      </c>
      <c r="D2349" t="s">
        <v>1203</v>
      </c>
      <c r="E2349" t="s">
        <v>1204</v>
      </c>
      <c r="F2349">
        <v>8090</v>
      </c>
      <c r="G2349" t="s">
        <v>703</v>
      </c>
      <c r="I2349" t="s">
        <v>1205</v>
      </c>
      <c r="J2349">
        <v>1162</v>
      </c>
    </row>
    <row r="2350" spans="1:10" x14ac:dyDescent="0.3">
      <c r="A2350">
        <v>2437</v>
      </c>
      <c r="B2350" t="s">
        <v>2015</v>
      </c>
      <c r="C2350" t="s">
        <v>1202</v>
      </c>
      <c r="D2350" t="s">
        <v>1203</v>
      </c>
      <c r="E2350" t="s">
        <v>1204</v>
      </c>
      <c r="F2350">
        <v>8090</v>
      </c>
      <c r="G2350" t="s">
        <v>684</v>
      </c>
      <c r="I2350" t="s">
        <v>1205</v>
      </c>
      <c r="J2350">
        <v>0</v>
      </c>
    </row>
    <row r="2351" spans="1:10" x14ac:dyDescent="0.3">
      <c r="A2351">
        <v>2437</v>
      </c>
      <c r="B2351" t="s">
        <v>2015</v>
      </c>
      <c r="C2351" t="s">
        <v>1202</v>
      </c>
      <c r="D2351" t="s">
        <v>1203</v>
      </c>
      <c r="E2351" t="s">
        <v>1204</v>
      </c>
      <c r="F2351">
        <v>8090</v>
      </c>
      <c r="G2351" t="s">
        <v>696</v>
      </c>
      <c r="I2351" t="s">
        <v>1205</v>
      </c>
      <c r="J2351">
        <v>6443</v>
      </c>
    </row>
    <row r="2352" spans="1:10" x14ac:dyDescent="0.3">
      <c r="A2352">
        <v>2438</v>
      </c>
      <c r="B2352" t="s">
        <v>2016</v>
      </c>
      <c r="C2352" t="s">
        <v>1202</v>
      </c>
      <c r="D2352" t="s">
        <v>1203</v>
      </c>
      <c r="E2352" t="s">
        <v>1204</v>
      </c>
      <c r="F2352">
        <v>7986</v>
      </c>
      <c r="G2352" t="s">
        <v>696</v>
      </c>
      <c r="I2352" t="s">
        <v>1205</v>
      </c>
      <c r="J2352">
        <v>390</v>
      </c>
    </row>
    <row r="2353" spans="1:10" x14ac:dyDescent="0.3">
      <c r="A2353">
        <v>2438</v>
      </c>
      <c r="B2353" t="s">
        <v>2016</v>
      </c>
      <c r="C2353" t="s">
        <v>1202</v>
      </c>
      <c r="D2353" t="s">
        <v>1203</v>
      </c>
      <c r="E2353" t="s">
        <v>1204</v>
      </c>
      <c r="F2353">
        <v>7986</v>
      </c>
      <c r="G2353" t="s">
        <v>698</v>
      </c>
      <c r="I2353" t="s">
        <v>1205</v>
      </c>
      <c r="J2353">
        <v>111</v>
      </c>
    </row>
    <row r="2354" spans="1:10" x14ac:dyDescent="0.3">
      <c r="A2354">
        <v>2438</v>
      </c>
      <c r="B2354" t="s">
        <v>2016</v>
      </c>
      <c r="C2354" t="s">
        <v>1202</v>
      </c>
      <c r="D2354" t="s">
        <v>1203</v>
      </c>
      <c r="E2354" t="s">
        <v>1204</v>
      </c>
      <c r="F2354">
        <v>7986</v>
      </c>
      <c r="G2354" t="s">
        <v>700</v>
      </c>
      <c r="I2354" t="s">
        <v>1205</v>
      </c>
      <c r="J2354">
        <v>67</v>
      </c>
    </row>
    <row r="2355" spans="1:10" x14ac:dyDescent="0.3">
      <c r="A2355">
        <v>2438</v>
      </c>
      <c r="B2355" t="s">
        <v>2016</v>
      </c>
      <c r="C2355" t="s">
        <v>1202</v>
      </c>
      <c r="D2355" t="s">
        <v>1203</v>
      </c>
      <c r="E2355" t="s">
        <v>1204</v>
      </c>
      <c r="F2355">
        <v>7986</v>
      </c>
      <c r="G2355" t="s">
        <v>703</v>
      </c>
      <c r="I2355" t="s">
        <v>1205</v>
      </c>
      <c r="J2355">
        <v>14</v>
      </c>
    </row>
    <row r="2356" spans="1:10" x14ac:dyDescent="0.3">
      <c r="A2356">
        <v>2438</v>
      </c>
      <c r="B2356" t="s">
        <v>2016</v>
      </c>
      <c r="C2356" t="s">
        <v>1202</v>
      </c>
      <c r="D2356" t="s">
        <v>1203</v>
      </c>
      <c r="E2356" t="s">
        <v>1204</v>
      </c>
      <c r="F2356">
        <v>7986</v>
      </c>
      <c r="G2356" t="s">
        <v>687</v>
      </c>
      <c r="H2356" t="s">
        <v>2017</v>
      </c>
      <c r="I2356" t="s">
        <v>1205</v>
      </c>
      <c r="J2356">
        <v>0</v>
      </c>
    </row>
    <row r="2357" spans="1:10" x14ac:dyDescent="0.3">
      <c r="A2357">
        <v>2438</v>
      </c>
      <c r="B2357" t="s">
        <v>2016</v>
      </c>
      <c r="C2357" t="s">
        <v>1202</v>
      </c>
      <c r="D2357" t="s">
        <v>1203</v>
      </c>
      <c r="E2357" t="s">
        <v>1204</v>
      </c>
      <c r="F2357">
        <v>7986</v>
      </c>
      <c r="G2357" t="s">
        <v>686</v>
      </c>
      <c r="I2357" t="s">
        <v>1205</v>
      </c>
      <c r="J2357">
        <v>136</v>
      </c>
    </row>
    <row r="2358" spans="1:10" x14ac:dyDescent="0.3">
      <c r="A2358">
        <v>2444</v>
      </c>
      <c r="B2358" t="s">
        <v>2018</v>
      </c>
      <c r="C2358" t="s">
        <v>1202</v>
      </c>
      <c r="D2358" t="s">
        <v>1203</v>
      </c>
      <c r="E2358" t="s">
        <v>1204</v>
      </c>
      <c r="F2358">
        <v>6949</v>
      </c>
      <c r="G2358" t="s">
        <v>687</v>
      </c>
      <c r="H2358" t="s">
        <v>2019</v>
      </c>
      <c r="I2358" t="s">
        <v>1205</v>
      </c>
      <c r="J2358">
        <v>533.70414821780003</v>
      </c>
    </row>
    <row r="2359" spans="1:10" x14ac:dyDescent="0.3">
      <c r="A2359">
        <v>2444</v>
      </c>
      <c r="B2359" t="s">
        <v>2018</v>
      </c>
      <c r="C2359" t="s">
        <v>1202</v>
      </c>
      <c r="D2359" t="s">
        <v>1203</v>
      </c>
      <c r="E2359" t="s">
        <v>1204</v>
      </c>
      <c r="F2359">
        <v>6949</v>
      </c>
      <c r="G2359" t="s">
        <v>686</v>
      </c>
      <c r="H2359" t="s">
        <v>1525</v>
      </c>
      <c r="I2359" t="s">
        <v>1205</v>
      </c>
      <c r="J2359">
        <v>51.808964683699998</v>
      </c>
    </row>
    <row r="2360" spans="1:10" x14ac:dyDescent="0.3">
      <c r="A2360">
        <v>2444</v>
      </c>
      <c r="B2360" t="s">
        <v>2018</v>
      </c>
      <c r="C2360" t="s">
        <v>1202</v>
      </c>
      <c r="D2360" t="s">
        <v>1203</v>
      </c>
      <c r="E2360" t="s">
        <v>1204</v>
      </c>
      <c r="F2360">
        <v>6949</v>
      </c>
      <c r="G2360" t="s">
        <v>696</v>
      </c>
      <c r="I2360" t="s">
        <v>1205</v>
      </c>
      <c r="J2360">
        <v>701.42623455114006</v>
      </c>
    </row>
    <row r="2361" spans="1:10" x14ac:dyDescent="0.3">
      <c r="A2361">
        <v>2444</v>
      </c>
      <c r="B2361" t="s">
        <v>2018</v>
      </c>
      <c r="C2361" t="s">
        <v>1202</v>
      </c>
      <c r="D2361" t="s">
        <v>1203</v>
      </c>
      <c r="E2361" t="s">
        <v>1204</v>
      </c>
      <c r="F2361">
        <v>6949</v>
      </c>
      <c r="G2361" t="s">
        <v>700</v>
      </c>
      <c r="H2361" t="s">
        <v>1272</v>
      </c>
      <c r="I2361" t="s">
        <v>1205</v>
      </c>
      <c r="J2361">
        <v>145.50760405345201</v>
      </c>
    </row>
    <row r="2362" spans="1:10" x14ac:dyDescent="0.3">
      <c r="A2362">
        <v>2444</v>
      </c>
      <c r="B2362" t="s">
        <v>2018</v>
      </c>
      <c r="C2362" t="s">
        <v>1202</v>
      </c>
      <c r="D2362" t="s">
        <v>1203</v>
      </c>
      <c r="E2362" t="s">
        <v>1204</v>
      </c>
      <c r="F2362">
        <v>6949</v>
      </c>
      <c r="G2362" t="s">
        <v>698</v>
      </c>
      <c r="I2362" t="s">
        <v>1205</v>
      </c>
      <c r="J2362">
        <v>266.13088546415003</v>
      </c>
    </row>
    <row r="2363" spans="1:10" x14ac:dyDescent="0.3">
      <c r="A2363">
        <v>2444</v>
      </c>
      <c r="B2363" t="s">
        <v>2018</v>
      </c>
      <c r="C2363" t="s">
        <v>1202</v>
      </c>
      <c r="D2363" t="s">
        <v>1203</v>
      </c>
      <c r="E2363" t="s">
        <v>1204</v>
      </c>
      <c r="F2363">
        <v>6949</v>
      </c>
      <c r="G2363" t="s">
        <v>705</v>
      </c>
      <c r="H2363" t="s">
        <v>2020</v>
      </c>
      <c r="I2363" t="s">
        <v>1205</v>
      </c>
      <c r="J2363">
        <v>84.567808038525001</v>
      </c>
    </row>
    <row r="2364" spans="1:10" x14ac:dyDescent="0.3">
      <c r="A2364">
        <v>1408</v>
      </c>
      <c r="B2364" t="s">
        <v>2021</v>
      </c>
      <c r="C2364" t="s">
        <v>1202</v>
      </c>
      <c r="D2364" t="s">
        <v>1203</v>
      </c>
      <c r="E2364" t="s">
        <v>1204</v>
      </c>
      <c r="F2364">
        <v>5825</v>
      </c>
      <c r="G2364" t="s">
        <v>700</v>
      </c>
      <c r="I2364" t="s">
        <v>1205</v>
      </c>
      <c r="J2364">
        <v>86</v>
      </c>
    </row>
    <row r="2365" spans="1:10" x14ac:dyDescent="0.3">
      <c r="A2365">
        <v>1408</v>
      </c>
      <c r="B2365" t="s">
        <v>2021</v>
      </c>
      <c r="C2365" t="s">
        <v>1202</v>
      </c>
      <c r="D2365" t="s">
        <v>1203</v>
      </c>
      <c r="E2365" t="s">
        <v>1204</v>
      </c>
      <c r="F2365">
        <v>5825</v>
      </c>
      <c r="G2365" t="s">
        <v>703</v>
      </c>
      <c r="I2365" t="s">
        <v>1205</v>
      </c>
      <c r="J2365">
        <v>3</v>
      </c>
    </row>
    <row r="2366" spans="1:10" x14ac:dyDescent="0.3">
      <c r="A2366">
        <v>1408</v>
      </c>
      <c r="B2366" t="s">
        <v>2021</v>
      </c>
      <c r="C2366" t="s">
        <v>1202</v>
      </c>
      <c r="D2366" t="s">
        <v>1203</v>
      </c>
      <c r="E2366" t="s">
        <v>1204</v>
      </c>
      <c r="F2366">
        <v>5825</v>
      </c>
      <c r="G2366" t="s">
        <v>702</v>
      </c>
      <c r="I2366" t="s">
        <v>1205</v>
      </c>
      <c r="J2366">
        <v>312</v>
      </c>
    </row>
    <row r="2367" spans="1:10" x14ac:dyDescent="0.3">
      <c r="A2367">
        <v>1408</v>
      </c>
      <c r="B2367" t="s">
        <v>2021</v>
      </c>
      <c r="C2367" t="s">
        <v>1202</v>
      </c>
      <c r="D2367" t="s">
        <v>1203</v>
      </c>
      <c r="E2367" t="s">
        <v>1204</v>
      </c>
      <c r="F2367">
        <v>5825</v>
      </c>
      <c r="G2367" t="s">
        <v>696</v>
      </c>
      <c r="I2367" t="s">
        <v>1205</v>
      </c>
      <c r="J2367">
        <v>2698</v>
      </c>
    </row>
    <row r="2368" spans="1:10" x14ac:dyDescent="0.3">
      <c r="A2368">
        <v>1408</v>
      </c>
      <c r="B2368" t="s">
        <v>2021</v>
      </c>
      <c r="C2368" t="s">
        <v>1202</v>
      </c>
      <c r="D2368" t="s">
        <v>1203</v>
      </c>
      <c r="E2368" t="s">
        <v>1204</v>
      </c>
      <c r="F2368">
        <v>5825</v>
      </c>
      <c r="G2368" t="s">
        <v>702</v>
      </c>
      <c r="H2368" t="s">
        <v>2022</v>
      </c>
      <c r="I2368" t="s">
        <v>1210</v>
      </c>
      <c r="J2368">
        <v>685</v>
      </c>
    </row>
    <row r="2369" spans="1:10" x14ac:dyDescent="0.3">
      <c r="A2369">
        <v>1408</v>
      </c>
      <c r="B2369" t="s">
        <v>2021</v>
      </c>
      <c r="C2369" t="s">
        <v>1202</v>
      </c>
      <c r="D2369" t="s">
        <v>1203</v>
      </c>
      <c r="E2369" t="s">
        <v>1204</v>
      </c>
      <c r="F2369">
        <v>5825</v>
      </c>
      <c r="G2369" t="s">
        <v>691</v>
      </c>
      <c r="H2369" t="s">
        <v>1260</v>
      </c>
      <c r="I2369" t="s">
        <v>1205</v>
      </c>
      <c r="J2369">
        <v>19</v>
      </c>
    </row>
    <row r="2370" spans="1:10" x14ac:dyDescent="0.3">
      <c r="A2370">
        <v>1408</v>
      </c>
      <c r="B2370" t="s">
        <v>2021</v>
      </c>
      <c r="C2370" t="s">
        <v>1202</v>
      </c>
      <c r="D2370" t="s">
        <v>1203</v>
      </c>
      <c r="E2370" t="s">
        <v>1204</v>
      </c>
      <c r="F2370">
        <v>5825</v>
      </c>
      <c r="G2370" t="s">
        <v>686</v>
      </c>
      <c r="I2370" t="s">
        <v>1210</v>
      </c>
      <c r="J2370">
        <v>334</v>
      </c>
    </row>
    <row r="2371" spans="1:10" x14ac:dyDescent="0.3">
      <c r="A2371">
        <v>1408</v>
      </c>
      <c r="B2371" t="s">
        <v>2021</v>
      </c>
      <c r="C2371" t="s">
        <v>1202</v>
      </c>
      <c r="D2371" t="s">
        <v>1203</v>
      </c>
      <c r="E2371" t="s">
        <v>1204</v>
      </c>
      <c r="F2371">
        <v>5825</v>
      </c>
      <c r="G2371" t="s">
        <v>684</v>
      </c>
      <c r="I2371" t="s">
        <v>1210</v>
      </c>
      <c r="J2371">
        <v>278</v>
      </c>
    </row>
    <row r="2372" spans="1:10" x14ac:dyDescent="0.3">
      <c r="A2372">
        <v>1408</v>
      </c>
      <c r="B2372" t="s">
        <v>2021</v>
      </c>
      <c r="C2372" t="s">
        <v>1202</v>
      </c>
      <c r="D2372" t="s">
        <v>1203</v>
      </c>
      <c r="E2372" t="s">
        <v>1204</v>
      </c>
      <c r="F2372">
        <v>5825</v>
      </c>
      <c r="G2372" t="s">
        <v>692</v>
      </c>
      <c r="I2372" t="s">
        <v>1210</v>
      </c>
      <c r="J2372">
        <v>545</v>
      </c>
    </row>
    <row r="2373" spans="1:10" x14ac:dyDescent="0.3">
      <c r="A2373">
        <v>1408</v>
      </c>
      <c r="B2373" t="s">
        <v>2021</v>
      </c>
      <c r="C2373" t="s">
        <v>1202</v>
      </c>
      <c r="D2373" t="s">
        <v>1203</v>
      </c>
      <c r="E2373" t="s">
        <v>1204</v>
      </c>
      <c r="F2373">
        <v>5825</v>
      </c>
      <c r="G2373" t="s">
        <v>686</v>
      </c>
      <c r="I2373" t="s">
        <v>1205</v>
      </c>
      <c r="J2373">
        <v>253</v>
      </c>
    </row>
    <row r="2374" spans="1:10" x14ac:dyDescent="0.3">
      <c r="B2374" t="s">
        <v>2023</v>
      </c>
      <c r="C2374" t="s">
        <v>1202</v>
      </c>
      <c r="D2374" t="s">
        <v>159</v>
      </c>
      <c r="E2374" t="s">
        <v>159</v>
      </c>
      <c r="F2374">
        <v>7910</v>
      </c>
      <c r="G2374" t="s">
        <v>696</v>
      </c>
      <c r="H2374" t="s">
        <v>2024</v>
      </c>
      <c r="I2374" t="s">
        <v>1205</v>
      </c>
      <c r="J2374">
        <v>55</v>
      </c>
    </row>
    <row r="2375" spans="1:10" x14ac:dyDescent="0.3">
      <c r="B2375" t="s">
        <v>2025</v>
      </c>
      <c r="C2375" t="s">
        <v>1202</v>
      </c>
      <c r="D2375" t="s">
        <v>1203</v>
      </c>
      <c r="E2375" t="s">
        <v>1204</v>
      </c>
      <c r="F2375">
        <v>7912</v>
      </c>
      <c r="G2375" t="s">
        <v>698</v>
      </c>
      <c r="I2375" t="s">
        <v>1205</v>
      </c>
      <c r="J2375">
        <v>100000</v>
      </c>
    </row>
    <row r="2376" spans="1:10" x14ac:dyDescent="0.3">
      <c r="B2376" t="s">
        <v>2025</v>
      </c>
      <c r="C2376" t="s">
        <v>1202</v>
      </c>
      <c r="D2376" t="s">
        <v>1203</v>
      </c>
      <c r="E2376" t="s">
        <v>1204</v>
      </c>
      <c r="F2376">
        <v>7912</v>
      </c>
      <c r="G2376" t="s">
        <v>687</v>
      </c>
      <c r="H2376" t="s">
        <v>1930</v>
      </c>
      <c r="I2376" t="s">
        <v>1205</v>
      </c>
      <c r="J2376">
        <v>49900</v>
      </c>
    </row>
    <row r="2377" spans="1:10" x14ac:dyDescent="0.3">
      <c r="B2377" t="s">
        <v>2025</v>
      </c>
      <c r="C2377" t="s">
        <v>1202</v>
      </c>
      <c r="D2377" t="s">
        <v>1203</v>
      </c>
      <c r="E2377" t="s">
        <v>1204</v>
      </c>
      <c r="F2377">
        <v>7912</v>
      </c>
      <c r="G2377" t="s">
        <v>686</v>
      </c>
      <c r="I2377" t="s">
        <v>1205</v>
      </c>
      <c r="J2377">
        <v>100</v>
      </c>
    </row>
    <row r="2378" spans="1:10" x14ac:dyDescent="0.3">
      <c r="B2378" t="s">
        <v>2025</v>
      </c>
      <c r="C2378" t="s">
        <v>1202</v>
      </c>
      <c r="D2378" t="s">
        <v>1203</v>
      </c>
      <c r="E2378" t="s">
        <v>1204</v>
      </c>
      <c r="F2378">
        <v>7912</v>
      </c>
      <c r="G2378" t="s">
        <v>696</v>
      </c>
      <c r="I2378" t="s">
        <v>1205</v>
      </c>
      <c r="J2378">
        <v>200000</v>
      </c>
    </row>
    <row r="2379" spans="1:10" x14ac:dyDescent="0.3">
      <c r="A2379">
        <v>440</v>
      </c>
      <c r="B2379" t="s">
        <v>2026</v>
      </c>
      <c r="C2379" t="s">
        <v>1202</v>
      </c>
      <c r="D2379" t="s">
        <v>159</v>
      </c>
      <c r="E2379" t="s">
        <v>159</v>
      </c>
      <c r="F2379">
        <v>7913</v>
      </c>
      <c r="G2379" t="s">
        <v>696</v>
      </c>
      <c r="H2379" t="s">
        <v>2027</v>
      </c>
      <c r="I2379" t="s">
        <v>1216</v>
      </c>
      <c r="J2379">
        <v>4.5913681809800003E-2</v>
      </c>
    </row>
    <row r="2380" spans="1:10" x14ac:dyDescent="0.3">
      <c r="A2380">
        <v>440</v>
      </c>
      <c r="B2380" t="s">
        <v>2026</v>
      </c>
      <c r="C2380" t="s">
        <v>1202</v>
      </c>
      <c r="D2380" t="s">
        <v>159</v>
      </c>
      <c r="E2380" t="s">
        <v>159</v>
      </c>
      <c r="F2380">
        <v>7913</v>
      </c>
      <c r="G2380" t="s">
        <v>698</v>
      </c>
      <c r="H2380" t="s">
        <v>2024</v>
      </c>
      <c r="I2380" t="s">
        <v>1205</v>
      </c>
      <c r="J2380">
        <v>9.1827363619600005E-2</v>
      </c>
    </row>
    <row r="2381" spans="1:10" x14ac:dyDescent="0.3">
      <c r="A2381">
        <v>2469</v>
      </c>
      <c r="B2381" t="s">
        <v>2028</v>
      </c>
      <c r="C2381" t="s">
        <v>1202</v>
      </c>
      <c r="D2381" t="s">
        <v>159</v>
      </c>
      <c r="E2381" t="s">
        <v>159</v>
      </c>
      <c r="F2381">
        <v>8029</v>
      </c>
      <c r="G2381" t="s">
        <v>696</v>
      </c>
      <c r="I2381" t="s">
        <v>1205</v>
      </c>
      <c r="J2381">
        <v>6600</v>
      </c>
    </row>
    <row r="2382" spans="1:10" x14ac:dyDescent="0.3">
      <c r="A2382">
        <v>2469</v>
      </c>
      <c r="B2382" t="s">
        <v>2028</v>
      </c>
      <c r="C2382" t="s">
        <v>1202</v>
      </c>
      <c r="D2382" t="s">
        <v>159</v>
      </c>
      <c r="E2382" t="s">
        <v>159</v>
      </c>
      <c r="F2382">
        <v>8029</v>
      </c>
      <c r="G2382" t="s">
        <v>691</v>
      </c>
      <c r="H2382" t="s">
        <v>1260</v>
      </c>
      <c r="I2382" t="s">
        <v>1205</v>
      </c>
      <c r="J2382">
        <v>6</v>
      </c>
    </row>
    <row r="2383" spans="1:10" x14ac:dyDescent="0.3">
      <c r="A2383">
        <v>2469</v>
      </c>
      <c r="B2383" t="s">
        <v>2028</v>
      </c>
      <c r="C2383" t="s">
        <v>1202</v>
      </c>
      <c r="D2383" t="s">
        <v>159</v>
      </c>
      <c r="E2383" t="s">
        <v>159</v>
      </c>
      <c r="F2383">
        <v>8029</v>
      </c>
      <c r="G2383" t="s">
        <v>698</v>
      </c>
      <c r="I2383" t="s">
        <v>1205</v>
      </c>
      <c r="J2383">
        <v>737</v>
      </c>
    </row>
    <row r="2384" spans="1:10" x14ac:dyDescent="0.3">
      <c r="A2384">
        <v>2469</v>
      </c>
      <c r="B2384" t="s">
        <v>2028</v>
      </c>
      <c r="C2384" t="s">
        <v>1202</v>
      </c>
      <c r="D2384" t="s">
        <v>159</v>
      </c>
      <c r="E2384" t="s">
        <v>159</v>
      </c>
      <c r="F2384">
        <v>8029</v>
      </c>
      <c r="G2384" t="s">
        <v>702</v>
      </c>
      <c r="I2384" t="s">
        <v>1205</v>
      </c>
      <c r="J2384">
        <v>1379</v>
      </c>
    </row>
    <row r="2385" spans="1:10" x14ac:dyDescent="0.3">
      <c r="A2385">
        <v>2469</v>
      </c>
      <c r="B2385" t="s">
        <v>2028</v>
      </c>
      <c r="C2385" t="s">
        <v>1202</v>
      </c>
      <c r="D2385" t="s">
        <v>159</v>
      </c>
      <c r="E2385" t="s">
        <v>159</v>
      </c>
      <c r="F2385">
        <v>8029</v>
      </c>
      <c r="G2385" t="s">
        <v>700</v>
      </c>
      <c r="H2385" t="s">
        <v>1588</v>
      </c>
      <c r="I2385" t="s">
        <v>1205</v>
      </c>
      <c r="J2385">
        <v>1026</v>
      </c>
    </row>
    <row r="2386" spans="1:10" x14ac:dyDescent="0.3">
      <c r="A2386">
        <v>2469</v>
      </c>
      <c r="B2386" t="s">
        <v>2028</v>
      </c>
      <c r="C2386" t="s">
        <v>1202</v>
      </c>
      <c r="D2386" t="s">
        <v>159</v>
      </c>
      <c r="E2386" t="s">
        <v>159</v>
      </c>
      <c r="F2386">
        <v>8029</v>
      </c>
      <c r="G2386" t="s">
        <v>686</v>
      </c>
      <c r="I2386" t="s">
        <v>1205</v>
      </c>
      <c r="J2386">
        <v>673</v>
      </c>
    </row>
    <row r="2387" spans="1:10" x14ac:dyDescent="0.3">
      <c r="A2387">
        <v>2487</v>
      </c>
      <c r="B2387" t="s">
        <v>2029</v>
      </c>
      <c r="C2387" t="s">
        <v>1202</v>
      </c>
      <c r="D2387" t="s">
        <v>1203</v>
      </c>
      <c r="E2387" t="s">
        <v>1204</v>
      </c>
      <c r="F2387">
        <v>5814</v>
      </c>
      <c r="G2387" t="s">
        <v>686</v>
      </c>
      <c r="I2387" t="s">
        <v>1205</v>
      </c>
      <c r="J2387">
        <v>1247</v>
      </c>
    </row>
    <row r="2388" spans="1:10" x14ac:dyDescent="0.3">
      <c r="A2388">
        <v>2487</v>
      </c>
      <c r="B2388" t="s">
        <v>2029</v>
      </c>
      <c r="C2388" t="s">
        <v>1202</v>
      </c>
      <c r="D2388" t="s">
        <v>1203</v>
      </c>
      <c r="E2388" t="s">
        <v>1204</v>
      </c>
      <c r="F2388">
        <v>5814</v>
      </c>
      <c r="G2388" t="s">
        <v>705</v>
      </c>
      <c r="I2388" t="s">
        <v>1205</v>
      </c>
      <c r="J2388">
        <v>664</v>
      </c>
    </row>
    <row r="2389" spans="1:10" x14ac:dyDescent="0.3">
      <c r="A2389">
        <v>2487</v>
      </c>
      <c r="B2389" t="s">
        <v>2029</v>
      </c>
      <c r="C2389" t="s">
        <v>1202</v>
      </c>
      <c r="D2389" t="s">
        <v>1203</v>
      </c>
      <c r="E2389" t="s">
        <v>1204</v>
      </c>
      <c r="F2389">
        <v>5814</v>
      </c>
      <c r="G2389" t="s">
        <v>684</v>
      </c>
      <c r="I2389" t="s">
        <v>1205</v>
      </c>
      <c r="J2389">
        <v>91</v>
      </c>
    </row>
    <row r="2390" spans="1:10" x14ac:dyDescent="0.3">
      <c r="A2390">
        <v>2487</v>
      </c>
      <c r="B2390" t="s">
        <v>2029</v>
      </c>
      <c r="C2390" t="s">
        <v>1202</v>
      </c>
      <c r="D2390" t="s">
        <v>1203</v>
      </c>
      <c r="E2390" t="s">
        <v>1204</v>
      </c>
      <c r="F2390">
        <v>5814</v>
      </c>
      <c r="G2390" t="s">
        <v>687</v>
      </c>
      <c r="I2390" t="s">
        <v>1205</v>
      </c>
      <c r="J2390">
        <v>59</v>
      </c>
    </row>
    <row r="2391" spans="1:10" x14ac:dyDescent="0.3">
      <c r="A2391">
        <v>2487</v>
      </c>
      <c r="B2391" t="s">
        <v>2029</v>
      </c>
      <c r="C2391" t="s">
        <v>1202</v>
      </c>
      <c r="D2391" t="s">
        <v>1203</v>
      </c>
      <c r="E2391" t="s">
        <v>1204</v>
      </c>
      <c r="F2391">
        <v>5814</v>
      </c>
      <c r="G2391" t="s">
        <v>696</v>
      </c>
      <c r="I2391" t="s">
        <v>1205</v>
      </c>
      <c r="J2391">
        <v>5874</v>
      </c>
    </row>
    <row r="2392" spans="1:10" x14ac:dyDescent="0.3">
      <c r="A2392">
        <v>2487</v>
      </c>
      <c r="B2392" t="s">
        <v>2029</v>
      </c>
      <c r="C2392" t="s">
        <v>1202</v>
      </c>
      <c r="D2392" t="s">
        <v>1203</v>
      </c>
      <c r="E2392" t="s">
        <v>1204</v>
      </c>
      <c r="F2392">
        <v>5814</v>
      </c>
      <c r="G2392" t="s">
        <v>701</v>
      </c>
      <c r="I2392" t="s">
        <v>1205</v>
      </c>
      <c r="J2392">
        <v>4498</v>
      </c>
    </row>
    <row r="2393" spans="1:10" x14ac:dyDescent="0.3">
      <c r="A2393">
        <v>2487</v>
      </c>
      <c r="B2393" t="s">
        <v>2029</v>
      </c>
      <c r="C2393" t="s">
        <v>1202</v>
      </c>
      <c r="D2393" t="s">
        <v>1203</v>
      </c>
      <c r="E2393" t="s">
        <v>1204</v>
      </c>
      <c r="F2393">
        <v>5814</v>
      </c>
      <c r="G2393" t="s">
        <v>700</v>
      </c>
      <c r="H2393" t="s">
        <v>1438</v>
      </c>
      <c r="I2393" t="s">
        <v>1205</v>
      </c>
      <c r="J2393">
        <v>2600</v>
      </c>
    </row>
    <row r="2394" spans="1:10" x14ac:dyDescent="0.3">
      <c r="A2394">
        <v>2487</v>
      </c>
      <c r="B2394" t="s">
        <v>2029</v>
      </c>
      <c r="C2394" t="s">
        <v>1202</v>
      </c>
      <c r="D2394" t="s">
        <v>1203</v>
      </c>
      <c r="E2394" t="s">
        <v>1204</v>
      </c>
      <c r="F2394">
        <v>5814</v>
      </c>
      <c r="G2394" t="s">
        <v>698</v>
      </c>
      <c r="I2394" t="s">
        <v>1205</v>
      </c>
      <c r="J2394">
        <v>3341</v>
      </c>
    </row>
    <row r="2395" spans="1:10" x14ac:dyDescent="0.3">
      <c r="A2395">
        <v>2487</v>
      </c>
      <c r="B2395" t="s">
        <v>2029</v>
      </c>
      <c r="C2395" t="s">
        <v>1202</v>
      </c>
      <c r="D2395" t="s">
        <v>1203</v>
      </c>
      <c r="E2395" t="s">
        <v>1204</v>
      </c>
      <c r="F2395">
        <v>5814</v>
      </c>
      <c r="G2395" t="s">
        <v>702</v>
      </c>
      <c r="I2395" t="s">
        <v>1205</v>
      </c>
      <c r="J2395">
        <v>829</v>
      </c>
    </row>
    <row r="2396" spans="1:10" x14ac:dyDescent="0.3">
      <c r="A2396">
        <v>2490</v>
      </c>
      <c r="B2396" t="s">
        <v>2030</v>
      </c>
      <c r="C2396" t="s">
        <v>1202</v>
      </c>
      <c r="D2396" t="s">
        <v>159</v>
      </c>
      <c r="E2396" t="s">
        <v>159</v>
      </c>
      <c r="F2396">
        <v>7931</v>
      </c>
      <c r="G2396" t="s">
        <v>696</v>
      </c>
      <c r="I2396" t="s">
        <v>1205</v>
      </c>
      <c r="J2396">
        <v>1631</v>
      </c>
    </row>
    <row r="2397" spans="1:10" x14ac:dyDescent="0.3">
      <c r="A2397">
        <v>2490</v>
      </c>
      <c r="B2397" t="s">
        <v>2030</v>
      </c>
      <c r="C2397" t="s">
        <v>1202</v>
      </c>
      <c r="D2397" t="s">
        <v>159</v>
      </c>
      <c r="E2397" t="s">
        <v>159</v>
      </c>
      <c r="F2397">
        <v>7931</v>
      </c>
      <c r="G2397" t="s">
        <v>687</v>
      </c>
      <c r="H2397" t="s">
        <v>1260</v>
      </c>
      <c r="I2397" t="s">
        <v>1205</v>
      </c>
      <c r="J2397">
        <v>7</v>
      </c>
    </row>
    <row r="2398" spans="1:10" x14ac:dyDescent="0.3">
      <c r="A2398">
        <v>2490</v>
      </c>
      <c r="B2398" t="s">
        <v>2030</v>
      </c>
      <c r="C2398" t="s">
        <v>1202</v>
      </c>
      <c r="D2398" t="s">
        <v>159</v>
      </c>
      <c r="E2398" t="s">
        <v>159</v>
      </c>
      <c r="F2398">
        <v>7931</v>
      </c>
      <c r="G2398" t="s">
        <v>687</v>
      </c>
      <c r="H2398" t="s">
        <v>1088</v>
      </c>
      <c r="I2398" t="s">
        <v>1205</v>
      </c>
      <c r="J2398">
        <v>186</v>
      </c>
    </row>
    <row r="2399" spans="1:10" x14ac:dyDescent="0.3">
      <c r="A2399">
        <v>2490</v>
      </c>
      <c r="B2399" t="s">
        <v>2030</v>
      </c>
      <c r="C2399" t="s">
        <v>1202</v>
      </c>
      <c r="D2399" t="s">
        <v>159</v>
      </c>
      <c r="E2399" t="s">
        <v>159</v>
      </c>
      <c r="F2399">
        <v>7931</v>
      </c>
      <c r="G2399" t="s">
        <v>686</v>
      </c>
      <c r="H2399" t="s">
        <v>1289</v>
      </c>
      <c r="I2399" t="s">
        <v>1205</v>
      </c>
      <c r="J2399">
        <v>54</v>
      </c>
    </row>
    <row r="2400" spans="1:10" x14ac:dyDescent="0.3">
      <c r="A2400">
        <v>2490</v>
      </c>
      <c r="B2400" t="s">
        <v>2030</v>
      </c>
      <c r="C2400" t="s">
        <v>1202</v>
      </c>
      <c r="D2400" t="s">
        <v>159</v>
      </c>
      <c r="E2400" t="s">
        <v>159</v>
      </c>
      <c r="F2400">
        <v>7931</v>
      </c>
      <c r="G2400" t="s">
        <v>702</v>
      </c>
      <c r="H2400" t="s">
        <v>1282</v>
      </c>
      <c r="I2400" t="s">
        <v>1205</v>
      </c>
      <c r="J2400">
        <v>316</v>
      </c>
    </row>
    <row r="2401" spans="1:10" x14ac:dyDescent="0.3">
      <c r="A2401">
        <v>2490</v>
      </c>
      <c r="B2401" t="s">
        <v>2030</v>
      </c>
      <c r="C2401" t="s">
        <v>1202</v>
      </c>
      <c r="D2401" t="s">
        <v>159</v>
      </c>
      <c r="E2401" t="s">
        <v>159</v>
      </c>
      <c r="F2401">
        <v>7931</v>
      </c>
      <c r="G2401" t="s">
        <v>700</v>
      </c>
      <c r="I2401" t="s">
        <v>1205</v>
      </c>
      <c r="J2401">
        <v>78</v>
      </c>
    </row>
    <row r="2402" spans="1:10" x14ac:dyDescent="0.3">
      <c r="A2402">
        <v>2490</v>
      </c>
      <c r="B2402" t="s">
        <v>2030</v>
      </c>
      <c r="C2402" t="s">
        <v>1202</v>
      </c>
      <c r="D2402" t="s">
        <v>159</v>
      </c>
      <c r="E2402" t="s">
        <v>159</v>
      </c>
      <c r="F2402">
        <v>7931</v>
      </c>
      <c r="G2402" t="s">
        <v>698</v>
      </c>
      <c r="I2402" t="s">
        <v>1205</v>
      </c>
      <c r="J2402">
        <v>29</v>
      </c>
    </row>
    <row r="2403" spans="1:10" x14ac:dyDescent="0.3">
      <c r="A2403">
        <v>2496</v>
      </c>
      <c r="B2403" t="s">
        <v>905</v>
      </c>
      <c r="C2403" t="s">
        <v>1202</v>
      </c>
      <c r="D2403" t="s">
        <v>159</v>
      </c>
      <c r="E2403" t="s">
        <v>159</v>
      </c>
      <c r="F2403">
        <v>5568</v>
      </c>
      <c r="G2403" t="s">
        <v>687</v>
      </c>
      <c r="H2403" t="s">
        <v>2031</v>
      </c>
      <c r="I2403" t="s">
        <v>1205</v>
      </c>
      <c r="J2403">
        <v>30</v>
      </c>
    </row>
    <row r="2404" spans="1:10" x14ac:dyDescent="0.3">
      <c r="A2404">
        <v>2496</v>
      </c>
      <c r="B2404" t="s">
        <v>905</v>
      </c>
      <c r="C2404" t="s">
        <v>1202</v>
      </c>
      <c r="D2404" t="s">
        <v>159</v>
      </c>
      <c r="E2404" t="s">
        <v>159</v>
      </c>
      <c r="F2404">
        <v>5568</v>
      </c>
      <c r="G2404" t="s">
        <v>698</v>
      </c>
      <c r="H2404" t="s">
        <v>2032</v>
      </c>
      <c r="I2404" t="s">
        <v>1205</v>
      </c>
      <c r="J2404">
        <v>1051.74</v>
      </c>
    </row>
    <row r="2405" spans="1:10" x14ac:dyDescent="0.3">
      <c r="A2405">
        <v>2496</v>
      </c>
      <c r="B2405" t="s">
        <v>905</v>
      </c>
      <c r="C2405" t="s">
        <v>1202</v>
      </c>
      <c r="D2405" t="s">
        <v>159</v>
      </c>
      <c r="E2405" t="s">
        <v>159</v>
      </c>
      <c r="F2405">
        <v>5568</v>
      </c>
      <c r="G2405" t="s">
        <v>700</v>
      </c>
      <c r="H2405" t="s">
        <v>2032</v>
      </c>
      <c r="I2405" t="s">
        <v>1205</v>
      </c>
      <c r="J2405">
        <v>1893.45</v>
      </c>
    </row>
    <row r="2406" spans="1:10" x14ac:dyDescent="0.3">
      <c r="A2406">
        <v>2496</v>
      </c>
      <c r="B2406" t="s">
        <v>905</v>
      </c>
      <c r="C2406" t="s">
        <v>1202</v>
      </c>
      <c r="D2406" t="s">
        <v>159</v>
      </c>
      <c r="E2406" t="s">
        <v>159</v>
      </c>
      <c r="F2406">
        <v>5568</v>
      </c>
      <c r="G2406" t="s">
        <v>703</v>
      </c>
      <c r="H2406" t="s">
        <v>2033</v>
      </c>
      <c r="I2406" t="s">
        <v>1205</v>
      </c>
      <c r="J2406">
        <v>0</v>
      </c>
    </row>
    <row r="2407" spans="1:10" x14ac:dyDescent="0.3">
      <c r="A2407">
        <v>2496</v>
      </c>
      <c r="B2407" t="s">
        <v>905</v>
      </c>
      <c r="C2407" t="s">
        <v>1202</v>
      </c>
      <c r="D2407" t="s">
        <v>159</v>
      </c>
      <c r="E2407" t="s">
        <v>159</v>
      </c>
      <c r="F2407">
        <v>5568</v>
      </c>
      <c r="G2407" t="s">
        <v>701</v>
      </c>
      <c r="H2407" t="s">
        <v>2032</v>
      </c>
      <c r="I2407" t="s">
        <v>1205</v>
      </c>
      <c r="J2407">
        <v>769.49</v>
      </c>
    </row>
    <row r="2408" spans="1:10" x14ac:dyDescent="0.3">
      <c r="A2408">
        <v>2496</v>
      </c>
      <c r="B2408" t="s">
        <v>905</v>
      </c>
      <c r="C2408" t="s">
        <v>1202</v>
      </c>
      <c r="D2408" t="s">
        <v>159</v>
      </c>
      <c r="E2408" t="s">
        <v>159</v>
      </c>
      <c r="F2408">
        <v>5568</v>
      </c>
      <c r="G2408" t="s">
        <v>702</v>
      </c>
      <c r="H2408" t="s">
        <v>2032</v>
      </c>
      <c r="I2408" t="s">
        <v>1205</v>
      </c>
      <c r="J2408">
        <v>2176.9</v>
      </c>
    </row>
    <row r="2409" spans="1:10" x14ac:dyDescent="0.3">
      <c r="A2409">
        <v>2496</v>
      </c>
      <c r="B2409" t="s">
        <v>905</v>
      </c>
      <c r="C2409" t="s">
        <v>1202</v>
      </c>
      <c r="D2409" t="s">
        <v>159</v>
      </c>
      <c r="E2409" t="s">
        <v>159</v>
      </c>
      <c r="F2409">
        <v>5568</v>
      </c>
      <c r="G2409" t="s">
        <v>690</v>
      </c>
      <c r="H2409" t="s">
        <v>1346</v>
      </c>
      <c r="I2409" t="s">
        <v>1205</v>
      </c>
      <c r="J2409">
        <v>190</v>
      </c>
    </row>
    <row r="2410" spans="1:10" x14ac:dyDescent="0.3">
      <c r="A2410">
        <v>2496</v>
      </c>
      <c r="B2410" t="s">
        <v>905</v>
      </c>
      <c r="C2410" t="s">
        <v>1202</v>
      </c>
      <c r="D2410" t="s">
        <v>159</v>
      </c>
      <c r="E2410" t="s">
        <v>159</v>
      </c>
      <c r="F2410">
        <v>5568</v>
      </c>
      <c r="G2410" t="s">
        <v>686</v>
      </c>
      <c r="H2410" t="s">
        <v>2032</v>
      </c>
      <c r="I2410" t="s">
        <v>1205</v>
      </c>
      <c r="J2410">
        <v>3688.83</v>
      </c>
    </row>
    <row r="2411" spans="1:10" x14ac:dyDescent="0.3">
      <c r="A2411">
        <v>2496</v>
      </c>
      <c r="B2411" t="s">
        <v>905</v>
      </c>
      <c r="C2411" t="s">
        <v>1202</v>
      </c>
      <c r="D2411" t="s">
        <v>159</v>
      </c>
      <c r="E2411" t="s">
        <v>159</v>
      </c>
      <c r="F2411">
        <v>5568</v>
      </c>
      <c r="G2411" t="s">
        <v>696</v>
      </c>
      <c r="H2411" t="s">
        <v>2032</v>
      </c>
      <c r="I2411" t="s">
        <v>1205</v>
      </c>
      <c r="J2411">
        <v>9640.19</v>
      </c>
    </row>
    <row r="2412" spans="1:10" x14ac:dyDescent="0.3">
      <c r="A2412">
        <v>2496</v>
      </c>
      <c r="B2412" t="s">
        <v>905</v>
      </c>
      <c r="C2412" t="s">
        <v>1202</v>
      </c>
      <c r="D2412" t="s">
        <v>159</v>
      </c>
      <c r="E2412" t="s">
        <v>159</v>
      </c>
      <c r="F2412">
        <v>5568</v>
      </c>
      <c r="G2412" t="s">
        <v>687</v>
      </c>
      <c r="H2412" t="s">
        <v>2034</v>
      </c>
      <c r="I2412" t="s">
        <v>1205</v>
      </c>
      <c r="J2412">
        <v>86.17</v>
      </c>
    </row>
    <row r="2413" spans="1:10" x14ac:dyDescent="0.3">
      <c r="A2413">
        <v>2510</v>
      </c>
      <c r="B2413" t="s">
        <v>2035</v>
      </c>
      <c r="C2413" t="s">
        <v>1202</v>
      </c>
      <c r="D2413" t="s">
        <v>1203</v>
      </c>
      <c r="E2413" t="s">
        <v>1204</v>
      </c>
      <c r="F2413">
        <v>5942</v>
      </c>
      <c r="G2413" t="s">
        <v>691</v>
      </c>
      <c r="H2413" t="s">
        <v>2036</v>
      </c>
      <c r="I2413" t="s">
        <v>1205</v>
      </c>
      <c r="J2413">
        <v>15</v>
      </c>
    </row>
    <row r="2414" spans="1:10" x14ac:dyDescent="0.3">
      <c r="A2414">
        <v>2510</v>
      </c>
      <c r="B2414" t="s">
        <v>2035</v>
      </c>
      <c r="C2414" t="s">
        <v>1202</v>
      </c>
      <c r="D2414" t="s">
        <v>1203</v>
      </c>
      <c r="E2414" t="s">
        <v>1204</v>
      </c>
      <c r="F2414">
        <v>5942</v>
      </c>
      <c r="G2414" t="s">
        <v>686</v>
      </c>
      <c r="I2414" t="s">
        <v>1205</v>
      </c>
      <c r="J2414">
        <v>25</v>
      </c>
    </row>
    <row r="2415" spans="1:10" x14ac:dyDescent="0.3">
      <c r="A2415">
        <v>2510</v>
      </c>
      <c r="B2415" t="s">
        <v>2035</v>
      </c>
      <c r="C2415" t="s">
        <v>1202</v>
      </c>
      <c r="D2415" t="s">
        <v>1203</v>
      </c>
      <c r="E2415" t="s">
        <v>1204</v>
      </c>
      <c r="F2415">
        <v>5942</v>
      </c>
      <c r="G2415" t="s">
        <v>698</v>
      </c>
      <c r="I2415" t="s">
        <v>1205</v>
      </c>
      <c r="J2415">
        <v>161</v>
      </c>
    </row>
    <row r="2416" spans="1:10" x14ac:dyDescent="0.3">
      <c r="A2416">
        <v>2510</v>
      </c>
      <c r="B2416" t="s">
        <v>2035</v>
      </c>
      <c r="C2416" t="s">
        <v>1202</v>
      </c>
      <c r="D2416" t="s">
        <v>1203</v>
      </c>
      <c r="E2416" t="s">
        <v>1204</v>
      </c>
      <c r="F2416">
        <v>5942</v>
      </c>
      <c r="G2416" t="s">
        <v>696</v>
      </c>
      <c r="I2416" t="s">
        <v>1205</v>
      </c>
      <c r="J2416">
        <v>1725</v>
      </c>
    </row>
    <row r="2417" spans="1:10" x14ac:dyDescent="0.3">
      <c r="A2417">
        <v>2510</v>
      </c>
      <c r="B2417" t="s">
        <v>2035</v>
      </c>
      <c r="C2417" t="s">
        <v>1202</v>
      </c>
      <c r="D2417" t="s">
        <v>1203</v>
      </c>
      <c r="E2417" t="s">
        <v>1204</v>
      </c>
      <c r="F2417">
        <v>5942</v>
      </c>
      <c r="G2417" t="s">
        <v>700</v>
      </c>
      <c r="I2417" t="s">
        <v>1205</v>
      </c>
      <c r="J2417">
        <v>14</v>
      </c>
    </row>
    <row r="2418" spans="1:10" x14ac:dyDescent="0.3">
      <c r="A2418">
        <v>2510</v>
      </c>
      <c r="B2418" t="s">
        <v>2035</v>
      </c>
      <c r="C2418" t="s">
        <v>1202</v>
      </c>
      <c r="D2418" t="s">
        <v>1203</v>
      </c>
      <c r="E2418" t="s">
        <v>1204</v>
      </c>
      <c r="F2418">
        <v>5942</v>
      </c>
      <c r="G2418" t="s">
        <v>703</v>
      </c>
      <c r="I2418" t="s">
        <v>1205</v>
      </c>
      <c r="J2418">
        <v>12</v>
      </c>
    </row>
    <row r="2419" spans="1:10" x14ac:dyDescent="0.3">
      <c r="A2419">
        <v>2510</v>
      </c>
      <c r="B2419" t="s">
        <v>2035</v>
      </c>
      <c r="C2419" t="s">
        <v>1202</v>
      </c>
      <c r="D2419" t="s">
        <v>1203</v>
      </c>
      <c r="E2419" t="s">
        <v>1204</v>
      </c>
      <c r="F2419">
        <v>5942</v>
      </c>
      <c r="G2419" t="s">
        <v>702</v>
      </c>
      <c r="I2419" t="s">
        <v>1205</v>
      </c>
      <c r="J2419">
        <v>212</v>
      </c>
    </row>
    <row r="2420" spans="1:10" x14ac:dyDescent="0.3">
      <c r="A2420">
        <v>2510</v>
      </c>
      <c r="B2420" t="s">
        <v>2035</v>
      </c>
      <c r="C2420" t="s">
        <v>1202</v>
      </c>
      <c r="D2420" t="s">
        <v>1203</v>
      </c>
      <c r="E2420" t="s">
        <v>1204</v>
      </c>
      <c r="F2420">
        <v>5942</v>
      </c>
      <c r="G2420" t="s">
        <v>691</v>
      </c>
      <c r="H2420" t="s">
        <v>2037</v>
      </c>
      <c r="I2420" t="s">
        <v>1205</v>
      </c>
      <c r="J2420">
        <v>7</v>
      </c>
    </row>
    <row r="2421" spans="1:10" x14ac:dyDescent="0.3">
      <c r="A2421">
        <v>2510</v>
      </c>
      <c r="B2421" t="s">
        <v>2035</v>
      </c>
      <c r="C2421" t="s">
        <v>1202</v>
      </c>
      <c r="D2421" t="s">
        <v>1203</v>
      </c>
      <c r="E2421" t="s">
        <v>1204</v>
      </c>
      <c r="F2421">
        <v>5942</v>
      </c>
      <c r="G2421" t="s">
        <v>691</v>
      </c>
      <c r="H2421" t="s">
        <v>2038</v>
      </c>
      <c r="I2421" t="s">
        <v>1205</v>
      </c>
      <c r="J2421">
        <v>3</v>
      </c>
    </row>
    <row r="2422" spans="1:10" x14ac:dyDescent="0.3">
      <c r="A2422">
        <v>2512</v>
      </c>
      <c r="B2422" t="s">
        <v>2039</v>
      </c>
      <c r="C2422" t="s">
        <v>1202</v>
      </c>
      <c r="D2422" t="s">
        <v>1203</v>
      </c>
      <c r="E2422" t="s">
        <v>1204</v>
      </c>
      <c r="F2422">
        <v>5501</v>
      </c>
      <c r="G2422" t="s">
        <v>687</v>
      </c>
      <c r="H2422" t="s">
        <v>1611</v>
      </c>
      <c r="I2422" t="s">
        <v>1210</v>
      </c>
      <c r="J2422">
        <v>693.5686541</v>
      </c>
    </row>
    <row r="2423" spans="1:10" x14ac:dyDescent="0.3">
      <c r="A2423">
        <v>2512</v>
      </c>
      <c r="B2423" t="s">
        <v>2039</v>
      </c>
      <c r="C2423" t="s">
        <v>1202</v>
      </c>
      <c r="D2423" t="s">
        <v>1203</v>
      </c>
      <c r="E2423" t="s">
        <v>1204</v>
      </c>
      <c r="F2423">
        <v>5501</v>
      </c>
      <c r="G2423" t="s">
        <v>686</v>
      </c>
      <c r="I2423" t="s">
        <v>1205</v>
      </c>
      <c r="J2423">
        <v>1249.03735495</v>
      </c>
    </row>
    <row r="2424" spans="1:10" x14ac:dyDescent="0.3">
      <c r="A2424">
        <v>2512</v>
      </c>
      <c r="B2424" t="s">
        <v>2039</v>
      </c>
      <c r="C2424" t="s">
        <v>1202</v>
      </c>
      <c r="D2424" t="s">
        <v>1203</v>
      </c>
      <c r="E2424" t="s">
        <v>1204</v>
      </c>
      <c r="F2424">
        <v>5501</v>
      </c>
      <c r="G2424" t="s">
        <v>702</v>
      </c>
      <c r="I2424" t="s">
        <v>1205</v>
      </c>
      <c r="J2424">
        <v>181.06438315</v>
      </c>
    </row>
    <row r="2425" spans="1:10" x14ac:dyDescent="0.3">
      <c r="A2425">
        <v>2512</v>
      </c>
      <c r="B2425" t="s">
        <v>2039</v>
      </c>
      <c r="C2425" t="s">
        <v>1202</v>
      </c>
      <c r="D2425" t="s">
        <v>1203</v>
      </c>
      <c r="E2425" t="s">
        <v>1204</v>
      </c>
      <c r="F2425">
        <v>5501</v>
      </c>
      <c r="G2425" t="s">
        <v>703</v>
      </c>
      <c r="I2425" t="s">
        <v>1205</v>
      </c>
      <c r="J2425">
        <v>184.13327100000001</v>
      </c>
    </row>
    <row r="2426" spans="1:10" x14ac:dyDescent="0.3">
      <c r="A2426">
        <v>2512</v>
      </c>
      <c r="B2426" t="s">
        <v>2039</v>
      </c>
      <c r="C2426" t="s">
        <v>1202</v>
      </c>
      <c r="D2426" t="s">
        <v>1203</v>
      </c>
      <c r="E2426" t="s">
        <v>1204</v>
      </c>
      <c r="F2426">
        <v>5501</v>
      </c>
      <c r="G2426" t="s">
        <v>700</v>
      </c>
      <c r="I2426" t="s">
        <v>1205</v>
      </c>
      <c r="J2426">
        <v>316.09544855000001</v>
      </c>
    </row>
    <row r="2427" spans="1:10" x14ac:dyDescent="0.3">
      <c r="A2427">
        <v>2512</v>
      </c>
      <c r="B2427" t="s">
        <v>2039</v>
      </c>
      <c r="C2427" t="s">
        <v>1202</v>
      </c>
      <c r="D2427" t="s">
        <v>1203</v>
      </c>
      <c r="E2427" t="s">
        <v>1204</v>
      </c>
      <c r="F2427">
        <v>5501</v>
      </c>
      <c r="G2427" t="s">
        <v>698</v>
      </c>
      <c r="I2427" t="s">
        <v>1205</v>
      </c>
      <c r="J2427">
        <v>239.37325229999999</v>
      </c>
    </row>
    <row r="2428" spans="1:10" x14ac:dyDescent="0.3">
      <c r="A2428">
        <v>2512</v>
      </c>
      <c r="B2428" t="s">
        <v>2039</v>
      </c>
      <c r="C2428" t="s">
        <v>1202</v>
      </c>
      <c r="D2428" t="s">
        <v>1203</v>
      </c>
      <c r="E2428" t="s">
        <v>1204</v>
      </c>
      <c r="F2428">
        <v>5501</v>
      </c>
      <c r="G2428" t="s">
        <v>696</v>
      </c>
      <c r="I2428" t="s">
        <v>1205</v>
      </c>
      <c r="J2428">
        <v>2384.5258594500001</v>
      </c>
    </row>
    <row r="2429" spans="1:10" x14ac:dyDescent="0.3">
      <c r="A2429">
        <v>2512</v>
      </c>
      <c r="B2429" t="s">
        <v>2039</v>
      </c>
      <c r="C2429" t="s">
        <v>1202</v>
      </c>
      <c r="D2429" t="s">
        <v>1203</v>
      </c>
      <c r="E2429" t="s">
        <v>1204</v>
      </c>
      <c r="F2429">
        <v>5501</v>
      </c>
      <c r="G2429" t="s">
        <v>687</v>
      </c>
      <c r="H2429" t="s">
        <v>2040</v>
      </c>
      <c r="I2429" t="s">
        <v>1210</v>
      </c>
      <c r="J2429">
        <v>6.1377756999999997</v>
      </c>
    </row>
    <row r="2430" spans="1:10" x14ac:dyDescent="0.3">
      <c r="A2430">
        <v>2516</v>
      </c>
      <c r="B2430" t="s">
        <v>2041</v>
      </c>
      <c r="C2430" t="s">
        <v>1202</v>
      </c>
      <c r="D2430" t="s">
        <v>1203</v>
      </c>
      <c r="E2430" t="s">
        <v>1204</v>
      </c>
      <c r="F2430">
        <v>6666</v>
      </c>
      <c r="G2430" t="s">
        <v>702</v>
      </c>
      <c r="I2430" t="s">
        <v>1205</v>
      </c>
      <c r="J2430">
        <v>761.0841868</v>
      </c>
    </row>
    <row r="2431" spans="1:10" x14ac:dyDescent="0.3">
      <c r="A2431">
        <v>2516</v>
      </c>
      <c r="B2431" t="s">
        <v>2041</v>
      </c>
      <c r="C2431" t="s">
        <v>1202</v>
      </c>
      <c r="D2431" t="s">
        <v>1203</v>
      </c>
      <c r="E2431" t="s">
        <v>1204</v>
      </c>
      <c r="F2431">
        <v>6666</v>
      </c>
      <c r="G2431" t="s">
        <v>686</v>
      </c>
      <c r="H2431" t="s">
        <v>1247</v>
      </c>
      <c r="I2431" t="s">
        <v>1205</v>
      </c>
      <c r="J2431">
        <v>834.73749520000001</v>
      </c>
    </row>
    <row r="2432" spans="1:10" x14ac:dyDescent="0.3">
      <c r="A2432">
        <v>2516</v>
      </c>
      <c r="B2432" t="s">
        <v>2041</v>
      </c>
      <c r="C2432" t="s">
        <v>1202</v>
      </c>
      <c r="D2432" t="s">
        <v>1203</v>
      </c>
      <c r="E2432" t="s">
        <v>1204</v>
      </c>
      <c r="F2432">
        <v>6666</v>
      </c>
      <c r="G2432" t="s">
        <v>696</v>
      </c>
      <c r="H2432" t="s">
        <v>1249</v>
      </c>
      <c r="I2432" t="s">
        <v>1205</v>
      </c>
      <c r="J2432">
        <v>7920.7995408500001</v>
      </c>
    </row>
    <row r="2433" spans="1:10" x14ac:dyDescent="0.3">
      <c r="A2433">
        <v>2516</v>
      </c>
      <c r="B2433" t="s">
        <v>2041</v>
      </c>
      <c r="C2433" t="s">
        <v>1202</v>
      </c>
      <c r="D2433" t="s">
        <v>1203</v>
      </c>
      <c r="E2433" t="s">
        <v>1204</v>
      </c>
      <c r="F2433">
        <v>6666</v>
      </c>
      <c r="G2433" t="s">
        <v>698</v>
      </c>
      <c r="H2433" t="s">
        <v>1249</v>
      </c>
      <c r="I2433" t="s">
        <v>1205</v>
      </c>
      <c r="J2433">
        <v>1037.2840933</v>
      </c>
    </row>
    <row r="2434" spans="1:10" x14ac:dyDescent="0.3">
      <c r="A2434">
        <v>2516</v>
      </c>
      <c r="B2434" t="s">
        <v>2041</v>
      </c>
      <c r="C2434" t="s">
        <v>1202</v>
      </c>
      <c r="D2434" t="s">
        <v>1203</v>
      </c>
      <c r="E2434" t="s">
        <v>1204</v>
      </c>
      <c r="F2434">
        <v>6666</v>
      </c>
      <c r="G2434" t="s">
        <v>700</v>
      </c>
      <c r="H2434" t="s">
        <v>1402</v>
      </c>
      <c r="I2434" t="s">
        <v>1205</v>
      </c>
      <c r="J2434">
        <v>2525.6947005500001</v>
      </c>
    </row>
    <row r="2435" spans="1:10" x14ac:dyDescent="0.3">
      <c r="A2435">
        <v>2516</v>
      </c>
      <c r="B2435" t="s">
        <v>2041</v>
      </c>
      <c r="C2435" t="s">
        <v>1202</v>
      </c>
      <c r="D2435" t="s">
        <v>1203</v>
      </c>
      <c r="E2435" t="s">
        <v>1204</v>
      </c>
      <c r="F2435">
        <v>6666</v>
      </c>
      <c r="G2435" t="s">
        <v>701</v>
      </c>
      <c r="I2435" t="s">
        <v>1205</v>
      </c>
      <c r="J2435">
        <v>3860.6609152999999</v>
      </c>
    </row>
    <row r="2436" spans="1:10" x14ac:dyDescent="0.3">
      <c r="A2436">
        <v>2523</v>
      </c>
      <c r="B2436" t="s">
        <v>2042</v>
      </c>
      <c r="C2436" t="s">
        <v>1202</v>
      </c>
      <c r="D2436" t="s">
        <v>1203</v>
      </c>
      <c r="E2436" t="s">
        <v>1204</v>
      </c>
      <c r="F2436">
        <v>5458</v>
      </c>
      <c r="G2436" t="s">
        <v>700</v>
      </c>
      <c r="I2436" t="s">
        <v>1205</v>
      </c>
      <c r="J2436">
        <v>440</v>
      </c>
    </row>
    <row r="2437" spans="1:10" x14ac:dyDescent="0.3">
      <c r="A2437">
        <v>2523</v>
      </c>
      <c r="B2437" t="s">
        <v>2042</v>
      </c>
      <c r="C2437" t="s">
        <v>1202</v>
      </c>
      <c r="D2437" t="s">
        <v>1203</v>
      </c>
      <c r="E2437" t="s">
        <v>1204</v>
      </c>
      <c r="F2437">
        <v>5458</v>
      </c>
      <c r="G2437" t="s">
        <v>698</v>
      </c>
      <c r="I2437" t="s">
        <v>1205</v>
      </c>
      <c r="J2437">
        <v>269</v>
      </c>
    </row>
    <row r="2438" spans="1:10" x14ac:dyDescent="0.3">
      <c r="A2438">
        <v>2523</v>
      </c>
      <c r="B2438" t="s">
        <v>2042</v>
      </c>
      <c r="C2438" t="s">
        <v>1202</v>
      </c>
      <c r="D2438" t="s">
        <v>1203</v>
      </c>
      <c r="E2438" t="s">
        <v>1204</v>
      </c>
      <c r="F2438">
        <v>5458</v>
      </c>
      <c r="G2438" t="s">
        <v>701</v>
      </c>
      <c r="I2438" t="s">
        <v>1205</v>
      </c>
      <c r="J2438">
        <v>0</v>
      </c>
    </row>
    <row r="2439" spans="1:10" x14ac:dyDescent="0.3">
      <c r="A2439">
        <v>2523</v>
      </c>
      <c r="B2439" t="s">
        <v>2042</v>
      </c>
      <c r="C2439" t="s">
        <v>1202</v>
      </c>
      <c r="D2439" t="s">
        <v>1203</v>
      </c>
      <c r="E2439" t="s">
        <v>1204</v>
      </c>
      <c r="F2439">
        <v>5458</v>
      </c>
      <c r="G2439" t="s">
        <v>703</v>
      </c>
      <c r="I2439" t="s">
        <v>1205</v>
      </c>
      <c r="J2439">
        <v>258</v>
      </c>
    </row>
    <row r="2440" spans="1:10" x14ac:dyDescent="0.3">
      <c r="A2440">
        <v>2523</v>
      </c>
      <c r="B2440" t="s">
        <v>2042</v>
      </c>
      <c r="C2440" t="s">
        <v>1202</v>
      </c>
      <c r="D2440" t="s">
        <v>1203</v>
      </c>
      <c r="E2440" t="s">
        <v>1204</v>
      </c>
      <c r="F2440">
        <v>5458</v>
      </c>
      <c r="G2440" t="s">
        <v>702</v>
      </c>
      <c r="I2440" t="s">
        <v>1205</v>
      </c>
      <c r="J2440">
        <v>83</v>
      </c>
    </row>
    <row r="2441" spans="1:10" x14ac:dyDescent="0.3">
      <c r="A2441">
        <v>2523</v>
      </c>
      <c r="B2441" t="s">
        <v>2042</v>
      </c>
      <c r="C2441" t="s">
        <v>1202</v>
      </c>
      <c r="D2441" t="s">
        <v>1203</v>
      </c>
      <c r="E2441" t="s">
        <v>1204</v>
      </c>
      <c r="F2441">
        <v>5458</v>
      </c>
      <c r="G2441" t="s">
        <v>691</v>
      </c>
      <c r="I2441" t="s">
        <v>1205</v>
      </c>
      <c r="J2441">
        <v>120</v>
      </c>
    </row>
    <row r="2442" spans="1:10" x14ac:dyDescent="0.3">
      <c r="A2442">
        <v>2523</v>
      </c>
      <c r="B2442" t="s">
        <v>2042</v>
      </c>
      <c r="C2442" t="s">
        <v>1202</v>
      </c>
      <c r="D2442" t="s">
        <v>1203</v>
      </c>
      <c r="E2442" t="s">
        <v>1204</v>
      </c>
      <c r="F2442">
        <v>5458</v>
      </c>
      <c r="G2442" t="s">
        <v>696</v>
      </c>
      <c r="I2442" t="s">
        <v>1205</v>
      </c>
      <c r="J2442">
        <v>2562</v>
      </c>
    </row>
    <row r="2443" spans="1:10" x14ac:dyDescent="0.3">
      <c r="A2443">
        <v>2523</v>
      </c>
      <c r="B2443" t="s">
        <v>2042</v>
      </c>
      <c r="C2443" t="s">
        <v>1202</v>
      </c>
      <c r="D2443" t="s">
        <v>1203</v>
      </c>
      <c r="E2443" t="s">
        <v>1204</v>
      </c>
      <c r="F2443">
        <v>5458</v>
      </c>
      <c r="G2443" t="s">
        <v>705</v>
      </c>
      <c r="I2443" t="s">
        <v>1205</v>
      </c>
      <c r="J2443">
        <v>191</v>
      </c>
    </row>
    <row r="2444" spans="1:10" x14ac:dyDescent="0.3">
      <c r="A2444">
        <v>2523</v>
      </c>
      <c r="B2444" t="s">
        <v>2042</v>
      </c>
      <c r="C2444" t="s">
        <v>1202</v>
      </c>
      <c r="D2444" t="s">
        <v>1203</v>
      </c>
      <c r="E2444" t="s">
        <v>1204</v>
      </c>
      <c r="F2444">
        <v>5458</v>
      </c>
      <c r="G2444" t="s">
        <v>686</v>
      </c>
      <c r="I2444" t="s">
        <v>1205</v>
      </c>
      <c r="J2444">
        <v>700</v>
      </c>
    </row>
    <row r="2445" spans="1:10" x14ac:dyDescent="0.3">
      <c r="A2445">
        <v>2524</v>
      </c>
      <c r="B2445" t="s">
        <v>2043</v>
      </c>
      <c r="C2445" t="s">
        <v>1202</v>
      </c>
      <c r="D2445" t="s">
        <v>159</v>
      </c>
      <c r="E2445" t="s">
        <v>159</v>
      </c>
      <c r="F2445">
        <v>6055</v>
      </c>
      <c r="G2445" t="s">
        <v>702</v>
      </c>
      <c r="I2445" t="s">
        <v>1205</v>
      </c>
      <c r="J2445">
        <v>1025.0085419</v>
      </c>
    </row>
    <row r="2446" spans="1:10" x14ac:dyDescent="0.3">
      <c r="A2446">
        <v>2524</v>
      </c>
      <c r="B2446" t="s">
        <v>2043</v>
      </c>
      <c r="C2446" t="s">
        <v>1202</v>
      </c>
      <c r="D2446" t="s">
        <v>159</v>
      </c>
      <c r="E2446" t="s">
        <v>159</v>
      </c>
      <c r="F2446">
        <v>6055</v>
      </c>
      <c r="G2446" t="s">
        <v>703</v>
      </c>
      <c r="I2446" t="s">
        <v>1205</v>
      </c>
      <c r="J2446">
        <v>251.6488037</v>
      </c>
    </row>
    <row r="2447" spans="1:10" x14ac:dyDescent="0.3">
      <c r="A2447">
        <v>2524</v>
      </c>
      <c r="B2447" t="s">
        <v>2043</v>
      </c>
      <c r="C2447" t="s">
        <v>1202</v>
      </c>
      <c r="D2447" t="s">
        <v>159</v>
      </c>
      <c r="E2447" t="s">
        <v>159</v>
      </c>
      <c r="F2447">
        <v>6055</v>
      </c>
      <c r="G2447" t="s">
        <v>701</v>
      </c>
      <c r="I2447" t="s">
        <v>1205</v>
      </c>
      <c r="J2447">
        <v>4615.6073263999997</v>
      </c>
    </row>
    <row r="2448" spans="1:10" x14ac:dyDescent="0.3">
      <c r="A2448">
        <v>2524</v>
      </c>
      <c r="B2448" t="s">
        <v>2043</v>
      </c>
      <c r="C2448" t="s">
        <v>1202</v>
      </c>
      <c r="D2448" t="s">
        <v>159</v>
      </c>
      <c r="E2448" t="s">
        <v>159</v>
      </c>
      <c r="F2448">
        <v>6055</v>
      </c>
      <c r="G2448" t="s">
        <v>700</v>
      </c>
      <c r="I2448" t="s">
        <v>1205</v>
      </c>
      <c r="J2448">
        <v>1319.6217755</v>
      </c>
    </row>
    <row r="2449" spans="1:10" x14ac:dyDescent="0.3">
      <c r="A2449">
        <v>2524</v>
      </c>
      <c r="B2449" t="s">
        <v>2043</v>
      </c>
      <c r="C2449" t="s">
        <v>1202</v>
      </c>
      <c r="D2449" t="s">
        <v>159</v>
      </c>
      <c r="E2449" t="s">
        <v>159</v>
      </c>
      <c r="F2449">
        <v>6055</v>
      </c>
      <c r="G2449" t="s">
        <v>698</v>
      </c>
      <c r="I2449" t="s">
        <v>1205</v>
      </c>
      <c r="J2449">
        <v>2194.2548127499999</v>
      </c>
    </row>
    <row r="2450" spans="1:10" x14ac:dyDescent="0.3">
      <c r="A2450">
        <v>2524</v>
      </c>
      <c r="B2450" t="s">
        <v>2043</v>
      </c>
      <c r="C2450" t="s">
        <v>1202</v>
      </c>
      <c r="D2450" t="s">
        <v>159</v>
      </c>
      <c r="E2450" t="s">
        <v>159</v>
      </c>
      <c r="F2450">
        <v>6055</v>
      </c>
      <c r="G2450" t="s">
        <v>696</v>
      </c>
      <c r="I2450" t="s">
        <v>1205</v>
      </c>
      <c r="J2450">
        <v>9096.1835874000008</v>
      </c>
    </row>
    <row r="2451" spans="1:10" x14ac:dyDescent="0.3">
      <c r="A2451">
        <v>2524</v>
      </c>
      <c r="B2451" t="s">
        <v>2043</v>
      </c>
      <c r="C2451" t="s">
        <v>1202</v>
      </c>
      <c r="D2451" t="s">
        <v>159</v>
      </c>
      <c r="E2451" t="s">
        <v>159</v>
      </c>
      <c r="F2451">
        <v>6055</v>
      </c>
      <c r="G2451" t="s">
        <v>692</v>
      </c>
      <c r="H2451" t="s">
        <v>2044</v>
      </c>
      <c r="I2451" t="s">
        <v>1210</v>
      </c>
      <c r="J2451">
        <v>1365.6550932499999</v>
      </c>
    </row>
    <row r="2452" spans="1:10" x14ac:dyDescent="0.3">
      <c r="A2452">
        <v>2524</v>
      </c>
      <c r="B2452" t="s">
        <v>2043</v>
      </c>
      <c r="C2452" t="s">
        <v>1202</v>
      </c>
      <c r="D2452" t="s">
        <v>159</v>
      </c>
      <c r="E2452" t="s">
        <v>159</v>
      </c>
      <c r="F2452">
        <v>6055</v>
      </c>
      <c r="G2452" t="s">
        <v>691</v>
      </c>
      <c r="H2452" t="s">
        <v>2045</v>
      </c>
      <c r="I2452" t="s">
        <v>1205</v>
      </c>
      <c r="J2452">
        <v>92.066635500000004</v>
      </c>
    </row>
    <row r="2453" spans="1:10" x14ac:dyDescent="0.3">
      <c r="A2453">
        <v>2524</v>
      </c>
      <c r="B2453" t="s">
        <v>2043</v>
      </c>
      <c r="C2453" t="s">
        <v>1202</v>
      </c>
      <c r="D2453" t="s">
        <v>159</v>
      </c>
      <c r="E2453" t="s">
        <v>159</v>
      </c>
      <c r="F2453">
        <v>6055</v>
      </c>
      <c r="G2453" t="s">
        <v>691</v>
      </c>
      <c r="H2453" t="s">
        <v>2046</v>
      </c>
      <c r="I2453" t="s">
        <v>1205</v>
      </c>
      <c r="J2453">
        <v>1528.3061493</v>
      </c>
    </row>
    <row r="2454" spans="1:10" x14ac:dyDescent="0.3">
      <c r="A2454">
        <v>2524</v>
      </c>
      <c r="B2454" t="s">
        <v>2043</v>
      </c>
      <c r="C2454" t="s">
        <v>1202</v>
      </c>
      <c r="D2454" t="s">
        <v>159</v>
      </c>
      <c r="E2454" t="s">
        <v>159</v>
      </c>
      <c r="F2454">
        <v>6055</v>
      </c>
      <c r="G2454" t="s">
        <v>691</v>
      </c>
      <c r="H2454" t="s">
        <v>1980</v>
      </c>
      <c r="I2454" t="s">
        <v>1205</v>
      </c>
      <c r="J2454">
        <v>662.87977560000002</v>
      </c>
    </row>
    <row r="2455" spans="1:10" x14ac:dyDescent="0.3">
      <c r="A2455">
        <v>2528</v>
      </c>
      <c r="B2455" t="s">
        <v>2047</v>
      </c>
      <c r="C2455" t="s">
        <v>1202</v>
      </c>
      <c r="D2455" t="s">
        <v>159</v>
      </c>
      <c r="E2455" t="s">
        <v>159</v>
      </c>
      <c r="F2455">
        <v>5675</v>
      </c>
      <c r="G2455" t="s">
        <v>687</v>
      </c>
      <c r="H2455" t="s">
        <v>2048</v>
      </c>
      <c r="I2455" t="s">
        <v>1205</v>
      </c>
      <c r="J2455">
        <v>6</v>
      </c>
    </row>
    <row r="2456" spans="1:10" x14ac:dyDescent="0.3">
      <c r="A2456">
        <v>2528</v>
      </c>
      <c r="B2456" t="s">
        <v>2047</v>
      </c>
      <c r="C2456" t="s">
        <v>1202</v>
      </c>
      <c r="D2456" t="s">
        <v>159</v>
      </c>
      <c r="E2456" t="s">
        <v>159</v>
      </c>
      <c r="F2456">
        <v>5675</v>
      </c>
      <c r="G2456" t="s">
        <v>698</v>
      </c>
      <c r="I2456" t="s">
        <v>1205</v>
      </c>
      <c r="J2456">
        <v>2450</v>
      </c>
    </row>
    <row r="2457" spans="1:10" x14ac:dyDescent="0.3">
      <c r="A2457">
        <v>2528</v>
      </c>
      <c r="B2457" t="s">
        <v>2047</v>
      </c>
      <c r="C2457" t="s">
        <v>1202</v>
      </c>
      <c r="D2457" t="s">
        <v>159</v>
      </c>
      <c r="E2457" t="s">
        <v>159</v>
      </c>
      <c r="F2457">
        <v>5675</v>
      </c>
      <c r="G2457" t="s">
        <v>700</v>
      </c>
      <c r="I2457" t="s">
        <v>1205</v>
      </c>
      <c r="J2457">
        <v>968</v>
      </c>
    </row>
    <row r="2458" spans="1:10" x14ac:dyDescent="0.3">
      <c r="A2458">
        <v>2528</v>
      </c>
      <c r="B2458" t="s">
        <v>2047</v>
      </c>
      <c r="C2458" t="s">
        <v>1202</v>
      </c>
      <c r="D2458" t="s">
        <v>159</v>
      </c>
      <c r="E2458" t="s">
        <v>159</v>
      </c>
      <c r="F2458">
        <v>5675</v>
      </c>
      <c r="G2458" t="s">
        <v>701</v>
      </c>
      <c r="I2458" t="s">
        <v>1205</v>
      </c>
      <c r="J2458">
        <v>89</v>
      </c>
    </row>
    <row r="2459" spans="1:10" x14ac:dyDescent="0.3">
      <c r="A2459">
        <v>2528</v>
      </c>
      <c r="B2459" t="s">
        <v>2047</v>
      </c>
      <c r="C2459" t="s">
        <v>1202</v>
      </c>
      <c r="D2459" t="s">
        <v>159</v>
      </c>
      <c r="E2459" t="s">
        <v>159</v>
      </c>
      <c r="F2459">
        <v>5675</v>
      </c>
      <c r="G2459" t="s">
        <v>703</v>
      </c>
      <c r="I2459" t="s">
        <v>1205</v>
      </c>
      <c r="J2459">
        <v>399</v>
      </c>
    </row>
    <row r="2460" spans="1:10" x14ac:dyDescent="0.3">
      <c r="A2460">
        <v>2528</v>
      </c>
      <c r="B2460" t="s">
        <v>2047</v>
      </c>
      <c r="C2460" t="s">
        <v>1202</v>
      </c>
      <c r="D2460" t="s">
        <v>159</v>
      </c>
      <c r="E2460" t="s">
        <v>159</v>
      </c>
      <c r="F2460">
        <v>5675</v>
      </c>
      <c r="G2460" t="s">
        <v>702</v>
      </c>
      <c r="H2460" t="s">
        <v>1282</v>
      </c>
      <c r="I2460" t="s">
        <v>1205</v>
      </c>
      <c r="J2460">
        <v>318</v>
      </c>
    </row>
    <row r="2461" spans="1:10" x14ac:dyDescent="0.3">
      <c r="A2461">
        <v>2528</v>
      </c>
      <c r="B2461" t="s">
        <v>2047</v>
      </c>
      <c r="C2461" t="s">
        <v>1202</v>
      </c>
      <c r="D2461" t="s">
        <v>159</v>
      </c>
      <c r="E2461" t="s">
        <v>159</v>
      </c>
      <c r="F2461">
        <v>5675</v>
      </c>
      <c r="G2461" t="s">
        <v>696</v>
      </c>
      <c r="I2461" t="s">
        <v>1205</v>
      </c>
      <c r="J2461">
        <v>5364</v>
      </c>
    </row>
    <row r="2462" spans="1:10" x14ac:dyDescent="0.3">
      <c r="A2462">
        <v>2528</v>
      </c>
      <c r="B2462" t="s">
        <v>2047</v>
      </c>
      <c r="C2462" t="s">
        <v>1202</v>
      </c>
      <c r="D2462" t="s">
        <v>159</v>
      </c>
      <c r="E2462" t="s">
        <v>159</v>
      </c>
      <c r="F2462">
        <v>5675</v>
      </c>
      <c r="G2462" t="s">
        <v>686</v>
      </c>
      <c r="I2462" t="s">
        <v>1205</v>
      </c>
      <c r="J2462">
        <v>853</v>
      </c>
    </row>
    <row r="2463" spans="1:10" x14ac:dyDescent="0.3">
      <c r="A2463">
        <v>2530</v>
      </c>
      <c r="B2463" t="s">
        <v>2049</v>
      </c>
      <c r="C2463" t="s">
        <v>1202</v>
      </c>
      <c r="D2463" t="s">
        <v>159</v>
      </c>
      <c r="E2463" t="s">
        <v>159</v>
      </c>
      <c r="F2463">
        <v>7999</v>
      </c>
      <c r="G2463" t="s">
        <v>696</v>
      </c>
      <c r="I2463" t="s">
        <v>1205</v>
      </c>
      <c r="J2463">
        <v>1608</v>
      </c>
    </row>
    <row r="2464" spans="1:10" x14ac:dyDescent="0.3">
      <c r="A2464">
        <v>2530</v>
      </c>
      <c r="B2464" t="s">
        <v>2049</v>
      </c>
      <c r="C2464" t="s">
        <v>1202</v>
      </c>
      <c r="D2464" t="s">
        <v>159</v>
      </c>
      <c r="E2464" t="s">
        <v>159</v>
      </c>
      <c r="F2464">
        <v>7999</v>
      </c>
      <c r="G2464" t="s">
        <v>698</v>
      </c>
      <c r="I2464" t="s">
        <v>1205</v>
      </c>
      <c r="J2464">
        <v>420</v>
      </c>
    </row>
    <row r="2465" spans="1:10" x14ac:dyDescent="0.3">
      <c r="A2465">
        <v>2530</v>
      </c>
      <c r="B2465" t="s">
        <v>2049</v>
      </c>
      <c r="C2465" t="s">
        <v>1202</v>
      </c>
      <c r="D2465" t="s">
        <v>159</v>
      </c>
      <c r="E2465" t="s">
        <v>159</v>
      </c>
      <c r="F2465">
        <v>7999</v>
      </c>
      <c r="G2465" t="s">
        <v>700</v>
      </c>
      <c r="I2465" t="s">
        <v>1205</v>
      </c>
      <c r="J2465">
        <v>186</v>
      </c>
    </row>
    <row r="2466" spans="1:10" x14ac:dyDescent="0.3">
      <c r="A2466">
        <v>2530</v>
      </c>
      <c r="B2466" t="s">
        <v>2049</v>
      </c>
      <c r="C2466" t="s">
        <v>1202</v>
      </c>
      <c r="D2466" t="s">
        <v>159</v>
      </c>
      <c r="E2466" t="s">
        <v>159</v>
      </c>
      <c r="F2466">
        <v>7999</v>
      </c>
      <c r="G2466" t="s">
        <v>701</v>
      </c>
      <c r="I2466" t="s">
        <v>1205</v>
      </c>
      <c r="J2466">
        <v>0</v>
      </c>
    </row>
    <row r="2467" spans="1:10" x14ac:dyDescent="0.3">
      <c r="A2467">
        <v>2530</v>
      </c>
      <c r="B2467" t="s">
        <v>2049</v>
      </c>
      <c r="C2467" t="s">
        <v>1202</v>
      </c>
      <c r="D2467" t="s">
        <v>159</v>
      </c>
      <c r="E2467" t="s">
        <v>159</v>
      </c>
      <c r="F2467">
        <v>7999</v>
      </c>
      <c r="G2467" t="s">
        <v>702</v>
      </c>
      <c r="I2467" t="s">
        <v>1205</v>
      </c>
      <c r="J2467">
        <v>133</v>
      </c>
    </row>
    <row r="2468" spans="1:10" x14ac:dyDescent="0.3">
      <c r="A2468">
        <v>2530</v>
      </c>
      <c r="B2468" t="s">
        <v>2049</v>
      </c>
      <c r="C2468" t="s">
        <v>1202</v>
      </c>
      <c r="D2468" t="s">
        <v>159</v>
      </c>
      <c r="E2468" t="s">
        <v>159</v>
      </c>
      <c r="F2468">
        <v>7999</v>
      </c>
      <c r="G2468" t="s">
        <v>692</v>
      </c>
      <c r="I2468" t="s">
        <v>1216</v>
      </c>
      <c r="J2468">
        <v>102</v>
      </c>
    </row>
    <row r="2469" spans="1:10" x14ac:dyDescent="0.3">
      <c r="A2469">
        <v>2536</v>
      </c>
      <c r="B2469" t="s">
        <v>2050</v>
      </c>
      <c r="C2469" t="s">
        <v>1202</v>
      </c>
      <c r="D2469" t="s">
        <v>159</v>
      </c>
      <c r="E2469" t="s">
        <v>159</v>
      </c>
      <c r="F2469">
        <v>8005</v>
      </c>
      <c r="G2469" t="s">
        <v>687</v>
      </c>
      <c r="I2469" t="s">
        <v>1205</v>
      </c>
      <c r="J2469">
        <v>27</v>
      </c>
    </row>
    <row r="2470" spans="1:10" x14ac:dyDescent="0.3">
      <c r="A2470">
        <v>2536</v>
      </c>
      <c r="B2470" t="s">
        <v>2050</v>
      </c>
      <c r="C2470" t="s">
        <v>1202</v>
      </c>
      <c r="D2470" t="s">
        <v>159</v>
      </c>
      <c r="E2470" t="s">
        <v>159</v>
      </c>
      <c r="F2470">
        <v>8005</v>
      </c>
      <c r="G2470" t="s">
        <v>686</v>
      </c>
      <c r="I2470" t="s">
        <v>1205</v>
      </c>
      <c r="J2470">
        <v>359</v>
      </c>
    </row>
    <row r="2471" spans="1:10" x14ac:dyDescent="0.3">
      <c r="A2471">
        <v>2536</v>
      </c>
      <c r="B2471" t="s">
        <v>2050</v>
      </c>
      <c r="C2471" t="s">
        <v>1202</v>
      </c>
      <c r="D2471" t="s">
        <v>159</v>
      </c>
      <c r="E2471" t="s">
        <v>159</v>
      </c>
      <c r="F2471">
        <v>8005</v>
      </c>
      <c r="G2471" t="s">
        <v>702</v>
      </c>
      <c r="I2471" t="s">
        <v>1205</v>
      </c>
      <c r="J2471">
        <v>209</v>
      </c>
    </row>
    <row r="2472" spans="1:10" x14ac:dyDescent="0.3">
      <c r="A2472">
        <v>2536</v>
      </c>
      <c r="B2472" t="s">
        <v>2050</v>
      </c>
      <c r="C2472" t="s">
        <v>1202</v>
      </c>
      <c r="D2472" t="s">
        <v>159</v>
      </c>
      <c r="E2472" t="s">
        <v>159</v>
      </c>
      <c r="F2472">
        <v>8005</v>
      </c>
      <c r="G2472" t="s">
        <v>701</v>
      </c>
      <c r="I2472" t="s">
        <v>1205</v>
      </c>
      <c r="J2472">
        <v>55</v>
      </c>
    </row>
    <row r="2473" spans="1:10" x14ac:dyDescent="0.3">
      <c r="A2473">
        <v>2536</v>
      </c>
      <c r="B2473" t="s">
        <v>2050</v>
      </c>
      <c r="C2473" t="s">
        <v>1202</v>
      </c>
      <c r="D2473" t="s">
        <v>159</v>
      </c>
      <c r="E2473" t="s">
        <v>159</v>
      </c>
      <c r="F2473">
        <v>8005</v>
      </c>
      <c r="G2473" t="s">
        <v>700</v>
      </c>
      <c r="I2473" t="s">
        <v>1205</v>
      </c>
      <c r="J2473">
        <v>748</v>
      </c>
    </row>
    <row r="2474" spans="1:10" x14ac:dyDescent="0.3">
      <c r="A2474">
        <v>2536</v>
      </c>
      <c r="B2474" t="s">
        <v>2050</v>
      </c>
      <c r="C2474" t="s">
        <v>1202</v>
      </c>
      <c r="D2474" t="s">
        <v>159</v>
      </c>
      <c r="E2474" t="s">
        <v>159</v>
      </c>
      <c r="F2474">
        <v>8005</v>
      </c>
      <c r="G2474" t="s">
        <v>698</v>
      </c>
      <c r="I2474" t="s">
        <v>1205</v>
      </c>
      <c r="J2474">
        <v>817</v>
      </c>
    </row>
    <row r="2475" spans="1:10" x14ac:dyDescent="0.3">
      <c r="A2475">
        <v>2536</v>
      </c>
      <c r="B2475" t="s">
        <v>2050</v>
      </c>
      <c r="C2475" t="s">
        <v>1202</v>
      </c>
      <c r="D2475" t="s">
        <v>159</v>
      </c>
      <c r="E2475" t="s">
        <v>159</v>
      </c>
      <c r="F2475">
        <v>8005</v>
      </c>
      <c r="G2475" t="s">
        <v>696</v>
      </c>
      <c r="I2475" t="s">
        <v>1205</v>
      </c>
      <c r="J2475">
        <v>817</v>
      </c>
    </row>
    <row r="2476" spans="1:10" x14ac:dyDescent="0.3">
      <c r="A2476">
        <v>2541</v>
      </c>
      <c r="B2476" t="s">
        <v>2051</v>
      </c>
      <c r="C2476" t="s">
        <v>1202</v>
      </c>
      <c r="D2476" t="s">
        <v>159</v>
      </c>
      <c r="E2476" t="s">
        <v>159</v>
      </c>
      <c r="F2476">
        <v>6789</v>
      </c>
      <c r="G2476" t="s">
        <v>705</v>
      </c>
      <c r="I2476" t="s">
        <v>1205</v>
      </c>
      <c r="J2476">
        <v>240</v>
      </c>
    </row>
    <row r="2477" spans="1:10" x14ac:dyDescent="0.3">
      <c r="A2477">
        <v>2541</v>
      </c>
      <c r="B2477" t="s">
        <v>2051</v>
      </c>
      <c r="C2477" t="s">
        <v>1202</v>
      </c>
      <c r="D2477" t="s">
        <v>159</v>
      </c>
      <c r="E2477" t="s">
        <v>159</v>
      </c>
      <c r="F2477">
        <v>6789</v>
      </c>
      <c r="G2477" t="s">
        <v>686</v>
      </c>
      <c r="I2477" t="s">
        <v>1205</v>
      </c>
      <c r="J2477">
        <v>1267</v>
      </c>
    </row>
    <row r="2478" spans="1:10" x14ac:dyDescent="0.3">
      <c r="A2478">
        <v>2541</v>
      </c>
      <c r="B2478" t="s">
        <v>2051</v>
      </c>
      <c r="C2478" t="s">
        <v>1202</v>
      </c>
      <c r="D2478" t="s">
        <v>159</v>
      </c>
      <c r="E2478" t="s">
        <v>159</v>
      </c>
      <c r="F2478">
        <v>6789</v>
      </c>
      <c r="G2478" t="s">
        <v>702</v>
      </c>
      <c r="I2478" t="s">
        <v>1205</v>
      </c>
      <c r="J2478">
        <v>2497</v>
      </c>
    </row>
    <row r="2479" spans="1:10" x14ac:dyDescent="0.3">
      <c r="A2479">
        <v>2541</v>
      </c>
      <c r="B2479" t="s">
        <v>2051</v>
      </c>
      <c r="C2479" t="s">
        <v>1202</v>
      </c>
      <c r="D2479" t="s">
        <v>159</v>
      </c>
      <c r="E2479" t="s">
        <v>159</v>
      </c>
      <c r="F2479">
        <v>6789</v>
      </c>
      <c r="G2479" t="s">
        <v>703</v>
      </c>
      <c r="I2479" t="s">
        <v>1205</v>
      </c>
      <c r="J2479">
        <v>515</v>
      </c>
    </row>
    <row r="2480" spans="1:10" x14ac:dyDescent="0.3">
      <c r="A2480">
        <v>2541</v>
      </c>
      <c r="B2480" t="s">
        <v>2051</v>
      </c>
      <c r="C2480" t="s">
        <v>1202</v>
      </c>
      <c r="D2480" t="s">
        <v>159</v>
      </c>
      <c r="E2480" t="s">
        <v>159</v>
      </c>
      <c r="F2480">
        <v>6789</v>
      </c>
      <c r="G2480" t="s">
        <v>691</v>
      </c>
      <c r="H2480" t="s">
        <v>2052</v>
      </c>
      <c r="I2480" t="s">
        <v>1205</v>
      </c>
      <c r="J2480">
        <v>1818</v>
      </c>
    </row>
    <row r="2481" spans="1:10" x14ac:dyDescent="0.3">
      <c r="A2481">
        <v>2541</v>
      </c>
      <c r="B2481" t="s">
        <v>2051</v>
      </c>
      <c r="C2481" t="s">
        <v>1202</v>
      </c>
      <c r="D2481" t="s">
        <v>159</v>
      </c>
      <c r="E2481" t="s">
        <v>159</v>
      </c>
      <c r="F2481">
        <v>6789</v>
      </c>
      <c r="G2481" t="s">
        <v>698</v>
      </c>
      <c r="I2481" t="s">
        <v>1205</v>
      </c>
      <c r="J2481">
        <v>2943</v>
      </c>
    </row>
    <row r="2482" spans="1:10" x14ac:dyDescent="0.3">
      <c r="A2482">
        <v>2541</v>
      </c>
      <c r="B2482" t="s">
        <v>2051</v>
      </c>
      <c r="C2482" t="s">
        <v>1202</v>
      </c>
      <c r="D2482" t="s">
        <v>159</v>
      </c>
      <c r="E2482" t="s">
        <v>159</v>
      </c>
      <c r="F2482">
        <v>6789</v>
      </c>
      <c r="G2482" t="s">
        <v>696</v>
      </c>
      <c r="I2482" t="s">
        <v>1205</v>
      </c>
      <c r="J2482">
        <v>9151</v>
      </c>
    </row>
    <row r="2483" spans="1:10" x14ac:dyDescent="0.3">
      <c r="A2483">
        <v>2597</v>
      </c>
      <c r="B2483" t="s">
        <v>2053</v>
      </c>
      <c r="C2483" t="s">
        <v>1202</v>
      </c>
      <c r="D2483" t="s">
        <v>1203</v>
      </c>
      <c r="E2483" t="s">
        <v>1204</v>
      </c>
      <c r="F2483">
        <v>8054</v>
      </c>
      <c r="G2483" t="s">
        <v>696</v>
      </c>
      <c r="I2483" t="s">
        <v>1205</v>
      </c>
      <c r="J2483">
        <v>9703</v>
      </c>
    </row>
    <row r="2484" spans="1:10" x14ac:dyDescent="0.3">
      <c r="A2484">
        <v>2597</v>
      </c>
      <c r="B2484" t="s">
        <v>2053</v>
      </c>
      <c r="C2484" t="s">
        <v>1202</v>
      </c>
      <c r="D2484" t="s">
        <v>1203</v>
      </c>
      <c r="E2484" t="s">
        <v>1204</v>
      </c>
      <c r="F2484">
        <v>8054</v>
      </c>
      <c r="G2484" t="s">
        <v>698</v>
      </c>
      <c r="I2484" t="s">
        <v>1205</v>
      </c>
      <c r="J2484">
        <v>1819</v>
      </c>
    </row>
    <row r="2485" spans="1:10" x14ac:dyDescent="0.3">
      <c r="A2485">
        <v>2597</v>
      </c>
      <c r="B2485" t="s">
        <v>2053</v>
      </c>
      <c r="C2485" t="s">
        <v>1202</v>
      </c>
      <c r="D2485" t="s">
        <v>1203</v>
      </c>
      <c r="E2485" t="s">
        <v>1204</v>
      </c>
      <c r="F2485">
        <v>8054</v>
      </c>
      <c r="G2485" t="s">
        <v>700</v>
      </c>
      <c r="I2485" t="s">
        <v>1205</v>
      </c>
      <c r="J2485">
        <v>1005</v>
      </c>
    </row>
    <row r="2486" spans="1:10" x14ac:dyDescent="0.3">
      <c r="A2486">
        <v>2597</v>
      </c>
      <c r="B2486" t="s">
        <v>2053</v>
      </c>
      <c r="C2486" t="s">
        <v>1202</v>
      </c>
      <c r="D2486" t="s">
        <v>1203</v>
      </c>
      <c r="E2486" t="s">
        <v>1204</v>
      </c>
      <c r="F2486">
        <v>8054</v>
      </c>
      <c r="G2486" t="s">
        <v>701</v>
      </c>
      <c r="I2486" t="s">
        <v>1205</v>
      </c>
      <c r="J2486">
        <v>921</v>
      </c>
    </row>
    <row r="2487" spans="1:10" x14ac:dyDescent="0.3">
      <c r="A2487">
        <v>2597</v>
      </c>
      <c r="B2487" t="s">
        <v>2053</v>
      </c>
      <c r="C2487" t="s">
        <v>1202</v>
      </c>
      <c r="D2487" t="s">
        <v>1203</v>
      </c>
      <c r="E2487" t="s">
        <v>1204</v>
      </c>
      <c r="F2487">
        <v>8054</v>
      </c>
      <c r="G2487" t="s">
        <v>703</v>
      </c>
      <c r="I2487" t="s">
        <v>1205</v>
      </c>
      <c r="J2487">
        <v>1254</v>
      </c>
    </row>
    <row r="2488" spans="1:10" x14ac:dyDescent="0.3">
      <c r="A2488">
        <v>2597</v>
      </c>
      <c r="B2488" t="s">
        <v>2053</v>
      </c>
      <c r="C2488" t="s">
        <v>1202</v>
      </c>
      <c r="D2488" t="s">
        <v>1203</v>
      </c>
      <c r="E2488" t="s">
        <v>1204</v>
      </c>
      <c r="F2488">
        <v>8054</v>
      </c>
      <c r="G2488" t="s">
        <v>702</v>
      </c>
      <c r="I2488" t="s">
        <v>1205</v>
      </c>
      <c r="J2488">
        <v>2165</v>
      </c>
    </row>
    <row r="2489" spans="1:10" x14ac:dyDescent="0.3">
      <c r="A2489">
        <v>2597</v>
      </c>
      <c r="B2489" t="s">
        <v>2053</v>
      </c>
      <c r="C2489" t="s">
        <v>1202</v>
      </c>
      <c r="D2489" t="s">
        <v>1203</v>
      </c>
      <c r="E2489" t="s">
        <v>1204</v>
      </c>
      <c r="F2489">
        <v>8054</v>
      </c>
      <c r="G2489" t="s">
        <v>691</v>
      </c>
      <c r="I2489" t="s">
        <v>1205</v>
      </c>
      <c r="J2489">
        <v>73</v>
      </c>
    </row>
    <row r="2490" spans="1:10" x14ac:dyDescent="0.3">
      <c r="A2490">
        <v>2597</v>
      </c>
      <c r="B2490" t="s">
        <v>2053</v>
      </c>
      <c r="C2490" t="s">
        <v>1202</v>
      </c>
      <c r="D2490" t="s">
        <v>1203</v>
      </c>
      <c r="E2490" t="s">
        <v>1204</v>
      </c>
      <c r="F2490">
        <v>8054</v>
      </c>
      <c r="G2490" t="s">
        <v>686</v>
      </c>
      <c r="I2490" t="s">
        <v>1205</v>
      </c>
      <c r="J2490">
        <v>1355</v>
      </c>
    </row>
    <row r="2491" spans="1:10" x14ac:dyDescent="0.3">
      <c r="A2491">
        <v>2602</v>
      </c>
      <c r="B2491" t="s">
        <v>2054</v>
      </c>
      <c r="C2491" t="s">
        <v>1202</v>
      </c>
      <c r="D2491" t="s">
        <v>159</v>
      </c>
      <c r="E2491" t="s">
        <v>159</v>
      </c>
      <c r="F2491">
        <v>5701</v>
      </c>
      <c r="G2491" t="s">
        <v>698</v>
      </c>
      <c r="I2491" t="s">
        <v>1205</v>
      </c>
      <c r="J2491">
        <v>2274.0458968500002</v>
      </c>
    </row>
    <row r="2492" spans="1:10" x14ac:dyDescent="0.3">
      <c r="A2492">
        <v>2602</v>
      </c>
      <c r="B2492" t="s">
        <v>2054</v>
      </c>
      <c r="C2492" t="s">
        <v>1202</v>
      </c>
      <c r="D2492" t="s">
        <v>159</v>
      </c>
      <c r="E2492" t="s">
        <v>159</v>
      </c>
      <c r="F2492">
        <v>5701</v>
      </c>
      <c r="G2492" t="s">
        <v>700</v>
      </c>
      <c r="I2492" t="s">
        <v>1205</v>
      </c>
      <c r="J2492">
        <v>1049.5596447</v>
      </c>
    </row>
    <row r="2493" spans="1:10" x14ac:dyDescent="0.3">
      <c r="A2493">
        <v>2602</v>
      </c>
      <c r="B2493" t="s">
        <v>2054</v>
      </c>
      <c r="C2493" t="s">
        <v>1202</v>
      </c>
      <c r="D2493" t="s">
        <v>159</v>
      </c>
      <c r="E2493" t="s">
        <v>159</v>
      </c>
      <c r="F2493">
        <v>5701</v>
      </c>
      <c r="G2493" t="s">
        <v>701</v>
      </c>
      <c r="I2493" t="s">
        <v>1205</v>
      </c>
      <c r="J2493">
        <v>122.75551400000001</v>
      </c>
    </row>
    <row r="2494" spans="1:10" x14ac:dyDescent="0.3">
      <c r="A2494">
        <v>2602</v>
      </c>
      <c r="B2494" t="s">
        <v>2054</v>
      </c>
      <c r="C2494" t="s">
        <v>1202</v>
      </c>
      <c r="D2494" t="s">
        <v>159</v>
      </c>
      <c r="E2494" t="s">
        <v>159</v>
      </c>
      <c r="F2494">
        <v>5701</v>
      </c>
      <c r="G2494" t="s">
        <v>702</v>
      </c>
      <c r="I2494" t="s">
        <v>1205</v>
      </c>
      <c r="J2494">
        <v>2580.9346818499998</v>
      </c>
    </row>
    <row r="2495" spans="1:10" x14ac:dyDescent="0.3">
      <c r="A2495">
        <v>2602</v>
      </c>
      <c r="B2495" t="s">
        <v>2054</v>
      </c>
      <c r="C2495" t="s">
        <v>1202</v>
      </c>
      <c r="D2495" t="s">
        <v>159</v>
      </c>
      <c r="E2495" t="s">
        <v>159</v>
      </c>
      <c r="F2495">
        <v>5701</v>
      </c>
      <c r="G2495" t="s">
        <v>684</v>
      </c>
      <c r="I2495" t="s">
        <v>1205</v>
      </c>
      <c r="J2495">
        <v>616.84645784999998</v>
      </c>
    </row>
    <row r="2496" spans="1:10" x14ac:dyDescent="0.3">
      <c r="A2496">
        <v>2602</v>
      </c>
      <c r="B2496" t="s">
        <v>2054</v>
      </c>
      <c r="C2496" t="s">
        <v>1202</v>
      </c>
      <c r="D2496" t="s">
        <v>159</v>
      </c>
      <c r="E2496" t="s">
        <v>159</v>
      </c>
      <c r="F2496">
        <v>5701</v>
      </c>
      <c r="G2496" t="s">
        <v>686</v>
      </c>
      <c r="H2496" t="s">
        <v>2055</v>
      </c>
      <c r="I2496" t="s">
        <v>1205</v>
      </c>
      <c r="J2496">
        <v>1227.5551399999999</v>
      </c>
    </row>
    <row r="2497" spans="1:10" x14ac:dyDescent="0.3">
      <c r="A2497">
        <v>2602</v>
      </c>
      <c r="B2497" t="s">
        <v>2054</v>
      </c>
      <c r="C2497" t="s">
        <v>1202</v>
      </c>
      <c r="D2497" t="s">
        <v>159</v>
      </c>
      <c r="E2497" t="s">
        <v>159</v>
      </c>
      <c r="F2497">
        <v>5701</v>
      </c>
      <c r="G2497" t="s">
        <v>691</v>
      </c>
      <c r="H2497" t="s">
        <v>2056</v>
      </c>
      <c r="I2497" t="s">
        <v>1205</v>
      </c>
      <c r="J2497">
        <v>273.13101864999999</v>
      </c>
    </row>
    <row r="2498" spans="1:10" x14ac:dyDescent="0.3">
      <c r="A2498">
        <v>2602</v>
      </c>
      <c r="B2498" t="s">
        <v>2054</v>
      </c>
      <c r="C2498" t="s">
        <v>1202</v>
      </c>
      <c r="D2498" t="s">
        <v>159</v>
      </c>
      <c r="E2498" t="s">
        <v>159</v>
      </c>
      <c r="F2498">
        <v>5701</v>
      </c>
      <c r="G2498" t="s">
        <v>691</v>
      </c>
      <c r="H2498" t="s">
        <v>1243</v>
      </c>
      <c r="I2498" t="s">
        <v>1205</v>
      </c>
      <c r="J2498">
        <v>73.6533084</v>
      </c>
    </row>
    <row r="2499" spans="1:10" x14ac:dyDescent="0.3">
      <c r="A2499">
        <v>2602</v>
      </c>
      <c r="B2499" t="s">
        <v>2054</v>
      </c>
      <c r="C2499" t="s">
        <v>1202</v>
      </c>
      <c r="D2499" t="s">
        <v>159</v>
      </c>
      <c r="E2499" t="s">
        <v>159</v>
      </c>
      <c r="F2499">
        <v>5701</v>
      </c>
      <c r="G2499" t="s">
        <v>696</v>
      </c>
      <c r="I2499" t="s">
        <v>1205</v>
      </c>
      <c r="J2499">
        <v>6552.0755597500001</v>
      </c>
    </row>
    <row r="2500" spans="1:10" x14ac:dyDescent="0.3">
      <c r="A2500">
        <v>2602</v>
      </c>
      <c r="B2500" t="s">
        <v>2054</v>
      </c>
      <c r="C2500" t="s">
        <v>1202</v>
      </c>
      <c r="D2500" t="s">
        <v>159</v>
      </c>
      <c r="E2500" t="s">
        <v>159</v>
      </c>
      <c r="F2500">
        <v>5701</v>
      </c>
      <c r="G2500" t="s">
        <v>691</v>
      </c>
      <c r="H2500" t="s">
        <v>2057</v>
      </c>
      <c r="I2500" t="s">
        <v>1205</v>
      </c>
      <c r="J2500">
        <v>67.515532699999994</v>
      </c>
    </row>
    <row r="2501" spans="1:10" x14ac:dyDescent="0.3">
      <c r="A2501">
        <v>2603</v>
      </c>
      <c r="B2501" t="s">
        <v>2058</v>
      </c>
      <c r="C2501" t="s">
        <v>1202</v>
      </c>
      <c r="D2501" t="s">
        <v>1203</v>
      </c>
      <c r="E2501" t="s">
        <v>1204</v>
      </c>
      <c r="F2501">
        <v>6625</v>
      </c>
      <c r="G2501" t="s">
        <v>696</v>
      </c>
      <c r="I2501" t="s">
        <v>1205</v>
      </c>
      <c r="J2501">
        <v>7550</v>
      </c>
    </row>
    <row r="2502" spans="1:10" x14ac:dyDescent="0.3">
      <c r="A2502">
        <v>2603</v>
      </c>
      <c r="B2502" t="s">
        <v>2058</v>
      </c>
      <c r="C2502" t="s">
        <v>1202</v>
      </c>
      <c r="D2502" t="s">
        <v>1203</v>
      </c>
      <c r="E2502" t="s">
        <v>1204</v>
      </c>
      <c r="F2502">
        <v>6625</v>
      </c>
      <c r="G2502" t="s">
        <v>692</v>
      </c>
      <c r="H2502" t="s">
        <v>2059</v>
      </c>
      <c r="I2502" t="s">
        <v>1210</v>
      </c>
      <c r="J2502">
        <v>62</v>
      </c>
    </row>
    <row r="2503" spans="1:10" x14ac:dyDescent="0.3">
      <c r="A2503">
        <v>2603</v>
      </c>
      <c r="B2503" t="s">
        <v>2058</v>
      </c>
      <c r="C2503" t="s">
        <v>1202</v>
      </c>
      <c r="D2503" t="s">
        <v>1203</v>
      </c>
      <c r="E2503" t="s">
        <v>1204</v>
      </c>
      <c r="F2503">
        <v>6625</v>
      </c>
      <c r="G2503" t="s">
        <v>691</v>
      </c>
      <c r="H2503" t="s">
        <v>2059</v>
      </c>
      <c r="I2503" t="s">
        <v>1205</v>
      </c>
      <c r="J2503">
        <v>163</v>
      </c>
    </row>
    <row r="2504" spans="1:10" x14ac:dyDescent="0.3">
      <c r="A2504">
        <v>2603</v>
      </c>
      <c r="B2504" t="s">
        <v>2058</v>
      </c>
      <c r="C2504" t="s">
        <v>1202</v>
      </c>
      <c r="D2504" t="s">
        <v>1203</v>
      </c>
      <c r="E2504" t="s">
        <v>1204</v>
      </c>
      <c r="F2504">
        <v>6625</v>
      </c>
      <c r="G2504" t="s">
        <v>692</v>
      </c>
      <c r="H2504" t="s">
        <v>2060</v>
      </c>
      <c r="I2504" t="s">
        <v>1210</v>
      </c>
      <c r="J2504">
        <v>712</v>
      </c>
    </row>
    <row r="2505" spans="1:10" x14ac:dyDescent="0.3">
      <c r="A2505">
        <v>2603</v>
      </c>
      <c r="B2505" t="s">
        <v>2058</v>
      </c>
      <c r="C2505" t="s">
        <v>1202</v>
      </c>
      <c r="D2505" t="s">
        <v>1203</v>
      </c>
      <c r="E2505" t="s">
        <v>1204</v>
      </c>
      <c r="F2505">
        <v>6625</v>
      </c>
      <c r="G2505" t="s">
        <v>691</v>
      </c>
      <c r="H2505" t="s">
        <v>687</v>
      </c>
      <c r="I2505" t="s">
        <v>1205</v>
      </c>
      <c r="J2505">
        <v>14</v>
      </c>
    </row>
    <row r="2506" spans="1:10" x14ac:dyDescent="0.3">
      <c r="A2506">
        <v>2603</v>
      </c>
      <c r="B2506" t="s">
        <v>2058</v>
      </c>
      <c r="C2506" t="s">
        <v>1202</v>
      </c>
      <c r="D2506" t="s">
        <v>1203</v>
      </c>
      <c r="E2506" t="s">
        <v>1204</v>
      </c>
      <c r="F2506">
        <v>6625</v>
      </c>
      <c r="G2506" t="s">
        <v>702</v>
      </c>
      <c r="I2506" t="s">
        <v>1205</v>
      </c>
      <c r="J2506">
        <v>1275</v>
      </c>
    </row>
    <row r="2507" spans="1:10" x14ac:dyDescent="0.3">
      <c r="A2507">
        <v>2603</v>
      </c>
      <c r="B2507" t="s">
        <v>2058</v>
      </c>
      <c r="C2507" t="s">
        <v>1202</v>
      </c>
      <c r="D2507" t="s">
        <v>1203</v>
      </c>
      <c r="E2507" t="s">
        <v>1204</v>
      </c>
      <c r="F2507">
        <v>6625</v>
      </c>
      <c r="G2507" t="s">
        <v>691</v>
      </c>
      <c r="H2507" t="s">
        <v>1404</v>
      </c>
      <c r="I2507" t="s">
        <v>1205</v>
      </c>
      <c r="J2507">
        <v>2330</v>
      </c>
    </row>
    <row r="2508" spans="1:10" x14ac:dyDescent="0.3">
      <c r="A2508">
        <v>2603</v>
      </c>
      <c r="B2508" t="s">
        <v>2058</v>
      </c>
      <c r="C2508" t="s">
        <v>1202</v>
      </c>
      <c r="D2508" t="s">
        <v>1203</v>
      </c>
      <c r="E2508" t="s">
        <v>1204</v>
      </c>
      <c r="F2508">
        <v>6625</v>
      </c>
      <c r="G2508" t="s">
        <v>698</v>
      </c>
      <c r="I2508" t="s">
        <v>1205</v>
      </c>
      <c r="J2508">
        <v>1906</v>
      </c>
    </row>
    <row r="2509" spans="1:10" x14ac:dyDescent="0.3">
      <c r="A2509">
        <v>2603</v>
      </c>
      <c r="B2509" t="s">
        <v>2058</v>
      </c>
      <c r="C2509" t="s">
        <v>1202</v>
      </c>
      <c r="D2509" t="s">
        <v>1203</v>
      </c>
      <c r="E2509" t="s">
        <v>1204</v>
      </c>
      <c r="F2509">
        <v>6625</v>
      </c>
      <c r="G2509" t="s">
        <v>692</v>
      </c>
      <c r="H2509" t="s">
        <v>2061</v>
      </c>
      <c r="I2509" t="s">
        <v>1210</v>
      </c>
      <c r="J2509">
        <v>2178</v>
      </c>
    </row>
    <row r="2510" spans="1:10" x14ac:dyDescent="0.3">
      <c r="A2510">
        <v>2603</v>
      </c>
      <c r="B2510" t="s">
        <v>2058</v>
      </c>
      <c r="C2510" t="s">
        <v>1202</v>
      </c>
      <c r="D2510" t="s">
        <v>1203</v>
      </c>
      <c r="E2510" t="s">
        <v>1204</v>
      </c>
      <c r="F2510">
        <v>6625</v>
      </c>
      <c r="G2510" t="s">
        <v>692</v>
      </c>
      <c r="H2510" t="s">
        <v>2062</v>
      </c>
      <c r="I2510" t="s">
        <v>1210</v>
      </c>
      <c r="J2510">
        <v>0</v>
      </c>
    </row>
    <row r="2511" spans="1:10" x14ac:dyDescent="0.3">
      <c r="A2511">
        <v>2604</v>
      </c>
      <c r="B2511" t="s">
        <v>2063</v>
      </c>
      <c r="C2511" t="s">
        <v>1202</v>
      </c>
      <c r="D2511" t="s">
        <v>1203</v>
      </c>
      <c r="E2511" t="s">
        <v>1204</v>
      </c>
      <c r="F2511">
        <v>5652</v>
      </c>
      <c r="G2511" t="s">
        <v>684</v>
      </c>
      <c r="I2511" t="s">
        <v>1205</v>
      </c>
      <c r="J2511">
        <v>9893</v>
      </c>
    </row>
    <row r="2512" spans="1:10" x14ac:dyDescent="0.3">
      <c r="A2512">
        <v>2604</v>
      </c>
      <c r="B2512" t="s">
        <v>2063</v>
      </c>
      <c r="C2512" t="s">
        <v>1202</v>
      </c>
      <c r="D2512" t="s">
        <v>1203</v>
      </c>
      <c r="E2512" t="s">
        <v>1204</v>
      </c>
      <c r="F2512">
        <v>5652</v>
      </c>
      <c r="G2512" t="s">
        <v>703</v>
      </c>
      <c r="I2512" t="s">
        <v>1205</v>
      </c>
      <c r="J2512">
        <v>122</v>
      </c>
    </row>
    <row r="2513" spans="1:10" x14ac:dyDescent="0.3">
      <c r="A2513">
        <v>2604</v>
      </c>
      <c r="B2513" t="s">
        <v>2063</v>
      </c>
      <c r="C2513" t="s">
        <v>1202</v>
      </c>
      <c r="D2513" t="s">
        <v>1203</v>
      </c>
      <c r="E2513" t="s">
        <v>1204</v>
      </c>
      <c r="F2513">
        <v>5652</v>
      </c>
      <c r="G2513" t="s">
        <v>700</v>
      </c>
      <c r="I2513" t="s">
        <v>1205</v>
      </c>
      <c r="J2513">
        <v>1440</v>
      </c>
    </row>
    <row r="2514" spans="1:10" x14ac:dyDescent="0.3">
      <c r="A2514">
        <v>2604</v>
      </c>
      <c r="B2514" t="s">
        <v>2063</v>
      </c>
      <c r="C2514" t="s">
        <v>1202</v>
      </c>
      <c r="D2514" t="s">
        <v>1203</v>
      </c>
      <c r="E2514" t="s">
        <v>1204</v>
      </c>
      <c r="F2514">
        <v>5652</v>
      </c>
      <c r="G2514" t="s">
        <v>698</v>
      </c>
      <c r="I2514" t="s">
        <v>1205</v>
      </c>
      <c r="J2514">
        <v>345</v>
      </c>
    </row>
    <row r="2515" spans="1:10" x14ac:dyDescent="0.3">
      <c r="A2515">
        <v>2604</v>
      </c>
      <c r="B2515" t="s">
        <v>2063</v>
      </c>
      <c r="C2515" t="s">
        <v>1202</v>
      </c>
      <c r="D2515" t="s">
        <v>1203</v>
      </c>
      <c r="E2515" t="s">
        <v>1204</v>
      </c>
      <c r="F2515">
        <v>5652</v>
      </c>
      <c r="G2515" t="s">
        <v>1497</v>
      </c>
      <c r="H2515" t="s">
        <v>2064</v>
      </c>
      <c r="I2515" t="s">
        <v>1205</v>
      </c>
      <c r="J2515">
        <v>6</v>
      </c>
    </row>
    <row r="2516" spans="1:10" x14ac:dyDescent="0.3">
      <c r="A2516">
        <v>2604</v>
      </c>
      <c r="B2516" t="s">
        <v>2063</v>
      </c>
      <c r="C2516" t="s">
        <v>1202</v>
      </c>
      <c r="D2516" t="s">
        <v>1203</v>
      </c>
      <c r="E2516" t="s">
        <v>1204</v>
      </c>
      <c r="F2516">
        <v>5652</v>
      </c>
      <c r="G2516" t="s">
        <v>687</v>
      </c>
      <c r="H2516" t="s">
        <v>2065</v>
      </c>
      <c r="I2516" t="s">
        <v>1205</v>
      </c>
      <c r="J2516">
        <v>24</v>
      </c>
    </row>
    <row r="2517" spans="1:10" x14ac:dyDescent="0.3">
      <c r="A2517">
        <v>2604</v>
      </c>
      <c r="B2517" t="s">
        <v>2063</v>
      </c>
      <c r="C2517" t="s">
        <v>1202</v>
      </c>
      <c r="D2517" t="s">
        <v>1203</v>
      </c>
      <c r="E2517" t="s">
        <v>1204</v>
      </c>
      <c r="F2517">
        <v>5652</v>
      </c>
      <c r="G2517" t="s">
        <v>696</v>
      </c>
      <c r="I2517" t="s">
        <v>1205</v>
      </c>
      <c r="J2517">
        <v>3861</v>
      </c>
    </row>
    <row r="2518" spans="1:10" x14ac:dyDescent="0.3">
      <c r="A2518">
        <v>2604</v>
      </c>
      <c r="B2518" t="s">
        <v>2063</v>
      </c>
      <c r="C2518" t="s">
        <v>1202</v>
      </c>
      <c r="D2518" t="s">
        <v>1203</v>
      </c>
      <c r="E2518" t="s">
        <v>1204</v>
      </c>
      <c r="F2518">
        <v>5652</v>
      </c>
      <c r="G2518" t="s">
        <v>686</v>
      </c>
      <c r="I2518" t="s">
        <v>1205</v>
      </c>
      <c r="J2518">
        <v>993</v>
      </c>
    </row>
    <row r="2519" spans="1:10" x14ac:dyDescent="0.3">
      <c r="A2519">
        <v>2605</v>
      </c>
      <c r="B2519" t="s">
        <v>2066</v>
      </c>
      <c r="C2519" t="s">
        <v>1202</v>
      </c>
      <c r="D2519" t="s">
        <v>1203</v>
      </c>
      <c r="E2519" t="s">
        <v>1204</v>
      </c>
      <c r="F2519">
        <v>5682</v>
      </c>
      <c r="G2519" t="s">
        <v>696</v>
      </c>
      <c r="I2519" t="s">
        <v>1205</v>
      </c>
      <c r="J2519">
        <v>3759</v>
      </c>
    </row>
    <row r="2520" spans="1:10" x14ac:dyDescent="0.3">
      <c r="A2520">
        <v>2605</v>
      </c>
      <c r="B2520" t="s">
        <v>2066</v>
      </c>
      <c r="C2520" t="s">
        <v>1202</v>
      </c>
      <c r="D2520" t="s">
        <v>1203</v>
      </c>
      <c r="E2520" t="s">
        <v>1204</v>
      </c>
      <c r="F2520">
        <v>5682</v>
      </c>
      <c r="G2520" t="s">
        <v>698</v>
      </c>
      <c r="I2520" t="s">
        <v>1205</v>
      </c>
      <c r="J2520">
        <v>584</v>
      </c>
    </row>
    <row r="2521" spans="1:10" x14ac:dyDescent="0.3">
      <c r="A2521">
        <v>2605</v>
      </c>
      <c r="B2521" t="s">
        <v>2066</v>
      </c>
      <c r="C2521" t="s">
        <v>1202</v>
      </c>
      <c r="D2521" t="s">
        <v>1203</v>
      </c>
      <c r="E2521" t="s">
        <v>1204</v>
      </c>
      <c r="F2521">
        <v>5682</v>
      </c>
      <c r="G2521" t="s">
        <v>700</v>
      </c>
      <c r="I2521" t="s">
        <v>1205</v>
      </c>
      <c r="J2521">
        <v>1165</v>
      </c>
    </row>
    <row r="2522" spans="1:10" x14ac:dyDescent="0.3">
      <c r="A2522">
        <v>2605</v>
      </c>
      <c r="B2522" t="s">
        <v>2066</v>
      </c>
      <c r="C2522" t="s">
        <v>1202</v>
      </c>
      <c r="D2522" t="s">
        <v>1203</v>
      </c>
      <c r="E2522" t="s">
        <v>1204</v>
      </c>
      <c r="F2522">
        <v>5682</v>
      </c>
      <c r="G2522" t="s">
        <v>701</v>
      </c>
      <c r="I2522" t="s">
        <v>1205</v>
      </c>
      <c r="J2522">
        <v>211</v>
      </c>
    </row>
    <row r="2523" spans="1:10" x14ac:dyDescent="0.3">
      <c r="A2523">
        <v>2605</v>
      </c>
      <c r="B2523" t="s">
        <v>2066</v>
      </c>
      <c r="C2523" t="s">
        <v>1202</v>
      </c>
      <c r="D2523" t="s">
        <v>1203</v>
      </c>
      <c r="E2523" t="s">
        <v>1204</v>
      </c>
      <c r="F2523">
        <v>5682</v>
      </c>
      <c r="G2523" t="s">
        <v>703</v>
      </c>
      <c r="I2523" t="s">
        <v>1205</v>
      </c>
      <c r="J2523">
        <v>513</v>
      </c>
    </row>
    <row r="2524" spans="1:10" x14ac:dyDescent="0.3">
      <c r="A2524">
        <v>2605</v>
      </c>
      <c r="B2524" t="s">
        <v>2066</v>
      </c>
      <c r="C2524" t="s">
        <v>1202</v>
      </c>
      <c r="D2524" t="s">
        <v>1203</v>
      </c>
      <c r="E2524" t="s">
        <v>1204</v>
      </c>
      <c r="F2524">
        <v>5682</v>
      </c>
      <c r="G2524" t="s">
        <v>686</v>
      </c>
      <c r="I2524" t="s">
        <v>1205</v>
      </c>
      <c r="J2524">
        <v>8</v>
      </c>
    </row>
    <row r="2525" spans="1:10" x14ac:dyDescent="0.3">
      <c r="A2525">
        <v>2605</v>
      </c>
      <c r="B2525" t="s">
        <v>2066</v>
      </c>
      <c r="C2525" t="s">
        <v>1202</v>
      </c>
      <c r="D2525" t="s">
        <v>1203</v>
      </c>
      <c r="E2525" t="s">
        <v>1204</v>
      </c>
      <c r="F2525">
        <v>5682</v>
      </c>
      <c r="G2525" t="s">
        <v>691</v>
      </c>
      <c r="I2525" t="s">
        <v>1205</v>
      </c>
      <c r="J2525">
        <v>17</v>
      </c>
    </row>
    <row r="2526" spans="1:10" x14ac:dyDescent="0.3">
      <c r="A2526">
        <v>2610</v>
      </c>
      <c r="B2526" t="s">
        <v>2067</v>
      </c>
      <c r="C2526" t="s">
        <v>1202</v>
      </c>
      <c r="D2526" t="s">
        <v>159</v>
      </c>
      <c r="E2526" t="s">
        <v>159</v>
      </c>
      <c r="F2526">
        <v>7858</v>
      </c>
      <c r="G2526" t="s">
        <v>700</v>
      </c>
      <c r="H2526" t="s">
        <v>1404</v>
      </c>
      <c r="I2526" t="s">
        <v>1205</v>
      </c>
      <c r="J2526">
        <v>210.02</v>
      </c>
    </row>
    <row r="2527" spans="1:10" x14ac:dyDescent="0.3">
      <c r="A2527">
        <v>2610</v>
      </c>
      <c r="B2527" t="s">
        <v>2067</v>
      </c>
      <c r="C2527" t="s">
        <v>1202</v>
      </c>
      <c r="D2527" t="s">
        <v>159</v>
      </c>
      <c r="E2527" t="s">
        <v>159</v>
      </c>
      <c r="F2527">
        <v>7858</v>
      </c>
      <c r="G2527" t="s">
        <v>702</v>
      </c>
      <c r="H2527" t="s">
        <v>2068</v>
      </c>
      <c r="I2527" t="s">
        <v>1205</v>
      </c>
      <c r="J2527">
        <v>42.42</v>
      </c>
    </row>
    <row r="2528" spans="1:10" x14ac:dyDescent="0.3">
      <c r="A2528">
        <v>2610</v>
      </c>
      <c r="B2528" t="s">
        <v>2067</v>
      </c>
      <c r="C2528" t="s">
        <v>1202</v>
      </c>
      <c r="D2528" t="s">
        <v>159</v>
      </c>
      <c r="E2528" t="s">
        <v>159</v>
      </c>
      <c r="F2528">
        <v>7858</v>
      </c>
      <c r="G2528" t="s">
        <v>687</v>
      </c>
      <c r="H2528" t="s">
        <v>2069</v>
      </c>
      <c r="I2528" t="s">
        <v>1205</v>
      </c>
      <c r="J2528">
        <v>118.23</v>
      </c>
    </row>
    <row r="2529" spans="1:10" x14ac:dyDescent="0.3">
      <c r="A2529">
        <v>2610</v>
      </c>
      <c r="B2529" t="s">
        <v>2067</v>
      </c>
      <c r="C2529" t="s">
        <v>1202</v>
      </c>
      <c r="D2529" t="s">
        <v>159</v>
      </c>
      <c r="E2529" t="s">
        <v>159</v>
      </c>
      <c r="F2529">
        <v>7858</v>
      </c>
      <c r="G2529" t="s">
        <v>686</v>
      </c>
      <c r="H2529" t="s">
        <v>2070</v>
      </c>
      <c r="I2529" t="s">
        <v>1205</v>
      </c>
      <c r="J2529">
        <v>250.59</v>
      </c>
    </row>
    <row r="2530" spans="1:10" x14ac:dyDescent="0.3">
      <c r="A2530">
        <v>2610</v>
      </c>
      <c r="B2530" t="s">
        <v>2067</v>
      </c>
      <c r="C2530" t="s">
        <v>1202</v>
      </c>
      <c r="D2530" t="s">
        <v>159</v>
      </c>
      <c r="E2530" t="s">
        <v>159</v>
      </c>
      <c r="F2530">
        <v>7858</v>
      </c>
      <c r="G2530" t="s">
        <v>698</v>
      </c>
      <c r="I2530" t="s">
        <v>1205</v>
      </c>
      <c r="J2530">
        <v>481.08</v>
      </c>
    </row>
    <row r="2531" spans="1:10" x14ac:dyDescent="0.3">
      <c r="A2531">
        <v>2610</v>
      </c>
      <c r="B2531" t="s">
        <v>2067</v>
      </c>
      <c r="C2531" t="s">
        <v>1202</v>
      </c>
      <c r="D2531" t="s">
        <v>159</v>
      </c>
      <c r="E2531" t="s">
        <v>159</v>
      </c>
      <c r="F2531">
        <v>7858</v>
      </c>
      <c r="G2531" t="s">
        <v>696</v>
      </c>
      <c r="I2531" t="s">
        <v>1205</v>
      </c>
      <c r="J2531">
        <v>1546.89</v>
      </c>
    </row>
    <row r="2532" spans="1:10" x14ac:dyDescent="0.3">
      <c r="A2532">
        <v>2618</v>
      </c>
      <c r="B2532" t="s">
        <v>2071</v>
      </c>
      <c r="C2532" t="s">
        <v>1202</v>
      </c>
      <c r="D2532" t="s">
        <v>1203</v>
      </c>
      <c r="E2532" t="s">
        <v>1204</v>
      </c>
      <c r="F2532">
        <v>5771</v>
      </c>
      <c r="G2532" t="s">
        <v>696</v>
      </c>
      <c r="I2532" t="s">
        <v>1205</v>
      </c>
      <c r="J2532">
        <v>3020</v>
      </c>
    </row>
    <row r="2533" spans="1:10" x14ac:dyDescent="0.3">
      <c r="A2533">
        <v>2618</v>
      </c>
      <c r="B2533" t="s">
        <v>2071</v>
      </c>
      <c r="C2533" t="s">
        <v>1202</v>
      </c>
      <c r="D2533" t="s">
        <v>1203</v>
      </c>
      <c r="E2533" t="s">
        <v>1204</v>
      </c>
      <c r="F2533">
        <v>5771</v>
      </c>
      <c r="G2533" t="s">
        <v>686</v>
      </c>
      <c r="I2533" t="s">
        <v>1205</v>
      </c>
      <c r="J2533">
        <v>181.6</v>
      </c>
    </row>
    <row r="2534" spans="1:10" x14ac:dyDescent="0.3">
      <c r="A2534">
        <v>2618</v>
      </c>
      <c r="B2534" t="s">
        <v>2071</v>
      </c>
      <c r="C2534" t="s">
        <v>1202</v>
      </c>
      <c r="D2534" t="s">
        <v>1203</v>
      </c>
      <c r="E2534" t="s">
        <v>1204</v>
      </c>
      <c r="F2534">
        <v>5771</v>
      </c>
      <c r="G2534" t="s">
        <v>700</v>
      </c>
      <c r="H2534" t="s">
        <v>1438</v>
      </c>
      <c r="I2534" t="s">
        <v>1205</v>
      </c>
      <c r="J2534">
        <v>425.8</v>
      </c>
    </row>
    <row r="2535" spans="1:10" x14ac:dyDescent="0.3">
      <c r="A2535">
        <v>2626</v>
      </c>
      <c r="B2535" t="s">
        <v>2072</v>
      </c>
      <c r="C2535" t="s">
        <v>1202</v>
      </c>
      <c r="D2535" t="s">
        <v>1203</v>
      </c>
      <c r="E2535" t="s">
        <v>1204</v>
      </c>
      <c r="F2535">
        <v>5794</v>
      </c>
      <c r="G2535" t="s">
        <v>698</v>
      </c>
      <c r="I2535" t="s">
        <v>1205</v>
      </c>
      <c r="J2535">
        <v>46.033317750000002</v>
      </c>
    </row>
    <row r="2536" spans="1:10" x14ac:dyDescent="0.3">
      <c r="A2536">
        <v>2626</v>
      </c>
      <c r="B2536" t="s">
        <v>2072</v>
      </c>
      <c r="C2536" t="s">
        <v>1202</v>
      </c>
      <c r="D2536" t="s">
        <v>1203</v>
      </c>
      <c r="E2536" t="s">
        <v>1204</v>
      </c>
      <c r="F2536">
        <v>5794</v>
      </c>
      <c r="G2536" t="s">
        <v>700</v>
      </c>
      <c r="I2536" t="s">
        <v>1205</v>
      </c>
      <c r="J2536">
        <v>276.1999065</v>
      </c>
    </row>
    <row r="2537" spans="1:10" x14ac:dyDescent="0.3">
      <c r="A2537">
        <v>2626</v>
      </c>
      <c r="B2537" t="s">
        <v>2072</v>
      </c>
      <c r="C2537" t="s">
        <v>1202</v>
      </c>
      <c r="D2537" t="s">
        <v>1203</v>
      </c>
      <c r="E2537" t="s">
        <v>1204</v>
      </c>
      <c r="F2537">
        <v>5794</v>
      </c>
      <c r="G2537" t="s">
        <v>701</v>
      </c>
      <c r="I2537" t="s">
        <v>1205</v>
      </c>
      <c r="J2537">
        <v>27.619990649999998</v>
      </c>
    </row>
    <row r="2538" spans="1:10" x14ac:dyDescent="0.3">
      <c r="A2538">
        <v>2626</v>
      </c>
      <c r="B2538" t="s">
        <v>2072</v>
      </c>
      <c r="C2538" t="s">
        <v>1202</v>
      </c>
      <c r="D2538" t="s">
        <v>1203</v>
      </c>
      <c r="E2538" t="s">
        <v>1204</v>
      </c>
      <c r="F2538">
        <v>5794</v>
      </c>
      <c r="G2538" t="s">
        <v>702</v>
      </c>
      <c r="I2538" t="s">
        <v>1205</v>
      </c>
      <c r="J2538">
        <v>147.3066168</v>
      </c>
    </row>
    <row r="2539" spans="1:10" x14ac:dyDescent="0.3">
      <c r="A2539">
        <v>2626</v>
      </c>
      <c r="B2539" t="s">
        <v>2072</v>
      </c>
      <c r="C2539" t="s">
        <v>1202</v>
      </c>
      <c r="D2539" t="s">
        <v>1203</v>
      </c>
      <c r="E2539" t="s">
        <v>1204</v>
      </c>
      <c r="F2539">
        <v>5794</v>
      </c>
      <c r="G2539" t="s">
        <v>691</v>
      </c>
      <c r="I2539" t="s">
        <v>1205</v>
      </c>
      <c r="J2539">
        <v>3.0688878499999999</v>
      </c>
    </row>
    <row r="2540" spans="1:10" x14ac:dyDescent="0.3">
      <c r="A2540">
        <v>2626</v>
      </c>
      <c r="B2540" t="s">
        <v>2072</v>
      </c>
      <c r="C2540" t="s">
        <v>1202</v>
      </c>
      <c r="D2540" t="s">
        <v>1203</v>
      </c>
      <c r="E2540" t="s">
        <v>1204</v>
      </c>
      <c r="F2540">
        <v>5794</v>
      </c>
      <c r="G2540" t="s">
        <v>696</v>
      </c>
      <c r="I2540" t="s">
        <v>1205</v>
      </c>
      <c r="J2540">
        <v>11594.258297300001</v>
      </c>
    </row>
    <row r="2541" spans="1:10" x14ac:dyDescent="0.3">
      <c r="A2541">
        <v>2629</v>
      </c>
      <c r="B2541" t="s">
        <v>2073</v>
      </c>
      <c r="C2541" t="s">
        <v>1202</v>
      </c>
      <c r="D2541" t="s">
        <v>1203</v>
      </c>
      <c r="E2541" t="s">
        <v>1204</v>
      </c>
      <c r="F2541">
        <v>5786</v>
      </c>
      <c r="G2541" t="s">
        <v>691</v>
      </c>
      <c r="H2541" t="s">
        <v>2074</v>
      </c>
      <c r="I2541" t="s">
        <v>1205</v>
      </c>
      <c r="J2541">
        <v>278</v>
      </c>
    </row>
    <row r="2542" spans="1:10" x14ac:dyDescent="0.3">
      <c r="A2542">
        <v>2629</v>
      </c>
      <c r="B2542" t="s">
        <v>2073</v>
      </c>
      <c r="C2542" t="s">
        <v>1202</v>
      </c>
      <c r="D2542" t="s">
        <v>1203</v>
      </c>
      <c r="E2542" t="s">
        <v>1204</v>
      </c>
      <c r="F2542">
        <v>5786</v>
      </c>
      <c r="G2542" t="s">
        <v>686</v>
      </c>
      <c r="I2542" t="s">
        <v>1205</v>
      </c>
      <c r="J2542">
        <v>120</v>
      </c>
    </row>
    <row r="2543" spans="1:10" x14ac:dyDescent="0.3">
      <c r="A2543">
        <v>2629</v>
      </c>
      <c r="B2543" t="s">
        <v>2073</v>
      </c>
      <c r="C2543" t="s">
        <v>1202</v>
      </c>
      <c r="D2543" t="s">
        <v>1203</v>
      </c>
      <c r="E2543" t="s">
        <v>1204</v>
      </c>
      <c r="F2543">
        <v>5786</v>
      </c>
      <c r="G2543" t="s">
        <v>684</v>
      </c>
      <c r="I2543" t="s">
        <v>1205</v>
      </c>
      <c r="J2543">
        <v>1997</v>
      </c>
    </row>
    <row r="2544" spans="1:10" x14ac:dyDescent="0.3">
      <c r="A2544">
        <v>2629</v>
      </c>
      <c r="B2544" t="s">
        <v>2073</v>
      </c>
      <c r="C2544" t="s">
        <v>1202</v>
      </c>
      <c r="D2544" t="s">
        <v>1203</v>
      </c>
      <c r="E2544" t="s">
        <v>1204</v>
      </c>
      <c r="F2544">
        <v>5786</v>
      </c>
      <c r="G2544" t="s">
        <v>703</v>
      </c>
      <c r="I2544" t="s">
        <v>1205</v>
      </c>
      <c r="J2544">
        <v>563</v>
      </c>
    </row>
    <row r="2545" spans="1:10" x14ac:dyDescent="0.3">
      <c r="A2545">
        <v>2629</v>
      </c>
      <c r="B2545" t="s">
        <v>2073</v>
      </c>
      <c r="C2545" t="s">
        <v>1202</v>
      </c>
      <c r="D2545" t="s">
        <v>1203</v>
      </c>
      <c r="E2545" t="s">
        <v>1204</v>
      </c>
      <c r="F2545">
        <v>5786</v>
      </c>
      <c r="G2545" t="s">
        <v>701</v>
      </c>
      <c r="I2545" t="s">
        <v>1205</v>
      </c>
      <c r="J2545">
        <v>105</v>
      </c>
    </row>
    <row r="2546" spans="1:10" x14ac:dyDescent="0.3">
      <c r="A2546">
        <v>2629</v>
      </c>
      <c r="B2546" t="s">
        <v>2073</v>
      </c>
      <c r="C2546" t="s">
        <v>1202</v>
      </c>
      <c r="D2546" t="s">
        <v>1203</v>
      </c>
      <c r="E2546" t="s">
        <v>1204</v>
      </c>
      <c r="F2546">
        <v>5786</v>
      </c>
      <c r="G2546" t="s">
        <v>700</v>
      </c>
      <c r="I2546" t="s">
        <v>1205</v>
      </c>
      <c r="J2546">
        <v>708</v>
      </c>
    </row>
    <row r="2547" spans="1:10" x14ac:dyDescent="0.3">
      <c r="A2547">
        <v>2629</v>
      </c>
      <c r="B2547" t="s">
        <v>2073</v>
      </c>
      <c r="C2547" t="s">
        <v>1202</v>
      </c>
      <c r="D2547" t="s">
        <v>1203</v>
      </c>
      <c r="E2547" t="s">
        <v>1204</v>
      </c>
      <c r="F2547">
        <v>5786</v>
      </c>
      <c r="G2547" t="s">
        <v>698</v>
      </c>
      <c r="I2547" t="s">
        <v>1205</v>
      </c>
      <c r="J2547">
        <v>399</v>
      </c>
    </row>
    <row r="2548" spans="1:10" x14ac:dyDescent="0.3">
      <c r="A2548">
        <v>2629</v>
      </c>
      <c r="B2548" t="s">
        <v>2073</v>
      </c>
      <c r="C2548" t="s">
        <v>1202</v>
      </c>
      <c r="D2548" t="s">
        <v>1203</v>
      </c>
      <c r="E2548" t="s">
        <v>1204</v>
      </c>
      <c r="F2548">
        <v>5786</v>
      </c>
      <c r="G2548" t="s">
        <v>696</v>
      </c>
      <c r="I2548" t="s">
        <v>1205</v>
      </c>
      <c r="J2548">
        <v>5087</v>
      </c>
    </row>
    <row r="2549" spans="1:10" x14ac:dyDescent="0.3">
      <c r="A2549">
        <v>2631</v>
      </c>
      <c r="B2549" t="s">
        <v>2075</v>
      </c>
      <c r="C2549" t="s">
        <v>1202</v>
      </c>
      <c r="D2549" t="s">
        <v>159</v>
      </c>
      <c r="E2549" t="s">
        <v>159</v>
      </c>
      <c r="F2549">
        <v>5420</v>
      </c>
      <c r="G2549" t="s">
        <v>698</v>
      </c>
      <c r="I2549" t="s">
        <v>1205</v>
      </c>
      <c r="J2549">
        <v>1118</v>
      </c>
    </row>
    <row r="2550" spans="1:10" x14ac:dyDescent="0.3">
      <c r="A2550">
        <v>2631</v>
      </c>
      <c r="B2550" t="s">
        <v>2075</v>
      </c>
      <c r="C2550" t="s">
        <v>1202</v>
      </c>
      <c r="D2550" t="s">
        <v>159</v>
      </c>
      <c r="E2550" t="s">
        <v>159</v>
      </c>
      <c r="F2550">
        <v>5420</v>
      </c>
      <c r="G2550" t="s">
        <v>700</v>
      </c>
      <c r="I2550" t="s">
        <v>1205</v>
      </c>
      <c r="J2550">
        <v>1019</v>
      </c>
    </row>
    <row r="2551" spans="1:10" x14ac:dyDescent="0.3">
      <c r="A2551">
        <v>2631</v>
      </c>
      <c r="B2551" t="s">
        <v>2075</v>
      </c>
      <c r="C2551" t="s">
        <v>1202</v>
      </c>
      <c r="D2551" t="s">
        <v>159</v>
      </c>
      <c r="E2551" t="s">
        <v>159</v>
      </c>
      <c r="F2551">
        <v>5420</v>
      </c>
      <c r="G2551" t="s">
        <v>701</v>
      </c>
      <c r="I2551" t="s">
        <v>1205</v>
      </c>
      <c r="J2551">
        <v>54</v>
      </c>
    </row>
    <row r="2552" spans="1:10" x14ac:dyDescent="0.3">
      <c r="A2552">
        <v>2631</v>
      </c>
      <c r="B2552" t="s">
        <v>2075</v>
      </c>
      <c r="C2552" t="s">
        <v>1202</v>
      </c>
      <c r="D2552" t="s">
        <v>159</v>
      </c>
      <c r="E2552" t="s">
        <v>159</v>
      </c>
      <c r="F2552">
        <v>5420</v>
      </c>
      <c r="G2552" t="s">
        <v>703</v>
      </c>
      <c r="I2552" t="s">
        <v>1205</v>
      </c>
      <c r="J2552">
        <v>475</v>
      </c>
    </row>
    <row r="2553" spans="1:10" x14ac:dyDescent="0.3">
      <c r="A2553">
        <v>2631</v>
      </c>
      <c r="B2553" t="s">
        <v>2075</v>
      </c>
      <c r="C2553" t="s">
        <v>1202</v>
      </c>
      <c r="D2553" t="s">
        <v>159</v>
      </c>
      <c r="E2553" t="s">
        <v>159</v>
      </c>
      <c r="F2553">
        <v>5420</v>
      </c>
      <c r="G2553" t="s">
        <v>702</v>
      </c>
      <c r="I2553" t="s">
        <v>1205</v>
      </c>
      <c r="J2553">
        <v>3750</v>
      </c>
    </row>
    <row r="2554" spans="1:10" x14ac:dyDescent="0.3">
      <c r="A2554">
        <v>2631</v>
      </c>
      <c r="B2554" t="s">
        <v>2075</v>
      </c>
      <c r="C2554" t="s">
        <v>1202</v>
      </c>
      <c r="D2554" t="s">
        <v>159</v>
      </c>
      <c r="E2554" t="s">
        <v>159</v>
      </c>
      <c r="F2554">
        <v>5420</v>
      </c>
      <c r="G2554" t="s">
        <v>684</v>
      </c>
      <c r="I2554" t="s">
        <v>1205</v>
      </c>
      <c r="J2554">
        <v>120</v>
      </c>
    </row>
    <row r="2555" spans="1:10" x14ac:dyDescent="0.3">
      <c r="A2555">
        <v>2631</v>
      </c>
      <c r="B2555" t="s">
        <v>2075</v>
      </c>
      <c r="C2555" t="s">
        <v>1202</v>
      </c>
      <c r="D2555" t="s">
        <v>159</v>
      </c>
      <c r="E2555" t="s">
        <v>159</v>
      </c>
      <c r="F2555">
        <v>5420</v>
      </c>
      <c r="G2555" t="s">
        <v>705</v>
      </c>
      <c r="I2555" t="s">
        <v>1205</v>
      </c>
      <c r="J2555">
        <v>1099</v>
      </c>
    </row>
    <row r="2556" spans="1:10" x14ac:dyDescent="0.3">
      <c r="A2556">
        <v>2631</v>
      </c>
      <c r="B2556" t="s">
        <v>2075</v>
      </c>
      <c r="C2556" t="s">
        <v>1202</v>
      </c>
      <c r="D2556" t="s">
        <v>159</v>
      </c>
      <c r="E2556" t="s">
        <v>159</v>
      </c>
      <c r="F2556">
        <v>5420</v>
      </c>
      <c r="G2556" t="s">
        <v>696</v>
      </c>
      <c r="I2556" t="s">
        <v>1205</v>
      </c>
      <c r="J2556">
        <v>10752</v>
      </c>
    </row>
    <row r="2557" spans="1:10" x14ac:dyDescent="0.3">
      <c r="A2557">
        <v>2631</v>
      </c>
      <c r="B2557" t="s">
        <v>2075</v>
      </c>
      <c r="C2557" t="s">
        <v>1202</v>
      </c>
      <c r="D2557" t="s">
        <v>159</v>
      </c>
      <c r="E2557" t="s">
        <v>159</v>
      </c>
      <c r="F2557">
        <v>5420</v>
      </c>
      <c r="G2557" t="s">
        <v>686</v>
      </c>
      <c r="I2557" t="s">
        <v>1205</v>
      </c>
      <c r="J2557">
        <v>748</v>
      </c>
    </row>
    <row r="2558" spans="1:10" x14ac:dyDescent="0.3">
      <c r="A2558">
        <v>2633</v>
      </c>
      <c r="B2558" t="s">
        <v>2076</v>
      </c>
      <c r="C2558" t="s">
        <v>1202</v>
      </c>
      <c r="D2558" t="s">
        <v>1203</v>
      </c>
      <c r="E2558" t="s">
        <v>1204</v>
      </c>
      <c r="F2558">
        <v>5666</v>
      </c>
      <c r="G2558" t="s">
        <v>700</v>
      </c>
      <c r="H2558" t="s">
        <v>700</v>
      </c>
      <c r="I2558" t="s">
        <v>1205</v>
      </c>
      <c r="J2558">
        <v>5045</v>
      </c>
    </row>
    <row r="2559" spans="1:10" x14ac:dyDescent="0.3">
      <c r="A2559">
        <v>2633</v>
      </c>
      <c r="B2559" t="s">
        <v>2076</v>
      </c>
      <c r="C2559" t="s">
        <v>1202</v>
      </c>
      <c r="D2559" t="s">
        <v>1203</v>
      </c>
      <c r="E2559" t="s">
        <v>1204</v>
      </c>
      <c r="F2559">
        <v>5666</v>
      </c>
      <c r="G2559" t="s">
        <v>701</v>
      </c>
      <c r="H2559" t="s">
        <v>701</v>
      </c>
      <c r="I2559" t="s">
        <v>1205</v>
      </c>
      <c r="J2559">
        <v>1234</v>
      </c>
    </row>
    <row r="2560" spans="1:10" x14ac:dyDescent="0.3">
      <c r="A2560">
        <v>2633</v>
      </c>
      <c r="B2560" t="s">
        <v>2076</v>
      </c>
      <c r="C2560" t="s">
        <v>1202</v>
      </c>
      <c r="D2560" t="s">
        <v>1203</v>
      </c>
      <c r="E2560" t="s">
        <v>1204</v>
      </c>
      <c r="F2560">
        <v>5666</v>
      </c>
      <c r="G2560" t="s">
        <v>686</v>
      </c>
      <c r="H2560" t="s">
        <v>686</v>
      </c>
      <c r="I2560" t="s">
        <v>1205</v>
      </c>
      <c r="J2560">
        <v>249</v>
      </c>
    </row>
    <row r="2561" spans="1:10" x14ac:dyDescent="0.3">
      <c r="A2561">
        <v>2633</v>
      </c>
      <c r="B2561" t="s">
        <v>2076</v>
      </c>
      <c r="C2561" t="s">
        <v>1202</v>
      </c>
      <c r="D2561" t="s">
        <v>1203</v>
      </c>
      <c r="E2561" t="s">
        <v>1204</v>
      </c>
      <c r="F2561">
        <v>5666</v>
      </c>
      <c r="G2561" t="s">
        <v>691</v>
      </c>
      <c r="H2561" t="s">
        <v>687</v>
      </c>
      <c r="I2561" t="s">
        <v>1205</v>
      </c>
      <c r="J2561">
        <v>11</v>
      </c>
    </row>
    <row r="2562" spans="1:10" x14ac:dyDescent="0.3">
      <c r="A2562">
        <v>2633</v>
      </c>
      <c r="B2562" t="s">
        <v>2076</v>
      </c>
      <c r="C2562" t="s">
        <v>1202</v>
      </c>
      <c r="D2562" t="s">
        <v>1203</v>
      </c>
      <c r="E2562" t="s">
        <v>1204</v>
      </c>
      <c r="F2562">
        <v>5666</v>
      </c>
      <c r="G2562" t="s">
        <v>696</v>
      </c>
      <c r="H2562" t="s">
        <v>1662</v>
      </c>
      <c r="I2562" t="s">
        <v>1205</v>
      </c>
      <c r="J2562">
        <v>6</v>
      </c>
    </row>
    <row r="2563" spans="1:10" x14ac:dyDescent="0.3">
      <c r="A2563">
        <v>2633</v>
      </c>
      <c r="B2563" t="s">
        <v>2076</v>
      </c>
      <c r="C2563" t="s">
        <v>1202</v>
      </c>
      <c r="D2563" t="s">
        <v>1203</v>
      </c>
      <c r="E2563" t="s">
        <v>1204</v>
      </c>
      <c r="F2563">
        <v>5666</v>
      </c>
      <c r="G2563" t="s">
        <v>698</v>
      </c>
      <c r="H2563" t="s">
        <v>2077</v>
      </c>
      <c r="I2563" t="s">
        <v>1205</v>
      </c>
      <c r="J2563">
        <v>2</v>
      </c>
    </row>
    <row r="2564" spans="1:10" x14ac:dyDescent="0.3">
      <c r="A2564">
        <v>2635</v>
      </c>
      <c r="B2564" t="s">
        <v>2078</v>
      </c>
      <c r="C2564" t="s">
        <v>1202</v>
      </c>
      <c r="D2564" t="s">
        <v>1203</v>
      </c>
      <c r="E2564" t="s">
        <v>1204</v>
      </c>
      <c r="F2564">
        <v>5692</v>
      </c>
      <c r="G2564" t="s">
        <v>698</v>
      </c>
      <c r="I2564" t="s">
        <v>1205</v>
      </c>
      <c r="J2564">
        <v>1848</v>
      </c>
    </row>
    <row r="2565" spans="1:10" x14ac:dyDescent="0.3">
      <c r="A2565">
        <v>2635</v>
      </c>
      <c r="B2565" t="s">
        <v>2078</v>
      </c>
      <c r="C2565" t="s">
        <v>1202</v>
      </c>
      <c r="D2565" t="s">
        <v>1203</v>
      </c>
      <c r="E2565" t="s">
        <v>1204</v>
      </c>
      <c r="F2565">
        <v>5692</v>
      </c>
      <c r="G2565" t="s">
        <v>687</v>
      </c>
      <c r="H2565" t="s">
        <v>1404</v>
      </c>
      <c r="I2565" t="s">
        <v>1205</v>
      </c>
      <c r="J2565">
        <v>5487</v>
      </c>
    </row>
    <row r="2566" spans="1:10" x14ac:dyDescent="0.3">
      <c r="A2566">
        <v>2635</v>
      </c>
      <c r="B2566" t="s">
        <v>2078</v>
      </c>
      <c r="C2566" t="s">
        <v>1202</v>
      </c>
      <c r="D2566" t="s">
        <v>1203</v>
      </c>
      <c r="E2566" t="s">
        <v>1204</v>
      </c>
      <c r="F2566">
        <v>5692</v>
      </c>
      <c r="G2566" t="s">
        <v>702</v>
      </c>
      <c r="I2566" t="s">
        <v>1205</v>
      </c>
      <c r="J2566">
        <v>1097</v>
      </c>
    </row>
    <row r="2567" spans="1:10" x14ac:dyDescent="0.3">
      <c r="A2567">
        <v>2635</v>
      </c>
      <c r="B2567" t="s">
        <v>2078</v>
      </c>
      <c r="C2567" t="s">
        <v>1202</v>
      </c>
      <c r="D2567" t="s">
        <v>1203</v>
      </c>
      <c r="E2567" t="s">
        <v>1204</v>
      </c>
      <c r="F2567">
        <v>5692</v>
      </c>
      <c r="G2567" t="s">
        <v>686</v>
      </c>
      <c r="I2567" t="s">
        <v>1205</v>
      </c>
      <c r="J2567">
        <v>1225</v>
      </c>
    </row>
    <row r="2568" spans="1:10" x14ac:dyDescent="0.3">
      <c r="A2568">
        <v>2635</v>
      </c>
      <c r="B2568" t="s">
        <v>2078</v>
      </c>
      <c r="C2568" t="s">
        <v>1202</v>
      </c>
      <c r="D2568" t="s">
        <v>1203</v>
      </c>
      <c r="E2568" t="s">
        <v>1204</v>
      </c>
      <c r="F2568">
        <v>5692</v>
      </c>
      <c r="G2568" t="s">
        <v>1497</v>
      </c>
      <c r="I2568" t="s">
        <v>1205</v>
      </c>
      <c r="J2568">
        <v>865</v>
      </c>
    </row>
    <row r="2569" spans="1:10" x14ac:dyDescent="0.3">
      <c r="A2569">
        <v>2635</v>
      </c>
      <c r="B2569" t="s">
        <v>2078</v>
      </c>
      <c r="C2569" t="s">
        <v>1202</v>
      </c>
      <c r="D2569" t="s">
        <v>1203</v>
      </c>
      <c r="E2569" t="s">
        <v>1204</v>
      </c>
      <c r="F2569">
        <v>5692</v>
      </c>
      <c r="G2569" t="s">
        <v>696</v>
      </c>
      <c r="I2569" t="s">
        <v>1205</v>
      </c>
      <c r="J2569">
        <v>12208</v>
      </c>
    </row>
    <row r="2570" spans="1:10" x14ac:dyDescent="0.3">
      <c r="A2570">
        <v>2649</v>
      </c>
      <c r="B2570" t="s">
        <v>2079</v>
      </c>
      <c r="C2570" t="s">
        <v>1202</v>
      </c>
      <c r="D2570" t="s">
        <v>1203</v>
      </c>
      <c r="E2570" t="s">
        <v>1204</v>
      </c>
      <c r="F2570">
        <v>5924</v>
      </c>
      <c r="G2570" t="s">
        <v>690</v>
      </c>
      <c r="I2570" t="s">
        <v>1205</v>
      </c>
      <c r="J2570">
        <v>1834</v>
      </c>
    </row>
    <row r="2571" spans="1:10" x14ac:dyDescent="0.3">
      <c r="A2571">
        <v>2649</v>
      </c>
      <c r="B2571" t="s">
        <v>2079</v>
      </c>
      <c r="C2571" t="s">
        <v>1202</v>
      </c>
      <c r="D2571" t="s">
        <v>1203</v>
      </c>
      <c r="E2571" t="s">
        <v>1204</v>
      </c>
      <c r="F2571">
        <v>5924</v>
      </c>
      <c r="G2571" t="s">
        <v>702</v>
      </c>
      <c r="I2571" t="s">
        <v>1205</v>
      </c>
      <c r="J2571">
        <v>276</v>
      </c>
    </row>
    <row r="2572" spans="1:10" x14ac:dyDescent="0.3">
      <c r="A2572">
        <v>2649</v>
      </c>
      <c r="B2572" t="s">
        <v>2079</v>
      </c>
      <c r="C2572" t="s">
        <v>1202</v>
      </c>
      <c r="D2572" t="s">
        <v>1203</v>
      </c>
      <c r="E2572" t="s">
        <v>1204</v>
      </c>
      <c r="F2572">
        <v>5924</v>
      </c>
      <c r="G2572" t="s">
        <v>703</v>
      </c>
      <c r="I2572" t="s">
        <v>1205</v>
      </c>
      <c r="J2572">
        <v>520</v>
      </c>
    </row>
    <row r="2573" spans="1:10" x14ac:dyDescent="0.3">
      <c r="A2573">
        <v>2649</v>
      </c>
      <c r="B2573" t="s">
        <v>2079</v>
      </c>
      <c r="C2573" t="s">
        <v>1202</v>
      </c>
      <c r="D2573" t="s">
        <v>1203</v>
      </c>
      <c r="E2573" t="s">
        <v>1204</v>
      </c>
      <c r="F2573">
        <v>5924</v>
      </c>
      <c r="G2573" t="s">
        <v>701</v>
      </c>
      <c r="I2573" t="s">
        <v>1205</v>
      </c>
      <c r="J2573">
        <v>1103</v>
      </c>
    </row>
    <row r="2574" spans="1:10" x14ac:dyDescent="0.3">
      <c r="A2574">
        <v>2649</v>
      </c>
      <c r="B2574" t="s">
        <v>2079</v>
      </c>
      <c r="C2574" t="s">
        <v>1202</v>
      </c>
      <c r="D2574" t="s">
        <v>1203</v>
      </c>
      <c r="E2574" t="s">
        <v>1204</v>
      </c>
      <c r="F2574">
        <v>5924</v>
      </c>
      <c r="G2574" t="s">
        <v>698</v>
      </c>
      <c r="I2574" t="s">
        <v>1205</v>
      </c>
      <c r="J2574">
        <v>2775</v>
      </c>
    </row>
    <row r="2575" spans="1:10" x14ac:dyDescent="0.3">
      <c r="A2575">
        <v>2649</v>
      </c>
      <c r="B2575" t="s">
        <v>2079</v>
      </c>
      <c r="C2575" t="s">
        <v>1202</v>
      </c>
      <c r="D2575" t="s">
        <v>1203</v>
      </c>
      <c r="E2575" t="s">
        <v>1204</v>
      </c>
      <c r="F2575">
        <v>5924</v>
      </c>
      <c r="G2575" t="s">
        <v>684</v>
      </c>
      <c r="I2575" t="s">
        <v>1205</v>
      </c>
      <c r="J2575">
        <v>743</v>
      </c>
    </row>
    <row r="2576" spans="1:10" x14ac:dyDescent="0.3">
      <c r="A2576">
        <v>2649</v>
      </c>
      <c r="B2576" t="s">
        <v>2079</v>
      </c>
      <c r="C2576" t="s">
        <v>1202</v>
      </c>
      <c r="D2576" t="s">
        <v>1203</v>
      </c>
      <c r="E2576" t="s">
        <v>1204</v>
      </c>
      <c r="F2576">
        <v>5924</v>
      </c>
      <c r="G2576" t="s">
        <v>686</v>
      </c>
      <c r="H2576" t="s">
        <v>2080</v>
      </c>
      <c r="I2576" t="s">
        <v>1205</v>
      </c>
      <c r="J2576">
        <v>1121</v>
      </c>
    </row>
    <row r="2577" spans="1:10" x14ac:dyDescent="0.3">
      <c r="A2577">
        <v>2649</v>
      </c>
      <c r="B2577" t="s">
        <v>2079</v>
      </c>
      <c r="C2577" t="s">
        <v>1202</v>
      </c>
      <c r="D2577" t="s">
        <v>1203</v>
      </c>
      <c r="E2577" t="s">
        <v>1204</v>
      </c>
      <c r="F2577">
        <v>5924</v>
      </c>
      <c r="G2577" t="s">
        <v>687</v>
      </c>
      <c r="H2577" t="s">
        <v>2081</v>
      </c>
      <c r="I2577" t="s">
        <v>1205</v>
      </c>
      <c r="J2577">
        <v>377</v>
      </c>
    </row>
    <row r="2578" spans="1:10" x14ac:dyDescent="0.3">
      <c r="A2578">
        <v>2649</v>
      </c>
      <c r="B2578" t="s">
        <v>2079</v>
      </c>
      <c r="C2578" t="s">
        <v>1202</v>
      </c>
      <c r="D2578" t="s">
        <v>1203</v>
      </c>
      <c r="E2578" t="s">
        <v>1204</v>
      </c>
      <c r="F2578">
        <v>5924</v>
      </c>
      <c r="G2578" t="s">
        <v>696</v>
      </c>
      <c r="I2578" t="s">
        <v>1205</v>
      </c>
      <c r="J2578">
        <v>7614</v>
      </c>
    </row>
    <row r="2579" spans="1:10" x14ac:dyDescent="0.3">
      <c r="A2579">
        <v>2649</v>
      </c>
      <c r="B2579" t="s">
        <v>2079</v>
      </c>
      <c r="C2579" t="s">
        <v>1202</v>
      </c>
      <c r="D2579" t="s">
        <v>1203</v>
      </c>
      <c r="E2579" t="s">
        <v>1204</v>
      </c>
      <c r="F2579">
        <v>5924</v>
      </c>
      <c r="G2579" t="s">
        <v>687</v>
      </c>
      <c r="H2579" t="s">
        <v>2082</v>
      </c>
      <c r="I2579" t="s">
        <v>1205</v>
      </c>
      <c r="J2579">
        <v>2</v>
      </c>
    </row>
    <row r="2580" spans="1:10" x14ac:dyDescent="0.3">
      <c r="A2580">
        <v>2649</v>
      </c>
      <c r="B2580" t="s">
        <v>2079</v>
      </c>
      <c r="C2580" t="s">
        <v>1202</v>
      </c>
      <c r="D2580" t="s">
        <v>1203</v>
      </c>
      <c r="E2580" t="s">
        <v>1204</v>
      </c>
      <c r="F2580">
        <v>5924</v>
      </c>
      <c r="G2580" t="s">
        <v>687</v>
      </c>
      <c r="H2580" t="s">
        <v>1784</v>
      </c>
      <c r="I2580" t="s">
        <v>1205</v>
      </c>
      <c r="J2580">
        <v>41</v>
      </c>
    </row>
    <row r="2581" spans="1:10" x14ac:dyDescent="0.3">
      <c r="A2581">
        <v>2649</v>
      </c>
      <c r="B2581" t="s">
        <v>2079</v>
      </c>
      <c r="C2581" t="s">
        <v>1202</v>
      </c>
      <c r="D2581" t="s">
        <v>1203</v>
      </c>
      <c r="E2581" t="s">
        <v>1204</v>
      </c>
      <c r="F2581">
        <v>5924</v>
      </c>
      <c r="G2581" t="s">
        <v>687</v>
      </c>
      <c r="H2581" t="s">
        <v>2083</v>
      </c>
      <c r="I2581" t="s">
        <v>1205</v>
      </c>
      <c r="J2581">
        <v>10</v>
      </c>
    </row>
    <row r="2582" spans="1:10" x14ac:dyDescent="0.3">
      <c r="A2582">
        <v>2661</v>
      </c>
      <c r="B2582" t="s">
        <v>2084</v>
      </c>
      <c r="C2582" t="s">
        <v>1202</v>
      </c>
      <c r="D2582" t="s">
        <v>1203</v>
      </c>
      <c r="E2582" t="s">
        <v>1204</v>
      </c>
      <c r="F2582">
        <v>5527</v>
      </c>
      <c r="G2582" t="s">
        <v>687</v>
      </c>
      <c r="H2582" t="s">
        <v>1260</v>
      </c>
      <c r="I2582" t="s">
        <v>1205</v>
      </c>
      <c r="J2582">
        <v>17</v>
      </c>
    </row>
    <row r="2583" spans="1:10" x14ac:dyDescent="0.3">
      <c r="A2583">
        <v>2661</v>
      </c>
      <c r="B2583" t="s">
        <v>2084</v>
      </c>
      <c r="C2583" t="s">
        <v>1202</v>
      </c>
      <c r="D2583" t="s">
        <v>1203</v>
      </c>
      <c r="E2583" t="s">
        <v>1204</v>
      </c>
      <c r="F2583">
        <v>5527</v>
      </c>
      <c r="G2583" t="s">
        <v>686</v>
      </c>
      <c r="I2583" t="s">
        <v>1205</v>
      </c>
      <c r="J2583">
        <v>949</v>
      </c>
    </row>
    <row r="2584" spans="1:10" x14ac:dyDescent="0.3">
      <c r="A2584">
        <v>2661</v>
      </c>
      <c r="B2584" t="s">
        <v>2084</v>
      </c>
      <c r="C2584" t="s">
        <v>1202</v>
      </c>
      <c r="D2584" t="s">
        <v>1203</v>
      </c>
      <c r="E2584" t="s">
        <v>1204</v>
      </c>
      <c r="F2584">
        <v>5527</v>
      </c>
      <c r="G2584" t="s">
        <v>703</v>
      </c>
      <c r="I2584" t="s">
        <v>1205</v>
      </c>
      <c r="J2584">
        <v>658</v>
      </c>
    </row>
    <row r="2585" spans="1:10" x14ac:dyDescent="0.3">
      <c r="A2585">
        <v>2661</v>
      </c>
      <c r="B2585" t="s">
        <v>2084</v>
      </c>
      <c r="C2585" t="s">
        <v>1202</v>
      </c>
      <c r="D2585" t="s">
        <v>1203</v>
      </c>
      <c r="E2585" t="s">
        <v>1204</v>
      </c>
      <c r="F2585">
        <v>5527</v>
      </c>
      <c r="G2585" t="s">
        <v>701</v>
      </c>
      <c r="I2585" t="s">
        <v>1205</v>
      </c>
      <c r="J2585">
        <v>247</v>
      </c>
    </row>
    <row r="2586" spans="1:10" x14ac:dyDescent="0.3">
      <c r="A2586">
        <v>2661</v>
      </c>
      <c r="B2586" t="s">
        <v>2084</v>
      </c>
      <c r="C2586" t="s">
        <v>1202</v>
      </c>
      <c r="D2586" t="s">
        <v>1203</v>
      </c>
      <c r="E2586" t="s">
        <v>1204</v>
      </c>
      <c r="F2586">
        <v>5527</v>
      </c>
      <c r="G2586" t="s">
        <v>700</v>
      </c>
      <c r="I2586" t="s">
        <v>1205</v>
      </c>
      <c r="J2586">
        <v>1687</v>
      </c>
    </row>
    <row r="2587" spans="1:10" x14ac:dyDescent="0.3">
      <c r="A2587">
        <v>2661</v>
      </c>
      <c r="B2587" t="s">
        <v>2084</v>
      </c>
      <c r="C2587" t="s">
        <v>1202</v>
      </c>
      <c r="D2587" t="s">
        <v>1203</v>
      </c>
      <c r="E2587" t="s">
        <v>1204</v>
      </c>
      <c r="F2587">
        <v>5527</v>
      </c>
      <c r="G2587" t="s">
        <v>698</v>
      </c>
      <c r="I2587" t="s">
        <v>1205</v>
      </c>
      <c r="J2587">
        <v>1685</v>
      </c>
    </row>
    <row r="2588" spans="1:10" x14ac:dyDescent="0.3">
      <c r="A2588">
        <v>2661</v>
      </c>
      <c r="B2588" t="s">
        <v>2084</v>
      </c>
      <c r="C2588" t="s">
        <v>1202</v>
      </c>
      <c r="D2588" t="s">
        <v>1203</v>
      </c>
      <c r="E2588" t="s">
        <v>1204</v>
      </c>
      <c r="F2588">
        <v>5527</v>
      </c>
      <c r="G2588" t="s">
        <v>696</v>
      </c>
      <c r="I2588" t="s">
        <v>1205</v>
      </c>
      <c r="J2588">
        <v>11387</v>
      </c>
    </row>
    <row r="2589" spans="1:10" x14ac:dyDescent="0.3">
      <c r="A2589">
        <v>2669</v>
      </c>
      <c r="B2589" t="s">
        <v>2085</v>
      </c>
      <c r="C2589" t="s">
        <v>1202</v>
      </c>
      <c r="D2589" t="s">
        <v>1203</v>
      </c>
      <c r="E2589" t="s">
        <v>1204</v>
      </c>
      <c r="F2589">
        <v>5913</v>
      </c>
      <c r="G2589" t="s">
        <v>696</v>
      </c>
      <c r="I2589" t="s">
        <v>1205</v>
      </c>
      <c r="J2589">
        <v>3329</v>
      </c>
    </row>
    <row r="2590" spans="1:10" x14ac:dyDescent="0.3">
      <c r="A2590">
        <v>2669</v>
      </c>
      <c r="B2590" t="s">
        <v>2085</v>
      </c>
      <c r="C2590" t="s">
        <v>1202</v>
      </c>
      <c r="D2590" t="s">
        <v>1203</v>
      </c>
      <c r="E2590" t="s">
        <v>1204</v>
      </c>
      <c r="F2590">
        <v>5913</v>
      </c>
      <c r="G2590" t="s">
        <v>686</v>
      </c>
      <c r="I2590" t="s">
        <v>1205</v>
      </c>
      <c r="J2590">
        <v>20</v>
      </c>
    </row>
    <row r="2591" spans="1:10" x14ac:dyDescent="0.3">
      <c r="A2591">
        <v>2669</v>
      </c>
      <c r="B2591" t="s">
        <v>2085</v>
      </c>
      <c r="C2591" t="s">
        <v>1202</v>
      </c>
      <c r="D2591" t="s">
        <v>1203</v>
      </c>
      <c r="E2591" t="s">
        <v>1204</v>
      </c>
      <c r="F2591">
        <v>5913</v>
      </c>
      <c r="G2591" t="s">
        <v>687</v>
      </c>
      <c r="I2591" t="s">
        <v>1205</v>
      </c>
      <c r="J2591">
        <v>43</v>
      </c>
    </row>
    <row r="2592" spans="1:10" x14ac:dyDescent="0.3">
      <c r="A2592">
        <v>2669</v>
      </c>
      <c r="B2592" t="s">
        <v>2085</v>
      </c>
      <c r="C2592" t="s">
        <v>1202</v>
      </c>
      <c r="D2592" t="s">
        <v>1203</v>
      </c>
      <c r="E2592" t="s">
        <v>1204</v>
      </c>
      <c r="F2592">
        <v>5913</v>
      </c>
      <c r="G2592" t="s">
        <v>684</v>
      </c>
      <c r="I2592" t="s">
        <v>1205</v>
      </c>
      <c r="J2592">
        <v>729</v>
      </c>
    </row>
    <row r="2593" spans="1:10" x14ac:dyDescent="0.3">
      <c r="A2593">
        <v>2669</v>
      </c>
      <c r="B2593" t="s">
        <v>2085</v>
      </c>
      <c r="C2593" t="s">
        <v>1202</v>
      </c>
      <c r="D2593" t="s">
        <v>1203</v>
      </c>
      <c r="E2593" t="s">
        <v>1204</v>
      </c>
      <c r="F2593">
        <v>5913</v>
      </c>
      <c r="G2593" t="s">
        <v>698</v>
      </c>
      <c r="I2593" t="s">
        <v>1205</v>
      </c>
      <c r="J2593">
        <v>839</v>
      </c>
    </row>
    <row r="2594" spans="1:10" x14ac:dyDescent="0.3">
      <c r="A2594">
        <v>2669</v>
      </c>
      <c r="B2594" t="s">
        <v>2085</v>
      </c>
      <c r="C2594" t="s">
        <v>1202</v>
      </c>
      <c r="D2594" t="s">
        <v>1203</v>
      </c>
      <c r="E2594" t="s">
        <v>1204</v>
      </c>
      <c r="F2594">
        <v>5913</v>
      </c>
      <c r="G2594" t="s">
        <v>703</v>
      </c>
      <c r="H2594" t="s">
        <v>1939</v>
      </c>
      <c r="I2594" t="s">
        <v>1205</v>
      </c>
    </row>
    <row r="2595" spans="1:10" x14ac:dyDescent="0.3">
      <c r="A2595">
        <v>2669</v>
      </c>
      <c r="B2595" t="s">
        <v>2085</v>
      </c>
      <c r="C2595" t="s">
        <v>1202</v>
      </c>
      <c r="D2595" t="s">
        <v>1203</v>
      </c>
      <c r="E2595" t="s">
        <v>1204</v>
      </c>
      <c r="F2595">
        <v>5913</v>
      </c>
      <c r="G2595" t="s">
        <v>702</v>
      </c>
      <c r="I2595" t="s">
        <v>1205</v>
      </c>
      <c r="J2595">
        <v>471</v>
      </c>
    </row>
    <row r="2596" spans="1:10" x14ac:dyDescent="0.3">
      <c r="A2596">
        <v>2669</v>
      </c>
      <c r="B2596" t="s">
        <v>2085</v>
      </c>
      <c r="C2596" t="s">
        <v>1202</v>
      </c>
      <c r="D2596" t="s">
        <v>1203</v>
      </c>
      <c r="E2596" t="s">
        <v>1204</v>
      </c>
      <c r="F2596">
        <v>5913</v>
      </c>
      <c r="G2596" t="s">
        <v>700</v>
      </c>
      <c r="I2596" t="s">
        <v>1205</v>
      </c>
      <c r="J2596">
        <v>1136</v>
      </c>
    </row>
    <row r="2597" spans="1:10" x14ac:dyDescent="0.3">
      <c r="A2597">
        <v>2669</v>
      </c>
      <c r="B2597" t="s">
        <v>2085</v>
      </c>
      <c r="C2597" t="s">
        <v>1202</v>
      </c>
      <c r="D2597" t="s">
        <v>1203</v>
      </c>
      <c r="E2597" t="s">
        <v>1204</v>
      </c>
      <c r="F2597">
        <v>5913</v>
      </c>
      <c r="G2597" t="s">
        <v>701</v>
      </c>
      <c r="H2597" t="s">
        <v>1462</v>
      </c>
      <c r="I2597" t="s">
        <v>1205</v>
      </c>
      <c r="J2597">
        <v>535</v>
      </c>
    </row>
    <row r="2598" spans="1:10" x14ac:dyDescent="0.3">
      <c r="A2598">
        <v>2679</v>
      </c>
      <c r="B2598" t="s">
        <v>2086</v>
      </c>
      <c r="C2598" t="s">
        <v>1202</v>
      </c>
      <c r="D2598" t="s">
        <v>1203</v>
      </c>
      <c r="E2598" t="s">
        <v>1204</v>
      </c>
      <c r="F2598">
        <v>5778</v>
      </c>
      <c r="G2598" t="s">
        <v>700</v>
      </c>
      <c r="I2598" t="s">
        <v>1205</v>
      </c>
      <c r="J2598">
        <v>1839</v>
      </c>
    </row>
    <row r="2599" spans="1:10" x14ac:dyDescent="0.3">
      <c r="A2599">
        <v>2679</v>
      </c>
      <c r="B2599" t="s">
        <v>2086</v>
      </c>
      <c r="C2599" t="s">
        <v>1202</v>
      </c>
      <c r="D2599" t="s">
        <v>1203</v>
      </c>
      <c r="E2599" t="s">
        <v>1204</v>
      </c>
      <c r="F2599">
        <v>5778</v>
      </c>
      <c r="G2599" t="s">
        <v>701</v>
      </c>
      <c r="H2599" t="s">
        <v>2087</v>
      </c>
      <c r="I2599" t="s">
        <v>1210</v>
      </c>
      <c r="J2599">
        <v>1571</v>
      </c>
    </row>
    <row r="2600" spans="1:10" x14ac:dyDescent="0.3">
      <c r="A2600">
        <v>2679</v>
      </c>
      <c r="B2600" t="s">
        <v>2086</v>
      </c>
      <c r="C2600" t="s">
        <v>1202</v>
      </c>
      <c r="D2600" t="s">
        <v>1203</v>
      </c>
      <c r="E2600" t="s">
        <v>1204</v>
      </c>
      <c r="F2600">
        <v>5778</v>
      </c>
      <c r="G2600" t="s">
        <v>686</v>
      </c>
      <c r="I2600" t="s">
        <v>1205</v>
      </c>
      <c r="J2600">
        <v>467</v>
      </c>
    </row>
    <row r="2601" spans="1:10" x14ac:dyDescent="0.3">
      <c r="A2601">
        <v>2679</v>
      </c>
      <c r="B2601" t="s">
        <v>2086</v>
      </c>
      <c r="C2601" t="s">
        <v>1202</v>
      </c>
      <c r="D2601" t="s">
        <v>1203</v>
      </c>
      <c r="E2601" t="s">
        <v>1204</v>
      </c>
      <c r="F2601">
        <v>5778</v>
      </c>
      <c r="G2601" t="s">
        <v>696</v>
      </c>
      <c r="H2601" t="s">
        <v>1393</v>
      </c>
      <c r="I2601" t="s">
        <v>1205</v>
      </c>
      <c r="J2601">
        <v>2594</v>
      </c>
    </row>
    <row r="2602" spans="1:10" x14ac:dyDescent="0.3">
      <c r="A2602">
        <v>2679</v>
      </c>
      <c r="B2602" t="s">
        <v>2086</v>
      </c>
      <c r="C2602" t="s">
        <v>1202</v>
      </c>
      <c r="D2602" t="s">
        <v>1203</v>
      </c>
      <c r="E2602" t="s">
        <v>1204</v>
      </c>
      <c r="F2602">
        <v>5778</v>
      </c>
      <c r="G2602" t="s">
        <v>701</v>
      </c>
      <c r="H2602" t="s">
        <v>2088</v>
      </c>
      <c r="I2602" t="s">
        <v>1205</v>
      </c>
      <c r="J2602">
        <v>9867</v>
      </c>
    </row>
    <row r="2603" spans="1:10" x14ac:dyDescent="0.3">
      <c r="A2603">
        <v>2683</v>
      </c>
      <c r="B2603" t="s">
        <v>871</v>
      </c>
      <c r="C2603" t="s">
        <v>1202</v>
      </c>
      <c r="D2603" t="s">
        <v>1203</v>
      </c>
      <c r="E2603" t="s">
        <v>1204</v>
      </c>
      <c r="F2603">
        <v>6775</v>
      </c>
      <c r="G2603" t="s">
        <v>696</v>
      </c>
      <c r="I2603" t="s">
        <v>1205</v>
      </c>
      <c r="J2603">
        <v>4900</v>
      </c>
    </row>
    <row r="2604" spans="1:10" x14ac:dyDescent="0.3">
      <c r="A2604">
        <v>2683</v>
      </c>
      <c r="B2604" t="s">
        <v>871</v>
      </c>
      <c r="C2604" t="s">
        <v>1202</v>
      </c>
      <c r="D2604" t="s">
        <v>1203</v>
      </c>
      <c r="E2604" t="s">
        <v>1204</v>
      </c>
      <c r="F2604">
        <v>6775</v>
      </c>
      <c r="G2604" t="s">
        <v>698</v>
      </c>
      <c r="I2604" t="s">
        <v>1205</v>
      </c>
      <c r="J2604">
        <v>1102</v>
      </c>
    </row>
    <row r="2605" spans="1:10" x14ac:dyDescent="0.3">
      <c r="A2605">
        <v>2683</v>
      </c>
      <c r="B2605" t="s">
        <v>871</v>
      </c>
      <c r="C2605" t="s">
        <v>1202</v>
      </c>
      <c r="D2605" t="s">
        <v>1203</v>
      </c>
      <c r="E2605" t="s">
        <v>1204</v>
      </c>
      <c r="F2605">
        <v>6775</v>
      </c>
      <c r="G2605" t="s">
        <v>687</v>
      </c>
      <c r="H2605" t="s">
        <v>1404</v>
      </c>
      <c r="I2605" t="s">
        <v>1205</v>
      </c>
      <c r="J2605">
        <v>2858</v>
      </c>
    </row>
    <row r="2606" spans="1:10" x14ac:dyDescent="0.3">
      <c r="A2606">
        <v>2683</v>
      </c>
      <c r="B2606" t="s">
        <v>871</v>
      </c>
      <c r="C2606" t="s">
        <v>1202</v>
      </c>
      <c r="D2606" t="s">
        <v>1203</v>
      </c>
      <c r="E2606" t="s">
        <v>1204</v>
      </c>
      <c r="F2606">
        <v>6775</v>
      </c>
      <c r="G2606" t="s">
        <v>702</v>
      </c>
      <c r="I2606" t="s">
        <v>1205</v>
      </c>
      <c r="J2606">
        <v>1185</v>
      </c>
    </row>
    <row r="2607" spans="1:10" x14ac:dyDescent="0.3">
      <c r="A2607">
        <v>2683</v>
      </c>
      <c r="B2607" t="s">
        <v>871</v>
      </c>
      <c r="C2607" t="s">
        <v>1202</v>
      </c>
      <c r="D2607" t="s">
        <v>1203</v>
      </c>
      <c r="E2607" t="s">
        <v>1204</v>
      </c>
      <c r="F2607">
        <v>6775</v>
      </c>
      <c r="G2607" t="s">
        <v>686</v>
      </c>
      <c r="I2607" t="s">
        <v>1205</v>
      </c>
      <c r="J2607">
        <v>1622</v>
      </c>
    </row>
    <row r="2608" spans="1:10" x14ac:dyDescent="0.3">
      <c r="A2608">
        <v>2690</v>
      </c>
      <c r="B2608" t="s">
        <v>2089</v>
      </c>
      <c r="C2608" t="s">
        <v>1202</v>
      </c>
      <c r="D2608" t="s">
        <v>1203</v>
      </c>
      <c r="E2608" t="s">
        <v>1204</v>
      </c>
      <c r="F2608">
        <v>5764</v>
      </c>
      <c r="G2608" t="s">
        <v>702</v>
      </c>
      <c r="H2608" t="s">
        <v>1723</v>
      </c>
      <c r="I2608" t="s">
        <v>1205</v>
      </c>
      <c r="J2608">
        <v>0</v>
      </c>
    </row>
    <row r="2609" spans="1:10" x14ac:dyDescent="0.3">
      <c r="A2609">
        <v>2690</v>
      </c>
      <c r="B2609" t="s">
        <v>2089</v>
      </c>
      <c r="C2609" t="s">
        <v>1202</v>
      </c>
      <c r="D2609" t="s">
        <v>1203</v>
      </c>
      <c r="E2609" t="s">
        <v>1204</v>
      </c>
      <c r="F2609">
        <v>5764</v>
      </c>
      <c r="G2609" t="s">
        <v>687</v>
      </c>
      <c r="H2609" t="s">
        <v>1302</v>
      </c>
      <c r="I2609" t="s">
        <v>1205</v>
      </c>
      <c r="J2609">
        <v>5</v>
      </c>
    </row>
    <row r="2610" spans="1:10" x14ac:dyDescent="0.3">
      <c r="A2610">
        <v>2690</v>
      </c>
      <c r="B2610" t="s">
        <v>2089</v>
      </c>
      <c r="C2610" t="s">
        <v>1202</v>
      </c>
      <c r="D2610" t="s">
        <v>1203</v>
      </c>
      <c r="E2610" t="s">
        <v>1204</v>
      </c>
      <c r="F2610">
        <v>5764</v>
      </c>
      <c r="G2610" t="s">
        <v>684</v>
      </c>
      <c r="H2610" t="s">
        <v>1844</v>
      </c>
      <c r="I2610" t="s">
        <v>1205</v>
      </c>
      <c r="J2610">
        <v>70</v>
      </c>
    </row>
    <row r="2611" spans="1:10" x14ac:dyDescent="0.3">
      <c r="A2611">
        <v>2690</v>
      </c>
      <c r="B2611" t="s">
        <v>2089</v>
      </c>
      <c r="C2611" t="s">
        <v>1202</v>
      </c>
      <c r="D2611" t="s">
        <v>1203</v>
      </c>
      <c r="E2611" t="s">
        <v>1204</v>
      </c>
      <c r="F2611">
        <v>5764</v>
      </c>
      <c r="G2611" t="s">
        <v>686</v>
      </c>
      <c r="H2611" t="s">
        <v>1482</v>
      </c>
      <c r="I2611" t="s">
        <v>1205</v>
      </c>
      <c r="J2611">
        <v>1889</v>
      </c>
    </row>
    <row r="2612" spans="1:10" x14ac:dyDescent="0.3">
      <c r="A2612">
        <v>2690</v>
      </c>
      <c r="B2612" t="s">
        <v>2089</v>
      </c>
      <c r="C2612" t="s">
        <v>1202</v>
      </c>
      <c r="D2612" t="s">
        <v>1203</v>
      </c>
      <c r="E2612" t="s">
        <v>1204</v>
      </c>
      <c r="F2612">
        <v>5764</v>
      </c>
      <c r="G2612" t="s">
        <v>698</v>
      </c>
      <c r="H2612" t="s">
        <v>698</v>
      </c>
      <c r="I2612" t="s">
        <v>1205</v>
      </c>
      <c r="J2612">
        <v>481</v>
      </c>
    </row>
    <row r="2613" spans="1:10" x14ac:dyDescent="0.3">
      <c r="A2613">
        <v>2690</v>
      </c>
      <c r="B2613" t="s">
        <v>2089</v>
      </c>
      <c r="C2613" t="s">
        <v>1202</v>
      </c>
      <c r="D2613" t="s">
        <v>1203</v>
      </c>
      <c r="E2613" t="s">
        <v>1204</v>
      </c>
      <c r="F2613">
        <v>5764</v>
      </c>
      <c r="G2613" t="s">
        <v>687</v>
      </c>
      <c r="H2613" t="s">
        <v>1499</v>
      </c>
      <c r="I2613" t="s">
        <v>1205</v>
      </c>
      <c r="J2613">
        <v>272</v>
      </c>
    </row>
    <row r="2614" spans="1:10" x14ac:dyDescent="0.3">
      <c r="A2614">
        <v>2690</v>
      </c>
      <c r="B2614" t="s">
        <v>2089</v>
      </c>
      <c r="C2614" t="s">
        <v>1202</v>
      </c>
      <c r="D2614" t="s">
        <v>1203</v>
      </c>
      <c r="E2614" t="s">
        <v>1204</v>
      </c>
      <c r="F2614">
        <v>5764</v>
      </c>
      <c r="G2614" t="s">
        <v>702</v>
      </c>
      <c r="H2614" t="s">
        <v>1663</v>
      </c>
      <c r="I2614" t="s">
        <v>1205</v>
      </c>
      <c r="J2614">
        <v>2161</v>
      </c>
    </row>
    <row r="2615" spans="1:10" x14ac:dyDescent="0.3">
      <c r="A2615">
        <v>2690</v>
      </c>
      <c r="B2615" t="s">
        <v>2089</v>
      </c>
      <c r="C2615" t="s">
        <v>1202</v>
      </c>
      <c r="D2615" t="s">
        <v>1203</v>
      </c>
      <c r="E2615" t="s">
        <v>1204</v>
      </c>
      <c r="F2615">
        <v>5764</v>
      </c>
      <c r="G2615" t="s">
        <v>696</v>
      </c>
      <c r="H2615" t="s">
        <v>2090</v>
      </c>
      <c r="I2615" t="s">
        <v>1205</v>
      </c>
      <c r="J2615">
        <v>12049</v>
      </c>
    </row>
    <row r="2616" spans="1:10" x14ac:dyDescent="0.3">
      <c r="A2616">
        <v>2690</v>
      </c>
      <c r="B2616" t="s">
        <v>2089</v>
      </c>
      <c r="C2616" t="s">
        <v>1202</v>
      </c>
      <c r="D2616" t="s">
        <v>1203</v>
      </c>
      <c r="E2616" t="s">
        <v>1204</v>
      </c>
      <c r="F2616">
        <v>5764</v>
      </c>
      <c r="G2616" t="s">
        <v>703</v>
      </c>
      <c r="H2616" t="s">
        <v>1941</v>
      </c>
      <c r="I2616" t="s">
        <v>1205</v>
      </c>
      <c r="J2616">
        <v>860</v>
      </c>
    </row>
    <row r="2617" spans="1:10" x14ac:dyDescent="0.3">
      <c r="A2617">
        <v>2690</v>
      </c>
      <c r="B2617" t="s">
        <v>2089</v>
      </c>
      <c r="C2617" t="s">
        <v>1202</v>
      </c>
      <c r="D2617" t="s">
        <v>1203</v>
      </c>
      <c r="E2617" t="s">
        <v>1204</v>
      </c>
      <c r="F2617">
        <v>5764</v>
      </c>
      <c r="G2617" t="s">
        <v>701</v>
      </c>
      <c r="H2617" t="s">
        <v>701</v>
      </c>
      <c r="I2617" t="s">
        <v>1205</v>
      </c>
      <c r="J2617">
        <v>623</v>
      </c>
    </row>
    <row r="2618" spans="1:10" x14ac:dyDescent="0.3">
      <c r="A2618">
        <v>2690</v>
      </c>
      <c r="B2618" t="s">
        <v>2089</v>
      </c>
      <c r="C2618" t="s">
        <v>1202</v>
      </c>
      <c r="D2618" t="s">
        <v>1203</v>
      </c>
      <c r="E2618" t="s">
        <v>1204</v>
      </c>
      <c r="F2618">
        <v>5764</v>
      </c>
      <c r="G2618" t="s">
        <v>700</v>
      </c>
      <c r="H2618" t="s">
        <v>700</v>
      </c>
      <c r="I2618" t="s">
        <v>1205</v>
      </c>
      <c r="J2618">
        <v>1689</v>
      </c>
    </row>
    <row r="2619" spans="1:10" x14ac:dyDescent="0.3">
      <c r="A2619">
        <v>2691</v>
      </c>
      <c r="B2619" t="s">
        <v>2091</v>
      </c>
      <c r="C2619" t="s">
        <v>1202</v>
      </c>
      <c r="D2619" t="s">
        <v>159</v>
      </c>
      <c r="E2619" t="s">
        <v>159</v>
      </c>
      <c r="F2619">
        <v>5607</v>
      </c>
      <c r="G2619" t="s">
        <v>696</v>
      </c>
      <c r="I2619" t="s">
        <v>1205</v>
      </c>
      <c r="J2619">
        <v>576.95091579999996</v>
      </c>
    </row>
    <row r="2620" spans="1:10" x14ac:dyDescent="0.3">
      <c r="A2620">
        <v>2691</v>
      </c>
      <c r="B2620" t="s">
        <v>2091</v>
      </c>
      <c r="C2620" t="s">
        <v>1202</v>
      </c>
      <c r="D2620" t="s">
        <v>159</v>
      </c>
      <c r="E2620" t="s">
        <v>159</v>
      </c>
      <c r="F2620">
        <v>5607</v>
      </c>
      <c r="G2620" t="s">
        <v>700</v>
      </c>
      <c r="I2620" t="s">
        <v>1205</v>
      </c>
      <c r="J2620">
        <v>82.859971950000002</v>
      </c>
    </row>
    <row r="2621" spans="1:10" x14ac:dyDescent="0.3">
      <c r="A2621">
        <v>2691</v>
      </c>
      <c r="B2621" t="s">
        <v>2091</v>
      </c>
      <c r="C2621" t="s">
        <v>1202</v>
      </c>
      <c r="D2621" t="s">
        <v>159</v>
      </c>
      <c r="E2621" t="s">
        <v>159</v>
      </c>
      <c r="F2621">
        <v>5607</v>
      </c>
      <c r="G2621" t="s">
        <v>702</v>
      </c>
      <c r="H2621" t="s">
        <v>1948</v>
      </c>
      <c r="I2621" t="s">
        <v>1205</v>
      </c>
      <c r="J2621">
        <v>88.997747649999994</v>
      </c>
    </row>
    <row r="2622" spans="1:10" x14ac:dyDescent="0.3">
      <c r="A2622">
        <v>2691</v>
      </c>
      <c r="B2622" t="s">
        <v>2091</v>
      </c>
      <c r="C2622" t="s">
        <v>1202</v>
      </c>
      <c r="D2622" t="s">
        <v>159</v>
      </c>
      <c r="E2622" t="s">
        <v>159</v>
      </c>
      <c r="F2622">
        <v>5607</v>
      </c>
      <c r="G2622" t="s">
        <v>686</v>
      </c>
      <c r="I2622" t="s">
        <v>1205</v>
      </c>
      <c r="J2622">
        <v>174.92660745000001</v>
      </c>
    </row>
    <row r="2623" spans="1:10" x14ac:dyDescent="0.3">
      <c r="A2623">
        <v>2691</v>
      </c>
      <c r="B2623" t="s">
        <v>2091</v>
      </c>
      <c r="C2623" t="s">
        <v>1202</v>
      </c>
      <c r="D2623" t="s">
        <v>159</v>
      </c>
      <c r="E2623" t="s">
        <v>159</v>
      </c>
      <c r="F2623">
        <v>5607</v>
      </c>
      <c r="G2623" t="s">
        <v>698</v>
      </c>
      <c r="I2623" t="s">
        <v>1205</v>
      </c>
      <c r="J2623">
        <v>85.928859799999998</v>
      </c>
    </row>
    <row r="2624" spans="1:10" x14ac:dyDescent="0.3">
      <c r="A2624">
        <v>2697</v>
      </c>
      <c r="B2624" t="s">
        <v>2092</v>
      </c>
      <c r="C2624" t="s">
        <v>1202</v>
      </c>
      <c r="D2624" t="s">
        <v>159</v>
      </c>
      <c r="E2624" t="s">
        <v>159</v>
      </c>
      <c r="F2624">
        <v>8063</v>
      </c>
      <c r="G2624" t="s">
        <v>698</v>
      </c>
      <c r="I2624" t="s">
        <v>1205</v>
      </c>
      <c r="J2624">
        <v>730.92</v>
      </c>
    </row>
    <row r="2625" spans="1:10" x14ac:dyDescent="0.3">
      <c r="A2625">
        <v>2697</v>
      </c>
      <c r="B2625" t="s">
        <v>2092</v>
      </c>
      <c r="C2625" t="s">
        <v>1202</v>
      </c>
      <c r="D2625" t="s">
        <v>159</v>
      </c>
      <c r="E2625" t="s">
        <v>159</v>
      </c>
      <c r="F2625">
        <v>8063</v>
      </c>
      <c r="G2625" t="s">
        <v>700</v>
      </c>
      <c r="I2625" t="s">
        <v>1205</v>
      </c>
      <c r="J2625">
        <v>1327.98</v>
      </c>
    </row>
    <row r="2626" spans="1:10" x14ac:dyDescent="0.3">
      <c r="A2626">
        <v>2697</v>
      </c>
      <c r="B2626" t="s">
        <v>2092</v>
      </c>
      <c r="C2626" t="s">
        <v>1202</v>
      </c>
      <c r="D2626" t="s">
        <v>159</v>
      </c>
      <c r="E2626" t="s">
        <v>159</v>
      </c>
      <c r="F2626">
        <v>8063</v>
      </c>
      <c r="G2626" t="s">
        <v>701</v>
      </c>
      <c r="I2626" t="s">
        <v>1205</v>
      </c>
      <c r="J2626">
        <v>940.35</v>
      </c>
    </row>
    <row r="2627" spans="1:10" x14ac:dyDescent="0.3">
      <c r="A2627">
        <v>2697</v>
      </c>
      <c r="B2627" t="s">
        <v>2092</v>
      </c>
      <c r="C2627" t="s">
        <v>1202</v>
      </c>
      <c r="D2627" t="s">
        <v>159</v>
      </c>
      <c r="E2627" t="s">
        <v>159</v>
      </c>
      <c r="F2627">
        <v>8063</v>
      </c>
      <c r="G2627" t="s">
        <v>684</v>
      </c>
      <c r="H2627" t="s">
        <v>1873</v>
      </c>
      <c r="I2627" t="s">
        <v>1205</v>
      </c>
      <c r="J2627">
        <v>397.27</v>
      </c>
    </row>
    <row r="2628" spans="1:10" x14ac:dyDescent="0.3">
      <c r="A2628">
        <v>2697</v>
      </c>
      <c r="B2628" t="s">
        <v>2092</v>
      </c>
      <c r="C2628" t="s">
        <v>1202</v>
      </c>
      <c r="D2628" t="s">
        <v>159</v>
      </c>
      <c r="E2628" t="s">
        <v>159</v>
      </c>
      <c r="F2628">
        <v>8063</v>
      </c>
      <c r="G2628" t="s">
        <v>687</v>
      </c>
      <c r="H2628" t="s">
        <v>2093</v>
      </c>
      <c r="I2628" t="s">
        <v>1205</v>
      </c>
      <c r="J2628">
        <v>132.41999999999999</v>
      </c>
    </row>
    <row r="2629" spans="1:10" x14ac:dyDescent="0.3">
      <c r="A2629">
        <v>2697</v>
      </c>
      <c r="B2629" t="s">
        <v>2092</v>
      </c>
      <c r="C2629" t="s">
        <v>1202</v>
      </c>
      <c r="D2629" t="s">
        <v>159</v>
      </c>
      <c r="E2629" t="s">
        <v>159</v>
      </c>
      <c r="F2629">
        <v>8063</v>
      </c>
      <c r="G2629" t="s">
        <v>687</v>
      </c>
      <c r="H2629" t="s">
        <v>2094</v>
      </c>
      <c r="I2629" t="s">
        <v>1205</v>
      </c>
      <c r="J2629">
        <v>158.80000000000001</v>
      </c>
    </row>
    <row r="2630" spans="1:10" x14ac:dyDescent="0.3">
      <c r="A2630">
        <v>2697</v>
      </c>
      <c r="B2630" t="s">
        <v>2092</v>
      </c>
      <c r="C2630" t="s">
        <v>1202</v>
      </c>
      <c r="D2630" t="s">
        <v>159</v>
      </c>
      <c r="E2630" t="s">
        <v>159</v>
      </c>
      <c r="F2630">
        <v>8063</v>
      </c>
      <c r="G2630" t="s">
        <v>696</v>
      </c>
      <c r="I2630" t="s">
        <v>1205</v>
      </c>
      <c r="J2630">
        <v>14973.47</v>
      </c>
    </row>
    <row r="2631" spans="1:10" x14ac:dyDescent="0.3">
      <c r="A2631">
        <v>2697</v>
      </c>
      <c r="B2631" t="s">
        <v>2092</v>
      </c>
      <c r="C2631" t="s">
        <v>1202</v>
      </c>
      <c r="D2631" t="s">
        <v>159</v>
      </c>
      <c r="E2631" t="s">
        <v>159</v>
      </c>
      <c r="F2631">
        <v>8063</v>
      </c>
      <c r="G2631" t="s">
        <v>686</v>
      </c>
      <c r="I2631" t="s">
        <v>1205</v>
      </c>
      <c r="J2631">
        <v>604.46</v>
      </c>
    </row>
    <row r="2632" spans="1:10" x14ac:dyDescent="0.3">
      <c r="A2632">
        <v>2697</v>
      </c>
      <c r="B2632" t="s">
        <v>2092</v>
      </c>
      <c r="C2632" t="s">
        <v>1202</v>
      </c>
      <c r="D2632" t="s">
        <v>159</v>
      </c>
      <c r="E2632" t="s">
        <v>159</v>
      </c>
      <c r="F2632">
        <v>8063</v>
      </c>
      <c r="G2632" t="s">
        <v>702</v>
      </c>
      <c r="H2632" t="s">
        <v>1875</v>
      </c>
      <c r="I2632" t="s">
        <v>1216</v>
      </c>
      <c r="J2632">
        <v>1537.8</v>
      </c>
    </row>
    <row r="2633" spans="1:10" x14ac:dyDescent="0.3">
      <c r="A2633">
        <v>2697</v>
      </c>
      <c r="B2633" t="s">
        <v>2092</v>
      </c>
      <c r="C2633" t="s">
        <v>1202</v>
      </c>
      <c r="D2633" t="s">
        <v>159</v>
      </c>
      <c r="E2633" t="s">
        <v>159</v>
      </c>
      <c r="F2633">
        <v>8063</v>
      </c>
      <c r="G2633" t="s">
        <v>684</v>
      </c>
      <c r="H2633" t="s">
        <v>1875</v>
      </c>
      <c r="I2633" t="s">
        <v>1216</v>
      </c>
      <c r="J2633">
        <v>2366.1999999999998</v>
      </c>
    </row>
    <row r="2634" spans="1:10" x14ac:dyDescent="0.3">
      <c r="A2634">
        <v>2697</v>
      </c>
      <c r="B2634" t="s">
        <v>2092</v>
      </c>
      <c r="C2634" t="s">
        <v>1202</v>
      </c>
      <c r="D2634" t="s">
        <v>159</v>
      </c>
      <c r="E2634" t="s">
        <v>159</v>
      </c>
      <c r="F2634">
        <v>8063</v>
      </c>
      <c r="G2634" t="s">
        <v>686</v>
      </c>
      <c r="H2634" t="s">
        <v>1875</v>
      </c>
      <c r="I2634" t="s">
        <v>1216</v>
      </c>
      <c r="J2634">
        <v>1004.57</v>
      </c>
    </row>
    <row r="2635" spans="1:10" x14ac:dyDescent="0.3">
      <c r="A2635">
        <v>2697</v>
      </c>
      <c r="B2635" t="s">
        <v>2092</v>
      </c>
      <c r="C2635" t="s">
        <v>1202</v>
      </c>
      <c r="D2635" t="s">
        <v>159</v>
      </c>
      <c r="E2635" t="s">
        <v>159</v>
      </c>
      <c r="F2635">
        <v>8063</v>
      </c>
      <c r="G2635" t="s">
        <v>702</v>
      </c>
      <c r="H2635" t="s">
        <v>1873</v>
      </c>
      <c r="I2635" t="s">
        <v>1205</v>
      </c>
      <c r="J2635">
        <v>2563.0100000000002</v>
      </c>
    </row>
    <row r="2636" spans="1:10" x14ac:dyDescent="0.3">
      <c r="A2636">
        <v>2697</v>
      </c>
      <c r="B2636" t="s">
        <v>2092</v>
      </c>
      <c r="C2636" t="s">
        <v>1202</v>
      </c>
      <c r="D2636" t="s">
        <v>159</v>
      </c>
      <c r="E2636" t="s">
        <v>159</v>
      </c>
      <c r="F2636">
        <v>8063</v>
      </c>
      <c r="G2636" t="s">
        <v>687</v>
      </c>
      <c r="H2636" t="s">
        <v>2095</v>
      </c>
      <c r="I2636" t="s">
        <v>1205</v>
      </c>
      <c r="J2636">
        <v>5.67</v>
      </c>
    </row>
    <row r="2637" spans="1:10" x14ac:dyDescent="0.3">
      <c r="A2637">
        <v>2704</v>
      </c>
      <c r="B2637" t="s">
        <v>2096</v>
      </c>
      <c r="C2637" t="s">
        <v>1202</v>
      </c>
      <c r="D2637" t="s">
        <v>159</v>
      </c>
      <c r="E2637" t="s">
        <v>159</v>
      </c>
      <c r="F2637">
        <v>7853</v>
      </c>
      <c r="G2637" t="s">
        <v>702</v>
      </c>
      <c r="H2637" t="s">
        <v>1282</v>
      </c>
      <c r="I2637" t="s">
        <v>1205</v>
      </c>
      <c r="J2637">
        <v>5</v>
      </c>
    </row>
    <row r="2638" spans="1:10" x14ac:dyDescent="0.3">
      <c r="A2638">
        <v>2704</v>
      </c>
      <c r="B2638" t="s">
        <v>2096</v>
      </c>
      <c r="C2638" t="s">
        <v>1202</v>
      </c>
      <c r="D2638" t="s">
        <v>159</v>
      </c>
      <c r="E2638" t="s">
        <v>159</v>
      </c>
      <c r="F2638">
        <v>7853</v>
      </c>
      <c r="G2638" t="s">
        <v>701</v>
      </c>
      <c r="I2638" t="s">
        <v>1205</v>
      </c>
      <c r="J2638">
        <v>84</v>
      </c>
    </row>
    <row r="2639" spans="1:10" x14ac:dyDescent="0.3">
      <c r="A2639">
        <v>2704</v>
      </c>
      <c r="B2639" t="s">
        <v>2096</v>
      </c>
      <c r="C2639" t="s">
        <v>1202</v>
      </c>
      <c r="D2639" t="s">
        <v>159</v>
      </c>
      <c r="E2639" t="s">
        <v>159</v>
      </c>
      <c r="F2639">
        <v>7853</v>
      </c>
      <c r="G2639" t="s">
        <v>700</v>
      </c>
      <c r="H2639" t="s">
        <v>1404</v>
      </c>
      <c r="I2639" t="s">
        <v>1205</v>
      </c>
      <c r="J2639">
        <v>2119</v>
      </c>
    </row>
    <row r="2640" spans="1:10" x14ac:dyDescent="0.3">
      <c r="A2640">
        <v>2704</v>
      </c>
      <c r="B2640" t="s">
        <v>2096</v>
      </c>
      <c r="C2640" t="s">
        <v>1202</v>
      </c>
      <c r="D2640" t="s">
        <v>159</v>
      </c>
      <c r="E2640" t="s">
        <v>159</v>
      </c>
      <c r="F2640">
        <v>7853</v>
      </c>
      <c r="G2640" t="s">
        <v>698</v>
      </c>
      <c r="I2640" t="s">
        <v>1205</v>
      </c>
      <c r="J2640">
        <v>2515</v>
      </c>
    </row>
    <row r="2641" spans="1:10" x14ac:dyDescent="0.3">
      <c r="A2641">
        <v>2704</v>
      </c>
      <c r="B2641" t="s">
        <v>2096</v>
      </c>
      <c r="C2641" t="s">
        <v>1202</v>
      </c>
      <c r="D2641" t="s">
        <v>159</v>
      </c>
      <c r="E2641" t="s">
        <v>159</v>
      </c>
      <c r="F2641">
        <v>7853</v>
      </c>
      <c r="G2641" t="s">
        <v>696</v>
      </c>
      <c r="H2641" t="s">
        <v>2097</v>
      </c>
      <c r="I2641" t="s">
        <v>1205</v>
      </c>
      <c r="J2641">
        <v>5528</v>
      </c>
    </row>
    <row r="2642" spans="1:10" x14ac:dyDescent="0.3">
      <c r="A2642">
        <v>2704</v>
      </c>
      <c r="B2642" t="s">
        <v>2096</v>
      </c>
      <c r="C2642" t="s">
        <v>1202</v>
      </c>
      <c r="D2642" t="s">
        <v>159</v>
      </c>
      <c r="E2642" t="s">
        <v>159</v>
      </c>
      <c r="F2642">
        <v>7853</v>
      </c>
      <c r="G2642" t="s">
        <v>686</v>
      </c>
      <c r="H2642" t="s">
        <v>1289</v>
      </c>
      <c r="I2642" t="s">
        <v>1205</v>
      </c>
      <c r="J2642">
        <v>403</v>
      </c>
    </row>
    <row r="2643" spans="1:10" x14ac:dyDescent="0.3">
      <c r="A2643">
        <v>2723</v>
      </c>
      <c r="B2643" t="s">
        <v>2098</v>
      </c>
      <c r="C2643" t="s">
        <v>1202</v>
      </c>
      <c r="D2643" t="s">
        <v>159</v>
      </c>
      <c r="E2643" t="s">
        <v>159</v>
      </c>
      <c r="F2643">
        <v>5513</v>
      </c>
      <c r="G2643" t="s">
        <v>698</v>
      </c>
      <c r="I2643" t="s">
        <v>1205</v>
      </c>
      <c r="J2643">
        <v>1684</v>
      </c>
    </row>
    <row r="2644" spans="1:10" x14ac:dyDescent="0.3">
      <c r="A2644">
        <v>2723</v>
      </c>
      <c r="B2644" t="s">
        <v>2098</v>
      </c>
      <c r="C2644" t="s">
        <v>1202</v>
      </c>
      <c r="D2644" t="s">
        <v>159</v>
      </c>
      <c r="E2644" t="s">
        <v>159</v>
      </c>
      <c r="F2644">
        <v>5513</v>
      </c>
      <c r="G2644" t="s">
        <v>700</v>
      </c>
      <c r="H2644" t="s">
        <v>1685</v>
      </c>
      <c r="I2644" t="s">
        <v>1205</v>
      </c>
      <c r="J2644">
        <v>1241</v>
      </c>
    </row>
    <row r="2645" spans="1:10" x14ac:dyDescent="0.3">
      <c r="A2645">
        <v>2723</v>
      </c>
      <c r="B2645" t="s">
        <v>2098</v>
      </c>
      <c r="C2645" t="s">
        <v>1202</v>
      </c>
      <c r="D2645" t="s">
        <v>159</v>
      </c>
      <c r="E2645" t="s">
        <v>159</v>
      </c>
      <c r="F2645">
        <v>5513</v>
      </c>
      <c r="G2645" t="s">
        <v>701</v>
      </c>
      <c r="I2645" t="s">
        <v>1205</v>
      </c>
      <c r="J2645">
        <v>27</v>
      </c>
    </row>
    <row r="2646" spans="1:10" x14ac:dyDescent="0.3">
      <c r="A2646">
        <v>2723</v>
      </c>
      <c r="B2646" t="s">
        <v>2098</v>
      </c>
      <c r="C2646" t="s">
        <v>1202</v>
      </c>
      <c r="D2646" t="s">
        <v>159</v>
      </c>
      <c r="E2646" t="s">
        <v>159</v>
      </c>
      <c r="F2646">
        <v>5513</v>
      </c>
      <c r="G2646" t="s">
        <v>702</v>
      </c>
      <c r="I2646" t="s">
        <v>1205</v>
      </c>
      <c r="J2646">
        <v>231</v>
      </c>
    </row>
    <row r="2647" spans="1:10" x14ac:dyDescent="0.3">
      <c r="A2647">
        <v>2723</v>
      </c>
      <c r="B2647" t="s">
        <v>2098</v>
      </c>
      <c r="C2647" t="s">
        <v>1202</v>
      </c>
      <c r="D2647" t="s">
        <v>159</v>
      </c>
      <c r="E2647" t="s">
        <v>159</v>
      </c>
      <c r="F2647">
        <v>5513</v>
      </c>
      <c r="G2647" t="s">
        <v>686</v>
      </c>
      <c r="I2647" t="s">
        <v>1205</v>
      </c>
      <c r="J2647">
        <v>542</v>
      </c>
    </row>
    <row r="2648" spans="1:10" x14ac:dyDescent="0.3">
      <c r="A2648">
        <v>2723</v>
      </c>
      <c r="B2648" t="s">
        <v>2098</v>
      </c>
      <c r="C2648" t="s">
        <v>1202</v>
      </c>
      <c r="D2648" t="s">
        <v>159</v>
      </c>
      <c r="E2648" t="s">
        <v>159</v>
      </c>
      <c r="F2648">
        <v>5513</v>
      </c>
      <c r="G2648" t="s">
        <v>696</v>
      </c>
      <c r="I2648" t="s">
        <v>1205</v>
      </c>
      <c r="J2648">
        <v>3123</v>
      </c>
    </row>
    <row r="2649" spans="1:10" x14ac:dyDescent="0.3">
      <c r="A2649">
        <v>2751</v>
      </c>
      <c r="B2649" t="s">
        <v>2099</v>
      </c>
      <c r="C2649" t="s">
        <v>1202</v>
      </c>
      <c r="D2649" t="s">
        <v>1203</v>
      </c>
      <c r="E2649" t="s">
        <v>1204</v>
      </c>
      <c r="F2649">
        <v>5933</v>
      </c>
      <c r="G2649" t="s">
        <v>696</v>
      </c>
      <c r="I2649" t="s">
        <v>1205</v>
      </c>
      <c r="J2649">
        <v>2247</v>
      </c>
    </row>
    <row r="2650" spans="1:10" x14ac:dyDescent="0.3">
      <c r="A2650">
        <v>2751</v>
      </c>
      <c r="B2650" t="s">
        <v>2099</v>
      </c>
      <c r="C2650" t="s">
        <v>1202</v>
      </c>
      <c r="D2650" t="s">
        <v>1203</v>
      </c>
      <c r="E2650" t="s">
        <v>1204</v>
      </c>
      <c r="F2650">
        <v>5933</v>
      </c>
      <c r="G2650" t="s">
        <v>698</v>
      </c>
      <c r="I2650" t="s">
        <v>1205</v>
      </c>
      <c r="J2650">
        <v>157</v>
      </c>
    </row>
    <row r="2651" spans="1:10" x14ac:dyDescent="0.3">
      <c r="A2651">
        <v>2751</v>
      </c>
      <c r="B2651" t="s">
        <v>2099</v>
      </c>
      <c r="C2651" t="s">
        <v>1202</v>
      </c>
      <c r="D2651" t="s">
        <v>1203</v>
      </c>
      <c r="E2651" t="s">
        <v>1204</v>
      </c>
      <c r="F2651">
        <v>5933</v>
      </c>
      <c r="G2651" t="s">
        <v>700</v>
      </c>
      <c r="I2651" t="s">
        <v>1205</v>
      </c>
      <c r="J2651">
        <v>447</v>
      </c>
    </row>
    <row r="2652" spans="1:10" x14ac:dyDescent="0.3">
      <c r="A2652">
        <v>2751</v>
      </c>
      <c r="B2652" t="s">
        <v>2099</v>
      </c>
      <c r="C2652" t="s">
        <v>1202</v>
      </c>
      <c r="D2652" t="s">
        <v>1203</v>
      </c>
      <c r="E2652" t="s">
        <v>1204</v>
      </c>
      <c r="F2652">
        <v>5933</v>
      </c>
      <c r="G2652" t="s">
        <v>701</v>
      </c>
      <c r="I2652" t="s">
        <v>1205</v>
      </c>
      <c r="J2652">
        <v>124</v>
      </c>
    </row>
    <row r="2653" spans="1:10" x14ac:dyDescent="0.3">
      <c r="A2653">
        <v>2751</v>
      </c>
      <c r="B2653" t="s">
        <v>2099</v>
      </c>
      <c r="C2653" t="s">
        <v>1202</v>
      </c>
      <c r="D2653" t="s">
        <v>1203</v>
      </c>
      <c r="E2653" t="s">
        <v>1204</v>
      </c>
      <c r="F2653">
        <v>5933</v>
      </c>
      <c r="G2653" t="s">
        <v>702</v>
      </c>
      <c r="H2653" t="s">
        <v>1275</v>
      </c>
      <c r="I2653" t="s">
        <v>1205</v>
      </c>
      <c r="J2653">
        <v>490</v>
      </c>
    </row>
    <row r="2654" spans="1:10" x14ac:dyDescent="0.3">
      <c r="A2654">
        <v>2751</v>
      </c>
      <c r="B2654" t="s">
        <v>2099</v>
      </c>
      <c r="C2654" t="s">
        <v>1202</v>
      </c>
      <c r="D2654" t="s">
        <v>1203</v>
      </c>
      <c r="E2654" t="s">
        <v>1204</v>
      </c>
      <c r="F2654">
        <v>5933</v>
      </c>
      <c r="G2654" t="s">
        <v>686</v>
      </c>
      <c r="I2654" t="s">
        <v>1205</v>
      </c>
      <c r="J2654">
        <v>269</v>
      </c>
    </row>
    <row r="2655" spans="1:10" x14ac:dyDescent="0.3">
      <c r="A2655">
        <v>2751</v>
      </c>
      <c r="B2655" t="s">
        <v>2099</v>
      </c>
      <c r="C2655" t="s">
        <v>1202</v>
      </c>
      <c r="D2655" t="s">
        <v>1203</v>
      </c>
      <c r="E2655" t="s">
        <v>1204</v>
      </c>
      <c r="F2655">
        <v>5933</v>
      </c>
      <c r="G2655" t="s">
        <v>687</v>
      </c>
      <c r="H2655" t="s">
        <v>2100</v>
      </c>
      <c r="I2655" t="s">
        <v>1210</v>
      </c>
      <c r="J2655">
        <v>50</v>
      </c>
    </row>
    <row r="2656" spans="1:10" x14ac:dyDescent="0.3">
      <c r="A2656">
        <v>2751</v>
      </c>
      <c r="B2656" t="s">
        <v>2099</v>
      </c>
      <c r="C2656" t="s">
        <v>1202</v>
      </c>
      <c r="D2656" t="s">
        <v>1203</v>
      </c>
      <c r="E2656" t="s">
        <v>1204</v>
      </c>
      <c r="F2656">
        <v>5933</v>
      </c>
      <c r="G2656" t="s">
        <v>692</v>
      </c>
      <c r="H2656" t="s">
        <v>754</v>
      </c>
      <c r="I2656" t="s">
        <v>1216</v>
      </c>
      <c r="J2656">
        <v>504</v>
      </c>
    </row>
    <row r="2657" spans="1:10" x14ac:dyDescent="0.3">
      <c r="A2657">
        <v>2766</v>
      </c>
      <c r="B2657" t="s">
        <v>2101</v>
      </c>
      <c r="C2657" t="s">
        <v>1202</v>
      </c>
      <c r="D2657" t="s">
        <v>1203</v>
      </c>
      <c r="E2657" t="s">
        <v>1204</v>
      </c>
      <c r="F2657">
        <v>5594</v>
      </c>
      <c r="G2657" t="s">
        <v>686</v>
      </c>
      <c r="H2657" t="s">
        <v>2102</v>
      </c>
      <c r="I2657" t="s">
        <v>1205</v>
      </c>
      <c r="J2657">
        <v>1070</v>
      </c>
    </row>
    <row r="2658" spans="1:10" x14ac:dyDescent="0.3">
      <c r="A2658">
        <v>2766</v>
      </c>
      <c r="B2658" t="s">
        <v>2101</v>
      </c>
      <c r="C2658" t="s">
        <v>1202</v>
      </c>
      <c r="D2658" t="s">
        <v>1203</v>
      </c>
      <c r="E2658" t="s">
        <v>1204</v>
      </c>
      <c r="F2658">
        <v>5594</v>
      </c>
      <c r="G2658" t="s">
        <v>702</v>
      </c>
      <c r="I2658" t="s">
        <v>1205</v>
      </c>
      <c r="J2658">
        <v>859</v>
      </c>
    </row>
    <row r="2659" spans="1:10" x14ac:dyDescent="0.3">
      <c r="A2659">
        <v>2766</v>
      </c>
      <c r="B2659" t="s">
        <v>2101</v>
      </c>
      <c r="C2659" t="s">
        <v>1202</v>
      </c>
      <c r="D2659" t="s">
        <v>1203</v>
      </c>
      <c r="E2659" t="s">
        <v>1204</v>
      </c>
      <c r="F2659">
        <v>5594</v>
      </c>
      <c r="G2659" t="s">
        <v>703</v>
      </c>
      <c r="I2659" t="s">
        <v>1205</v>
      </c>
      <c r="J2659">
        <v>366</v>
      </c>
    </row>
    <row r="2660" spans="1:10" x14ac:dyDescent="0.3">
      <c r="A2660">
        <v>2766</v>
      </c>
      <c r="B2660" t="s">
        <v>2101</v>
      </c>
      <c r="C2660" t="s">
        <v>1202</v>
      </c>
      <c r="D2660" t="s">
        <v>1203</v>
      </c>
      <c r="E2660" t="s">
        <v>1204</v>
      </c>
      <c r="F2660">
        <v>5594</v>
      </c>
      <c r="G2660" t="s">
        <v>701</v>
      </c>
      <c r="I2660" t="s">
        <v>1205</v>
      </c>
      <c r="J2660">
        <v>170</v>
      </c>
    </row>
    <row r="2661" spans="1:10" x14ac:dyDescent="0.3">
      <c r="A2661">
        <v>2766</v>
      </c>
      <c r="B2661" t="s">
        <v>2101</v>
      </c>
      <c r="C2661" t="s">
        <v>1202</v>
      </c>
      <c r="D2661" t="s">
        <v>1203</v>
      </c>
      <c r="E2661" t="s">
        <v>1204</v>
      </c>
      <c r="F2661">
        <v>5594</v>
      </c>
      <c r="G2661" t="s">
        <v>700</v>
      </c>
      <c r="I2661" t="s">
        <v>1205</v>
      </c>
      <c r="J2661">
        <v>1647</v>
      </c>
    </row>
    <row r="2662" spans="1:10" x14ac:dyDescent="0.3">
      <c r="A2662">
        <v>2766</v>
      </c>
      <c r="B2662" t="s">
        <v>2101</v>
      </c>
      <c r="C2662" t="s">
        <v>1202</v>
      </c>
      <c r="D2662" t="s">
        <v>1203</v>
      </c>
      <c r="E2662" t="s">
        <v>1204</v>
      </c>
      <c r="F2662">
        <v>5594</v>
      </c>
      <c r="G2662" t="s">
        <v>698</v>
      </c>
      <c r="I2662" t="s">
        <v>1205</v>
      </c>
      <c r="J2662">
        <v>1381</v>
      </c>
    </row>
    <row r="2663" spans="1:10" x14ac:dyDescent="0.3">
      <c r="A2663">
        <v>2766</v>
      </c>
      <c r="B2663" t="s">
        <v>2101</v>
      </c>
      <c r="C2663" t="s">
        <v>1202</v>
      </c>
      <c r="D2663" t="s">
        <v>1203</v>
      </c>
      <c r="E2663" t="s">
        <v>1204</v>
      </c>
      <c r="F2663">
        <v>5594</v>
      </c>
      <c r="G2663" t="s">
        <v>696</v>
      </c>
      <c r="I2663" t="s">
        <v>1205</v>
      </c>
      <c r="J2663">
        <v>4860</v>
      </c>
    </row>
    <row r="2664" spans="1:10" x14ac:dyDescent="0.3">
      <c r="A2664">
        <v>2782</v>
      </c>
      <c r="B2664" t="s">
        <v>2103</v>
      </c>
      <c r="C2664" t="s">
        <v>1202</v>
      </c>
      <c r="D2664" t="s">
        <v>159</v>
      </c>
      <c r="E2664" t="s">
        <v>159</v>
      </c>
      <c r="F2664">
        <v>8067</v>
      </c>
      <c r="G2664" t="s">
        <v>696</v>
      </c>
      <c r="I2664" t="s">
        <v>1205</v>
      </c>
      <c r="J2664">
        <v>12887</v>
      </c>
    </row>
    <row r="2665" spans="1:10" x14ac:dyDescent="0.3">
      <c r="A2665">
        <v>2782</v>
      </c>
      <c r="B2665" t="s">
        <v>2103</v>
      </c>
      <c r="C2665" t="s">
        <v>1202</v>
      </c>
      <c r="D2665" t="s">
        <v>159</v>
      </c>
      <c r="E2665" t="s">
        <v>159</v>
      </c>
      <c r="F2665">
        <v>8067</v>
      </c>
      <c r="G2665" t="s">
        <v>687</v>
      </c>
      <c r="H2665" t="s">
        <v>2104</v>
      </c>
      <c r="I2665" t="s">
        <v>1210</v>
      </c>
      <c r="J2665">
        <v>330</v>
      </c>
    </row>
    <row r="2666" spans="1:10" x14ac:dyDescent="0.3">
      <c r="A2666">
        <v>2782</v>
      </c>
      <c r="B2666" t="s">
        <v>2103</v>
      </c>
      <c r="C2666" t="s">
        <v>1202</v>
      </c>
      <c r="D2666" t="s">
        <v>159</v>
      </c>
      <c r="E2666" t="s">
        <v>159</v>
      </c>
      <c r="F2666">
        <v>8067</v>
      </c>
      <c r="G2666" t="s">
        <v>687</v>
      </c>
      <c r="H2666" t="s">
        <v>2105</v>
      </c>
      <c r="I2666" t="s">
        <v>1205</v>
      </c>
      <c r="J2666">
        <v>13</v>
      </c>
    </row>
    <row r="2667" spans="1:10" x14ac:dyDescent="0.3">
      <c r="A2667">
        <v>2782</v>
      </c>
      <c r="B2667" t="s">
        <v>2103</v>
      </c>
      <c r="C2667" t="s">
        <v>1202</v>
      </c>
      <c r="D2667" t="s">
        <v>159</v>
      </c>
      <c r="E2667" t="s">
        <v>159</v>
      </c>
      <c r="F2667">
        <v>8067</v>
      </c>
      <c r="G2667" t="s">
        <v>686</v>
      </c>
      <c r="H2667" t="s">
        <v>1227</v>
      </c>
      <c r="I2667" t="s">
        <v>1205</v>
      </c>
      <c r="J2667">
        <v>1329</v>
      </c>
    </row>
    <row r="2668" spans="1:10" x14ac:dyDescent="0.3">
      <c r="A2668">
        <v>2782</v>
      </c>
      <c r="B2668" t="s">
        <v>2103</v>
      </c>
      <c r="C2668" t="s">
        <v>1202</v>
      </c>
      <c r="D2668" t="s">
        <v>159</v>
      </c>
      <c r="E2668" t="s">
        <v>159</v>
      </c>
      <c r="F2668">
        <v>8067</v>
      </c>
      <c r="G2668" t="s">
        <v>702</v>
      </c>
      <c r="H2668" t="s">
        <v>1282</v>
      </c>
      <c r="I2668" t="s">
        <v>1205</v>
      </c>
      <c r="J2668">
        <v>3090</v>
      </c>
    </row>
    <row r="2669" spans="1:10" x14ac:dyDescent="0.3">
      <c r="A2669">
        <v>2782</v>
      </c>
      <c r="B2669" t="s">
        <v>2103</v>
      </c>
      <c r="C2669" t="s">
        <v>1202</v>
      </c>
      <c r="D2669" t="s">
        <v>159</v>
      </c>
      <c r="E2669" t="s">
        <v>159</v>
      </c>
      <c r="F2669">
        <v>8067</v>
      </c>
      <c r="G2669" t="s">
        <v>700</v>
      </c>
      <c r="I2669" t="s">
        <v>1205</v>
      </c>
      <c r="J2669">
        <v>1239</v>
      </c>
    </row>
    <row r="2670" spans="1:10" x14ac:dyDescent="0.3">
      <c r="A2670">
        <v>2782</v>
      </c>
      <c r="B2670" t="s">
        <v>2103</v>
      </c>
      <c r="C2670" t="s">
        <v>1202</v>
      </c>
      <c r="D2670" t="s">
        <v>159</v>
      </c>
      <c r="E2670" t="s">
        <v>159</v>
      </c>
      <c r="F2670">
        <v>8067</v>
      </c>
      <c r="G2670" t="s">
        <v>698</v>
      </c>
      <c r="I2670" t="s">
        <v>1205</v>
      </c>
      <c r="J2670">
        <v>432</v>
      </c>
    </row>
    <row r="2671" spans="1:10" x14ac:dyDescent="0.3">
      <c r="A2671">
        <v>2789</v>
      </c>
      <c r="B2671" t="s">
        <v>2106</v>
      </c>
      <c r="C2671" t="s">
        <v>1202</v>
      </c>
      <c r="D2671" t="s">
        <v>1203</v>
      </c>
      <c r="E2671" t="s">
        <v>1204</v>
      </c>
      <c r="F2671">
        <v>5726</v>
      </c>
      <c r="G2671" t="s">
        <v>701</v>
      </c>
      <c r="I2671" t="s">
        <v>1205</v>
      </c>
      <c r="J2671">
        <v>89</v>
      </c>
    </row>
    <row r="2672" spans="1:10" x14ac:dyDescent="0.3">
      <c r="A2672">
        <v>2789</v>
      </c>
      <c r="B2672" t="s">
        <v>2106</v>
      </c>
      <c r="C2672" t="s">
        <v>1202</v>
      </c>
      <c r="D2672" t="s">
        <v>1203</v>
      </c>
      <c r="E2672" t="s">
        <v>1204</v>
      </c>
      <c r="F2672">
        <v>5726</v>
      </c>
      <c r="G2672" t="s">
        <v>698</v>
      </c>
      <c r="I2672" t="s">
        <v>1205</v>
      </c>
      <c r="J2672">
        <v>300</v>
      </c>
    </row>
    <row r="2673" spans="1:10" x14ac:dyDescent="0.3">
      <c r="A2673">
        <v>2789</v>
      </c>
      <c r="B2673" t="s">
        <v>2106</v>
      </c>
      <c r="C2673" t="s">
        <v>1202</v>
      </c>
      <c r="D2673" t="s">
        <v>1203</v>
      </c>
      <c r="E2673" t="s">
        <v>1204</v>
      </c>
      <c r="F2673">
        <v>5726</v>
      </c>
      <c r="G2673" t="s">
        <v>700</v>
      </c>
      <c r="I2673" t="s">
        <v>1205</v>
      </c>
      <c r="J2673">
        <v>484</v>
      </c>
    </row>
    <row r="2674" spans="1:10" x14ac:dyDescent="0.3">
      <c r="A2674">
        <v>2789</v>
      </c>
      <c r="B2674" t="s">
        <v>2106</v>
      </c>
      <c r="C2674" t="s">
        <v>1202</v>
      </c>
      <c r="D2674" t="s">
        <v>1203</v>
      </c>
      <c r="E2674" t="s">
        <v>1204</v>
      </c>
      <c r="F2674">
        <v>5726</v>
      </c>
      <c r="G2674" t="s">
        <v>702</v>
      </c>
      <c r="I2674" t="s">
        <v>1205</v>
      </c>
      <c r="J2674">
        <v>159</v>
      </c>
    </row>
    <row r="2675" spans="1:10" x14ac:dyDescent="0.3">
      <c r="A2675">
        <v>2789</v>
      </c>
      <c r="B2675" t="s">
        <v>2106</v>
      </c>
      <c r="C2675" t="s">
        <v>1202</v>
      </c>
      <c r="D2675" t="s">
        <v>1203</v>
      </c>
      <c r="E2675" t="s">
        <v>1204</v>
      </c>
      <c r="F2675">
        <v>5726</v>
      </c>
      <c r="G2675" t="s">
        <v>686</v>
      </c>
      <c r="I2675" t="s">
        <v>1205</v>
      </c>
      <c r="J2675">
        <v>258</v>
      </c>
    </row>
    <row r="2676" spans="1:10" x14ac:dyDescent="0.3">
      <c r="A2676">
        <v>2789</v>
      </c>
      <c r="B2676" t="s">
        <v>2106</v>
      </c>
      <c r="C2676" t="s">
        <v>1202</v>
      </c>
      <c r="D2676" t="s">
        <v>1203</v>
      </c>
      <c r="E2676" t="s">
        <v>1204</v>
      </c>
      <c r="F2676">
        <v>5726</v>
      </c>
      <c r="G2676" t="s">
        <v>687</v>
      </c>
      <c r="I2676" t="s">
        <v>1205</v>
      </c>
      <c r="J2676">
        <v>2</v>
      </c>
    </row>
    <row r="2677" spans="1:10" x14ac:dyDescent="0.3">
      <c r="A2677">
        <v>2789</v>
      </c>
      <c r="B2677" t="s">
        <v>2106</v>
      </c>
      <c r="C2677" t="s">
        <v>1202</v>
      </c>
      <c r="D2677" t="s">
        <v>1203</v>
      </c>
      <c r="E2677" t="s">
        <v>1204</v>
      </c>
      <c r="F2677">
        <v>5726</v>
      </c>
      <c r="G2677" t="s">
        <v>696</v>
      </c>
      <c r="I2677" t="s">
        <v>1205</v>
      </c>
      <c r="J2677">
        <v>895</v>
      </c>
    </row>
    <row r="2678" spans="1:10" x14ac:dyDescent="0.3">
      <c r="A2678">
        <v>2790</v>
      </c>
      <c r="B2678" t="s">
        <v>763</v>
      </c>
      <c r="C2678" t="s">
        <v>1202</v>
      </c>
      <c r="D2678" t="s">
        <v>1203</v>
      </c>
      <c r="E2678" t="s">
        <v>1204</v>
      </c>
      <c r="F2678">
        <v>5830</v>
      </c>
      <c r="G2678" t="s">
        <v>691</v>
      </c>
      <c r="I2678" t="s">
        <v>1205</v>
      </c>
      <c r="J2678">
        <v>14099</v>
      </c>
    </row>
    <row r="2679" spans="1:10" x14ac:dyDescent="0.3">
      <c r="A2679">
        <v>2793</v>
      </c>
      <c r="B2679" t="s">
        <v>2107</v>
      </c>
      <c r="C2679" t="s">
        <v>1202</v>
      </c>
      <c r="D2679" t="s">
        <v>1203</v>
      </c>
      <c r="E2679" t="s">
        <v>1204</v>
      </c>
      <c r="F2679">
        <v>5881</v>
      </c>
      <c r="G2679" t="s">
        <v>686</v>
      </c>
      <c r="H2679" t="s">
        <v>2108</v>
      </c>
      <c r="I2679" t="s">
        <v>1205</v>
      </c>
      <c r="J2679">
        <v>281</v>
      </c>
    </row>
    <row r="2680" spans="1:10" x14ac:dyDescent="0.3">
      <c r="A2680">
        <v>2793</v>
      </c>
      <c r="B2680" t="s">
        <v>2107</v>
      </c>
      <c r="C2680" t="s">
        <v>1202</v>
      </c>
      <c r="D2680" t="s">
        <v>1203</v>
      </c>
      <c r="E2680" t="s">
        <v>1204</v>
      </c>
      <c r="F2680">
        <v>5881</v>
      </c>
      <c r="G2680" t="s">
        <v>687</v>
      </c>
      <c r="H2680" t="s">
        <v>1243</v>
      </c>
      <c r="I2680" t="s">
        <v>1205</v>
      </c>
      <c r="J2680">
        <v>34</v>
      </c>
    </row>
    <row r="2681" spans="1:10" x14ac:dyDescent="0.3">
      <c r="A2681">
        <v>2793</v>
      </c>
      <c r="B2681" t="s">
        <v>2107</v>
      </c>
      <c r="C2681" t="s">
        <v>1202</v>
      </c>
      <c r="D2681" t="s">
        <v>1203</v>
      </c>
      <c r="E2681" t="s">
        <v>1204</v>
      </c>
      <c r="F2681">
        <v>5881</v>
      </c>
      <c r="G2681" t="s">
        <v>687</v>
      </c>
      <c r="H2681" t="s">
        <v>1302</v>
      </c>
      <c r="I2681" t="s">
        <v>1205</v>
      </c>
      <c r="J2681">
        <v>1</v>
      </c>
    </row>
    <row r="2682" spans="1:10" x14ac:dyDescent="0.3">
      <c r="A2682">
        <v>2793</v>
      </c>
      <c r="B2682" t="s">
        <v>2107</v>
      </c>
      <c r="C2682" t="s">
        <v>1202</v>
      </c>
      <c r="D2682" t="s">
        <v>1203</v>
      </c>
      <c r="E2682" t="s">
        <v>1204</v>
      </c>
      <c r="F2682">
        <v>5881</v>
      </c>
      <c r="G2682" t="s">
        <v>696</v>
      </c>
      <c r="I2682" t="s">
        <v>1205</v>
      </c>
      <c r="J2682">
        <v>8483</v>
      </c>
    </row>
    <row r="2683" spans="1:10" x14ac:dyDescent="0.3">
      <c r="A2683">
        <v>2793</v>
      </c>
      <c r="B2683" t="s">
        <v>2107</v>
      </c>
      <c r="C2683" t="s">
        <v>1202</v>
      </c>
      <c r="D2683" t="s">
        <v>1203</v>
      </c>
      <c r="E2683" t="s">
        <v>1204</v>
      </c>
      <c r="F2683">
        <v>5881</v>
      </c>
      <c r="G2683" t="s">
        <v>700</v>
      </c>
      <c r="I2683" t="s">
        <v>1205</v>
      </c>
      <c r="J2683">
        <v>285</v>
      </c>
    </row>
    <row r="2684" spans="1:10" x14ac:dyDescent="0.3">
      <c r="A2684">
        <v>2793</v>
      </c>
      <c r="B2684" t="s">
        <v>2107</v>
      </c>
      <c r="C2684" t="s">
        <v>1202</v>
      </c>
      <c r="D2684" t="s">
        <v>1203</v>
      </c>
      <c r="E2684" t="s">
        <v>1204</v>
      </c>
      <c r="F2684">
        <v>5881</v>
      </c>
      <c r="G2684" t="s">
        <v>702</v>
      </c>
      <c r="I2684" t="s">
        <v>1205</v>
      </c>
      <c r="J2684">
        <v>291</v>
      </c>
    </row>
    <row r="2685" spans="1:10" x14ac:dyDescent="0.3">
      <c r="A2685">
        <v>2793</v>
      </c>
      <c r="B2685" t="s">
        <v>2107</v>
      </c>
      <c r="C2685" t="s">
        <v>1202</v>
      </c>
      <c r="D2685" t="s">
        <v>1203</v>
      </c>
      <c r="E2685" t="s">
        <v>1204</v>
      </c>
      <c r="F2685">
        <v>5881</v>
      </c>
      <c r="G2685" t="s">
        <v>701</v>
      </c>
      <c r="I2685" t="s">
        <v>1205</v>
      </c>
      <c r="J2685">
        <v>36</v>
      </c>
    </row>
    <row r="2686" spans="1:10" x14ac:dyDescent="0.3">
      <c r="A2686">
        <v>2793</v>
      </c>
      <c r="B2686" t="s">
        <v>2107</v>
      </c>
      <c r="C2686" t="s">
        <v>1202</v>
      </c>
      <c r="D2686" t="s">
        <v>1203</v>
      </c>
      <c r="E2686" t="s">
        <v>1204</v>
      </c>
      <c r="F2686">
        <v>5881</v>
      </c>
      <c r="G2686" t="s">
        <v>703</v>
      </c>
      <c r="I2686" t="s">
        <v>1205</v>
      </c>
      <c r="J2686">
        <v>332</v>
      </c>
    </row>
    <row r="2687" spans="1:10" x14ac:dyDescent="0.3">
      <c r="A2687">
        <v>2793</v>
      </c>
      <c r="B2687" t="s">
        <v>2107</v>
      </c>
      <c r="C2687" t="s">
        <v>1202</v>
      </c>
      <c r="D2687" t="s">
        <v>1203</v>
      </c>
      <c r="E2687" t="s">
        <v>1204</v>
      </c>
      <c r="F2687">
        <v>5881</v>
      </c>
      <c r="G2687" t="s">
        <v>698</v>
      </c>
      <c r="I2687" t="s">
        <v>1205</v>
      </c>
      <c r="J2687">
        <v>1141</v>
      </c>
    </row>
    <row r="2688" spans="1:10" x14ac:dyDescent="0.3">
      <c r="A2688">
        <v>2793</v>
      </c>
      <c r="B2688" t="s">
        <v>2107</v>
      </c>
      <c r="C2688" t="s">
        <v>1202</v>
      </c>
      <c r="D2688" t="s">
        <v>1203</v>
      </c>
      <c r="E2688" t="s">
        <v>1204</v>
      </c>
      <c r="F2688">
        <v>5881</v>
      </c>
      <c r="G2688" t="s">
        <v>705</v>
      </c>
      <c r="H2688" t="s">
        <v>2109</v>
      </c>
      <c r="I2688" t="s">
        <v>1205</v>
      </c>
      <c r="J2688">
        <v>460</v>
      </c>
    </row>
  </sheetData>
  <autoFilter ref="A1:J1" xr:uid="{AD0EA2F9-DBE6-41A4-9279-59228F9E5DF5}"/>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31E2A-4AD1-4731-907A-32EEC487393C}">
  <sheetPr codeName="Sheet42" filterMode="1">
    <tabColor rgb="FF7030A0"/>
  </sheetPr>
  <dimension ref="A1:J178"/>
  <sheetViews>
    <sheetView workbookViewId="0"/>
  </sheetViews>
  <sheetFormatPr defaultRowHeight="14.4" x14ac:dyDescent="0.3"/>
  <cols>
    <col min="8" max="8" width="57.109375" customWidth="1"/>
  </cols>
  <sheetData>
    <row r="1" spans="1:10" x14ac:dyDescent="0.3">
      <c r="A1" t="s">
        <v>1191</v>
      </c>
      <c r="B1" t="s">
        <v>1192</v>
      </c>
      <c r="C1" t="s">
        <v>1193</v>
      </c>
      <c r="D1" t="s">
        <v>1194</v>
      </c>
      <c r="E1" t="s">
        <v>1195</v>
      </c>
      <c r="F1" t="s">
        <v>1196</v>
      </c>
      <c r="G1" t="s">
        <v>1197</v>
      </c>
      <c r="H1" t="s">
        <v>1198</v>
      </c>
      <c r="I1" t="s">
        <v>1199</v>
      </c>
      <c r="J1" t="s">
        <v>1200</v>
      </c>
    </row>
    <row r="2" spans="1:10" hidden="1" x14ac:dyDescent="0.3">
      <c r="A2">
        <v>22</v>
      </c>
      <c r="B2" t="s">
        <v>916</v>
      </c>
      <c r="C2" t="s">
        <v>2110</v>
      </c>
      <c r="D2" t="s">
        <v>159</v>
      </c>
      <c r="E2" t="s">
        <v>159</v>
      </c>
      <c r="F2">
        <v>7263</v>
      </c>
      <c r="G2" t="s">
        <v>688</v>
      </c>
      <c r="H2" t="s">
        <v>2111</v>
      </c>
      <c r="I2" t="s">
        <v>1205</v>
      </c>
      <c r="J2">
        <v>38020</v>
      </c>
    </row>
    <row r="3" spans="1:10" hidden="1" x14ac:dyDescent="0.3">
      <c r="A3">
        <v>22</v>
      </c>
      <c r="B3" t="s">
        <v>916</v>
      </c>
      <c r="C3" t="s">
        <v>2110</v>
      </c>
      <c r="D3" t="s">
        <v>159</v>
      </c>
      <c r="E3" t="s">
        <v>159</v>
      </c>
      <c r="F3">
        <v>7263</v>
      </c>
      <c r="G3" t="s">
        <v>684</v>
      </c>
      <c r="H3" t="s">
        <v>2112</v>
      </c>
      <c r="I3" t="s">
        <v>1210</v>
      </c>
      <c r="J3">
        <v>5810</v>
      </c>
    </row>
    <row r="4" spans="1:10" hidden="1" x14ac:dyDescent="0.3">
      <c r="A4">
        <v>22</v>
      </c>
      <c r="B4" t="s">
        <v>916</v>
      </c>
      <c r="C4" t="s">
        <v>2110</v>
      </c>
      <c r="D4" t="s">
        <v>159</v>
      </c>
      <c r="E4" t="s">
        <v>159</v>
      </c>
      <c r="F4">
        <v>7263</v>
      </c>
      <c r="G4" t="s">
        <v>689</v>
      </c>
      <c r="H4" t="s">
        <v>2113</v>
      </c>
      <c r="I4" t="s">
        <v>1205</v>
      </c>
      <c r="J4">
        <v>730</v>
      </c>
    </row>
    <row r="5" spans="1:10" hidden="1" x14ac:dyDescent="0.3">
      <c r="A5">
        <v>22</v>
      </c>
      <c r="B5" t="s">
        <v>916</v>
      </c>
      <c r="C5" t="s">
        <v>2110</v>
      </c>
      <c r="D5" t="s">
        <v>159</v>
      </c>
      <c r="E5" t="s">
        <v>159</v>
      </c>
      <c r="F5">
        <v>7263</v>
      </c>
      <c r="G5" t="s">
        <v>686</v>
      </c>
      <c r="I5" t="s">
        <v>1205</v>
      </c>
      <c r="J5">
        <v>180</v>
      </c>
    </row>
    <row r="6" spans="1:10" hidden="1" x14ac:dyDescent="0.3">
      <c r="A6">
        <v>79</v>
      </c>
      <c r="B6" t="s">
        <v>941</v>
      </c>
      <c r="C6" t="s">
        <v>2110</v>
      </c>
      <c r="D6" t="s">
        <v>1203</v>
      </c>
      <c r="E6" t="s">
        <v>1204</v>
      </c>
      <c r="F6">
        <v>5721</v>
      </c>
      <c r="G6" t="s">
        <v>688</v>
      </c>
      <c r="H6" t="s">
        <v>2114</v>
      </c>
      <c r="I6" t="s">
        <v>1205</v>
      </c>
      <c r="J6">
        <v>2095</v>
      </c>
    </row>
    <row r="7" spans="1:10" hidden="1" x14ac:dyDescent="0.3">
      <c r="A7">
        <v>79</v>
      </c>
      <c r="B7" t="s">
        <v>941</v>
      </c>
      <c r="C7" t="s">
        <v>2110</v>
      </c>
      <c r="D7" t="s">
        <v>1203</v>
      </c>
      <c r="E7" t="s">
        <v>1204</v>
      </c>
      <c r="F7">
        <v>5721</v>
      </c>
      <c r="G7" t="s">
        <v>688</v>
      </c>
      <c r="H7" t="s">
        <v>2115</v>
      </c>
      <c r="I7" t="s">
        <v>1205</v>
      </c>
      <c r="J7">
        <v>1465</v>
      </c>
    </row>
    <row r="8" spans="1:10" hidden="1" x14ac:dyDescent="0.3">
      <c r="A8">
        <v>79</v>
      </c>
      <c r="B8" t="s">
        <v>941</v>
      </c>
      <c r="C8" t="s">
        <v>2110</v>
      </c>
      <c r="D8" t="s">
        <v>1203</v>
      </c>
      <c r="E8" t="s">
        <v>1204</v>
      </c>
      <c r="F8">
        <v>5721</v>
      </c>
      <c r="G8" t="s">
        <v>688</v>
      </c>
      <c r="H8" t="s">
        <v>2116</v>
      </c>
      <c r="I8" t="s">
        <v>1205</v>
      </c>
      <c r="J8">
        <v>1503</v>
      </c>
    </row>
    <row r="9" spans="1:10" hidden="1" x14ac:dyDescent="0.3">
      <c r="A9">
        <v>79</v>
      </c>
      <c r="B9" t="s">
        <v>941</v>
      </c>
      <c r="C9" t="s">
        <v>2110</v>
      </c>
      <c r="D9" t="s">
        <v>1203</v>
      </c>
      <c r="E9" t="s">
        <v>1204</v>
      </c>
      <c r="F9">
        <v>5721</v>
      </c>
      <c r="G9" t="s">
        <v>688</v>
      </c>
      <c r="H9" t="s">
        <v>1835</v>
      </c>
      <c r="I9" t="s">
        <v>1205</v>
      </c>
      <c r="J9">
        <v>2533</v>
      </c>
    </row>
    <row r="10" spans="1:10" hidden="1" x14ac:dyDescent="0.3">
      <c r="A10">
        <v>79</v>
      </c>
      <c r="B10" t="s">
        <v>941</v>
      </c>
      <c r="C10" t="s">
        <v>2110</v>
      </c>
      <c r="D10" t="s">
        <v>1203</v>
      </c>
      <c r="E10" t="s">
        <v>1204</v>
      </c>
      <c r="F10">
        <v>5721</v>
      </c>
      <c r="G10" t="s">
        <v>688</v>
      </c>
      <c r="H10" t="s">
        <v>2117</v>
      </c>
      <c r="I10" t="s">
        <v>1210</v>
      </c>
      <c r="J10">
        <v>837</v>
      </c>
    </row>
    <row r="11" spans="1:10" hidden="1" x14ac:dyDescent="0.3">
      <c r="A11">
        <v>79</v>
      </c>
      <c r="B11" t="s">
        <v>941</v>
      </c>
      <c r="C11" t="s">
        <v>2110</v>
      </c>
      <c r="D11" t="s">
        <v>1203</v>
      </c>
      <c r="E11" t="s">
        <v>1204</v>
      </c>
      <c r="F11">
        <v>5721</v>
      </c>
      <c r="G11" t="s">
        <v>688</v>
      </c>
      <c r="H11" t="s">
        <v>2118</v>
      </c>
      <c r="I11" t="s">
        <v>1205</v>
      </c>
      <c r="J11">
        <v>32847</v>
      </c>
    </row>
    <row r="12" spans="1:10" hidden="1" x14ac:dyDescent="0.3">
      <c r="A12">
        <v>79</v>
      </c>
      <c r="B12" t="s">
        <v>941</v>
      </c>
      <c r="C12" t="s">
        <v>2110</v>
      </c>
      <c r="D12" t="s">
        <v>1203</v>
      </c>
      <c r="E12" t="s">
        <v>1204</v>
      </c>
      <c r="F12">
        <v>5721</v>
      </c>
      <c r="G12" t="s">
        <v>690</v>
      </c>
      <c r="H12" t="s">
        <v>1526</v>
      </c>
      <c r="I12" t="s">
        <v>1210</v>
      </c>
      <c r="J12">
        <v>7213</v>
      </c>
    </row>
    <row r="13" spans="1:10" hidden="1" x14ac:dyDescent="0.3">
      <c r="A13">
        <v>79</v>
      </c>
      <c r="B13" t="s">
        <v>941</v>
      </c>
      <c r="C13" t="s">
        <v>2110</v>
      </c>
      <c r="D13" t="s">
        <v>1203</v>
      </c>
      <c r="E13" t="s">
        <v>1204</v>
      </c>
      <c r="F13">
        <v>5721</v>
      </c>
      <c r="G13" t="s">
        <v>686</v>
      </c>
      <c r="H13" t="s">
        <v>686</v>
      </c>
      <c r="I13" t="s">
        <v>1205</v>
      </c>
      <c r="J13">
        <v>457</v>
      </c>
    </row>
    <row r="14" spans="1:10" hidden="1" x14ac:dyDescent="0.3">
      <c r="A14">
        <v>79</v>
      </c>
      <c r="B14" t="s">
        <v>941</v>
      </c>
      <c r="C14" t="s">
        <v>2110</v>
      </c>
      <c r="D14" t="s">
        <v>1203</v>
      </c>
      <c r="E14" t="s">
        <v>1204</v>
      </c>
      <c r="F14">
        <v>5721</v>
      </c>
      <c r="G14" t="s">
        <v>695</v>
      </c>
      <c r="H14" t="s">
        <v>2119</v>
      </c>
      <c r="I14" t="s">
        <v>1210</v>
      </c>
      <c r="J14">
        <v>11286</v>
      </c>
    </row>
    <row r="15" spans="1:10" hidden="1" x14ac:dyDescent="0.3">
      <c r="A15">
        <v>123</v>
      </c>
      <c r="B15" t="s">
        <v>1242</v>
      </c>
      <c r="C15" t="s">
        <v>2110</v>
      </c>
      <c r="D15" t="s">
        <v>1203</v>
      </c>
      <c r="E15" t="s">
        <v>1204</v>
      </c>
      <c r="F15">
        <v>5757</v>
      </c>
      <c r="G15" t="s">
        <v>690</v>
      </c>
      <c r="H15" t="s">
        <v>2120</v>
      </c>
      <c r="I15" t="s">
        <v>1210</v>
      </c>
      <c r="J15">
        <v>53106</v>
      </c>
    </row>
    <row r="16" spans="1:10" hidden="1" x14ac:dyDescent="0.3">
      <c r="A16">
        <v>123</v>
      </c>
      <c r="B16" t="s">
        <v>1242</v>
      </c>
      <c r="C16" t="s">
        <v>2110</v>
      </c>
      <c r="D16" t="s">
        <v>1203</v>
      </c>
      <c r="E16" t="s">
        <v>1204</v>
      </c>
      <c r="F16">
        <v>5757</v>
      </c>
      <c r="G16" t="s">
        <v>688</v>
      </c>
      <c r="H16" t="s">
        <v>2121</v>
      </c>
      <c r="I16" t="s">
        <v>1210</v>
      </c>
      <c r="J16">
        <v>11124</v>
      </c>
    </row>
    <row r="17" spans="1:10" hidden="1" x14ac:dyDescent="0.3">
      <c r="A17">
        <v>123</v>
      </c>
      <c r="B17" t="s">
        <v>1242</v>
      </c>
      <c r="C17" t="s">
        <v>2110</v>
      </c>
      <c r="D17" t="s">
        <v>1203</v>
      </c>
      <c r="E17" t="s">
        <v>1204</v>
      </c>
      <c r="F17">
        <v>5757</v>
      </c>
      <c r="G17" t="s">
        <v>688</v>
      </c>
      <c r="H17" t="s">
        <v>2122</v>
      </c>
      <c r="I17" t="s">
        <v>1210</v>
      </c>
      <c r="J17">
        <v>5918</v>
      </c>
    </row>
    <row r="18" spans="1:10" hidden="1" x14ac:dyDescent="0.3">
      <c r="A18">
        <v>123</v>
      </c>
      <c r="B18" t="s">
        <v>1242</v>
      </c>
      <c r="C18" t="s">
        <v>2110</v>
      </c>
      <c r="D18" t="s">
        <v>1203</v>
      </c>
      <c r="E18" t="s">
        <v>1204</v>
      </c>
      <c r="F18">
        <v>5757</v>
      </c>
      <c r="G18" t="s">
        <v>691</v>
      </c>
      <c r="H18" t="s">
        <v>2123</v>
      </c>
      <c r="I18" t="s">
        <v>1210</v>
      </c>
      <c r="J18">
        <v>7380</v>
      </c>
    </row>
    <row r="19" spans="1:10" hidden="1" x14ac:dyDescent="0.3">
      <c r="A19">
        <v>433</v>
      </c>
      <c r="B19" t="s">
        <v>2124</v>
      </c>
      <c r="C19" t="s">
        <v>2110</v>
      </c>
      <c r="D19" t="s">
        <v>159</v>
      </c>
      <c r="E19" t="s">
        <v>159</v>
      </c>
      <c r="F19">
        <v>8020</v>
      </c>
      <c r="G19" t="s">
        <v>687</v>
      </c>
      <c r="H19" t="s">
        <v>2125</v>
      </c>
      <c r="I19" t="s">
        <v>1205</v>
      </c>
      <c r="J19">
        <v>1729</v>
      </c>
    </row>
    <row r="20" spans="1:10" hidden="1" x14ac:dyDescent="0.3">
      <c r="A20">
        <v>433</v>
      </c>
      <c r="B20" t="s">
        <v>2124</v>
      </c>
      <c r="C20" t="s">
        <v>2110</v>
      </c>
      <c r="D20" t="s">
        <v>159</v>
      </c>
      <c r="E20" t="s">
        <v>159</v>
      </c>
      <c r="F20">
        <v>8020</v>
      </c>
      <c r="G20" t="s">
        <v>686</v>
      </c>
      <c r="H20" t="s">
        <v>2125</v>
      </c>
      <c r="I20" t="s">
        <v>1205</v>
      </c>
      <c r="J20">
        <v>581</v>
      </c>
    </row>
    <row r="21" spans="1:10" hidden="1" x14ac:dyDescent="0.3">
      <c r="A21">
        <v>433</v>
      </c>
      <c r="B21" t="s">
        <v>2124</v>
      </c>
      <c r="C21" t="s">
        <v>2110</v>
      </c>
      <c r="D21" t="s">
        <v>159</v>
      </c>
      <c r="E21" t="s">
        <v>159</v>
      </c>
      <c r="F21">
        <v>8020</v>
      </c>
      <c r="G21" t="s">
        <v>688</v>
      </c>
      <c r="H21" t="s">
        <v>2125</v>
      </c>
      <c r="I21" t="s">
        <v>1205</v>
      </c>
      <c r="J21">
        <v>89630</v>
      </c>
    </row>
    <row r="22" spans="1:10" hidden="1" x14ac:dyDescent="0.3">
      <c r="A22">
        <v>495</v>
      </c>
      <c r="B22" t="s">
        <v>1382</v>
      </c>
      <c r="C22" t="s">
        <v>2110</v>
      </c>
      <c r="D22" t="s">
        <v>159</v>
      </c>
      <c r="E22" t="s">
        <v>159</v>
      </c>
      <c r="F22">
        <v>5743</v>
      </c>
      <c r="G22" t="s">
        <v>688</v>
      </c>
      <c r="H22" t="s">
        <v>2126</v>
      </c>
      <c r="I22" t="s">
        <v>1205</v>
      </c>
      <c r="J22">
        <v>3095</v>
      </c>
    </row>
    <row r="23" spans="1:10" hidden="1" x14ac:dyDescent="0.3">
      <c r="A23">
        <v>510</v>
      </c>
      <c r="B23" t="s">
        <v>2127</v>
      </c>
      <c r="C23" t="s">
        <v>2110</v>
      </c>
      <c r="D23" t="s">
        <v>1203</v>
      </c>
      <c r="E23" t="s">
        <v>1204</v>
      </c>
      <c r="F23">
        <v>5776</v>
      </c>
      <c r="G23" t="s">
        <v>688</v>
      </c>
      <c r="H23" t="s">
        <v>2128</v>
      </c>
      <c r="I23" t="s">
        <v>1205</v>
      </c>
      <c r="J23">
        <v>16441</v>
      </c>
    </row>
    <row r="24" spans="1:10" hidden="1" x14ac:dyDescent="0.3">
      <c r="A24">
        <v>510</v>
      </c>
      <c r="B24" t="s">
        <v>2127</v>
      </c>
      <c r="C24" t="s">
        <v>2110</v>
      </c>
      <c r="D24" t="s">
        <v>1203</v>
      </c>
      <c r="E24" t="s">
        <v>1204</v>
      </c>
      <c r="F24">
        <v>5776</v>
      </c>
      <c r="G24" t="s">
        <v>690</v>
      </c>
      <c r="H24" t="s">
        <v>2129</v>
      </c>
      <c r="I24" t="s">
        <v>1216</v>
      </c>
      <c r="J24">
        <v>165619</v>
      </c>
    </row>
    <row r="25" spans="1:10" hidden="1" x14ac:dyDescent="0.3">
      <c r="A25">
        <v>510</v>
      </c>
      <c r="B25" t="s">
        <v>2127</v>
      </c>
      <c r="C25" t="s">
        <v>2110</v>
      </c>
      <c r="D25" t="s">
        <v>1203</v>
      </c>
      <c r="E25" t="s">
        <v>1204</v>
      </c>
      <c r="F25">
        <v>5776</v>
      </c>
      <c r="G25" t="s">
        <v>688</v>
      </c>
      <c r="H25" t="s">
        <v>2130</v>
      </c>
      <c r="I25" t="s">
        <v>1210</v>
      </c>
      <c r="J25">
        <v>0</v>
      </c>
    </row>
    <row r="26" spans="1:10" hidden="1" x14ac:dyDescent="0.3">
      <c r="A26">
        <v>514</v>
      </c>
      <c r="B26" t="s">
        <v>2131</v>
      </c>
      <c r="C26" t="s">
        <v>2110</v>
      </c>
      <c r="D26" t="s">
        <v>1203</v>
      </c>
      <c r="E26" t="s">
        <v>1204</v>
      </c>
      <c r="F26">
        <v>5787</v>
      </c>
      <c r="G26" t="s">
        <v>688</v>
      </c>
      <c r="H26" t="s">
        <v>2132</v>
      </c>
      <c r="I26" t="s">
        <v>1205</v>
      </c>
      <c r="J26">
        <v>12175</v>
      </c>
    </row>
    <row r="27" spans="1:10" hidden="1" x14ac:dyDescent="0.3">
      <c r="A27">
        <v>546</v>
      </c>
      <c r="B27" t="s">
        <v>2133</v>
      </c>
      <c r="C27" t="s">
        <v>2110</v>
      </c>
      <c r="D27" t="s">
        <v>1203</v>
      </c>
      <c r="E27" t="s">
        <v>1204</v>
      </c>
      <c r="F27">
        <v>5541</v>
      </c>
      <c r="G27" t="s">
        <v>688</v>
      </c>
      <c r="I27" t="s">
        <v>1205</v>
      </c>
      <c r="J27">
        <v>30247</v>
      </c>
    </row>
    <row r="28" spans="1:10" hidden="1" x14ac:dyDescent="0.3">
      <c r="A28">
        <v>546</v>
      </c>
      <c r="B28" t="s">
        <v>2133</v>
      </c>
      <c r="C28" t="s">
        <v>2110</v>
      </c>
      <c r="D28" t="s">
        <v>1203</v>
      </c>
      <c r="E28" t="s">
        <v>1204</v>
      </c>
      <c r="F28">
        <v>5541</v>
      </c>
      <c r="G28" t="s">
        <v>692</v>
      </c>
      <c r="H28" t="s">
        <v>2134</v>
      </c>
      <c r="I28" t="s">
        <v>1210</v>
      </c>
      <c r="J28">
        <v>4756</v>
      </c>
    </row>
    <row r="29" spans="1:10" hidden="1" x14ac:dyDescent="0.3">
      <c r="A29">
        <v>613</v>
      </c>
      <c r="B29" t="s">
        <v>804</v>
      </c>
      <c r="C29" t="s">
        <v>2110</v>
      </c>
      <c r="D29" t="s">
        <v>1203</v>
      </c>
      <c r="E29" t="s">
        <v>1204</v>
      </c>
      <c r="F29">
        <v>5673</v>
      </c>
      <c r="G29" t="s">
        <v>688</v>
      </c>
      <c r="H29" t="s">
        <v>2135</v>
      </c>
      <c r="I29" t="s">
        <v>1205</v>
      </c>
      <c r="J29">
        <v>5050</v>
      </c>
    </row>
    <row r="30" spans="1:10" hidden="1" x14ac:dyDescent="0.3">
      <c r="A30">
        <v>613</v>
      </c>
      <c r="B30" t="s">
        <v>804</v>
      </c>
      <c r="C30" t="s">
        <v>2110</v>
      </c>
      <c r="D30" t="s">
        <v>1203</v>
      </c>
      <c r="E30" t="s">
        <v>1204</v>
      </c>
      <c r="F30">
        <v>5673</v>
      </c>
      <c r="G30" t="s">
        <v>688</v>
      </c>
      <c r="H30" t="s">
        <v>2136</v>
      </c>
      <c r="I30" t="s">
        <v>1210</v>
      </c>
      <c r="J30">
        <v>33290</v>
      </c>
    </row>
    <row r="31" spans="1:10" hidden="1" x14ac:dyDescent="0.3">
      <c r="A31">
        <v>613</v>
      </c>
      <c r="B31" t="s">
        <v>804</v>
      </c>
      <c r="C31" t="s">
        <v>2110</v>
      </c>
      <c r="D31" t="s">
        <v>1203</v>
      </c>
      <c r="E31" t="s">
        <v>1204</v>
      </c>
      <c r="F31">
        <v>5673</v>
      </c>
      <c r="G31" t="s">
        <v>686</v>
      </c>
      <c r="H31" t="s">
        <v>2137</v>
      </c>
      <c r="I31" t="s">
        <v>1210</v>
      </c>
      <c r="J31">
        <v>5500</v>
      </c>
    </row>
    <row r="32" spans="1:10" hidden="1" x14ac:dyDescent="0.3">
      <c r="A32">
        <v>613</v>
      </c>
      <c r="B32" t="s">
        <v>804</v>
      </c>
      <c r="C32" t="s">
        <v>2110</v>
      </c>
      <c r="D32" t="s">
        <v>1203</v>
      </c>
      <c r="E32" t="s">
        <v>1204</v>
      </c>
      <c r="F32">
        <v>5673</v>
      </c>
      <c r="G32" t="s">
        <v>687</v>
      </c>
      <c r="H32" t="s">
        <v>2138</v>
      </c>
      <c r="I32" t="s">
        <v>1210</v>
      </c>
      <c r="J32">
        <v>2960</v>
      </c>
    </row>
    <row r="33" spans="1:10" hidden="1" x14ac:dyDescent="0.3">
      <c r="A33">
        <v>613</v>
      </c>
      <c r="B33" t="s">
        <v>804</v>
      </c>
      <c r="C33" t="s">
        <v>2110</v>
      </c>
      <c r="D33" t="s">
        <v>1203</v>
      </c>
      <c r="E33" t="s">
        <v>1204</v>
      </c>
      <c r="F33">
        <v>5673</v>
      </c>
      <c r="G33" t="s">
        <v>687</v>
      </c>
      <c r="H33" t="s">
        <v>2139</v>
      </c>
      <c r="I33" t="s">
        <v>1210</v>
      </c>
      <c r="J33">
        <v>63610</v>
      </c>
    </row>
    <row r="34" spans="1:10" hidden="1" x14ac:dyDescent="0.3">
      <c r="A34">
        <v>613</v>
      </c>
      <c r="B34" t="s">
        <v>804</v>
      </c>
      <c r="C34" t="s">
        <v>2110</v>
      </c>
      <c r="D34" t="s">
        <v>1203</v>
      </c>
      <c r="E34" t="s">
        <v>1204</v>
      </c>
      <c r="F34">
        <v>5673</v>
      </c>
      <c r="G34" t="s">
        <v>686</v>
      </c>
      <c r="H34" t="s">
        <v>2140</v>
      </c>
      <c r="I34" t="s">
        <v>1210</v>
      </c>
      <c r="J34">
        <v>6700</v>
      </c>
    </row>
    <row r="35" spans="1:10" hidden="1" x14ac:dyDescent="0.3">
      <c r="A35">
        <v>785</v>
      </c>
      <c r="B35" t="s">
        <v>1476</v>
      </c>
      <c r="C35" t="s">
        <v>2110</v>
      </c>
      <c r="D35" t="s">
        <v>159</v>
      </c>
      <c r="E35" t="s">
        <v>159</v>
      </c>
      <c r="F35">
        <v>5655</v>
      </c>
      <c r="G35" t="s">
        <v>688</v>
      </c>
      <c r="H35" t="s">
        <v>2141</v>
      </c>
      <c r="I35" t="s">
        <v>1205</v>
      </c>
      <c r="J35">
        <v>1656</v>
      </c>
    </row>
    <row r="36" spans="1:10" hidden="1" x14ac:dyDescent="0.3">
      <c r="A36">
        <v>785</v>
      </c>
      <c r="B36" t="s">
        <v>1476</v>
      </c>
      <c r="C36" t="s">
        <v>2110</v>
      </c>
      <c r="D36" t="s">
        <v>159</v>
      </c>
      <c r="E36" t="s">
        <v>159</v>
      </c>
      <c r="F36">
        <v>5655</v>
      </c>
      <c r="G36" t="s">
        <v>688</v>
      </c>
      <c r="H36" t="s">
        <v>2142</v>
      </c>
      <c r="I36" t="s">
        <v>1205</v>
      </c>
      <c r="J36">
        <v>340</v>
      </c>
    </row>
    <row r="37" spans="1:10" hidden="1" x14ac:dyDescent="0.3">
      <c r="A37">
        <v>785</v>
      </c>
      <c r="B37" t="s">
        <v>1476</v>
      </c>
      <c r="C37" t="s">
        <v>2110</v>
      </c>
      <c r="D37" t="s">
        <v>159</v>
      </c>
      <c r="E37" t="s">
        <v>159</v>
      </c>
      <c r="F37">
        <v>5655</v>
      </c>
      <c r="G37" t="s">
        <v>688</v>
      </c>
      <c r="H37" t="s">
        <v>2143</v>
      </c>
      <c r="I37" t="s">
        <v>1205</v>
      </c>
      <c r="J37">
        <v>198</v>
      </c>
    </row>
    <row r="38" spans="1:10" hidden="1" x14ac:dyDescent="0.3">
      <c r="A38">
        <v>785</v>
      </c>
      <c r="B38" t="s">
        <v>1476</v>
      </c>
      <c r="C38" t="s">
        <v>2110</v>
      </c>
      <c r="D38" t="s">
        <v>159</v>
      </c>
      <c r="E38" t="s">
        <v>159</v>
      </c>
      <c r="F38">
        <v>5655</v>
      </c>
      <c r="G38" t="s">
        <v>688</v>
      </c>
      <c r="H38" t="s">
        <v>2144</v>
      </c>
      <c r="I38" t="s">
        <v>1205</v>
      </c>
      <c r="J38">
        <v>375</v>
      </c>
    </row>
    <row r="39" spans="1:10" hidden="1" x14ac:dyDescent="0.3">
      <c r="A39">
        <v>785</v>
      </c>
      <c r="B39" t="s">
        <v>1476</v>
      </c>
      <c r="C39" t="s">
        <v>2110</v>
      </c>
      <c r="D39" t="s">
        <v>159</v>
      </c>
      <c r="E39" t="s">
        <v>159</v>
      </c>
      <c r="F39">
        <v>5655</v>
      </c>
      <c r="G39" t="s">
        <v>688</v>
      </c>
      <c r="H39" t="s">
        <v>2145</v>
      </c>
      <c r="I39" t="s">
        <v>1205</v>
      </c>
      <c r="J39">
        <v>800</v>
      </c>
    </row>
    <row r="40" spans="1:10" hidden="1" x14ac:dyDescent="0.3">
      <c r="A40">
        <v>794</v>
      </c>
      <c r="B40" t="s">
        <v>1483</v>
      </c>
      <c r="C40" t="s">
        <v>2110</v>
      </c>
      <c r="D40" t="s">
        <v>159</v>
      </c>
      <c r="E40" t="s">
        <v>159</v>
      </c>
      <c r="F40">
        <v>6888</v>
      </c>
      <c r="G40" t="s">
        <v>688</v>
      </c>
      <c r="H40" t="s">
        <v>1839</v>
      </c>
      <c r="I40" t="s">
        <v>1205</v>
      </c>
      <c r="J40">
        <v>11105</v>
      </c>
    </row>
    <row r="41" spans="1:10" hidden="1" x14ac:dyDescent="0.3">
      <c r="A41">
        <v>794</v>
      </c>
      <c r="B41" t="s">
        <v>1483</v>
      </c>
      <c r="C41" t="s">
        <v>2110</v>
      </c>
      <c r="D41" t="s">
        <v>159</v>
      </c>
      <c r="E41" t="s">
        <v>159</v>
      </c>
      <c r="F41">
        <v>6888</v>
      </c>
      <c r="G41" t="s">
        <v>688</v>
      </c>
      <c r="H41" t="s">
        <v>2146</v>
      </c>
      <c r="I41" t="s">
        <v>1205</v>
      </c>
      <c r="J41">
        <v>1809</v>
      </c>
    </row>
    <row r="42" spans="1:10" hidden="1" x14ac:dyDescent="0.3">
      <c r="A42">
        <v>794</v>
      </c>
      <c r="B42" t="s">
        <v>1483</v>
      </c>
      <c r="C42" t="s">
        <v>2110</v>
      </c>
      <c r="D42" t="s">
        <v>159</v>
      </c>
      <c r="E42" t="s">
        <v>159</v>
      </c>
      <c r="F42">
        <v>6888</v>
      </c>
      <c r="G42" t="s">
        <v>688</v>
      </c>
      <c r="H42" t="s">
        <v>2147</v>
      </c>
      <c r="I42" t="s">
        <v>1205</v>
      </c>
      <c r="J42">
        <v>1685</v>
      </c>
    </row>
    <row r="43" spans="1:10" hidden="1" x14ac:dyDescent="0.3">
      <c r="A43">
        <v>794</v>
      </c>
      <c r="B43" t="s">
        <v>1483</v>
      </c>
      <c r="C43" t="s">
        <v>2110</v>
      </c>
      <c r="D43" t="s">
        <v>159</v>
      </c>
      <c r="E43" t="s">
        <v>159</v>
      </c>
      <c r="F43">
        <v>6888</v>
      </c>
      <c r="G43" t="s">
        <v>688</v>
      </c>
      <c r="H43" t="s">
        <v>1839</v>
      </c>
      <c r="I43" t="s">
        <v>1210</v>
      </c>
      <c r="J43">
        <v>13923</v>
      </c>
    </row>
    <row r="44" spans="1:10" hidden="1" x14ac:dyDescent="0.3">
      <c r="A44">
        <v>794</v>
      </c>
      <c r="B44" t="s">
        <v>1483</v>
      </c>
      <c r="C44" t="s">
        <v>2110</v>
      </c>
      <c r="D44" t="s">
        <v>159</v>
      </c>
      <c r="E44" t="s">
        <v>159</v>
      </c>
      <c r="F44">
        <v>6888</v>
      </c>
      <c r="G44" t="s">
        <v>688</v>
      </c>
      <c r="H44" t="s">
        <v>2148</v>
      </c>
      <c r="I44" t="s">
        <v>1205</v>
      </c>
      <c r="J44">
        <v>0</v>
      </c>
    </row>
    <row r="45" spans="1:10" hidden="1" x14ac:dyDescent="0.3">
      <c r="A45">
        <v>794</v>
      </c>
      <c r="B45" t="s">
        <v>1483</v>
      </c>
      <c r="C45" t="s">
        <v>2110</v>
      </c>
      <c r="D45" t="s">
        <v>159</v>
      </c>
      <c r="E45" t="s">
        <v>159</v>
      </c>
      <c r="F45">
        <v>6888</v>
      </c>
      <c r="G45" t="s">
        <v>688</v>
      </c>
      <c r="H45" t="s">
        <v>2149</v>
      </c>
      <c r="I45" t="s">
        <v>1205</v>
      </c>
      <c r="J45">
        <v>0</v>
      </c>
    </row>
    <row r="46" spans="1:10" hidden="1" x14ac:dyDescent="0.3">
      <c r="A46">
        <v>794</v>
      </c>
      <c r="B46" t="s">
        <v>1483</v>
      </c>
      <c r="C46" t="s">
        <v>2110</v>
      </c>
      <c r="D46" t="s">
        <v>159</v>
      </c>
      <c r="E46" t="s">
        <v>159</v>
      </c>
      <c r="F46">
        <v>6888</v>
      </c>
      <c r="G46" t="s">
        <v>688</v>
      </c>
      <c r="H46" t="s">
        <v>1631</v>
      </c>
      <c r="I46" t="s">
        <v>1210</v>
      </c>
      <c r="J46">
        <v>986</v>
      </c>
    </row>
    <row r="47" spans="1:10" hidden="1" x14ac:dyDescent="0.3">
      <c r="A47">
        <v>794</v>
      </c>
      <c r="B47" t="s">
        <v>1483</v>
      </c>
      <c r="C47" t="s">
        <v>2110</v>
      </c>
      <c r="D47" t="s">
        <v>159</v>
      </c>
      <c r="E47" t="s">
        <v>159</v>
      </c>
      <c r="F47">
        <v>6888</v>
      </c>
      <c r="G47" t="s">
        <v>690</v>
      </c>
      <c r="H47" t="s">
        <v>2150</v>
      </c>
      <c r="I47" t="s">
        <v>1210</v>
      </c>
      <c r="J47">
        <v>6467</v>
      </c>
    </row>
    <row r="48" spans="1:10" hidden="1" x14ac:dyDescent="0.3">
      <c r="A48">
        <v>794</v>
      </c>
      <c r="B48" t="s">
        <v>1483</v>
      </c>
      <c r="C48" t="s">
        <v>2110</v>
      </c>
      <c r="D48" t="s">
        <v>159</v>
      </c>
      <c r="E48" t="s">
        <v>159</v>
      </c>
      <c r="F48">
        <v>6888</v>
      </c>
      <c r="G48" t="s">
        <v>688</v>
      </c>
      <c r="H48" t="s">
        <v>2151</v>
      </c>
      <c r="I48" t="s">
        <v>1205</v>
      </c>
      <c r="J48">
        <v>409</v>
      </c>
    </row>
    <row r="49" spans="1:10" hidden="1" x14ac:dyDescent="0.3">
      <c r="A49">
        <v>909</v>
      </c>
      <c r="B49" t="s">
        <v>2152</v>
      </c>
      <c r="C49" t="s">
        <v>2110</v>
      </c>
      <c r="D49" t="s">
        <v>159</v>
      </c>
      <c r="E49" t="s">
        <v>159</v>
      </c>
      <c r="F49">
        <v>8042</v>
      </c>
      <c r="G49" t="s">
        <v>686</v>
      </c>
      <c r="I49" t="s">
        <v>1205</v>
      </c>
      <c r="J49">
        <v>1</v>
      </c>
    </row>
    <row r="50" spans="1:10" hidden="1" x14ac:dyDescent="0.3">
      <c r="A50">
        <v>909</v>
      </c>
      <c r="B50" t="s">
        <v>2152</v>
      </c>
      <c r="C50" t="s">
        <v>2110</v>
      </c>
      <c r="D50" t="s">
        <v>159</v>
      </c>
      <c r="E50" t="s">
        <v>159</v>
      </c>
      <c r="F50">
        <v>8042</v>
      </c>
      <c r="G50" t="s">
        <v>688</v>
      </c>
      <c r="H50" t="s">
        <v>2071</v>
      </c>
      <c r="I50" t="s">
        <v>1205</v>
      </c>
      <c r="J50">
        <v>2549.9</v>
      </c>
    </row>
    <row r="51" spans="1:10" hidden="1" x14ac:dyDescent="0.3">
      <c r="A51">
        <v>909</v>
      </c>
      <c r="B51" t="s">
        <v>2152</v>
      </c>
      <c r="C51" t="s">
        <v>2110</v>
      </c>
      <c r="D51" t="s">
        <v>159</v>
      </c>
      <c r="E51" t="s">
        <v>159</v>
      </c>
      <c r="F51">
        <v>8042</v>
      </c>
      <c r="G51" t="s">
        <v>688</v>
      </c>
      <c r="H51" t="s">
        <v>2153</v>
      </c>
      <c r="I51" t="s">
        <v>1205</v>
      </c>
      <c r="J51">
        <v>0</v>
      </c>
    </row>
    <row r="52" spans="1:10" hidden="1" x14ac:dyDescent="0.3">
      <c r="A52">
        <v>909</v>
      </c>
      <c r="B52" t="s">
        <v>2152</v>
      </c>
      <c r="C52" t="s">
        <v>2110</v>
      </c>
      <c r="D52" t="s">
        <v>159</v>
      </c>
      <c r="E52" t="s">
        <v>159</v>
      </c>
      <c r="F52">
        <v>8042</v>
      </c>
      <c r="G52" t="s">
        <v>688</v>
      </c>
      <c r="H52" t="s">
        <v>2154</v>
      </c>
      <c r="I52" t="s">
        <v>1205</v>
      </c>
      <c r="J52">
        <v>573.70000000000005</v>
      </c>
    </row>
    <row r="53" spans="1:10" hidden="1" x14ac:dyDescent="0.3">
      <c r="A53">
        <v>909</v>
      </c>
      <c r="B53" t="s">
        <v>2152</v>
      </c>
      <c r="C53" t="s">
        <v>2110</v>
      </c>
      <c r="D53" t="s">
        <v>159</v>
      </c>
      <c r="E53" t="s">
        <v>159</v>
      </c>
      <c r="F53">
        <v>8042</v>
      </c>
      <c r="G53" t="s">
        <v>688</v>
      </c>
      <c r="H53" t="s">
        <v>2155</v>
      </c>
      <c r="I53" t="s">
        <v>1205</v>
      </c>
      <c r="J53">
        <v>1959</v>
      </c>
    </row>
    <row r="54" spans="1:10" hidden="1" x14ac:dyDescent="0.3">
      <c r="A54">
        <v>909</v>
      </c>
      <c r="B54" t="s">
        <v>2152</v>
      </c>
      <c r="C54" t="s">
        <v>2110</v>
      </c>
      <c r="D54" t="s">
        <v>159</v>
      </c>
      <c r="E54" t="s">
        <v>159</v>
      </c>
      <c r="F54">
        <v>8042</v>
      </c>
      <c r="G54" t="s">
        <v>688</v>
      </c>
      <c r="H54" t="s">
        <v>2156</v>
      </c>
      <c r="I54" t="s">
        <v>1205</v>
      </c>
      <c r="J54">
        <v>448.4</v>
      </c>
    </row>
    <row r="55" spans="1:10" hidden="1" x14ac:dyDescent="0.3">
      <c r="A55">
        <v>909</v>
      </c>
      <c r="B55" t="s">
        <v>2152</v>
      </c>
      <c r="C55" t="s">
        <v>2110</v>
      </c>
      <c r="D55" t="s">
        <v>159</v>
      </c>
      <c r="E55" t="s">
        <v>159</v>
      </c>
      <c r="F55">
        <v>8042</v>
      </c>
      <c r="G55" t="s">
        <v>688</v>
      </c>
      <c r="H55" t="s">
        <v>2157</v>
      </c>
      <c r="I55" t="s">
        <v>1205</v>
      </c>
      <c r="J55">
        <v>2424.5</v>
      </c>
    </row>
    <row r="56" spans="1:10" hidden="1" x14ac:dyDescent="0.3">
      <c r="A56">
        <v>909</v>
      </c>
      <c r="B56" t="s">
        <v>2152</v>
      </c>
      <c r="C56" t="s">
        <v>2110</v>
      </c>
      <c r="D56" t="s">
        <v>159</v>
      </c>
      <c r="E56" t="s">
        <v>159</v>
      </c>
      <c r="F56">
        <v>8042</v>
      </c>
      <c r="G56" t="s">
        <v>688</v>
      </c>
      <c r="H56" t="s">
        <v>2158</v>
      </c>
      <c r="I56" t="s">
        <v>1205</v>
      </c>
      <c r="J56">
        <v>0</v>
      </c>
    </row>
    <row r="57" spans="1:10" hidden="1" x14ac:dyDescent="0.3">
      <c r="A57">
        <v>909</v>
      </c>
      <c r="B57" t="s">
        <v>2152</v>
      </c>
      <c r="C57" t="s">
        <v>2110</v>
      </c>
      <c r="D57" t="s">
        <v>159</v>
      </c>
      <c r="E57" t="s">
        <v>159</v>
      </c>
      <c r="F57">
        <v>8042</v>
      </c>
      <c r="G57" t="s">
        <v>688</v>
      </c>
      <c r="H57" t="s">
        <v>1647</v>
      </c>
      <c r="I57" t="s">
        <v>1205</v>
      </c>
      <c r="J57">
        <v>46.7</v>
      </c>
    </row>
    <row r="58" spans="1:10" hidden="1" x14ac:dyDescent="0.3">
      <c r="A58">
        <v>1144</v>
      </c>
      <c r="B58" t="s">
        <v>1581</v>
      </c>
      <c r="C58" t="s">
        <v>2110</v>
      </c>
      <c r="D58" t="s">
        <v>1203</v>
      </c>
      <c r="E58" t="s">
        <v>1204</v>
      </c>
      <c r="F58">
        <v>6619</v>
      </c>
      <c r="G58" t="s">
        <v>688</v>
      </c>
      <c r="H58" t="s">
        <v>2159</v>
      </c>
      <c r="I58" t="s">
        <v>1205</v>
      </c>
      <c r="J58">
        <v>64.446644849999998</v>
      </c>
    </row>
    <row r="59" spans="1:10" hidden="1" x14ac:dyDescent="0.3">
      <c r="A59">
        <v>1209</v>
      </c>
      <c r="B59" t="s">
        <v>2160</v>
      </c>
      <c r="C59" t="s">
        <v>2110</v>
      </c>
      <c r="D59" t="s">
        <v>1203</v>
      </c>
      <c r="E59" t="s">
        <v>1204</v>
      </c>
      <c r="F59">
        <v>5873</v>
      </c>
      <c r="G59" t="s">
        <v>689</v>
      </c>
      <c r="I59" t="s">
        <v>1205</v>
      </c>
      <c r="J59">
        <v>274</v>
      </c>
    </row>
    <row r="60" spans="1:10" hidden="1" x14ac:dyDescent="0.3">
      <c r="A60">
        <v>1209</v>
      </c>
      <c r="B60" t="s">
        <v>2160</v>
      </c>
      <c r="C60" t="s">
        <v>2110</v>
      </c>
      <c r="D60" t="s">
        <v>1203</v>
      </c>
      <c r="E60" t="s">
        <v>1204</v>
      </c>
      <c r="F60">
        <v>5873</v>
      </c>
      <c r="G60" t="s">
        <v>688</v>
      </c>
      <c r="H60" t="s">
        <v>2161</v>
      </c>
      <c r="I60" t="s">
        <v>1205</v>
      </c>
      <c r="J60">
        <v>103</v>
      </c>
    </row>
    <row r="61" spans="1:10" hidden="1" x14ac:dyDescent="0.3">
      <c r="A61">
        <v>1209</v>
      </c>
      <c r="B61" t="s">
        <v>2160</v>
      </c>
      <c r="C61" t="s">
        <v>2110</v>
      </c>
      <c r="D61" t="s">
        <v>1203</v>
      </c>
      <c r="E61" t="s">
        <v>1204</v>
      </c>
      <c r="F61">
        <v>5873</v>
      </c>
      <c r="G61" t="s">
        <v>688</v>
      </c>
      <c r="H61" t="s">
        <v>2162</v>
      </c>
      <c r="I61" t="s">
        <v>1205</v>
      </c>
      <c r="J61">
        <v>178</v>
      </c>
    </row>
    <row r="62" spans="1:10" hidden="1" x14ac:dyDescent="0.3">
      <c r="A62">
        <v>1209</v>
      </c>
      <c r="B62" t="s">
        <v>2160</v>
      </c>
      <c r="C62" t="s">
        <v>2110</v>
      </c>
      <c r="D62" t="s">
        <v>1203</v>
      </c>
      <c r="E62" t="s">
        <v>1204</v>
      </c>
      <c r="F62">
        <v>5873</v>
      </c>
      <c r="G62" t="s">
        <v>688</v>
      </c>
      <c r="H62" t="s">
        <v>2163</v>
      </c>
      <c r="I62" t="s">
        <v>1205</v>
      </c>
      <c r="J62">
        <v>1481</v>
      </c>
    </row>
    <row r="63" spans="1:10" hidden="1" x14ac:dyDescent="0.3">
      <c r="A63">
        <v>1209</v>
      </c>
      <c r="B63" t="s">
        <v>2160</v>
      </c>
      <c r="C63" t="s">
        <v>2110</v>
      </c>
      <c r="D63" t="s">
        <v>1203</v>
      </c>
      <c r="E63" t="s">
        <v>1204</v>
      </c>
      <c r="F63">
        <v>5873</v>
      </c>
      <c r="G63" t="s">
        <v>688</v>
      </c>
      <c r="H63" t="s">
        <v>2164</v>
      </c>
      <c r="I63" t="s">
        <v>1205</v>
      </c>
      <c r="J63">
        <v>809</v>
      </c>
    </row>
    <row r="64" spans="1:10" hidden="1" x14ac:dyDescent="0.3">
      <c r="A64">
        <v>1209</v>
      </c>
      <c r="B64" t="s">
        <v>2160</v>
      </c>
      <c r="C64" t="s">
        <v>2110</v>
      </c>
      <c r="D64" t="s">
        <v>1203</v>
      </c>
      <c r="E64" t="s">
        <v>1204</v>
      </c>
      <c r="F64">
        <v>5873</v>
      </c>
      <c r="G64" t="s">
        <v>688</v>
      </c>
      <c r="H64" t="s">
        <v>2165</v>
      </c>
      <c r="I64" t="s">
        <v>1205</v>
      </c>
      <c r="J64">
        <v>186</v>
      </c>
    </row>
    <row r="65" spans="1:10" hidden="1" x14ac:dyDescent="0.3">
      <c r="A65">
        <v>1209</v>
      </c>
      <c r="B65" t="s">
        <v>2160</v>
      </c>
      <c r="C65" t="s">
        <v>2110</v>
      </c>
      <c r="D65" t="s">
        <v>1203</v>
      </c>
      <c r="E65" t="s">
        <v>1204</v>
      </c>
      <c r="F65">
        <v>5873</v>
      </c>
      <c r="G65" t="s">
        <v>688</v>
      </c>
      <c r="H65" t="s">
        <v>2166</v>
      </c>
      <c r="I65" t="s">
        <v>1205</v>
      </c>
      <c r="J65">
        <v>3554</v>
      </c>
    </row>
    <row r="66" spans="1:10" hidden="1" x14ac:dyDescent="0.3">
      <c r="A66">
        <v>1209</v>
      </c>
      <c r="B66" t="s">
        <v>2160</v>
      </c>
      <c r="C66" t="s">
        <v>2110</v>
      </c>
      <c r="D66" t="s">
        <v>1203</v>
      </c>
      <c r="E66" t="s">
        <v>1204</v>
      </c>
      <c r="F66">
        <v>5873</v>
      </c>
      <c r="G66" t="s">
        <v>686</v>
      </c>
      <c r="H66" t="s">
        <v>2167</v>
      </c>
      <c r="I66" t="s">
        <v>1205</v>
      </c>
      <c r="J66">
        <v>5</v>
      </c>
    </row>
    <row r="67" spans="1:10" hidden="1" x14ac:dyDescent="0.3">
      <c r="A67">
        <v>1209</v>
      </c>
      <c r="B67" t="s">
        <v>2160</v>
      </c>
      <c r="C67" t="s">
        <v>2110</v>
      </c>
      <c r="D67" t="s">
        <v>1203</v>
      </c>
      <c r="E67" t="s">
        <v>1204</v>
      </c>
      <c r="F67">
        <v>5873</v>
      </c>
      <c r="G67" t="s">
        <v>688</v>
      </c>
      <c r="H67" t="s">
        <v>2168</v>
      </c>
      <c r="I67" t="s">
        <v>1205</v>
      </c>
      <c r="J67">
        <v>1679</v>
      </c>
    </row>
    <row r="68" spans="1:10" hidden="1" x14ac:dyDescent="0.3">
      <c r="A68">
        <v>1239</v>
      </c>
      <c r="B68" t="s">
        <v>2169</v>
      </c>
      <c r="C68" t="s">
        <v>2110</v>
      </c>
      <c r="D68" t="s">
        <v>159</v>
      </c>
      <c r="E68" t="s">
        <v>159</v>
      </c>
      <c r="F68">
        <v>6849</v>
      </c>
      <c r="G68" t="s">
        <v>688</v>
      </c>
      <c r="H68" t="s">
        <v>2170</v>
      </c>
      <c r="I68" t="s">
        <v>1210</v>
      </c>
      <c r="J68">
        <v>66438</v>
      </c>
    </row>
    <row r="69" spans="1:10" hidden="1" x14ac:dyDescent="0.3">
      <c r="A69">
        <v>1288</v>
      </c>
      <c r="B69" t="s">
        <v>908</v>
      </c>
      <c r="C69" t="s">
        <v>2110</v>
      </c>
      <c r="D69" t="s">
        <v>159</v>
      </c>
      <c r="E69" t="s">
        <v>159</v>
      </c>
      <c r="F69">
        <v>5581</v>
      </c>
      <c r="G69" t="s">
        <v>686</v>
      </c>
      <c r="H69" t="s">
        <v>2171</v>
      </c>
      <c r="I69" t="s">
        <v>1210</v>
      </c>
      <c r="J69">
        <v>2873</v>
      </c>
    </row>
    <row r="70" spans="1:10" hidden="1" x14ac:dyDescent="0.3">
      <c r="A70">
        <v>1288</v>
      </c>
      <c r="B70" t="s">
        <v>908</v>
      </c>
      <c r="C70" t="s">
        <v>2110</v>
      </c>
      <c r="D70" t="s">
        <v>159</v>
      </c>
      <c r="E70" t="s">
        <v>159</v>
      </c>
      <c r="F70">
        <v>5581</v>
      </c>
      <c r="G70" t="s">
        <v>688</v>
      </c>
      <c r="I70" t="s">
        <v>1205</v>
      </c>
      <c r="J70">
        <v>41638</v>
      </c>
    </row>
    <row r="71" spans="1:10" hidden="1" x14ac:dyDescent="0.3">
      <c r="A71">
        <v>1288</v>
      </c>
      <c r="B71" t="s">
        <v>908</v>
      </c>
      <c r="C71" t="s">
        <v>2110</v>
      </c>
      <c r="D71" t="s">
        <v>159</v>
      </c>
      <c r="E71" t="s">
        <v>159</v>
      </c>
      <c r="F71">
        <v>5581</v>
      </c>
      <c r="G71" t="s">
        <v>690</v>
      </c>
      <c r="H71" t="s">
        <v>2172</v>
      </c>
      <c r="I71" t="s">
        <v>1210</v>
      </c>
      <c r="J71">
        <v>15082</v>
      </c>
    </row>
    <row r="72" spans="1:10" hidden="1" x14ac:dyDescent="0.3">
      <c r="A72">
        <v>1599</v>
      </c>
      <c r="B72" t="s">
        <v>955</v>
      </c>
      <c r="C72" t="s">
        <v>2110</v>
      </c>
      <c r="D72" t="s">
        <v>159</v>
      </c>
      <c r="E72" t="s">
        <v>159</v>
      </c>
      <c r="F72">
        <v>5421</v>
      </c>
      <c r="G72" t="s">
        <v>688</v>
      </c>
      <c r="I72" t="s">
        <v>1205</v>
      </c>
      <c r="J72">
        <v>789218</v>
      </c>
    </row>
    <row r="73" spans="1:10" hidden="1" x14ac:dyDescent="0.3">
      <c r="A73">
        <v>1599</v>
      </c>
      <c r="B73" t="s">
        <v>955</v>
      </c>
      <c r="C73" t="s">
        <v>2110</v>
      </c>
      <c r="D73" t="s">
        <v>159</v>
      </c>
      <c r="E73" t="s">
        <v>159</v>
      </c>
      <c r="F73">
        <v>5421</v>
      </c>
      <c r="G73" t="s">
        <v>688</v>
      </c>
      <c r="I73" t="s">
        <v>1210</v>
      </c>
      <c r="J73">
        <v>605043</v>
      </c>
    </row>
    <row r="74" spans="1:10" hidden="1" x14ac:dyDescent="0.3">
      <c r="A74">
        <v>1599</v>
      </c>
      <c r="B74" t="s">
        <v>955</v>
      </c>
      <c r="C74" t="s">
        <v>2110</v>
      </c>
      <c r="D74" t="s">
        <v>159</v>
      </c>
      <c r="E74" t="s">
        <v>159</v>
      </c>
      <c r="F74">
        <v>5421</v>
      </c>
      <c r="G74" t="s">
        <v>686</v>
      </c>
      <c r="J74">
        <v>48520</v>
      </c>
    </row>
    <row r="75" spans="1:10" hidden="1" x14ac:dyDescent="0.3">
      <c r="A75">
        <v>1632</v>
      </c>
      <c r="B75" t="s">
        <v>2173</v>
      </c>
      <c r="C75" t="s">
        <v>2110</v>
      </c>
      <c r="D75" t="s">
        <v>159</v>
      </c>
      <c r="E75" t="s">
        <v>159</v>
      </c>
      <c r="F75">
        <v>8062</v>
      </c>
      <c r="G75" t="s">
        <v>688</v>
      </c>
      <c r="H75" t="s">
        <v>2174</v>
      </c>
      <c r="I75" t="s">
        <v>1205</v>
      </c>
      <c r="J75">
        <v>26053</v>
      </c>
    </row>
    <row r="76" spans="1:10" hidden="1" x14ac:dyDescent="0.3">
      <c r="A76">
        <v>1632</v>
      </c>
      <c r="B76" t="s">
        <v>2173</v>
      </c>
      <c r="C76" t="s">
        <v>2110</v>
      </c>
      <c r="D76" t="s">
        <v>159</v>
      </c>
      <c r="E76" t="s">
        <v>159</v>
      </c>
      <c r="F76">
        <v>8062</v>
      </c>
      <c r="G76" t="s">
        <v>686</v>
      </c>
      <c r="I76" t="s">
        <v>1205</v>
      </c>
      <c r="J76">
        <v>52</v>
      </c>
    </row>
    <row r="77" spans="1:10" hidden="1" x14ac:dyDescent="0.3">
      <c r="A77">
        <v>1635</v>
      </c>
      <c r="B77" t="s">
        <v>829</v>
      </c>
      <c r="C77" t="s">
        <v>2110</v>
      </c>
      <c r="D77" t="s">
        <v>159</v>
      </c>
      <c r="E77" t="s">
        <v>159</v>
      </c>
      <c r="F77">
        <v>7838</v>
      </c>
      <c r="G77" t="s">
        <v>692</v>
      </c>
      <c r="H77" t="s">
        <v>2175</v>
      </c>
      <c r="I77" t="s">
        <v>1210</v>
      </c>
      <c r="J77">
        <v>129400</v>
      </c>
    </row>
    <row r="78" spans="1:10" hidden="1" x14ac:dyDescent="0.3">
      <c r="A78">
        <v>1642</v>
      </c>
      <c r="B78" t="s">
        <v>1720</v>
      </c>
      <c r="C78" t="s">
        <v>2110</v>
      </c>
      <c r="D78" t="s">
        <v>1203</v>
      </c>
      <c r="E78" t="s">
        <v>1204</v>
      </c>
      <c r="F78">
        <v>5531</v>
      </c>
      <c r="G78" t="s">
        <v>688</v>
      </c>
      <c r="I78" t="s">
        <v>1205</v>
      </c>
      <c r="J78">
        <v>7707</v>
      </c>
    </row>
    <row r="79" spans="1:10" hidden="1" x14ac:dyDescent="0.3">
      <c r="A79">
        <v>1684</v>
      </c>
      <c r="B79" t="s">
        <v>2176</v>
      </c>
      <c r="C79" t="s">
        <v>2110</v>
      </c>
      <c r="D79" t="s">
        <v>159</v>
      </c>
      <c r="E79" t="s">
        <v>159</v>
      </c>
      <c r="F79">
        <v>5423</v>
      </c>
      <c r="G79" t="s">
        <v>688</v>
      </c>
      <c r="H79" t="s">
        <v>2177</v>
      </c>
      <c r="I79" t="s">
        <v>1205</v>
      </c>
      <c r="J79">
        <v>142879</v>
      </c>
    </row>
    <row r="80" spans="1:10" hidden="1" x14ac:dyDescent="0.3">
      <c r="A80">
        <v>1684</v>
      </c>
      <c r="B80" t="s">
        <v>2176</v>
      </c>
      <c r="C80" t="s">
        <v>2110</v>
      </c>
      <c r="D80" t="s">
        <v>159</v>
      </c>
      <c r="E80" t="s">
        <v>159</v>
      </c>
      <c r="F80">
        <v>5423</v>
      </c>
      <c r="G80" t="s">
        <v>691</v>
      </c>
      <c r="H80" t="s">
        <v>2178</v>
      </c>
      <c r="I80" t="s">
        <v>1210</v>
      </c>
      <c r="J80">
        <v>649</v>
      </c>
    </row>
    <row r="81" spans="1:10" hidden="1" x14ac:dyDescent="0.3">
      <c r="A81">
        <v>1684</v>
      </c>
      <c r="B81" t="s">
        <v>2176</v>
      </c>
      <c r="C81" t="s">
        <v>2110</v>
      </c>
      <c r="D81" t="s">
        <v>159</v>
      </c>
      <c r="E81" t="s">
        <v>159</v>
      </c>
      <c r="F81">
        <v>5423</v>
      </c>
      <c r="G81" t="s">
        <v>690</v>
      </c>
      <c r="H81" t="s">
        <v>2179</v>
      </c>
      <c r="I81" t="s">
        <v>1210</v>
      </c>
      <c r="J81">
        <v>18027</v>
      </c>
    </row>
    <row r="82" spans="1:10" x14ac:dyDescent="0.3">
      <c r="A82">
        <v>1927</v>
      </c>
      <c r="B82" t="s">
        <v>771</v>
      </c>
      <c r="C82" t="s">
        <v>2110</v>
      </c>
      <c r="D82" t="s">
        <v>1203</v>
      </c>
      <c r="E82" t="s">
        <v>1204</v>
      </c>
      <c r="F82">
        <v>6885</v>
      </c>
      <c r="G82" t="s">
        <v>688</v>
      </c>
      <c r="I82" t="s">
        <v>1205</v>
      </c>
      <c r="J82">
        <v>11450</v>
      </c>
    </row>
    <row r="83" spans="1:10" x14ac:dyDescent="0.3">
      <c r="A83">
        <v>1927</v>
      </c>
      <c r="B83" t="s">
        <v>771</v>
      </c>
      <c r="C83" t="s">
        <v>2110</v>
      </c>
      <c r="D83" t="s">
        <v>1203</v>
      </c>
      <c r="E83" t="s">
        <v>1204</v>
      </c>
      <c r="F83">
        <v>6885</v>
      </c>
      <c r="G83" t="s">
        <v>688</v>
      </c>
      <c r="I83" t="s">
        <v>1210</v>
      </c>
      <c r="J83">
        <v>19926</v>
      </c>
    </row>
    <row r="84" spans="1:10" hidden="1" x14ac:dyDescent="0.3">
      <c r="A84">
        <v>1954</v>
      </c>
      <c r="B84" t="s">
        <v>2180</v>
      </c>
      <c r="C84" t="s">
        <v>2110</v>
      </c>
      <c r="D84" t="s">
        <v>1203</v>
      </c>
      <c r="E84" t="s">
        <v>1204</v>
      </c>
      <c r="F84">
        <v>5648</v>
      </c>
      <c r="G84" t="s">
        <v>689</v>
      </c>
      <c r="H84" t="s">
        <v>2181</v>
      </c>
      <c r="I84" t="s">
        <v>1205</v>
      </c>
      <c r="J84">
        <v>14</v>
      </c>
    </row>
    <row r="85" spans="1:10" hidden="1" x14ac:dyDescent="0.3">
      <c r="A85">
        <v>1954</v>
      </c>
      <c r="B85" t="s">
        <v>2180</v>
      </c>
      <c r="C85" t="s">
        <v>2110</v>
      </c>
      <c r="D85" t="s">
        <v>1203</v>
      </c>
      <c r="E85" t="s">
        <v>1204</v>
      </c>
      <c r="F85">
        <v>5648</v>
      </c>
      <c r="G85" t="s">
        <v>688</v>
      </c>
      <c r="H85" t="s">
        <v>2182</v>
      </c>
      <c r="I85" t="s">
        <v>1205</v>
      </c>
      <c r="J85">
        <v>1865</v>
      </c>
    </row>
    <row r="86" spans="1:10" hidden="1" x14ac:dyDescent="0.3">
      <c r="A86">
        <v>1954</v>
      </c>
      <c r="B86" t="s">
        <v>2180</v>
      </c>
      <c r="C86" t="s">
        <v>2110</v>
      </c>
      <c r="D86" t="s">
        <v>1203</v>
      </c>
      <c r="E86" t="s">
        <v>1204</v>
      </c>
      <c r="F86">
        <v>5648</v>
      </c>
      <c r="G86" t="s">
        <v>688</v>
      </c>
      <c r="H86" t="s">
        <v>2183</v>
      </c>
      <c r="I86" t="s">
        <v>1205</v>
      </c>
      <c r="J86">
        <v>455</v>
      </c>
    </row>
    <row r="87" spans="1:10" hidden="1" x14ac:dyDescent="0.3">
      <c r="A87">
        <v>1954</v>
      </c>
      <c r="B87" t="s">
        <v>2180</v>
      </c>
      <c r="C87" t="s">
        <v>2110</v>
      </c>
      <c r="D87" t="s">
        <v>1203</v>
      </c>
      <c r="E87" t="s">
        <v>1204</v>
      </c>
      <c r="F87">
        <v>5648</v>
      </c>
      <c r="G87" t="s">
        <v>686</v>
      </c>
      <c r="I87" t="s">
        <v>1205</v>
      </c>
      <c r="J87">
        <v>129</v>
      </c>
    </row>
    <row r="88" spans="1:10" hidden="1" x14ac:dyDescent="0.3">
      <c r="A88">
        <v>1954</v>
      </c>
      <c r="B88" t="s">
        <v>2180</v>
      </c>
      <c r="C88" t="s">
        <v>2110</v>
      </c>
      <c r="D88" t="s">
        <v>1203</v>
      </c>
      <c r="E88" t="s">
        <v>1204</v>
      </c>
      <c r="F88">
        <v>5648</v>
      </c>
      <c r="G88" t="s">
        <v>687</v>
      </c>
      <c r="H88" t="s">
        <v>2184</v>
      </c>
      <c r="I88" t="s">
        <v>1210</v>
      </c>
      <c r="J88">
        <v>387</v>
      </c>
    </row>
    <row r="89" spans="1:10" hidden="1" x14ac:dyDescent="0.3">
      <c r="A89">
        <v>1954</v>
      </c>
      <c r="B89" t="s">
        <v>2180</v>
      </c>
      <c r="C89" t="s">
        <v>2110</v>
      </c>
      <c r="D89" t="s">
        <v>1203</v>
      </c>
      <c r="E89" t="s">
        <v>1204</v>
      </c>
      <c r="F89">
        <v>5648</v>
      </c>
      <c r="G89" t="s">
        <v>688</v>
      </c>
      <c r="H89" t="s">
        <v>2185</v>
      </c>
      <c r="I89" t="s">
        <v>1205</v>
      </c>
      <c r="J89">
        <v>1191</v>
      </c>
    </row>
    <row r="90" spans="1:10" hidden="1" x14ac:dyDescent="0.3">
      <c r="A90">
        <v>2083</v>
      </c>
      <c r="B90" t="s">
        <v>1854</v>
      </c>
      <c r="C90" t="s">
        <v>2110</v>
      </c>
      <c r="D90" t="s">
        <v>159</v>
      </c>
      <c r="E90" t="s">
        <v>159</v>
      </c>
      <c r="F90">
        <v>5706</v>
      </c>
      <c r="G90" t="s">
        <v>688</v>
      </c>
      <c r="H90" t="s">
        <v>1858</v>
      </c>
      <c r="I90" t="s">
        <v>1205</v>
      </c>
      <c r="J90">
        <v>3163</v>
      </c>
    </row>
    <row r="91" spans="1:10" hidden="1" x14ac:dyDescent="0.3">
      <c r="A91">
        <v>2083</v>
      </c>
      <c r="B91" t="s">
        <v>1854</v>
      </c>
      <c r="C91" t="s">
        <v>2110</v>
      </c>
      <c r="D91" t="s">
        <v>159</v>
      </c>
      <c r="E91" t="s">
        <v>159</v>
      </c>
      <c r="F91">
        <v>5706</v>
      </c>
      <c r="G91" t="s">
        <v>688</v>
      </c>
      <c r="H91" t="s">
        <v>2186</v>
      </c>
      <c r="I91" t="s">
        <v>1205</v>
      </c>
      <c r="J91">
        <v>477</v>
      </c>
    </row>
    <row r="92" spans="1:10" hidden="1" x14ac:dyDescent="0.3">
      <c r="A92">
        <v>2130</v>
      </c>
      <c r="B92" t="s">
        <v>1879</v>
      </c>
      <c r="C92" t="s">
        <v>2110</v>
      </c>
      <c r="D92" t="s">
        <v>159</v>
      </c>
      <c r="E92" t="s">
        <v>159</v>
      </c>
      <c r="F92">
        <v>6776</v>
      </c>
      <c r="G92" t="s">
        <v>688</v>
      </c>
      <c r="H92" t="s">
        <v>2187</v>
      </c>
      <c r="I92" t="s">
        <v>1205</v>
      </c>
      <c r="J92">
        <v>1022</v>
      </c>
    </row>
    <row r="93" spans="1:10" hidden="1" x14ac:dyDescent="0.3">
      <c r="A93">
        <v>2130</v>
      </c>
      <c r="B93" t="s">
        <v>1879</v>
      </c>
      <c r="C93" t="s">
        <v>2110</v>
      </c>
      <c r="D93" t="s">
        <v>159</v>
      </c>
      <c r="E93" t="s">
        <v>159</v>
      </c>
      <c r="F93">
        <v>6776</v>
      </c>
      <c r="G93" t="s">
        <v>688</v>
      </c>
      <c r="H93" t="s">
        <v>2188</v>
      </c>
      <c r="I93" t="s">
        <v>1205</v>
      </c>
      <c r="J93">
        <v>1127</v>
      </c>
    </row>
    <row r="94" spans="1:10" hidden="1" x14ac:dyDescent="0.3">
      <c r="A94">
        <v>2130</v>
      </c>
      <c r="B94" t="s">
        <v>1879</v>
      </c>
      <c r="C94" t="s">
        <v>2110</v>
      </c>
      <c r="D94" t="s">
        <v>159</v>
      </c>
      <c r="E94" t="s">
        <v>159</v>
      </c>
      <c r="F94">
        <v>6776</v>
      </c>
      <c r="G94" t="s">
        <v>688</v>
      </c>
      <c r="H94" t="s">
        <v>2189</v>
      </c>
      <c r="I94" t="s">
        <v>1205</v>
      </c>
      <c r="J94">
        <v>267</v>
      </c>
    </row>
    <row r="95" spans="1:10" hidden="1" x14ac:dyDescent="0.3">
      <c r="A95">
        <v>2130</v>
      </c>
      <c r="B95" t="s">
        <v>1879</v>
      </c>
      <c r="C95" t="s">
        <v>2110</v>
      </c>
      <c r="D95" t="s">
        <v>159</v>
      </c>
      <c r="E95" t="s">
        <v>159</v>
      </c>
      <c r="F95">
        <v>6776</v>
      </c>
      <c r="G95" t="s">
        <v>688</v>
      </c>
      <c r="H95" t="s">
        <v>2190</v>
      </c>
      <c r="I95" t="s">
        <v>1205</v>
      </c>
      <c r="J95">
        <v>712</v>
      </c>
    </row>
    <row r="96" spans="1:10" hidden="1" x14ac:dyDescent="0.3">
      <c r="A96">
        <v>2130</v>
      </c>
      <c r="B96" t="s">
        <v>1879</v>
      </c>
      <c r="C96" t="s">
        <v>2110</v>
      </c>
      <c r="D96" t="s">
        <v>159</v>
      </c>
      <c r="E96" t="s">
        <v>159</v>
      </c>
      <c r="F96">
        <v>6776</v>
      </c>
      <c r="G96" t="s">
        <v>688</v>
      </c>
      <c r="H96" t="s">
        <v>2191</v>
      </c>
      <c r="I96" t="s">
        <v>1205</v>
      </c>
      <c r="J96">
        <v>0</v>
      </c>
    </row>
    <row r="97" spans="1:10" hidden="1" x14ac:dyDescent="0.3">
      <c r="A97">
        <v>2130</v>
      </c>
      <c r="B97" t="s">
        <v>1879</v>
      </c>
      <c r="C97" t="s">
        <v>2110</v>
      </c>
      <c r="D97" t="s">
        <v>159</v>
      </c>
      <c r="E97" t="s">
        <v>159</v>
      </c>
      <c r="F97">
        <v>6776</v>
      </c>
      <c r="G97" t="s">
        <v>688</v>
      </c>
      <c r="H97" t="s">
        <v>2192</v>
      </c>
      <c r="I97" t="s">
        <v>1205</v>
      </c>
      <c r="J97">
        <v>390</v>
      </c>
    </row>
    <row r="98" spans="1:10" hidden="1" x14ac:dyDescent="0.3">
      <c r="A98">
        <v>2130</v>
      </c>
      <c r="B98" t="s">
        <v>1879</v>
      </c>
      <c r="C98" t="s">
        <v>2110</v>
      </c>
      <c r="D98" t="s">
        <v>159</v>
      </c>
      <c r="E98" t="s">
        <v>159</v>
      </c>
      <c r="F98">
        <v>6776</v>
      </c>
      <c r="G98" t="s">
        <v>688</v>
      </c>
      <c r="H98" t="s">
        <v>2193</v>
      </c>
      <c r="I98" t="s">
        <v>1205</v>
      </c>
      <c r="J98">
        <v>90</v>
      </c>
    </row>
    <row r="99" spans="1:10" hidden="1" x14ac:dyDescent="0.3">
      <c r="A99">
        <v>2132</v>
      </c>
      <c r="B99" t="s">
        <v>772</v>
      </c>
      <c r="C99" t="s">
        <v>2110</v>
      </c>
      <c r="D99" t="s">
        <v>1203</v>
      </c>
      <c r="E99" t="s">
        <v>1204</v>
      </c>
      <c r="F99">
        <v>5606</v>
      </c>
      <c r="G99" t="s">
        <v>688</v>
      </c>
      <c r="H99" t="s">
        <v>1493</v>
      </c>
      <c r="I99" t="s">
        <v>1205</v>
      </c>
      <c r="J99">
        <v>2572</v>
      </c>
    </row>
    <row r="100" spans="1:10" hidden="1" x14ac:dyDescent="0.3">
      <c r="A100">
        <v>2146</v>
      </c>
      <c r="B100" t="s">
        <v>2194</v>
      </c>
      <c r="C100" t="s">
        <v>2110</v>
      </c>
      <c r="D100" t="s">
        <v>1203</v>
      </c>
      <c r="E100" t="s">
        <v>1204</v>
      </c>
      <c r="F100">
        <v>6101</v>
      </c>
      <c r="G100" t="s">
        <v>688</v>
      </c>
      <c r="H100" t="s">
        <v>2195</v>
      </c>
      <c r="I100" t="s">
        <v>1205</v>
      </c>
      <c r="J100">
        <v>1213</v>
      </c>
    </row>
    <row r="101" spans="1:10" hidden="1" x14ac:dyDescent="0.3">
      <c r="A101">
        <v>2146</v>
      </c>
      <c r="B101" t="s">
        <v>2194</v>
      </c>
      <c r="C101" t="s">
        <v>2110</v>
      </c>
      <c r="D101" t="s">
        <v>1203</v>
      </c>
      <c r="E101" t="s">
        <v>1204</v>
      </c>
      <c r="F101">
        <v>6101</v>
      </c>
      <c r="G101" t="s">
        <v>689</v>
      </c>
      <c r="H101" t="s">
        <v>2196</v>
      </c>
      <c r="I101" t="s">
        <v>1205</v>
      </c>
      <c r="J101">
        <v>1371</v>
      </c>
    </row>
    <row r="102" spans="1:10" hidden="1" x14ac:dyDescent="0.3">
      <c r="A102">
        <v>2146</v>
      </c>
      <c r="B102" t="s">
        <v>2194</v>
      </c>
      <c r="C102" t="s">
        <v>2110</v>
      </c>
      <c r="D102" t="s">
        <v>1203</v>
      </c>
      <c r="E102" t="s">
        <v>1204</v>
      </c>
      <c r="F102">
        <v>6101</v>
      </c>
      <c r="G102" t="s">
        <v>690</v>
      </c>
      <c r="H102" t="s">
        <v>2197</v>
      </c>
      <c r="I102" t="s">
        <v>1210</v>
      </c>
      <c r="J102">
        <v>3893</v>
      </c>
    </row>
    <row r="103" spans="1:10" hidden="1" x14ac:dyDescent="0.3">
      <c r="A103">
        <v>2146</v>
      </c>
      <c r="B103" t="s">
        <v>2194</v>
      </c>
      <c r="C103" t="s">
        <v>2110</v>
      </c>
      <c r="D103" t="s">
        <v>1203</v>
      </c>
      <c r="E103" t="s">
        <v>1204</v>
      </c>
      <c r="F103">
        <v>6101</v>
      </c>
      <c r="G103" t="s">
        <v>688</v>
      </c>
      <c r="H103" t="s">
        <v>1720</v>
      </c>
      <c r="I103" t="s">
        <v>1210</v>
      </c>
      <c r="J103">
        <v>687</v>
      </c>
    </row>
    <row r="104" spans="1:10" hidden="1" x14ac:dyDescent="0.3">
      <c r="A104">
        <v>2146</v>
      </c>
      <c r="B104" t="s">
        <v>2194</v>
      </c>
      <c r="C104" t="s">
        <v>2110</v>
      </c>
      <c r="D104" t="s">
        <v>1203</v>
      </c>
      <c r="E104" t="s">
        <v>1204</v>
      </c>
      <c r="F104">
        <v>6101</v>
      </c>
      <c r="G104" t="s">
        <v>688</v>
      </c>
      <c r="H104" t="s">
        <v>2195</v>
      </c>
      <c r="I104" t="s">
        <v>1210</v>
      </c>
      <c r="J104">
        <v>8332</v>
      </c>
    </row>
    <row r="105" spans="1:10" hidden="1" x14ac:dyDescent="0.3">
      <c r="A105">
        <v>2146</v>
      </c>
      <c r="B105" t="s">
        <v>2194</v>
      </c>
      <c r="C105" t="s">
        <v>2110</v>
      </c>
      <c r="D105" t="s">
        <v>1203</v>
      </c>
      <c r="E105" t="s">
        <v>1204</v>
      </c>
      <c r="F105">
        <v>6101</v>
      </c>
      <c r="G105" t="s">
        <v>688</v>
      </c>
      <c r="H105" t="s">
        <v>2198</v>
      </c>
      <c r="I105" t="s">
        <v>1210</v>
      </c>
      <c r="J105">
        <v>511</v>
      </c>
    </row>
    <row r="106" spans="1:10" hidden="1" x14ac:dyDescent="0.3">
      <c r="A106">
        <v>2146</v>
      </c>
      <c r="B106" t="s">
        <v>2194</v>
      </c>
      <c r="C106" t="s">
        <v>2110</v>
      </c>
      <c r="D106" t="s">
        <v>1203</v>
      </c>
      <c r="E106" t="s">
        <v>1204</v>
      </c>
      <c r="F106">
        <v>6101</v>
      </c>
      <c r="G106" t="s">
        <v>684</v>
      </c>
      <c r="H106" t="s">
        <v>2199</v>
      </c>
      <c r="I106" t="s">
        <v>1210</v>
      </c>
      <c r="J106">
        <v>740</v>
      </c>
    </row>
    <row r="107" spans="1:10" hidden="1" x14ac:dyDescent="0.3">
      <c r="A107">
        <v>2149</v>
      </c>
      <c r="B107" t="s">
        <v>928</v>
      </c>
      <c r="C107" t="s">
        <v>2110</v>
      </c>
      <c r="D107" t="s">
        <v>159</v>
      </c>
      <c r="E107" t="s">
        <v>159</v>
      </c>
      <c r="F107">
        <v>7795</v>
      </c>
      <c r="G107" t="s">
        <v>691</v>
      </c>
      <c r="I107" t="s">
        <v>1205</v>
      </c>
      <c r="J107">
        <v>400</v>
      </c>
    </row>
    <row r="108" spans="1:10" hidden="1" x14ac:dyDescent="0.3">
      <c r="A108">
        <v>2149</v>
      </c>
      <c r="B108" t="s">
        <v>928</v>
      </c>
      <c r="C108" t="s">
        <v>2110</v>
      </c>
      <c r="D108" t="s">
        <v>159</v>
      </c>
      <c r="E108" t="s">
        <v>159</v>
      </c>
      <c r="F108">
        <v>7795</v>
      </c>
      <c r="G108" t="s">
        <v>686</v>
      </c>
      <c r="I108" t="s">
        <v>1210</v>
      </c>
      <c r="J108">
        <v>439</v>
      </c>
    </row>
    <row r="109" spans="1:10" hidden="1" x14ac:dyDescent="0.3">
      <c r="A109">
        <v>2149</v>
      </c>
      <c r="B109" t="s">
        <v>928</v>
      </c>
      <c r="C109" t="s">
        <v>2110</v>
      </c>
      <c r="D109" t="s">
        <v>159</v>
      </c>
      <c r="E109" t="s">
        <v>159</v>
      </c>
      <c r="F109">
        <v>7795</v>
      </c>
      <c r="G109" t="s">
        <v>688</v>
      </c>
      <c r="I109" t="s">
        <v>1210</v>
      </c>
      <c r="J109">
        <v>3993</v>
      </c>
    </row>
    <row r="110" spans="1:10" hidden="1" x14ac:dyDescent="0.3">
      <c r="A110">
        <v>2156</v>
      </c>
      <c r="B110" t="s">
        <v>836</v>
      </c>
      <c r="C110" t="s">
        <v>2110</v>
      </c>
      <c r="D110" t="s">
        <v>1203</v>
      </c>
      <c r="E110" t="s">
        <v>1204</v>
      </c>
      <c r="F110">
        <v>5772</v>
      </c>
      <c r="G110" t="s">
        <v>1526</v>
      </c>
      <c r="I110" t="s">
        <v>1210</v>
      </c>
      <c r="J110">
        <v>6933</v>
      </c>
    </row>
    <row r="111" spans="1:10" hidden="1" x14ac:dyDescent="0.3">
      <c r="A111">
        <v>2156</v>
      </c>
      <c r="B111" t="s">
        <v>836</v>
      </c>
      <c r="C111" t="s">
        <v>2110</v>
      </c>
      <c r="D111" t="s">
        <v>1203</v>
      </c>
      <c r="E111" t="s">
        <v>1204</v>
      </c>
      <c r="F111">
        <v>5772</v>
      </c>
      <c r="G111" t="s">
        <v>687</v>
      </c>
      <c r="H111" t="s">
        <v>2200</v>
      </c>
      <c r="I111" t="s">
        <v>1210</v>
      </c>
      <c r="J111">
        <v>15746</v>
      </c>
    </row>
    <row r="112" spans="1:10" hidden="1" x14ac:dyDescent="0.3">
      <c r="A112">
        <v>2156</v>
      </c>
      <c r="B112" t="s">
        <v>836</v>
      </c>
      <c r="C112" t="s">
        <v>2110</v>
      </c>
      <c r="D112" t="s">
        <v>1203</v>
      </c>
      <c r="E112" t="s">
        <v>1204</v>
      </c>
      <c r="F112">
        <v>5772</v>
      </c>
      <c r="G112" t="s">
        <v>687</v>
      </c>
      <c r="H112" t="s">
        <v>2201</v>
      </c>
      <c r="I112" t="s">
        <v>1210</v>
      </c>
      <c r="J112">
        <v>889</v>
      </c>
    </row>
    <row r="113" spans="1:10" hidden="1" x14ac:dyDescent="0.3">
      <c r="A113">
        <v>2156</v>
      </c>
      <c r="B113" t="s">
        <v>836</v>
      </c>
      <c r="C113" t="s">
        <v>2110</v>
      </c>
      <c r="D113" t="s">
        <v>1203</v>
      </c>
      <c r="E113" t="s">
        <v>1204</v>
      </c>
      <c r="F113">
        <v>5772</v>
      </c>
      <c r="G113" t="s">
        <v>687</v>
      </c>
      <c r="H113" t="s">
        <v>2202</v>
      </c>
      <c r="I113" t="s">
        <v>1210</v>
      </c>
      <c r="J113">
        <v>16707</v>
      </c>
    </row>
    <row r="114" spans="1:10" hidden="1" x14ac:dyDescent="0.3">
      <c r="A114">
        <v>2156</v>
      </c>
      <c r="B114" t="s">
        <v>836</v>
      </c>
      <c r="C114" t="s">
        <v>2110</v>
      </c>
      <c r="D114" t="s">
        <v>1203</v>
      </c>
      <c r="E114" t="s">
        <v>1204</v>
      </c>
      <c r="F114">
        <v>5772</v>
      </c>
      <c r="G114" t="s">
        <v>686</v>
      </c>
      <c r="H114" t="s">
        <v>2203</v>
      </c>
      <c r="I114" t="s">
        <v>1210</v>
      </c>
      <c r="J114">
        <v>0</v>
      </c>
    </row>
    <row r="115" spans="1:10" hidden="1" x14ac:dyDescent="0.3">
      <c r="A115">
        <v>2160</v>
      </c>
      <c r="B115" t="s">
        <v>1904</v>
      </c>
      <c r="C115" t="s">
        <v>2110</v>
      </c>
      <c r="D115" t="s">
        <v>1203</v>
      </c>
      <c r="E115" t="s">
        <v>1204</v>
      </c>
      <c r="F115">
        <v>5474</v>
      </c>
      <c r="G115" t="s">
        <v>686</v>
      </c>
      <c r="H115" t="s">
        <v>1373</v>
      </c>
      <c r="I115" t="s">
        <v>1205</v>
      </c>
      <c r="J115">
        <v>1218</v>
      </c>
    </row>
    <row r="116" spans="1:10" hidden="1" x14ac:dyDescent="0.3">
      <c r="A116">
        <v>2160</v>
      </c>
      <c r="B116" t="s">
        <v>1904</v>
      </c>
      <c r="C116" t="s">
        <v>2110</v>
      </c>
      <c r="D116" t="s">
        <v>1203</v>
      </c>
      <c r="E116" t="s">
        <v>1204</v>
      </c>
      <c r="F116">
        <v>5474</v>
      </c>
      <c r="G116" t="s">
        <v>688</v>
      </c>
      <c r="H116" t="s">
        <v>2204</v>
      </c>
      <c r="I116" t="s">
        <v>1205</v>
      </c>
      <c r="J116">
        <v>9085</v>
      </c>
    </row>
    <row r="117" spans="1:10" hidden="1" x14ac:dyDescent="0.3">
      <c r="A117">
        <v>2161</v>
      </c>
      <c r="B117" t="s">
        <v>2205</v>
      </c>
      <c r="C117" t="s">
        <v>2110</v>
      </c>
      <c r="D117" t="s">
        <v>159</v>
      </c>
      <c r="E117" t="s">
        <v>159</v>
      </c>
      <c r="F117">
        <v>5711</v>
      </c>
      <c r="G117" t="s">
        <v>688</v>
      </c>
      <c r="H117" t="s">
        <v>2206</v>
      </c>
      <c r="I117" t="s">
        <v>1210</v>
      </c>
      <c r="J117">
        <v>219059</v>
      </c>
    </row>
    <row r="118" spans="1:10" hidden="1" x14ac:dyDescent="0.3">
      <c r="A118">
        <v>2161</v>
      </c>
      <c r="B118" t="s">
        <v>2205</v>
      </c>
      <c r="C118" t="s">
        <v>2110</v>
      </c>
      <c r="D118" t="s">
        <v>159</v>
      </c>
      <c r="E118" t="s">
        <v>159</v>
      </c>
      <c r="F118">
        <v>5711</v>
      </c>
      <c r="G118" t="s">
        <v>684</v>
      </c>
      <c r="H118" t="s">
        <v>2207</v>
      </c>
      <c r="I118" t="s">
        <v>1210</v>
      </c>
      <c r="J118">
        <v>1399</v>
      </c>
    </row>
    <row r="119" spans="1:10" hidden="1" x14ac:dyDescent="0.3">
      <c r="A119">
        <v>2161</v>
      </c>
      <c r="B119" t="s">
        <v>2205</v>
      </c>
      <c r="C119" t="s">
        <v>2110</v>
      </c>
      <c r="D119" t="s">
        <v>159</v>
      </c>
      <c r="E119" t="s">
        <v>159</v>
      </c>
      <c r="F119">
        <v>5711</v>
      </c>
      <c r="G119" t="s">
        <v>684</v>
      </c>
      <c r="H119" t="s">
        <v>2207</v>
      </c>
      <c r="I119" t="s">
        <v>1205</v>
      </c>
      <c r="J119">
        <v>21971</v>
      </c>
    </row>
    <row r="120" spans="1:10" hidden="1" x14ac:dyDescent="0.3">
      <c r="A120">
        <v>2161</v>
      </c>
      <c r="B120" t="s">
        <v>2205</v>
      </c>
      <c r="C120" t="s">
        <v>2110</v>
      </c>
      <c r="D120" t="s">
        <v>159</v>
      </c>
      <c r="E120" t="s">
        <v>159</v>
      </c>
      <c r="F120">
        <v>5711</v>
      </c>
      <c r="G120" t="s">
        <v>688</v>
      </c>
      <c r="H120" t="s">
        <v>2206</v>
      </c>
      <c r="I120" t="s">
        <v>1205</v>
      </c>
      <c r="J120">
        <v>109862</v>
      </c>
    </row>
    <row r="121" spans="1:10" hidden="1" x14ac:dyDescent="0.3">
      <c r="A121">
        <v>2164</v>
      </c>
      <c r="B121" t="s">
        <v>1909</v>
      </c>
      <c r="C121" t="s">
        <v>2110</v>
      </c>
      <c r="D121" t="s">
        <v>159</v>
      </c>
      <c r="E121" t="s">
        <v>159</v>
      </c>
      <c r="F121">
        <v>6833</v>
      </c>
      <c r="G121" t="s">
        <v>688</v>
      </c>
      <c r="I121" t="s">
        <v>1205</v>
      </c>
      <c r="J121">
        <v>148310</v>
      </c>
    </row>
    <row r="122" spans="1:10" hidden="1" x14ac:dyDescent="0.3">
      <c r="A122">
        <v>3994</v>
      </c>
      <c r="B122" t="s">
        <v>837</v>
      </c>
      <c r="C122" t="s">
        <v>2110</v>
      </c>
      <c r="D122" t="s">
        <v>1203</v>
      </c>
      <c r="E122" t="s">
        <v>1204</v>
      </c>
      <c r="F122">
        <v>5789</v>
      </c>
      <c r="G122" t="s">
        <v>690</v>
      </c>
      <c r="I122" t="s">
        <v>1210</v>
      </c>
      <c r="J122">
        <v>7728</v>
      </c>
    </row>
    <row r="123" spans="1:10" hidden="1" x14ac:dyDescent="0.3">
      <c r="A123">
        <v>2168</v>
      </c>
      <c r="B123" t="s">
        <v>839</v>
      </c>
      <c r="C123" t="s">
        <v>2110</v>
      </c>
      <c r="D123" t="s">
        <v>1203</v>
      </c>
      <c r="E123" t="s">
        <v>1204</v>
      </c>
      <c r="F123">
        <v>5670</v>
      </c>
      <c r="G123" t="s">
        <v>692</v>
      </c>
      <c r="H123" t="s">
        <v>2208</v>
      </c>
      <c r="I123" t="s">
        <v>1210</v>
      </c>
      <c r="J123">
        <v>28100</v>
      </c>
    </row>
    <row r="124" spans="1:10" hidden="1" x14ac:dyDescent="0.3">
      <c r="A124">
        <v>2179</v>
      </c>
      <c r="B124" t="s">
        <v>774</v>
      </c>
      <c r="C124" t="s">
        <v>2110</v>
      </c>
      <c r="D124" t="s">
        <v>1203</v>
      </c>
      <c r="E124" t="s">
        <v>1204</v>
      </c>
      <c r="F124">
        <v>5657</v>
      </c>
      <c r="G124" t="s">
        <v>691</v>
      </c>
      <c r="H124" t="s">
        <v>2209</v>
      </c>
      <c r="I124" t="s">
        <v>1205</v>
      </c>
      <c r="J124">
        <v>24462</v>
      </c>
    </row>
    <row r="125" spans="1:10" hidden="1" x14ac:dyDescent="0.3">
      <c r="A125">
        <v>2184</v>
      </c>
      <c r="B125" t="s">
        <v>935</v>
      </c>
      <c r="C125" t="s">
        <v>2110</v>
      </c>
      <c r="D125" t="s">
        <v>1203</v>
      </c>
      <c r="E125" t="s">
        <v>1204</v>
      </c>
      <c r="F125">
        <v>6523</v>
      </c>
      <c r="G125" t="s">
        <v>688</v>
      </c>
      <c r="H125" t="s">
        <v>2210</v>
      </c>
      <c r="I125" t="s">
        <v>1205</v>
      </c>
      <c r="J125">
        <v>611</v>
      </c>
    </row>
    <row r="126" spans="1:10" hidden="1" x14ac:dyDescent="0.3">
      <c r="A126">
        <v>2184</v>
      </c>
      <c r="B126" t="s">
        <v>935</v>
      </c>
      <c r="C126" t="s">
        <v>2110</v>
      </c>
      <c r="D126" t="s">
        <v>1203</v>
      </c>
      <c r="E126" t="s">
        <v>1204</v>
      </c>
      <c r="F126">
        <v>6523</v>
      </c>
      <c r="G126" t="s">
        <v>694</v>
      </c>
      <c r="H126" t="s">
        <v>2211</v>
      </c>
      <c r="I126" t="s">
        <v>1210</v>
      </c>
      <c r="J126">
        <v>2958</v>
      </c>
    </row>
    <row r="127" spans="1:10" hidden="1" x14ac:dyDescent="0.3">
      <c r="A127">
        <v>2184</v>
      </c>
      <c r="B127" t="s">
        <v>935</v>
      </c>
      <c r="C127" t="s">
        <v>2110</v>
      </c>
      <c r="D127" t="s">
        <v>1203</v>
      </c>
      <c r="E127" t="s">
        <v>1204</v>
      </c>
      <c r="F127">
        <v>6523</v>
      </c>
      <c r="G127" t="s">
        <v>688</v>
      </c>
      <c r="H127" t="s">
        <v>2212</v>
      </c>
      <c r="I127" t="s">
        <v>1205</v>
      </c>
      <c r="J127">
        <v>4264</v>
      </c>
    </row>
    <row r="128" spans="1:10" hidden="1" x14ac:dyDescent="0.3">
      <c r="A128">
        <v>2211</v>
      </c>
      <c r="B128" t="s">
        <v>811</v>
      </c>
      <c r="C128" t="s">
        <v>2110</v>
      </c>
      <c r="D128" t="s">
        <v>159</v>
      </c>
      <c r="E128" t="s">
        <v>159</v>
      </c>
      <c r="F128">
        <v>5461</v>
      </c>
      <c r="G128" t="s">
        <v>687</v>
      </c>
      <c r="H128" t="s">
        <v>2213</v>
      </c>
      <c r="I128" t="s">
        <v>1210</v>
      </c>
      <c r="J128">
        <v>2200</v>
      </c>
    </row>
    <row r="129" spans="1:10" hidden="1" x14ac:dyDescent="0.3">
      <c r="A129">
        <v>2211</v>
      </c>
      <c r="B129" t="s">
        <v>811</v>
      </c>
      <c r="C129" t="s">
        <v>2110</v>
      </c>
      <c r="D129" t="s">
        <v>159</v>
      </c>
      <c r="E129" t="s">
        <v>159</v>
      </c>
      <c r="F129">
        <v>5461</v>
      </c>
      <c r="G129" t="s">
        <v>688</v>
      </c>
      <c r="H129" t="s">
        <v>2214</v>
      </c>
      <c r="I129" t="s">
        <v>1205</v>
      </c>
      <c r="J129">
        <v>196469</v>
      </c>
    </row>
    <row r="130" spans="1:10" hidden="1" x14ac:dyDescent="0.3">
      <c r="A130">
        <v>2211</v>
      </c>
      <c r="B130" t="s">
        <v>811</v>
      </c>
      <c r="C130" t="s">
        <v>2110</v>
      </c>
      <c r="D130" t="s">
        <v>159</v>
      </c>
      <c r="E130" t="s">
        <v>159</v>
      </c>
      <c r="F130">
        <v>5461</v>
      </c>
      <c r="G130" t="s">
        <v>684</v>
      </c>
      <c r="I130" t="s">
        <v>1205</v>
      </c>
      <c r="J130">
        <v>24587</v>
      </c>
    </row>
    <row r="131" spans="1:10" hidden="1" x14ac:dyDescent="0.3">
      <c r="A131">
        <v>2211</v>
      </c>
      <c r="B131" t="s">
        <v>811</v>
      </c>
      <c r="C131" t="s">
        <v>2110</v>
      </c>
      <c r="D131" t="s">
        <v>159</v>
      </c>
      <c r="E131" t="s">
        <v>159</v>
      </c>
      <c r="F131">
        <v>5461</v>
      </c>
      <c r="G131" t="s">
        <v>687</v>
      </c>
      <c r="H131" t="s">
        <v>2215</v>
      </c>
      <c r="I131" t="s">
        <v>1205</v>
      </c>
      <c r="J131">
        <v>12944</v>
      </c>
    </row>
    <row r="132" spans="1:10" hidden="1" x14ac:dyDescent="0.3">
      <c r="A132">
        <v>2211</v>
      </c>
      <c r="B132" t="s">
        <v>811</v>
      </c>
      <c r="C132" t="s">
        <v>2110</v>
      </c>
      <c r="D132" t="s">
        <v>159</v>
      </c>
      <c r="E132" t="s">
        <v>159</v>
      </c>
      <c r="F132">
        <v>5461</v>
      </c>
      <c r="G132" t="s">
        <v>686</v>
      </c>
      <c r="I132" t="s">
        <v>1205</v>
      </c>
      <c r="J132">
        <v>600</v>
      </c>
    </row>
    <row r="133" spans="1:10" hidden="1" x14ac:dyDescent="0.3">
      <c r="A133">
        <v>2211</v>
      </c>
      <c r="B133" t="s">
        <v>811</v>
      </c>
      <c r="C133" t="s">
        <v>2110</v>
      </c>
      <c r="D133" t="s">
        <v>159</v>
      </c>
      <c r="E133" t="s">
        <v>159</v>
      </c>
      <c r="F133">
        <v>5461</v>
      </c>
      <c r="G133" t="s">
        <v>691</v>
      </c>
      <c r="H133" t="s">
        <v>2216</v>
      </c>
      <c r="I133" t="s">
        <v>1205</v>
      </c>
      <c r="J133">
        <v>52700</v>
      </c>
    </row>
    <row r="134" spans="1:10" hidden="1" x14ac:dyDescent="0.3">
      <c r="A134">
        <v>2328</v>
      </c>
      <c r="B134" t="s">
        <v>2217</v>
      </c>
      <c r="C134" t="s">
        <v>2110</v>
      </c>
      <c r="D134" t="s">
        <v>1203</v>
      </c>
      <c r="E134" t="s">
        <v>1204</v>
      </c>
      <c r="F134">
        <v>5466</v>
      </c>
      <c r="G134" t="s">
        <v>689</v>
      </c>
      <c r="I134" t="s">
        <v>1205</v>
      </c>
      <c r="J134">
        <v>176</v>
      </c>
    </row>
    <row r="135" spans="1:10" hidden="1" x14ac:dyDescent="0.3">
      <c r="A135">
        <v>2328</v>
      </c>
      <c r="B135" t="s">
        <v>2217</v>
      </c>
      <c r="C135" t="s">
        <v>2110</v>
      </c>
      <c r="D135" t="s">
        <v>1203</v>
      </c>
      <c r="E135" t="s">
        <v>1204</v>
      </c>
      <c r="F135">
        <v>5466</v>
      </c>
      <c r="G135" t="s">
        <v>688</v>
      </c>
      <c r="H135" t="s">
        <v>2218</v>
      </c>
      <c r="I135" t="s">
        <v>1210</v>
      </c>
      <c r="J135">
        <v>3290</v>
      </c>
    </row>
    <row r="136" spans="1:10" hidden="1" x14ac:dyDescent="0.3">
      <c r="A136">
        <v>2328</v>
      </c>
      <c r="B136" t="s">
        <v>2217</v>
      </c>
      <c r="C136" t="s">
        <v>2110</v>
      </c>
      <c r="D136" t="s">
        <v>1203</v>
      </c>
      <c r="E136" t="s">
        <v>1204</v>
      </c>
      <c r="F136">
        <v>5466</v>
      </c>
      <c r="G136" t="s">
        <v>686</v>
      </c>
      <c r="H136" t="s">
        <v>2219</v>
      </c>
      <c r="I136" t="s">
        <v>1205</v>
      </c>
      <c r="J136">
        <v>1463</v>
      </c>
    </row>
    <row r="137" spans="1:10" hidden="1" x14ac:dyDescent="0.3">
      <c r="A137">
        <v>2328</v>
      </c>
      <c r="B137" t="s">
        <v>2217</v>
      </c>
      <c r="C137" t="s">
        <v>2110</v>
      </c>
      <c r="D137" t="s">
        <v>1203</v>
      </c>
      <c r="E137" t="s">
        <v>1204</v>
      </c>
      <c r="F137">
        <v>5466</v>
      </c>
      <c r="G137" t="s">
        <v>688</v>
      </c>
      <c r="I137" t="s">
        <v>1205</v>
      </c>
      <c r="J137">
        <v>47765</v>
      </c>
    </row>
    <row r="138" spans="1:10" hidden="1" x14ac:dyDescent="0.3">
      <c r="A138">
        <v>2328</v>
      </c>
      <c r="B138" t="s">
        <v>2217</v>
      </c>
      <c r="C138" t="s">
        <v>2110</v>
      </c>
      <c r="D138" t="s">
        <v>1203</v>
      </c>
      <c r="E138" t="s">
        <v>1204</v>
      </c>
      <c r="F138">
        <v>5466</v>
      </c>
      <c r="G138" t="s">
        <v>684</v>
      </c>
      <c r="I138" t="s">
        <v>1205</v>
      </c>
      <c r="J138">
        <v>98</v>
      </c>
    </row>
    <row r="139" spans="1:10" hidden="1" x14ac:dyDescent="0.3">
      <c r="A139">
        <v>2346</v>
      </c>
      <c r="B139" t="s">
        <v>2220</v>
      </c>
      <c r="C139" t="s">
        <v>2110</v>
      </c>
      <c r="D139" t="s">
        <v>159</v>
      </c>
      <c r="E139" t="s">
        <v>159</v>
      </c>
      <c r="F139">
        <v>7918</v>
      </c>
      <c r="G139" t="s">
        <v>688</v>
      </c>
      <c r="H139" t="s">
        <v>2221</v>
      </c>
      <c r="I139" t="s">
        <v>1205</v>
      </c>
      <c r="J139">
        <v>9416.4</v>
      </c>
    </row>
    <row r="140" spans="1:10" hidden="1" x14ac:dyDescent="0.3">
      <c r="A140">
        <v>2346</v>
      </c>
      <c r="B140" t="s">
        <v>2220</v>
      </c>
      <c r="C140" t="s">
        <v>2110</v>
      </c>
      <c r="D140" t="s">
        <v>159</v>
      </c>
      <c r="E140" t="s">
        <v>159</v>
      </c>
      <c r="F140">
        <v>7918</v>
      </c>
      <c r="G140" t="s">
        <v>688</v>
      </c>
      <c r="H140" t="s">
        <v>2222</v>
      </c>
      <c r="I140" t="s">
        <v>1205</v>
      </c>
      <c r="J140">
        <v>3435.66</v>
      </c>
    </row>
    <row r="141" spans="1:10" hidden="1" x14ac:dyDescent="0.3">
      <c r="A141">
        <v>2346</v>
      </c>
      <c r="B141" t="s">
        <v>2220</v>
      </c>
      <c r="C141" t="s">
        <v>2110</v>
      </c>
      <c r="D141" t="s">
        <v>159</v>
      </c>
      <c r="E141" t="s">
        <v>159</v>
      </c>
      <c r="F141">
        <v>7918</v>
      </c>
      <c r="G141" t="s">
        <v>688</v>
      </c>
      <c r="H141" t="s">
        <v>2223</v>
      </c>
      <c r="I141" t="s">
        <v>1205</v>
      </c>
      <c r="J141">
        <v>0</v>
      </c>
    </row>
    <row r="142" spans="1:10" hidden="1" x14ac:dyDescent="0.3">
      <c r="A142">
        <v>2346</v>
      </c>
      <c r="B142" t="s">
        <v>2220</v>
      </c>
      <c r="C142" t="s">
        <v>2110</v>
      </c>
      <c r="D142" t="s">
        <v>159</v>
      </c>
      <c r="E142" t="s">
        <v>159</v>
      </c>
      <c r="F142">
        <v>7918</v>
      </c>
      <c r="G142" t="s">
        <v>688</v>
      </c>
      <c r="H142" t="s">
        <v>790</v>
      </c>
      <c r="I142" t="s">
        <v>1205</v>
      </c>
      <c r="J142">
        <v>11083.1</v>
      </c>
    </row>
    <row r="143" spans="1:10" hidden="1" x14ac:dyDescent="0.3">
      <c r="A143">
        <v>2382</v>
      </c>
      <c r="B143" t="s">
        <v>912</v>
      </c>
      <c r="C143" t="s">
        <v>2110</v>
      </c>
      <c r="D143" t="s">
        <v>1203</v>
      </c>
      <c r="E143" t="s">
        <v>1204</v>
      </c>
      <c r="F143">
        <v>5810</v>
      </c>
      <c r="G143" t="s">
        <v>688</v>
      </c>
      <c r="H143" t="s">
        <v>2224</v>
      </c>
      <c r="I143" t="s">
        <v>2225</v>
      </c>
      <c r="J143">
        <v>5288</v>
      </c>
    </row>
    <row r="144" spans="1:10" hidden="1" x14ac:dyDescent="0.3">
      <c r="A144">
        <v>2382</v>
      </c>
      <c r="B144" t="s">
        <v>912</v>
      </c>
      <c r="C144" t="s">
        <v>2110</v>
      </c>
      <c r="D144" t="s">
        <v>1203</v>
      </c>
      <c r="E144" t="s">
        <v>1204</v>
      </c>
      <c r="F144">
        <v>5810</v>
      </c>
      <c r="G144" t="s">
        <v>688</v>
      </c>
      <c r="H144" t="s">
        <v>1085</v>
      </c>
      <c r="I144" t="s">
        <v>2225</v>
      </c>
      <c r="J144">
        <v>1476</v>
      </c>
    </row>
    <row r="145" spans="1:10" hidden="1" x14ac:dyDescent="0.3">
      <c r="A145">
        <v>2382</v>
      </c>
      <c r="B145" t="s">
        <v>912</v>
      </c>
      <c r="C145" t="s">
        <v>2110</v>
      </c>
      <c r="D145" t="s">
        <v>1203</v>
      </c>
      <c r="E145" t="s">
        <v>1204</v>
      </c>
      <c r="F145">
        <v>5810</v>
      </c>
      <c r="G145" t="s">
        <v>688</v>
      </c>
      <c r="H145" t="s">
        <v>2226</v>
      </c>
      <c r="I145" t="s">
        <v>2225</v>
      </c>
      <c r="J145">
        <v>23146</v>
      </c>
    </row>
    <row r="146" spans="1:10" hidden="1" x14ac:dyDescent="0.3">
      <c r="A146">
        <v>2382</v>
      </c>
      <c r="B146" t="s">
        <v>912</v>
      </c>
      <c r="C146" t="s">
        <v>2110</v>
      </c>
      <c r="D146" t="s">
        <v>1203</v>
      </c>
      <c r="E146" t="s">
        <v>1204</v>
      </c>
      <c r="F146">
        <v>5810</v>
      </c>
      <c r="G146" t="s">
        <v>690</v>
      </c>
      <c r="H146" t="s">
        <v>1086</v>
      </c>
      <c r="I146" t="s">
        <v>1210</v>
      </c>
      <c r="J146">
        <v>10632</v>
      </c>
    </row>
    <row r="147" spans="1:10" hidden="1" x14ac:dyDescent="0.3">
      <c r="A147">
        <v>2382</v>
      </c>
      <c r="B147" t="s">
        <v>912</v>
      </c>
      <c r="C147" t="s">
        <v>2110</v>
      </c>
      <c r="D147" t="s">
        <v>1203</v>
      </c>
      <c r="E147" t="s">
        <v>1204</v>
      </c>
      <c r="F147">
        <v>5810</v>
      </c>
      <c r="G147" t="s">
        <v>687</v>
      </c>
      <c r="H147" t="s">
        <v>2227</v>
      </c>
      <c r="I147" t="s">
        <v>1210</v>
      </c>
      <c r="J147">
        <v>9407</v>
      </c>
    </row>
    <row r="148" spans="1:10" hidden="1" x14ac:dyDescent="0.3">
      <c r="B148" t="s">
        <v>2025</v>
      </c>
      <c r="C148" t="s">
        <v>2110</v>
      </c>
      <c r="D148" t="s">
        <v>1203</v>
      </c>
      <c r="E148" t="s">
        <v>1204</v>
      </c>
      <c r="F148">
        <v>7912</v>
      </c>
      <c r="G148" t="s">
        <v>688</v>
      </c>
      <c r="I148" t="s">
        <v>1210</v>
      </c>
      <c r="J148">
        <v>5000000</v>
      </c>
    </row>
    <row r="149" spans="1:10" hidden="1" x14ac:dyDescent="0.3">
      <c r="A149">
        <v>440</v>
      </c>
      <c r="B149" t="s">
        <v>2026</v>
      </c>
      <c r="C149" t="s">
        <v>2110</v>
      </c>
      <c r="D149" t="s">
        <v>159</v>
      </c>
      <c r="E149" t="s">
        <v>159</v>
      </c>
      <c r="F149">
        <v>7913</v>
      </c>
      <c r="G149" t="s">
        <v>688</v>
      </c>
      <c r="H149" t="s">
        <v>2024</v>
      </c>
      <c r="I149" t="s">
        <v>1216</v>
      </c>
      <c r="J149">
        <v>0.1147842045245</v>
      </c>
    </row>
    <row r="150" spans="1:10" hidden="1" x14ac:dyDescent="0.3">
      <c r="A150">
        <v>2473</v>
      </c>
      <c r="B150" t="s">
        <v>2228</v>
      </c>
      <c r="C150" t="s">
        <v>2110</v>
      </c>
      <c r="D150" t="s">
        <v>159</v>
      </c>
      <c r="E150" t="s">
        <v>159</v>
      </c>
      <c r="F150">
        <v>5522</v>
      </c>
      <c r="G150" t="s">
        <v>690</v>
      </c>
      <c r="I150" t="s">
        <v>1210</v>
      </c>
      <c r="J150">
        <v>14523</v>
      </c>
    </row>
    <row r="151" spans="1:10" hidden="1" x14ac:dyDescent="0.3">
      <c r="A151">
        <v>2473</v>
      </c>
      <c r="B151" t="s">
        <v>2228</v>
      </c>
      <c r="C151" t="s">
        <v>2110</v>
      </c>
      <c r="D151" t="s">
        <v>159</v>
      </c>
      <c r="E151" t="s">
        <v>159</v>
      </c>
      <c r="F151">
        <v>5522</v>
      </c>
      <c r="G151" t="s">
        <v>691</v>
      </c>
      <c r="H151" t="s">
        <v>2229</v>
      </c>
      <c r="I151" t="s">
        <v>1205</v>
      </c>
      <c r="J151">
        <v>2169</v>
      </c>
    </row>
    <row r="152" spans="1:10" hidden="1" x14ac:dyDescent="0.3">
      <c r="A152">
        <v>2473</v>
      </c>
      <c r="B152" t="s">
        <v>2228</v>
      </c>
      <c r="C152" t="s">
        <v>2110</v>
      </c>
      <c r="D152" t="s">
        <v>159</v>
      </c>
      <c r="E152" t="s">
        <v>159</v>
      </c>
      <c r="F152">
        <v>5522</v>
      </c>
      <c r="G152" t="s">
        <v>688</v>
      </c>
      <c r="I152" t="s">
        <v>1205</v>
      </c>
      <c r="J152">
        <v>60031</v>
      </c>
    </row>
    <row r="153" spans="1:10" hidden="1" x14ac:dyDescent="0.3">
      <c r="A153">
        <v>2510</v>
      </c>
      <c r="B153" t="s">
        <v>2035</v>
      </c>
      <c r="C153" t="s">
        <v>2110</v>
      </c>
      <c r="D153" t="s">
        <v>1203</v>
      </c>
      <c r="E153" t="s">
        <v>1204</v>
      </c>
      <c r="F153">
        <v>5942</v>
      </c>
      <c r="G153" t="s">
        <v>695</v>
      </c>
      <c r="I153" t="s">
        <v>1205</v>
      </c>
      <c r="J153">
        <v>0</v>
      </c>
    </row>
    <row r="154" spans="1:10" hidden="1" x14ac:dyDescent="0.3">
      <c r="A154">
        <v>2540</v>
      </c>
      <c r="B154" t="s">
        <v>2230</v>
      </c>
      <c r="C154" t="s">
        <v>2110</v>
      </c>
      <c r="D154" t="s">
        <v>159</v>
      </c>
      <c r="E154" t="s">
        <v>159</v>
      </c>
      <c r="F154">
        <v>8068</v>
      </c>
      <c r="G154" t="s">
        <v>686</v>
      </c>
      <c r="I154" t="s">
        <v>1205</v>
      </c>
      <c r="J154">
        <v>344</v>
      </c>
    </row>
    <row r="155" spans="1:10" hidden="1" x14ac:dyDescent="0.3">
      <c r="A155">
        <v>2540</v>
      </c>
      <c r="B155" t="s">
        <v>2230</v>
      </c>
      <c r="C155" t="s">
        <v>2110</v>
      </c>
      <c r="D155" t="s">
        <v>159</v>
      </c>
      <c r="E155" t="s">
        <v>159</v>
      </c>
      <c r="F155">
        <v>8068</v>
      </c>
      <c r="G155" t="s">
        <v>695</v>
      </c>
      <c r="H155" t="s">
        <v>2231</v>
      </c>
      <c r="J155">
        <v>600</v>
      </c>
    </row>
    <row r="156" spans="1:10" hidden="1" x14ac:dyDescent="0.3">
      <c r="A156">
        <v>2540</v>
      </c>
      <c r="B156" t="s">
        <v>2230</v>
      </c>
      <c r="C156" t="s">
        <v>2110</v>
      </c>
      <c r="D156" t="s">
        <v>159</v>
      </c>
      <c r="E156" t="s">
        <v>159</v>
      </c>
      <c r="F156">
        <v>8068</v>
      </c>
      <c r="G156" t="s">
        <v>688</v>
      </c>
      <c r="H156" t="s">
        <v>2232</v>
      </c>
      <c r="I156" t="s">
        <v>1205</v>
      </c>
      <c r="J156">
        <v>13025</v>
      </c>
    </row>
    <row r="157" spans="1:10" hidden="1" x14ac:dyDescent="0.3">
      <c r="A157">
        <v>2540</v>
      </c>
      <c r="B157" t="s">
        <v>2230</v>
      </c>
      <c r="C157" t="s">
        <v>2110</v>
      </c>
      <c r="D157" t="s">
        <v>159</v>
      </c>
      <c r="E157" t="s">
        <v>159</v>
      </c>
      <c r="F157">
        <v>8068</v>
      </c>
      <c r="G157" t="s">
        <v>689</v>
      </c>
      <c r="H157" t="s">
        <v>2233</v>
      </c>
      <c r="I157" t="s">
        <v>1205</v>
      </c>
      <c r="J157">
        <v>5</v>
      </c>
    </row>
    <row r="158" spans="1:10" hidden="1" x14ac:dyDescent="0.3">
      <c r="A158">
        <v>2543</v>
      </c>
      <c r="B158" t="s">
        <v>2234</v>
      </c>
      <c r="C158" t="s">
        <v>2110</v>
      </c>
      <c r="D158" t="s">
        <v>159</v>
      </c>
      <c r="E158" t="s">
        <v>159</v>
      </c>
      <c r="F158">
        <v>5649</v>
      </c>
      <c r="G158" t="s">
        <v>688</v>
      </c>
      <c r="H158" t="s">
        <v>2235</v>
      </c>
      <c r="I158" t="s">
        <v>1210</v>
      </c>
      <c r="J158">
        <v>28616</v>
      </c>
    </row>
    <row r="159" spans="1:10" hidden="1" x14ac:dyDescent="0.3">
      <c r="A159">
        <v>2543</v>
      </c>
      <c r="B159" t="s">
        <v>2234</v>
      </c>
      <c r="C159" t="s">
        <v>2110</v>
      </c>
      <c r="D159" t="s">
        <v>159</v>
      </c>
      <c r="E159" t="s">
        <v>159</v>
      </c>
      <c r="F159">
        <v>5649</v>
      </c>
      <c r="G159" t="s">
        <v>688</v>
      </c>
      <c r="H159" t="s">
        <v>2236</v>
      </c>
      <c r="I159" t="s">
        <v>1205</v>
      </c>
      <c r="J159">
        <v>6026</v>
      </c>
    </row>
    <row r="160" spans="1:10" hidden="1" x14ac:dyDescent="0.3">
      <c r="A160">
        <v>2667</v>
      </c>
      <c r="B160" t="s">
        <v>2237</v>
      </c>
      <c r="C160" t="s">
        <v>2110</v>
      </c>
      <c r="D160" t="s">
        <v>1203</v>
      </c>
      <c r="E160" t="s">
        <v>1204</v>
      </c>
      <c r="F160">
        <v>5591</v>
      </c>
      <c r="G160" t="s">
        <v>688</v>
      </c>
      <c r="H160" t="s">
        <v>2238</v>
      </c>
      <c r="I160" t="s">
        <v>1205</v>
      </c>
      <c r="J160">
        <v>23435</v>
      </c>
    </row>
    <row r="161" spans="1:10" hidden="1" x14ac:dyDescent="0.3">
      <c r="A161">
        <v>2667</v>
      </c>
      <c r="B161" t="s">
        <v>2237</v>
      </c>
      <c r="C161" t="s">
        <v>2110</v>
      </c>
      <c r="D161" t="s">
        <v>1203</v>
      </c>
      <c r="E161" t="s">
        <v>1204</v>
      </c>
      <c r="F161">
        <v>5591</v>
      </c>
      <c r="G161" t="s">
        <v>692</v>
      </c>
      <c r="H161" t="s">
        <v>2239</v>
      </c>
      <c r="I161" t="s">
        <v>1210</v>
      </c>
      <c r="J161">
        <v>5</v>
      </c>
    </row>
    <row r="162" spans="1:10" hidden="1" x14ac:dyDescent="0.3">
      <c r="A162">
        <v>2667</v>
      </c>
      <c r="B162" t="s">
        <v>2237</v>
      </c>
      <c r="C162" t="s">
        <v>2110</v>
      </c>
      <c r="D162" t="s">
        <v>1203</v>
      </c>
      <c r="E162" t="s">
        <v>1204</v>
      </c>
      <c r="F162">
        <v>5591</v>
      </c>
      <c r="G162" t="s">
        <v>690</v>
      </c>
      <c r="H162" t="s">
        <v>2240</v>
      </c>
      <c r="I162" t="s">
        <v>1205</v>
      </c>
      <c r="J162">
        <v>2051</v>
      </c>
    </row>
    <row r="163" spans="1:10" hidden="1" x14ac:dyDescent="0.3">
      <c r="A163">
        <v>2675</v>
      </c>
      <c r="B163" t="s">
        <v>2241</v>
      </c>
      <c r="C163" t="s">
        <v>2110</v>
      </c>
      <c r="D163" t="s">
        <v>159</v>
      </c>
      <c r="E163" t="s">
        <v>159</v>
      </c>
      <c r="F163">
        <v>5784</v>
      </c>
      <c r="G163" t="s">
        <v>688</v>
      </c>
      <c r="H163" t="s">
        <v>2242</v>
      </c>
      <c r="I163" t="s">
        <v>1205</v>
      </c>
      <c r="J163">
        <v>105686</v>
      </c>
    </row>
    <row r="164" spans="1:10" hidden="1" x14ac:dyDescent="0.3">
      <c r="A164">
        <v>2675</v>
      </c>
      <c r="B164" t="s">
        <v>2241</v>
      </c>
      <c r="C164" t="s">
        <v>2110</v>
      </c>
      <c r="D164" t="s">
        <v>159</v>
      </c>
      <c r="E164" t="s">
        <v>159</v>
      </c>
      <c r="F164">
        <v>5784</v>
      </c>
      <c r="G164" t="s">
        <v>688</v>
      </c>
      <c r="H164" t="s">
        <v>2243</v>
      </c>
      <c r="I164" t="s">
        <v>1205</v>
      </c>
      <c r="J164">
        <v>124</v>
      </c>
    </row>
    <row r="165" spans="1:10" hidden="1" x14ac:dyDescent="0.3">
      <c r="A165">
        <v>2675</v>
      </c>
      <c r="B165" t="s">
        <v>2241</v>
      </c>
      <c r="C165" t="s">
        <v>2110</v>
      </c>
      <c r="D165" t="s">
        <v>159</v>
      </c>
      <c r="E165" t="s">
        <v>159</v>
      </c>
      <c r="F165">
        <v>5784</v>
      </c>
      <c r="G165" t="s">
        <v>706</v>
      </c>
      <c r="H165" t="s">
        <v>2242</v>
      </c>
      <c r="I165" t="s">
        <v>1205</v>
      </c>
      <c r="J165">
        <v>6950</v>
      </c>
    </row>
    <row r="166" spans="1:10" hidden="1" x14ac:dyDescent="0.3">
      <c r="A166">
        <v>2697</v>
      </c>
      <c r="B166" t="s">
        <v>2092</v>
      </c>
      <c r="C166" t="s">
        <v>2110</v>
      </c>
      <c r="D166" t="s">
        <v>159</v>
      </c>
      <c r="E166" t="s">
        <v>159</v>
      </c>
      <c r="F166">
        <v>8063</v>
      </c>
      <c r="G166" t="s">
        <v>688</v>
      </c>
      <c r="H166" t="s">
        <v>2244</v>
      </c>
      <c r="I166" t="s">
        <v>1205</v>
      </c>
      <c r="J166">
        <v>12004.2</v>
      </c>
    </row>
    <row r="167" spans="1:10" hidden="1" x14ac:dyDescent="0.3">
      <c r="A167">
        <v>2697</v>
      </c>
      <c r="B167" t="s">
        <v>2092</v>
      </c>
      <c r="C167" t="s">
        <v>2110</v>
      </c>
      <c r="D167" t="s">
        <v>159</v>
      </c>
      <c r="E167" t="s">
        <v>159</v>
      </c>
      <c r="F167">
        <v>8063</v>
      </c>
      <c r="G167" t="s">
        <v>688</v>
      </c>
      <c r="H167" t="s">
        <v>2245</v>
      </c>
      <c r="I167" t="s">
        <v>1205</v>
      </c>
      <c r="J167">
        <v>1228.5</v>
      </c>
    </row>
    <row r="168" spans="1:10" hidden="1" x14ac:dyDescent="0.3">
      <c r="A168">
        <v>2697</v>
      </c>
      <c r="B168" t="s">
        <v>2092</v>
      </c>
      <c r="C168" t="s">
        <v>2110</v>
      </c>
      <c r="D168" t="s">
        <v>159</v>
      </c>
      <c r="E168" t="s">
        <v>159</v>
      </c>
      <c r="F168">
        <v>8063</v>
      </c>
      <c r="G168" t="s">
        <v>688</v>
      </c>
      <c r="H168" t="s">
        <v>2244</v>
      </c>
      <c r="I168" t="s">
        <v>1210</v>
      </c>
      <c r="J168">
        <v>1819.1</v>
      </c>
    </row>
    <row r="169" spans="1:10" hidden="1" x14ac:dyDescent="0.3">
      <c r="A169">
        <v>2697</v>
      </c>
      <c r="B169" t="s">
        <v>2092</v>
      </c>
      <c r="C169" t="s">
        <v>2110</v>
      </c>
      <c r="D169" t="s">
        <v>159</v>
      </c>
      <c r="E169" t="s">
        <v>159</v>
      </c>
      <c r="F169">
        <v>8063</v>
      </c>
      <c r="G169" t="s">
        <v>688</v>
      </c>
      <c r="H169" t="s">
        <v>2246</v>
      </c>
      <c r="I169" t="s">
        <v>1205</v>
      </c>
      <c r="J169">
        <v>149.31</v>
      </c>
    </row>
    <row r="170" spans="1:10" hidden="1" x14ac:dyDescent="0.3">
      <c r="A170">
        <v>2697</v>
      </c>
      <c r="B170" t="s">
        <v>2092</v>
      </c>
      <c r="C170" t="s">
        <v>2110</v>
      </c>
      <c r="D170" t="s">
        <v>159</v>
      </c>
      <c r="E170" t="s">
        <v>159</v>
      </c>
      <c r="F170">
        <v>8063</v>
      </c>
      <c r="G170" t="s">
        <v>688</v>
      </c>
      <c r="H170" t="s">
        <v>2021</v>
      </c>
      <c r="I170" t="s">
        <v>1205</v>
      </c>
      <c r="J170">
        <v>3434.8</v>
      </c>
    </row>
    <row r="171" spans="1:10" hidden="1" x14ac:dyDescent="0.3">
      <c r="A171">
        <v>2697</v>
      </c>
      <c r="B171" t="s">
        <v>2092</v>
      </c>
      <c r="C171" t="s">
        <v>2110</v>
      </c>
      <c r="D171" t="s">
        <v>159</v>
      </c>
      <c r="E171" t="s">
        <v>159</v>
      </c>
      <c r="F171">
        <v>8063</v>
      </c>
      <c r="G171" t="s">
        <v>688</v>
      </c>
      <c r="H171" t="s">
        <v>1839</v>
      </c>
      <c r="I171" t="s">
        <v>1210</v>
      </c>
      <c r="J171">
        <v>6563</v>
      </c>
    </row>
    <row r="172" spans="1:10" hidden="1" x14ac:dyDescent="0.3">
      <c r="A172">
        <v>2697</v>
      </c>
      <c r="B172" t="s">
        <v>2092</v>
      </c>
      <c r="C172" t="s">
        <v>2110</v>
      </c>
      <c r="D172" t="s">
        <v>159</v>
      </c>
      <c r="E172" t="s">
        <v>159</v>
      </c>
      <c r="F172">
        <v>8063</v>
      </c>
      <c r="G172" t="s">
        <v>688</v>
      </c>
      <c r="H172" t="s">
        <v>1839</v>
      </c>
      <c r="I172" t="s">
        <v>1205</v>
      </c>
      <c r="J172">
        <v>10885.6</v>
      </c>
    </row>
    <row r="173" spans="1:10" hidden="1" x14ac:dyDescent="0.3">
      <c r="A173">
        <v>2697</v>
      </c>
      <c r="B173" t="s">
        <v>2092</v>
      </c>
      <c r="C173" t="s">
        <v>2110</v>
      </c>
      <c r="D173" t="s">
        <v>159</v>
      </c>
      <c r="E173" t="s">
        <v>159</v>
      </c>
      <c r="F173">
        <v>8063</v>
      </c>
      <c r="G173" t="s">
        <v>688</v>
      </c>
      <c r="H173" t="s">
        <v>1495</v>
      </c>
      <c r="I173" t="s">
        <v>1205</v>
      </c>
      <c r="J173">
        <v>15114.83</v>
      </c>
    </row>
    <row r="174" spans="1:10" hidden="1" x14ac:dyDescent="0.3">
      <c r="A174">
        <v>2697</v>
      </c>
      <c r="B174" t="s">
        <v>2092</v>
      </c>
      <c r="C174" t="s">
        <v>2110</v>
      </c>
      <c r="D174" t="s">
        <v>159</v>
      </c>
      <c r="E174" t="s">
        <v>159</v>
      </c>
      <c r="F174">
        <v>8063</v>
      </c>
      <c r="G174" t="s">
        <v>688</v>
      </c>
      <c r="H174" t="s">
        <v>2247</v>
      </c>
      <c r="I174" t="s">
        <v>1210</v>
      </c>
      <c r="J174">
        <v>132</v>
      </c>
    </row>
    <row r="175" spans="1:10" hidden="1" x14ac:dyDescent="0.3">
      <c r="A175">
        <v>2697</v>
      </c>
      <c r="B175" t="s">
        <v>2092</v>
      </c>
      <c r="C175" t="s">
        <v>2110</v>
      </c>
      <c r="D175" t="s">
        <v>159</v>
      </c>
      <c r="E175" t="s">
        <v>159</v>
      </c>
      <c r="F175">
        <v>8063</v>
      </c>
      <c r="G175" t="s">
        <v>688</v>
      </c>
      <c r="H175" t="s">
        <v>2248</v>
      </c>
      <c r="I175" t="s">
        <v>1205</v>
      </c>
      <c r="J175">
        <v>4813.55</v>
      </c>
    </row>
    <row r="176" spans="1:10" hidden="1" x14ac:dyDescent="0.3">
      <c r="A176">
        <v>2697</v>
      </c>
      <c r="B176" t="s">
        <v>2092</v>
      </c>
      <c r="C176" t="s">
        <v>2110</v>
      </c>
      <c r="D176" t="s">
        <v>159</v>
      </c>
      <c r="E176" t="s">
        <v>159</v>
      </c>
      <c r="F176">
        <v>8063</v>
      </c>
      <c r="G176" t="s">
        <v>688</v>
      </c>
      <c r="H176" t="s">
        <v>2245</v>
      </c>
      <c r="I176" t="s">
        <v>1210</v>
      </c>
      <c r="J176">
        <v>16637.099999999999</v>
      </c>
    </row>
    <row r="177" spans="1:10" hidden="1" x14ac:dyDescent="0.3">
      <c r="A177">
        <v>4811</v>
      </c>
      <c r="B177" t="s">
        <v>2249</v>
      </c>
      <c r="C177" t="s">
        <v>2110</v>
      </c>
      <c r="D177" t="s">
        <v>1203</v>
      </c>
      <c r="E177" t="s">
        <v>1204</v>
      </c>
      <c r="F177">
        <v>6866</v>
      </c>
      <c r="G177" t="s">
        <v>688</v>
      </c>
      <c r="I177" t="s">
        <v>1205</v>
      </c>
      <c r="J177">
        <v>19574</v>
      </c>
    </row>
    <row r="178" spans="1:10" hidden="1" x14ac:dyDescent="0.3">
      <c r="A178">
        <v>4811</v>
      </c>
      <c r="B178" t="s">
        <v>2249</v>
      </c>
      <c r="C178" t="s">
        <v>2110</v>
      </c>
      <c r="D178" t="s">
        <v>1203</v>
      </c>
      <c r="E178" t="s">
        <v>1204</v>
      </c>
      <c r="F178">
        <v>6866</v>
      </c>
      <c r="G178" t="s">
        <v>686</v>
      </c>
      <c r="I178" t="s">
        <v>1205</v>
      </c>
      <c r="J178">
        <v>205</v>
      </c>
    </row>
  </sheetData>
  <autoFilter ref="A1:J178" xr:uid="{C2631E2A-4AD1-4731-907A-32EEC487393C}">
    <filterColumn colId="1">
      <filters>
        <filter val="Placer County Water Agency"/>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A0E1-1F25-4F11-906B-CB3D406DE80E}">
  <sheetPr codeName="Sheet30">
    <tabColor rgb="FF7030A0"/>
  </sheetPr>
  <dimension ref="A1:N2618"/>
  <sheetViews>
    <sheetView workbookViewId="0"/>
  </sheetViews>
  <sheetFormatPr defaultRowHeight="14.4" x14ac:dyDescent="0.3"/>
  <cols>
    <col min="2" max="2" width="54" bestFit="1" customWidth="1"/>
    <col min="3" max="3" width="9.109375" customWidth="1"/>
    <col min="4" max="4" width="21.109375" customWidth="1"/>
    <col min="5" max="6" width="9.109375" customWidth="1"/>
    <col min="7" max="7" width="41.88671875" customWidth="1"/>
    <col min="8" max="8" width="116.109375" customWidth="1"/>
  </cols>
  <sheetData>
    <row r="1" spans="1:14" x14ac:dyDescent="0.3">
      <c r="A1" t="s">
        <v>1191</v>
      </c>
      <c r="B1" t="s">
        <v>1192</v>
      </c>
      <c r="C1" t="s">
        <v>1193</v>
      </c>
      <c r="D1" t="s">
        <v>1194</v>
      </c>
      <c r="E1" t="s">
        <v>1195</v>
      </c>
      <c r="F1" t="s">
        <v>1196</v>
      </c>
      <c r="G1" t="s">
        <v>1197</v>
      </c>
      <c r="H1" t="s">
        <v>1198</v>
      </c>
      <c r="I1" t="s">
        <v>2250</v>
      </c>
      <c r="J1" t="s">
        <v>2251</v>
      </c>
      <c r="K1" t="s">
        <v>2252</v>
      </c>
      <c r="L1" t="s">
        <v>2253</v>
      </c>
      <c r="M1" t="s">
        <v>2254</v>
      </c>
      <c r="N1" t="s">
        <v>2255</v>
      </c>
    </row>
    <row r="2" spans="1:14" x14ac:dyDescent="0.3">
      <c r="A2">
        <v>13</v>
      </c>
      <c r="B2" t="s">
        <v>1201</v>
      </c>
      <c r="C2" t="s">
        <v>2256</v>
      </c>
      <c r="D2" t="s">
        <v>1203</v>
      </c>
      <c r="E2" t="s">
        <v>1204</v>
      </c>
      <c r="F2">
        <v>5973</v>
      </c>
      <c r="G2" t="s">
        <v>696</v>
      </c>
      <c r="I2">
        <v>3360</v>
      </c>
      <c r="J2">
        <v>3656</v>
      </c>
      <c r="K2">
        <v>3744</v>
      </c>
      <c r="L2">
        <v>3853</v>
      </c>
      <c r="M2">
        <v>3979</v>
      </c>
      <c r="N2" t="s">
        <v>988</v>
      </c>
    </row>
    <row r="3" spans="1:14" x14ac:dyDescent="0.3">
      <c r="A3">
        <v>13</v>
      </c>
      <c r="B3" t="s">
        <v>1201</v>
      </c>
      <c r="C3" t="s">
        <v>2256</v>
      </c>
      <c r="D3" t="s">
        <v>1203</v>
      </c>
      <c r="E3" t="s">
        <v>1204</v>
      </c>
      <c r="F3">
        <v>5973</v>
      </c>
      <c r="G3" t="s">
        <v>698</v>
      </c>
      <c r="I3">
        <v>100</v>
      </c>
      <c r="J3">
        <v>109</v>
      </c>
      <c r="K3">
        <v>111</v>
      </c>
      <c r="L3">
        <v>114</v>
      </c>
      <c r="M3">
        <v>116</v>
      </c>
      <c r="N3" t="s">
        <v>988</v>
      </c>
    </row>
    <row r="4" spans="1:14" x14ac:dyDescent="0.3">
      <c r="A4">
        <v>13</v>
      </c>
      <c r="B4" t="s">
        <v>1201</v>
      </c>
      <c r="C4" t="s">
        <v>2256</v>
      </c>
      <c r="D4" t="s">
        <v>1203</v>
      </c>
      <c r="E4" t="s">
        <v>1204</v>
      </c>
      <c r="F4">
        <v>5973</v>
      </c>
      <c r="G4" t="s">
        <v>700</v>
      </c>
      <c r="I4">
        <v>874</v>
      </c>
      <c r="J4">
        <v>894</v>
      </c>
      <c r="K4">
        <v>950</v>
      </c>
      <c r="L4">
        <v>977</v>
      </c>
      <c r="M4">
        <v>1009</v>
      </c>
      <c r="N4" t="s">
        <v>988</v>
      </c>
    </row>
    <row r="5" spans="1:14" x14ac:dyDescent="0.3">
      <c r="A5">
        <v>13</v>
      </c>
      <c r="B5" t="s">
        <v>1201</v>
      </c>
      <c r="C5" t="s">
        <v>2256</v>
      </c>
      <c r="D5" t="s">
        <v>1203</v>
      </c>
      <c r="E5" t="s">
        <v>1204</v>
      </c>
      <c r="F5">
        <v>5973</v>
      </c>
      <c r="G5" t="s">
        <v>701</v>
      </c>
      <c r="I5">
        <v>1</v>
      </c>
      <c r="J5">
        <v>1</v>
      </c>
      <c r="K5">
        <v>1</v>
      </c>
      <c r="L5">
        <v>1</v>
      </c>
      <c r="M5">
        <v>2</v>
      </c>
      <c r="N5" t="s">
        <v>988</v>
      </c>
    </row>
    <row r="6" spans="1:14" x14ac:dyDescent="0.3">
      <c r="A6">
        <v>13</v>
      </c>
      <c r="B6" t="s">
        <v>1201</v>
      </c>
      <c r="C6" t="s">
        <v>2256</v>
      </c>
      <c r="D6" t="s">
        <v>1203</v>
      </c>
      <c r="E6" t="s">
        <v>1204</v>
      </c>
      <c r="F6">
        <v>5973</v>
      </c>
      <c r="G6" t="s">
        <v>702</v>
      </c>
      <c r="I6">
        <v>100</v>
      </c>
      <c r="J6">
        <v>105</v>
      </c>
      <c r="K6">
        <v>109</v>
      </c>
      <c r="L6">
        <v>112</v>
      </c>
      <c r="M6">
        <v>115</v>
      </c>
      <c r="N6" t="s">
        <v>988</v>
      </c>
    </row>
    <row r="7" spans="1:14" x14ac:dyDescent="0.3">
      <c r="A7">
        <v>13</v>
      </c>
      <c r="B7" t="s">
        <v>1201</v>
      </c>
      <c r="C7" t="s">
        <v>2256</v>
      </c>
      <c r="D7" t="s">
        <v>1203</v>
      </c>
      <c r="E7" t="s">
        <v>1204</v>
      </c>
      <c r="F7">
        <v>5973</v>
      </c>
      <c r="G7" t="s">
        <v>691</v>
      </c>
      <c r="I7">
        <v>1</v>
      </c>
      <c r="J7">
        <v>1</v>
      </c>
      <c r="K7">
        <v>1</v>
      </c>
      <c r="L7">
        <v>1</v>
      </c>
      <c r="M7">
        <v>1</v>
      </c>
      <c r="N7" t="s">
        <v>988</v>
      </c>
    </row>
    <row r="8" spans="1:14" x14ac:dyDescent="0.3">
      <c r="A8">
        <v>13</v>
      </c>
      <c r="B8" t="s">
        <v>1201</v>
      </c>
      <c r="C8" t="s">
        <v>2256</v>
      </c>
      <c r="D8" t="s">
        <v>1203</v>
      </c>
      <c r="E8" t="s">
        <v>1204</v>
      </c>
      <c r="F8">
        <v>5973</v>
      </c>
      <c r="G8" t="s">
        <v>686</v>
      </c>
      <c r="I8">
        <v>560</v>
      </c>
      <c r="J8">
        <v>494</v>
      </c>
      <c r="K8">
        <v>510</v>
      </c>
      <c r="L8">
        <v>526</v>
      </c>
      <c r="M8">
        <v>544</v>
      </c>
      <c r="N8" t="s">
        <v>988</v>
      </c>
    </row>
    <row r="9" spans="1:14" x14ac:dyDescent="0.3">
      <c r="A9">
        <v>23</v>
      </c>
      <c r="B9" t="s">
        <v>801</v>
      </c>
      <c r="C9" t="s">
        <v>2256</v>
      </c>
      <c r="D9" t="s">
        <v>159</v>
      </c>
      <c r="E9" t="s">
        <v>159</v>
      </c>
      <c r="F9">
        <v>6868</v>
      </c>
      <c r="G9" t="s">
        <v>700</v>
      </c>
      <c r="H9" t="s">
        <v>2257</v>
      </c>
      <c r="I9">
        <v>6800</v>
      </c>
      <c r="J9">
        <v>7000</v>
      </c>
      <c r="K9">
        <v>7100</v>
      </c>
      <c r="L9">
        <v>7200</v>
      </c>
      <c r="M9">
        <v>9700</v>
      </c>
      <c r="N9" t="s">
        <v>988</v>
      </c>
    </row>
    <row r="10" spans="1:14" x14ac:dyDescent="0.3">
      <c r="A10">
        <v>23</v>
      </c>
      <c r="B10" t="s">
        <v>801</v>
      </c>
      <c r="C10" t="s">
        <v>2256</v>
      </c>
      <c r="D10" t="s">
        <v>159</v>
      </c>
      <c r="E10" t="s">
        <v>159</v>
      </c>
      <c r="F10">
        <v>6868</v>
      </c>
      <c r="G10" t="s">
        <v>701</v>
      </c>
      <c r="H10" t="s">
        <v>2257</v>
      </c>
      <c r="I10">
        <v>3200</v>
      </c>
      <c r="J10">
        <v>3000</v>
      </c>
      <c r="K10">
        <v>3000</v>
      </c>
      <c r="L10">
        <v>3100</v>
      </c>
      <c r="M10">
        <v>4100</v>
      </c>
      <c r="N10" t="s">
        <v>988</v>
      </c>
    </row>
    <row r="11" spans="1:14" x14ac:dyDescent="0.3">
      <c r="A11">
        <v>23</v>
      </c>
      <c r="B11" t="s">
        <v>801</v>
      </c>
      <c r="C11" t="s">
        <v>2256</v>
      </c>
      <c r="D11" t="s">
        <v>159</v>
      </c>
      <c r="E11" t="s">
        <v>159</v>
      </c>
      <c r="F11">
        <v>6868</v>
      </c>
      <c r="G11" t="s">
        <v>703</v>
      </c>
      <c r="H11" t="s">
        <v>2257</v>
      </c>
      <c r="I11">
        <v>2500</v>
      </c>
      <c r="J11">
        <v>2500</v>
      </c>
      <c r="K11">
        <v>2600</v>
      </c>
      <c r="L11">
        <v>2600</v>
      </c>
      <c r="M11">
        <v>3000</v>
      </c>
      <c r="N11" t="s">
        <v>988</v>
      </c>
    </row>
    <row r="12" spans="1:14" x14ac:dyDescent="0.3">
      <c r="A12">
        <v>23</v>
      </c>
      <c r="B12" t="s">
        <v>801</v>
      </c>
      <c r="C12" t="s">
        <v>2256</v>
      </c>
      <c r="D12" t="s">
        <v>159</v>
      </c>
      <c r="E12" t="s">
        <v>159</v>
      </c>
      <c r="F12">
        <v>6868</v>
      </c>
      <c r="G12" t="s">
        <v>687</v>
      </c>
      <c r="H12" t="s">
        <v>2257</v>
      </c>
      <c r="I12">
        <v>200</v>
      </c>
      <c r="J12">
        <v>200</v>
      </c>
      <c r="K12">
        <v>200</v>
      </c>
      <c r="L12">
        <v>200</v>
      </c>
      <c r="M12">
        <v>200</v>
      </c>
      <c r="N12" t="s">
        <v>988</v>
      </c>
    </row>
    <row r="13" spans="1:14" x14ac:dyDescent="0.3">
      <c r="A13">
        <v>23</v>
      </c>
      <c r="B13" t="s">
        <v>801</v>
      </c>
      <c r="C13" t="s">
        <v>2256</v>
      </c>
      <c r="D13" t="s">
        <v>159</v>
      </c>
      <c r="E13" t="s">
        <v>159</v>
      </c>
      <c r="F13">
        <v>6868</v>
      </c>
      <c r="G13" t="s">
        <v>686</v>
      </c>
      <c r="H13" t="s">
        <v>2257</v>
      </c>
      <c r="I13">
        <v>3800</v>
      </c>
      <c r="J13">
        <v>3800</v>
      </c>
      <c r="K13">
        <v>3800</v>
      </c>
      <c r="L13">
        <v>3900</v>
      </c>
      <c r="M13">
        <v>4500</v>
      </c>
      <c r="N13" t="s">
        <v>988</v>
      </c>
    </row>
    <row r="14" spans="1:14" x14ac:dyDescent="0.3">
      <c r="A14">
        <v>23</v>
      </c>
      <c r="B14" t="s">
        <v>801</v>
      </c>
      <c r="C14" t="s">
        <v>2256</v>
      </c>
      <c r="D14" t="s">
        <v>159</v>
      </c>
      <c r="E14" t="s">
        <v>159</v>
      </c>
      <c r="F14">
        <v>6868</v>
      </c>
      <c r="G14" t="s">
        <v>687</v>
      </c>
      <c r="H14" t="s">
        <v>2258</v>
      </c>
      <c r="I14">
        <v>16300</v>
      </c>
      <c r="J14">
        <v>16200</v>
      </c>
      <c r="K14">
        <v>16100</v>
      </c>
      <c r="L14">
        <v>16000</v>
      </c>
      <c r="M14">
        <v>15500</v>
      </c>
      <c r="N14" t="s">
        <v>988</v>
      </c>
    </row>
    <row r="15" spans="1:14" x14ac:dyDescent="0.3">
      <c r="A15">
        <v>23</v>
      </c>
      <c r="B15" t="s">
        <v>801</v>
      </c>
      <c r="C15" t="s">
        <v>2256</v>
      </c>
      <c r="D15" t="s">
        <v>159</v>
      </c>
      <c r="E15" t="s">
        <v>159</v>
      </c>
      <c r="F15">
        <v>6868</v>
      </c>
      <c r="G15" t="s">
        <v>696</v>
      </c>
      <c r="H15" t="s">
        <v>2257</v>
      </c>
      <c r="I15">
        <v>18300</v>
      </c>
      <c r="J15">
        <v>17700</v>
      </c>
      <c r="K15">
        <v>17100</v>
      </c>
      <c r="L15">
        <v>16700</v>
      </c>
      <c r="M15">
        <v>16400</v>
      </c>
      <c r="N15" t="s">
        <v>988</v>
      </c>
    </row>
    <row r="16" spans="1:14" x14ac:dyDescent="0.3">
      <c r="A16">
        <v>23</v>
      </c>
      <c r="B16" t="s">
        <v>801</v>
      </c>
      <c r="C16" t="s">
        <v>2256</v>
      </c>
      <c r="D16" t="s">
        <v>159</v>
      </c>
      <c r="E16" t="s">
        <v>159</v>
      </c>
      <c r="F16">
        <v>6868</v>
      </c>
      <c r="G16" t="s">
        <v>698</v>
      </c>
      <c r="H16" t="s">
        <v>2257</v>
      </c>
      <c r="I16">
        <v>9800</v>
      </c>
      <c r="J16">
        <v>10000</v>
      </c>
      <c r="K16">
        <v>10200</v>
      </c>
      <c r="L16">
        <v>10500</v>
      </c>
      <c r="M16">
        <v>14100</v>
      </c>
      <c r="N16" t="s">
        <v>988</v>
      </c>
    </row>
    <row r="17" spans="1:14" x14ac:dyDescent="0.3">
      <c r="A17">
        <v>30</v>
      </c>
      <c r="B17" t="s">
        <v>1213</v>
      </c>
      <c r="C17" t="s">
        <v>2256</v>
      </c>
      <c r="D17" t="s">
        <v>159</v>
      </c>
      <c r="E17" t="s">
        <v>159</v>
      </c>
      <c r="F17">
        <v>5557</v>
      </c>
      <c r="G17" t="s">
        <v>698</v>
      </c>
      <c r="I17">
        <v>3853</v>
      </c>
      <c r="J17">
        <v>3888</v>
      </c>
      <c r="K17">
        <v>3923</v>
      </c>
      <c r="L17">
        <v>3958</v>
      </c>
      <c r="M17">
        <v>3993</v>
      </c>
      <c r="N17" t="s">
        <v>988</v>
      </c>
    </row>
    <row r="18" spans="1:14" x14ac:dyDescent="0.3">
      <c r="A18">
        <v>30</v>
      </c>
      <c r="B18" t="s">
        <v>1213</v>
      </c>
      <c r="C18" t="s">
        <v>2256</v>
      </c>
      <c r="D18" t="s">
        <v>159</v>
      </c>
      <c r="E18" t="s">
        <v>159</v>
      </c>
      <c r="F18">
        <v>5557</v>
      </c>
      <c r="G18" t="s">
        <v>700</v>
      </c>
      <c r="I18">
        <v>1581</v>
      </c>
      <c r="J18">
        <v>1596</v>
      </c>
      <c r="K18">
        <v>1610</v>
      </c>
      <c r="L18">
        <v>1624</v>
      </c>
      <c r="M18">
        <v>1639</v>
      </c>
      <c r="N18" t="s">
        <v>988</v>
      </c>
    </row>
    <row r="19" spans="1:14" x14ac:dyDescent="0.3">
      <c r="A19">
        <v>30</v>
      </c>
      <c r="B19" t="s">
        <v>1213</v>
      </c>
      <c r="C19" t="s">
        <v>2256</v>
      </c>
      <c r="D19" t="s">
        <v>159</v>
      </c>
      <c r="E19" t="s">
        <v>159</v>
      </c>
      <c r="F19">
        <v>5557</v>
      </c>
      <c r="G19" t="s">
        <v>687</v>
      </c>
      <c r="I19">
        <v>429</v>
      </c>
      <c r="J19">
        <v>433</v>
      </c>
      <c r="K19">
        <v>437</v>
      </c>
      <c r="L19">
        <v>441</v>
      </c>
      <c r="M19">
        <v>445</v>
      </c>
      <c r="N19" t="s">
        <v>988</v>
      </c>
    </row>
    <row r="20" spans="1:14" x14ac:dyDescent="0.3">
      <c r="A20">
        <v>30</v>
      </c>
      <c r="B20" t="s">
        <v>1213</v>
      </c>
      <c r="C20" t="s">
        <v>2256</v>
      </c>
      <c r="D20" t="s">
        <v>159</v>
      </c>
      <c r="E20" t="s">
        <v>159</v>
      </c>
      <c r="F20">
        <v>5557</v>
      </c>
      <c r="G20" t="s">
        <v>686</v>
      </c>
      <c r="I20">
        <v>1079</v>
      </c>
      <c r="J20">
        <v>1088</v>
      </c>
      <c r="K20">
        <v>1098</v>
      </c>
      <c r="L20">
        <v>1108</v>
      </c>
      <c r="M20">
        <v>1118</v>
      </c>
      <c r="N20" t="s">
        <v>988</v>
      </c>
    </row>
    <row r="21" spans="1:14" x14ac:dyDescent="0.3">
      <c r="A21">
        <v>30</v>
      </c>
      <c r="B21" t="s">
        <v>1213</v>
      </c>
      <c r="C21" t="s">
        <v>2256</v>
      </c>
      <c r="D21" t="s">
        <v>159</v>
      </c>
      <c r="E21" t="s">
        <v>159</v>
      </c>
      <c r="F21">
        <v>5557</v>
      </c>
      <c r="G21" t="s">
        <v>696</v>
      </c>
      <c r="I21">
        <v>3329</v>
      </c>
      <c r="J21">
        <v>3359</v>
      </c>
      <c r="K21">
        <v>3389</v>
      </c>
      <c r="L21">
        <v>3420</v>
      </c>
      <c r="M21">
        <v>3450</v>
      </c>
      <c r="N21" t="s">
        <v>988</v>
      </c>
    </row>
    <row r="22" spans="1:14" x14ac:dyDescent="0.3">
      <c r="A22">
        <v>30</v>
      </c>
      <c r="B22" t="s">
        <v>1213</v>
      </c>
      <c r="C22" t="s">
        <v>2256</v>
      </c>
      <c r="D22" t="s">
        <v>159</v>
      </c>
      <c r="E22" t="s">
        <v>159</v>
      </c>
      <c r="F22">
        <v>5557</v>
      </c>
      <c r="G22" t="s">
        <v>702</v>
      </c>
      <c r="I22">
        <v>86</v>
      </c>
      <c r="J22">
        <v>86</v>
      </c>
      <c r="K22">
        <v>87</v>
      </c>
      <c r="L22">
        <v>88</v>
      </c>
      <c r="M22">
        <v>89</v>
      </c>
      <c r="N22" t="s">
        <v>988</v>
      </c>
    </row>
    <row r="23" spans="1:14" x14ac:dyDescent="0.3">
      <c r="A23">
        <v>30</v>
      </c>
      <c r="B23" t="s">
        <v>1213</v>
      </c>
      <c r="C23" t="s">
        <v>2256</v>
      </c>
      <c r="D23" t="s">
        <v>159</v>
      </c>
      <c r="E23" t="s">
        <v>159</v>
      </c>
      <c r="F23">
        <v>5557</v>
      </c>
      <c r="G23" t="s">
        <v>701</v>
      </c>
      <c r="I23">
        <v>76</v>
      </c>
      <c r="J23">
        <v>76</v>
      </c>
      <c r="K23">
        <v>77</v>
      </c>
      <c r="L23">
        <v>78</v>
      </c>
      <c r="M23">
        <v>78</v>
      </c>
      <c r="N23" t="s">
        <v>988</v>
      </c>
    </row>
    <row r="24" spans="1:14" x14ac:dyDescent="0.3">
      <c r="A24">
        <v>55</v>
      </c>
      <c r="B24" t="s">
        <v>1217</v>
      </c>
      <c r="C24" t="s">
        <v>2256</v>
      </c>
      <c r="D24" t="s">
        <v>1203</v>
      </c>
      <c r="E24" t="s">
        <v>1204</v>
      </c>
      <c r="F24">
        <v>5577</v>
      </c>
      <c r="G24" t="s">
        <v>686</v>
      </c>
      <c r="H24" t="s">
        <v>1210</v>
      </c>
      <c r="I24">
        <v>2305</v>
      </c>
      <c r="J24">
        <v>2305</v>
      </c>
      <c r="K24">
        <v>2305</v>
      </c>
      <c r="L24">
        <v>2305</v>
      </c>
      <c r="M24">
        <v>2305</v>
      </c>
      <c r="N24" t="s">
        <v>988</v>
      </c>
    </row>
    <row r="25" spans="1:14" x14ac:dyDescent="0.3">
      <c r="A25">
        <v>55</v>
      </c>
      <c r="B25" t="s">
        <v>1217</v>
      </c>
      <c r="C25" t="s">
        <v>2256</v>
      </c>
      <c r="D25" t="s">
        <v>1203</v>
      </c>
      <c r="E25" t="s">
        <v>1204</v>
      </c>
      <c r="F25">
        <v>5577</v>
      </c>
      <c r="G25" t="s">
        <v>686</v>
      </c>
      <c r="H25" t="s">
        <v>1205</v>
      </c>
      <c r="I25">
        <v>721</v>
      </c>
      <c r="J25">
        <v>745</v>
      </c>
      <c r="K25">
        <v>757</v>
      </c>
      <c r="L25">
        <v>765</v>
      </c>
      <c r="M25">
        <v>775</v>
      </c>
      <c r="N25" t="s">
        <v>988</v>
      </c>
    </row>
    <row r="26" spans="1:14" x14ac:dyDescent="0.3">
      <c r="A26">
        <v>55</v>
      </c>
      <c r="B26" t="s">
        <v>1217</v>
      </c>
      <c r="C26" t="s">
        <v>2256</v>
      </c>
      <c r="D26" t="s">
        <v>1203</v>
      </c>
      <c r="E26" t="s">
        <v>1204</v>
      </c>
      <c r="F26">
        <v>5577</v>
      </c>
      <c r="G26" t="s">
        <v>698</v>
      </c>
      <c r="H26" t="s">
        <v>1205</v>
      </c>
      <c r="I26">
        <v>178</v>
      </c>
      <c r="J26">
        <v>180</v>
      </c>
      <c r="K26">
        <v>180</v>
      </c>
      <c r="L26">
        <v>181</v>
      </c>
      <c r="M26">
        <v>182</v>
      </c>
      <c r="N26" t="s">
        <v>988</v>
      </c>
    </row>
    <row r="27" spans="1:14" x14ac:dyDescent="0.3">
      <c r="A27">
        <v>55</v>
      </c>
      <c r="B27" t="s">
        <v>1217</v>
      </c>
      <c r="C27" t="s">
        <v>2256</v>
      </c>
      <c r="D27" t="s">
        <v>1203</v>
      </c>
      <c r="E27" t="s">
        <v>1204</v>
      </c>
      <c r="F27">
        <v>5577</v>
      </c>
      <c r="G27" t="s">
        <v>684</v>
      </c>
      <c r="H27" t="s">
        <v>1210</v>
      </c>
      <c r="I27">
        <v>571</v>
      </c>
      <c r="J27">
        <v>590</v>
      </c>
      <c r="K27">
        <v>599</v>
      </c>
      <c r="L27">
        <v>606</v>
      </c>
      <c r="M27">
        <v>614</v>
      </c>
      <c r="N27" t="s">
        <v>988</v>
      </c>
    </row>
    <row r="28" spans="1:14" x14ac:dyDescent="0.3">
      <c r="A28">
        <v>55</v>
      </c>
      <c r="B28" t="s">
        <v>1217</v>
      </c>
      <c r="C28" t="s">
        <v>2256</v>
      </c>
      <c r="D28" t="s">
        <v>1203</v>
      </c>
      <c r="E28" t="s">
        <v>1204</v>
      </c>
      <c r="F28">
        <v>5577</v>
      </c>
      <c r="G28" t="s">
        <v>701</v>
      </c>
      <c r="H28" t="s">
        <v>1210</v>
      </c>
      <c r="I28">
        <v>98</v>
      </c>
      <c r="J28">
        <v>101</v>
      </c>
      <c r="K28">
        <v>103</v>
      </c>
      <c r="L28">
        <v>104</v>
      </c>
      <c r="M28">
        <v>106</v>
      </c>
      <c r="N28" t="s">
        <v>988</v>
      </c>
    </row>
    <row r="29" spans="1:14" x14ac:dyDescent="0.3">
      <c r="A29">
        <v>55</v>
      </c>
      <c r="B29" t="s">
        <v>1217</v>
      </c>
      <c r="C29" t="s">
        <v>2256</v>
      </c>
      <c r="D29" t="s">
        <v>1203</v>
      </c>
      <c r="E29" t="s">
        <v>1204</v>
      </c>
      <c r="F29">
        <v>5577</v>
      </c>
      <c r="G29" t="s">
        <v>705</v>
      </c>
      <c r="H29" t="s">
        <v>1205</v>
      </c>
      <c r="I29">
        <v>1358</v>
      </c>
      <c r="J29">
        <v>1401</v>
      </c>
      <c r="K29">
        <v>1425</v>
      </c>
      <c r="L29">
        <v>1440</v>
      </c>
      <c r="M29">
        <v>1459</v>
      </c>
      <c r="N29" t="s">
        <v>988</v>
      </c>
    </row>
    <row r="30" spans="1:14" x14ac:dyDescent="0.3">
      <c r="A30">
        <v>55</v>
      </c>
      <c r="B30" t="s">
        <v>1217</v>
      </c>
      <c r="C30" t="s">
        <v>2256</v>
      </c>
      <c r="D30" t="s">
        <v>1203</v>
      </c>
      <c r="E30" t="s">
        <v>1204</v>
      </c>
      <c r="F30">
        <v>5577</v>
      </c>
      <c r="G30" t="s">
        <v>700</v>
      </c>
      <c r="H30" t="s">
        <v>2259</v>
      </c>
      <c r="I30">
        <v>1015</v>
      </c>
      <c r="J30">
        <v>1047</v>
      </c>
      <c r="K30">
        <v>1064</v>
      </c>
      <c r="L30">
        <v>1075</v>
      </c>
      <c r="M30">
        <v>1088</v>
      </c>
      <c r="N30" t="s">
        <v>988</v>
      </c>
    </row>
    <row r="31" spans="1:14" x14ac:dyDescent="0.3">
      <c r="A31">
        <v>55</v>
      </c>
      <c r="B31" t="s">
        <v>1217</v>
      </c>
      <c r="C31" t="s">
        <v>2256</v>
      </c>
      <c r="D31" t="s">
        <v>1203</v>
      </c>
      <c r="E31" t="s">
        <v>1204</v>
      </c>
      <c r="F31">
        <v>5577</v>
      </c>
      <c r="G31" t="s">
        <v>696</v>
      </c>
      <c r="H31" t="s">
        <v>1205</v>
      </c>
      <c r="I31">
        <v>1695</v>
      </c>
      <c r="J31">
        <v>1731</v>
      </c>
      <c r="K31">
        <v>1749</v>
      </c>
      <c r="L31">
        <v>1762</v>
      </c>
      <c r="M31">
        <v>1780</v>
      </c>
      <c r="N31" t="s">
        <v>988</v>
      </c>
    </row>
    <row r="32" spans="1:14" x14ac:dyDescent="0.3">
      <c r="A32">
        <v>55</v>
      </c>
      <c r="B32" t="s">
        <v>1217</v>
      </c>
      <c r="C32" t="s">
        <v>2256</v>
      </c>
      <c r="D32" t="s">
        <v>1203</v>
      </c>
      <c r="E32" t="s">
        <v>1204</v>
      </c>
      <c r="F32">
        <v>5577</v>
      </c>
      <c r="G32" t="s">
        <v>692</v>
      </c>
      <c r="H32" t="s">
        <v>1210</v>
      </c>
      <c r="I32">
        <v>13</v>
      </c>
      <c r="J32">
        <v>13</v>
      </c>
      <c r="K32">
        <v>13</v>
      </c>
      <c r="L32">
        <v>13</v>
      </c>
      <c r="M32">
        <v>13</v>
      </c>
      <c r="N32" t="s">
        <v>988</v>
      </c>
    </row>
    <row r="33" spans="1:14" x14ac:dyDescent="0.3">
      <c r="A33">
        <v>64</v>
      </c>
      <c r="B33" t="s">
        <v>1220</v>
      </c>
      <c r="C33" t="s">
        <v>2256</v>
      </c>
      <c r="D33" t="s">
        <v>159</v>
      </c>
      <c r="E33" t="s">
        <v>159</v>
      </c>
      <c r="F33">
        <v>6851</v>
      </c>
      <c r="G33" t="s">
        <v>698</v>
      </c>
      <c r="I33">
        <v>12523</v>
      </c>
      <c r="J33">
        <v>12545</v>
      </c>
      <c r="K33">
        <v>12963</v>
      </c>
      <c r="L33">
        <v>13437</v>
      </c>
      <c r="M33">
        <v>14051</v>
      </c>
      <c r="N33" t="s">
        <v>988</v>
      </c>
    </row>
    <row r="34" spans="1:14" x14ac:dyDescent="0.3">
      <c r="A34">
        <v>64</v>
      </c>
      <c r="B34" t="s">
        <v>1220</v>
      </c>
      <c r="C34" t="s">
        <v>2256</v>
      </c>
      <c r="D34" t="s">
        <v>159</v>
      </c>
      <c r="E34" t="s">
        <v>159</v>
      </c>
      <c r="F34">
        <v>6851</v>
      </c>
      <c r="G34" t="s">
        <v>691</v>
      </c>
      <c r="H34" t="s">
        <v>2260</v>
      </c>
      <c r="I34">
        <v>22794</v>
      </c>
      <c r="J34">
        <v>26778</v>
      </c>
      <c r="K34">
        <v>28117</v>
      </c>
      <c r="L34">
        <v>29523</v>
      </c>
      <c r="M34">
        <v>29523</v>
      </c>
      <c r="N34" t="s">
        <v>988</v>
      </c>
    </row>
    <row r="35" spans="1:14" x14ac:dyDescent="0.3">
      <c r="A35">
        <v>64</v>
      </c>
      <c r="B35" t="s">
        <v>1220</v>
      </c>
      <c r="C35" t="s">
        <v>2256</v>
      </c>
      <c r="D35" t="s">
        <v>159</v>
      </c>
      <c r="E35" t="s">
        <v>159</v>
      </c>
      <c r="F35">
        <v>6851</v>
      </c>
      <c r="G35" t="s">
        <v>702</v>
      </c>
      <c r="H35" t="s">
        <v>2261</v>
      </c>
      <c r="I35">
        <v>350</v>
      </c>
      <c r="J35">
        <v>350</v>
      </c>
      <c r="K35">
        <v>350</v>
      </c>
      <c r="L35">
        <v>350</v>
      </c>
      <c r="M35">
        <v>350</v>
      </c>
      <c r="N35" t="s">
        <v>988</v>
      </c>
    </row>
    <row r="36" spans="1:14" x14ac:dyDescent="0.3">
      <c r="A36">
        <v>64</v>
      </c>
      <c r="B36" t="s">
        <v>1220</v>
      </c>
      <c r="C36" t="s">
        <v>2256</v>
      </c>
      <c r="D36" t="s">
        <v>159</v>
      </c>
      <c r="E36" t="s">
        <v>159</v>
      </c>
      <c r="F36">
        <v>6851</v>
      </c>
      <c r="G36" t="s">
        <v>686</v>
      </c>
      <c r="H36" t="s">
        <v>2262</v>
      </c>
      <c r="I36">
        <v>2717</v>
      </c>
      <c r="J36">
        <v>2895</v>
      </c>
      <c r="K36">
        <v>2964</v>
      </c>
      <c r="L36">
        <v>3038</v>
      </c>
      <c r="M36">
        <v>3064</v>
      </c>
      <c r="N36" t="s">
        <v>988</v>
      </c>
    </row>
    <row r="37" spans="1:14" x14ac:dyDescent="0.3">
      <c r="A37">
        <v>64</v>
      </c>
      <c r="B37" t="s">
        <v>1220</v>
      </c>
      <c r="C37" t="s">
        <v>2256</v>
      </c>
      <c r="D37" t="s">
        <v>159</v>
      </c>
      <c r="E37" t="s">
        <v>159</v>
      </c>
      <c r="F37">
        <v>6851</v>
      </c>
      <c r="G37" t="s">
        <v>696</v>
      </c>
      <c r="I37">
        <v>20374</v>
      </c>
      <c r="J37">
        <v>20012</v>
      </c>
      <c r="K37">
        <v>19664</v>
      </c>
      <c r="L37">
        <v>19303</v>
      </c>
      <c r="M37">
        <v>19229</v>
      </c>
      <c r="N37" t="s">
        <v>988</v>
      </c>
    </row>
    <row r="38" spans="1:14" x14ac:dyDescent="0.3">
      <c r="A38">
        <v>82</v>
      </c>
      <c r="B38" t="s">
        <v>1224</v>
      </c>
      <c r="C38" t="s">
        <v>2256</v>
      </c>
      <c r="D38" t="s">
        <v>159</v>
      </c>
      <c r="E38" t="s">
        <v>159</v>
      </c>
      <c r="F38">
        <v>6783</v>
      </c>
      <c r="G38" t="s">
        <v>698</v>
      </c>
      <c r="I38">
        <v>416</v>
      </c>
      <c r="J38">
        <v>424</v>
      </c>
      <c r="K38">
        <v>432</v>
      </c>
      <c r="L38">
        <v>439</v>
      </c>
      <c r="M38">
        <v>447</v>
      </c>
      <c r="N38" t="s">
        <v>987</v>
      </c>
    </row>
    <row r="39" spans="1:14" x14ac:dyDescent="0.3">
      <c r="A39">
        <v>82</v>
      </c>
      <c r="B39" t="s">
        <v>1224</v>
      </c>
      <c r="C39" t="s">
        <v>2256</v>
      </c>
      <c r="D39" t="s">
        <v>159</v>
      </c>
      <c r="E39" t="s">
        <v>159</v>
      </c>
      <c r="F39">
        <v>6783</v>
      </c>
      <c r="G39" t="s">
        <v>696</v>
      </c>
      <c r="I39">
        <v>2760</v>
      </c>
      <c r="J39">
        <v>2817</v>
      </c>
      <c r="K39">
        <v>2873</v>
      </c>
      <c r="L39">
        <v>2929</v>
      </c>
      <c r="M39">
        <v>2986</v>
      </c>
      <c r="N39" t="s">
        <v>987</v>
      </c>
    </row>
    <row r="40" spans="1:14" x14ac:dyDescent="0.3">
      <c r="A40">
        <v>82</v>
      </c>
      <c r="B40" t="s">
        <v>1224</v>
      </c>
      <c r="C40" t="s">
        <v>2256</v>
      </c>
      <c r="D40" t="s">
        <v>159</v>
      </c>
      <c r="E40" t="s">
        <v>159</v>
      </c>
      <c r="F40">
        <v>6783</v>
      </c>
      <c r="G40" t="s">
        <v>700</v>
      </c>
      <c r="H40" t="s">
        <v>1225</v>
      </c>
      <c r="I40">
        <v>478</v>
      </c>
      <c r="J40">
        <v>486</v>
      </c>
      <c r="K40">
        <v>493</v>
      </c>
      <c r="L40">
        <v>501</v>
      </c>
      <c r="M40">
        <v>508</v>
      </c>
      <c r="N40" t="s">
        <v>987</v>
      </c>
    </row>
    <row r="41" spans="1:14" x14ac:dyDescent="0.3">
      <c r="A41">
        <v>82</v>
      </c>
      <c r="B41" t="s">
        <v>1224</v>
      </c>
      <c r="C41" t="s">
        <v>2256</v>
      </c>
      <c r="D41" t="s">
        <v>159</v>
      </c>
      <c r="E41" t="s">
        <v>159</v>
      </c>
      <c r="F41">
        <v>6783</v>
      </c>
      <c r="G41" t="s">
        <v>702</v>
      </c>
      <c r="H41" t="s">
        <v>2263</v>
      </c>
      <c r="I41">
        <v>389</v>
      </c>
      <c r="J41">
        <v>386</v>
      </c>
      <c r="K41">
        <v>384</v>
      </c>
      <c r="L41">
        <v>382</v>
      </c>
      <c r="M41">
        <v>380</v>
      </c>
      <c r="N41" t="s">
        <v>987</v>
      </c>
    </row>
    <row r="42" spans="1:14" x14ac:dyDescent="0.3">
      <c r="A42">
        <v>82</v>
      </c>
      <c r="B42" t="s">
        <v>1224</v>
      </c>
      <c r="C42" t="s">
        <v>2256</v>
      </c>
      <c r="D42" t="s">
        <v>159</v>
      </c>
      <c r="E42" t="s">
        <v>159</v>
      </c>
      <c r="F42">
        <v>6783</v>
      </c>
      <c r="G42" t="s">
        <v>686</v>
      </c>
      <c r="H42" t="s">
        <v>1227</v>
      </c>
      <c r="I42">
        <v>557</v>
      </c>
      <c r="J42">
        <v>569</v>
      </c>
      <c r="K42">
        <v>581</v>
      </c>
      <c r="L42">
        <v>593</v>
      </c>
      <c r="M42">
        <v>605</v>
      </c>
      <c r="N42" t="s">
        <v>987</v>
      </c>
    </row>
    <row r="43" spans="1:14" x14ac:dyDescent="0.3">
      <c r="A43">
        <v>87</v>
      </c>
      <c r="B43" t="s">
        <v>1228</v>
      </c>
      <c r="C43" t="s">
        <v>2256</v>
      </c>
      <c r="D43" t="s">
        <v>159</v>
      </c>
      <c r="E43" t="s">
        <v>159</v>
      </c>
      <c r="F43">
        <v>5448</v>
      </c>
      <c r="G43" t="s">
        <v>684</v>
      </c>
      <c r="I43">
        <v>4950</v>
      </c>
      <c r="J43">
        <v>4950</v>
      </c>
      <c r="K43">
        <v>4950</v>
      </c>
      <c r="L43">
        <v>4950</v>
      </c>
      <c r="M43">
        <v>4950</v>
      </c>
      <c r="N43" t="s">
        <v>988</v>
      </c>
    </row>
    <row r="44" spans="1:14" x14ac:dyDescent="0.3">
      <c r="A44">
        <v>87</v>
      </c>
      <c r="B44" t="s">
        <v>1228</v>
      </c>
      <c r="C44" t="s">
        <v>2256</v>
      </c>
      <c r="D44" t="s">
        <v>159</v>
      </c>
      <c r="E44" t="s">
        <v>159</v>
      </c>
      <c r="F44">
        <v>5448</v>
      </c>
      <c r="G44" t="s">
        <v>686</v>
      </c>
      <c r="I44">
        <v>751</v>
      </c>
      <c r="J44">
        <v>781</v>
      </c>
      <c r="K44">
        <v>812</v>
      </c>
      <c r="L44">
        <v>844</v>
      </c>
      <c r="M44">
        <v>879</v>
      </c>
      <c r="N44" t="s">
        <v>988</v>
      </c>
    </row>
    <row r="45" spans="1:14" x14ac:dyDescent="0.3">
      <c r="A45">
        <v>87</v>
      </c>
      <c r="B45" t="s">
        <v>1228</v>
      </c>
      <c r="C45" t="s">
        <v>2256</v>
      </c>
      <c r="D45" t="s">
        <v>159</v>
      </c>
      <c r="E45" t="s">
        <v>159</v>
      </c>
      <c r="F45">
        <v>5448</v>
      </c>
      <c r="G45" t="s">
        <v>687</v>
      </c>
      <c r="H45" t="s">
        <v>1229</v>
      </c>
      <c r="I45">
        <v>30</v>
      </c>
      <c r="J45">
        <v>31</v>
      </c>
      <c r="K45">
        <v>32</v>
      </c>
      <c r="L45">
        <v>34</v>
      </c>
      <c r="M45">
        <v>35</v>
      </c>
      <c r="N45" t="s">
        <v>988</v>
      </c>
    </row>
    <row r="46" spans="1:14" x14ac:dyDescent="0.3">
      <c r="A46">
        <v>87</v>
      </c>
      <c r="B46" t="s">
        <v>1228</v>
      </c>
      <c r="C46" t="s">
        <v>2256</v>
      </c>
      <c r="D46" t="s">
        <v>159</v>
      </c>
      <c r="E46" t="s">
        <v>159</v>
      </c>
      <c r="F46">
        <v>5448</v>
      </c>
      <c r="G46" t="s">
        <v>702</v>
      </c>
      <c r="I46">
        <v>622</v>
      </c>
      <c r="J46">
        <v>646</v>
      </c>
      <c r="K46">
        <v>672</v>
      </c>
      <c r="L46">
        <v>699</v>
      </c>
      <c r="M46">
        <v>727</v>
      </c>
      <c r="N46" t="s">
        <v>988</v>
      </c>
    </row>
    <row r="47" spans="1:14" x14ac:dyDescent="0.3">
      <c r="A47">
        <v>87</v>
      </c>
      <c r="B47" t="s">
        <v>1228</v>
      </c>
      <c r="C47" t="s">
        <v>2256</v>
      </c>
      <c r="D47" t="s">
        <v>159</v>
      </c>
      <c r="E47" t="s">
        <v>159</v>
      </c>
      <c r="F47">
        <v>5448</v>
      </c>
      <c r="G47" t="s">
        <v>703</v>
      </c>
      <c r="H47" t="s">
        <v>1230</v>
      </c>
      <c r="I47">
        <v>547</v>
      </c>
      <c r="J47">
        <v>568</v>
      </c>
      <c r="K47">
        <v>591</v>
      </c>
      <c r="L47">
        <v>615</v>
      </c>
      <c r="M47">
        <v>640</v>
      </c>
      <c r="N47" t="s">
        <v>988</v>
      </c>
    </row>
    <row r="48" spans="1:14" x14ac:dyDescent="0.3">
      <c r="A48">
        <v>87</v>
      </c>
      <c r="B48" t="s">
        <v>1228</v>
      </c>
      <c r="C48" t="s">
        <v>2256</v>
      </c>
      <c r="D48" t="s">
        <v>159</v>
      </c>
      <c r="E48" t="s">
        <v>159</v>
      </c>
      <c r="F48">
        <v>5448</v>
      </c>
      <c r="G48" t="s">
        <v>701</v>
      </c>
      <c r="I48">
        <v>2</v>
      </c>
      <c r="J48">
        <v>2</v>
      </c>
      <c r="K48">
        <v>2</v>
      </c>
      <c r="L48">
        <v>2</v>
      </c>
      <c r="M48">
        <v>2</v>
      </c>
      <c r="N48" t="s">
        <v>988</v>
      </c>
    </row>
    <row r="49" spans="1:14" x14ac:dyDescent="0.3">
      <c r="A49">
        <v>87</v>
      </c>
      <c r="B49" t="s">
        <v>1228</v>
      </c>
      <c r="C49" t="s">
        <v>2256</v>
      </c>
      <c r="D49" t="s">
        <v>159</v>
      </c>
      <c r="E49" t="s">
        <v>159</v>
      </c>
      <c r="F49">
        <v>5448</v>
      </c>
      <c r="G49" t="s">
        <v>700</v>
      </c>
      <c r="I49">
        <v>1837</v>
      </c>
      <c r="J49">
        <v>1909</v>
      </c>
      <c r="K49">
        <v>1984</v>
      </c>
      <c r="L49">
        <v>2064</v>
      </c>
      <c r="M49">
        <v>2149</v>
      </c>
      <c r="N49" t="s">
        <v>988</v>
      </c>
    </row>
    <row r="50" spans="1:14" x14ac:dyDescent="0.3">
      <c r="A50">
        <v>87</v>
      </c>
      <c r="B50" t="s">
        <v>1228</v>
      </c>
      <c r="C50" t="s">
        <v>2256</v>
      </c>
      <c r="D50" t="s">
        <v>159</v>
      </c>
      <c r="E50" t="s">
        <v>159</v>
      </c>
      <c r="F50">
        <v>5448</v>
      </c>
      <c r="G50" t="s">
        <v>696</v>
      </c>
      <c r="I50">
        <v>7107</v>
      </c>
      <c r="J50">
        <v>7579</v>
      </c>
      <c r="K50">
        <v>8077</v>
      </c>
      <c r="L50">
        <v>8602</v>
      </c>
      <c r="M50">
        <v>9156</v>
      </c>
      <c r="N50" t="s">
        <v>988</v>
      </c>
    </row>
    <row r="51" spans="1:14" x14ac:dyDescent="0.3">
      <c r="A51">
        <v>93</v>
      </c>
      <c r="B51" t="s">
        <v>1231</v>
      </c>
      <c r="C51" t="s">
        <v>2256</v>
      </c>
      <c r="D51" t="s">
        <v>159</v>
      </c>
      <c r="E51" t="s">
        <v>159</v>
      </c>
      <c r="F51">
        <v>5447</v>
      </c>
      <c r="G51" t="s">
        <v>698</v>
      </c>
      <c r="I51">
        <v>2171</v>
      </c>
      <c r="J51">
        <v>2202</v>
      </c>
      <c r="K51">
        <v>2233</v>
      </c>
      <c r="L51">
        <v>2265</v>
      </c>
      <c r="M51">
        <v>2297</v>
      </c>
      <c r="N51" t="s">
        <v>988</v>
      </c>
    </row>
    <row r="52" spans="1:14" x14ac:dyDescent="0.3">
      <c r="A52">
        <v>93</v>
      </c>
      <c r="B52" t="s">
        <v>1231</v>
      </c>
      <c r="C52" t="s">
        <v>2256</v>
      </c>
      <c r="D52" t="s">
        <v>159</v>
      </c>
      <c r="E52" t="s">
        <v>159</v>
      </c>
      <c r="F52">
        <v>5447</v>
      </c>
      <c r="G52" t="s">
        <v>696</v>
      </c>
      <c r="I52">
        <v>8376</v>
      </c>
      <c r="J52">
        <v>8495</v>
      </c>
      <c r="K52">
        <v>8616</v>
      </c>
      <c r="L52">
        <v>8739</v>
      </c>
      <c r="M52">
        <v>8864</v>
      </c>
      <c r="N52" t="s">
        <v>988</v>
      </c>
    </row>
    <row r="53" spans="1:14" x14ac:dyDescent="0.3">
      <c r="A53">
        <v>93</v>
      </c>
      <c r="B53" t="s">
        <v>1231</v>
      </c>
      <c r="C53" t="s">
        <v>2256</v>
      </c>
      <c r="D53" t="s">
        <v>159</v>
      </c>
      <c r="E53" t="s">
        <v>159</v>
      </c>
      <c r="F53">
        <v>5447</v>
      </c>
      <c r="G53" t="s">
        <v>686</v>
      </c>
      <c r="I53">
        <v>543</v>
      </c>
      <c r="J53">
        <v>550</v>
      </c>
      <c r="K53">
        <v>558</v>
      </c>
      <c r="L53">
        <v>566</v>
      </c>
      <c r="M53">
        <v>574</v>
      </c>
      <c r="N53" t="s">
        <v>988</v>
      </c>
    </row>
    <row r="54" spans="1:14" x14ac:dyDescent="0.3">
      <c r="A54">
        <v>93</v>
      </c>
      <c r="B54" t="s">
        <v>1231</v>
      </c>
      <c r="C54" t="s">
        <v>2256</v>
      </c>
      <c r="D54" t="s">
        <v>159</v>
      </c>
      <c r="E54" t="s">
        <v>159</v>
      </c>
      <c r="F54">
        <v>5447</v>
      </c>
      <c r="G54" t="s">
        <v>702</v>
      </c>
      <c r="I54">
        <v>749</v>
      </c>
      <c r="J54">
        <v>760</v>
      </c>
      <c r="K54">
        <v>771</v>
      </c>
      <c r="L54">
        <v>782</v>
      </c>
      <c r="M54">
        <v>793</v>
      </c>
      <c r="N54" t="s">
        <v>988</v>
      </c>
    </row>
    <row r="55" spans="1:14" x14ac:dyDescent="0.3">
      <c r="A55">
        <v>93</v>
      </c>
      <c r="B55" t="s">
        <v>1231</v>
      </c>
      <c r="C55" t="s">
        <v>2256</v>
      </c>
      <c r="D55" t="s">
        <v>159</v>
      </c>
      <c r="E55" t="s">
        <v>159</v>
      </c>
      <c r="F55">
        <v>5447</v>
      </c>
      <c r="G55" t="s">
        <v>703</v>
      </c>
      <c r="I55">
        <v>901</v>
      </c>
      <c r="J55">
        <v>914</v>
      </c>
      <c r="K55">
        <v>927</v>
      </c>
      <c r="L55">
        <v>940</v>
      </c>
      <c r="M55">
        <v>954</v>
      </c>
      <c r="N55" t="s">
        <v>988</v>
      </c>
    </row>
    <row r="56" spans="1:14" x14ac:dyDescent="0.3">
      <c r="A56">
        <v>93</v>
      </c>
      <c r="B56" t="s">
        <v>1231</v>
      </c>
      <c r="C56" t="s">
        <v>2256</v>
      </c>
      <c r="D56" t="s">
        <v>159</v>
      </c>
      <c r="E56" t="s">
        <v>159</v>
      </c>
      <c r="F56">
        <v>5447</v>
      </c>
      <c r="G56" t="s">
        <v>700</v>
      </c>
      <c r="I56">
        <v>1861</v>
      </c>
      <c r="J56">
        <v>1887</v>
      </c>
      <c r="K56">
        <v>1914</v>
      </c>
      <c r="L56">
        <v>1942</v>
      </c>
      <c r="M56">
        <v>1969</v>
      </c>
      <c r="N56" t="s">
        <v>988</v>
      </c>
    </row>
    <row r="57" spans="1:14" x14ac:dyDescent="0.3">
      <c r="A57">
        <v>94</v>
      </c>
      <c r="B57" t="s">
        <v>1232</v>
      </c>
      <c r="C57" t="s">
        <v>2256</v>
      </c>
      <c r="D57" t="s">
        <v>159</v>
      </c>
      <c r="E57" t="s">
        <v>159</v>
      </c>
      <c r="F57">
        <v>7274</v>
      </c>
      <c r="G57" t="s">
        <v>698</v>
      </c>
      <c r="I57">
        <v>90</v>
      </c>
      <c r="J57">
        <v>94</v>
      </c>
      <c r="K57">
        <v>98</v>
      </c>
      <c r="L57">
        <v>102</v>
      </c>
      <c r="M57">
        <v>106</v>
      </c>
      <c r="N57" t="s">
        <v>987</v>
      </c>
    </row>
    <row r="58" spans="1:14" x14ac:dyDescent="0.3">
      <c r="A58">
        <v>94</v>
      </c>
      <c r="B58" t="s">
        <v>1232</v>
      </c>
      <c r="C58" t="s">
        <v>2256</v>
      </c>
      <c r="D58" t="s">
        <v>159</v>
      </c>
      <c r="E58" t="s">
        <v>159</v>
      </c>
      <c r="F58">
        <v>7274</v>
      </c>
      <c r="G58" t="s">
        <v>696</v>
      </c>
      <c r="I58">
        <v>266</v>
      </c>
      <c r="J58">
        <v>277</v>
      </c>
      <c r="K58">
        <v>289</v>
      </c>
      <c r="L58">
        <v>301</v>
      </c>
      <c r="M58">
        <v>313</v>
      </c>
      <c r="N58" t="s">
        <v>987</v>
      </c>
    </row>
    <row r="59" spans="1:14" x14ac:dyDescent="0.3">
      <c r="A59">
        <v>94</v>
      </c>
      <c r="B59" t="s">
        <v>1232</v>
      </c>
      <c r="C59" t="s">
        <v>2256</v>
      </c>
      <c r="D59" t="s">
        <v>159</v>
      </c>
      <c r="E59" t="s">
        <v>159</v>
      </c>
      <c r="F59">
        <v>7274</v>
      </c>
      <c r="G59" t="s">
        <v>686</v>
      </c>
      <c r="H59" t="s">
        <v>2264</v>
      </c>
      <c r="I59">
        <v>125</v>
      </c>
      <c r="J59">
        <v>131</v>
      </c>
      <c r="K59">
        <v>137</v>
      </c>
      <c r="L59">
        <v>144</v>
      </c>
      <c r="M59">
        <v>151</v>
      </c>
      <c r="N59" t="s">
        <v>987</v>
      </c>
    </row>
    <row r="60" spans="1:14" x14ac:dyDescent="0.3">
      <c r="A60">
        <v>94</v>
      </c>
      <c r="B60" t="s">
        <v>1232</v>
      </c>
      <c r="C60" t="s">
        <v>2256</v>
      </c>
      <c r="D60" t="s">
        <v>159</v>
      </c>
      <c r="E60" t="s">
        <v>159</v>
      </c>
      <c r="F60">
        <v>7274</v>
      </c>
      <c r="G60" t="s">
        <v>703</v>
      </c>
      <c r="H60" t="s">
        <v>1236</v>
      </c>
      <c r="I60">
        <v>33</v>
      </c>
      <c r="J60">
        <v>36</v>
      </c>
      <c r="K60">
        <v>40</v>
      </c>
      <c r="L60">
        <v>44</v>
      </c>
      <c r="M60">
        <v>48</v>
      </c>
      <c r="N60" t="s">
        <v>987</v>
      </c>
    </row>
    <row r="61" spans="1:14" x14ac:dyDescent="0.3">
      <c r="A61">
        <v>94</v>
      </c>
      <c r="B61" t="s">
        <v>1232</v>
      </c>
      <c r="C61" t="s">
        <v>2256</v>
      </c>
      <c r="D61" t="s">
        <v>159</v>
      </c>
      <c r="E61" t="s">
        <v>159</v>
      </c>
      <c r="F61">
        <v>7274</v>
      </c>
      <c r="G61" t="s">
        <v>701</v>
      </c>
      <c r="I61">
        <v>23</v>
      </c>
      <c r="J61">
        <v>25</v>
      </c>
      <c r="K61">
        <v>28</v>
      </c>
      <c r="L61">
        <v>31</v>
      </c>
      <c r="M61">
        <v>34</v>
      </c>
      <c r="N61" t="s">
        <v>987</v>
      </c>
    </row>
    <row r="62" spans="1:14" x14ac:dyDescent="0.3">
      <c r="A62">
        <v>94</v>
      </c>
      <c r="B62" t="s">
        <v>1232</v>
      </c>
      <c r="C62" t="s">
        <v>2256</v>
      </c>
      <c r="D62" t="s">
        <v>159</v>
      </c>
      <c r="E62" t="s">
        <v>159</v>
      </c>
      <c r="F62">
        <v>7274</v>
      </c>
      <c r="G62" t="s">
        <v>700</v>
      </c>
      <c r="I62">
        <v>114</v>
      </c>
      <c r="J62">
        <v>122</v>
      </c>
      <c r="K62">
        <v>130</v>
      </c>
      <c r="L62">
        <v>139</v>
      </c>
      <c r="M62">
        <v>148</v>
      </c>
      <c r="N62" t="s">
        <v>987</v>
      </c>
    </row>
    <row r="63" spans="1:14" x14ac:dyDescent="0.3">
      <c r="A63">
        <v>102</v>
      </c>
      <c r="B63" t="s">
        <v>1237</v>
      </c>
      <c r="C63" t="s">
        <v>2256</v>
      </c>
      <c r="D63" t="s">
        <v>1203</v>
      </c>
      <c r="E63" t="s">
        <v>1204</v>
      </c>
      <c r="F63">
        <v>5765</v>
      </c>
      <c r="G63" t="s">
        <v>698</v>
      </c>
      <c r="I63">
        <v>90</v>
      </c>
      <c r="J63">
        <v>93</v>
      </c>
      <c r="K63">
        <v>97</v>
      </c>
      <c r="L63">
        <v>101</v>
      </c>
      <c r="N63" t="s">
        <v>987</v>
      </c>
    </row>
    <row r="64" spans="1:14" x14ac:dyDescent="0.3">
      <c r="A64">
        <v>102</v>
      </c>
      <c r="B64" t="s">
        <v>1237</v>
      </c>
      <c r="C64" t="s">
        <v>2256</v>
      </c>
      <c r="D64" t="s">
        <v>1203</v>
      </c>
      <c r="E64" t="s">
        <v>1204</v>
      </c>
      <c r="F64">
        <v>5765</v>
      </c>
      <c r="G64" t="s">
        <v>696</v>
      </c>
      <c r="I64">
        <v>758</v>
      </c>
      <c r="J64">
        <v>790</v>
      </c>
      <c r="K64">
        <v>823</v>
      </c>
      <c r="L64">
        <v>855</v>
      </c>
      <c r="N64" t="s">
        <v>987</v>
      </c>
    </row>
    <row r="65" spans="1:14" x14ac:dyDescent="0.3">
      <c r="A65">
        <v>102</v>
      </c>
      <c r="B65" t="s">
        <v>1237</v>
      </c>
      <c r="C65" t="s">
        <v>2256</v>
      </c>
      <c r="D65" t="s">
        <v>1203</v>
      </c>
      <c r="E65" t="s">
        <v>1204</v>
      </c>
      <c r="F65">
        <v>5765</v>
      </c>
      <c r="G65" t="s">
        <v>700</v>
      </c>
      <c r="I65">
        <v>32</v>
      </c>
      <c r="J65">
        <v>33</v>
      </c>
      <c r="K65">
        <v>34</v>
      </c>
      <c r="L65">
        <v>36</v>
      </c>
      <c r="N65" t="s">
        <v>987</v>
      </c>
    </row>
    <row r="66" spans="1:14" x14ac:dyDescent="0.3">
      <c r="A66">
        <v>102</v>
      </c>
      <c r="B66" t="s">
        <v>1237</v>
      </c>
      <c r="C66" t="s">
        <v>2256</v>
      </c>
      <c r="D66" t="s">
        <v>1203</v>
      </c>
      <c r="E66" t="s">
        <v>1204</v>
      </c>
      <c r="F66">
        <v>5765</v>
      </c>
      <c r="G66" t="s">
        <v>701</v>
      </c>
      <c r="I66">
        <v>19</v>
      </c>
      <c r="J66">
        <v>20</v>
      </c>
      <c r="K66">
        <v>21</v>
      </c>
      <c r="L66">
        <v>21</v>
      </c>
      <c r="N66" t="s">
        <v>987</v>
      </c>
    </row>
    <row r="67" spans="1:14" x14ac:dyDescent="0.3">
      <c r="A67">
        <v>102</v>
      </c>
      <c r="B67" t="s">
        <v>1237</v>
      </c>
      <c r="C67" t="s">
        <v>2256</v>
      </c>
      <c r="D67" t="s">
        <v>1203</v>
      </c>
      <c r="E67" t="s">
        <v>1204</v>
      </c>
      <c r="F67">
        <v>5765</v>
      </c>
      <c r="G67" t="s">
        <v>703</v>
      </c>
      <c r="I67">
        <v>25</v>
      </c>
      <c r="J67">
        <v>26</v>
      </c>
      <c r="K67">
        <v>27</v>
      </c>
      <c r="L67">
        <v>29</v>
      </c>
      <c r="N67" t="s">
        <v>987</v>
      </c>
    </row>
    <row r="68" spans="1:14" x14ac:dyDescent="0.3">
      <c r="A68">
        <v>102</v>
      </c>
      <c r="B68" t="s">
        <v>1237</v>
      </c>
      <c r="C68" t="s">
        <v>2256</v>
      </c>
      <c r="D68" t="s">
        <v>1203</v>
      </c>
      <c r="E68" t="s">
        <v>1204</v>
      </c>
      <c r="F68">
        <v>5765</v>
      </c>
      <c r="G68" t="s">
        <v>702</v>
      </c>
      <c r="I68">
        <v>40</v>
      </c>
      <c r="J68">
        <v>42</v>
      </c>
      <c r="K68">
        <v>44</v>
      </c>
      <c r="L68">
        <v>46</v>
      </c>
      <c r="N68" t="s">
        <v>987</v>
      </c>
    </row>
    <row r="69" spans="1:14" x14ac:dyDescent="0.3">
      <c r="A69">
        <v>102</v>
      </c>
      <c r="B69" t="s">
        <v>1237</v>
      </c>
      <c r="C69" t="s">
        <v>2256</v>
      </c>
      <c r="D69" t="s">
        <v>1203</v>
      </c>
      <c r="E69" t="s">
        <v>1204</v>
      </c>
      <c r="F69">
        <v>5765</v>
      </c>
      <c r="G69" t="s">
        <v>686</v>
      </c>
      <c r="I69">
        <v>93</v>
      </c>
      <c r="J69">
        <v>97</v>
      </c>
      <c r="K69">
        <v>101</v>
      </c>
      <c r="L69">
        <v>105</v>
      </c>
      <c r="N69" t="s">
        <v>987</v>
      </c>
    </row>
    <row r="70" spans="1:14" x14ac:dyDescent="0.3">
      <c r="A70">
        <v>107</v>
      </c>
      <c r="B70" t="s">
        <v>1238</v>
      </c>
      <c r="C70" t="s">
        <v>2256</v>
      </c>
      <c r="D70" t="s">
        <v>159</v>
      </c>
      <c r="E70" t="s">
        <v>159</v>
      </c>
      <c r="F70">
        <v>7175</v>
      </c>
      <c r="G70" t="s">
        <v>696</v>
      </c>
      <c r="I70">
        <v>1221</v>
      </c>
      <c r="J70">
        <v>1293</v>
      </c>
      <c r="K70">
        <v>1342</v>
      </c>
      <c r="L70">
        <v>1395</v>
      </c>
      <c r="M70">
        <v>1450</v>
      </c>
      <c r="N70" t="s">
        <v>987</v>
      </c>
    </row>
    <row r="71" spans="1:14" x14ac:dyDescent="0.3">
      <c r="A71">
        <v>107</v>
      </c>
      <c r="B71" t="s">
        <v>1238</v>
      </c>
      <c r="C71" t="s">
        <v>2256</v>
      </c>
      <c r="D71" t="s">
        <v>159</v>
      </c>
      <c r="E71" t="s">
        <v>159</v>
      </c>
      <c r="F71">
        <v>7175</v>
      </c>
      <c r="G71" t="s">
        <v>700</v>
      </c>
      <c r="I71">
        <v>142</v>
      </c>
      <c r="J71">
        <v>151</v>
      </c>
      <c r="K71">
        <v>156</v>
      </c>
      <c r="L71">
        <v>162</v>
      </c>
      <c r="M71">
        <v>169</v>
      </c>
      <c r="N71" t="s">
        <v>987</v>
      </c>
    </row>
    <row r="72" spans="1:14" x14ac:dyDescent="0.3">
      <c r="A72">
        <v>107</v>
      </c>
      <c r="B72" t="s">
        <v>1238</v>
      </c>
      <c r="C72" t="s">
        <v>2256</v>
      </c>
      <c r="D72" t="s">
        <v>159</v>
      </c>
      <c r="E72" t="s">
        <v>159</v>
      </c>
      <c r="F72">
        <v>7175</v>
      </c>
      <c r="G72" t="s">
        <v>701</v>
      </c>
      <c r="I72">
        <v>2</v>
      </c>
      <c r="J72">
        <v>1</v>
      </c>
      <c r="K72">
        <v>1</v>
      </c>
      <c r="L72">
        <v>2</v>
      </c>
      <c r="M72">
        <v>2</v>
      </c>
      <c r="N72" t="s">
        <v>987</v>
      </c>
    </row>
    <row r="73" spans="1:14" x14ac:dyDescent="0.3">
      <c r="A73">
        <v>107</v>
      </c>
      <c r="B73" t="s">
        <v>1238</v>
      </c>
      <c r="C73" t="s">
        <v>2256</v>
      </c>
      <c r="D73" t="s">
        <v>159</v>
      </c>
      <c r="E73" t="s">
        <v>159</v>
      </c>
      <c r="F73">
        <v>7175</v>
      </c>
      <c r="G73" t="s">
        <v>698</v>
      </c>
      <c r="I73">
        <v>152</v>
      </c>
      <c r="J73">
        <v>161</v>
      </c>
      <c r="K73">
        <v>167</v>
      </c>
      <c r="L73">
        <v>174</v>
      </c>
      <c r="M73">
        <v>181</v>
      </c>
      <c r="N73" t="s">
        <v>987</v>
      </c>
    </row>
    <row r="74" spans="1:14" x14ac:dyDescent="0.3">
      <c r="A74">
        <v>107</v>
      </c>
      <c r="B74" t="s">
        <v>1238</v>
      </c>
      <c r="C74" t="s">
        <v>2256</v>
      </c>
      <c r="D74" t="s">
        <v>159</v>
      </c>
      <c r="E74" t="s">
        <v>159</v>
      </c>
      <c r="F74">
        <v>7175</v>
      </c>
      <c r="G74" t="s">
        <v>686</v>
      </c>
      <c r="I74">
        <v>152</v>
      </c>
      <c r="J74">
        <v>162</v>
      </c>
      <c r="K74">
        <v>168</v>
      </c>
      <c r="L74">
        <v>174</v>
      </c>
      <c r="M74">
        <v>181</v>
      </c>
      <c r="N74" t="s">
        <v>987</v>
      </c>
    </row>
    <row r="75" spans="1:14" x14ac:dyDescent="0.3">
      <c r="A75">
        <v>107</v>
      </c>
      <c r="B75" t="s">
        <v>1238</v>
      </c>
      <c r="C75" t="s">
        <v>2256</v>
      </c>
      <c r="D75" t="s">
        <v>159</v>
      </c>
      <c r="E75" t="s">
        <v>159</v>
      </c>
      <c r="F75">
        <v>7175</v>
      </c>
      <c r="G75" t="s">
        <v>702</v>
      </c>
      <c r="I75">
        <v>132</v>
      </c>
      <c r="J75">
        <v>140</v>
      </c>
      <c r="K75">
        <v>146</v>
      </c>
      <c r="L75">
        <v>151</v>
      </c>
      <c r="M75">
        <v>157</v>
      </c>
      <c r="N75" t="s">
        <v>987</v>
      </c>
    </row>
    <row r="76" spans="1:14" x14ac:dyDescent="0.3">
      <c r="A76">
        <v>110</v>
      </c>
      <c r="B76" t="s">
        <v>1239</v>
      </c>
      <c r="C76" t="s">
        <v>2256</v>
      </c>
      <c r="D76" t="s">
        <v>1203</v>
      </c>
      <c r="E76" t="s">
        <v>1204</v>
      </c>
      <c r="F76">
        <v>7792</v>
      </c>
      <c r="G76" t="s">
        <v>700</v>
      </c>
      <c r="I76">
        <v>2449</v>
      </c>
      <c r="J76">
        <v>2622</v>
      </c>
      <c r="K76">
        <v>2807.8058242930902</v>
      </c>
      <c r="L76">
        <v>3007</v>
      </c>
      <c r="N76" t="s">
        <v>988</v>
      </c>
    </row>
    <row r="77" spans="1:14" x14ac:dyDescent="0.3">
      <c r="A77">
        <v>110</v>
      </c>
      <c r="B77" t="s">
        <v>1239</v>
      </c>
      <c r="C77" t="s">
        <v>2256</v>
      </c>
      <c r="D77" t="s">
        <v>1203</v>
      </c>
      <c r="E77" t="s">
        <v>1204</v>
      </c>
      <c r="F77">
        <v>7792</v>
      </c>
      <c r="G77" t="s">
        <v>687</v>
      </c>
      <c r="I77">
        <v>1660</v>
      </c>
      <c r="J77">
        <v>1777</v>
      </c>
      <c r="K77">
        <v>1903.26494569074</v>
      </c>
      <c r="L77">
        <v>2038</v>
      </c>
      <c r="N77" t="s">
        <v>988</v>
      </c>
    </row>
    <row r="78" spans="1:14" x14ac:dyDescent="0.3">
      <c r="A78">
        <v>110</v>
      </c>
      <c r="B78" t="s">
        <v>1239</v>
      </c>
      <c r="C78" t="s">
        <v>2256</v>
      </c>
      <c r="D78" t="s">
        <v>1203</v>
      </c>
      <c r="E78" t="s">
        <v>1204</v>
      </c>
      <c r="F78">
        <v>7792</v>
      </c>
      <c r="G78" t="s">
        <v>698</v>
      </c>
      <c r="I78">
        <v>951</v>
      </c>
      <c r="J78">
        <v>1018</v>
      </c>
      <c r="K78">
        <v>1090.13314436017</v>
      </c>
      <c r="L78">
        <v>1167</v>
      </c>
      <c r="N78" t="s">
        <v>988</v>
      </c>
    </row>
    <row r="79" spans="1:14" x14ac:dyDescent="0.3">
      <c r="A79">
        <v>110</v>
      </c>
      <c r="B79" t="s">
        <v>1239</v>
      </c>
      <c r="C79" t="s">
        <v>2256</v>
      </c>
      <c r="D79" t="s">
        <v>1203</v>
      </c>
      <c r="E79" t="s">
        <v>1204</v>
      </c>
      <c r="F79">
        <v>7792</v>
      </c>
      <c r="G79" t="s">
        <v>696</v>
      </c>
      <c r="I79">
        <v>4582</v>
      </c>
      <c r="J79">
        <v>4907</v>
      </c>
      <c r="K79">
        <v>5254.3384256601603</v>
      </c>
      <c r="L79">
        <v>5626</v>
      </c>
      <c r="N79" t="s">
        <v>988</v>
      </c>
    </row>
    <row r="80" spans="1:14" x14ac:dyDescent="0.3">
      <c r="A80">
        <v>117</v>
      </c>
      <c r="B80" t="s">
        <v>1240</v>
      </c>
      <c r="C80" t="s">
        <v>2256</v>
      </c>
      <c r="D80" t="s">
        <v>159</v>
      </c>
      <c r="E80" t="s">
        <v>159</v>
      </c>
      <c r="F80">
        <v>7816</v>
      </c>
      <c r="G80" t="s">
        <v>691</v>
      </c>
      <c r="I80">
        <v>2.97</v>
      </c>
      <c r="J80">
        <v>3.02</v>
      </c>
      <c r="K80">
        <v>3.07</v>
      </c>
      <c r="L80">
        <v>3.12</v>
      </c>
      <c r="M80">
        <v>3.17</v>
      </c>
      <c r="N80" t="s">
        <v>988</v>
      </c>
    </row>
    <row r="81" spans="1:14" x14ac:dyDescent="0.3">
      <c r="A81">
        <v>117</v>
      </c>
      <c r="B81" t="s">
        <v>1240</v>
      </c>
      <c r="C81" t="s">
        <v>2256</v>
      </c>
      <c r="D81" t="s">
        <v>159</v>
      </c>
      <c r="E81" t="s">
        <v>159</v>
      </c>
      <c r="F81">
        <v>7816</v>
      </c>
      <c r="G81" t="s">
        <v>686</v>
      </c>
      <c r="I81">
        <v>3144.31</v>
      </c>
      <c r="J81">
        <v>3195.44</v>
      </c>
      <c r="K81">
        <v>3247.4</v>
      </c>
      <c r="L81">
        <v>3300.21</v>
      </c>
      <c r="M81">
        <v>3353.87</v>
      </c>
      <c r="N81" t="s">
        <v>988</v>
      </c>
    </row>
    <row r="82" spans="1:14" x14ac:dyDescent="0.3">
      <c r="A82">
        <v>117</v>
      </c>
      <c r="B82" t="s">
        <v>1240</v>
      </c>
      <c r="C82" t="s">
        <v>2256</v>
      </c>
      <c r="D82" t="s">
        <v>159</v>
      </c>
      <c r="E82" t="s">
        <v>159</v>
      </c>
      <c r="F82">
        <v>7816</v>
      </c>
      <c r="G82" t="s">
        <v>702</v>
      </c>
      <c r="I82">
        <v>953.15</v>
      </c>
      <c r="J82">
        <v>968.65</v>
      </c>
      <c r="K82">
        <v>984.4</v>
      </c>
      <c r="L82">
        <v>1000.4</v>
      </c>
      <c r="M82">
        <v>1016.67</v>
      </c>
      <c r="N82" t="s">
        <v>988</v>
      </c>
    </row>
    <row r="83" spans="1:14" x14ac:dyDescent="0.3">
      <c r="A83">
        <v>117</v>
      </c>
      <c r="B83" t="s">
        <v>1240</v>
      </c>
      <c r="C83" t="s">
        <v>2256</v>
      </c>
      <c r="D83" t="s">
        <v>159</v>
      </c>
      <c r="E83" t="s">
        <v>159</v>
      </c>
      <c r="F83">
        <v>7816</v>
      </c>
      <c r="G83" t="s">
        <v>701</v>
      </c>
      <c r="I83">
        <v>1546.04</v>
      </c>
      <c r="J83">
        <v>1571.18</v>
      </c>
      <c r="K83">
        <v>1596.73</v>
      </c>
      <c r="L83">
        <v>1622.69</v>
      </c>
      <c r="M83">
        <v>1649.08</v>
      </c>
      <c r="N83" t="s">
        <v>988</v>
      </c>
    </row>
    <row r="84" spans="1:14" x14ac:dyDescent="0.3">
      <c r="A84">
        <v>117</v>
      </c>
      <c r="B84" t="s">
        <v>1240</v>
      </c>
      <c r="C84" t="s">
        <v>2256</v>
      </c>
      <c r="D84" t="s">
        <v>159</v>
      </c>
      <c r="E84" t="s">
        <v>159</v>
      </c>
      <c r="F84">
        <v>7816</v>
      </c>
      <c r="G84" t="s">
        <v>700</v>
      </c>
      <c r="I84">
        <v>3572.08</v>
      </c>
      <c r="J84">
        <v>3630.16</v>
      </c>
      <c r="K84">
        <v>3689.19</v>
      </c>
      <c r="L84">
        <v>3749.18</v>
      </c>
      <c r="M84">
        <v>3810.14</v>
      </c>
      <c r="N84" t="s">
        <v>988</v>
      </c>
    </row>
    <row r="85" spans="1:14" x14ac:dyDescent="0.3">
      <c r="A85">
        <v>117</v>
      </c>
      <c r="B85" t="s">
        <v>1240</v>
      </c>
      <c r="C85" t="s">
        <v>2256</v>
      </c>
      <c r="D85" t="s">
        <v>159</v>
      </c>
      <c r="E85" t="s">
        <v>159</v>
      </c>
      <c r="F85">
        <v>7816</v>
      </c>
      <c r="G85" t="s">
        <v>696</v>
      </c>
      <c r="H85" t="s">
        <v>1241</v>
      </c>
      <c r="I85">
        <v>9333.25</v>
      </c>
      <c r="J85">
        <v>9485.01</v>
      </c>
      <c r="K85">
        <v>9639.25</v>
      </c>
      <c r="L85">
        <v>9795.99</v>
      </c>
      <c r="M85">
        <v>9955.2800000000007</v>
      </c>
      <c r="N85" t="s">
        <v>988</v>
      </c>
    </row>
    <row r="86" spans="1:14" x14ac:dyDescent="0.3">
      <c r="A86">
        <v>123</v>
      </c>
      <c r="B86" t="s">
        <v>1242</v>
      </c>
      <c r="C86" t="s">
        <v>2256</v>
      </c>
      <c r="D86" t="s">
        <v>1203</v>
      </c>
      <c r="E86" t="s">
        <v>1204</v>
      </c>
      <c r="F86">
        <v>5757</v>
      </c>
      <c r="G86" t="s">
        <v>700</v>
      </c>
      <c r="I86">
        <v>8030</v>
      </c>
      <c r="J86">
        <v>8780</v>
      </c>
      <c r="K86">
        <v>9598</v>
      </c>
      <c r="L86">
        <v>10494</v>
      </c>
      <c r="N86" t="s">
        <v>988</v>
      </c>
    </row>
    <row r="87" spans="1:14" x14ac:dyDescent="0.3">
      <c r="A87">
        <v>123</v>
      </c>
      <c r="B87" t="s">
        <v>1242</v>
      </c>
      <c r="C87" t="s">
        <v>2256</v>
      </c>
      <c r="D87" t="s">
        <v>1203</v>
      </c>
      <c r="E87" t="s">
        <v>1204</v>
      </c>
      <c r="F87">
        <v>5757</v>
      </c>
      <c r="G87" t="s">
        <v>701</v>
      </c>
      <c r="I87">
        <v>502</v>
      </c>
      <c r="J87">
        <v>549</v>
      </c>
      <c r="K87">
        <v>600</v>
      </c>
      <c r="L87">
        <v>656</v>
      </c>
      <c r="N87" t="s">
        <v>988</v>
      </c>
    </row>
    <row r="88" spans="1:14" x14ac:dyDescent="0.3">
      <c r="A88">
        <v>123</v>
      </c>
      <c r="B88" t="s">
        <v>1242</v>
      </c>
      <c r="C88" t="s">
        <v>2256</v>
      </c>
      <c r="D88" t="s">
        <v>1203</v>
      </c>
      <c r="E88" t="s">
        <v>1204</v>
      </c>
      <c r="F88">
        <v>5757</v>
      </c>
      <c r="G88" t="s">
        <v>698</v>
      </c>
      <c r="I88">
        <v>1506</v>
      </c>
      <c r="J88">
        <v>1646</v>
      </c>
      <c r="K88">
        <v>1800</v>
      </c>
      <c r="L88">
        <v>1968</v>
      </c>
      <c r="N88" t="s">
        <v>988</v>
      </c>
    </row>
    <row r="89" spans="1:14" x14ac:dyDescent="0.3">
      <c r="A89">
        <v>123</v>
      </c>
      <c r="B89" t="s">
        <v>1242</v>
      </c>
      <c r="C89" t="s">
        <v>2256</v>
      </c>
      <c r="D89" t="s">
        <v>1203</v>
      </c>
      <c r="E89" t="s">
        <v>1204</v>
      </c>
      <c r="F89">
        <v>5757</v>
      </c>
      <c r="G89" t="s">
        <v>696</v>
      </c>
      <c r="I89">
        <v>33627</v>
      </c>
      <c r="J89">
        <v>36764</v>
      </c>
      <c r="K89">
        <v>40194</v>
      </c>
      <c r="L89">
        <v>43944</v>
      </c>
      <c r="N89" t="s">
        <v>988</v>
      </c>
    </row>
    <row r="90" spans="1:14" x14ac:dyDescent="0.3">
      <c r="A90">
        <v>123</v>
      </c>
      <c r="B90" t="s">
        <v>1242</v>
      </c>
      <c r="C90" t="s">
        <v>2256</v>
      </c>
      <c r="D90" t="s">
        <v>1203</v>
      </c>
      <c r="E90" t="s">
        <v>1204</v>
      </c>
      <c r="F90">
        <v>5757</v>
      </c>
      <c r="G90" t="s">
        <v>703</v>
      </c>
      <c r="H90" t="s">
        <v>1245</v>
      </c>
      <c r="I90">
        <v>4015</v>
      </c>
      <c r="J90">
        <v>4390</v>
      </c>
      <c r="K90">
        <v>4799</v>
      </c>
      <c r="L90">
        <v>5247</v>
      </c>
      <c r="N90" t="s">
        <v>988</v>
      </c>
    </row>
    <row r="91" spans="1:14" x14ac:dyDescent="0.3">
      <c r="A91">
        <v>123</v>
      </c>
      <c r="B91" t="s">
        <v>1242</v>
      </c>
      <c r="C91" t="s">
        <v>2256</v>
      </c>
      <c r="D91" t="s">
        <v>1203</v>
      </c>
      <c r="E91" t="s">
        <v>1204</v>
      </c>
      <c r="F91">
        <v>5757</v>
      </c>
      <c r="G91" t="s">
        <v>686</v>
      </c>
      <c r="I91">
        <v>2008</v>
      </c>
      <c r="J91">
        <v>2195</v>
      </c>
      <c r="K91">
        <v>2400</v>
      </c>
      <c r="L91">
        <v>2624</v>
      </c>
      <c r="N91" t="s">
        <v>988</v>
      </c>
    </row>
    <row r="92" spans="1:14" x14ac:dyDescent="0.3">
      <c r="A92">
        <v>123</v>
      </c>
      <c r="B92" t="s">
        <v>1242</v>
      </c>
      <c r="C92" t="s">
        <v>2256</v>
      </c>
      <c r="D92" t="s">
        <v>1203</v>
      </c>
      <c r="E92" t="s">
        <v>1204</v>
      </c>
      <c r="F92">
        <v>5757</v>
      </c>
      <c r="G92" t="s">
        <v>687</v>
      </c>
      <c r="H92" t="s">
        <v>1243</v>
      </c>
      <c r="I92">
        <v>502</v>
      </c>
      <c r="J92">
        <v>549</v>
      </c>
      <c r="K92">
        <v>600</v>
      </c>
      <c r="L92">
        <v>656</v>
      </c>
      <c r="N92" t="s">
        <v>988</v>
      </c>
    </row>
    <row r="93" spans="1:14" x14ac:dyDescent="0.3">
      <c r="A93">
        <v>124</v>
      </c>
      <c r="B93" t="s">
        <v>1246</v>
      </c>
      <c r="C93" t="s">
        <v>2256</v>
      </c>
      <c r="D93" t="s">
        <v>1203</v>
      </c>
      <c r="E93" t="s">
        <v>1204</v>
      </c>
      <c r="F93">
        <v>6589</v>
      </c>
      <c r="G93" t="s">
        <v>686</v>
      </c>
      <c r="H93" t="s">
        <v>1247</v>
      </c>
      <c r="I93">
        <v>130</v>
      </c>
      <c r="J93">
        <v>125</v>
      </c>
      <c r="K93">
        <v>133</v>
      </c>
      <c r="L93">
        <v>140</v>
      </c>
      <c r="N93" t="s">
        <v>987</v>
      </c>
    </row>
    <row r="94" spans="1:14" x14ac:dyDescent="0.3">
      <c r="A94">
        <v>124</v>
      </c>
      <c r="B94" t="s">
        <v>1246</v>
      </c>
      <c r="C94" t="s">
        <v>2256</v>
      </c>
      <c r="D94" t="s">
        <v>1203</v>
      </c>
      <c r="E94" t="s">
        <v>1204</v>
      </c>
      <c r="F94">
        <v>6589</v>
      </c>
      <c r="G94" t="s">
        <v>696</v>
      </c>
      <c r="H94" t="s">
        <v>1249</v>
      </c>
      <c r="I94">
        <v>510</v>
      </c>
      <c r="J94">
        <v>490</v>
      </c>
      <c r="K94">
        <v>519</v>
      </c>
      <c r="L94">
        <v>549</v>
      </c>
      <c r="N94" t="s">
        <v>987</v>
      </c>
    </row>
    <row r="95" spans="1:14" x14ac:dyDescent="0.3">
      <c r="A95">
        <v>124</v>
      </c>
      <c r="B95" t="s">
        <v>1246</v>
      </c>
      <c r="C95" t="s">
        <v>2256</v>
      </c>
      <c r="D95" t="s">
        <v>1203</v>
      </c>
      <c r="E95" t="s">
        <v>1204</v>
      </c>
      <c r="F95">
        <v>6589</v>
      </c>
      <c r="G95" t="s">
        <v>702</v>
      </c>
      <c r="I95">
        <v>62</v>
      </c>
      <c r="J95">
        <v>66</v>
      </c>
      <c r="K95">
        <v>70</v>
      </c>
      <c r="L95">
        <v>74</v>
      </c>
      <c r="N95" t="s">
        <v>987</v>
      </c>
    </row>
    <row r="96" spans="1:14" x14ac:dyDescent="0.3">
      <c r="A96">
        <v>124</v>
      </c>
      <c r="B96" t="s">
        <v>1246</v>
      </c>
      <c r="C96" t="s">
        <v>2256</v>
      </c>
      <c r="D96" t="s">
        <v>1203</v>
      </c>
      <c r="E96" t="s">
        <v>1204</v>
      </c>
      <c r="F96">
        <v>6589</v>
      </c>
      <c r="G96" t="s">
        <v>698</v>
      </c>
      <c r="H96" t="s">
        <v>1248</v>
      </c>
      <c r="I96">
        <v>511</v>
      </c>
      <c r="J96">
        <v>491</v>
      </c>
      <c r="K96">
        <v>520</v>
      </c>
      <c r="L96">
        <v>550</v>
      </c>
      <c r="N96" t="s">
        <v>987</v>
      </c>
    </row>
    <row r="97" spans="1:14" x14ac:dyDescent="0.3">
      <c r="A97">
        <v>129</v>
      </c>
      <c r="B97" t="s">
        <v>1250</v>
      </c>
      <c r="C97" t="s">
        <v>2256</v>
      </c>
      <c r="D97" t="s">
        <v>159</v>
      </c>
      <c r="E97" t="s">
        <v>159</v>
      </c>
      <c r="F97">
        <v>7821</v>
      </c>
      <c r="G97" t="s">
        <v>686</v>
      </c>
      <c r="I97">
        <v>1448</v>
      </c>
      <c r="J97">
        <v>1630</v>
      </c>
      <c r="K97">
        <v>1790</v>
      </c>
      <c r="L97">
        <v>1930</v>
      </c>
      <c r="M97">
        <v>2052</v>
      </c>
      <c r="N97" t="s">
        <v>988</v>
      </c>
    </row>
    <row r="98" spans="1:14" x14ac:dyDescent="0.3">
      <c r="A98">
        <v>129</v>
      </c>
      <c r="B98" t="s">
        <v>1250</v>
      </c>
      <c r="C98" t="s">
        <v>2256</v>
      </c>
      <c r="D98" t="s">
        <v>159</v>
      </c>
      <c r="E98" t="s">
        <v>159</v>
      </c>
      <c r="F98">
        <v>7821</v>
      </c>
      <c r="G98" t="s">
        <v>702</v>
      </c>
      <c r="H98" t="s">
        <v>1875</v>
      </c>
      <c r="I98">
        <v>342</v>
      </c>
      <c r="J98">
        <v>385</v>
      </c>
      <c r="K98">
        <v>423</v>
      </c>
      <c r="L98">
        <v>456</v>
      </c>
      <c r="M98">
        <v>484</v>
      </c>
      <c r="N98" t="s">
        <v>988</v>
      </c>
    </row>
    <row r="99" spans="1:14" x14ac:dyDescent="0.3">
      <c r="A99">
        <v>129</v>
      </c>
      <c r="B99" t="s">
        <v>1250</v>
      </c>
      <c r="C99" t="s">
        <v>2256</v>
      </c>
      <c r="D99" t="s">
        <v>159</v>
      </c>
      <c r="E99" t="s">
        <v>159</v>
      </c>
      <c r="F99">
        <v>7821</v>
      </c>
      <c r="G99" t="s">
        <v>702</v>
      </c>
      <c r="I99">
        <v>635</v>
      </c>
      <c r="J99">
        <v>715</v>
      </c>
      <c r="K99">
        <v>785</v>
      </c>
      <c r="L99">
        <v>846</v>
      </c>
      <c r="M99">
        <v>900</v>
      </c>
      <c r="N99" t="s">
        <v>988</v>
      </c>
    </row>
    <row r="100" spans="1:14" x14ac:dyDescent="0.3">
      <c r="A100">
        <v>129</v>
      </c>
      <c r="B100" t="s">
        <v>1250</v>
      </c>
      <c r="C100" t="s">
        <v>2256</v>
      </c>
      <c r="D100" t="s">
        <v>159</v>
      </c>
      <c r="E100" t="s">
        <v>159</v>
      </c>
      <c r="F100">
        <v>7821</v>
      </c>
      <c r="G100" t="s">
        <v>703</v>
      </c>
      <c r="I100">
        <v>26</v>
      </c>
      <c r="J100">
        <v>29</v>
      </c>
      <c r="K100">
        <v>32</v>
      </c>
      <c r="L100">
        <v>35</v>
      </c>
      <c r="M100">
        <v>37</v>
      </c>
      <c r="N100" t="s">
        <v>988</v>
      </c>
    </row>
    <row r="101" spans="1:14" x14ac:dyDescent="0.3">
      <c r="A101">
        <v>129</v>
      </c>
      <c r="B101" t="s">
        <v>1250</v>
      </c>
      <c r="C101" t="s">
        <v>2256</v>
      </c>
      <c r="D101" t="s">
        <v>159</v>
      </c>
      <c r="E101" t="s">
        <v>159</v>
      </c>
      <c r="F101">
        <v>7821</v>
      </c>
      <c r="G101" t="s">
        <v>701</v>
      </c>
      <c r="I101">
        <v>195</v>
      </c>
      <c r="J101">
        <v>220</v>
      </c>
      <c r="K101">
        <v>241</v>
      </c>
      <c r="L101">
        <v>260</v>
      </c>
      <c r="M101">
        <v>276</v>
      </c>
      <c r="N101" t="s">
        <v>988</v>
      </c>
    </row>
    <row r="102" spans="1:14" x14ac:dyDescent="0.3">
      <c r="A102">
        <v>129</v>
      </c>
      <c r="B102" t="s">
        <v>1250</v>
      </c>
      <c r="C102" t="s">
        <v>2256</v>
      </c>
      <c r="D102" t="s">
        <v>159</v>
      </c>
      <c r="E102" t="s">
        <v>159</v>
      </c>
      <c r="F102">
        <v>7821</v>
      </c>
      <c r="G102" t="s">
        <v>700</v>
      </c>
      <c r="I102">
        <v>2263</v>
      </c>
      <c r="J102">
        <v>2548</v>
      </c>
      <c r="K102">
        <v>2798</v>
      </c>
      <c r="L102">
        <v>3016</v>
      </c>
      <c r="M102">
        <v>3206</v>
      </c>
      <c r="N102" t="s">
        <v>988</v>
      </c>
    </row>
    <row r="103" spans="1:14" x14ac:dyDescent="0.3">
      <c r="A103">
        <v>129</v>
      </c>
      <c r="B103" t="s">
        <v>1250</v>
      </c>
      <c r="C103" t="s">
        <v>2256</v>
      </c>
      <c r="D103" t="s">
        <v>159</v>
      </c>
      <c r="E103" t="s">
        <v>159</v>
      </c>
      <c r="F103">
        <v>7821</v>
      </c>
      <c r="G103" t="s">
        <v>698</v>
      </c>
      <c r="I103">
        <v>92</v>
      </c>
      <c r="J103">
        <v>103</v>
      </c>
      <c r="K103">
        <v>114</v>
      </c>
      <c r="L103">
        <v>123</v>
      </c>
      <c r="M103">
        <v>130</v>
      </c>
      <c r="N103" t="s">
        <v>988</v>
      </c>
    </row>
    <row r="104" spans="1:14" x14ac:dyDescent="0.3">
      <c r="A104">
        <v>129</v>
      </c>
      <c r="B104" t="s">
        <v>1250</v>
      </c>
      <c r="C104" t="s">
        <v>2256</v>
      </c>
      <c r="D104" t="s">
        <v>159</v>
      </c>
      <c r="E104" t="s">
        <v>159</v>
      </c>
      <c r="F104">
        <v>7821</v>
      </c>
      <c r="G104" t="s">
        <v>696</v>
      </c>
      <c r="I104">
        <v>4505</v>
      </c>
      <c r="J104">
        <v>5071</v>
      </c>
      <c r="K104">
        <v>5569</v>
      </c>
      <c r="L104">
        <v>6004</v>
      </c>
      <c r="M104">
        <v>6382</v>
      </c>
      <c r="N104" t="s">
        <v>988</v>
      </c>
    </row>
    <row r="105" spans="1:14" x14ac:dyDescent="0.3">
      <c r="A105">
        <v>159</v>
      </c>
      <c r="B105" t="s">
        <v>1251</v>
      </c>
      <c r="C105" t="s">
        <v>2256</v>
      </c>
      <c r="D105" t="s">
        <v>1203</v>
      </c>
      <c r="E105" t="s">
        <v>1204</v>
      </c>
      <c r="F105">
        <v>6161</v>
      </c>
      <c r="G105" t="s">
        <v>686</v>
      </c>
      <c r="H105" t="s">
        <v>2265</v>
      </c>
      <c r="I105">
        <v>1439</v>
      </c>
      <c r="J105">
        <v>1553</v>
      </c>
      <c r="K105">
        <v>1679</v>
      </c>
      <c r="L105">
        <v>1775</v>
      </c>
      <c r="M105">
        <v>1863</v>
      </c>
      <c r="N105" t="s">
        <v>988</v>
      </c>
    </row>
    <row r="106" spans="1:14" x14ac:dyDescent="0.3">
      <c r="A106">
        <v>159</v>
      </c>
      <c r="B106" t="s">
        <v>1251</v>
      </c>
      <c r="C106" t="s">
        <v>2256</v>
      </c>
      <c r="D106" t="s">
        <v>1203</v>
      </c>
      <c r="E106" t="s">
        <v>1204</v>
      </c>
      <c r="F106">
        <v>6161</v>
      </c>
      <c r="G106" t="s">
        <v>690</v>
      </c>
      <c r="H106" t="s">
        <v>2266</v>
      </c>
      <c r="I106">
        <v>1500</v>
      </c>
      <c r="J106">
        <v>1200</v>
      </c>
      <c r="K106">
        <v>1000</v>
      </c>
      <c r="L106">
        <v>1000</v>
      </c>
      <c r="M106">
        <v>1000</v>
      </c>
      <c r="N106" t="s">
        <v>988</v>
      </c>
    </row>
    <row r="107" spans="1:14" x14ac:dyDescent="0.3">
      <c r="A107">
        <v>159</v>
      </c>
      <c r="B107" t="s">
        <v>1251</v>
      </c>
      <c r="C107" t="s">
        <v>2256</v>
      </c>
      <c r="D107" t="s">
        <v>1203</v>
      </c>
      <c r="E107" t="s">
        <v>1204</v>
      </c>
      <c r="F107">
        <v>6161</v>
      </c>
      <c r="G107" t="s">
        <v>696</v>
      </c>
      <c r="I107">
        <v>9302</v>
      </c>
      <c r="J107">
        <v>10047</v>
      </c>
      <c r="K107">
        <v>10849</v>
      </c>
      <c r="L107">
        <v>11479</v>
      </c>
      <c r="M107">
        <v>12041</v>
      </c>
      <c r="N107" t="s">
        <v>988</v>
      </c>
    </row>
    <row r="108" spans="1:14" x14ac:dyDescent="0.3">
      <c r="A108">
        <v>159</v>
      </c>
      <c r="B108" t="s">
        <v>1251</v>
      </c>
      <c r="C108" t="s">
        <v>2256</v>
      </c>
      <c r="D108" t="s">
        <v>1203</v>
      </c>
      <c r="E108" t="s">
        <v>1204</v>
      </c>
      <c r="F108">
        <v>6161</v>
      </c>
      <c r="G108" t="s">
        <v>698</v>
      </c>
      <c r="I108">
        <v>367</v>
      </c>
      <c r="J108">
        <v>397</v>
      </c>
      <c r="K108">
        <v>429</v>
      </c>
      <c r="L108">
        <v>454</v>
      </c>
      <c r="M108">
        <v>476</v>
      </c>
      <c r="N108" t="s">
        <v>988</v>
      </c>
    </row>
    <row r="109" spans="1:14" x14ac:dyDescent="0.3">
      <c r="A109">
        <v>159</v>
      </c>
      <c r="B109" t="s">
        <v>1251</v>
      </c>
      <c r="C109" t="s">
        <v>2256</v>
      </c>
      <c r="D109" t="s">
        <v>1203</v>
      </c>
      <c r="E109" t="s">
        <v>1204</v>
      </c>
      <c r="F109">
        <v>6161</v>
      </c>
      <c r="G109" t="s">
        <v>700</v>
      </c>
      <c r="I109">
        <v>214</v>
      </c>
      <c r="J109">
        <v>231</v>
      </c>
      <c r="K109">
        <v>249</v>
      </c>
      <c r="L109">
        <v>264</v>
      </c>
      <c r="M109">
        <v>276</v>
      </c>
      <c r="N109" t="s">
        <v>988</v>
      </c>
    </row>
    <row r="110" spans="1:14" x14ac:dyDescent="0.3">
      <c r="A110">
        <v>159</v>
      </c>
      <c r="B110" t="s">
        <v>1251</v>
      </c>
      <c r="C110" t="s">
        <v>2256</v>
      </c>
      <c r="D110" t="s">
        <v>1203</v>
      </c>
      <c r="E110" t="s">
        <v>1204</v>
      </c>
      <c r="F110">
        <v>6161</v>
      </c>
      <c r="G110" t="s">
        <v>701</v>
      </c>
      <c r="I110">
        <v>186</v>
      </c>
      <c r="J110">
        <v>201</v>
      </c>
      <c r="K110">
        <v>217</v>
      </c>
      <c r="L110">
        <v>230</v>
      </c>
      <c r="M110">
        <v>241</v>
      </c>
      <c r="N110" t="s">
        <v>988</v>
      </c>
    </row>
    <row r="111" spans="1:14" x14ac:dyDescent="0.3">
      <c r="A111">
        <v>159</v>
      </c>
      <c r="B111" t="s">
        <v>1251</v>
      </c>
      <c r="C111" t="s">
        <v>2256</v>
      </c>
      <c r="D111" t="s">
        <v>1203</v>
      </c>
      <c r="E111" t="s">
        <v>1204</v>
      </c>
      <c r="F111">
        <v>6161</v>
      </c>
      <c r="G111" t="s">
        <v>703</v>
      </c>
      <c r="I111">
        <v>1106</v>
      </c>
      <c r="J111">
        <v>1194</v>
      </c>
      <c r="K111">
        <v>1290</v>
      </c>
      <c r="L111">
        <v>1365</v>
      </c>
      <c r="M111">
        <v>1431</v>
      </c>
      <c r="N111" t="s">
        <v>988</v>
      </c>
    </row>
    <row r="112" spans="1:14" x14ac:dyDescent="0.3">
      <c r="A112">
        <v>159</v>
      </c>
      <c r="B112" t="s">
        <v>1251</v>
      </c>
      <c r="C112" t="s">
        <v>2256</v>
      </c>
      <c r="D112" t="s">
        <v>1203</v>
      </c>
      <c r="E112" t="s">
        <v>1204</v>
      </c>
      <c r="F112">
        <v>6161</v>
      </c>
      <c r="G112" t="s">
        <v>684</v>
      </c>
      <c r="I112">
        <v>55</v>
      </c>
      <c r="J112">
        <v>60</v>
      </c>
      <c r="K112">
        <v>64</v>
      </c>
      <c r="L112">
        <v>68</v>
      </c>
      <c r="M112">
        <v>72</v>
      </c>
      <c r="N112" t="s">
        <v>988</v>
      </c>
    </row>
    <row r="113" spans="1:14" x14ac:dyDescent="0.3">
      <c r="A113">
        <v>159</v>
      </c>
      <c r="B113" t="s">
        <v>1251</v>
      </c>
      <c r="C113" t="s">
        <v>2256</v>
      </c>
      <c r="D113" t="s">
        <v>1203</v>
      </c>
      <c r="E113" t="s">
        <v>1204</v>
      </c>
      <c r="F113">
        <v>6161</v>
      </c>
      <c r="G113" t="s">
        <v>692</v>
      </c>
      <c r="H113" t="s">
        <v>2267</v>
      </c>
      <c r="I113">
        <v>276</v>
      </c>
      <c r="J113">
        <v>246</v>
      </c>
      <c r="K113">
        <v>0</v>
      </c>
      <c r="L113">
        <v>0</v>
      </c>
      <c r="M113">
        <v>0</v>
      </c>
      <c r="N113" t="s">
        <v>988</v>
      </c>
    </row>
    <row r="114" spans="1:14" x14ac:dyDescent="0.3">
      <c r="A114">
        <v>159</v>
      </c>
      <c r="B114" t="s">
        <v>1251</v>
      </c>
      <c r="C114" t="s">
        <v>2256</v>
      </c>
      <c r="D114" t="s">
        <v>1203</v>
      </c>
      <c r="E114" t="s">
        <v>1204</v>
      </c>
      <c r="F114">
        <v>6161</v>
      </c>
      <c r="G114" t="s">
        <v>687</v>
      </c>
      <c r="H114" t="s">
        <v>2268</v>
      </c>
      <c r="I114">
        <v>318</v>
      </c>
      <c r="J114">
        <v>343</v>
      </c>
      <c r="K114">
        <v>370</v>
      </c>
      <c r="L114">
        <v>392</v>
      </c>
      <c r="M114">
        <v>411</v>
      </c>
      <c r="N114" t="s">
        <v>988</v>
      </c>
    </row>
    <row r="115" spans="1:14" x14ac:dyDescent="0.3">
      <c r="A115">
        <v>159</v>
      </c>
      <c r="B115" t="s">
        <v>1251</v>
      </c>
      <c r="C115" t="s">
        <v>2256</v>
      </c>
      <c r="D115" t="s">
        <v>1203</v>
      </c>
      <c r="E115" t="s">
        <v>1204</v>
      </c>
      <c r="F115">
        <v>6161</v>
      </c>
      <c r="G115" t="s">
        <v>702</v>
      </c>
      <c r="H115" t="s">
        <v>2269</v>
      </c>
      <c r="I115">
        <v>209</v>
      </c>
      <c r="J115">
        <v>226</v>
      </c>
      <c r="K115">
        <v>244</v>
      </c>
      <c r="L115">
        <v>258</v>
      </c>
      <c r="M115">
        <v>271</v>
      </c>
      <c r="N115" t="s">
        <v>988</v>
      </c>
    </row>
    <row r="116" spans="1:14" x14ac:dyDescent="0.3">
      <c r="A116">
        <v>167</v>
      </c>
      <c r="B116" t="s">
        <v>1257</v>
      </c>
      <c r="C116" t="s">
        <v>2256</v>
      </c>
      <c r="D116" t="s">
        <v>1203</v>
      </c>
      <c r="E116" t="s">
        <v>1204</v>
      </c>
      <c r="F116">
        <v>5807</v>
      </c>
      <c r="G116" t="s">
        <v>703</v>
      </c>
      <c r="I116">
        <v>995</v>
      </c>
      <c r="J116">
        <v>1016</v>
      </c>
      <c r="K116">
        <v>1037</v>
      </c>
      <c r="L116">
        <v>1059</v>
      </c>
      <c r="M116">
        <v>1082</v>
      </c>
      <c r="N116" t="s">
        <v>988</v>
      </c>
    </row>
    <row r="117" spans="1:14" x14ac:dyDescent="0.3">
      <c r="A117">
        <v>167</v>
      </c>
      <c r="B117" t="s">
        <v>1257</v>
      </c>
      <c r="C117" t="s">
        <v>2256</v>
      </c>
      <c r="D117" t="s">
        <v>1203</v>
      </c>
      <c r="E117" t="s">
        <v>1204</v>
      </c>
      <c r="F117">
        <v>5807</v>
      </c>
      <c r="G117" t="s">
        <v>700</v>
      </c>
      <c r="I117">
        <v>468</v>
      </c>
      <c r="J117">
        <v>478</v>
      </c>
      <c r="K117">
        <v>488</v>
      </c>
      <c r="L117">
        <v>498</v>
      </c>
      <c r="M117">
        <v>509</v>
      </c>
      <c r="N117" t="s">
        <v>988</v>
      </c>
    </row>
    <row r="118" spans="1:14" x14ac:dyDescent="0.3">
      <c r="A118">
        <v>167</v>
      </c>
      <c r="B118" t="s">
        <v>1257</v>
      </c>
      <c r="C118" t="s">
        <v>2256</v>
      </c>
      <c r="D118" t="s">
        <v>1203</v>
      </c>
      <c r="E118" t="s">
        <v>1204</v>
      </c>
      <c r="F118">
        <v>5807</v>
      </c>
      <c r="G118" t="s">
        <v>696</v>
      </c>
      <c r="H118" t="s">
        <v>1627</v>
      </c>
      <c r="I118">
        <v>5167</v>
      </c>
      <c r="J118">
        <v>5277</v>
      </c>
      <c r="K118">
        <v>5389</v>
      </c>
      <c r="L118">
        <v>5503</v>
      </c>
      <c r="M118">
        <v>5620</v>
      </c>
      <c r="N118" t="s">
        <v>988</v>
      </c>
    </row>
    <row r="119" spans="1:14" x14ac:dyDescent="0.3">
      <c r="A119">
        <v>167</v>
      </c>
      <c r="B119" t="s">
        <v>1257</v>
      </c>
      <c r="C119" t="s">
        <v>2256</v>
      </c>
      <c r="D119" t="s">
        <v>1203</v>
      </c>
      <c r="E119" t="s">
        <v>1204</v>
      </c>
      <c r="F119">
        <v>5807</v>
      </c>
      <c r="G119" t="s">
        <v>691</v>
      </c>
      <c r="H119" t="s">
        <v>2270</v>
      </c>
      <c r="I119">
        <v>7</v>
      </c>
      <c r="J119">
        <v>7</v>
      </c>
      <c r="K119">
        <v>7</v>
      </c>
      <c r="L119">
        <v>7</v>
      </c>
      <c r="M119">
        <v>8</v>
      </c>
      <c r="N119" t="s">
        <v>988</v>
      </c>
    </row>
    <row r="120" spans="1:14" x14ac:dyDescent="0.3">
      <c r="A120">
        <v>167</v>
      </c>
      <c r="B120" t="s">
        <v>1257</v>
      </c>
      <c r="C120" t="s">
        <v>2256</v>
      </c>
      <c r="D120" t="s">
        <v>1203</v>
      </c>
      <c r="E120" t="s">
        <v>1204</v>
      </c>
      <c r="F120">
        <v>5807</v>
      </c>
      <c r="G120" t="s">
        <v>705</v>
      </c>
      <c r="I120">
        <v>2</v>
      </c>
      <c r="J120">
        <v>2</v>
      </c>
      <c r="K120">
        <v>2</v>
      </c>
      <c r="L120">
        <v>2</v>
      </c>
      <c r="M120">
        <v>2</v>
      </c>
      <c r="N120" t="s">
        <v>988</v>
      </c>
    </row>
    <row r="121" spans="1:14" x14ac:dyDescent="0.3">
      <c r="A121">
        <v>167</v>
      </c>
      <c r="B121" t="s">
        <v>1257</v>
      </c>
      <c r="C121" t="s">
        <v>2256</v>
      </c>
      <c r="D121" t="s">
        <v>1203</v>
      </c>
      <c r="E121" t="s">
        <v>1204</v>
      </c>
      <c r="F121">
        <v>5807</v>
      </c>
      <c r="G121" t="s">
        <v>684</v>
      </c>
      <c r="I121">
        <v>2478</v>
      </c>
      <c r="J121">
        <v>2531</v>
      </c>
      <c r="K121">
        <v>2585</v>
      </c>
      <c r="L121">
        <v>2639</v>
      </c>
      <c r="M121">
        <v>2695</v>
      </c>
      <c r="N121" t="s">
        <v>988</v>
      </c>
    </row>
    <row r="122" spans="1:14" x14ac:dyDescent="0.3">
      <c r="A122">
        <v>167</v>
      </c>
      <c r="B122" t="s">
        <v>1257</v>
      </c>
      <c r="C122" t="s">
        <v>2256</v>
      </c>
      <c r="D122" t="s">
        <v>1203</v>
      </c>
      <c r="E122" t="s">
        <v>1204</v>
      </c>
      <c r="F122">
        <v>5807</v>
      </c>
      <c r="G122" t="s">
        <v>686</v>
      </c>
      <c r="I122">
        <v>852</v>
      </c>
      <c r="J122">
        <v>870</v>
      </c>
      <c r="K122">
        <v>889</v>
      </c>
      <c r="L122">
        <v>908</v>
      </c>
      <c r="M122">
        <v>927</v>
      </c>
      <c r="N122" t="s">
        <v>988</v>
      </c>
    </row>
    <row r="123" spans="1:14" x14ac:dyDescent="0.3">
      <c r="A123">
        <v>170</v>
      </c>
      <c r="B123" t="s">
        <v>1258</v>
      </c>
      <c r="C123" t="s">
        <v>2256</v>
      </c>
      <c r="D123" t="s">
        <v>1203</v>
      </c>
      <c r="E123" t="s">
        <v>1204</v>
      </c>
      <c r="F123">
        <v>5955</v>
      </c>
      <c r="G123" t="s">
        <v>698</v>
      </c>
      <c r="I123">
        <v>2500</v>
      </c>
      <c r="J123">
        <v>2504</v>
      </c>
      <c r="K123">
        <v>2508</v>
      </c>
      <c r="L123">
        <v>2512</v>
      </c>
      <c r="M123">
        <v>2515</v>
      </c>
      <c r="N123" t="s">
        <v>988</v>
      </c>
    </row>
    <row r="124" spans="1:14" x14ac:dyDescent="0.3">
      <c r="A124">
        <v>170</v>
      </c>
      <c r="B124" t="s">
        <v>1258</v>
      </c>
      <c r="C124" t="s">
        <v>2256</v>
      </c>
      <c r="D124" t="s">
        <v>1203</v>
      </c>
      <c r="E124" t="s">
        <v>1204</v>
      </c>
      <c r="F124">
        <v>5955</v>
      </c>
      <c r="G124" t="s">
        <v>696</v>
      </c>
      <c r="I124">
        <v>1390</v>
      </c>
      <c r="J124">
        <v>1390</v>
      </c>
      <c r="K124">
        <v>1390</v>
      </c>
      <c r="L124">
        <v>1390</v>
      </c>
      <c r="M124">
        <v>1390</v>
      </c>
      <c r="N124" t="s">
        <v>988</v>
      </c>
    </row>
    <row r="125" spans="1:14" x14ac:dyDescent="0.3">
      <c r="A125">
        <v>170</v>
      </c>
      <c r="B125" t="s">
        <v>1258</v>
      </c>
      <c r="C125" t="s">
        <v>2256</v>
      </c>
      <c r="D125" t="s">
        <v>1203</v>
      </c>
      <c r="E125" t="s">
        <v>1204</v>
      </c>
      <c r="F125">
        <v>5955</v>
      </c>
      <c r="G125" t="s">
        <v>700</v>
      </c>
      <c r="I125">
        <v>687</v>
      </c>
      <c r="J125">
        <v>687</v>
      </c>
      <c r="K125">
        <v>687</v>
      </c>
      <c r="L125">
        <v>687</v>
      </c>
      <c r="M125">
        <v>687</v>
      </c>
      <c r="N125" t="s">
        <v>988</v>
      </c>
    </row>
    <row r="126" spans="1:14" x14ac:dyDescent="0.3">
      <c r="A126">
        <v>170</v>
      </c>
      <c r="B126" t="s">
        <v>1258</v>
      </c>
      <c r="C126" t="s">
        <v>2256</v>
      </c>
      <c r="D126" t="s">
        <v>1203</v>
      </c>
      <c r="E126" t="s">
        <v>1204</v>
      </c>
      <c r="F126">
        <v>5955</v>
      </c>
      <c r="G126" t="s">
        <v>703</v>
      </c>
      <c r="I126">
        <v>102</v>
      </c>
      <c r="J126">
        <v>102</v>
      </c>
      <c r="K126">
        <v>102</v>
      </c>
      <c r="L126">
        <v>102</v>
      </c>
      <c r="M126">
        <v>102</v>
      </c>
      <c r="N126" t="s">
        <v>988</v>
      </c>
    </row>
    <row r="127" spans="1:14" x14ac:dyDescent="0.3">
      <c r="A127">
        <v>170</v>
      </c>
      <c r="B127" t="s">
        <v>1258</v>
      </c>
      <c r="C127" t="s">
        <v>2256</v>
      </c>
      <c r="D127" t="s">
        <v>1203</v>
      </c>
      <c r="E127" t="s">
        <v>1204</v>
      </c>
      <c r="F127">
        <v>5955</v>
      </c>
      <c r="G127" t="s">
        <v>702</v>
      </c>
      <c r="I127">
        <v>30</v>
      </c>
      <c r="J127">
        <v>30</v>
      </c>
      <c r="K127">
        <v>30</v>
      </c>
      <c r="L127">
        <v>30</v>
      </c>
      <c r="M127">
        <v>30</v>
      </c>
      <c r="N127" t="s">
        <v>988</v>
      </c>
    </row>
    <row r="128" spans="1:14" x14ac:dyDescent="0.3">
      <c r="A128">
        <v>170</v>
      </c>
      <c r="B128" t="s">
        <v>1258</v>
      </c>
      <c r="C128" t="s">
        <v>2256</v>
      </c>
      <c r="D128" t="s">
        <v>1203</v>
      </c>
      <c r="E128" t="s">
        <v>1204</v>
      </c>
      <c r="F128">
        <v>5955</v>
      </c>
      <c r="G128" t="s">
        <v>705</v>
      </c>
      <c r="I128">
        <v>1014</v>
      </c>
      <c r="J128">
        <v>1014</v>
      </c>
      <c r="K128">
        <v>1014</v>
      </c>
      <c r="L128">
        <v>1014</v>
      </c>
      <c r="M128">
        <v>1014</v>
      </c>
      <c r="N128" t="s">
        <v>988</v>
      </c>
    </row>
    <row r="129" spans="1:14" x14ac:dyDescent="0.3">
      <c r="A129">
        <v>170</v>
      </c>
      <c r="B129" t="s">
        <v>1258</v>
      </c>
      <c r="C129" t="s">
        <v>2256</v>
      </c>
      <c r="D129" t="s">
        <v>1203</v>
      </c>
      <c r="E129" t="s">
        <v>1204</v>
      </c>
      <c r="F129">
        <v>5955</v>
      </c>
      <c r="G129" t="s">
        <v>686</v>
      </c>
      <c r="I129">
        <v>146</v>
      </c>
      <c r="J129">
        <v>146</v>
      </c>
      <c r="K129">
        <v>146</v>
      </c>
      <c r="L129">
        <v>146</v>
      </c>
      <c r="M129">
        <v>146</v>
      </c>
      <c r="N129" t="s">
        <v>988</v>
      </c>
    </row>
    <row r="130" spans="1:14" x14ac:dyDescent="0.3">
      <c r="A130">
        <v>170</v>
      </c>
      <c r="B130" t="s">
        <v>1258</v>
      </c>
      <c r="C130" t="s">
        <v>2256</v>
      </c>
      <c r="D130" t="s">
        <v>1203</v>
      </c>
      <c r="E130" t="s">
        <v>1204</v>
      </c>
      <c r="F130">
        <v>5955</v>
      </c>
      <c r="G130" t="s">
        <v>691</v>
      </c>
      <c r="I130">
        <v>9</v>
      </c>
      <c r="J130">
        <v>9</v>
      </c>
      <c r="K130">
        <v>9</v>
      </c>
      <c r="L130">
        <v>9</v>
      </c>
      <c r="M130">
        <v>9</v>
      </c>
      <c r="N130" t="s">
        <v>988</v>
      </c>
    </row>
    <row r="131" spans="1:14" x14ac:dyDescent="0.3">
      <c r="A131">
        <v>178</v>
      </c>
      <c r="B131" t="s">
        <v>1261</v>
      </c>
      <c r="C131" t="s">
        <v>2256</v>
      </c>
      <c r="D131" t="s">
        <v>1203</v>
      </c>
      <c r="E131" t="s">
        <v>1204</v>
      </c>
      <c r="F131">
        <v>5494</v>
      </c>
      <c r="G131" t="s">
        <v>702</v>
      </c>
      <c r="I131">
        <v>594</v>
      </c>
      <c r="J131">
        <v>594</v>
      </c>
      <c r="K131">
        <v>597</v>
      </c>
      <c r="L131">
        <v>600</v>
      </c>
      <c r="M131">
        <v>608</v>
      </c>
      <c r="N131" t="s">
        <v>988</v>
      </c>
    </row>
    <row r="132" spans="1:14" x14ac:dyDescent="0.3">
      <c r="A132">
        <v>178</v>
      </c>
      <c r="B132" t="s">
        <v>1261</v>
      </c>
      <c r="C132" t="s">
        <v>2256</v>
      </c>
      <c r="D132" t="s">
        <v>1203</v>
      </c>
      <c r="E132" t="s">
        <v>1204</v>
      </c>
      <c r="F132">
        <v>5494</v>
      </c>
      <c r="G132" t="s">
        <v>692</v>
      </c>
      <c r="H132" t="s">
        <v>1263</v>
      </c>
      <c r="I132">
        <v>5800</v>
      </c>
      <c r="J132">
        <v>5800</v>
      </c>
      <c r="K132">
        <v>5800</v>
      </c>
      <c r="L132">
        <v>5800</v>
      </c>
      <c r="M132">
        <v>5800</v>
      </c>
      <c r="N132" t="s">
        <v>988</v>
      </c>
    </row>
    <row r="133" spans="1:14" x14ac:dyDescent="0.3">
      <c r="A133">
        <v>178</v>
      </c>
      <c r="B133" t="s">
        <v>1261</v>
      </c>
      <c r="C133" t="s">
        <v>2256</v>
      </c>
      <c r="D133" t="s">
        <v>1203</v>
      </c>
      <c r="E133" t="s">
        <v>1204</v>
      </c>
      <c r="F133">
        <v>5494</v>
      </c>
      <c r="G133" t="s">
        <v>686</v>
      </c>
      <c r="H133" t="s">
        <v>2271</v>
      </c>
      <c r="I133">
        <v>423</v>
      </c>
      <c r="J133">
        <v>428</v>
      </c>
      <c r="K133">
        <v>440</v>
      </c>
      <c r="L133">
        <v>451</v>
      </c>
      <c r="M133">
        <v>475</v>
      </c>
      <c r="N133" t="s">
        <v>988</v>
      </c>
    </row>
    <row r="134" spans="1:14" x14ac:dyDescent="0.3">
      <c r="A134">
        <v>178</v>
      </c>
      <c r="B134" t="s">
        <v>1261</v>
      </c>
      <c r="C134" t="s">
        <v>2256</v>
      </c>
      <c r="D134" t="s">
        <v>1203</v>
      </c>
      <c r="E134" t="s">
        <v>1204</v>
      </c>
      <c r="F134">
        <v>5494</v>
      </c>
      <c r="G134" t="s">
        <v>701</v>
      </c>
      <c r="I134">
        <v>102</v>
      </c>
      <c r="J134">
        <v>102</v>
      </c>
      <c r="K134">
        <v>102</v>
      </c>
      <c r="L134">
        <v>102</v>
      </c>
      <c r="M134">
        <v>102</v>
      </c>
      <c r="N134" t="s">
        <v>988</v>
      </c>
    </row>
    <row r="135" spans="1:14" x14ac:dyDescent="0.3">
      <c r="A135">
        <v>178</v>
      </c>
      <c r="B135" t="s">
        <v>1261</v>
      </c>
      <c r="C135" t="s">
        <v>2256</v>
      </c>
      <c r="D135" t="s">
        <v>1203</v>
      </c>
      <c r="E135" t="s">
        <v>1204</v>
      </c>
      <c r="F135">
        <v>5494</v>
      </c>
      <c r="G135" t="s">
        <v>691</v>
      </c>
      <c r="H135" t="s">
        <v>1264</v>
      </c>
      <c r="I135">
        <v>346</v>
      </c>
      <c r="J135">
        <v>356</v>
      </c>
      <c r="K135">
        <v>396</v>
      </c>
      <c r="L135">
        <v>427</v>
      </c>
      <c r="M135">
        <v>518</v>
      </c>
      <c r="N135" t="s">
        <v>988</v>
      </c>
    </row>
    <row r="136" spans="1:14" x14ac:dyDescent="0.3">
      <c r="A136">
        <v>178</v>
      </c>
      <c r="B136" t="s">
        <v>1261</v>
      </c>
      <c r="C136" t="s">
        <v>2256</v>
      </c>
      <c r="D136" t="s">
        <v>1203</v>
      </c>
      <c r="E136" t="s">
        <v>1204</v>
      </c>
      <c r="F136">
        <v>5494</v>
      </c>
      <c r="G136" t="s">
        <v>698</v>
      </c>
      <c r="I136">
        <v>470</v>
      </c>
      <c r="J136">
        <v>501</v>
      </c>
      <c r="K136">
        <v>534</v>
      </c>
      <c r="L136">
        <v>568</v>
      </c>
      <c r="M136">
        <v>606</v>
      </c>
      <c r="N136" t="s">
        <v>988</v>
      </c>
    </row>
    <row r="137" spans="1:14" x14ac:dyDescent="0.3">
      <c r="A137">
        <v>178</v>
      </c>
      <c r="B137" t="s">
        <v>1261</v>
      </c>
      <c r="C137" t="s">
        <v>2256</v>
      </c>
      <c r="D137" t="s">
        <v>1203</v>
      </c>
      <c r="E137" t="s">
        <v>1204</v>
      </c>
      <c r="F137">
        <v>5494</v>
      </c>
      <c r="G137" t="s">
        <v>696</v>
      </c>
      <c r="I137">
        <v>2301</v>
      </c>
      <c r="J137">
        <v>2305</v>
      </c>
      <c r="K137">
        <v>2333</v>
      </c>
      <c r="L137">
        <v>2364</v>
      </c>
      <c r="M137">
        <v>2447</v>
      </c>
      <c r="N137" t="s">
        <v>988</v>
      </c>
    </row>
    <row r="138" spans="1:14" x14ac:dyDescent="0.3">
      <c r="A138">
        <v>193</v>
      </c>
      <c r="B138" t="s">
        <v>1265</v>
      </c>
      <c r="C138" t="s">
        <v>2256</v>
      </c>
      <c r="D138" t="s">
        <v>1203</v>
      </c>
      <c r="E138" t="s">
        <v>1204</v>
      </c>
      <c r="F138">
        <v>5906</v>
      </c>
      <c r="G138" t="s">
        <v>696</v>
      </c>
      <c r="I138">
        <v>5913</v>
      </c>
      <c r="J138">
        <v>6002</v>
      </c>
      <c r="K138">
        <v>6096</v>
      </c>
      <c r="L138">
        <v>6187</v>
      </c>
      <c r="M138">
        <v>6255</v>
      </c>
      <c r="N138" t="s">
        <v>988</v>
      </c>
    </row>
    <row r="139" spans="1:14" x14ac:dyDescent="0.3">
      <c r="A139">
        <v>193</v>
      </c>
      <c r="B139" t="s">
        <v>1265</v>
      </c>
      <c r="C139" t="s">
        <v>2256</v>
      </c>
      <c r="D139" t="s">
        <v>1203</v>
      </c>
      <c r="E139" t="s">
        <v>1204</v>
      </c>
      <c r="F139">
        <v>5906</v>
      </c>
      <c r="G139" t="s">
        <v>698</v>
      </c>
      <c r="I139">
        <v>2483</v>
      </c>
      <c r="J139">
        <v>2510</v>
      </c>
      <c r="K139">
        <v>2540</v>
      </c>
      <c r="L139">
        <v>2580</v>
      </c>
      <c r="M139">
        <v>2623</v>
      </c>
      <c r="N139" t="s">
        <v>988</v>
      </c>
    </row>
    <row r="140" spans="1:14" x14ac:dyDescent="0.3">
      <c r="A140">
        <v>193</v>
      </c>
      <c r="B140" t="s">
        <v>1265</v>
      </c>
      <c r="C140" t="s">
        <v>2256</v>
      </c>
      <c r="D140" t="s">
        <v>1203</v>
      </c>
      <c r="E140" t="s">
        <v>1204</v>
      </c>
      <c r="F140">
        <v>5906</v>
      </c>
      <c r="G140" t="s">
        <v>700</v>
      </c>
      <c r="H140" t="s">
        <v>2272</v>
      </c>
      <c r="I140">
        <v>2940</v>
      </c>
      <c r="J140">
        <v>3012</v>
      </c>
      <c r="K140">
        <v>3086</v>
      </c>
      <c r="L140">
        <v>3185</v>
      </c>
      <c r="M140">
        <v>3251</v>
      </c>
      <c r="N140" t="s">
        <v>988</v>
      </c>
    </row>
    <row r="141" spans="1:14" x14ac:dyDescent="0.3">
      <c r="A141">
        <v>193</v>
      </c>
      <c r="B141" t="s">
        <v>1265</v>
      </c>
      <c r="C141" t="s">
        <v>2256</v>
      </c>
      <c r="D141" t="s">
        <v>1203</v>
      </c>
      <c r="E141" t="s">
        <v>1204</v>
      </c>
      <c r="F141">
        <v>5906</v>
      </c>
      <c r="G141" t="s">
        <v>686</v>
      </c>
      <c r="I141">
        <v>597</v>
      </c>
      <c r="J141">
        <v>607</v>
      </c>
      <c r="K141">
        <v>618</v>
      </c>
      <c r="L141">
        <v>630</v>
      </c>
      <c r="M141">
        <v>639</v>
      </c>
      <c r="N141" t="s">
        <v>988</v>
      </c>
    </row>
    <row r="142" spans="1:14" x14ac:dyDescent="0.3">
      <c r="A142">
        <v>197</v>
      </c>
      <c r="B142" t="s">
        <v>1268</v>
      </c>
      <c r="C142" t="s">
        <v>2256</v>
      </c>
      <c r="D142" t="s">
        <v>159</v>
      </c>
      <c r="E142" t="s">
        <v>159</v>
      </c>
      <c r="F142">
        <v>5480</v>
      </c>
      <c r="G142" t="s">
        <v>696</v>
      </c>
      <c r="I142">
        <v>956</v>
      </c>
      <c r="J142">
        <v>984</v>
      </c>
      <c r="K142">
        <v>1001</v>
      </c>
      <c r="L142">
        <v>1019</v>
      </c>
      <c r="M142">
        <v>1037</v>
      </c>
      <c r="N142" t="s">
        <v>988</v>
      </c>
    </row>
    <row r="143" spans="1:14" x14ac:dyDescent="0.3">
      <c r="A143">
        <v>197</v>
      </c>
      <c r="B143" t="s">
        <v>1268</v>
      </c>
      <c r="C143" t="s">
        <v>2256</v>
      </c>
      <c r="D143" t="s">
        <v>159</v>
      </c>
      <c r="E143" t="s">
        <v>159</v>
      </c>
      <c r="F143">
        <v>5480</v>
      </c>
      <c r="G143" t="s">
        <v>700</v>
      </c>
      <c r="I143">
        <v>136</v>
      </c>
      <c r="J143">
        <v>140</v>
      </c>
      <c r="K143">
        <v>142</v>
      </c>
      <c r="L143">
        <v>145</v>
      </c>
      <c r="M143">
        <v>147</v>
      </c>
      <c r="N143" t="s">
        <v>988</v>
      </c>
    </row>
    <row r="144" spans="1:14" x14ac:dyDescent="0.3">
      <c r="A144">
        <v>197</v>
      </c>
      <c r="B144" t="s">
        <v>1268</v>
      </c>
      <c r="C144" t="s">
        <v>2256</v>
      </c>
      <c r="D144" t="s">
        <v>159</v>
      </c>
      <c r="E144" t="s">
        <v>159</v>
      </c>
      <c r="F144">
        <v>5480</v>
      </c>
      <c r="G144" t="s">
        <v>686</v>
      </c>
      <c r="I144">
        <v>93</v>
      </c>
      <c r="J144">
        <v>82</v>
      </c>
      <c r="K144">
        <v>84</v>
      </c>
      <c r="L144">
        <v>85</v>
      </c>
      <c r="M144">
        <v>87</v>
      </c>
      <c r="N144" t="s">
        <v>988</v>
      </c>
    </row>
    <row r="145" spans="1:14" x14ac:dyDescent="0.3">
      <c r="A145">
        <v>198</v>
      </c>
      <c r="B145" t="s">
        <v>1270</v>
      </c>
      <c r="C145" t="s">
        <v>2256</v>
      </c>
      <c r="D145" t="s">
        <v>159</v>
      </c>
      <c r="E145" t="s">
        <v>159</v>
      </c>
      <c r="F145">
        <v>7825</v>
      </c>
      <c r="G145" t="s">
        <v>698</v>
      </c>
      <c r="I145">
        <v>169.33486996724201</v>
      </c>
      <c r="J145">
        <v>175</v>
      </c>
      <c r="K145">
        <v>182</v>
      </c>
      <c r="L145">
        <v>188</v>
      </c>
      <c r="M145">
        <v>195</v>
      </c>
      <c r="N145" t="s">
        <v>988</v>
      </c>
    </row>
    <row r="146" spans="1:14" x14ac:dyDescent="0.3">
      <c r="A146">
        <v>198</v>
      </c>
      <c r="B146" t="s">
        <v>1270</v>
      </c>
      <c r="C146" t="s">
        <v>2256</v>
      </c>
      <c r="D146" t="s">
        <v>159</v>
      </c>
      <c r="E146" t="s">
        <v>159</v>
      </c>
      <c r="F146">
        <v>7825</v>
      </c>
      <c r="G146" t="s">
        <v>700</v>
      </c>
      <c r="I146">
        <v>425.68870203267102</v>
      </c>
      <c r="J146">
        <v>441</v>
      </c>
      <c r="K146">
        <v>456</v>
      </c>
      <c r="L146">
        <v>473</v>
      </c>
      <c r="M146">
        <v>489</v>
      </c>
      <c r="N146" t="s">
        <v>988</v>
      </c>
    </row>
    <row r="147" spans="1:14" x14ac:dyDescent="0.3">
      <c r="A147">
        <v>198</v>
      </c>
      <c r="B147" t="s">
        <v>1270</v>
      </c>
      <c r="C147" t="s">
        <v>2256</v>
      </c>
      <c r="D147" t="s">
        <v>159</v>
      </c>
      <c r="E147" t="s">
        <v>159</v>
      </c>
      <c r="F147">
        <v>7825</v>
      </c>
      <c r="G147" t="s">
        <v>696</v>
      </c>
      <c r="H147" t="s">
        <v>2273</v>
      </c>
      <c r="I147">
        <v>1316.34532436785</v>
      </c>
      <c r="J147">
        <v>1304</v>
      </c>
      <c r="K147">
        <v>1300</v>
      </c>
      <c r="L147">
        <v>1309</v>
      </c>
      <c r="M147">
        <v>1328</v>
      </c>
      <c r="N147" t="s">
        <v>988</v>
      </c>
    </row>
    <row r="148" spans="1:14" x14ac:dyDescent="0.3">
      <c r="A148">
        <v>198</v>
      </c>
      <c r="B148" t="s">
        <v>1270</v>
      </c>
      <c r="C148" t="s">
        <v>2256</v>
      </c>
      <c r="D148" t="s">
        <v>159</v>
      </c>
      <c r="E148" t="s">
        <v>159</v>
      </c>
      <c r="F148">
        <v>7825</v>
      </c>
      <c r="G148" t="s">
        <v>686</v>
      </c>
      <c r="I148">
        <v>235.34676842904901</v>
      </c>
      <c r="J148">
        <v>244</v>
      </c>
      <c r="K148">
        <v>252</v>
      </c>
      <c r="L148">
        <v>261</v>
      </c>
      <c r="M148">
        <v>271</v>
      </c>
      <c r="N148" t="s">
        <v>988</v>
      </c>
    </row>
    <row r="149" spans="1:14" x14ac:dyDescent="0.3">
      <c r="A149">
        <v>241</v>
      </c>
      <c r="B149" t="s">
        <v>1271</v>
      </c>
      <c r="C149" t="s">
        <v>2256</v>
      </c>
      <c r="D149" t="s">
        <v>1203</v>
      </c>
      <c r="E149" t="s">
        <v>1204</v>
      </c>
      <c r="F149">
        <v>5667</v>
      </c>
      <c r="G149" t="s">
        <v>691</v>
      </c>
      <c r="I149">
        <v>5</v>
      </c>
      <c r="J149">
        <v>5</v>
      </c>
      <c r="K149">
        <v>5</v>
      </c>
      <c r="L149">
        <v>6</v>
      </c>
      <c r="M149">
        <v>6</v>
      </c>
      <c r="N149" t="s">
        <v>988</v>
      </c>
    </row>
    <row r="150" spans="1:14" x14ac:dyDescent="0.3">
      <c r="A150">
        <v>241</v>
      </c>
      <c r="B150" t="s">
        <v>1271</v>
      </c>
      <c r="C150" t="s">
        <v>2256</v>
      </c>
      <c r="D150" t="s">
        <v>1203</v>
      </c>
      <c r="E150" t="s">
        <v>1204</v>
      </c>
      <c r="F150">
        <v>5667</v>
      </c>
      <c r="G150" t="s">
        <v>686</v>
      </c>
      <c r="I150">
        <v>546</v>
      </c>
      <c r="J150">
        <v>583</v>
      </c>
      <c r="K150">
        <v>617</v>
      </c>
      <c r="L150">
        <v>650</v>
      </c>
      <c r="M150">
        <v>681</v>
      </c>
      <c r="N150" t="s">
        <v>988</v>
      </c>
    </row>
    <row r="151" spans="1:14" x14ac:dyDescent="0.3">
      <c r="A151">
        <v>241</v>
      </c>
      <c r="B151" t="s">
        <v>1271</v>
      </c>
      <c r="C151" t="s">
        <v>2256</v>
      </c>
      <c r="D151" t="s">
        <v>1203</v>
      </c>
      <c r="E151" t="s">
        <v>1204</v>
      </c>
      <c r="F151">
        <v>5667</v>
      </c>
      <c r="G151" t="s">
        <v>702</v>
      </c>
      <c r="I151">
        <v>274</v>
      </c>
      <c r="J151">
        <v>293</v>
      </c>
      <c r="K151">
        <v>310</v>
      </c>
      <c r="L151">
        <v>327</v>
      </c>
      <c r="M151">
        <v>342</v>
      </c>
      <c r="N151" t="s">
        <v>988</v>
      </c>
    </row>
    <row r="152" spans="1:14" x14ac:dyDescent="0.3">
      <c r="A152">
        <v>241</v>
      </c>
      <c r="B152" t="s">
        <v>1271</v>
      </c>
      <c r="C152" t="s">
        <v>2256</v>
      </c>
      <c r="D152" t="s">
        <v>1203</v>
      </c>
      <c r="E152" t="s">
        <v>1204</v>
      </c>
      <c r="F152">
        <v>5667</v>
      </c>
      <c r="G152" t="s">
        <v>696</v>
      </c>
      <c r="I152">
        <v>1707</v>
      </c>
      <c r="J152">
        <v>1823</v>
      </c>
      <c r="K152">
        <v>1932</v>
      </c>
      <c r="L152">
        <v>2034</v>
      </c>
      <c r="M152">
        <v>2130</v>
      </c>
      <c r="N152" t="s">
        <v>988</v>
      </c>
    </row>
    <row r="153" spans="1:14" x14ac:dyDescent="0.3">
      <c r="A153">
        <v>241</v>
      </c>
      <c r="B153" t="s">
        <v>1271</v>
      </c>
      <c r="C153" t="s">
        <v>2256</v>
      </c>
      <c r="D153" t="s">
        <v>1203</v>
      </c>
      <c r="E153" t="s">
        <v>1204</v>
      </c>
      <c r="F153">
        <v>5667</v>
      </c>
      <c r="G153" t="s">
        <v>700</v>
      </c>
      <c r="H153" t="s">
        <v>1272</v>
      </c>
      <c r="I153">
        <v>533</v>
      </c>
      <c r="J153">
        <v>569</v>
      </c>
      <c r="K153">
        <v>603</v>
      </c>
      <c r="L153">
        <v>635</v>
      </c>
      <c r="M153">
        <v>665</v>
      </c>
      <c r="N153" t="s">
        <v>988</v>
      </c>
    </row>
    <row r="154" spans="1:14" x14ac:dyDescent="0.3">
      <c r="A154">
        <v>241</v>
      </c>
      <c r="B154" t="s">
        <v>1271</v>
      </c>
      <c r="C154" t="s">
        <v>2256</v>
      </c>
      <c r="D154" t="s">
        <v>1203</v>
      </c>
      <c r="E154" t="s">
        <v>1204</v>
      </c>
      <c r="F154">
        <v>5667</v>
      </c>
      <c r="G154" t="s">
        <v>698</v>
      </c>
      <c r="I154">
        <v>386</v>
      </c>
      <c r="J154">
        <v>413</v>
      </c>
      <c r="K154">
        <v>437</v>
      </c>
      <c r="L154">
        <v>460</v>
      </c>
      <c r="M154">
        <v>482</v>
      </c>
      <c r="N154" t="s">
        <v>988</v>
      </c>
    </row>
    <row r="155" spans="1:14" x14ac:dyDescent="0.3">
      <c r="A155">
        <v>241</v>
      </c>
      <c r="B155" t="s">
        <v>1271</v>
      </c>
      <c r="C155" t="s">
        <v>2256</v>
      </c>
      <c r="D155" t="s">
        <v>1203</v>
      </c>
      <c r="E155" t="s">
        <v>1204</v>
      </c>
      <c r="F155">
        <v>5667</v>
      </c>
      <c r="G155" t="s">
        <v>701</v>
      </c>
      <c r="I155">
        <v>10</v>
      </c>
      <c r="J155">
        <v>11</v>
      </c>
      <c r="K155">
        <v>11</v>
      </c>
      <c r="L155">
        <v>12</v>
      </c>
      <c r="M155">
        <v>12</v>
      </c>
      <c r="N155" t="s">
        <v>988</v>
      </c>
    </row>
    <row r="156" spans="1:14" x14ac:dyDescent="0.3">
      <c r="A156">
        <v>262</v>
      </c>
      <c r="B156" t="s">
        <v>1273</v>
      </c>
      <c r="C156" t="s">
        <v>2256</v>
      </c>
      <c r="D156" t="s">
        <v>1203</v>
      </c>
      <c r="E156" t="s">
        <v>1204</v>
      </c>
      <c r="F156">
        <v>5902</v>
      </c>
      <c r="G156" t="s">
        <v>696</v>
      </c>
      <c r="I156">
        <v>1091</v>
      </c>
      <c r="J156">
        <v>1142</v>
      </c>
      <c r="K156">
        <v>1195</v>
      </c>
      <c r="L156">
        <v>1251</v>
      </c>
      <c r="M156">
        <v>1309</v>
      </c>
      <c r="N156" t="s">
        <v>987</v>
      </c>
    </row>
    <row r="157" spans="1:14" x14ac:dyDescent="0.3">
      <c r="A157">
        <v>262</v>
      </c>
      <c r="B157" t="s">
        <v>1273</v>
      </c>
      <c r="C157" t="s">
        <v>2256</v>
      </c>
      <c r="D157" t="s">
        <v>1203</v>
      </c>
      <c r="E157" t="s">
        <v>1204</v>
      </c>
      <c r="F157">
        <v>5902</v>
      </c>
      <c r="G157" t="s">
        <v>698</v>
      </c>
      <c r="I157">
        <v>212</v>
      </c>
      <c r="J157">
        <v>222</v>
      </c>
      <c r="K157">
        <v>232</v>
      </c>
      <c r="L157">
        <v>243</v>
      </c>
      <c r="M157">
        <v>254</v>
      </c>
      <c r="N157" t="s">
        <v>987</v>
      </c>
    </row>
    <row r="158" spans="1:14" x14ac:dyDescent="0.3">
      <c r="A158">
        <v>262</v>
      </c>
      <c r="B158" t="s">
        <v>1273</v>
      </c>
      <c r="C158" t="s">
        <v>2256</v>
      </c>
      <c r="D158" t="s">
        <v>1203</v>
      </c>
      <c r="E158" t="s">
        <v>1204</v>
      </c>
      <c r="F158">
        <v>5902</v>
      </c>
      <c r="G158" t="s">
        <v>700</v>
      </c>
      <c r="I158">
        <v>138</v>
      </c>
      <c r="J158">
        <v>140</v>
      </c>
      <c r="K158">
        <v>141</v>
      </c>
      <c r="L158">
        <v>143</v>
      </c>
      <c r="M158">
        <v>144</v>
      </c>
      <c r="N158" t="s">
        <v>987</v>
      </c>
    </row>
    <row r="159" spans="1:14" x14ac:dyDescent="0.3">
      <c r="A159">
        <v>262</v>
      </c>
      <c r="B159" t="s">
        <v>1273</v>
      </c>
      <c r="C159" t="s">
        <v>2256</v>
      </c>
      <c r="D159" t="s">
        <v>1203</v>
      </c>
      <c r="E159" t="s">
        <v>1204</v>
      </c>
      <c r="F159">
        <v>5902</v>
      </c>
      <c r="G159" t="s">
        <v>701</v>
      </c>
      <c r="I159">
        <v>232</v>
      </c>
      <c r="J159">
        <v>234</v>
      </c>
      <c r="K159">
        <v>237</v>
      </c>
      <c r="L159">
        <v>239</v>
      </c>
      <c r="M159">
        <v>241</v>
      </c>
      <c r="N159" t="s">
        <v>987</v>
      </c>
    </row>
    <row r="160" spans="1:14" x14ac:dyDescent="0.3">
      <c r="A160">
        <v>262</v>
      </c>
      <c r="B160" t="s">
        <v>1273</v>
      </c>
      <c r="C160" t="s">
        <v>2256</v>
      </c>
      <c r="D160" t="s">
        <v>1203</v>
      </c>
      <c r="E160" t="s">
        <v>1204</v>
      </c>
      <c r="F160">
        <v>5902</v>
      </c>
      <c r="G160" t="s">
        <v>686</v>
      </c>
      <c r="I160">
        <v>497</v>
      </c>
      <c r="J160">
        <v>515</v>
      </c>
      <c r="K160">
        <v>533</v>
      </c>
      <c r="L160">
        <v>553</v>
      </c>
      <c r="M160">
        <v>573</v>
      </c>
      <c r="N160" t="s">
        <v>987</v>
      </c>
    </row>
    <row r="161" spans="1:14" x14ac:dyDescent="0.3">
      <c r="A161">
        <v>262</v>
      </c>
      <c r="B161" t="s">
        <v>1273</v>
      </c>
      <c r="C161" t="s">
        <v>2256</v>
      </c>
      <c r="D161" t="s">
        <v>1203</v>
      </c>
      <c r="E161" t="s">
        <v>1204</v>
      </c>
      <c r="F161">
        <v>5902</v>
      </c>
      <c r="G161" t="s">
        <v>702</v>
      </c>
      <c r="H161" t="s">
        <v>1275</v>
      </c>
      <c r="I161">
        <v>6</v>
      </c>
      <c r="J161">
        <v>7</v>
      </c>
      <c r="K161">
        <v>7</v>
      </c>
      <c r="L161">
        <v>7</v>
      </c>
      <c r="M161">
        <v>7</v>
      </c>
      <c r="N161" t="s">
        <v>987</v>
      </c>
    </row>
    <row r="162" spans="1:14" x14ac:dyDescent="0.3">
      <c r="A162">
        <v>262</v>
      </c>
      <c r="B162" t="s">
        <v>1273</v>
      </c>
      <c r="C162" t="s">
        <v>2256</v>
      </c>
      <c r="D162" t="s">
        <v>1203</v>
      </c>
      <c r="E162" t="s">
        <v>1204</v>
      </c>
      <c r="F162">
        <v>5902</v>
      </c>
      <c r="G162" t="s">
        <v>687</v>
      </c>
      <c r="H162" t="s">
        <v>1276</v>
      </c>
      <c r="I162">
        <v>20</v>
      </c>
      <c r="J162">
        <v>21</v>
      </c>
      <c r="K162">
        <v>21</v>
      </c>
      <c r="L162">
        <v>21</v>
      </c>
      <c r="M162">
        <v>21</v>
      </c>
      <c r="N162" t="s">
        <v>987</v>
      </c>
    </row>
    <row r="163" spans="1:14" x14ac:dyDescent="0.3">
      <c r="A163">
        <v>262</v>
      </c>
      <c r="B163" t="s">
        <v>1273</v>
      </c>
      <c r="C163" t="s">
        <v>2256</v>
      </c>
      <c r="D163" t="s">
        <v>1203</v>
      </c>
      <c r="E163" t="s">
        <v>1204</v>
      </c>
      <c r="F163">
        <v>5902</v>
      </c>
      <c r="G163" t="s">
        <v>687</v>
      </c>
      <c r="H163" t="s">
        <v>1277</v>
      </c>
      <c r="I163">
        <v>4</v>
      </c>
      <c r="J163">
        <v>4</v>
      </c>
      <c r="K163">
        <v>4</v>
      </c>
      <c r="L163">
        <v>5</v>
      </c>
      <c r="M163">
        <v>5</v>
      </c>
      <c r="N163" t="s">
        <v>987</v>
      </c>
    </row>
    <row r="164" spans="1:14" x14ac:dyDescent="0.3">
      <c r="A164">
        <v>262</v>
      </c>
      <c r="B164" t="s">
        <v>1273</v>
      </c>
      <c r="C164" t="s">
        <v>2256</v>
      </c>
      <c r="D164" t="s">
        <v>1203</v>
      </c>
      <c r="E164" t="s">
        <v>1204</v>
      </c>
      <c r="F164">
        <v>5902</v>
      </c>
      <c r="G164" t="s">
        <v>687</v>
      </c>
      <c r="H164" t="s">
        <v>1274</v>
      </c>
      <c r="I164">
        <v>48</v>
      </c>
      <c r="J164">
        <v>48</v>
      </c>
      <c r="K164">
        <v>49</v>
      </c>
      <c r="L164">
        <v>49</v>
      </c>
      <c r="M164">
        <v>50</v>
      </c>
      <c r="N164" t="s">
        <v>987</v>
      </c>
    </row>
    <row r="165" spans="1:14" x14ac:dyDescent="0.3">
      <c r="A165">
        <v>262</v>
      </c>
      <c r="B165" t="s">
        <v>1273</v>
      </c>
      <c r="C165" t="s">
        <v>2256</v>
      </c>
      <c r="D165" t="s">
        <v>1203</v>
      </c>
      <c r="E165" t="s">
        <v>1204</v>
      </c>
      <c r="F165">
        <v>5902</v>
      </c>
      <c r="G165" t="s">
        <v>703</v>
      </c>
      <c r="I165">
        <v>2</v>
      </c>
      <c r="J165">
        <v>2</v>
      </c>
      <c r="K165">
        <v>2</v>
      </c>
      <c r="L165">
        <v>2</v>
      </c>
      <c r="M165">
        <v>2</v>
      </c>
      <c r="N165" t="s">
        <v>987</v>
      </c>
    </row>
    <row r="166" spans="1:14" x14ac:dyDescent="0.3">
      <c r="A166">
        <v>263</v>
      </c>
      <c r="B166" t="s">
        <v>1278</v>
      </c>
      <c r="C166" t="s">
        <v>2256</v>
      </c>
      <c r="D166" t="s">
        <v>159</v>
      </c>
      <c r="E166" t="s">
        <v>159</v>
      </c>
      <c r="F166">
        <v>5651</v>
      </c>
      <c r="G166" t="s">
        <v>698</v>
      </c>
      <c r="I166">
        <v>1105</v>
      </c>
      <c r="J166">
        <v>1083.5</v>
      </c>
      <c r="K166">
        <v>1063</v>
      </c>
      <c r="L166">
        <v>1067.5</v>
      </c>
      <c r="M166">
        <v>1099.5</v>
      </c>
      <c r="N166" t="s">
        <v>988</v>
      </c>
    </row>
    <row r="167" spans="1:14" x14ac:dyDescent="0.3">
      <c r="A167">
        <v>263</v>
      </c>
      <c r="B167" t="s">
        <v>1278</v>
      </c>
      <c r="C167" t="s">
        <v>2256</v>
      </c>
      <c r="D167" t="s">
        <v>159</v>
      </c>
      <c r="E167" t="s">
        <v>159</v>
      </c>
      <c r="F167">
        <v>5651</v>
      </c>
      <c r="G167" t="s">
        <v>696</v>
      </c>
      <c r="I167">
        <v>3692</v>
      </c>
      <c r="J167">
        <v>3640</v>
      </c>
      <c r="K167">
        <v>3583</v>
      </c>
      <c r="L167">
        <v>3534.5</v>
      </c>
      <c r="M167">
        <v>3521.5</v>
      </c>
      <c r="N167" t="s">
        <v>988</v>
      </c>
    </row>
    <row r="168" spans="1:14" x14ac:dyDescent="0.3">
      <c r="A168">
        <v>263</v>
      </c>
      <c r="B168" t="s">
        <v>1278</v>
      </c>
      <c r="C168" t="s">
        <v>2256</v>
      </c>
      <c r="D168" t="s">
        <v>159</v>
      </c>
      <c r="E168" t="s">
        <v>159</v>
      </c>
      <c r="F168">
        <v>5651</v>
      </c>
      <c r="G168" t="s">
        <v>700</v>
      </c>
      <c r="I168">
        <v>1095</v>
      </c>
      <c r="J168">
        <v>1181.5</v>
      </c>
      <c r="K168">
        <v>1211</v>
      </c>
      <c r="L168">
        <v>1241</v>
      </c>
      <c r="M168">
        <v>1241</v>
      </c>
      <c r="N168" t="s">
        <v>988</v>
      </c>
    </row>
    <row r="169" spans="1:14" x14ac:dyDescent="0.3">
      <c r="A169">
        <v>263</v>
      </c>
      <c r="B169" t="s">
        <v>1278</v>
      </c>
      <c r="C169" t="s">
        <v>2256</v>
      </c>
      <c r="D169" t="s">
        <v>159</v>
      </c>
      <c r="E169" t="s">
        <v>159</v>
      </c>
      <c r="F169">
        <v>5651</v>
      </c>
      <c r="G169" t="s">
        <v>701</v>
      </c>
      <c r="I169">
        <v>772</v>
      </c>
      <c r="J169">
        <v>833</v>
      </c>
      <c r="K169">
        <v>854</v>
      </c>
      <c r="L169">
        <v>875</v>
      </c>
      <c r="M169">
        <v>875</v>
      </c>
      <c r="N169" t="s">
        <v>988</v>
      </c>
    </row>
    <row r="170" spans="1:14" x14ac:dyDescent="0.3">
      <c r="A170">
        <v>263</v>
      </c>
      <c r="B170" t="s">
        <v>1278</v>
      </c>
      <c r="C170" t="s">
        <v>2256</v>
      </c>
      <c r="D170" t="s">
        <v>159</v>
      </c>
      <c r="E170" t="s">
        <v>159</v>
      </c>
      <c r="F170">
        <v>5651</v>
      </c>
      <c r="G170" t="s">
        <v>703</v>
      </c>
      <c r="I170">
        <v>893</v>
      </c>
      <c r="J170">
        <v>963</v>
      </c>
      <c r="K170">
        <v>987</v>
      </c>
      <c r="L170">
        <v>1012</v>
      </c>
      <c r="M170">
        <v>1012</v>
      </c>
      <c r="N170" t="s">
        <v>988</v>
      </c>
    </row>
    <row r="171" spans="1:14" x14ac:dyDescent="0.3">
      <c r="A171">
        <v>263</v>
      </c>
      <c r="B171" t="s">
        <v>1278</v>
      </c>
      <c r="C171" t="s">
        <v>2256</v>
      </c>
      <c r="D171" t="s">
        <v>159</v>
      </c>
      <c r="E171" t="s">
        <v>159</v>
      </c>
      <c r="F171">
        <v>5651</v>
      </c>
      <c r="G171" t="s">
        <v>702</v>
      </c>
      <c r="I171">
        <v>1532</v>
      </c>
      <c r="J171">
        <v>1532</v>
      </c>
      <c r="K171">
        <v>1532</v>
      </c>
      <c r="L171">
        <v>1532</v>
      </c>
      <c r="M171">
        <v>1532</v>
      </c>
      <c r="N171" t="s">
        <v>988</v>
      </c>
    </row>
    <row r="172" spans="1:14" x14ac:dyDescent="0.3">
      <c r="A172">
        <v>263</v>
      </c>
      <c r="B172" t="s">
        <v>1278</v>
      </c>
      <c r="C172" t="s">
        <v>2256</v>
      </c>
      <c r="D172" t="s">
        <v>159</v>
      </c>
      <c r="E172" t="s">
        <v>159</v>
      </c>
      <c r="F172">
        <v>5651</v>
      </c>
      <c r="G172" t="s">
        <v>686</v>
      </c>
      <c r="H172" t="s">
        <v>1269</v>
      </c>
      <c r="I172">
        <v>454</v>
      </c>
      <c r="J172">
        <v>462</v>
      </c>
      <c r="K172">
        <v>461</v>
      </c>
      <c r="L172">
        <v>463</v>
      </c>
      <c r="M172">
        <v>464</v>
      </c>
      <c r="N172" t="s">
        <v>988</v>
      </c>
    </row>
    <row r="173" spans="1:14" x14ac:dyDescent="0.3">
      <c r="A173">
        <v>264</v>
      </c>
      <c r="B173" t="s">
        <v>1283</v>
      </c>
      <c r="C173" t="s">
        <v>2256</v>
      </c>
      <c r="D173" t="s">
        <v>159</v>
      </c>
      <c r="E173" t="s">
        <v>159</v>
      </c>
      <c r="F173">
        <v>6905</v>
      </c>
      <c r="G173" t="s">
        <v>706</v>
      </c>
      <c r="I173">
        <v>0</v>
      </c>
      <c r="J173">
        <v>0</v>
      </c>
      <c r="K173">
        <v>0</v>
      </c>
      <c r="L173">
        <v>0</v>
      </c>
      <c r="M173">
        <v>0</v>
      </c>
      <c r="N173" t="s">
        <v>987</v>
      </c>
    </row>
    <row r="174" spans="1:14" x14ac:dyDescent="0.3">
      <c r="A174">
        <v>264</v>
      </c>
      <c r="B174" t="s">
        <v>1283</v>
      </c>
      <c r="C174" t="s">
        <v>2256</v>
      </c>
      <c r="D174" t="s">
        <v>159</v>
      </c>
      <c r="E174" t="s">
        <v>159</v>
      </c>
      <c r="F174">
        <v>6905</v>
      </c>
      <c r="G174" t="s">
        <v>690</v>
      </c>
      <c r="I174">
        <v>0</v>
      </c>
      <c r="J174">
        <v>0</v>
      </c>
      <c r="K174">
        <v>0</v>
      </c>
      <c r="L174">
        <v>0</v>
      </c>
      <c r="M174">
        <v>0</v>
      </c>
      <c r="N174" t="s">
        <v>987</v>
      </c>
    </row>
    <row r="175" spans="1:14" x14ac:dyDescent="0.3">
      <c r="A175">
        <v>264</v>
      </c>
      <c r="B175" t="s">
        <v>1283</v>
      </c>
      <c r="C175" t="s">
        <v>2256</v>
      </c>
      <c r="D175" t="s">
        <v>159</v>
      </c>
      <c r="E175" t="s">
        <v>159</v>
      </c>
      <c r="F175">
        <v>6905</v>
      </c>
      <c r="G175" t="s">
        <v>694</v>
      </c>
      <c r="I175">
        <v>0</v>
      </c>
      <c r="J175">
        <v>0</v>
      </c>
      <c r="K175">
        <v>0</v>
      </c>
      <c r="L175">
        <v>0</v>
      </c>
      <c r="M175">
        <v>0</v>
      </c>
      <c r="N175" t="s">
        <v>987</v>
      </c>
    </row>
    <row r="176" spans="1:14" x14ac:dyDescent="0.3">
      <c r="A176">
        <v>264</v>
      </c>
      <c r="B176" t="s">
        <v>1283</v>
      </c>
      <c r="C176" t="s">
        <v>2256</v>
      </c>
      <c r="D176" t="s">
        <v>159</v>
      </c>
      <c r="E176" t="s">
        <v>159</v>
      </c>
      <c r="F176">
        <v>6905</v>
      </c>
      <c r="G176" t="s">
        <v>705</v>
      </c>
      <c r="I176">
        <v>0</v>
      </c>
      <c r="J176">
        <v>0</v>
      </c>
      <c r="K176">
        <v>0</v>
      </c>
      <c r="L176">
        <v>0</v>
      </c>
      <c r="M176">
        <v>0</v>
      </c>
      <c r="N176" t="s">
        <v>987</v>
      </c>
    </row>
    <row r="177" spans="1:14" x14ac:dyDescent="0.3">
      <c r="A177">
        <v>264</v>
      </c>
      <c r="B177" t="s">
        <v>1283</v>
      </c>
      <c r="C177" t="s">
        <v>2256</v>
      </c>
      <c r="D177" t="s">
        <v>159</v>
      </c>
      <c r="E177" t="s">
        <v>159</v>
      </c>
      <c r="F177">
        <v>6905</v>
      </c>
      <c r="G177" t="s">
        <v>686</v>
      </c>
      <c r="I177">
        <v>414</v>
      </c>
      <c r="J177">
        <v>437</v>
      </c>
      <c r="K177">
        <v>462</v>
      </c>
      <c r="L177">
        <v>487</v>
      </c>
      <c r="M177">
        <v>515</v>
      </c>
      <c r="N177" t="s">
        <v>987</v>
      </c>
    </row>
    <row r="178" spans="1:14" x14ac:dyDescent="0.3">
      <c r="A178">
        <v>264</v>
      </c>
      <c r="B178" t="s">
        <v>1283</v>
      </c>
      <c r="C178" t="s">
        <v>2256</v>
      </c>
      <c r="D178" t="s">
        <v>159</v>
      </c>
      <c r="E178" t="s">
        <v>159</v>
      </c>
      <c r="F178">
        <v>6905</v>
      </c>
      <c r="G178" t="s">
        <v>691</v>
      </c>
      <c r="I178">
        <v>0</v>
      </c>
      <c r="J178">
        <v>0</v>
      </c>
      <c r="K178">
        <v>0</v>
      </c>
      <c r="L178">
        <v>0</v>
      </c>
      <c r="M178">
        <v>0</v>
      </c>
      <c r="N178" t="s">
        <v>987</v>
      </c>
    </row>
    <row r="179" spans="1:14" x14ac:dyDescent="0.3">
      <c r="A179">
        <v>264</v>
      </c>
      <c r="B179" t="s">
        <v>1283</v>
      </c>
      <c r="C179" t="s">
        <v>2256</v>
      </c>
      <c r="D179" t="s">
        <v>159</v>
      </c>
      <c r="E179" t="s">
        <v>159</v>
      </c>
      <c r="F179">
        <v>6905</v>
      </c>
      <c r="G179" t="s">
        <v>692</v>
      </c>
      <c r="I179">
        <v>0</v>
      </c>
      <c r="J179">
        <v>0</v>
      </c>
      <c r="K179">
        <v>0</v>
      </c>
      <c r="L179">
        <v>0</v>
      </c>
      <c r="M179">
        <v>0</v>
      </c>
      <c r="N179" t="s">
        <v>987</v>
      </c>
    </row>
    <row r="180" spans="1:14" x14ac:dyDescent="0.3">
      <c r="A180">
        <v>264</v>
      </c>
      <c r="B180" t="s">
        <v>1283</v>
      </c>
      <c r="C180" t="s">
        <v>2256</v>
      </c>
      <c r="D180" t="s">
        <v>159</v>
      </c>
      <c r="E180" t="s">
        <v>159</v>
      </c>
      <c r="F180">
        <v>6905</v>
      </c>
      <c r="G180" t="s">
        <v>687</v>
      </c>
      <c r="H180" t="s">
        <v>2274</v>
      </c>
      <c r="I180">
        <v>14</v>
      </c>
      <c r="J180">
        <v>15</v>
      </c>
      <c r="K180">
        <v>16</v>
      </c>
      <c r="L180">
        <v>17</v>
      </c>
      <c r="M180">
        <v>18</v>
      </c>
      <c r="N180" t="s">
        <v>987</v>
      </c>
    </row>
    <row r="181" spans="1:14" x14ac:dyDescent="0.3">
      <c r="A181">
        <v>264</v>
      </c>
      <c r="B181" t="s">
        <v>1283</v>
      </c>
      <c r="C181" t="s">
        <v>2256</v>
      </c>
      <c r="D181" t="s">
        <v>159</v>
      </c>
      <c r="E181" t="s">
        <v>159</v>
      </c>
      <c r="F181">
        <v>6905</v>
      </c>
      <c r="G181" t="s">
        <v>698</v>
      </c>
      <c r="I181">
        <v>109</v>
      </c>
      <c r="J181">
        <v>115</v>
      </c>
      <c r="K181">
        <v>122</v>
      </c>
      <c r="L181">
        <v>128</v>
      </c>
      <c r="M181">
        <v>136</v>
      </c>
      <c r="N181" t="s">
        <v>987</v>
      </c>
    </row>
    <row r="182" spans="1:14" x14ac:dyDescent="0.3">
      <c r="A182">
        <v>264</v>
      </c>
      <c r="B182" t="s">
        <v>1283</v>
      </c>
      <c r="C182" t="s">
        <v>2256</v>
      </c>
      <c r="D182" t="s">
        <v>159</v>
      </c>
      <c r="E182" t="s">
        <v>159</v>
      </c>
      <c r="F182">
        <v>6905</v>
      </c>
      <c r="G182" t="s">
        <v>696</v>
      </c>
      <c r="I182">
        <v>2449</v>
      </c>
      <c r="J182">
        <v>2586</v>
      </c>
      <c r="K182">
        <v>2730</v>
      </c>
      <c r="L182">
        <v>2883</v>
      </c>
      <c r="M182">
        <v>3044</v>
      </c>
      <c r="N182" t="s">
        <v>987</v>
      </c>
    </row>
    <row r="183" spans="1:14" x14ac:dyDescent="0.3">
      <c r="A183">
        <v>264</v>
      </c>
      <c r="B183" t="s">
        <v>1283</v>
      </c>
      <c r="C183" t="s">
        <v>2256</v>
      </c>
      <c r="D183" t="s">
        <v>159</v>
      </c>
      <c r="E183" t="s">
        <v>159</v>
      </c>
      <c r="F183">
        <v>6905</v>
      </c>
      <c r="G183" t="s">
        <v>700</v>
      </c>
      <c r="I183">
        <v>206</v>
      </c>
      <c r="J183">
        <v>218</v>
      </c>
      <c r="K183">
        <v>230</v>
      </c>
      <c r="L183">
        <v>243</v>
      </c>
      <c r="M183">
        <v>257</v>
      </c>
      <c r="N183" t="s">
        <v>987</v>
      </c>
    </row>
    <row r="184" spans="1:14" x14ac:dyDescent="0.3">
      <c r="A184">
        <v>264</v>
      </c>
      <c r="B184" t="s">
        <v>1283</v>
      </c>
      <c r="C184" t="s">
        <v>2256</v>
      </c>
      <c r="D184" t="s">
        <v>159</v>
      </c>
      <c r="E184" t="s">
        <v>159</v>
      </c>
      <c r="F184">
        <v>6905</v>
      </c>
      <c r="G184" t="s">
        <v>701</v>
      </c>
      <c r="I184">
        <v>0</v>
      </c>
      <c r="J184">
        <v>0</v>
      </c>
      <c r="K184">
        <v>0</v>
      </c>
      <c r="L184">
        <v>0</v>
      </c>
      <c r="M184">
        <v>0</v>
      </c>
      <c r="N184" t="s">
        <v>987</v>
      </c>
    </row>
    <row r="185" spans="1:14" x14ac:dyDescent="0.3">
      <c r="A185">
        <v>264</v>
      </c>
      <c r="B185" t="s">
        <v>1283</v>
      </c>
      <c r="C185" t="s">
        <v>2256</v>
      </c>
      <c r="D185" t="s">
        <v>159</v>
      </c>
      <c r="E185" t="s">
        <v>159</v>
      </c>
      <c r="F185">
        <v>6905</v>
      </c>
      <c r="G185" t="s">
        <v>703</v>
      </c>
      <c r="I185">
        <v>0</v>
      </c>
      <c r="J185">
        <v>0</v>
      </c>
      <c r="K185">
        <v>0</v>
      </c>
      <c r="L185">
        <v>0</v>
      </c>
      <c r="M185">
        <v>0</v>
      </c>
      <c r="N185" t="s">
        <v>987</v>
      </c>
    </row>
    <row r="186" spans="1:14" x14ac:dyDescent="0.3">
      <c r="A186">
        <v>264</v>
      </c>
      <c r="B186" t="s">
        <v>1283</v>
      </c>
      <c r="C186" t="s">
        <v>2256</v>
      </c>
      <c r="D186" t="s">
        <v>159</v>
      </c>
      <c r="E186" t="s">
        <v>159</v>
      </c>
      <c r="F186">
        <v>6905</v>
      </c>
      <c r="G186" t="s">
        <v>702</v>
      </c>
      <c r="I186">
        <v>624</v>
      </c>
      <c r="J186">
        <v>659</v>
      </c>
      <c r="K186">
        <v>695</v>
      </c>
      <c r="L186">
        <v>734</v>
      </c>
      <c r="M186">
        <v>775</v>
      </c>
      <c r="N186" t="s">
        <v>987</v>
      </c>
    </row>
    <row r="187" spans="1:14" x14ac:dyDescent="0.3">
      <c r="A187">
        <v>264</v>
      </c>
      <c r="B187" t="s">
        <v>1283</v>
      </c>
      <c r="C187" t="s">
        <v>2256</v>
      </c>
      <c r="D187" t="s">
        <v>159</v>
      </c>
      <c r="E187" t="s">
        <v>159</v>
      </c>
      <c r="F187">
        <v>6905</v>
      </c>
      <c r="G187" t="s">
        <v>684</v>
      </c>
      <c r="I187">
        <v>0</v>
      </c>
      <c r="J187">
        <v>0</v>
      </c>
      <c r="K187">
        <v>0</v>
      </c>
      <c r="L187">
        <v>0</v>
      </c>
      <c r="M187">
        <v>0</v>
      </c>
      <c r="N187" t="s">
        <v>987</v>
      </c>
    </row>
    <row r="188" spans="1:14" x14ac:dyDescent="0.3">
      <c r="A188">
        <v>283</v>
      </c>
      <c r="B188" t="s">
        <v>1288</v>
      </c>
      <c r="C188" t="s">
        <v>2256</v>
      </c>
      <c r="D188" t="s">
        <v>1203</v>
      </c>
      <c r="E188" t="s">
        <v>1204</v>
      </c>
      <c r="F188">
        <v>5636</v>
      </c>
      <c r="G188" t="s">
        <v>686</v>
      </c>
      <c r="I188">
        <v>603.5</v>
      </c>
      <c r="J188">
        <v>571.5</v>
      </c>
      <c r="K188">
        <v>577</v>
      </c>
      <c r="L188">
        <v>581</v>
      </c>
      <c r="M188">
        <v>584</v>
      </c>
      <c r="N188" t="s">
        <v>988</v>
      </c>
    </row>
    <row r="189" spans="1:14" x14ac:dyDescent="0.3">
      <c r="A189">
        <v>283</v>
      </c>
      <c r="B189" t="s">
        <v>1288</v>
      </c>
      <c r="C189" t="s">
        <v>2256</v>
      </c>
      <c r="D189" t="s">
        <v>1203</v>
      </c>
      <c r="E189" t="s">
        <v>1204</v>
      </c>
      <c r="F189">
        <v>5636</v>
      </c>
      <c r="G189" t="s">
        <v>702</v>
      </c>
      <c r="I189">
        <v>1070</v>
      </c>
      <c r="J189">
        <v>1069.5</v>
      </c>
      <c r="K189">
        <v>1070</v>
      </c>
      <c r="L189">
        <v>1070</v>
      </c>
      <c r="M189">
        <v>1070</v>
      </c>
      <c r="N189" t="s">
        <v>988</v>
      </c>
    </row>
    <row r="190" spans="1:14" x14ac:dyDescent="0.3">
      <c r="A190">
        <v>283</v>
      </c>
      <c r="B190" t="s">
        <v>1288</v>
      </c>
      <c r="C190" t="s">
        <v>2256</v>
      </c>
      <c r="D190" t="s">
        <v>1203</v>
      </c>
      <c r="E190" t="s">
        <v>1204</v>
      </c>
      <c r="F190">
        <v>5636</v>
      </c>
      <c r="G190" t="s">
        <v>696</v>
      </c>
      <c r="I190">
        <v>5768</v>
      </c>
      <c r="J190">
        <v>5664</v>
      </c>
      <c r="K190">
        <v>5561</v>
      </c>
      <c r="L190">
        <v>5458</v>
      </c>
      <c r="M190">
        <v>5447</v>
      </c>
      <c r="N190" t="s">
        <v>988</v>
      </c>
    </row>
    <row r="191" spans="1:14" x14ac:dyDescent="0.3">
      <c r="A191">
        <v>283</v>
      </c>
      <c r="B191" t="s">
        <v>1288</v>
      </c>
      <c r="C191" t="s">
        <v>2256</v>
      </c>
      <c r="D191" t="s">
        <v>1203</v>
      </c>
      <c r="E191" t="s">
        <v>1204</v>
      </c>
      <c r="F191">
        <v>5636</v>
      </c>
      <c r="G191" t="s">
        <v>698</v>
      </c>
      <c r="I191">
        <v>2185.5</v>
      </c>
      <c r="J191">
        <v>2310</v>
      </c>
      <c r="K191">
        <v>2433</v>
      </c>
      <c r="L191">
        <v>2535</v>
      </c>
      <c r="M191">
        <v>2622</v>
      </c>
      <c r="N191" t="s">
        <v>988</v>
      </c>
    </row>
    <row r="192" spans="1:14" x14ac:dyDescent="0.3">
      <c r="A192">
        <v>283</v>
      </c>
      <c r="B192" t="s">
        <v>1288</v>
      </c>
      <c r="C192" t="s">
        <v>2256</v>
      </c>
      <c r="D192" t="s">
        <v>1203</v>
      </c>
      <c r="E192" t="s">
        <v>1204</v>
      </c>
      <c r="F192">
        <v>5636</v>
      </c>
      <c r="G192" t="s">
        <v>700</v>
      </c>
      <c r="I192">
        <v>4676</v>
      </c>
      <c r="J192">
        <v>3926</v>
      </c>
      <c r="K192">
        <v>4024</v>
      </c>
      <c r="L192">
        <v>4125</v>
      </c>
      <c r="M192">
        <v>4125</v>
      </c>
      <c r="N192" t="s">
        <v>988</v>
      </c>
    </row>
    <row r="193" spans="1:14" x14ac:dyDescent="0.3">
      <c r="A193">
        <v>285</v>
      </c>
      <c r="B193" t="s">
        <v>1290</v>
      </c>
      <c r="C193" t="s">
        <v>2256</v>
      </c>
      <c r="D193" t="s">
        <v>1203</v>
      </c>
      <c r="E193" t="s">
        <v>1204</v>
      </c>
      <c r="F193">
        <v>5744</v>
      </c>
      <c r="G193" t="s">
        <v>686</v>
      </c>
      <c r="I193">
        <v>695</v>
      </c>
      <c r="J193">
        <v>768</v>
      </c>
      <c r="K193">
        <v>823</v>
      </c>
      <c r="L193">
        <v>835</v>
      </c>
      <c r="M193">
        <v>847</v>
      </c>
      <c r="N193" t="s">
        <v>988</v>
      </c>
    </row>
    <row r="194" spans="1:14" x14ac:dyDescent="0.3">
      <c r="A194">
        <v>285</v>
      </c>
      <c r="B194" t="s">
        <v>1290</v>
      </c>
      <c r="C194" t="s">
        <v>2256</v>
      </c>
      <c r="D194" t="s">
        <v>1203</v>
      </c>
      <c r="E194" t="s">
        <v>1204</v>
      </c>
      <c r="F194">
        <v>5744</v>
      </c>
      <c r="G194" t="s">
        <v>691</v>
      </c>
      <c r="H194" t="s">
        <v>1293</v>
      </c>
      <c r="I194">
        <v>11</v>
      </c>
      <c r="J194">
        <v>12</v>
      </c>
      <c r="K194">
        <v>13</v>
      </c>
      <c r="L194">
        <v>13</v>
      </c>
      <c r="M194">
        <v>13</v>
      </c>
      <c r="N194" t="s">
        <v>988</v>
      </c>
    </row>
    <row r="195" spans="1:14" x14ac:dyDescent="0.3">
      <c r="A195">
        <v>285</v>
      </c>
      <c r="B195" t="s">
        <v>1290</v>
      </c>
      <c r="C195" t="s">
        <v>2256</v>
      </c>
      <c r="D195" t="s">
        <v>1203</v>
      </c>
      <c r="E195" t="s">
        <v>1204</v>
      </c>
      <c r="F195">
        <v>5744</v>
      </c>
      <c r="G195" t="s">
        <v>703</v>
      </c>
      <c r="H195" t="s">
        <v>1292</v>
      </c>
      <c r="I195">
        <v>205</v>
      </c>
      <c r="J195">
        <v>230</v>
      </c>
      <c r="K195">
        <v>249</v>
      </c>
      <c r="L195">
        <v>254</v>
      </c>
      <c r="M195">
        <v>259</v>
      </c>
      <c r="N195" t="s">
        <v>988</v>
      </c>
    </row>
    <row r="196" spans="1:14" x14ac:dyDescent="0.3">
      <c r="A196">
        <v>285</v>
      </c>
      <c r="B196" t="s">
        <v>1290</v>
      </c>
      <c r="C196" t="s">
        <v>2256</v>
      </c>
      <c r="D196" t="s">
        <v>1203</v>
      </c>
      <c r="E196" t="s">
        <v>1204</v>
      </c>
      <c r="F196">
        <v>5744</v>
      </c>
      <c r="G196" t="s">
        <v>700</v>
      </c>
      <c r="I196">
        <v>3314</v>
      </c>
      <c r="J196">
        <v>3473</v>
      </c>
      <c r="K196">
        <v>3638</v>
      </c>
      <c r="L196">
        <v>3702</v>
      </c>
      <c r="M196">
        <v>3745</v>
      </c>
      <c r="N196" t="s">
        <v>988</v>
      </c>
    </row>
    <row r="197" spans="1:14" x14ac:dyDescent="0.3">
      <c r="A197">
        <v>285</v>
      </c>
      <c r="B197" t="s">
        <v>1290</v>
      </c>
      <c r="C197" t="s">
        <v>2256</v>
      </c>
      <c r="D197" t="s">
        <v>1203</v>
      </c>
      <c r="E197" t="s">
        <v>1204</v>
      </c>
      <c r="F197">
        <v>5744</v>
      </c>
      <c r="G197" t="s">
        <v>691</v>
      </c>
      <c r="H197" t="s">
        <v>2275</v>
      </c>
      <c r="I197">
        <v>1160</v>
      </c>
      <c r="J197">
        <v>2538</v>
      </c>
      <c r="K197">
        <v>3480</v>
      </c>
      <c r="L197">
        <v>3480</v>
      </c>
      <c r="M197">
        <v>3480</v>
      </c>
      <c r="N197" t="s">
        <v>988</v>
      </c>
    </row>
    <row r="198" spans="1:14" x14ac:dyDescent="0.3">
      <c r="A198">
        <v>285</v>
      </c>
      <c r="B198" t="s">
        <v>1290</v>
      </c>
      <c r="C198" t="s">
        <v>2256</v>
      </c>
      <c r="D198" t="s">
        <v>1203</v>
      </c>
      <c r="E198" t="s">
        <v>1204</v>
      </c>
      <c r="F198">
        <v>5744</v>
      </c>
      <c r="G198" t="s">
        <v>698</v>
      </c>
      <c r="I198">
        <v>4511</v>
      </c>
      <c r="J198">
        <v>4710</v>
      </c>
      <c r="K198">
        <v>4945</v>
      </c>
      <c r="L198">
        <v>5136</v>
      </c>
      <c r="M198">
        <v>5366</v>
      </c>
      <c r="N198" t="s">
        <v>988</v>
      </c>
    </row>
    <row r="199" spans="1:14" x14ac:dyDescent="0.3">
      <c r="A199">
        <v>285</v>
      </c>
      <c r="B199" t="s">
        <v>1290</v>
      </c>
      <c r="C199" t="s">
        <v>2256</v>
      </c>
      <c r="D199" t="s">
        <v>1203</v>
      </c>
      <c r="E199" t="s">
        <v>1204</v>
      </c>
      <c r="F199">
        <v>5744</v>
      </c>
      <c r="G199" t="s">
        <v>696</v>
      </c>
      <c r="I199">
        <v>8166</v>
      </c>
      <c r="J199">
        <v>8245</v>
      </c>
      <c r="K199">
        <v>8238</v>
      </c>
      <c r="L199">
        <v>8292</v>
      </c>
      <c r="M199">
        <v>8300</v>
      </c>
      <c r="N199" t="s">
        <v>988</v>
      </c>
    </row>
    <row r="200" spans="1:14" x14ac:dyDescent="0.3">
      <c r="A200">
        <v>285</v>
      </c>
      <c r="B200" t="s">
        <v>1290</v>
      </c>
      <c r="C200" t="s">
        <v>2256</v>
      </c>
      <c r="D200" t="s">
        <v>1203</v>
      </c>
      <c r="E200" t="s">
        <v>1204</v>
      </c>
      <c r="F200">
        <v>5744</v>
      </c>
      <c r="G200" t="s">
        <v>690</v>
      </c>
      <c r="H200" t="s">
        <v>1294</v>
      </c>
      <c r="I200">
        <v>6800</v>
      </c>
      <c r="J200">
        <v>6800</v>
      </c>
      <c r="K200">
        <v>6800</v>
      </c>
      <c r="L200">
        <v>6800</v>
      </c>
      <c r="M200">
        <v>6800</v>
      </c>
      <c r="N200" t="s">
        <v>988</v>
      </c>
    </row>
    <row r="201" spans="1:14" x14ac:dyDescent="0.3">
      <c r="A201">
        <v>286</v>
      </c>
      <c r="B201" t="s">
        <v>1295</v>
      </c>
      <c r="C201" t="s">
        <v>2256</v>
      </c>
      <c r="D201" t="s">
        <v>1203</v>
      </c>
      <c r="E201" t="s">
        <v>1204</v>
      </c>
      <c r="F201">
        <v>5826</v>
      </c>
      <c r="G201" t="s">
        <v>686</v>
      </c>
      <c r="I201">
        <v>98</v>
      </c>
      <c r="J201">
        <v>100</v>
      </c>
      <c r="K201">
        <v>102</v>
      </c>
      <c r="L201">
        <v>105</v>
      </c>
      <c r="M201">
        <v>109</v>
      </c>
      <c r="N201" t="s">
        <v>987</v>
      </c>
    </row>
    <row r="202" spans="1:14" x14ac:dyDescent="0.3">
      <c r="A202">
        <v>286</v>
      </c>
      <c r="B202" t="s">
        <v>1295</v>
      </c>
      <c r="C202" t="s">
        <v>2256</v>
      </c>
      <c r="D202" t="s">
        <v>1203</v>
      </c>
      <c r="E202" t="s">
        <v>1204</v>
      </c>
      <c r="F202">
        <v>5826</v>
      </c>
      <c r="G202" t="s">
        <v>702</v>
      </c>
      <c r="I202">
        <v>84</v>
      </c>
      <c r="J202">
        <v>89</v>
      </c>
      <c r="K202">
        <v>94</v>
      </c>
      <c r="L202">
        <v>99</v>
      </c>
      <c r="M202">
        <v>104</v>
      </c>
      <c r="N202" t="s">
        <v>987</v>
      </c>
    </row>
    <row r="203" spans="1:14" x14ac:dyDescent="0.3">
      <c r="A203">
        <v>286</v>
      </c>
      <c r="B203" t="s">
        <v>1295</v>
      </c>
      <c r="C203" t="s">
        <v>2256</v>
      </c>
      <c r="D203" t="s">
        <v>1203</v>
      </c>
      <c r="E203" t="s">
        <v>1204</v>
      </c>
      <c r="F203">
        <v>5826</v>
      </c>
      <c r="G203" t="s">
        <v>703</v>
      </c>
      <c r="I203">
        <v>49</v>
      </c>
      <c r="J203">
        <v>51</v>
      </c>
      <c r="K203">
        <v>54</v>
      </c>
      <c r="L203">
        <v>56</v>
      </c>
      <c r="M203">
        <v>58</v>
      </c>
      <c r="N203" t="s">
        <v>987</v>
      </c>
    </row>
    <row r="204" spans="1:14" x14ac:dyDescent="0.3">
      <c r="A204">
        <v>286</v>
      </c>
      <c r="B204" t="s">
        <v>1295</v>
      </c>
      <c r="C204" t="s">
        <v>2256</v>
      </c>
      <c r="D204" t="s">
        <v>1203</v>
      </c>
      <c r="E204" t="s">
        <v>1204</v>
      </c>
      <c r="F204">
        <v>5826</v>
      </c>
      <c r="G204" t="s">
        <v>696</v>
      </c>
      <c r="I204">
        <v>588</v>
      </c>
      <c r="J204">
        <v>574</v>
      </c>
      <c r="K204">
        <v>563</v>
      </c>
      <c r="L204">
        <v>554</v>
      </c>
      <c r="M204">
        <v>546</v>
      </c>
      <c r="N204" t="s">
        <v>987</v>
      </c>
    </row>
    <row r="205" spans="1:14" x14ac:dyDescent="0.3">
      <c r="A205">
        <v>286</v>
      </c>
      <c r="B205" t="s">
        <v>1295</v>
      </c>
      <c r="C205" t="s">
        <v>2256</v>
      </c>
      <c r="D205" t="s">
        <v>1203</v>
      </c>
      <c r="E205" t="s">
        <v>1204</v>
      </c>
      <c r="F205">
        <v>5826</v>
      </c>
      <c r="G205" t="s">
        <v>700</v>
      </c>
      <c r="I205">
        <v>210</v>
      </c>
      <c r="J205">
        <v>211</v>
      </c>
      <c r="K205">
        <v>213</v>
      </c>
      <c r="L205">
        <v>216</v>
      </c>
      <c r="M205">
        <v>219</v>
      </c>
      <c r="N205" t="s">
        <v>987</v>
      </c>
    </row>
    <row r="206" spans="1:14" x14ac:dyDescent="0.3">
      <c r="A206">
        <v>286</v>
      </c>
      <c r="B206" t="s">
        <v>1295</v>
      </c>
      <c r="C206" t="s">
        <v>2256</v>
      </c>
      <c r="D206" t="s">
        <v>1203</v>
      </c>
      <c r="E206" t="s">
        <v>1204</v>
      </c>
      <c r="F206">
        <v>5826</v>
      </c>
      <c r="G206" t="s">
        <v>698</v>
      </c>
      <c r="I206">
        <v>268</v>
      </c>
      <c r="J206">
        <v>278</v>
      </c>
      <c r="K206">
        <v>290</v>
      </c>
      <c r="L206">
        <v>303</v>
      </c>
      <c r="M206">
        <v>317</v>
      </c>
      <c r="N206" t="s">
        <v>987</v>
      </c>
    </row>
    <row r="207" spans="1:14" x14ac:dyDescent="0.3">
      <c r="A207">
        <v>286</v>
      </c>
      <c r="B207" t="s">
        <v>1295</v>
      </c>
      <c r="C207" t="s">
        <v>2256</v>
      </c>
      <c r="D207" t="s">
        <v>1203</v>
      </c>
      <c r="E207" t="s">
        <v>1204</v>
      </c>
      <c r="F207">
        <v>5826</v>
      </c>
      <c r="G207" t="s">
        <v>701</v>
      </c>
      <c r="I207">
        <v>236</v>
      </c>
      <c r="J207">
        <v>268</v>
      </c>
      <c r="K207">
        <v>301</v>
      </c>
      <c r="L207">
        <v>335</v>
      </c>
      <c r="M207">
        <v>368</v>
      </c>
      <c r="N207" t="s">
        <v>987</v>
      </c>
    </row>
    <row r="208" spans="1:14" x14ac:dyDescent="0.3">
      <c r="A208">
        <v>351</v>
      </c>
      <c r="B208" t="s">
        <v>1297</v>
      </c>
      <c r="C208" t="s">
        <v>2256</v>
      </c>
      <c r="D208" t="s">
        <v>1203</v>
      </c>
      <c r="E208" t="s">
        <v>1204</v>
      </c>
      <c r="F208">
        <v>5475</v>
      </c>
      <c r="G208" t="s">
        <v>696</v>
      </c>
      <c r="H208" t="s">
        <v>2225</v>
      </c>
      <c r="I208">
        <v>2625</v>
      </c>
      <c r="J208">
        <v>3012</v>
      </c>
      <c r="K208">
        <v>3345</v>
      </c>
      <c r="L208">
        <v>4107</v>
      </c>
      <c r="M208">
        <v>5741</v>
      </c>
      <c r="N208" t="s">
        <v>988</v>
      </c>
    </row>
    <row r="209" spans="1:14" x14ac:dyDescent="0.3">
      <c r="A209">
        <v>351</v>
      </c>
      <c r="B209" t="s">
        <v>1297</v>
      </c>
      <c r="C209" t="s">
        <v>2256</v>
      </c>
      <c r="D209" t="s">
        <v>1203</v>
      </c>
      <c r="E209" t="s">
        <v>1204</v>
      </c>
      <c r="F209">
        <v>5475</v>
      </c>
      <c r="G209" t="s">
        <v>686</v>
      </c>
      <c r="H209" t="s">
        <v>1898</v>
      </c>
      <c r="I209">
        <v>1211</v>
      </c>
      <c r="J209">
        <v>1301</v>
      </c>
      <c r="K209">
        <v>1370</v>
      </c>
      <c r="L209">
        <v>1549</v>
      </c>
      <c r="M209">
        <v>1955</v>
      </c>
      <c r="N209" t="s">
        <v>988</v>
      </c>
    </row>
    <row r="210" spans="1:14" x14ac:dyDescent="0.3">
      <c r="A210">
        <v>351</v>
      </c>
      <c r="B210" t="s">
        <v>1297</v>
      </c>
      <c r="C210" t="s">
        <v>2256</v>
      </c>
      <c r="D210" t="s">
        <v>1203</v>
      </c>
      <c r="E210" t="s">
        <v>1204</v>
      </c>
      <c r="F210">
        <v>5475</v>
      </c>
      <c r="G210" t="s">
        <v>687</v>
      </c>
      <c r="H210" t="s">
        <v>2225</v>
      </c>
      <c r="I210">
        <v>9</v>
      </c>
      <c r="J210">
        <v>9</v>
      </c>
      <c r="K210">
        <v>9</v>
      </c>
      <c r="L210">
        <v>9</v>
      </c>
      <c r="M210">
        <v>9</v>
      </c>
      <c r="N210" t="s">
        <v>988</v>
      </c>
    </row>
    <row r="211" spans="1:14" x14ac:dyDescent="0.3">
      <c r="A211">
        <v>351</v>
      </c>
      <c r="B211" t="s">
        <v>1297</v>
      </c>
      <c r="C211" t="s">
        <v>2256</v>
      </c>
      <c r="D211" t="s">
        <v>1203</v>
      </c>
      <c r="E211" t="s">
        <v>1204</v>
      </c>
      <c r="F211">
        <v>5475</v>
      </c>
      <c r="G211" t="s">
        <v>705</v>
      </c>
      <c r="H211" t="s">
        <v>2225</v>
      </c>
      <c r="I211">
        <v>135</v>
      </c>
      <c r="J211">
        <v>135</v>
      </c>
      <c r="K211">
        <v>134</v>
      </c>
      <c r="L211">
        <v>133</v>
      </c>
      <c r="M211">
        <v>132</v>
      </c>
      <c r="N211" t="s">
        <v>988</v>
      </c>
    </row>
    <row r="212" spans="1:14" x14ac:dyDescent="0.3">
      <c r="A212">
        <v>351</v>
      </c>
      <c r="B212" t="s">
        <v>1297</v>
      </c>
      <c r="C212" t="s">
        <v>2256</v>
      </c>
      <c r="D212" t="s">
        <v>1203</v>
      </c>
      <c r="E212" t="s">
        <v>1204</v>
      </c>
      <c r="F212">
        <v>5475</v>
      </c>
      <c r="G212" t="s">
        <v>684</v>
      </c>
      <c r="H212" t="s">
        <v>1767</v>
      </c>
      <c r="I212">
        <v>7730</v>
      </c>
      <c r="J212">
        <v>16539</v>
      </c>
      <c r="K212">
        <v>22842</v>
      </c>
      <c r="L212">
        <v>29145</v>
      </c>
      <c r="M212">
        <v>35447</v>
      </c>
      <c r="N212" t="s">
        <v>988</v>
      </c>
    </row>
    <row r="213" spans="1:14" x14ac:dyDescent="0.3">
      <c r="A213">
        <v>351</v>
      </c>
      <c r="B213" t="s">
        <v>1297</v>
      </c>
      <c r="C213" t="s">
        <v>2256</v>
      </c>
      <c r="D213" t="s">
        <v>1203</v>
      </c>
      <c r="E213" t="s">
        <v>1204</v>
      </c>
      <c r="F213">
        <v>5475</v>
      </c>
      <c r="G213" t="s">
        <v>698</v>
      </c>
      <c r="H213" t="s">
        <v>2225</v>
      </c>
      <c r="I213">
        <v>11</v>
      </c>
      <c r="J213">
        <v>11</v>
      </c>
      <c r="K213">
        <v>10</v>
      </c>
      <c r="L213">
        <v>10</v>
      </c>
      <c r="M213">
        <v>10</v>
      </c>
      <c r="N213" t="s">
        <v>988</v>
      </c>
    </row>
    <row r="214" spans="1:14" x14ac:dyDescent="0.3">
      <c r="A214">
        <v>351</v>
      </c>
      <c r="B214" t="s">
        <v>1297</v>
      </c>
      <c r="C214" t="s">
        <v>2256</v>
      </c>
      <c r="D214" t="s">
        <v>1203</v>
      </c>
      <c r="E214" t="s">
        <v>1204</v>
      </c>
      <c r="F214">
        <v>5475</v>
      </c>
      <c r="G214" t="s">
        <v>702</v>
      </c>
      <c r="H214" t="s">
        <v>1767</v>
      </c>
      <c r="I214">
        <v>215</v>
      </c>
      <c r="J214">
        <v>210</v>
      </c>
      <c r="K214">
        <v>203</v>
      </c>
      <c r="L214">
        <v>193</v>
      </c>
      <c r="M214">
        <v>183</v>
      </c>
      <c r="N214" t="s">
        <v>988</v>
      </c>
    </row>
    <row r="215" spans="1:14" x14ac:dyDescent="0.3">
      <c r="A215">
        <v>351</v>
      </c>
      <c r="B215" t="s">
        <v>1297</v>
      </c>
      <c r="C215" t="s">
        <v>2256</v>
      </c>
      <c r="D215" t="s">
        <v>1203</v>
      </c>
      <c r="E215" t="s">
        <v>1204</v>
      </c>
      <c r="F215">
        <v>5475</v>
      </c>
      <c r="G215" t="s">
        <v>702</v>
      </c>
      <c r="H215" t="s">
        <v>2225</v>
      </c>
      <c r="I215">
        <v>182</v>
      </c>
      <c r="J215">
        <v>176</v>
      </c>
      <c r="K215">
        <v>171</v>
      </c>
      <c r="L215">
        <v>162</v>
      </c>
      <c r="M215">
        <v>155</v>
      </c>
      <c r="N215" t="s">
        <v>988</v>
      </c>
    </row>
    <row r="216" spans="1:14" x14ac:dyDescent="0.3">
      <c r="A216">
        <v>351</v>
      </c>
      <c r="B216" t="s">
        <v>1297</v>
      </c>
      <c r="C216" t="s">
        <v>2256</v>
      </c>
      <c r="D216" t="s">
        <v>1203</v>
      </c>
      <c r="E216" t="s">
        <v>1204</v>
      </c>
      <c r="F216">
        <v>5475</v>
      </c>
      <c r="G216" t="s">
        <v>703</v>
      </c>
      <c r="H216" t="s">
        <v>2225</v>
      </c>
      <c r="I216">
        <v>75</v>
      </c>
      <c r="J216">
        <v>73</v>
      </c>
      <c r="K216">
        <v>70</v>
      </c>
      <c r="L216">
        <v>67</v>
      </c>
      <c r="M216">
        <v>63</v>
      </c>
      <c r="N216" t="s">
        <v>988</v>
      </c>
    </row>
    <row r="217" spans="1:14" x14ac:dyDescent="0.3">
      <c r="A217">
        <v>351</v>
      </c>
      <c r="B217" t="s">
        <v>1297</v>
      </c>
      <c r="C217" t="s">
        <v>2256</v>
      </c>
      <c r="D217" t="s">
        <v>1203</v>
      </c>
      <c r="E217" t="s">
        <v>1204</v>
      </c>
      <c r="F217">
        <v>5475</v>
      </c>
      <c r="G217" t="s">
        <v>700</v>
      </c>
      <c r="H217" t="s">
        <v>2225</v>
      </c>
      <c r="I217">
        <v>195</v>
      </c>
      <c r="J217">
        <v>189</v>
      </c>
      <c r="K217">
        <v>183</v>
      </c>
      <c r="L217">
        <v>174</v>
      </c>
      <c r="M217">
        <v>165</v>
      </c>
      <c r="N217" t="s">
        <v>988</v>
      </c>
    </row>
    <row r="218" spans="1:14" x14ac:dyDescent="0.3">
      <c r="A218">
        <v>351</v>
      </c>
      <c r="B218" t="s">
        <v>1297</v>
      </c>
      <c r="C218" t="s">
        <v>2256</v>
      </c>
      <c r="D218" t="s">
        <v>1203</v>
      </c>
      <c r="E218" t="s">
        <v>1204</v>
      </c>
      <c r="F218">
        <v>5475</v>
      </c>
      <c r="G218" t="s">
        <v>690</v>
      </c>
      <c r="H218" t="s">
        <v>1898</v>
      </c>
      <c r="I218">
        <v>0</v>
      </c>
      <c r="J218">
        <v>0</v>
      </c>
      <c r="K218">
        <v>0</v>
      </c>
      <c r="L218">
        <v>0</v>
      </c>
      <c r="M218">
        <v>0</v>
      </c>
      <c r="N218" t="s">
        <v>988</v>
      </c>
    </row>
    <row r="219" spans="1:14" x14ac:dyDescent="0.3">
      <c r="A219">
        <v>353</v>
      </c>
      <c r="B219" t="s">
        <v>1298</v>
      </c>
      <c r="C219" t="s">
        <v>2256</v>
      </c>
      <c r="D219" t="s">
        <v>1203</v>
      </c>
      <c r="E219" t="s">
        <v>1204</v>
      </c>
      <c r="F219">
        <v>7537</v>
      </c>
      <c r="G219" t="s">
        <v>687</v>
      </c>
      <c r="I219">
        <v>7</v>
      </c>
      <c r="J219">
        <v>8</v>
      </c>
      <c r="K219">
        <v>8</v>
      </c>
      <c r="L219">
        <v>9</v>
      </c>
      <c r="M219">
        <v>9</v>
      </c>
      <c r="N219" t="s">
        <v>987</v>
      </c>
    </row>
    <row r="220" spans="1:14" x14ac:dyDescent="0.3">
      <c r="A220">
        <v>353</v>
      </c>
      <c r="B220" t="s">
        <v>1298</v>
      </c>
      <c r="C220" t="s">
        <v>2256</v>
      </c>
      <c r="D220" t="s">
        <v>1203</v>
      </c>
      <c r="E220" t="s">
        <v>1204</v>
      </c>
      <c r="F220">
        <v>7537</v>
      </c>
      <c r="G220" t="s">
        <v>702</v>
      </c>
      <c r="H220" t="s">
        <v>1275</v>
      </c>
      <c r="I220">
        <v>117</v>
      </c>
      <c r="J220">
        <v>125</v>
      </c>
      <c r="K220">
        <v>132</v>
      </c>
      <c r="L220">
        <v>138</v>
      </c>
      <c r="M220">
        <v>144</v>
      </c>
      <c r="N220" t="s">
        <v>987</v>
      </c>
    </row>
    <row r="221" spans="1:14" x14ac:dyDescent="0.3">
      <c r="A221">
        <v>353</v>
      </c>
      <c r="B221" t="s">
        <v>1298</v>
      </c>
      <c r="C221" t="s">
        <v>2256</v>
      </c>
      <c r="D221" t="s">
        <v>1203</v>
      </c>
      <c r="E221" t="s">
        <v>1204</v>
      </c>
      <c r="F221">
        <v>7537</v>
      </c>
      <c r="G221" t="s">
        <v>701</v>
      </c>
      <c r="I221">
        <v>3</v>
      </c>
      <c r="J221">
        <v>3</v>
      </c>
      <c r="K221">
        <v>3</v>
      </c>
      <c r="L221">
        <v>3</v>
      </c>
      <c r="M221">
        <v>3</v>
      </c>
      <c r="N221" t="s">
        <v>987</v>
      </c>
    </row>
    <row r="222" spans="1:14" x14ac:dyDescent="0.3">
      <c r="A222">
        <v>353</v>
      </c>
      <c r="B222" t="s">
        <v>1298</v>
      </c>
      <c r="C222" t="s">
        <v>2256</v>
      </c>
      <c r="D222" t="s">
        <v>1203</v>
      </c>
      <c r="E222" t="s">
        <v>1204</v>
      </c>
      <c r="F222">
        <v>7537</v>
      </c>
      <c r="G222" t="s">
        <v>686</v>
      </c>
      <c r="I222">
        <v>400</v>
      </c>
      <c r="J222">
        <v>426</v>
      </c>
      <c r="K222">
        <v>449</v>
      </c>
      <c r="L222">
        <v>472</v>
      </c>
      <c r="M222">
        <v>493</v>
      </c>
      <c r="N222" t="s">
        <v>987</v>
      </c>
    </row>
    <row r="223" spans="1:14" x14ac:dyDescent="0.3">
      <c r="A223">
        <v>353</v>
      </c>
      <c r="B223" t="s">
        <v>1298</v>
      </c>
      <c r="C223" t="s">
        <v>2256</v>
      </c>
      <c r="D223" t="s">
        <v>1203</v>
      </c>
      <c r="E223" t="s">
        <v>1204</v>
      </c>
      <c r="F223">
        <v>7537</v>
      </c>
      <c r="G223" t="s">
        <v>698</v>
      </c>
      <c r="I223">
        <v>209</v>
      </c>
      <c r="J223">
        <v>222</v>
      </c>
      <c r="K223">
        <v>234</v>
      </c>
      <c r="L223">
        <v>246</v>
      </c>
      <c r="M223">
        <v>257</v>
      </c>
      <c r="N223" t="s">
        <v>987</v>
      </c>
    </row>
    <row r="224" spans="1:14" x14ac:dyDescent="0.3">
      <c r="A224">
        <v>353</v>
      </c>
      <c r="B224" t="s">
        <v>1298</v>
      </c>
      <c r="C224" t="s">
        <v>2256</v>
      </c>
      <c r="D224" t="s">
        <v>1203</v>
      </c>
      <c r="E224" t="s">
        <v>1204</v>
      </c>
      <c r="F224">
        <v>7537</v>
      </c>
      <c r="G224" t="s">
        <v>696</v>
      </c>
      <c r="I224">
        <v>1328</v>
      </c>
      <c r="J224">
        <v>1412</v>
      </c>
      <c r="K224">
        <v>1492</v>
      </c>
      <c r="L224">
        <v>1566</v>
      </c>
      <c r="M224">
        <v>1636</v>
      </c>
      <c r="N224" t="s">
        <v>987</v>
      </c>
    </row>
    <row r="225" spans="1:14" x14ac:dyDescent="0.3">
      <c r="A225">
        <v>353</v>
      </c>
      <c r="B225" t="s">
        <v>1298</v>
      </c>
      <c r="C225" t="s">
        <v>2256</v>
      </c>
      <c r="D225" t="s">
        <v>1203</v>
      </c>
      <c r="E225" t="s">
        <v>1204</v>
      </c>
      <c r="F225">
        <v>7537</v>
      </c>
      <c r="G225" t="s">
        <v>700</v>
      </c>
      <c r="H225" t="s">
        <v>1272</v>
      </c>
      <c r="I225">
        <v>280</v>
      </c>
      <c r="J225">
        <v>297</v>
      </c>
      <c r="K225">
        <v>314</v>
      </c>
      <c r="L225">
        <v>330</v>
      </c>
      <c r="M225">
        <v>344</v>
      </c>
      <c r="N225" t="s">
        <v>987</v>
      </c>
    </row>
    <row r="226" spans="1:14" x14ac:dyDescent="0.3">
      <c r="A226">
        <v>368</v>
      </c>
      <c r="B226" t="s">
        <v>1299</v>
      </c>
      <c r="C226" t="s">
        <v>2256</v>
      </c>
      <c r="D226" t="s">
        <v>1203</v>
      </c>
      <c r="E226" t="s">
        <v>1204</v>
      </c>
      <c r="F226">
        <v>5562</v>
      </c>
      <c r="G226" t="s">
        <v>686</v>
      </c>
      <c r="I226">
        <v>2446</v>
      </c>
      <c r="J226">
        <v>2482</v>
      </c>
      <c r="K226">
        <v>2518</v>
      </c>
      <c r="L226">
        <v>2543</v>
      </c>
      <c r="M226">
        <v>2568</v>
      </c>
      <c r="N226" t="s">
        <v>988</v>
      </c>
    </row>
    <row r="227" spans="1:14" x14ac:dyDescent="0.3">
      <c r="A227">
        <v>368</v>
      </c>
      <c r="B227" t="s">
        <v>1299</v>
      </c>
      <c r="C227" t="s">
        <v>2256</v>
      </c>
      <c r="D227" t="s">
        <v>1203</v>
      </c>
      <c r="E227" t="s">
        <v>1204</v>
      </c>
      <c r="F227">
        <v>5562</v>
      </c>
      <c r="G227" t="s">
        <v>687</v>
      </c>
      <c r="H227" t="s">
        <v>1303</v>
      </c>
      <c r="I227">
        <v>64</v>
      </c>
      <c r="J227">
        <v>65</v>
      </c>
      <c r="K227">
        <v>66</v>
      </c>
      <c r="L227">
        <v>67</v>
      </c>
      <c r="M227">
        <v>67</v>
      </c>
      <c r="N227" t="s">
        <v>988</v>
      </c>
    </row>
    <row r="228" spans="1:14" x14ac:dyDescent="0.3">
      <c r="A228">
        <v>368</v>
      </c>
      <c r="B228" t="s">
        <v>1299</v>
      </c>
      <c r="C228" t="s">
        <v>2256</v>
      </c>
      <c r="D228" t="s">
        <v>1203</v>
      </c>
      <c r="E228" t="s">
        <v>1204</v>
      </c>
      <c r="F228">
        <v>5562</v>
      </c>
      <c r="G228" t="s">
        <v>687</v>
      </c>
      <c r="H228" t="s">
        <v>1302</v>
      </c>
      <c r="I228">
        <v>2</v>
      </c>
      <c r="J228">
        <v>2</v>
      </c>
      <c r="K228">
        <v>2</v>
      </c>
      <c r="L228">
        <v>2</v>
      </c>
      <c r="M228">
        <v>2</v>
      </c>
      <c r="N228" t="s">
        <v>988</v>
      </c>
    </row>
    <row r="229" spans="1:14" x14ac:dyDescent="0.3">
      <c r="A229">
        <v>368</v>
      </c>
      <c r="B229" t="s">
        <v>1299</v>
      </c>
      <c r="C229" t="s">
        <v>2256</v>
      </c>
      <c r="D229" t="s">
        <v>1203</v>
      </c>
      <c r="E229" t="s">
        <v>1204</v>
      </c>
      <c r="F229">
        <v>5562</v>
      </c>
      <c r="G229" t="s">
        <v>687</v>
      </c>
      <c r="H229" t="s">
        <v>1301</v>
      </c>
      <c r="I229">
        <v>36</v>
      </c>
      <c r="J229">
        <v>36</v>
      </c>
      <c r="K229">
        <v>37</v>
      </c>
      <c r="L229">
        <v>37</v>
      </c>
      <c r="M229">
        <v>38</v>
      </c>
      <c r="N229" t="s">
        <v>988</v>
      </c>
    </row>
    <row r="230" spans="1:14" x14ac:dyDescent="0.3">
      <c r="A230">
        <v>368</v>
      </c>
      <c r="B230" t="s">
        <v>1299</v>
      </c>
      <c r="C230" t="s">
        <v>2256</v>
      </c>
      <c r="D230" t="s">
        <v>1203</v>
      </c>
      <c r="E230" t="s">
        <v>1204</v>
      </c>
      <c r="F230">
        <v>5562</v>
      </c>
      <c r="G230" t="s">
        <v>687</v>
      </c>
      <c r="H230" t="s">
        <v>1300</v>
      </c>
      <c r="I230">
        <v>895</v>
      </c>
      <c r="J230">
        <v>908</v>
      </c>
      <c r="K230">
        <v>921</v>
      </c>
      <c r="L230">
        <v>930</v>
      </c>
      <c r="M230">
        <v>940</v>
      </c>
      <c r="N230" t="s">
        <v>988</v>
      </c>
    </row>
    <row r="231" spans="1:14" x14ac:dyDescent="0.3">
      <c r="A231">
        <v>368</v>
      </c>
      <c r="B231" t="s">
        <v>1299</v>
      </c>
      <c r="C231" t="s">
        <v>2256</v>
      </c>
      <c r="D231" t="s">
        <v>1203</v>
      </c>
      <c r="E231" t="s">
        <v>1204</v>
      </c>
      <c r="F231">
        <v>5562</v>
      </c>
      <c r="G231" t="s">
        <v>701</v>
      </c>
      <c r="I231">
        <v>172</v>
      </c>
      <c r="J231">
        <v>174</v>
      </c>
      <c r="K231">
        <v>177</v>
      </c>
      <c r="L231">
        <v>178</v>
      </c>
      <c r="M231">
        <v>180</v>
      </c>
      <c r="N231" t="s">
        <v>988</v>
      </c>
    </row>
    <row r="232" spans="1:14" x14ac:dyDescent="0.3">
      <c r="A232">
        <v>368</v>
      </c>
      <c r="B232" t="s">
        <v>1299</v>
      </c>
      <c r="C232" t="s">
        <v>2256</v>
      </c>
      <c r="D232" t="s">
        <v>1203</v>
      </c>
      <c r="E232" t="s">
        <v>1204</v>
      </c>
      <c r="F232">
        <v>5562</v>
      </c>
      <c r="G232" t="s">
        <v>700</v>
      </c>
      <c r="I232">
        <v>4475</v>
      </c>
      <c r="J232">
        <v>4538</v>
      </c>
      <c r="K232">
        <v>4601</v>
      </c>
      <c r="L232">
        <v>4647</v>
      </c>
      <c r="M232">
        <v>4693</v>
      </c>
      <c r="N232" t="s">
        <v>988</v>
      </c>
    </row>
    <row r="233" spans="1:14" x14ac:dyDescent="0.3">
      <c r="A233">
        <v>368</v>
      </c>
      <c r="B233" t="s">
        <v>1299</v>
      </c>
      <c r="C233" t="s">
        <v>2256</v>
      </c>
      <c r="D233" t="s">
        <v>1203</v>
      </c>
      <c r="E233" t="s">
        <v>1204</v>
      </c>
      <c r="F233">
        <v>5562</v>
      </c>
      <c r="G233" t="s">
        <v>687</v>
      </c>
      <c r="H233" t="s">
        <v>1304</v>
      </c>
      <c r="I233">
        <v>13506</v>
      </c>
      <c r="J233">
        <v>13689</v>
      </c>
      <c r="K233">
        <v>13872</v>
      </c>
      <c r="L233">
        <v>14001</v>
      </c>
      <c r="M233">
        <v>14130</v>
      </c>
      <c r="N233" t="s">
        <v>988</v>
      </c>
    </row>
    <row r="234" spans="1:14" x14ac:dyDescent="0.3">
      <c r="A234">
        <v>369</v>
      </c>
      <c r="B234" t="s">
        <v>1305</v>
      </c>
      <c r="C234" t="s">
        <v>2256</v>
      </c>
      <c r="D234" t="s">
        <v>1203</v>
      </c>
      <c r="E234" t="s">
        <v>1204</v>
      </c>
      <c r="F234">
        <v>5748</v>
      </c>
      <c r="G234" t="s">
        <v>687</v>
      </c>
      <c r="H234" t="s">
        <v>1308</v>
      </c>
      <c r="I234">
        <v>23</v>
      </c>
      <c r="J234">
        <v>24</v>
      </c>
      <c r="K234">
        <v>25</v>
      </c>
      <c r="L234">
        <v>26</v>
      </c>
      <c r="M234">
        <v>27</v>
      </c>
      <c r="N234" t="s">
        <v>988</v>
      </c>
    </row>
    <row r="235" spans="1:14" x14ac:dyDescent="0.3">
      <c r="A235">
        <v>369</v>
      </c>
      <c r="B235" t="s">
        <v>1305</v>
      </c>
      <c r="C235" t="s">
        <v>2256</v>
      </c>
      <c r="D235" t="s">
        <v>1203</v>
      </c>
      <c r="E235" t="s">
        <v>1204</v>
      </c>
      <c r="F235">
        <v>5748</v>
      </c>
      <c r="G235" t="s">
        <v>705</v>
      </c>
      <c r="H235" t="s">
        <v>688</v>
      </c>
      <c r="I235">
        <v>0</v>
      </c>
      <c r="J235">
        <v>0</v>
      </c>
      <c r="K235">
        <v>0</v>
      </c>
      <c r="L235">
        <v>0</v>
      </c>
      <c r="M235">
        <v>0</v>
      </c>
      <c r="N235" t="s">
        <v>988</v>
      </c>
    </row>
    <row r="236" spans="1:14" x14ac:dyDescent="0.3">
      <c r="A236">
        <v>369</v>
      </c>
      <c r="B236" t="s">
        <v>1305</v>
      </c>
      <c r="C236" t="s">
        <v>2256</v>
      </c>
      <c r="D236" t="s">
        <v>1203</v>
      </c>
      <c r="E236" t="s">
        <v>1204</v>
      </c>
      <c r="F236">
        <v>5748</v>
      </c>
      <c r="G236" t="s">
        <v>687</v>
      </c>
      <c r="H236" t="s">
        <v>1302</v>
      </c>
      <c r="I236">
        <v>400</v>
      </c>
      <c r="J236">
        <v>400</v>
      </c>
      <c r="K236">
        <v>400</v>
      </c>
      <c r="L236">
        <v>400</v>
      </c>
      <c r="M236">
        <v>400</v>
      </c>
      <c r="N236" t="s">
        <v>988</v>
      </c>
    </row>
    <row r="237" spans="1:14" x14ac:dyDescent="0.3">
      <c r="A237">
        <v>369</v>
      </c>
      <c r="B237" t="s">
        <v>1305</v>
      </c>
      <c r="C237" t="s">
        <v>2256</v>
      </c>
      <c r="D237" t="s">
        <v>1203</v>
      </c>
      <c r="E237" t="s">
        <v>1204</v>
      </c>
      <c r="F237">
        <v>5748</v>
      </c>
      <c r="G237" t="s">
        <v>687</v>
      </c>
      <c r="H237" t="s">
        <v>1309</v>
      </c>
      <c r="I237">
        <v>11</v>
      </c>
      <c r="J237">
        <v>11</v>
      </c>
      <c r="K237">
        <v>12</v>
      </c>
      <c r="L237">
        <v>12</v>
      </c>
      <c r="M237">
        <v>13</v>
      </c>
      <c r="N237" t="s">
        <v>988</v>
      </c>
    </row>
    <row r="238" spans="1:14" x14ac:dyDescent="0.3">
      <c r="A238">
        <v>369</v>
      </c>
      <c r="B238" t="s">
        <v>1305</v>
      </c>
      <c r="C238" t="s">
        <v>2256</v>
      </c>
      <c r="D238" t="s">
        <v>1203</v>
      </c>
      <c r="E238" t="s">
        <v>1204</v>
      </c>
      <c r="F238">
        <v>5748</v>
      </c>
      <c r="G238" t="s">
        <v>686</v>
      </c>
      <c r="I238">
        <v>205</v>
      </c>
      <c r="J238">
        <v>233</v>
      </c>
      <c r="K238">
        <v>245</v>
      </c>
      <c r="L238">
        <v>256</v>
      </c>
      <c r="M238">
        <v>268</v>
      </c>
      <c r="N238" t="s">
        <v>988</v>
      </c>
    </row>
    <row r="239" spans="1:14" x14ac:dyDescent="0.3">
      <c r="A239">
        <v>369</v>
      </c>
      <c r="B239" t="s">
        <v>1305</v>
      </c>
      <c r="C239" t="s">
        <v>2256</v>
      </c>
      <c r="D239" t="s">
        <v>1203</v>
      </c>
      <c r="E239" t="s">
        <v>1204</v>
      </c>
      <c r="F239">
        <v>5748</v>
      </c>
      <c r="G239" t="s">
        <v>701</v>
      </c>
      <c r="I239">
        <v>27</v>
      </c>
      <c r="J239">
        <v>28</v>
      </c>
      <c r="K239">
        <v>29</v>
      </c>
      <c r="L239">
        <v>30</v>
      </c>
      <c r="M239">
        <v>31</v>
      </c>
      <c r="N239" t="s">
        <v>988</v>
      </c>
    </row>
    <row r="240" spans="1:14" x14ac:dyDescent="0.3">
      <c r="A240">
        <v>369</v>
      </c>
      <c r="B240" t="s">
        <v>1305</v>
      </c>
      <c r="C240" t="s">
        <v>2256</v>
      </c>
      <c r="D240" t="s">
        <v>1203</v>
      </c>
      <c r="E240" t="s">
        <v>1204</v>
      </c>
      <c r="F240">
        <v>5748</v>
      </c>
      <c r="G240" t="s">
        <v>700</v>
      </c>
      <c r="I240">
        <v>4212</v>
      </c>
      <c r="J240">
        <v>4622</v>
      </c>
      <c r="K240">
        <v>4783</v>
      </c>
      <c r="L240">
        <v>4943</v>
      </c>
      <c r="M240">
        <v>5103</v>
      </c>
      <c r="N240" t="s">
        <v>988</v>
      </c>
    </row>
    <row r="241" spans="1:14" x14ac:dyDescent="0.3">
      <c r="A241">
        <v>369</v>
      </c>
      <c r="B241" t="s">
        <v>1305</v>
      </c>
      <c r="C241" t="s">
        <v>2256</v>
      </c>
      <c r="D241" t="s">
        <v>1203</v>
      </c>
      <c r="E241" t="s">
        <v>1204</v>
      </c>
      <c r="F241">
        <v>5748</v>
      </c>
      <c r="G241" t="s">
        <v>703</v>
      </c>
      <c r="H241" t="s">
        <v>1307</v>
      </c>
      <c r="I241">
        <v>533</v>
      </c>
      <c r="J241">
        <v>555</v>
      </c>
      <c r="K241">
        <v>577</v>
      </c>
      <c r="L241">
        <v>598</v>
      </c>
      <c r="M241">
        <v>620</v>
      </c>
      <c r="N241" t="s">
        <v>988</v>
      </c>
    </row>
    <row r="242" spans="1:14" x14ac:dyDescent="0.3">
      <c r="A242">
        <v>369</v>
      </c>
      <c r="B242" t="s">
        <v>1305</v>
      </c>
      <c r="C242" t="s">
        <v>2256</v>
      </c>
      <c r="D242" t="s">
        <v>1203</v>
      </c>
      <c r="E242" t="s">
        <v>1204</v>
      </c>
      <c r="F242">
        <v>5748</v>
      </c>
      <c r="G242" t="s">
        <v>687</v>
      </c>
      <c r="H242" t="s">
        <v>1306</v>
      </c>
      <c r="I242">
        <v>5031</v>
      </c>
      <c r="J242">
        <v>6009</v>
      </c>
      <c r="K242">
        <v>6404</v>
      </c>
      <c r="L242">
        <v>6800</v>
      </c>
      <c r="M242">
        <v>7195</v>
      </c>
      <c r="N242" t="s">
        <v>988</v>
      </c>
    </row>
    <row r="243" spans="1:14" x14ac:dyDescent="0.3">
      <c r="A243">
        <v>372</v>
      </c>
      <c r="B243" t="s">
        <v>1310</v>
      </c>
      <c r="C243" t="s">
        <v>2256</v>
      </c>
      <c r="D243" t="s">
        <v>1203</v>
      </c>
      <c r="E243" t="s">
        <v>1204</v>
      </c>
      <c r="F243">
        <v>5790</v>
      </c>
      <c r="G243" t="s">
        <v>696</v>
      </c>
      <c r="H243" t="s">
        <v>2276</v>
      </c>
      <c r="I243">
        <v>399</v>
      </c>
      <c r="J243">
        <v>674</v>
      </c>
      <c r="K243">
        <v>846</v>
      </c>
      <c r="L243">
        <v>973</v>
      </c>
      <c r="N243" t="s">
        <v>987</v>
      </c>
    </row>
    <row r="244" spans="1:14" x14ac:dyDescent="0.3">
      <c r="A244">
        <v>372</v>
      </c>
      <c r="B244" t="s">
        <v>1310</v>
      </c>
      <c r="C244" t="s">
        <v>2256</v>
      </c>
      <c r="D244" t="s">
        <v>1203</v>
      </c>
      <c r="E244" t="s">
        <v>1204</v>
      </c>
      <c r="F244">
        <v>5790</v>
      </c>
      <c r="G244" t="s">
        <v>700</v>
      </c>
      <c r="H244" t="s">
        <v>1326</v>
      </c>
      <c r="I244">
        <v>159</v>
      </c>
      <c r="J244">
        <v>163</v>
      </c>
      <c r="K244">
        <v>168</v>
      </c>
      <c r="L244">
        <v>172</v>
      </c>
      <c r="N244" t="s">
        <v>987</v>
      </c>
    </row>
    <row r="245" spans="1:14" x14ac:dyDescent="0.3">
      <c r="A245">
        <v>372</v>
      </c>
      <c r="B245" t="s">
        <v>1310</v>
      </c>
      <c r="C245" t="s">
        <v>2256</v>
      </c>
      <c r="D245" t="s">
        <v>1203</v>
      </c>
      <c r="E245" t="s">
        <v>1204</v>
      </c>
      <c r="F245">
        <v>5790</v>
      </c>
      <c r="G245" t="s">
        <v>687</v>
      </c>
      <c r="H245" t="s">
        <v>2277</v>
      </c>
      <c r="I245">
        <v>178</v>
      </c>
      <c r="J245">
        <v>183</v>
      </c>
      <c r="K245">
        <v>189</v>
      </c>
      <c r="L245">
        <v>195</v>
      </c>
      <c r="N245" t="s">
        <v>987</v>
      </c>
    </row>
    <row r="246" spans="1:14" x14ac:dyDescent="0.3">
      <c r="A246">
        <v>372</v>
      </c>
      <c r="B246" t="s">
        <v>1310</v>
      </c>
      <c r="C246" t="s">
        <v>2256</v>
      </c>
      <c r="D246" t="s">
        <v>1203</v>
      </c>
      <c r="E246" t="s">
        <v>1204</v>
      </c>
      <c r="F246">
        <v>5790</v>
      </c>
      <c r="G246" t="s">
        <v>696</v>
      </c>
      <c r="H246" t="s">
        <v>2278</v>
      </c>
      <c r="I246">
        <v>52</v>
      </c>
      <c r="J246">
        <v>54</v>
      </c>
      <c r="K246">
        <v>56</v>
      </c>
      <c r="L246">
        <v>58</v>
      </c>
      <c r="N246" t="s">
        <v>987</v>
      </c>
    </row>
    <row r="247" spans="1:14" x14ac:dyDescent="0.3">
      <c r="A247">
        <v>372</v>
      </c>
      <c r="B247" t="s">
        <v>1310</v>
      </c>
      <c r="C247" t="s">
        <v>2256</v>
      </c>
      <c r="D247" t="s">
        <v>1203</v>
      </c>
      <c r="E247" t="s">
        <v>1204</v>
      </c>
      <c r="F247">
        <v>5790</v>
      </c>
      <c r="G247" t="s">
        <v>700</v>
      </c>
      <c r="H247" t="s">
        <v>1318</v>
      </c>
      <c r="I247">
        <v>342</v>
      </c>
      <c r="J247">
        <v>349</v>
      </c>
      <c r="K247">
        <v>356</v>
      </c>
      <c r="L247">
        <v>362</v>
      </c>
      <c r="N247" t="s">
        <v>987</v>
      </c>
    </row>
    <row r="248" spans="1:14" x14ac:dyDescent="0.3">
      <c r="A248">
        <v>372</v>
      </c>
      <c r="B248" t="s">
        <v>1310</v>
      </c>
      <c r="C248" t="s">
        <v>2256</v>
      </c>
      <c r="D248" t="s">
        <v>1203</v>
      </c>
      <c r="E248" t="s">
        <v>1204</v>
      </c>
      <c r="F248">
        <v>5790</v>
      </c>
      <c r="G248" t="s">
        <v>687</v>
      </c>
      <c r="H248" t="s">
        <v>2279</v>
      </c>
      <c r="I248">
        <v>38</v>
      </c>
      <c r="J248">
        <v>39</v>
      </c>
      <c r="K248">
        <v>40</v>
      </c>
      <c r="L248">
        <v>41</v>
      </c>
      <c r="N248" t="s">
        <v>987</v>
      </c>
    </row>
    <row r="249" spans="1:14" x14ac:dyDescent="0.3">
      <c r="A249">
        <v>372</v>
      </c>
      <c r="B249" t="s">
        <v>1310</v>
      </c>
      <c r="C249" t="s">
        <v>2256</v>
      </c>
      <c r="D249" t="s">
        <v>1203</v>
      </c>
      <c r="E249" t="s">
        <v>1204</v>
      </c>
      <c r="F249">
        <v>5790</v>
      </c>
      <c r="G249" t="s">
        <v>696</v>
      </c>
      <c r="H249" t="s">
        <v>1316</v>
      </c>
      <c r="I249">
        <v>11</v>
      </c>
      <c r="J249">
        <v>13</v>
      </c>
      <c r="K249">
        <v>15</v>
      </c>
      <c r="L249">
        <v>17</v>
      </c>
      <c r="N249" t="s">
        <v>987</v>
      </c>
    </row>
    <row r="250" spans="1:14" x14ac:dyDescent="0.3">
      <c r="A250">
        <v>372</v>
      </c>
      <c r="B250" t="s">
        <v>1310</v>
      </c>
      <c r="C250" t="s">
        <v>2256</v>
      </c>
      <c r="D250" t="s">
        <v>1203</v>
      </c>
      <c r="E250" t="s">
        <v>1204</v>
      </c>
      <c r="F250">
        <v>5790</v>
      </c>
      <c r="G250" t="s">
        <v>700</v>
      </c>
      <c r="H250" t="s">
        <v>1316</v>
      </c>
      <c r="I250">
        <v>8</v>
      </c>
      <c r="J250">
        <v>8</v>
      </c>
      <c r="K250">
        <v>8</v>
      </c>
      <c r="L250">
        <v>9</v>
      </c>
      <c r="N250" t="s">
        <v>987</v>
      </c>
    </row>
    <row r="251" spans="1:14" x14ac:dyDescent="0.3">
      <c r="A251">
        <v>372</v>
      </c>
      <c r="B251" t="s">
        <v>1310</v>
      </c>
      <c r="C251" t="s">
        <v>2256</v>
      </c>
      <c r="D251" t="s">
        <v>1203</v>
      </c>
      <c r="E251" t="s">
        <v>1204</v>
      </c>
      <c r="F251">
        <v>5790</v>
      </c>
      <c r="G251" t="s">
        <v>687</v>
      </c>
      <c r="H251" t="s">
        <v>2280</v>
      </c>
      <c r="I251">
        <v>1</v>
      </c>
      <c r="J251">
        <v>2</v>
      </c>
      <c r="K251">
        <v>2</v>
      </c>
      <c r="L251">
        <v>3</v>
      </c>
      <c r="N251" t="s">
        <v>987</v>
      </c>
    </row>
    <row r="252" spans="1:14" x14ac:dyDescent="0.3">
      <c r="A252">
        <v>372</v>
      </c>
      <c r="B252" t="s">
        <v>1310</v>
      </c>
      <c r="C252" t="s">
        <v>2256</v>
      </c>
      <c r="D252" t="s">
        <v>1203</v>
      </c>
      <c r="E252" t="s">
        <v>1204</v>
      </c>
      <c r="F252">
        <v>5790</v>
      </c>
      <c r="G252" t="s">
        <v>696</v>
      </c>
      <c r="H252" t="s">
        <v>2281</v>
      </c>
      <c r="I252">
        <v>441</v>
      </c>
      <c r="J252">
        <v>455</v>
      </c>
      <c r="K252">
        <v>468</v>
      </c>
      <c r="L252">
        <v>483</v>
      </c>
      <c r="N252" t="s">
        <v>987</v>
      </c>
    </row>
    <row r="253" spans="1:14" x14ac:dyDescent="0.3">
      <c r="A253">
        <v>372</v>
      </c>
      <c r="B253" t="s">
        <v>1310</v>
      </c>
      <c r="C253" t="s">
        <v>2256</v>
      </c>
      <c r="D253" t="s">
        <v>1203</v>
      </c>
      <c r="E253" t="s">
        <v>1204</v>
      </c>
      <c r="F253">
        <v>5790</v>
      </c>
      <c r="G253" t="s">
        <v>700</v>
      </c>
      <c r="H253" t="s">
        <v>1313</v>
      </c>
      <c r="I253">
        <v>280</v>
      </c>
      <c r="J253">
        <v>281</v>
      </c>
      <c r="K253">
        <v>283</v>
      </c>
      <c r="L253">
        <v>284</v>
      </c>
      <c r="N253" t="s">
        <v>987</v>
      </c>
    </row>
    <row r="254" spans="1:14" x14ac:dyDescent="0.3">
      <c r="A254">
        <v>372</v>
      </c>
      <c r="B254" t="s">
        <v>1310</v>
      </c>
      <c r="C254" t="s">
        <v>2256</v>
      </c>
      <c r="D254" t="s">
        <v>1203</v>
      </c>
      <c r="E254" t="s">
        <v>1204</v>
      </c>
      <c r="F254">
        <v>5790</v>
      </c>
      <c r="G254" t="s">
        <v>687</v>
      </c>
      <c r="H254" t="s">
        <v>2282</v>
      </c>
      <c r="I254">
        <v>13</v>
      </c>
      <c r="J254">
        <v>26</v>
      </c>
      <c r="K254">
        <v>34</v>
      </c>
      <c r="L254">
        <v>40</v>
      </c>
      <c r="N254" t="s">
        <v>987</v>
      </c>
    </row>
    <row r="255" spans="1:14" x14ac:dyDescent="0.3">
      <c r="A255">
        <v>372</v>
      </c>
      <c r="B255" t="s">
        <v>1310</v>
      </c>
      <c r="C255" t="s">
        <v>2256</v>
      </c>
      <c r="D255" t="s">
        <v>1203</v>
      </c>
      <c r="E255" t="s">
        <v>1204</v>
      </c>
      <c r="F255">
        <v>5790</v>
      </c>
      <c r="G255" t="s">
        <v>700</v>
      </c>
      <c r="H255" t="s">
        <v>1329</v>
      </c>
      <c r="I255">
        <v>63</v>
      </c>
      <c r="J255">
        <v>68</v>
      </c>
      <c r="K255">
        <v>69</v>
      </c>
      <c r="L255">
        <v>82</v>
      </c>
      <c r="N255" t="s">
        <v>987</v>
      </c>
    </row>
    <row r="256" spans="1:14" x14ac:dyDescent="0.3">
      <c r="A256">
        <v>372</v>
      </c>
      <c r="B256" t="s">
        <v>1310</v>
      </c>
      <c r="C256" t="s">
        <v>2256</v>
      </c>
      <c r="D256" t="s">
        <v>1203</v>
      </c>
      <c r="E256" t="s">
        <v>1204</v>
      </c>
      <c r="F256">
        <v>5790</v>
      </c>
      <c r="G256" t="s">
        <v>696</v>
      </c>
      <c r="H256" t="s">
        <v>2283</v>
      </c>
      <c r="I256">
        <v>1084</v>
      </c>
      <c r="J256">
        <v>1112</v>
      </c>
      <c r="K256">
        <v>1140</v>
      </c>
      <c r="L256">
        <v>1169</v>
      </c>
      <c r="N256" t="s">
        <v>987</v>
      </c>
    </row>
    <row r="257" spans="1:14" x14ac:dyDescent="0.3">
      <c r="A257">
        <v>372</v>
      </c>
      <c r="B257" t="s">
        <v>1310</v>
      </c>
      <c r="C257" t="s">
        <v>2256</v>
      </c>
      <c r="D257" t="s">
        <v>1203</v>
      </c>
      <c r="E257" t="s">
        <v>1204</v>
      </c>
      <c r="F257">
        <v>5790</v>
      </c>
      <c r="G257" t="s">
        <v>687</v>
      </c>
      <c r="H257" t="s">
        <v>2284</v>
      </c>
      <c r="I257">
        <v>5</v>
      </c>
      <c r="J257">
        <v>5</v>
      </c>
      <c r="K257">
        <v>5</v>
      </c>
      <c r="L257">
        <v>5</v>
      </c>
      <c r="N257" t="s">
        <v>987</v>
      </c>
    </row>
    <row r="258" spans="1:14" x14ac:dyDescent="0.3">
      <c r="A258">
        <v>372</v>
      </c>
      <c r="B258" t="s">
        <v>1310</v>
      </c>
      <c r="C258" t="s">
        <v>2256</v>
      </c>
      <c r="D258" t="s">
        <v>1203</v>
      </c>
      <c r="E258" t="s">
        <v>1204</v>
      </c>
      <c r="F258">
        <v>5790</v>
      </c>
      <c r="G258" t="s">
        <v>700</v>
      </c>
      <c r="H258" t="s">
        <v>1321</v>
      </c>
      <c r="I258">
        <v>4</v>
      </c>
      <c r="J258">
        <v>4</v>
      </c>
      <c r="K258">
        <v>4</v>
      </c>
      <c r="L258">
        <v>4</v>
      </c>
      <c r="N258" t="s">
        <v>987</v>
      </c>
    </row>
    <row r="259" spans="1:14" x14ac:dyDescent="0.3">
      <c r="A259">
        <v>372</v>
      </c>
      <c r="B259" t="s">
        <v>1310</v>
      </c>
      <c r="C259" t="s">
        <v>2256</v>
      </c>
      <c r="D259" t="s">
        <v>1203</v>
      </c>
      <c r="E259" t="s">
        <v>1204</v>
      </c>
      <c r="F259">
        <v>5790</v>
      </c>
      <c r="G259" t="s">
        <v>696</v>
      </c>
      <c r="H259" t="s">
        <v>2285</v>
      </c>
      <c r="I259">
        <v>28</v>
      </c>
      <c r="J259">
        <v>28</v>
      </c>
      <c r="K259">
        <v>28</v>
      </c>
      <c r="L259">
        <v>28</v>
      </c>
      <c r="N259" t="s">
        <v>987</v>
      </c>
    </row>
    <row r="260" spans="1:14" x14ac:dyDescent="0.3">
      <c r="A260">
        <v>372</v>
      </c>
      <c r="B260" t="s">
        <v>1310</v>
      </c>
      <c r="C260" t="s">
        <v>2256</v>
      </c>
      <c r="D260" t="s">
        <v>1203</v>
      </c>
      <c r="E260" t="s">
        <v>1204</v>
      </c>
      <c r="F260">
        <v>5790</v>
      </c>
      <c r="G260" t="s">
        <v>687</v>
      </c>
      <c r="H260" t="s">
        <v>2286</v>
      </c>
      <c r="I260">
        <v>497</v>
      </c>
      <c r="J260">
        <v>493</v>
      </c>
      <c r="K260">
        <v>490</v>
      </c>
      <c r="L260">
        <v>486</v>
      </c>
      <c r="N260" t="s">
        <v>987</v>
      </c>
    </row>
    <row r="261" spans="1:14" x14ac:dyDescent="0.3">
      <c r="A261">
        <v>372</v>
      </c>
      <c r="B261" t="s">
        <v>1310</v>
      </c>
      <c r="C261" t="s">
        <v>2256</v>
      </c>
      <c r="D261" t="s">
        <v>1203</v>
      </c>
      <c r="E261" t="s">
        <v>1204</v>
      </c>
      <c r="F261">
        <v>5790</v>
      </c>
      <c r="G261" t="s">
        <v>700</v>
      </c>
      <c r="H261" t="s">
        <v>1323</v>
      </c>
      <c r="I261">
        <v>1060</v>
      </c>
      <c r="J261">
        <v>1064</v>
      </c>
      <c r="K261">
        <v>1119</v>
      </c>
      <c r="L261">
        <v>1176</v>
      </c>
      <c r="N261" t="s">
        <v>987</v>
      </c>
    </row>
    <row r="262" spans="1:14" x14ac:dyDescent="0.3">
      <c r="A262">
        <v>372</v>
      </c>
      <c r="B262" t="s">
        <v>1310</v>
      </c>
      <c r="C262" t="s">
        <v>2256</v>
      </c>
      <c r="D262" t="s">
        <v>1203</v>
      </c>
      <c r="E262" t="s">
        <v>1204</v>
      </c>
      <c r="F262">
        <v>5790</v>
      </c>
      <c r="G262" t="s">
        <v>696</v>
      </c>
      <c r="H262" t="s">
        <v>2287</v>
      </c>
      <c r="I262">
        <v>1292</v>
      </c>
      <c r="J262">
        <v>1358</v>
      </c>
      <c r="K262">
        <v>1427</v>
      </c>
      <c r="L262">
        <v>1500</v>
      </c>
      <c r="N262" t="s">
        <v>987</v>
      </c>
    </row>
    <row r="263" spans="1:14" x14ac:dyDescent="0.3">
      <c r="A263">
        <v>372</v>
      </c>
      <c r="B263" t="s">
        <v>1310</v>
      </c>
      <c r="C263" t="s">
        <v>2256</v>
      </c>
      <c r="D263" t="s">
        <v>1203</v>
      </c>
      <c r="E263" t="s">
        <v>1204</v>
      </c>
      <c r="F263">
        <v>5790</v>
      </c>
      <c r="G263" t="s">
        <v>687</v>
      </c>
      <c r="H263" t="s">
        <v>2288</v>
      </c>
      <c r="I263">
        <v>2</v>
      </c>
      <c r="J263">
        <v>10</v>
      </c>
      <c r="K263">
        <v>24</v>
      </c>
      <c r="L263">
        <v>49</v>
      </c>
      <c r="N263" t="s">
        <v>987</v>
      </c>
    </row>
    <row r="264" spans="1:14" x14ac:dyDescent="0.3">
      <c r="A264">
        <v>372</v>
      </c>
      <c r="B264" t="s">
        <v>1310</v>
      </c>
      <c r="C264" t="s">
        <v>2256</v>
      </c>
      <c r="D264" t="s">
        <v>1203</v>
      </c>
      <c r="E264" t="s">
        <v>1204</v>
      </c>
      <c r="F264">
        <v>5790</v>
      </c>
      <c r="G264" t="s">
        <v>700</v>
      </c>
      <c r="H264" t="s">
        <v>1331</v>
      </c>
      <c r="I264">
        <v>28</v>
      </c>
      <c r="J264">
        <v>30</v>
      </c>
      <c r="K264">
        <v>76</v>
      </c>
      <c r="L264">
        <v>152</v>
      </c>
      <c r="N264" t="s">
        <v>987</v>
      </c>
    </row>
    <row r="265" spans="1:14" x14ac:dyDescent="0.3">
      <c r="A265">
        <v>372</v>
      </c>
      <c r="B265" t="s">
        <v>1310</v>
      </c>
      <c r="C265" t="s">
        <v>2256</v>
      </c>
      <c r="D265" t="s">
        <v>1203</v>
      </c>
      <c r="E265" t="s">
        <v>1204</v>
      </c>
      <c r="F265">
        <v>5790</v>
      </c>
      <c r="G265" t="s">
        <v>696</v>
      </c>
      <c r="H265" t="s">
        <v>2289</v>
      </c>
      <c r="I265">
        <v>15</v>
      </c>
      <c r="J265">
        <v>163</v>
      </c>
      <c r="K265">
        <v>410</v>
      </c>
      <c r="L265">
        <v>819</v>
      </c>
      <c r="N265" t="s">
        <v>987</v>
      </c>
    </row>
    <row r="266" spans="1:14" x14ac:dyDescent="0.3">
      <c r="A266">
        <v>372</v>
      </c>
      <c r="B266" t="s">
        <v>1310</v>
      </c>
      <c r="C266" t="s">
        <v>2256</v>
      </c>
      <c r="D266" t="s">
        <v>1203</v>
      </c>
      <c r="E266" t="s">
        <v>1204</v>
      </c>
      <c r="F266">
        <v>5790</v>
      </c>
      <c r="G266" t="s">
        <v>687</v>
      </c>
      <c r="H266" t="s">
        <v>2290</v>
      </c>
      <c r="I266">
        <v>338</v>
      </c>
      <c r="J266">
        <v>345</v>
      </c>
      <c r="K266">
        <v>352</v>
      </c>
      <c r="L266">
        <v>360</v>
      </c>
      <c r="N266" t="s">
        <v>987</v>
      </c>
    </row>
    <row r="267" spans="1:14" x14ac:dyDescent="0.3">
      <c r="A267">
        <v>372</v>
      </c>
      <c r="B267" t="s">
        <v>1310</v>
      </c>
      <c r="C267" t="s">
        <v>2256</v>
      </c>
      <c r="D267" t="s">
        <v>1203</v>
      </c>
      <c r="E267" t="s">
        <v>1204</v>
      </c>
      <c r="F267">
        <v>5790</v>
      </c>
      <c r="G267" t="s">
        <v>701</v>
      </c>
      <c r="H267" t="s">
        <v>1333</v>
      </c>
      <c r="I267">
        <v>146</v>
      </c>
      <c r="J267">
        <v>146</v>
      </c>
      <c r="K267">
        <v>146</v>
      </c>
      <c r="L267">
        <v>146</v>
      </c>
      <c r="N267" t="s">
        <v>987</v>
      </c>
    </row>
    <row r="268" spans="1:14" x14ac:dyDescent="0.3">
      <c r="A268">
        <v>372</v>
      </c>
      <c r="B268" t="s">
        <v>1310</v>
      </c>
      <c r="C268" t="s">
        <v>2256</v>
      </c>
      <c r="D268" t="s">
        <v>1203</v>
      </c>
      <c r="E268" t="s">
        <v>1204</v>
      </c>
      <c r="F268">
        <v>5790</v>
      </c>
      <c r="G268" t="s">
        <v>700</v>
      </c>
      <c r="H268" t="s">
        <v>1333</v>
      </c>
      <c r="I268">
        <v>378</v>
      </c>
      <c r="J268">
        <v>681</v>
      </c>
      <c r="K268">
        <v>685</v>
      </c>
      <c r="L268">
        <v>688</v>
      </c>
      <c r="N268" t="s">
        <v>987</v>
      </c>
    </row>
    <row r="269" spans="1:14" x14ac:dyDescent="0.3">
      <c r="A269">
        <v>372</v>
      </c>
      <c r="B269" t="s">
        <v>1310</v>
      </c>
      <c r="C269" t="s">
        <v>2256</v>
      </c>
      <c r="D269" t="s">
        <v>1203</v>
      </c>
      <c r="E269" t="s">
        <v>1204</v>
      </c>
      <c r="F269">
        <v>5790</v>
      </c>
      <c r="G269" t="s">
        <v>696</v>
      </c>
      <c r="H269" t="s">
        <v>2291</v>
      </c>
      <c r="I269">
        <v>1385</v>
      </c>
      <c r="J269">
        <v>1428</v>
      </c>
      <c r="K269">
        <v>1472</v>
      </c>
      <c r="L269">
        <v>1518</v>
      </c>
      <c r="N269" t="s">
        <v>987</v>
      </c>
    </row>
    <row r="270" spans="1:14" x14ac:dyDescent="0.3">
      <c r="A270">
        <v>372</v>
      </c>
      <c r="B270" t="s">
        <v>1310</v>
      </c>
      <c r="C270" t="s">
        <v>2256</v>
      </c>
      <c r="D270" t="s">
        <v>1203</v>
      </c>
      <c r="E270" t="s">
        <v>1204</v>
      </c>
      <c r="F270">
        <v>5790</v>
      </c>
      <c r="G270" t="s">
        <v>687</v>
      </c>
      <c r="H270" t="s">
        <v>2292</v>
      </c>
      <c r="I270">
        <v>129</v>
      </c>
      <c r="J270">
        <v>131</v>
      </c>
      <c r="K270">
        <v>133</v>
      </c>
      <c r="L270">
        <v>135</v>
      </c>
      <c r="N270" t="s">
        <v>987</v>
      </c>
    </row>
    <row r="271" spans="1:14" x14ac:dyDescent="0.3">
      <c r="A271">
        <v>372</v>
      </c>
      <c r="B271" t="s">
        <v>1310</v>
      </c>
      <c r="C271" t="s">
        <v>2256</v>
      </c>
      <c r="D271" t="s">
        <v>1203</v>
      </c>
      <c r="E271" t="s">
        <v>1204</v>
      </c>
      <c r="F271">
        <v>5790</v>
      </c>
      <c r="G271" t="s">
        <v>700</v>
      </c>
      <c r="H271" t="s">
        <v>1336</v>
      </c>
      <c r="I271">
        <v>418</v>
      </c>
      <c r="J271">
        <v>439</v>
      </c>
      <c r="K271">
        <v>461</v>
      </c>
      <c r="L271">
        <v>484</v>
      </c>
      <c r="N271" t="s">
        <v>987</v>
      </c>
    </row>
    <row r="272" spans="1:14" x14ac:dyDescent="0.3">
      <c r="A272">
        <v>372</v>
      </c>
      <c r="B272" t="s">
        <v>1310</v>
      </c>
      <c r="C272" t="s">
        <v>2256</v>
      </c>
      <c r="D272" t="s">
        <v>1203</v>
      </c>
      <c r="E272" t="s">
        <v>1204</v>
      </c>
      <c r="F272">
        <v>5790</v>
      </c>
      <c r="G272" t="s">
        <v>696</v>
      </c>
      <c r="H272" t="s">
        <v>2293</v>
      </c>
      <c r="I272">
        <v>1282</v>
      </c>
      <c r="J272">
        <v>1302</v>
      </c>
      <c r="K272">
        <v>1321</v>
      </c>
      <c r="L272">
        <v>1341</v>
      </c>
      <c r="N272" t="s">
        <v>987</v>
      </c>
    </row>
    <row r="273" spans="1:14" x14ac:dyDescent="0.3">
      <c r="A273">
        <v>372</v>
      </c>
      <c r="B273" t="s">
        <v>1310</v>
      </c>
      <c r="C273" t="s">
        <v>2256</v>
      </c>
      <c r="D273" t="s">
        <v>1203</v>
      </c>
      <c r="E273" t="s">
        <v>1204</v>
      </c>
      <c r="F273">
        <v>5790</v>
      </c>
      <c r="G273" t="s">
        <v>687</v>
      </c>
      <c r="H273" t="s">
        <v>2294</v>
      </c>
      <c r="I273">
        <v>9</v>
      </c>
      <c r="J273">
        <v>9</v>
      </c>
      <c r="K273">
        <v>9</v>
      </c>
      <c r="L273">
        <v>10</v>
      </c>
      <c r="N273" t="s">
        <v>987</v>
      </c>
    </row>
    <row r="274" spans="1:14" x14ac:dyDescent="0.3">
      <c r="A274">
        <v>372</v>
      </c>
      <c r="B274" t="s">
        <v>1310</v>
      </c>
      <c r="C274" t="s">
        <v>2256</v>
      </c>
      <c r="D274" t="s">
        <v>1203</v>
      </c>
      <c r="E274" t="s">
        <v>1204</v>
      </c>
      <c r="F274">
        <v>5790</v>
      </c>
      <c r="G274" t="s">
        <v>700</v>
      </c>
      <c r="H274" t="s">
        <v>1311</v>
      </c>
      <c r="I274">
        <v>16</v>
      </c>
      <c r="J274">
        <v>16</v>
      </c>
      <c r="K274">
        <v>16</v>
      </c>
      <c r="L274">
        <v>17</v>
      </c>
      <c r="N274" t="s">
        <v>987</v>
      </c>
    </row>
    <row r="275" spans="1:14" x14ac:dyDescent="0.3">
      <c r="A275">
        <v>372</v>
      </c>
      <c r="B275" t="s">
        <v>1310</v>
      </c>
      <c r="C275" t="s">
        <v>2256</v>
      </c>
      <c r="D275" t="s">
        <v>1203</v>
      </c>
      <c r="E275" t="s">
        <v>1204</v>
      </c>
      <c r="F275">
        <v>5790</v>
      </c>
      <c r="G275" t="s">
        <v>696</v>
      </c>
      <c r="H275" t="s">
        <v>2295</v>
      </c>
      <c r="I275">
        <v>26</v>
      </c>
      <c r="J275">
        <v>27</v>
      </c>
      <c r="K275">
        <v>27</v>
      </c>
      <c r="L275">
        <v>27</v>
      </c>
      <c r="N275" t="s">
        <v>987</v>
      </c>
    </row>
    <row r="276" spans="1:14" x14ac:dyDescent="0.3">
      <c r="A276">
        <v>372</v>
      </c>
      <c r="B276" t="s">
        <v>1310</v>
      </c>
      <c r="C276" t="s">
        <v>2256</v>
      </c>
      <c r="D276" t="s">
        <v>1203</v>
      </c>
      <c r="E276" t="s">
        <v>1204</v>
      </c>
      <c r="F276">
        <v>5790</v>
      </c>
      <c r="G276" t="s">
        <v>687</v>
      </c>
      <c r="H276" t="s">
        <v>2296</v>
      </c>
      <c r="I276">
        <v>153</v>
      </c>
      <c r="J276">
        <v>157</v>
      </c>
      <c r="K276">
        <v>161</v>
      </c>
      <c r="L276">
        <v>165</v>
      </c>
      <c r="N276" t="s">
        <v>987</v>
      </c>
    </row>
    <row r="277" spans="1:14" x14ac:dyDescent="0.3">
      <c r="A277">
        <v>373</v>
      </c>
      <c r="B277" t="s">
        <v>1339</v>
      </c>
      <c r="C277" t="s">
        <v>2256</v>
      </c>
      <c r="D277" t="s">
        <v>1203</v>
      </c>
      <c r="E277" t="s">
        <v>1204</v>
      </c>
      <c r="F277">
        <v>6638</v>
      </c>
      <c r="G277" t="s">
        <v>696</v>
      </c>
      <c r="H277" t="s">
        <v>2297</v>
      </c>
      <c r="I277">
        <v>1482</v>
      </c>
      <c r="J277">
        <v>1537</v>
      </c>
      <c r="K277">
        <v>1595</v>
      </c>
      <c r="L277">
        <v>1654</v>
      </c>
      <c r="N277" t="s">
        <v>987</v>
      </c>
    </row>
    <row r="278" spans="1:14" x14ac:dyDescent="0.3">
      <c r="A278">
        <v>373</v>
      </c>
      <c r="B278" t="s">
        <v>1339</v>
      </c>
      <c r="C278" t="s">
        <v>2256</v>
      </c>
      <c r="D278" t="s">
        <v>1203</v>
      </c>
      <c r="E278" t="s">
        <v>1204</v>
      </c>
      <c r="F278">
        <v>6638</v>
      </c>
      <c r="G278" t="s">
        <v>700</v>
      </c>
      <c r="I278">
        <v>1134</v>
      </c>
      <c r="J278">
        <v>1144</v>
      </c>
      <c r="K278">
        <v>1154</v>
      </c>
      <c r="L278">
        <v>1165</v>
      </c>
      <c r="N278" t="s">
        <v>987</v>
      </c>
    </row>
    <row r="279" spans="1:14" x14ac:dyDescent="0.3">
      <c r="A279">
        <v>373</v>
      </c>
      <c r="B279" t="s">
        <v>1339</v>
      </c>
      <c r="C279" t="s">
        <v>2256</v>
      </c>
      <c r="D279" t="s">
        <v>1203</v>
      </c>
      <c r="E279" t="s">
        <v>1204</v>
      </c>
      <c r="F279">
        <v>6638</v>
      </c>
      <c r="G279" t="s">
        <v>687</v>
      </c>
      <c r="H279" t="s">
        <v>2298</v>
      </c>
      <c r="I279">
        <v>665</v>
      </c>
      <c r="J279">
        <v>678</v>
      </c>
      <c r="K279">
        <v>690</v>
      </c>
      <c r="L279">
        <v>702</v>
      </c>
      <c r="N279" t="s">
        <v>987</v>
      </c>
    </row>
    <row r="280" spans="1:14" x14ac:dyDescent="0.3">
      <c r="A280">
        <v>376</v>
      </c>
      <c r="B280" t="s">
        <v>1342</v>
      </c>
      <c r="C280" t="s">
        <v>2256</v>
      </c>
      <c r="D280" t="s">
        <v>1203</v>
      </c>
      <c r="E280" t="s">
        <v>1204</v>
      </c>
      <c r="F280">
        <v>5548</v>
      </c>
      <c r="G280" t="s">
        <v>687</v>
      </c>
      <c r="H280" t="s">
        <v>1301</v>
      </c>
      <c r="I280">
        <v>0</v>
      </c>
      <c r="J280">
        <v>0</v>
      </c>
      <c r="K280">
        <v>0</v>
      </c>
      <c r="L280">
        <v>0</v>
      </c>
      <c r="M280">
        <v>0</v>
      </c>
      <c r="N280" t="s">
        <v>988</v>
      </c>
    </row>
    <row r="281" spans="1:14" x14ac:dyDescent="0.3">
      <c r="A281">
        <v>376</v>
      </c>
      <c r="B281" t="s">
        <v>1342</v>
      </c>
      <c r="C281" t="s">
        <v>2256</v>
      </c>
      <c r="D281" t="s">
        <v>1203</v>
      </c>
      <c r="E281" t="s">
        <v>1204</v>
      </c>
      <c r="F281">
        <v>5548</v>
      </c>
      <c r="G281" t="s">
        <v>687</v>
      </c>
      <c r="H281" t="s">
        <v>1300</v>
      </c>
      <c r="I281">
        <v>1021</v>
      </c>
      <c r="J281">
        <v>1028</v>
      </c>
      <c r="K281">
        <v>1034</v>
      </c>
      <c r="L281">
        <v>1040</v>
      </c>
      <c r="M281">
        <v>1047</v>
      </c>
      <c r="N281" t="s">
        <v>988</v>
      </c>
    </row>
    <row r="282" spans="1:14" x14ac:dyDescent="0.3">
      <c r="A282">
        <v>376</v>
      </c>
      <c r="B282" t="s">
        <v>1342</v>
      </c>
      <c r="C282" t="s">
        <v>2256</v>
      </c>
      <c r="D282" t="s">
        <v>1203</v>
      </c>
      <c r="E282" t="s">
        <v>1204</v>
      </c>
      <c r="F282">
        <v>5548</v>
      </c>
      <c r="G282" t="s">
        <v>701</v>
      </c>
      <c r="I282">
        <v>1419</v>
      </c>
      <c r="J282">
        <v>1429</v>
      </c>
      <c r="K282">
        <v>1438</v>
      </c>
      <c r="L282">
        <v>1446</v>
      </c>
      <c r="M282">
        <v>1455</v>
      </c>
      <c r="N282" t="s">
        <v>988</v>
      </c>
    </row>
    <row r="283" spans="1:14" x14ac:dyDescent="0.3">
      <c r="A283">
        <v>376</v>
      </c>
      <c r="B283" t="s">
        <v>1342</v>
      </c>
      <c r="C283" t="s">
        <v>2256</v>
      </c>
      <c r="D283" t="s">
        <v>1203</v>
      </c>
      <c r="E283" t="s">
        <v>1204</v>
      </c>
      <c r="F283">
        <v>5548</v>
      </c>
      <c r="G283" t="s">
        <v>700</v>
      </c>
      <c r="I283">
        <v>3101</v>
      </c>
      <c r="J283">
        <v>3122</v>
      </c>
      <c r="K283">
        <v>3142</v>
      </c>
      <c r="L283">
        <v>3160</v>
      </c>
      <c r="M283">
        <v>3179</v>
      </c>
      <c r="N283" t="s">
        <v>988</v>
      </c>
    </row>
    <row r="284" spans="1:14" x14ac:dyDescent="0.3">
      <c r="A284">
        <v>376</v>
      </c>
      <c r="B284" t="s">
        <v>1342</v>
      </c>
      <c r="C284" t="s">
        <v>2256</v>
      </c>
      <c r="D284" t="s">
        <v>1203</v>
      </c>
      <c r="E284" t="s">
        <v>1204</v>
      </c>
      <c r="F284">
        <v>5548</v>
      </c>
      <c r="G284" t="s">
        <v>687</v>
      </c>
      <c r="H284" t="s">
        <v>1304</v>
      </c>
      <c r="I284">
        <v>9604</v>
      </c>
      <c r="J284">
        <v>9667</v>
      </c>
      <c r="K284">
        <v>9729</v>
      </c>
      <c r="L284">
        <v>9786</v>
      </c>
      <c r="M284">
        <v>9844</v>
      </c>
      <c r="N284" t="s">
        <v>988</v>
      </c>
    </row>
    <row r="285" spans="1:14" x14ac:dyDescent="0.3">
      <c r="A285">
        <v>376</v>
      </c>
      <c r="B285" t="s">
        <v>1342</v>
      </c>
      <c r="C285" t="s">
        <v>2256</v>
      </c>
      <c r="D285" t="s">
        <v>1203</v>
      </c>
      <c r="E285" t="s">
        <v>1204</v>
      </c>
      <c r="F285">
        <v>5548</v>
      </c>
      <c r="G285" t="s">
        <v>687</v>
      </c>
      <c r="H285" t="s">
        <v>1303</v>
      </c>
      <c r="I285">
        <v>22</v>
      </c>
      <c r="J285">
        <v>22</v>
      </c>
      <c r="K285">
        <v>22</v>
      </c>
      <c r="L285">
        <v>22</v>
      </c>
      <c r="M285">
        <v>22</v>
      </c>
      <c r="N285" t="s">
        <v>988</v>
      </c>
    </row>
    <row r="286" spans="1:14" x14ac:dyDescent="0.3">
      <c r="A286">
        <v>376</v>
      </c>
      <c r="B286" t="s">
        <v>1342</v>
      </c>
      <c r="C286" t="s">
        <v>2256</v>
      </c>
      <c r="D286" t="s">
        <v>1203</v>
      </c>
      <c r="E286" t="s">
        <v>1204</v>
      </c>
      <c r="F286">
        <v>5548</v>
      </c>
      <c r="G286" t="s">
        <v>686</v>
      </c>
      <c r="I286">
        <v>1286</v>
      </c>
      <c r="J286">
        <v>1295</v>
      </c>
      <c r="K286">
        <v>1303</v>
      </c>
      <c r="L286">
        <v>1311</v>
      </c>
      <c r="M286">
        <v>1318</v>
      </c>
      <c r="N286" t="s">
        <v>988</v>
      </c>
    </row>
    <row r="287" spans="1:14" x14ac:dyDescent="0.3">
      <c r="A287">
        <v>376</v>
      </c>
      <c r="B287" t="s">
        <v>1342</v>
      </c>
      <c r="C287" t="s">
        <v>2256</v>
      </c>
      <c r="D287" t="s">
        <v>1203</v>
      </c>
      <c r="E287" t="s">
        <v>1204</v>
      </c>
      <c r="F287">
        <v>5548</v>
      </c>
      <c r="G287" t="s">
        <v>687</v>
      </c>
      <c r="H287" t="s">
        <v>1302</v>
      </c>
      <c r="I287">
        <v>207</v>
      </c>
      <c r="J287">
        <v>209</v>
      </c>
      <c r="K287">
        <v>210</v>
      </c>
      <c r="L287">
        <v>211</v>
      </c>
      <c r="M287">
        <v>213</v>
      </c>
      <c r="N287" t="s">
        <v>988</v>
      </c>
    </row>
    <row r="288" spans="1:14" x14ac:dyDescent="0.3">
      <c r="A288">
        <v>384</v>
      </c>
      <c r="B288" t="s">
        <v>1343</v>
      </c>
      <c r="C288" t="s">
        <v>2256</v>
      </c>
      <c r="D288" t="s">
        <v>159</v>
      </c>
      <c r="E288" t="s">
        <v>159</v>
      </c>
      <c r="F288">
        <v>7937</v>
      </c>
      <c r="G288" t="s">
        <v>686</v>
      </c>
      <c r="H288" t="s">
        <v>1344</v>
      </c>
      <c r="I288">
        <v>81.114106649999997</v>
      </c>
      <c r="J288">
        <v>64.092749650000002</v>
      </c>
      <c r="K288">
        <v>64.822627859999997</v>
      </c>
      <c r="L288">
        <v>65.552506059999999</v>
      </c>
      <c r="M288">
        <v>66.282384260000001</v>
      </c>
      <c r="N288" t="s">
        <v>988</v>
      </c>
    </row>
    <row r="289" spans="1:14" x14ac:dyDescent="0.3">
      <c r="A289">
        <v>384</v>
      </c>
      <c r="B289" t="s">
        <v>1343</v>
      </c>
      <c r="C289" t="s">
        <v>2256</v>
      </c>
      <c r="D289" t="s">
        <v>159</v>
      </c>
      <c r="E289" t="s">
        <v>159</v>
      </c>
      <c r="F289">
        <v>7937</v>
      </c>
      <c r="G289" t="s">
        <v>702</v>
      </c>
      <c r="I289">
        <v>0</v>
      </c>
      <c r="J289">
        <v>0</v>
      </c>
      <c r="K289">
        <v>0</v>
      </c>
      <c r="L289">
        <v>0</v>
      </c>
      <c r="M289">
        <v>0</v>
      </c>
      <c r="N289" t="s">
        <v>988</v>
      </c>
    </row>
    <row r="290" spans="1:14" x14ac:dyDescent="0.3">
      <c r="A290">
        <v>384</v>
      </c>
      <c r="B290" t="s">
        <v>1343</v>
      </c>
      <c r="C290" t="s">
        <v>2256</v>
      </c>
      <c r="D290" t="s">
        <v>159</v>
      </c>
      <c r="E290" t="s">
        <v>159</v>
      </c>
      <c r="F290">
        <v>7937</v>
      </c>
      <c r="G290" t="s">
        <v>696</v>
      </c>
      <c r="I290">
        <v>536.6054987</v>
      </c>
      <c r="J290">
        <v>537.39226540000004</v>
      </c>
      <c r="K290">
        <v>543.28254130000005</v>
      </c>
      <c r="L290">
        <v>548.2136501</v>
      </c>
      <c r="M290">
        <v>554.49634249999997</v>
      </c>
      <c r="N290" t="s">
        <v>988</v>
      </c>
    </row>
    <row r="291" spans="1:14" x14ac:dyDescent="0.3">
      <c r="A291">
        <v>384</v>
      </c>
      <c r="B291" t="s">
        <v>1343</v>
      </c>
      <c r="C291" t="s">
        <v>2256</v>
      </c>
      <c r="D291" t="s">
        <v>159</v>
      </c>
      <c r="E291" t="s">
        <v>159</v>
      </c>
      <c r="F291">
        <v>7937</v>
      </c>
      <c r="G291" t="s">
        <v>698</v>
      </c>
      <c r="I291">
        <v>0.84330568299999997</v>
      </c>
      <c r="J291">
        <v>0.80984071999999996</v>
      </c>
      <c r="K291">
        <v>0.792655208</v>
      </c>
      <c r="L291">
        <v>0.78150814599999996</v>
      </c>
      <c r="M291">
        <v>0.773571707</v>
      </c>
      <c r="N291" t="s">
        <v>988</v>
      </c>
    </row>
    <row r="292" spans="1:14" x14ac:dyDescent="0.3">
      <c r="A292">
        <v>384</v>
      </c>
      <c r="B292" t="s">
        <v>1343</v>
      </c>
      <c r="C292" t="s">
        <v>2256</v>
      </c>
      <c r="D292" t="s">
        <v>159</v>
      </c>
      <c r="E292" t="s">
        <v>159</v>
      </c>
      <c r="F292">
        <v>7937</v>
      </c>
      <c r="G292" t="s">
        <v>700</v>
      </c>
      <c r="I292">
        <v>26.690929059999998</v>
      </c>
      <c r="J292">
        <v>25.105496240000001</v>
      </c>
      <c r="K292">
        <v>23.975443370000001</v>
      </c>
      <c r="L292">
        <v>23.118834060000001</v>
      </c>
      <c r="M292">
        <v>22.443000810000001</v>
      </c>
      <c r="N292" t="s">
        <v>988</v>
      </c>
    </row>
    <row r="293" spans="1:14" x14ac:dyDescent="0.3">
      <c r="A293">
        <v>384</v>
      </c>
      <c r="B293" t="s">
        <v>1343</v>
      </c>
      <c r="C293" t="s">
        <v>2256</v>
      </c>
      <c r="D293" t="s">
        <v>159</v>
      </c>
      <c r="E293" t="s">
        <v>159</v>
      </c>
      <c r="F293">
        <v>7937</v>
      </c>
      <c r="G293" t="s">
        <v>703</v>
      </c>
      <c r="I293">
        <v>26.38326837</v>
      </c>
      <c r="J293">
        <v>25.488031339999999</v>
      </c>
      <c r="K293">
        <v>24.810260100000001</v>
      </c>
      <c r="L293">
        <v>24.25361547</v>
      </c>
      <c r="M293">
        <v>23.778031729999999</v>
      </c>
      <c r="N293" t="s">
        <v>988</v>
      </c>
    </row>
    <row r="294" spans="1:14" x14ac:dyDescent="0.3">
      <c r="A294">
        <v>384</v>
      </c>
      <c r="B294" t="s">
        <v>1343</v>
      </c>
      <c r="C294" t="s">
        <v>2256</v>
      </c>
      <c r="D294" t="s">
        <v>159</v>
      </c>
      <c r="E294" t="s">
        <v>159</v>
      </c>
      <c r="F294">
        <v>7937</v>
      </c>
      <c r="G294" t="s">
        <v>701</v>
      </c>
      <c r="I294">
        <v>0</v>
      </c>
      <c r="J294">
        <v>0</v>
      </c>
      <c r="K294">
        <v>0</v>
      </c>
      <c r="L294">
        <v>0</v>
      </c>
      <c r="M294">
        <v>0</v>
      </c>
      <c r="N294" t="s">
        <v>988</v>
      </c>
    </row>
    <row r="295" spans="1:14" x14ac:dyDescent="0.3">
      <c r="A295">
        <v>384</v>
      </c>
      <c r="B295" t="s">
        <v>1343</v>
      </c>
      <c r="C295" t="s">
        <v>2256</v>
      </c>
      <c r="D295" t="s">
        <v>159</v>
      </c>
      <c r="E295" t="s">
        <v>159</v>
      </c>
      <c r="F295">
        <v>7937</v>
      </c>
      <c r="G295" t="s">
        <v>691</v>
      </c>
      <c r="I295">
        <v>1.11046153</v>
      </c>
      <c r="J295">
        <v>1.332553836</v>
      </c>
      <c r="K295">
        <v>1.554646142</v>
      </c>
      <c r="L295">
        <v>1.7767384479999999</v>
      </c>
      <c r="M295">
        <v>1.9988307540000001</v>
      </c>
      <c r="N295" t="s">
        <v>988</v>
      </c>
    </row>
    <row r="296" spans="1:14" x14ac:dyDescent="0.3">
      <c r="A296">
        <v>386</v>
      </c>
      <c r="B296" t="s">
        <v>1345</v>
      </c>
      <c r="C296" t="s">
        <v>2256</v>
      </c>
      <c r="D296" t="s">
        <v>159</v>
      </c>
      <c r="E296" t="s">
        <v>159</v>
      </c>
      <c r="F296">
        <v>7983</v>
      </c>
      <c r="G296" t="s">
        <v>696</v>
      </c>
      <c r="I296">
        <v>35756.36</v>
      </c>
      <c r="J296">
        <v>37776.980000000003</v>
      </c>
      <c r="K296">
        <v>39779.25</v>
      </c>
      <c r="L296">
        <v>41600.730000000003</v>
      </c>
      <c r="M296">
        <v>43423.13</v>
      </c>
      <c r="N296" t="s">
        <v>988</v>
      </c>
    </row>
    <row r="297" spans="1:14" x14ac:dyDescent="0.3">
      <c r="A297">
        <v>386</v>
      </c>
      <c r="B297" t="s">
        <v>1345</v>
      </c>
      <c r="C297" t="s">
        <v>2256</v>
      </c>
      <c r="D297" t="s">
        <v>159</v>
      </c>
      <c r="E297" t="s">
        <v>159</v>
      </c>
      <c r="F297">
        <v>7983</v>
      </c>
      <c r="G297" t="s">
        <v>700</v>
      </c>
      <c r="I297">
        <v>10208.76</v>
      </c>
      <c r="J297">
        <v>10358.030000000001</v>
      </c>
      <c r="K297">
        <v>10567.28</v>
      </c>
      <c r="L297">
        <v>10724.74</v>
      </c>
      <c r="M297">
        <v>10889.83</v>
      </c>
      <c r="N297" t="s">
        <v>988</v>
      </c>
    </row>
    <row r="298" spans="1:14" x14ac:dyDescent="0.3">
      <c r="A298">
        <v>386</v>
      </c>
      <c r="B298" t="s">
        <v>1345</v>
      </c>
      <c r="C298" t="s">
        <v>2256</v>
      </c>
      <c r="D298" t="s">
        <v>159</v>
      </c>
      <c r="E298" t="s">
        <v>159</v>
      </c>
      <c r="F298">
        <v>7983</v>
      </c>
      <c r="G298" t="s">
        <v>703</v>
      </c>
      <c r="I298">
        <v>5121.8900000000003</v>
      </c>
      <c r="J298">
        <v>5248.64</v>
      </c>
      <c r="K298">
        <v>5382.26</v>
      </c>
      <c r="L298">
        <v>5507.76</v>
      </c>
      <c r="M298">
        <v>5622.37</v>
      </c>
      <c r="N298" t="s">
        <v>988</v>
      </c>
    </row>
    <row r="299" spans="1:14" x14ac:dyDescent="0.3">
      <c r="A299">
        <v>386</v>
      </c>
      <c r="B299" t="s">
        <v>1345</v>
      </c>
      <c r="C299" t="s">
        <v>2256</v>
      </c>
      <c r="D299" t="s">
        <v>159</v>
      </c>
      <c r="E299" t="s">
        <v>159</v>
      </c>
      <c r="F299">
        <v>7983</v>
      </c>
      <c r="G299" t="s">
        <v>701</v>
      </c>
      <c r="I299">
        <v>42.57</v>
      </c>
      <c r="J299">
        <v>43.56</v>
      </c>
      <c r="K299">
        <v>44.26</v>
      </c>
      <c r="L299">
        <v>45.16</v>
      </c>
      <c r="M299">
        <v>46.12</v>
      </c>
      <c r="N299" t="s">
        <v>988</v>
      </c>
    </row>
    <row r="300" spans="1:14" x14ac:dyDescent="0.3">
      <c r="A300">
        <v>386</v>
      </c>
      <c r="B300" t="s">
        <v>1345</v>
      </c>
      <c r="C300" t="s">
        <v>2256</v>
      </c>
      <c r="D300" t="s">
        <v>159</v>
      </c>
      <c r="E300" t="s">
        <v>159</v>
      </c>
      <c r="F300">
        <v>7983</v>
      </c>
      <c r="G300" t="s">
        <v>691</v>
      </c>
      <c r="I300">
        <v>171.12</v>
      </c>
      <c r="J300">
        <v>171.12</v>
      </c>
      <c r="K300">
        <v>171.12</v>
      </c>
      <c r="L300">
        <v>171.12</v>
      </c>
      <c r="M300">
        <v>171.12</v>
      </c>
      <c r="N300" t="s">
        <v>988</v>
      </c>
    </row>
    <row r="301" spans="1:14" x14ac:dyDescent="0.3">
      <c r="A301">
        <v>386</v>
      </c>
      <c r="B301" t="s">
        <v>1345</v>
      </c>
      <c r="C301" t="s">
        <v>2256</v>
      </c>
      <c r="D301" t="s">
        <v>159</v>
      </c>
      <c r="E301" t="s">
        <v>159</v>
      </c>
      <c r="F301">
        <v>7983</v>
      </c>
      <c r="G301" t="s">
        <v>702</v>
      </c>
      <c r="H301" t="s">
        <v>1344</v>
      </c>
      <c r="I301">
        <v>0</v>
      </c>
      <c r="J301">
        <v>0</v>
      </c>
      <c r="K301">
        <v>0</v>
      </c>
      <c r="L301">
        <v>0</v>
      </c>
      <c r="M301">
        <v>0</v>
      </c>
      <c r="N301" t="s">
        <v>988</v>
      </c>
    </row>
    <row r="302" spans="1:14" x14ac:dyDescent="0.3">
      <c r="A302">
        <v>386</v>
      </c>
      <c r="B302" t="s">
        <v>1345</v>
      </c>
      <c r="C302" t="s">
        <v>2256</v>
      </c>
      <c r="D302" t="s">
        <v>159</v>
      </c>
      <c r="E302" t="s">
        <v>159</v>
      </c>
      <c r="F302">
        <v>7983</v>
      </c>
      <c r="G302" t="s">
        <v>686</v>
      </c>
      <c r="H302" t="s">
        <v>1346</v>
      </c>
      <c r="I302">
        <v>5744.52</v>
      </c>
      <c r="J302">
        <v>5625.14</v>
      </c>
      <c r="K302">
        <v>5930.54</v>
      </c>
      <c r="L302">
        <v>6225.58</v>
      </c>
      <c r="M302">
        <v>6510.57</v>
      </c>
      <c r="N302" t="s">
        <v>988</v>
      </c>
    </row>
    <row r="303" spans="1:14" x14ac:dyDescent="0.3">
      <c r="A303">
        <v>386</v>
      </c>
      <c r="B303" t="s">
        <v>1345</v>
      </c>
      <c r="C303" t="s">
        <v>2256</v>
      </c>
      <c r="D303" t="s">
        <v>159</v>
      </c>
      <c r="E303" t="s">
        <v>159</v>
      </c>
      <c r="F303">
        <v>7983</v>
      </c>
      <c r="G303" t="s">
        <v>698</v>
      </c>
      <c r="I303">
        <v>3393.78</v>
      </c>
      <c r="J303">
        <v>3457.47</v>
      </c>
      <c r="K303">
        <v>3533.41</v>
      </c>
      <c r="L303">
        <v>3596.19</v>
      </c>
      <c r="M303">
        <v>3651.33</v>
      </c>
      <c r="N303" t="s">
        <v>988</v>
      </c>
    </row>
    <row r="304" spans="1:14" x14ac:dyDescent="0.3">
      <c r="A304">
        <v>387</v>
      </c>
      <c r="B304" t="s">
        <v>1347</v>
      </c>
      <c r="C304" t="s">
        <v>2256</v>
      </c>
      <c r="D304" t="s">
        <v>159</v>
      </c>
      <c r="E304" t="s">
        <v>159</v>
      </c>
      <c r="F304">
        <v>7939</v>
      </c>
      <c r="G304" t="s">
        <v>703</v>
      </c>
      <c r="I304">
        <v>286.03500000000003</v>
      </c>
      <c r="J304">
        <v>277.613</v>
      </c>
      <c r="K304">
        <v>279.23</v>
      </c>
      <c r="L304">
        <v>274.137</v>
      </c>
      <c r="M304">
        <v>269.55900000000003</v>
      </c>
      <c r="N304" t="s">
        <v>988</v>
      </c>
    </row>
    <row r="305" spans="1:14" x14ac:dyDescent="0.3">
      <c r="A305">
        <v>387</v>
      </c>
      <c r="B305" t="s">
        <v>1347</v>
      </c>
      <c r="C305" t="s">
        <v>2256</v>
      </c>
      <c r="D305" t="s">
        <v>159</v>
      </c>
      <c r="E305" t="s">
        <v>159</v>
      </c>
      <c r="F305">
        <v>7939</v>
      </c>
      <c r="G305" t="s">
        <v>700</v>
      </c>
      <c r="I305">
        <v>956.61199999999997</v>
      </c>
      <c r="J305">
        <v>912.79100000000005</v>
      </c>
      <c r="K305">
        <v>896.72900000000004</v>
      </c>
      <c r="L305">
        <v>863.75699999999995</v>
      </c>
      <c r="M305">
        <v>835.68</v>
      </c>
      <c r="N305" t="s">
        <v>988</v>
      </c>
    </row>
    <row r="306" spans="1:14" x14ac:dyDescent="0.3">
      <c r="A306">
        <v>387</v>
      </c>
      <c r="B306" t="s">
        <v>1347</v>
      </c>
      <c r="C306" t="s">
        <v>2256</v>
      </c>
      <c r="D306" t="s">
        <v>159</v>
      </c>
      <c r="E306" t="s">
        <v>159</v>
      </c>
      <c r="F306">
        <v>7939</v>
      </c>
      <c r="G306" t="s">
        <v>701</v>
      </c>
      <c r="I306">
        <v>2.5390000000000001</v>
      </c>
      <c r="J306">
        <v>2.5390000000000001</v>
      </c>
      <c r="K306">
        <v>2.5390000000000001</v>
      </c>
      <c r="L306">
        <v>2.5390000000000001</v>
      </c>
      <c r="M306">
        <v>2.5390000000000001</v>
      </c>
      <c r="N306" t="s">
        <v>988</v>
      </c>
    </row>
    <row r="307" spans="1:14" x14ac:dyDescent="0.3">
      <c r="A307">
        <v>387</v>
      </c>
      <c r="B307" t="s">
        <v>1347</v>
      </c>
      <c r="C307" t="s">
        <v>2256</v>
      </c>
      <c r="D307" t="s">
        <v>159</v>
      </c>
      <c r="E307" t="s">
        <v>159</v>
      </c>
      <c r="F307">
        <v>7939</v>
      </c>
      <c r="G307" t="s">
        <v>691</v>
      </c>
      <c r="I307">
        <v>18.032</v>
      </c>
      <c r="J307">
        <v>18.032</v>
      </c>
      <c r="K307">
        <v>18.032</v>
      </c>
      <c r="L307">
        <v>18.032</v>
      </c>
      <c r="M307">
        <v>18.032</v>
      </c>
      <c r="N307" t="s">
        <v>988</v>
      </c>
    </row>
    <row r="308" spans="1:14" x14ac:dyDescent="0.3">
      <c r="A308">
        <v>387</v>
      </c>
      <c r="B308" t="s">
        <v>1347</v>
      </c>
      <c r="C308" t="s">
        <v>2256</v>
      </c>
      <c r="D308" t="s">
        <v>159</v>
      </c>
      <c r="E308" t="s">
        <v>159</v>
      </c>
      <c r="F308">
        <v>7939</v>
      </c>
      <c r="G308" t="s">
        <v>702</v>
      </c>
      <c r="I308">
        <v>21.184999999999999</v>
      </c>
      <c r="J308">
        <v>21.184999999999999</v>
      </c>
      <c r="K308">
        <v>21.184999999999999</v>
      </c>
      <c r="L308">
        <v>21.184999999999999</v>
      </c>
      <c r="M308">
        <v>21.184999999999999</v>
      </c>
      <c r="N308" t="s">
        <v>988</v>
      </c>
    </row>
    <row r="309" spans="1:14" x14ac:dyDescent="0.3">
      <c r="A309">
        <v>387</v>
      </c>
      <c r="B309" t="s">
        <v>1347</v>
      </c>
      <c r="C309" t="s">
        <v>2256</v>
      </c>
      <c r="D309" t="s">
        <v>159</v>
      </c>
      <c r="E309" t="s">
        <v>159</v>
      </c>
      <c r="F309">
        <v>7939</v>
      </c>
      <c r="G309" t="s">
        <v>696</v>
      </c>
      <c r="I309">
        <v>10590.89</v>
      </c>
      <c r="J309">
        <v>10595.457</v>
      </c>
      <c r="K309">
        <v>10629.135</v>
      </c>
      <c r="L309">
        <v>10604.581</v>
      </c>
      <c r="M309">
        <v>10647.148999999999</v>
      </c>
      <c r="N309" t="s">
        <v>988</v>
      </c>
    </row>
    <row r="310" spans="1:14" x14ac:dyDescent="0.3">
      <c r="A310">
        <v>387</v>
      </c>
      <c r="B310" t="s">
        <v>1347</v>
      </c>
      <c r="C310" t="s">
        <v>2256</v>
      </c>
      <c r="D310" t="s">
        <v>159</v>
      </c>
      <c r="E310" t="s">
        <v>159</v>
      </c>
      <c r="F310">
        <v>7939</v>
      </c>
      <c r="G310" t="s">
        <v>686</v>
      </c>
      <c r="H310" t="s">
        <v>1344</v>
      </c>
      <c r="I310">
        <v>657.18899999999996</v>
      </c>
      <c r="J310">
        <v>604.12199999999996</v>
      </c>
      <c r="K310">
        <v>606.9</v>
      </c>
      <c r="L310">
        <v>610.30100000000004</v>
      </c>
      <c r="M310">
        <v>613.73699999999997</v>
      </c>
      <c r="N310" t="s">
        <v>988</v>
      </c>
    </row>
    <row r="311" spans="1:14" x14ac:dyDescent="0.3">
      <c r="A311">
        <v>387</v>
      </c>
      <c r="B311" t="s">
        <v>1347</v>
      </c>
      <c r="C311" t="s">
        <v>2256</v>
      </c>
      <c r="D311" t="s">
        <v>159</v>
      </c>
      <c r="E311" t="s">
        <v>159</v>
      </c>
      <c r="F311">
        <v>7939</v>
      </c>
      <c r="G311" t="s">
        <v>698</v>
      </c>
      <c r="I311">
        <v>263.803</v>
      </c>
      <c r="J311">
        <v>267.31700000000001</v>
      </c>
      <c r="K311">
        <v>276.63299999999998</v>
      </c>
      <c r="L311">
        <v>280.80799999999999</v>
      </c>
      <c r="M311">
        <v>286.39499999999998</v>
      </c>
      <c r="N311" t="s">
        <v>988</v>
      </c>
    </row>
    <row r="312" spans="1:14" x14ac:dyDescent="0.3">
      <c r="A312">
        <v>388</v>
      </c>
      <c r="B312" t="s">
        <v>1348</v>
      </c>
      <c r="C312" t="s">
        <v>2256</v>
      </c>
      <c r="D312" t="s">
        <v>159</v>
      </c>
      <c r="E312" t="s">
        <v>159</v>
      </c>
      <c r="F312">
        <v>7940</v>
      </c>
      <c r="G312" t="s">
        <v>691</v>
      </c>
      <c r="I312">
        <v>38.639000000000003</v>
      </c>
      <c r="J312">
        <v>38.639000000000003</v>
      </c>
      <c r="K312">
        <v>38.639000000000003</v>
      </c>
      <c r="L312">
        <v>38.639000000000003</v>
      </c>
      <c r="M312">
        <v>38.639000000000003</v>
      </c>
      <c r="N312" t="s">
        <v>988</v>
      </c>
    </row>
    <row r="313" spans="1:14" x14ac:dyDescent="0.3">
      <c r="A313">
        <v>388</v>
      </c>
      <c r="B313" t="s">
        <v>1348</v>
      </c>
      <c r="C313" t="s">
        <v>2256</v>
      </c>
      <c r="D313" t="s">
        <v>159</v>
      </c>
      <c r="E313" t="s">
        <v>159</v>
      </c>
      <c r="F313">
        <v>7940</v>
      </c>
      <c r="G313" t="s">
        <v>702</v>
      </c>
      <c r="H313" t="s">
        <v>1344</v>
      </c>
      <c r="I313">
        <v>0</v>
      </c>
      <c r="J313">
        <v>0</v>
      </c>
      <c r="K313">
        <v>0</v>
      </c>
      <c r="L313">
        <v>0</v>
      </c>
      <c r="M313">
        <v>0</v>
      </c>
      <c r="N313" t="s">
        <v>988</v>
      </c>
    </row>
    <row r="314" spans="1:14" x14ac:dyDescent="0.3">
      <c r="A314">
        <v>388</v>
      </c>
      <c r="B314" t="s">
        <v>1348</v>
      </c>
      <c r="C314" t="s">
        <v>2256</v>
      </c>
      <c r="D314" t="s">
        <v>159</v>
      </c>
      <c r="E314" t="s">
        <v>159</v>
      </c>
      <c r="F314">
        <v>7940</v>
      </c>
      <c r="G314" t="s">
        <v>686</v>
      </c>
      <c r="H314" t="s">
        <v>1346</v>
      </c>
      <c r="I314">
        <v>1543.5250000000001</v>
      </c>
      <c r="J314">
        <v>1441.171</v>
      </c>
      <c r="K314">
        <v>1504.9090000000001</v>
      </c>
      <c r="L314">
        <v>1541.1189999999999</v>
      </c>
      <c r="M314">
        <v>1568.0740000000001</v>
      </c>
      <c r="N314" t="s">
        <v>988</v>
      </c>
    </row>
    <row r="315" spans="1:14" x14ac:dyDescent="0.3">
      <c r="A315">
        <v>388</v>
      </c>
      <c r="B315" t="s">
        <v>1348</v>
      </c>
      <c r="C315" t="s">
        <v>2256</v>
      </c>
      <c r="D315" t="s">
        <v>159</v>
      </c>
      <c r="E315" t="s">
        <v>159</v>
      </c>
      <c r="F315">
        <v>7940</v>
      </c>
      <c r="G315" t="s">
        <v>701</v>
      </c>
      <c r="I315">
        <v>62.384999999999998</v>
      </c>
      <c r="J315">
        <v>63.686</v>
      </c>
      <c r="K315">
        <v>65.09</v>
      </c>
      <c r="L315">
        <v>66.525999999999996</v>
      </c>
      <c r="M315">
        <v>67.992000000000004</v>
      </c>
      <c r="N315" t="s">
        <v>988</v>
      </c>
    </row>
    <row r="316" spans="1:14" x14ac:dyDescent="0.3">
      <c r="A316">
        <v>388</v>
      </c>
      <c r="B316" t="s">
        <v>1348</v>
      </c>
      <c r="C316" t="s">
        <v>2256</v>
      </c>
      <c r="D316" t="s">
        <v>159</v>
      </c>
      <c r="E316" t="s">
        <v>159</v>
      </c>
      <c r="F316">
        <v>7940</v>
      </c>
      <c r="G316" t="s">
        <v>703</v>
      </c>
      <c r="I316">
        <v>870.49300000000005</v>
      </c>
      <c r="J316">
        <v>869.26900000000001</v>
      </c>
      <c r="K316">
        <v>884.40099999999995</v>
      </c>
      <c r="L316">
        <v>899.78200000000004</v>
      </c>
      <c r="M316">
        <v>916.39599999999996</v>
      </c>
      <c r="N316" t="s">
        <v>988</v>
      </c>
    </row>
    <row r="317" spans="1:14" x14ac:dyDescent="0.3">
      <c r="A317">
        <v>388</v>
      </c>
      <c r="B317" t="s">
        <v>1348</v>
      </c>
      <c r="C317" t="s">
        <v>2256</v>
      </c>
      <c r="D317" t="s">
        <v>159</v>
      </c>
      <c r="E317" t="s">
        <v>159</v>
      </c>
      <c r="F317">
        <v>7940</v>
      </c>
      <c r="G317" t="s">
        <v>700</v>
      </c>
      <c r="I317">
        <v>4564.4840000000004</v>
      </c>
      <c r="J317">
        <v>4701.1329999999998</v>
      </c>
      <c r="K317">
        <v>4832.1049999999996</v>
      </c>
      <c r="L317">
        <v>4889.4579999999996</v>
      </c>
      <c r="M317">
        <v>4928.8220000000001</v>
      </c>
      <c r="N317" t="s">
        <v>988</v>
      </c>
    </row>
    <row r="318" spans="1:14" x14ac:dyDescent="0.3">
      <c r="A318">
        <v>388</v>
      </c>
      <c r="B318" t="s">
        <v>1348</v>
      </c>
      <c r="C318" t="s">
        <v>2256</v>
      </c>
      <c r="D318" t="s">
        <v>159</v>
      </c>
      <c r="E318" t="s">
        <v>159</v>
      </c>
      <c r="F318">
        <v>7940</v>
      </c>
      <c r="G318" t="s">
        <v>698</v>
      </c>
      <c r="I318">
        <v>3139.0650000000001</v>
      </c>
      <c r="J318">
        <v>3298.567</v>
      </c>
      <c r="K318">
        <v>3492.547</v>
      </c>
      <c r="L318">
        <v>3615.6550000000002</v>
      </c>
      <c r="M318">
        <v>3701.761</v>
      </c>
      <c r="N318" t="s">
        <v>988</v>
      </c>
    </row>
    <row r="319" spans="1:14" x14ac:dyDescent="0.3">
      <c r="A319">
        <v>388</v>
      </c>
      <c r="B319" t="s">
        <v>1348</v>
      </c>
      <c r="C319" t="s">
        <v>2256</v>
      </c>
      <c r="D319" t="s">
        <v>159</v>
      </c>
      <c r="E319" t="s">
        <v>159</v>
      </c>
      <c r="F319">
        <v>7940</v>
      </c>
      <c r="G319" t="s">
        <v>696</v>
      </c>
      <c r="I319">
        <v>13157.535</v>
      </c>
      <c r="J319">
        <v>14098.96</v>
      </c>
      <c r="K319">
        <v>14753.458000000001</v>
      </c>
      <c r="L319">
        <v>15046.601000000001</v>
      </c>
      <c r="M319">
        <v>15252.111999999999</v>
      </c>
      <c r="N319" t="s">
        <v>988</v>
      </c>
    </row>
    <row r="320" spans="1:14" x14ac:dyDescent="0.3">
      <c r="A320">
        <v>390</v>
      </c>
      <c r="B320" t="s">
        <v>1349</v>
      </c>
      <c r="C320" t="s">
        <v>2256</v>
      </c>
      <c r="D320" t="s">
        <v>159</v>
      </c>
      <c r="E320" t="s">
        <v>159</v>
      </c>
      <c r="F320">
        <v>7941</v>
      </c>
      <c r="G320" t="s">
        <v>691</v>
      </c>
      <c r="I320">
        <v>5.7949999999999999</v>
      </c>
      <c r="J320">
        <v>5.7949999999999999</v>
      </c>
      <c r="K320">
        <v>5.7949999999999999</v>
      </c>
      <c r="L320">
        <v>5.7949999999999999</v>
      </c>
      <c r="M320">
        <v>5.7949999999999999</v>
      </c>
      <c r="N320" t="s">
        <v>988</v>
      </c>
    </row>
    <row r="321" spans="1:14" x14ac:dyDescent="0.3">
      <c r="A321">
        <v>390</v>
      </c>
      <c r="B321" t="s">
        <v>1349</v>
      </c>
      <c r="C321" t="s">
        <v>2256</v>
      </c>
      <c r="D321" t="s">
        <v>159</v>
      </c>
      <c r="E321" t="s">
        <v>159</v>
      </c>
      <c r="F321">
        <v>7941</v>
      </c>
      <c r="G321" t="s">
        <v>702</v>
      </c>
      <c r="I321">
        <v>1.375</v>
      </c>
      <c r="J321">
        <v>1.375</v>
      </c>
      <c r="K321">
        <v>1.375</v>
      </c>
      <c r="L321">
        <v>1.375</v>
      </c>
      <c r="M321">
        <v>1.375</v>
      </c>
      <c r="N321" t="s">
        <v>988</v>
      </c>
    </row>
    <row r="322" spans="1:14" x14ac:dyDescent="0.3">
      <c r="A322">
        <v>390</v>
      </c>
      <c r="B322" t="s">
        <v>1349</v>
      </c>
      <c r="C322" t="s">
        <v>2256</v>
      </c>
      <c r="D322" t="s">
        <v>159</v>
      </c>
      <c r="E322" t="s">
        <v>159</v>
      </c>
      <c r="F322">
        <v>7941</v>
      </c>
      <c r="G322" t="s">
        <v>686</v>
      </c>
      <c r="H322" t="s">
        <v>1344</v>
      </c>
      <c r="I322">
        <v>241.30500000000001</v>
      </c>
      <c r="J322">
        <v>207.22200000000001</v>
      </c>
      <c r="K322">
        <v>210.553</v>
      </c>
      <c r="L322">
        <v>213.88399999999999</v>
      </c>
      <c r="M322">
        <v>217.21600000000001</v>
      </c>
      <c r="N322" t="s">
        <v>988</v>
      </c>
    </row>
    <row r="323" spans="1:14" x14ac:dyDescent="0.3">
      <c r="A323">
        <v>390</v>
      </c>
      <c r="B323" t="s">
        <v>1349</v>
      </c>
      <c r="C323" t="s">
        <v>2256</v>
      </c>
      <c r="D323" t="s">
        <v>159</v>
      </c>
      <c r="E323" t="s">
        <v>159</v>
      </c>
      <c r="F323">
        <v>7941</v>
      </c>
      <c r="G323" t="s">
        <v>701</v>
      </c>
      <c r="I323">
        <v>0.34399999999999997</v>
      </c>
      <c r="J323">
        <v>0.34399999999999997</v>
      </c>
      <c r="K323">
        <v>0.34399999999999997</v>
      </c>
      <c r="L323">
        <v>0.34399999999999997</v>
      </c>
      <c r="M323">
        <v>0.34399999999999997</v>
      </c>
      <c r="N323" t="s">
        <v>988</v>
      </c>
    </row>
    <row r="324" spans="1:14" x14ac:dyDescent="0.3">
      <c r="A324">
        <v>390</v>
      </c>
      <c r="B324" t="s">
        <v>1349</v>
      </c>
      <c r="C324" t="s">
        <v>2256</v>
      </c>
      <c r="D324" t="s">
        <v>159</v>
      </c>
      <c r="E324" t="s">
        <v>159</v>
      </c>
      <c r="F324">
        <v>7941</v>
      </c>
      <c r="G324" t="s">
        <v>696</v>
      </c>
      <c r="I324">
        <v>875.59199999999998</v>
      </c>
      <c r="J324">
        <v>869.43200000000002</v>
      </c>
      <c r="K324">
        <v>870.19399999999996</v>
      </c>
      <c r="L324">
        <v>868.904</v>
      </c>
      <c r="M324">
        <v>874.678</v>
      </c>
      <c r="N324" t="s">
        <v>988</v>
      </c>
    </row>
    <row r="325" spans="1:14" x14ac:dyDescent="0.3">
      <c r="A325">
        <v>390</v>
      </c>
      <c r="B325" t="s">
        <v>1349</v>
      </c>
      <c r="C325" t="s">
        <v>2256</v>
      </c>
      <c r="D325" t="s">
        <v>159</v>
      </c>
      <c r="E325" t="s">
        <v>159</v>
      </c>
      <c r="F325">
        <v>7941</v>
      </c>
      <c r="G325" t="s">
        <v>698</v>
      </c>
      <c r="I325">
        <v>91.789000000000001</v>
      </c>
      <c r="J325">
        <v>93.46</v>
      </c>
      <c r="K325">
        <v>95.864000000000004</v>
      </c>
      <c r="L325">
        <v>98.506</v>
      </c>
      <c r="M325">
        <v>101.444</v>
      </c>
      <c r="N325" t="s">
        <v>988</v>
      </c>
    </row>
    <row r="326" spans="1:14" x14ac:dyDescent="0.3">
      <c r="A326">
        <v>390</v>
      </c>
      <c r="B326" t="s">
        <v>1349</v>
      </c>
      <c r="C326" t="s">
        <v>2256</v>
      </c>
      <c r="D326" t="s">
        <v>159</v>
      </c>
      <c r="E326" t="s">
        <v>159</v>
      </c>
      <c r="F326">
        <v>7941</v>
      </c>
      <c r="G326" t="s">
        <v>700</v>
      </c>
      <c r="I326">
        <v>81.06</v>
      </c>
      <c r="J326">
        <v>79.632000000000005</v>
      </c>
      <c r="K326">
        <v>79.239999999999995</v>
      </c>
      <c r="L326">
        <v>79.460999999999999</v>
      </c>
      <c r="M326">
        <v>80.033000000000001</v>
      </c>
      <c r="N326" t="s">
        <v>988</v>
      </c>
    </row>
    <row r="327" spans="1:14" x14ac:dyDescent="0.3">
      <c r="A327">
        <v>390</v>
      </c>
      <c r="B327" t="s">
        <v>1349</v>
      </c>
      <c r="C327" t="s">
        <v>2256</v>
      </c>
      <c r="D327" t="s">
        <v>159</v>
      </c>
      <c r="E327" t="s">
        <v>159</v>
      </c>
      <c r="F327">
        <v>7941</v>
      </c>
      <c r="G327" t="s">
        <v>703</v>
      </c>
      <c r="I327">
        <v>37.883000000000003</v>
      </c>
      <c r="J327">
        <v>38.084000000000003</v>
      </c>
      <c r="K327">
        <v>38.515999999999998</v>
      </c>
      <c r="L327">
        <v>39.055</v>
      </c>
      <c r="M327">
        <v>39.649000000000001</v>
      </c>
      <c r="N327" t="s">
        <v>988</v>
      </c>
    </row>
    <row r="328" spans="1:14" x14ac:dyDescent="0.3">
      <c r="A328">
        <v>391</v>
      </c>
      <c r="B328" t="s">
        <v>1350</v>
      </c>
      <c r="C328" t="s">
        <v>2256</v>
      </c>
      <c r="D328" t="s">
        <v>159</v>
      </c>
      <c r="E328" t="s">
        <v>159</v>
      </c>
      <c r="F328">
        <v>7942</v>
      </c>
      <c r="G328" t="s">
        <v>698</v>
      </c>
      <c r="I328">
        <v>2476.9720000000002</v>
      </c>
      <c r="J328">
        <v>2468.4319999999998</v>
      </c>
      <c r="K328">
        <v>2481.62</v>
      </c>
      <c r="L328">
        <v>2502.0430000000001</v>
      </c>
      <c r="M328">
        <v>2533.1210000000001</v>
      </c>
      <c r="N328" t="s">
        <v>988</v>
      </c>
    </row>
    <row r="329" spans="1:14" x14ac:dyDescent="0.3">
      <c r="A329">
        <v>391</v>
      </c>
      <c r="B329" t="s">
        <v>1350</v>
      </c>
      <c r="C329" t="s">
        <v>2256</v>
      </c>
      <c r="D329" t="s">
        <v>159</v>
      </c>
      <c r="E329" t="s">
        <v>159</v>
      </c>
      <c r="F329">
        <v>7942</v>
      </c>
      <c r="G329" t="s">
        <v>700</v>
      </c>
      <c r="I329">
        <v>5548.2820000000002</v>
      </c>
      <c r="J329">
        <v>5417.232</v>
      </c>
      <c r="K329">
        <v>5356.1419999999998</v>
      </c>
      <c r="L329">
        <v>5310.5389999999998</v>
      </c>
      <c r="M329">
        <v>5275.1580000000004</v>
      </c>
      <c r="N329" t="s">
        <v>988</v>
      </c>
    </row>
    <row r="330" spans="1:14" x14ac:dyDescent="0.3">
      <c r="A330">
        <v>391</v>
      </c>
      <c r="B330" t="s">
        <v>1350</v>
      </c>
      <c r="C330" t="s">
        <v>2256</v>
      </c>
      <c r="D330" t="s">
        <v>159</v>
      </c>
      <c r="E330" t="s">
        <v>159</v>
      </c>
      <c r="F330">
        <v>7942</v>
      </c>
      <c r="G330" t="s">
        <v>703</v>
      </c>
      <c r="I330">
        <v>1063.8879999999999</v>
      </c>
      <c r="J330">
        <v>1044.71</v>
      </c>
      <c r="K330">
        <v>1036.5540000000001</v>
      </c>
      <c r="L330">
        <v>1029.873</v>
      </c>
      <c r="M330">
        <v>1024.171</v>
      </c>
      <c r="N330" t="s">
        <v>988</v>
      </c>
    </row>
    <row r="331" spans="1:14" x14ac:dyDescent="0.3">
      <c r="A331">
        <v>391</v>
      </c>
      <c r="B331" t="s">
        <v>1350</v>
      </c>
      <c r="C331" t="s">
        <v>2256</v>
      </c>
      <c r="D331" t="s">
        <v>159</v>
      </c>
      <c r="E331" t="s">
        <v>159</v>
      </c>
      <c r="F331">
        <v>7942</v>
      </c>
      <c r="G331" t="s">
        <v>686</v>
      </c>
      <c r="H331" t="s">
        <v>1346</v>
      </c>
      <c r="I331">
        <v>1613.4090000000001</v>
      </c>
      <c r="J331">
        <v>1528.204</v>
      </c>
      <c r="K331">
        <v>1550.309</v>
      </c>
      <c r="L331">
        <v>1572.739</v>
      </c>
      <c r="M331">
        <v>1595.498</v>
      </c>
      <c r="N331" t="s">
        <v>988</v>
      </c>
    </row>
    <row r="332" spans="1:14" x14ac:dyDescent="0.3">
      <c r="A332">
        <v>391</v>
      </c>
      <c r="B332" t="s">
        <v>1350</v>
      </c>
      <c r="C332" t="s">
        <v>2256</v>
      </c>
      <c r="D332" t="s">
        <v>159</v>
      </c>
      <c r="E332" t="s">
        <v>159</v>
      </c>
      <c r="F332">
        <v>7942</v>
      </c>
      <c r="G332" t="s">
        <v>702</v>
      </c>
      <c r="H332" t="s">
        <v>1344</v>
      </c>
      <c r="I332">
        <v>0</v>
      </c>
      <c r="J332">
        <v>0</v>
      </c>
      <c r="K332">
        <v>0</v>
      </c>
      <c r="L332">
        <v>0</v>
      </c>
      <c r="M332">
        <v>0</v>
      </c>
      <c r="N332" t="s">
        <v>988</v>
      </c>
    </row>
    <row r="333" spans="1:14" x14ac:dyDescent="0.3">
      <c r="A333">
        <v>391</v>
      </c>
      <c r="B333" t="s">
        <v>1350</v>
      </c>
      <c r="C333" t="s">
        <v>2256</v>
      </c>
      <c r="D333" t="s">
        <v>159</v>
      </c>
      <c r="E333" t="s">
        <v>159</v>
      </c>
      <c r="F333">
        <v>7942</v>
      </c>
      <c r="G333" t="s">
        <v>691</v>
      </c>
      <c r="I333">
        <v>20.545999999999999</v>
      </c>
      <c r="J333">
        <v>20.545999999999999</v>
      </c>
      <c r="K333">
        <v>20.545999999999999</v>
      </c>
      <c r="L333">
        <v>20.545999999999999</v>
      </c>
      <c r="M333">
        <v>20.545999999999999</v>
      </c>
      <c r="N333" t="s">
        <v>988</v>
      </c>
    </row>
    <row r="334" spans="1:14" x14ac:dyDescent="0.3">
      <c r="A334">
        <v>391</v>
      </c>
      <c r="B334" t="s">
        <v>1350</v>
      </c>
      <c r="C334" t="s">
        <v>2256</v>
      </c>
      <c r="D334" t="s">
        <v>159</v>
      </c>
      <c r="E334" t="s">
        <v>159</v>
      </c>
      <c r="F334">
        <v>7942</v>
      </c>
      <c r="G334" t="s">
        <v>701</v>
      </c>
      <c r="I334">
        <v>9350.0709999999999</v>
      </c>
      <c r="J334">
        <v>9350.0709999999999</v>
      </c>
      <c r="K334">
        <v>9350.0709999999999</v>
      </c>
      <c r="L334">
        <v>9350.0709999999999</v>
      </c>
      <c r="M334">
        <v>9350.0709999999999</v>
      </c>
      <c r="N334" t="s">
        <v>988</v>
      </c>
    </row>
    <row r="335" spans="1:14" x14ac:dyDescent="0.3">
      <c r="A335">
        <v>391</v>
      </c>
      <c r="B335" t="s">
        <v>1350</v>
      </c>
      <c r="C335" t="s">
        <v>2256</v>
      </c>
      <c r="D335" t="s">
        <v>159</v>
      </c>
      <c r="E335" t="s">
        <v>159</v>
      </c>
      <c r="F335">
        <v>7942</v>
      </c>
      <c r="G335" t="s">
        <v>696</v>
      </c>
      <c r="I335">
        <v>8298.2330000000002</v>
      </c>
      <c r="J335">
        <v>8280.6910000000007</v>
      </c>
      <c r="K335">
        <v>8353.4580000000005</v>
      </c>
      <c r="L335">
        <v>8413.8349999999991</v>
      </c>
      <c r="M335">
        <v>8550.6980000000003</v>
      </c>
      <c r="N335" t="s">
        <v>988</v>
      </c>
    </row>
    <row r="336" spans="1:14" x14ac:dyDescent="0.3">
      <c r="A336">
        <v>392</v>
      </c>
      <c r="B336" t="s">
        <v>1351</v>
      </c>
      <c r="C336" t="s">
        <v>2256</v>
      </c>
      <c r="D336" t="s">
        <v>159</v>
      </c>
      <c r="E336" t="s">
        <v>159</v>
      </c>
      <c r="F336">
        <v>7943</v>
      </c>
      <c r="G336" t="s">
        <v>686</v>
      </c>
      <c r="H336" t="s">
        <v>1346</v>
      </c>
      <c r="I336">
        <v>725.18</v>
      </c>
      <c r="J336">
        <v>541.45000000000005</v>
      </c>
      <c r="K336">
        <v>550.30999999999995</v>
      </c>
      <c r="L336">
        <v>559.33000000000004</v>
      </c>
      <c r="M336">
        <v>568.5</v>
      </c>
      <c r="N336" t="s">
        <v>988</v>
      </c>
    </row>
    <row r="337" spans="1:14" x14ac:dyDescent="0.3">
      <c r="A337">
        <v>392</v>
      </c>
      <c r="B337" t="s">
        <v>1351</v>
      </c>
      <c r="C337" t="s">
        <v>2256</v>
      </c>
      <c r="D337" t="s">
        <v>159</v>
      </c>
      <c r="E337" t="s">
        <v>159</v>
      </c>
      <c r="F337">
        <v>7943</v>
      </c>
      <c r="G337" t="s">
        <v>702</v>
      </c>
      <c r="H337" t="s">
        <v>1344</v>
      </c>
      <c r="I337">
        <v>0</v>
      </c>
      <c r="J337">
        <v>0</v>
      </c>
      <c r="K337">
        <v>0</v>
      </c>
      <c r="L337">
        <v>0</v>
      </c>
      <c r="M337">
        <v>0</v>
      </c>
      <c r="N337" t="s">
        <v>988</v>
      </c>
    </row>
    <row r="338" spans="1:14" x14ac:dyDescent="0.3">
      <c r="A338">
        <v>392</v>
      </c>
      <c r="B338" t="s">
        <v>1351</v>
      </c>
      <c r="C338" t="s">
        <v>2256</v>
      </c>
      <c r="D338" t="s">
        <v>159</v>
      </c>
      <c r="E338" t="s">
        <v>159</v>
      </c>
      <c r="F338">
        <v>7943</v>
      </c>
      <c r="G338" t="s">
        <v>691</v>
      </c>
      <c r="I338">
        <v>10.54</v>
      </c>
      <c r="J338">
        <v>10.54</v>
      </c>
      <c r="K338">
        <v>10.54</v>
      </c>
      <c r="L338">
        <v>10.54</v>
      </c>
      <c r="M338">
        <v>10.54</v>
      </c>
      <c r="N338" t="s">
        <v>988</v>
      </c>
    </row>
    <row r="339" spans="1:14" x14ac:dyDescent="0.3">
      <c r="A339">
        <v>392</v>
      </c>
      <c r="B339" t="s">
        <v>1351</v>
      </c>
      <c r="C339" t="s">
        <v>2256</v>
      </c>
      <c r="D339" t="s">
        <v>159</v>
      </c>
      <c r="E339" t="s">
        <v>159</v>
      </c>
      <c r="F339">
        <v>7943</v>
      </c>
      <c r="G339" t="s">
        <v>701</v>
      </c>
      <c r="I339">
        <v>909.78</v>
      </c>
      <c r="J339">
        <v>909.78</v>
      </c>
      <c r="K339">
        <v>909.78</v>
      </c>
      <c r="L339">
        <v>909.78</v>
      </c>
      <c r="M339">
        <v>909.78</v>
      </c>
      <c r="N339" t="s">
        <v>988</v>
      </c>
    </row>
    <row r="340" spans="1:14" x14ac:dyDescent="0.3">
      <c r="A340">
        <v>392</v>
      </c>
      <c r="B340" t="s">
        <v>1351</v>
      </c>
      <c r="C340" t="s">
        <v>2256</v>
      </c>
      <c r="D340" t="s">
        <v>159</v>
      </c>
      <c r="E340" t="s">
        <v>159</v>
      </c>
      <c r="F340">
        <v>7943</v>
      </c>
      <c r="G340" t="s">
        <v>703</v>
      </c>
      <c r="I340">
        <v>1031.95</v>
      </c>
      <c r="J340">
        <v>1011.96</v>
      </c>
      <c r="K340">
        <v>1001.93</v>
      </c>
      <c r="L340">
        <v>993.28</v>
      </c>
      <c r="M340">
        <v>985.56</v>
      </c>
      <c r="N340" t="s">
        <v>988</v>
      </c>
    </row>
    <row r="341" spans="1:14" x14ac:dyDescent="0.3">
      <c r="A341">
        <v>392</v>
      </c>
      <c r="B341" t="s">
        <v>1351</v>
      </c>
      <c r="C341" t="s">
        <v>2256</v>
      </c>
      <c r="D341" t="s">
        <v>159</v>
      </c>
      <c r="E341" t="s">
        <v>159</v>
      </c>
      <c r="F341">
        <v>7943</v>
      </c>
      <c r="G341" t="s">
        <v>700</v>
      </c>
      <c r="I341">
        <v>3768.02</v>
      </c>
      <c r="J341">
        <v>3647.57</v>
      </c>
      <c r="K341">
        <v>3580.92</v>
      </c>
      <c r="L341">
        <v>3530.17</v>
      </c>
      <c r="M341">
        <v>3489.97</v>
      </c>
      <c r="N341" t="s">
        <v>988</v>
      </c>
    </row>
    <row r="342" spans="1:14" x14ac:dyDescent="0.3">
      <c r="A342">
        <v>392</v>
      </c>
      <c r="B342" t="s">
        <v>1351</v>
      </c>
      <c r="C342" t="s">
        <v>2256</v>
      </c>
      <c r="D342" t="s">
        <v>159</v>
      </c>
      <c r="E342" t="s">
        <v>159</v>
      </c>
      <c r="F342">
        <v>7943</v>
      </c>
      <c r="G342" t="s">
        <v>698</v>
      </c>
      <c r="I342">
        <v>821.91</v>
      </c>
      <c r="J342">
        <v>818.03</v>
      </c>
      <c r="K342">
        <v>821.05</v>
      </c>
      <c r="L342">
        <v>827.39</v>
      </c>
      <c r="M342">
        <v>837.77</v>
      </c>
      <c r="N342" t="s">
        <v>988</v>
      </c>
    </row>
    <row r="343" spans="1:14" x14ac:dyDescent="0.3">
      <c r="A343">
        <v>392</v>
      </c>
      <c r="B343" t="s">
        <v>1351</v>
      </c>
      <c r="C343" t="s">
        <v>2256</v>
      </c>
      <c r="D343" t="s">
        <v>159</v>
      </c>
      <c r="E343" t="s">
        <v>159</v>
      </c>
      <c r="F343">
        <v>7943</v>
      </c>
      <c r="G343" t="s">
        <v>696</v>
      </c>
      <c r="I343">
        <v>6565.78</v>
      </c>
      <c r="J343">
        <v>6574.42</v>
      </c>
      <c r="K343">
        <v>6642.46</v>
      </c>
      <c r="L343">
        <v>6701.52</v>
      </c>
      <c r="M343">
        <v>6823.63</v>
      </c>
      <c r="N343" t="s">
        <v>988</v>
      </c>
    </row>
    <row r="344" spans="1:14" x14ac:dyDescent="0.3">
      <c r="A344">
        <v>396</v>
      </c>
      <c r="B344" t="s">
        <v>1353</v>
      </c>
      <c r="C344" t="s">
        <v>2256</v>
      </c>
      <c r="D344" t="s">
        <v>159</v>
      </c>
      <c r="E344" t="s">
        <v>159</v>
      </c>
      <c r="F344">
        <v>7944</v>
      </c>
      <c r="G344" t="s">
        <v>686</v>
      </c>
      <c r="H344" t="s">
        <v>1344</v>
      </c>
      <c r="I344">
        <v>621.09900000000005</v>
      </c>
      <c r="J344">
        <v>618.39800000000002</v>
      </c>
      <c r="K344">
        <v>623.60500000000002</v>
      </c>
      <c r="L344">
        <v>628.85799999999995</v>
      </c>
      <c r="M344">
        <v>634.15899999999999</v>
      </c>
      <c r="N344" t="s">
        <v>988</v>
      </c>
    </row>
    <row r="345" spans="1:14" x14ac:dyDescent="0.3">
      <c r="A345">
        <v>396</v>
      </c>
      <c r="B345" t="s">
        <v>1353</v>
      </c>
      <c r="C345" t="s">
        <v>2256</v>
      </c>
      <c r="D345" t="s">
        <v>159</v>
      </c>
      <c r="E345" t="s">
        <v>159</v>
      </c>
      <c r="F345">
        <v>7944</v>
      </c>
      <c r="G345" t="s">
        <v>698</v>
      </c>
      <c r="I345">
        <v>2072.4059999999999</v>
      </c>
      <c r="J345">
        <v>2043.896</v>
      </c>
      <c r="K345">
        <v>2041.9639999999999</v>
      </c>
      <c r="L345">
        <v>2045.049</v>
      </c>
      <c r="M345">
        <v>2062.971</v>
      </c>
      <c r="N345" t="s">
        <v>988</v>
      </c>
    </row>
    <row r="346" spans="1:14" x14ac:dyDescent="0.3">
      <c r="A346">
        <v>396</v>
      </c>
      <c r="B346" t="s">
        <v>1353</v>
      </c>
      <c r="C346" t="s">
        <v>2256</v>
      </c>
      <c r="D346" t="s">
        <v>159</v>
      </c>
      <c r="E346" t="s">
        <v>159</v>
      </c>
      <c r="F346">
        <v>7944</v>
      </c>
      <c r="G346" t="s">
        <v>700</v>
      </c>
      <c r="I346">
        <v>1183.3140000000001</v>
      </c>
      <c r="J346">
        <v>1125.8</v>
      </c>
      <c r="K346">
        <v>1099.567</v>
      </c>
      <c r="L346">
        <v>1081.963</v>
      </c>
      <c r="M346">
        <v>1070.0920000000001</v>
      </c>
      <c r="N346" t="s">
        <v>988</v>
      </c>
    </row>
    <row r="347" spans="1:14" x14ac:dyDescent="0.3">
      <c r="A347">
        <v>396</v>
      </c>
      <c r="B347" t="s">
        <v>1353</v>
      </c>
      <c r="C347" t="s">
        <v>2256</v>
      </c>
      <c r="D347" t="s">
        <v>159</v>
      </c>
      <c r="E347" t="s">
        <v>159</v>
      </c>
      <c r="F347">
        <v>7944</v>
      </c>
      <c r="G347" t="s">
        <v>696</v>
      </c>
      <c r="I347">
        <v>5826.8339999999998</v>
      </c>
      <c r="J347">
        <v>5762.2640000000001</v>
      </c>
      <c r="K347">
        <v>5782.4040000000005</v>
      </c>
      <c r="L347">
        <v>5789.7359999999999</v>
      </c>
      <c r="M347">
        <v>5865.5339999999997</v>
      </c>
      <c r="N347" t="s">
        <v>988</v>
      </c>
    </row>
    <row r="348" spans="1:14" x14ac:dyDescent="0.3">
      <c r="A348">
        <v>396</v>
      </c>
      <c r="B348" t="s">
        <v>1353</v>
      </c>
      <c r="C348" t="s">
        <v>2256</v>
      </c>
      <c r="D348" t="s">
        <v>159</v>
      </c>
      <c r="E348" t="s">
        <v>159</v>
      </c>
      <c r="F348">
        <v>7944</v>
      </c>
      <c r="G348" t="s">
        <v>703</v>
      </c>
      <c r="I348">
        <v>367.87200000000001</v>
      </c>
      <c r="J348">
        <v>354.25700000000001</v>
      </c>
      <c r="K348">
        <v>348.82100000000003</v>
      </c>
      <c r="L348">
        <v>345.12299999999999</v>
      </c>
      <c r="M348">
        <v>342.58100000000002</v>
      </c>
      <c r="N348" t="s">
        <v>988</v>
      </c>
    </row>
    <row r="349" spans="1:14" x14ac:dyDescent="0.3">
      <c r="A349">
        <v>396</v>
      </c>
      <c r="B349" t="s">
        <v>1353</v>
      </c>
      <c r="C349" t="s">
        <v>2256</v>
      </c>
      <c r="D349" t="s">
        <v>159</v>
      </c>
      <c r="E349" t="s">
        <v>159</v>
      </c>
      <c r="F349">
        <v>7944</v>
      </c>
      <c r="G349" t="s">
        <v>701</v>
      </c>
      <c r="I349">
        <v>582.19200000000001</v>
      </c>
      <c r="J349">
        <v>582.19200000000001</v>
      </c>
      <c r="K349">
        <v>582.19200000000001</v>
      </c>
      <c r="L349">
        <v>582.19200000000001</v>
      </c>
      <c r="M349">
        <v>582.19200000000001</v>
      </c>
      <c r="N349" t="s">
        <v>988</v>
      </c>
    </row>
    <row r="350" spans="1:14" x14ac:dyDescent="0.3">
      <c r="A350">
        <v>396</v>
      </c>
      <c r="B350" t="s">
        <v>1353</v>
      </c>
      <c r="C350" t="s">
        <v>2256</v>
      </c>
      <c r="D350" t="s">
        <v>159</v>
      </c>
      <c r="E350" t="s">
        <v>159</v>
      </c>
      <c r="F350">
        <v>7944</v>
      </c>
      <c r="G350" t="s">
        <v>691</v>
      </c>
      <c r="I350">
        <v>6.4260000000000002</v>
      </c>
      <c r="J350">
        <v>6.4260000000000002</v>
      </c>
      <c r="K350">
        <v>6.4260000000000002</v>
      </c>
      <c r="L350">
        <v>6.4260000000000002</v>
      </c>
      <c r="M350">
        <v>6.4260000000000002</v>
      </c>
      <c r="N350" t="s">
        <v>988</v>
      </c>
    </row>
    <row r="351" spans="1:14" x14ac:dyDescent="0.3">
      <c r="A351">
        <v>396</v>
      </c>
      <c r="B351" t="s">
        <v>1353</v>
      </c>
      <c r="C351" t="s">
        <v>2256</v>
      </c>
      <c r="D351" t="s">
        <v>159</v>
      </c>
      <c r="E351" t="s">
        <v>159</v>
      </c>
      <c r="F351">
        <v>7944</v>
      </c>
      <c r="G351" t="s">
        <v>702</v>
      </c>
      <c r="I351">
        <v>0.24099999999999999</v>
      </c>
      <c r="J351">
        <v>0.24099999999999999</v>
      </c>
      <c r="K351">
        <v>0.24099999999999999</v>
      </c>
      <c r="L351">
        <v>0.24099999999999999</v>
      </c>
      <c r="M351">
        <v>0.24099999999999999</v>
      </c>
      <c r="N351" t="s">
        <v>988</v>
      </c>
    </row>
    <row r="352" spans="1:14" x14ac:dyDescent="0.3">
      <c r="A352">
        <v>397</v>
      </c>
      <c r="B352" t="s">
        <v>1354</v>
      </c>
      <c r="C352" t="s">
        <v>2256</v>
      </c>
      <c r="D352" t="s">
        <v>159</v>
      </c>
      <c r="E352" t="s">
        <v>159</v>
      </c>
      <c r="F352">
        <v>7984</v>
      </c>
      <c r="G352" t="s">
        <v>696</v>
      </c>
      <c r="I352">
        <v>519.48</v>
      </c>
      <c r="J352">
        <v>528</v>
      </c>
      <c r="K352">
        <v>525.71400000000006</v>
      </c>
      <c r="L352">
        <v>523.351</v>
      </c>
      <c r="M352">
        <v>522.17200000000003</v>
      </c>
      <c r="N352" t="s">
        <v>988</v>
      </c>
    </row>
    <row r="353" spans="1:14" x14ac:dyDescent="0.3">
      <c r="A353">
        <v>397</v>
      </c>
      <c r="B353" t="s">
        <v>1354</v>
      </c>
      <c r="C353" t="s">
        <v>2256</v>
      </c>
      <c r="D353" t="s">
        <v>159</v>
      </c>
      <c r="E353" t="s">
        <v>159</v>
      </c>
      <c r="F353">
        <v>7984</v>
      </c>
      <c r="G353" t="s">
        <v>686</v>
      </c>
      <c r="H353" t="s">
        <v>1346</v>
      </c>
      <c r="I353">
        <v>171.989</v>
      </c>
      <c r="J353">
        <v>161.88</v>
      </c>
      <c r="K353">
        <v>161.88</v>
      </c>
      <c r="L353">
        <v>161.88</v>
      </c>
      <c r="M353">
        <v>161.88</v>
      </c>
      <c r="N353" t="s">
        <v>988</v>
      </c>
    </row>
    <row r="354" spans="1:14" x14ac:dyDescent="0.3">
      <c r="A354">
        <v>397</v>
      </c>
      <c r="B354" t="s">
        <v>1354</v>
      </c>
      <c r="C354" t="s">
        <v>2256</v>
      </c>
      <c r="D354" t="s">
        <v>159</v>
      </c>
      <c r="E354" t="s">
        <v>159</v>
      </c>
      <c r="F354">
        <v>7984</v>
      </c>
      <c r="G354" t="s">
        <v>702</v>
      </c>
      <c r="H354" t="s">
        <v>1344</v>
      </c>
      <c r="I354">
        <v>0</v>
      </c>
      <c r="J354">
        <v>0</v>
      </c>
      <c r="K354">
        <v>0</v>
      </c>
      <c r="L354">
        <v>0</v>
      </c>
      <c r="M354">
        <v>0</v>
      </c>
      <c r="N354" t="s">
        <v>988</v>
      </c>
    </row>
    <row r="355" spans="1:14" x14ac:dyDescent="0.3">
      <c r="A355">
        <v>397</v>
      </c>
      <c r="B355" t="s">
        <v>1354</v>
      </c>
      <c r="C355" t="s">
        <v>2256</v>
      </c>
      <c r="D355" t="s">
        <v>159</v>
      </c>
      <c r="E355" t="s">
        <v>159</v>
      </c>
      <c r="F355">
        <v>7984</v>
      </c>
      <c r="G355" t="s">
        <v>691</v>
      </c>
      <c r="I355">
        <v>0.39200000000000002</v>
      </c>
      <c r="J355">
        <v>0.39</v>
      </c>
      <c r="K355">
        <v>0.38900000000000001</v>
      </c>
      <c r="L355">
        <v>0.38900000000000001</v>
      </c>
      <c r="M355">
        <v>0.38800000000000001</v>
      </c>
      <c r="N355" t="s">
        <v>988</v>
      </c>
    </row>
    <row r="356" spans="1:14" x14ac:dyDescent="0.3">
      <c r="A356">
        <v>397</v>
      </c>
      <c r="B356" t="s">
        <v>1354</v>
      </c>
      <c r="C356" t="s">
        <v>2256</v>
      </c>
      <c r="D356" t="s">
        <v>159</v>
      </c>
      <c r="E356" t="s">
        <v>159</v>
      </c>
      <c r="F356">
        <v>7984</v>
      </c>
      <c r="G356" t="s">
        <v>701</v>
      </c>
      <c r="I356">
        <v>0</v>
      </c>
      <c r="J356">
        <v>0</v>
      </c>
      <c r="K356">
        <v>0</v>
      </c>
      <c r="L356">
        <v>0</v>
      </c>
      <c r="M356">
        <v>0</v>
      </c>
      <c r="N356" t="s">
        <v>988</v>
      </c>
    </row>
    <row r="357" spans="1:14" x14ac:dyDescent="0.3">
      <c r="A357">
        <v>397</v>
      </c>
      <c r="B357" t="s">
        <v>1354</v>
      </c>
      <c r="C357" t="s">
        <v>2256</v>
      </c>
      <c r="D357" t="s">
        <v>159</v>
      </c>
      <c r="E357" t="s">
        <v>159</v>
      </c>
      <c r="F357">
        <v>7984</v>
      </c>
      <c r="G357" t="s">
        <v>703</v>
      </c>
      <c r="I357">
        <v>15.077999999999999</v>
      </c>
      <c r="J357">
        <v>14.834</v>
      </c>
      <c r="K357">
        <v>14.606999999999999</v>
      </c>
      <c r="L357">
        <v>14.393000000000001</v>
      </c>
      <c r="M357">
        <v>14.186</v>
      </c>
      <c r="N357" t="s">
        <v>988</v>
      </c>
    </row>
    <row r="358" spans="1:14" x14ac:dyDescent="0.3">
      <c r="A358">
        <v>397</v>
      </c>
      <c r="B358" t="s">
        <v>1354</v>
      </c>
      <c r="C358" t="s">
        <v>2256</v>
      </c>
      <c r="D358" t="s">
        <v>159</v>
      </c>
      <c r="E358" t="s">
        <v>159</v>
      </c>
      <c r="F358">
        <v>7984</v>
      </c>
      <c r="G358" t="s">
        <v>700</v>
      </c>
      <c r="I358">
        <v>55.472999999999999</v>
      </c>
      <c r="J358">
        <v>54.561999999999998</v>
      </c>
      <c r="K358">
        <v>53.747999999999998</v>
      </c>
      <c r="L358">
        <v>53.003</v>
      </c>
      <c r="M358">
        <v>52.29</v>
      </c>
      <c r="N358" t="s">
        <v>988</v>
      </c>
    </row>
    <row r="359" spans="1:14" x14ac:dyDescent="0.3">
      <c r="A359">
        <v>397</v>
      </c>
      <c r="B359" t="s">
        <v>1354</v>
      </c>
      <c r="C359" t="s">
        <v>2256</v>
      </c>
      <c r="D359" t="s">
        <v>159</v>
      </c>
      <c r="E359" t="s">
        <v>159</v>
      </c>
      <c r="F359">
        <v>7984</v>
      </c>
      <c r="G359" t="s">
        <v>698</v>
      </c>
      <c r="I359">
        <v>4.0149999999999997</v>
      </c>
      <c r="J359">
        <v>4.0170000000000003</v>
      </c>
      <c r="K359">
        <v>4.024</v>
      </c>
      <c r="L359">
        <v>4.03</v>
      </c>
      <c r="M359">
        <v>4.0389999999999997</v>
      </c>
      <c r="N359" t="s">
        <v>988</v>
      </c>
    </row>
    <row r="360" spans="1:14" x14ac:dyDescent="0.3">
      <c r="A360">
        <v>398</v>
      </c>
      <c r="B360" t="s">
        <v>1355</v>
      </c>
      <c r="C360" t="s">
        <v>2256</v>
      </c>
      <c r="D360" t="s">
        <v>159</v>
      </c>
      <c r="E360" t="s">
        <v>159</v>
      </c>
      <c r="F360">
        <v>7946</v>
      </c>
      <c r="G360" t="s">
        <v>696</v>
      </c>
      <c r="I360">
        <v>767.52</v>
      </c>
      <c r="J360">
        <v>785.32</v>
      </c>
      <c r="K360">
        <v>808.03</v>
      </c>
      <c r="L360">
        <v>829.81</v>
      </c>
      <c r="M360">
        <v>857.99</v>
      </c>
      <c r="N360" t="s">
        <v>988</v>
      </c>
    </row>
    <row r="361" spans="1:14" x14ac:dyDescent="0.3">
      <c r="A361">
        <v>398</v>
      </c>
      <c r="B361" t="s">
        <v>1355</v>
      </c>
      <c r="C361" t="s">
        <v>2256</v>
      </c>
      <c r="D361" t="s">
        <v>159</v>
      </c>
      <c r="E361" t="s">
        <v>159</v>
      </c>
      <c r="F361">
        <v>7946</v>
      </c>
      <c r="G361" t="s">
        <v>700</v>
      </c>
      <c r="I361">
        <v>432.7</v>
      </c>
      <c r="J361">
        <v>435.96</v>
      </c>
      <c r="K361">
        <v>442.67</v>
      </c>
      <c r="L361">
        <v>449.87</v>
      </c>
      <c r="M361">
        <v>458.02</v>
      </c>
      <c r="N361" t="s">
        <v>988</v>
      </c>
    </row>
    <row r="362" spans="1:14" x14ac:dyDescent="0.3">
      <c r="A362">
        <v>398</v>
      </c>
      <c r="B362" t="s">
        <v>1355</v>
      </c>
      <c r="C362" t="s">
        <v>2256</v>
      </c>
      <c r="D362" t="s">
        <v>159</v>
      </c>
      <c r="E362" t="s">
        <v>159</v>
      </c>
      <c r="F362">
        <v>7946</v>
      </c>
      <c r="G362" t="s">
        <v>703</v>
      </c>
      <c r="I362">
        <v>137.16</v>
      </c>
      <c r="J362">
        <v>138.68</v>
      </c>
      <c r="K362">
        <v>141.13999999999999</v>
      </c>
      <c r="L362">
        <v>143.66</v>
      </c>
      <c r="M362">
        <v>146.31</v>
      </c>
      <c r="N362" t="s">
        <v>988</v>
      </c>
    </row>
    <row r="363" spans="1:14" x14ac:dyDescent="0.3">
      <c r="A363">
        <v>398</v>
      </c>
      <c r="B363" t="s">
        <v>1355</v>
      </c>
      <c r="C363" t="s">
        <v>2256</v>
      </c>
      <c r="D363" t="s">
        <v>159</v>
      </c>
      <c r="E363" t="s">
        <v>159</v>
      </c>
      <c r="F363">
        <v>7946</v>
      </c>
      <c r="G363" t="s">
        <v>701</v>
      </c>
      <c r="I363">
        <v>69.36</v>
      </c>
      <c r="J363">
        <v>69.36</v>
      </c>
      <c r="K363">
        <v>69.36</v>
      </c>
      <c r="L363">
        <v>69.36</v>
      </c>
      <c r="M363">
        <v>69.36</v>
      </c>
      <c r="N363" t="s">
        <v>988</v>
      </c>
    </row>
    <row r="364" spans="1:14" x14ac:dyDescent="0.3">
      <c r="A364">
        <v>398</v>
      </c>
      <c r="B364" t="s">
        <v>1355</v>
      </c>
      <c r="C364" t="s">
        <v>2256</v>
      </c>
      <c r="D364" t="s">
        <v>159</v>
      </c>
      <c r="E364" t="s">
        <v>159</v>
      </c>
      <c r="F364">
        <v>7946</v>
      </c>
      <c r="G364" t="s">
        <v>691</v>
      </c>
      <c r="I364">
        <v>36.69</v>
      </c>
      <c r="J364">
        <v>36.69</v>
      </c>
      <c r="K364">
        <v>36.69</v>
      </c>
      <c r="L364">
        <v>36.69</v>
      </c>
      <c r="M364">
        <v>36.69</v>
      </c>
      <c r="N364" t="s">
        <v>988</v>
      </c>
    </row>
    <row r="365" spans="1:14" x14ac:dyDescent="0.3">
      <c r="A365">
        <v>398</v>
      </c>
      <c r="B365" t="s">
        <v>1355</v>
      </c>
      <c r="C365" t="s">
        <v>2256</v>
      </c>
      <c r="D365" t="s">
        <v>159</v>
      </c>
      <c r="E365" t="s">
        <v>159</v>
      </c>
      <c r="F365">
        <v>7946</v>
      </c>
      <c r="G365" t="s">
        <v>702</v>
      </c>
      <c r="I365">
        <v>0</v>
      </c>
      <c r="J365">
        <v>0</v>
      </c>
      <c r="K365">
        <v>0</v>
      </c>
      <c r="L365">
        <v>0</v>
      </c>
      <c r="M365">
        <v>0</v>
      </c>
      <c r="N365" t="s">
        <v>988</v>
      </c>
    </row>
    <row r="366" spans="1:14" x14ac:dyDescent="0.3">
      <c r="A366">
        <v>398</v>
      </c>
      <c r="B366" t="s">
        <v>1355</v>
      </c>
      <c r="C366" t="s">
        <v>2256</v>
      </c>
      <c r="D366" t="s">
        <v>159</v>
      </c>
      <c r="E366" t="s">
        <v>159</v>
      </c>
      <c r="F366">
        <v>7946</v>
      </c>
      <c r="G366" t="s">
        <v>686</v>
      </c>
      <c r="H366" t="s">
        <v>1344</v>
      </c>
      <c r="I366">
        <v>136.6</v>
      </c>
      <c r="J366">
        <v>122.85</v>
      </c>
      <c r="K366">
        <v>128.69999999999999</v>
      </c>
      <c r="L366">
        <v>134.56</v>
      </c>
      <c r="M366">
        <v>140.41</v>
      </c>
      <c r="N366" t="s">
        <v>988</v>
      </c>
    </row>
    <row r="367" spans="1:14" x14ac:dyDescent="0.3">
      <c r="A367">
        <v>398</v>
      </c>
      <c r="B367" t="s">
        <v>1355</v>
      </c>
      <c r="C367" t="s">
        <v>2256</v>
      </c>
      <c r="D367" t="s">
        <v>159</v>
      </c>
      <c r="E367" t="s">
        <v>159</v>
      </c>
      <c r="F367">
        <v>7946</v>
      </c>
      <c r="G367" t="s">
        <v>698</v>
      </c>
      <c r="I367">
        <v>81.73</v>
      </c>
      <c r="J367">
        <v>82.35</v>
      </c>
      <c r="K367">
        <v>84.04</v>
      </c>
      <c r="L367">
        <v>85.99</v>
      </c>
      <c r="M367">
        <v>88.44</v>
      </c>
      <c r="N367" t="s">
        <v>988</v>
      </c>
    </row>
    <row r="368" spans="1:14" x14ac:dyDescent="0.3">
      <c r="A368">
        <v>401</v>
      </c>
      <c r="B368" t="s">
        <v>1356</v>
      </c>
      <c r="C368" t="s">
        <v>2256</v>
      </c>
      <c r="D368" t="s">
        <v>159</v>
      </c>
      <c r="E368" t="s">
        <v>159</v>
      </c>
      <c r="F368">
        <v>7947</v>
      </c>
      <c r="G368" t="s">
        <v>686</v>
      </c>
      <c r="H368" t="s">
        <v>1344</v>
      </c>
      <c r="I368">
        <v>463.55</v>
      </c>
      <c r="J368">
        <v>430.72</v>
      </c>
      <c r="K368">
        <v>441.4</v>
      </c>
      <c r="L368">
        <v>449.25</v>
      </c>
      <c r="M368">
        <v>457.25</v>
      </c>
      <c r="N368" t="s">
        <v>988</v>
      </c>
    </row>
    <row r="369" spans="1:14" x14ac:dyDescent="0.3">
      <c r="A369">
        <v>401</v>
      </c>
      <c r="B369" t="s">
        <v>1356</v>
      </c>
      <c r="C369" t="s">
        <v>2256</v>
      </c>
      <c r="D369" t="s">
        <v>159</v>
      </c>
      <c r="E369" t="s">
        <v>159</v>
      </c>
      <c r="F369">
        <v>7947</v>
      </c>
      <c r="G369" t="s">
        <v>702</v>
      </c>
      <c r="I369">
        <v>6.1</v>
      </c>
      <c r="J369">
        <v>6.1</v>
      </c>
      <c r="K369">
        <v>6.1</v>
      </c>
      <c r="L369">
        <v>6.1</v>
      </c>
      <c r="M369">
        <v>6.1</v>
      </c>
      <c r="N369" t="s">
        <v>988</v>
      </c>
    </row>
    <row r="370" spans="1:14" x14ac:dyDescent="0.3">
      <c r="A370">
        <v>401</v>
      </c>
      <c r="B370" t="s">
        <v>1356</v>
      </c>
      <c r="C370" t="s">
        <v>2256</v>
      </c>
      <c r="D370" t="s">
        <v>159</v>
      </c>
      <c r="E370" t="s">
        <v>159</v>
      </c>
      <c r="F370">
        <v>7947</v>
      </c>
      <c r="G370" t="s">
        <v>691</v>
      </c>
      <c r="I370">
        <v>10.220000000000001</v>
      </c>
      <c r="J370">
        <v>10.220000000000001</v>
      </c>
      <c r="K370">
        <v>10.220000000000001</v>
      </c>
      <c r="L370">
        <v>10.220000000000001</v>
      </c>
      <c r="M370">
        <v>10.220000000000001</v>
      </c>
      <c r="N370" t="s">
        <v>988</v>
      </c>
    </row>
    <row r="371" spans="1:14" x14ac:dyDescent="0.3">
      <c r="A371">
        <v>401</v>
      </c>
      <c r="B371" t="s">
        <v>1356</v>
      </c>
      <c r="C371" t="s">
        <v>2256</v>
      </c>
      <c r="D371" t="s">
        <v>159</v>
      </c>
      <c r="E371" t="s">
        <v>159</v>
      </c>
      <c r="F371">
        <v>7947</v>
      </c>
      <c r="G371" t="s">
        <v>701</v>
      </c>
      <c r="I371">
        <v>0</v>
      </c>
      <c r="J371">
        <v>0</v>
      </c>
      <c r="K371">
        <v>0</v>
      </c>
      <c r="L371">
        <v>0</v>
      </c>
      <c r="M371">
        <v>0</v>
      </c>
      <c r="N371" t="s">
        <v>988</v>
      </c>
    </row>
    <row r="372" spans="1:14" x14ac:dyDescent="0.3">
      <c r="A372">
        <v>401</v>
      </c>
      <c r="B372" t="s">
        <v>1356</v>
      </c>
      <c r="C372" t="s">
        <v>2256</v>
      </c>
      <c r="D372" t="s">
        <v>159</v>
      </c>
      <c r="E372" t="s">
        <v>159</v>
      </c>
      <c r="F372">
        <v>7947</v>
      </c>
      <c r="G372" t="s">
        <v>703</v>
      </c>
      <c r="I372">
        <v>713.68</v>
      </c>
      <c r="J372">
        <v>693.2</v>
      </c>
      <c r="K372">
        <v>679.67</v>
      </c>
      <c r="L372">
        <v>667.68</v>
      </c>
      <c r="M372">
        <v>656.58</v>
      </c>
      <c r="N372" t="s">
        <v>988</v>
      </c>
    </row>
    <row r="373" spans="1:14" x14ac:dyDescent="0.3">
      <c r="A373">
        <v>401</v>
      </c>
      <c r="B373" t="s">
        <v>1356</v>
      </c>
      <c r="C373" t="s">
        <v>2256</v>
      </c>
      <c r="D373" t="s">
        <v>159</v>
      </c>
      <c r="E373" t="s">
        <v>159</v>
      </c>
      <c r="F373">
        <v>7947</v>
      </c>
      <c r="G373" t="s">
        <v>700</v>
      </c>
      <c r="I373">
        <v>1222.46</v>
      </c>
      <c r="J373">
        <v>1174.74</v>
      </c>
      <c r="K373">
        <v>1144.1600000000001</v>
      </c>
      <c r="L373">
        <v>1120.22</v>
      </c>
      <c r="M373">
        <v>1099.52</v>
      </c>
      <c r="N373" t="s">
        <v>988</v>
      </c>
    </row>
    <row r="374" spans="1:14" x14ac:dyDescent="0.3">
      <c r="A374">
        <v>401</v>
      </c>
      <c r="B374" t="s">
        <v>1356</v>
      </c>
      <c r="C374" t="s">
        <v>2256</v>
      </c>
      <c r="D374" t="s">
        <v>159</v>
      </c>
      <c r="E374" t="s">
        <v>159</v>
      </c>
      <c r="F374">
        <v>7947</v>
      </c>
      <c r="G374" t="s">
        <v>698</v>
      </c>
      <c r="I374">
        <v>524.12</v>
      </c>
      <c r="J374">
        <v>662.33</v>
      </c>
      <c r="K374">
        <v>773</v>
      </c>
      <c r="L374">
        <v>813.59</v>
      </c>
      <c r="M374">
        <v>858.2</v>
      </c>
      <c r="N374" t="s">
        <v>988</v>
      </c>
    </row>
    <row r="375" spans="1:14" x14ac:dyDescent="0.3">
      <c r="A375">
        <v>401</v>
      </c>
      <c r="B375" t="s">
        <v>1356</v>
      </c>
      <c r="C375" t="s">
        <v>2256</v>
      </c>
      <c r="D375" t="s">
        <v>159</v>
      </c>
      <c r="E375" t="s">
        <v>159</v>
      </c>
      <c r="F375">
        <v>7947</v>
      </c>
      <c r="G375" t="s">
        <v>696</v>
      </c>
      <c r="I375">
        <v>6393.28</v>
      </c>
      <c r="J375">
        <v>6383.25</v>
      </c>
      <c r="K375">
        <v>6460.8</v>
      </c>
      <c r="L375">
        <v>6488.2</v>
      </c>
      <c r="M375">
        <v>6544.55</v>
      </c>
      <c r="N375" t="s">
        <v>988</v>
      </c>
    </row>
    <row r="376" spans="1:14" x14ac:dyDescent="0.3">
      <c r="A376">
        <v>402</v>
      </c>
      <c r="B376" t="s">
        <v>1357</v>
      </c>
      <c r="C376" t="s">
        <v>2256</v>
      </c>
      <c r="D376" t="s">
        <v>159</v>
      </c>
      <c r="E376" t="s">
        <v>159</v>
      </c>
      <c r="F376">
        <v>7962</v>
      </c>
      <c r="G376" t="s">
        <v>696</v>
      </c>
      <c r="I376">
        <v>8738.4760000000006</v>
      </c>
      <c r="J376">
        <v>8783.6509999999998</v>
      </c>
      <c r="K376">
        <v>8896.1370000000006</v>
      </c>
      <c r="L376">
        <v>8953.7150000000001</v>
      </c>
      <c r="M376">
        <v>9071.241</v>
      </c>
      <c r="N376" t="s">
        <v>988</v>
      </c>
    </row>
    <row r="377" spans="1:14" x14ac:dyDescent="0.3">
      <c r="A377">
        <v>402</v>
      </c>
      <c r="B377" t="s">
        <v>1357</v>
      </c>
      <c r="C377" t="s">
        <v>2256</v>
      </c>
      <c r="D377" t="s">
        <v>159</v>
      </c>
      <c r="E377" t="s">
        <v>159</v>
      </c>
      <c r="F377">
        <v>7962</v>
      </c>
      <c r="G377" t="s">
        <v>686</v>
      </c>
      <c r="H377" t="s">
        <v>1346</v>
      </c>
      <c r="I377">
        <v>770.36800000000005</v>
      </c>
      <c r="J377">
        <v>695.52599999999995</v>
      </c>
      <c r="K377">
        <v>704.505</v>
      </c>
      <c r="L377">
        <v>716.00199999999995</v>
      </c>
      <c r="M377">
        <v>728.154</v>
      </c>
      <c r="N377" t="s">
        <v>988</v>
      </c>
    </row>
    <row r="378" spans="1:14" x14ac:dyDescent="0.3">
      <c r="A378">
        <v>402</v>
      </c>
      <c r="B378" t="s">
        <v>1357</v>
      </c>
      <c r="C378" t="s">
        <v>2256</v>
      </c>
      <c r="D378" t="s">
        <v>159</v>
      </c>
      <c r="E378" t="s">
        <v>159</v>
      </c>
      <c r="F378">
        <v>7962</v>
      </c>
      <c r="G378" t="s">
        <v>702</v>
      </c>
      <c r="H378" t="s">
        <v>1344</v>
      </c>
      <c r="I378">
        <v>0</v>
      </c>
      <c r="J378">
        <v>0</v>
      </c>
      <c r="K378">
        <v>0</v>
      </c>
      <c r="L378">
        <v>0</v>
      </c>
      <c r="M378">
        <v>0</v>
      </c>
      <c r="N378" t="s">
        <v>988</v>
      </c>
    </row>
    <row r="379" spans="1:14" x14ac:dyDescent="0.3">
      <c r="A379">
        <v>402</v>
      </c>
      <c r="B379" t="s">
        <v>1357</v>
      </c>
      <c r="C379" t="s">
        <v>2256</v>
      </c>
      <c r="D379" t="s">
        <v>159</v>
      </c>
      <c r="E379" t="s">
        <v>159</v>
      </c>
      <c r="F379">
        <v>7962</v>
      </c>
      <c r="G379" t="s">
        <v>691</v>
      </c>
      <c r="I379">
        <v>13.406000000000001</v>
      </c>
      <c r="J379">
        <v>13.406000000000001</v>
      </c>
      <c r="K379">
        <v>13.406000000000001</v>
      </c>
      <c r="L379">
        <v>13.406000000000001</v>
      </c>
      <c r="M379">
        <v>13.406000000000001</v>
      </c>
      <c r="N379" t="s">
        <v>988</v>
      </c>
    </row>
    <row r="380" spans="1:14" x14ac:dyDescent="0.3">
      <c r="A380">
        <v>402</v>
      </c>
      <c r="B380" t="s">
        <v>1357</v>
      </c>
      <c r="C380" t="s">
        <v>2256</v>
      </c>
      <c r="D380" t="s">
        <v>159</v>
      </c>
      <c r="E380" t="s">
        <v>159</v>
      </c>
      <c r="F380">
        <v>7962</v>
      </c>
      <c r="G380" t="s">
        <v>701</v>
      </c>
      <c r="I380">
        <v>5.532</v>
      </c>
      <c r="J380">
        <v>5.532</v>
      </c>
      <c r="K380">
        <v>5.532</v>
      </c>
      <c r="L380">
        <v>5.532</v>
      </c>
      <c r="M380">
        <v>5.532</v>
      </c>
      <c r="N380" t="s">
        <v>988</v>
      </c>
    </row>
    <row r="381" spans="1:14" x14ac:dyDescent="0.3">
      <c r="A381">
        <v>402</v>
      </c>
      <c r="B381" t="s">
        <v>1357</v>
      </c>
      <c r="C381" t="s">
        <v>2256</v>
      </c>
      <c r="D381" t="s">
        <v>159</v>
      </c>
      <c r="E381" t="s">
        <v>159</v>
      </c>
      <c r="F381">
        <v>7962</v>
      </c>
      <c r="G381" t="s">
        <v>703</v>
      </c>
      <c r="I381">
        <v>495.18200000000002</v>
      </c>
      <c r="J381">
        <v>500.51600000000002</v>
      </c>
      <c r="K381">
        <v>523.95000000000005</v>
      </c>
      <c r="L381">
        <v>548.18399999999997</v>
      </c>
      <c r="M381">
        <v>574.21699999999998</v>
      </c>
      <c r="N381" t="s">
        <v>988</v>
      </c>
    </row>
    <row r="382" spans="1:14" x14ac:dyDescent="0.3">
      <c r="A382">
        <v>402</v>
      </c>
      <c r="B382" t="s">
        <v>1357</v>
      </c>
      <c r="C382" t="s">
        <v>2256</v>
      </c>
      <c r="D382" t="s">
        <v>159</v>
      </c>
      <c r="E382" t="s">
        <v>159</v>
      </c>
      <c r="F382">
        <v>7962</v>
      </c>
      <c r="G382" t="s">
        <v>700</v>
      </c>
      <c r="I382">
        <v>2305.1709999999998</v>
      </c>
      <c r="J382">
        <v>2319.538</v>
      </c>
      <c r="K382">
        <v>2472.6010000000001</v>
      </c>
      <c r="L382">
        <v>2677.7429999999999</v>
      </c>
      <c r="M382">
        <v>2904.0059999999999</v>
      </c>
      <c r="N382" t="s">
        <v>988</v>
      </c>
    </row>
    <row r="383" spans="1:14" x14ac:dyDescent="0.3">
      <c r="A383">
        <v>402</v>
      </c>
      <c r="B383" t="s">
        <v>1357</v>
      </c>
      <c r="C383" t="s">
        <v>2256</v>
      </c>
      <c r="D383" t="s">
        <v>159</v>
      </c>
      <c r="E383" t="s">
        <v>159</v>
      </c>
      <c r="F383">
        <v>7962</v>
      </c>
      <c r="G383" t="s">
        <v>698</v>
      </c>
      <c r="I383">
        <v>678.75800000000004</v>
      </c>
      <c r="J383">
        <v>685.12400000000002</v>
      </c>
      <c r="K383">
        <v>707.74599999999998</v>
      </c>
      <c r="L383">
        <v>751.51099999999997</v>
      </c>
      <c r="M383">
        <v>800.80100000000004</v>
      </c>
      <c r="N383" t="s">
        <v>988</v>
      </c>
    </row>
    <row r="384" spans="1:14" x14ac:dyDescent="0.3">
      <c r="A384">
        <v>405</v>
      </c>
      <c r="B384" t="s">
        <v>1358</v>
      </c>
      <c r="C384" t="s">
        <v>2256</v>
      </c>
      <c r="D384" t="s">
        <v>159</v>
      </c>
      <c r="E384" t="s">
        <v>159</v>
      </c>
      <c r="F384">
        <v>7949</v>
      </c>
      <c r="G384" t="s">
        <v>698</v>
      </c>
      <c r="I384">
        <v>282.89499999999998</v>
      </c>
      <c r="J384">
        <v>278.65499999999997</v>
      </c>
      <c r="K384">
        <v>276.28800000000001</v>
      </c>
      <c r="L384">
        <v>274.39699999999999</v>
      </c>
      <c r="M384">
        <v>273.358</v>
      </c>
      <c r="N384" t="s">
        <v>988</v>
      </c>
    </row>
    <row r="385" spans="1:14" x14ac:dyDescent="0.3">
      <c r="A385">
        <v>405</v>
      </c>
      <c r="B385" t="s">
        <v>1358</v>
      </c>
      <c r="C385" t="s">
        <v>2256</v>
      </c>
      <c r="D385" t="s">
        <v>159</v>
      </c>
      <c r="E385" t="s">
        <v>159</v>
      </c>
      <c r="F385">
        <v>7949</v>
      </c>
      <c r="G385" t="s">
        <v>700</v>
      </c>
      <c r="I385">
        <v>415.08</v>
      </c>
      <c r="J385">
        <v>406.79300000000001</v>
      </c>
      <c r="K385">
        <v>399.60300000000001</v>
      </c>
      <c r="L385">
        <v>393.19600000000003</v>
      </c>
      <c r="M385">
        <v>387.32400000000001</v>
      </c>
      <c r="N385" t="s">
        <v>988</v>
      </c>
    </row>
    <row r="386" spans="1:14" x14ac:dyDescent="0.3">
      <c r="A386">
        <v>405</v>
      </c>
      <c r="B386" t="s">
        <v>1358</v>
      </c>
      <c r="C386" t="s">
        <v>2256</v>
      </c>
      <c r="D386" t="s">
        <v>159</v>
      </c>
      <c r="E386" t="s">
        <v>159</v>
      </c>
      <c r="F386">
        <v>7949</v>
      </c>
      <c r="G386" t="s">
        <v>703</v>
      </c>
      <c r="I386">
        <v>198.214</v>
      </c>
      <c r="J386">
        <v>188.32599999999999</v>
      </c>
      <c r="K386">
        <v>178.78899999999999</v>
      </c>
      <c r="L386">
        <v>175.505</v>
      </c>
      <c r="M386">
        <v>173.02</v>
      </c>
      <c r="N386" t="s">
        <v>988</v>
      </c>
    </row>
    <row r="387" spans="1:14" x14ac:dyDescent="0.3">
      <c r="A387">
        <v>405</v>
      </c>
      <c r="B387" t="s">
        <v>1358</v>
      </c>
      <c r="C387" t="s">
        <v>2256</v>
      </c>
      <c r="D387" t="s">
        <v>159</v>
      </c>
      <c r="E387" t="s">
        <v>159</v>
      </c>
      <c r="F387">
        <v>7949</v>
      </c>
      <c r="G387" t="s">
        <v>701</v>
      </c>
      <c r="I387">
        <v>1.3540000000000001</v>
      </c>
      <c r="J387">
        <v>1.3540000000000001</v>
      </c>
      <c r="K387">
        <v>1.3540000000000001</v>
      </c>
      <c r="L387">
        <v>1.3540000000000001</v>
      </c>
      <c r="M387">
        <v>1.3540000000000001</v>
      </c>
      <c r="N387" t="s">
        <v>988</v>
      </c>
    </row>
    <row r="388" spans="1:14" x14ac:dyDescent="0.3">
      <c r="A388">
        <v>405</v>
      </c>
      <c r="B388" t="s">
        <v>1358</v>
      </c>
      <c r="C388" t="s">
        <v>2256</v>
      </c>
      <c r="D388" t="s">
        <v>159</v>
      </c>
      <c r="E388" t="s">
        <v>159</v>
      </c>
      <c r="F388">
        <v>7949</v>
      </c>
      <c r="G388" t="s">
        <v>691</v>
      </c>
      <c r="I388">
        <v>16.364999999999998</v>
      </c>
      <c r="J388">
        <v>16.364999999999998</v>
      </c>
      <c r="K388">
        <v>16.364999999999998</v>
      </c>
      <c r="L388">
        <v>16.364999999999998</v>
      </c>
      <c r="M388">
        <v>16.364999999999998</v>
      </c>
      <c r="N388" t="s">
        <v>988</v>
      </c>
    </row>
    <row r="389" spans="1:14" x14ac:dyDescent="0.3">
      <c r="A389">
        <v>405</v>
      </c>
      <c r="B389" t="s">
        <v>1358</v>
      </c>
      <c r="C389" t="s">
        <v>2256</v>
      </c>
      <c r="D389" t="s">
        <v>159</v>
      </c>
      <c r="E389" t="s">
        <v>159</v>
      </c>
      <c r="F389">
        <v>7949</v>
      </c>
      <c r="G389" t="s">
        <v>702</v>
      </c>
      <c r="H389" t="s">
        <v>1344</v>
      </c>
      <c r="I389">
        <v>0</v>
      </c>
      <c r="J389">
        <v>0</v>
      </c>
      <c r="K389">
        <v>0</v>
      </c>
      <c r="L389">
        <v>0</v>
      </c>
      <c r="M389">
        <v>0</v>
      </c>
      <c r="N389" t="s">
        <v>988</v>
      </c>
    </row>
    <row r="390" spans="1:14" x14ac:dyDescent="0.3">
      <c r="A390">
        <v>405</v>
      </c>
      <c r="B390" t="s">
        <v>1358</v>
      </c>
      <c r="C390" t="s">
        <v>2256</v>
      </c>
      <c r="D390" t="s">
        <v>159</v>
      </c>
      <c r="E390" t="s">
        <v>159</v>
      </c>
      <c r="F390">
        <v>7949</v>
      </c>
      <c r="G390" t="s">
        <v>686</v>
      </c>
      <c r="H390" t="s">
        <v>1346</v>
      </c>
      <c r="I390">
        <v>109.783</v>
      </c>
      <c r="J390">
        <v>113.035</v>
      </c>
      <c r="K390">
        <v>113.72199999999999</v>
      </c>
      <c r="L390">
        <v>114.45399999999999</v>
      </c>
      <c r="M390">
        <v>115.18600000000001</v>
      </c>
      <c r="N390" t="s">
        <v>988</v>
      </c>
    </row>
    <row r="391" spans="1:14" x14ac:dyDescent="0.3">
      <c r="A391">
        <v>405</v>
      </c>
      <c r="B391" t="s">
        <v>1358</v>
      </c>
      <c r="C391" t="s">
        <v>2256</v>
      </c>
      <c r="D391" t="s">
        <v>159</v>
      </c>
      <c r="E391" t="s">
        <v>159</v>
      </c>
      <c r="F391">
        <v>7949</v>
      </c>
      <c r="G391" t="s">
        <v>696</v>
      </c>
      <c r="I391">
        <v>943.1</v>
      </c>
      <c r="J391">
        <v>936.99400000000003</v>
      </c>
      <c r="K391">
        <v>935.38099999999997</v>
      </c>
      <c r="L391">
        <v>930.14800000000002</v>
      </c>
      <c r="M391">
        <v>930.66899999999998</v>
      </c>
      <c r="N391" t="s">
        <v>988</v>
      </c>
    </row>
    <row r="392" spans="1:14" x14ac:dyDescent="0.3">
      <c r="A392">
        <v>420</v>
      </c>
      <c r="B392" t="s">
        <v>1359</v>
      </c>
      <c r="C392" t="s">
        <v>2256</v>
      </c>
      <c r="D392" t="s">
        <v>159</v>
      </c>
      <c r="E392" t="s">
        <v>159</v>
      </c>
      <c r="F392">
        <v>7950</v>
      </c>
      <c r="G392" t="s">
        <v>696</v>
      </c>
      <c r="I392">
        <v>8145.5209999999997</v>
      </c>
      <c r="J392">
        <v>8094.0290000000005</v>
      </c>
      <c r="K392">
        <v>8108.201</v>
      </c>
      <c r="L392">
        <v>7996.8630000000003</v>
      </c>
      <c r="M392">
        <v>7947.6819999999998</v>
      </c>
      <c r="N392" t="s">
        <v>988</v>
      </c>
    </row>
    <row r="393" spans="1:14" x14ac:dyDescent="0.3">
      <c r="A393">
        <v>420</v>
      </c>
      <c r="B393" t="s">
        <v>1359</v>
      </c>
      <c r="C393" t="s">
        <v>2256</v>
      </c>
      <c r="D393" t="s">
        <v>159</v>
      </c>
      <c r="E393" t="s">
        <v>159</v>
      </c>
      <c r="F393">
        <v>7950</v>
      </c>
      <c r="G393" t="s">
        <v>698</v>
      </c>
      <c r="I393">
        <v>2203.556</v>
      </c>
      <c r="J393">
        <v>2370.0680000000002</v>
      </c>
      <c r="K393">
        <v>2499.027</v>
      </c>
      <c r="L393">
        <v>2720.1010000000001</v>
      </c>
      <c r="M393">
        <v>2970.6950000000002</v>
      </c>
      <c r="N393" t="s">
        <v>988</v>
      </c>
    </row>
    <row r="394" spans="1:14" x14ac:dyDescent="0.3">
      <c r="A394">
        <v>420</v>
      </c>
      <c r="B394" t="s">
        <v>1359</v>
      </c>
      <c r="C394" t="s">
        <v>2256</v>
      </c>
      <c r="D394" t="s">
        <v>159</v>
      </c>
      <c r="E394" t="s">
        <v>159</v>
      </c>
      <c r="F394">
        <v>7950</v>
      </c>
      <c r="G394" t="s">
        <v>700</v>
      </c>
      <c r="I394">
        <v>2345.17</v>
      </c>
      <c r="J394">
        <v>2301.0819999999999</v>
      </c>
      <c r="K394">
        <v>2367.6320000000001</v>
      </c>
      <c r="L394">
        <v>2409.4009999999998</v>
      </c>
      <c r="M394">
        <v>2463.7280000000001</v>
      </c>
      <c r="N394" t="s">
        <v>988</v>
      </c>
    </row>
    <row r="395" spans="1:14" x14ac:dyDescent="0.3">
      <c r="A395">
        <v>420</v>
      </c>
      <c r="B395" t="s">
        <v>1359</v>
      </c>
      <c r="C395" t="s">
        <v>2256</v>
      </c>
      <c r="D395" t="s">
        <v>159</v>
      </c>
      <c r="E395" t="s">
        <v>159</v>
      </c>
      <c r="F395">
        <v>7950</v>
      </c>
      <c r="G395" t="s">
        <v>703</v>
      </c>
      <c r="I395">
        <v>717.73699999999997</v>
      </c>
      <c r="J395">
        <v>721.51800000000003</v>
      </c>
      <c r="K395">
        <v>755.31299999999999</v>
      </c>
      <c r="L395">
        <v>787.13900000000001</v>
      </c>
      <c r="M395">
        <v>824.096</v>
      </c>
      <c r="N395" t="s">
        <v>988</v>
      </c>
    </row>
    <row r="396" spans="1:14" x14ac:dyDescent="0.3">
      <c r="A396">
        <v>420</v>
      </c>
      <c r="B396" t="s">
        <v>1359</v>
      </c>
      <c r="C396" t="s">
        <v>2256</v>
      </c>
      <c r="D396" t="s">
        <v>159</v>
      </c>
      <c r="E396" t="s">
        <v>159</v>
      </c>
      <c r="F396">
        <v>7950</v>
      </c>
      <c r="G396" t="s">
        <v>701</v>
      </c>
      <c r="I396">
        <v>30.984000000000002</v>
      </c>
      <c r="J396">
        <v>30.984000000000002</v>
      </c>
      <c r="K396">
        <v>30.984000000000002</v>
      </c>
      <c r="L396">
        <v>30.984000000000002</v>
      </c>
      <c r="M396">
        <v>30.984000000000002</v>
      </c>
      <c r="N396" t="s">
        <v>988</v>
      </c>
    </row>
    <row r="397" spans="1:14" x14ac:dyDescent="0.3">
      <c r="A397">
        <v>420</v>
      </c>
      <c r="B397" t="s">
        <v>1359</v>
      </c>
      <c r="C397" t="s">
        <v>2256</v>
      </c>
      <c r="D397" t="s">
        <v>159</v>
      </c>
      <c r="E397" t="s">
        <v>159</v>
      </c>
      <c r="F397">
        <v>7950</v>
      </c>
      <c r="G397" t="s">
        <v>691</v>
      </c>
      <c r="I397">
        <v>121.26600000000001</v>
      </c>
      <c r="J397">
        <v>121.26600000000001</v>
      </c>
      <c r="K397">
        <v>121.26600000000001</v>
      </c>
      <c r="L397">
        <v>121.26600000000001</v>
      </c>
      <c r="M397">
        <v>121.26600000000001</v>
      </c>
      <c r="N397" t="s">
        <v>988</v>
      </c>
    </row>
    <row r="398" spans="1:14" x14ac:dyDescent="0.3">
      <c r="A398">
        <v>420</v>
      </c>
      <c r="B398" t="s">
        <v>1359</v>
      </c>
      <c r="C398" t="s">
        <v>2256</v>
      </c>
      <c r="D398" t="s">
        <v>159</v>
      </c>
      <c r="E398" t="s">
        <v>159</v>
      </c>
      <c r="F398">
        <v>7950</v>
      </c>
      <c r="G398" t="s">
        <v>686</v>
      </c>
      <c r="H398" t="s">
        <v>1346</v>
      </c>
      <c r="I398">
        <v>853.471</v>
      </c>
      <c r="J398">
        <v>890.78200000000004</v>
      </c>
      <c r="K398">
        <v>903.66899999999998</v>
      </c>
      <c r="L398">
        <v>911.61099999999999</v>
      </c>
      <c r="M398">
        <v>920.09900000000005</v>
      </c>
      <c r="N398" t="s">
        <v>988</v>
      </c>
    </row>
    <row r="399" spans="1:14" x14ac:dyDescent="0.3">
      <c r="A399">
        <v>420</v>
      </c>
      <c r="B399" t="s">
        <v>1359</v>
      </c>
      <c r="C399" t="s">
        <v>2256</v>
      </c>
      <c r="D399" t="s">
        <v>159</v>
      </c>
      <c r="E399" t="s">
        <v>159</v>
      </c>
      <c r="F399">
        <v>7950</v>
      </c>
      <c r="G399" t="s">
        <v>702</v>
      </c>
      <c r="H399" t="s">
        <v>1344</v>
      </c>
      <c r="I399">
        <v>0</v>
      </c>
      <c r="J399">
        <v>0</v>
      </c>
      <c r="K399">
        <v>0</v>
      </c>
      <c r="L399">
        <v>0</v>
      </c>
      <c r="M399">
        <v>0</v>
      </c>
      <c r="N399" t="s">
        <v>988</v>
      </c>
    </row>
    <row r="400" spans="1:14" x14ac:dyDescent="0.3">
      <c r="A400">
        <v>412</v>
      </c>
      <c r="B400" t="s">
        <v>1360</v>
      </c>
      <c r="C400" t="s">
        <v>2256</v>
      </c>
      <c r="D400" t="s">
        <v>159</v>
      </c>
      <c r="E400" t="s">
        <v>159</v>
      </c>
      <c r="F400">
        <v>7951</v>
      </c>
      <c r="G400" t="s">
        <v>696</v>
      </c>
      <c r="I400">
        <v>775.80100000000004</v>
      </c>
      <c r="J400">
        <v>775.54700000000003</v>
      </c>
      <c r="K400">
        <v>776.35299999999995</v>
      </c>
      <c r="L400">
        <v>774.83799999999997</v>
      </c>
      <c r="M400">
        <v>777.76</v>
      </c>
      <c r="N400" t="s">
        <v>988</v>
      </c>
    </row>
    <row r="401" spans="1:14" x14ac:dyDescent="0.3">
      <c r="A401">
        <v>412</v>
      </c>
      <c r="B401" t="s">
        <v>1360</v>
      </c>
      <c r="C401" t="s">
        <v>2256</v>
      </c>
      <c r="D401" t="s">
        <v>159</v>
      </c>
      <c r="E401" t="s">
        <v>159</v>
      </c>
      <c r="F401">
        <v>7951</v>
      </c>
      <c r="G401" t="s">
        <v>686</v>
      </c>
      <c r="H401" t="s">
        <v>1346</v>
      </c>
      <c r="I401">
        <v>175.38300000000001</v>
      </c>
      <c r="J401">
        <v>133.05000000000001</v>
      </c>
      <c r="K401">
        <v>134.05500000000001</v>
      </c>
      <c r="L401">
        <v>135.06</v>
      </c>
      <c r="M401">
        <v>136.065</v>
      </c>
      <c r="N401" t="s">
        <v>988</v>
      </c>
    </row>
    <row r="402" spans="1:14" x14ac:dyDescent="0.3">
      <c r="A402">
        <v>412</v>
      </c>
      <c r="B402" t="s">
        <v>1360</v>
      </c>
      <c r="C402" t="s">
        <v>2256</v>
      </c>
      <c r="D402" t="s">
        <v>159</v>
      </c>
      <c r="E402" t="s">
        <v>159</v>
      </c>
      <c r="F402">
        <v>7951</v>
      </c>
      <c r="G402" t="s">
        <v>702</v>
      </c>
      <c r="H402" t="s">
        <v>1344</v>
      </c>
      <c r="I402">
        <v>0</v>
      </c>
      <c r="J402">
        <v>0</v>
      </c>
      <c r="K402">
        <v>0</v>
      </c>
      <c r="L402">
        <v>0</v>
      </c>
      <c r="M402">
        <v>0</v>
      </c>
      <c r="N402" t="s">
        <v>988</v>
      </c>
    </row>
    <row r="403" spans="1:14" x14ac:dyDescent="0.3">
      <c r="A403">
        <v>412</v>
      </c>
      <c r="B403" t="s">
        <v>1360</v>
      </c>
      <c r="C403" t="s">
        <v>2256</v>
      </c>
      <c r="D403" t="s">
        <v>159</v>
      </c>
      <c r="E403" t="s">
        <v>159</v>
      </c>
      <c r="F403">
        <v>7951</v>
      </c>
      <c r="G403" t="s">
        <v>698</v>
      </c>
      <c r="I403">
        <v>154.69999999999999</v>
      </c>
      <c r="J403">
        <v>153.6</v>
      </c>
      <c r="K403">
        <v>153.47800000000001</v>
      </c>
      <c r="L403">
        <v>153.72200000000001</v>
      </c>
      <c r="M403">
        <v>154.46600000000001</v>
      </c>
      <c r="N403" t="s">
        <v>988</v>
      </c>
    </row>
    <row r="404" spans="1:14" x14ac:dyDescent="0.3">
      <c r="A404">
        <v>412</v>
      </c>
      <c r="B404" t="s">
        <v>1360</v>
      </c>
      <c r="C404" t="s">
        <v>2256</v>
      </c>
      <c r="D404" t="s">
        <v>159</v>
      </c>
      <c r="E404" t="s">
        <v>159</v>
      </c>
      <c r="F404">
        <v>7951</v>
      </c>
      <c r="G404" t="s">
        <v>701</v>
      </c>
      <c r="I404">
        <v>544.22500000000002</v>
      </c>
      <c r="J404">
        <v>544.22500000000002</v>
      </c>
      <c r="K404">
        <v>544.22500000000002</v>
      </c>
      <c r="L404">
        <v>544.22500000000002</v>
      </c>
      <c r="M404">
        <v>544.22500000000002</v>
      </c>
      <c r="N404" t="s">
        <v>988</v>
      </c>
    </row>
    <row r="405" spans="1:14" x14ac:dyDescent="0.3">
      <c r="A405">
        <v>412</v>
      </c>
      <c r="B405" t="s">
        <v>1360</v>
      </c>
      <c r="C405" t="s">
        <v>2256</v>
      </c>
      <c r="D405" t="s">
        <v>159</v>
      </c>
      <c r="E405" t="s">
        <v>159</v>
      </c>
      <c r="F405">
        <v>7951</v>
      </c>
      <c r="G405" t="s">
        <v>703</v>
      </c>
      <c r="I405">
        <v>249.11699999999999</v>
      </c>
      <c r="J405">
        <v>246.703</v>
      </c>
      <c r="K405">
        <v>245.006</v>
      </c>
      <c r="L405">
        <v>243.42599999999999</v>
      </c>
      <c r="M405">
        <v>241.922</v>
      </c>
      <c r="N405" t="s">
        <v>988</v>
      </c>
    </row>
    <row r="406" spans="1:14" x14ac:dyDescent="0.3">
      <c r="A406">
        <v>412</v>
      </c>
      <c r="B406" t="s">
        <v>1360</v>
      </c>
      <c r="C406" t="s">
        <v>2256</v>
      </c>
      <c r="D406" t="s">
        <v>159</v>
      </c>
      <c r="E406" t="s">
        <v>159</v>
      </c>
      <c r="F406">
        <v>7951</v>
      </c>
      <c r="G406" t="s">
        <v>700</v>
      </c>
      <c r="I406">
        <v>743.41899999999998</v>
      </c>
      <c r="J406">
        <v>734.90300000000002</v>
      </c>
      <c r="K406">
        <v>729.17499999999995</v>
      </c>
      <c r="L406">
        <v>724.28700000000003</v>
      </c>
      <c r="M406">
        <v>719.96600000000001</v>
      </c>
      <c r="N406" t="s">
        <v>988</v>
      </c>
    </row>
    <row r="407" spans="1:14" x14ac:dyDescent="0.3">
      <c r="A407">
        <v>412</v>
      </c>
      <c r="B407" t="s">
        <v>1360</v>
      </c>
      <c r="C407" t="s">
        <v>2256</v>
      </c>
      <c r="D407" t="s">
        <v>159</v>
      </c>
      <c r="E407" t="s">
        <v>159</v>
      </c>
      <c r="F407">
        <v>7951</v>
      </c>
      <c r="G407" t="s">
        <v>691</v>
      </c>
      <c r="I407">
        <v>11.363</v>
      </c>
      <c r="J407">
        <v>11.363</v>
      </c>
      <c r="K407">
        <v>11.363</v>
      </c>
      <c r="L407">
        <v>11.363</v>
      </c>
      <c r="M407">
        <v>11.363</v>
      </c>
      <c r="N407" t="s">
        <v>988</v>
      </c>
    </row>
    <row r="408" spans="1:14" x14ac:dyDescent="0.3">
      <c r="A408">
        <v>413</v>
      </c>
      <c r="B408" t="s">
        <v>1361</v>
      </c>
      <c r="C408" t="s">
        <v>2256</v>
      </c>
      <c r="D408" t="s">
        <v>159</v>
      </c>
      <c r="E408" t="s">
        <v>159</v>
      </c>
      <c r="F408">
        <v>7952</v>
      </c>
      <c r="G408" t="s">
        <v>696</v>
      </c>
      <c r="I408">
        <v>13392.22</v>
      </c>
      <c r="J408">
        <v>13458.03</v>
      </c>
      <c r="K408">
        <v>13617.83</v>
      </c>
      <c r="L408">
        <v>13719.85</v>
      </c>
      <c r="M408">
        <v>13924.18</v>
      </c>
      <c r="N408" t="s">
        <v>988</v>
      </c>
    </row>
    <row r="409" spans="1:14" x14ac:dyDescent="0.3">
      <c r="A409">
        <v>413</v>
      </c>
      <c r="B409" t="s">
        <v>1361</v>
      </c>
      <c r="C409" t="s">
        <v>2256</v>
      </c>
      <c r="D409" t="s">
        <v>159</v>
      </c>
      <c r="E409" t="s">
        <v>159</v>
      </c>
      <c r="F409">
        <v>7952</v>
      </c>
      <c r="G409" t="s">
        <v>686</v>
      </c>
      <c r="H409" t="s">
        <v>1344</v>
      </c>
      <c r="I409">
        <v>1157.51</v>
      </c>
      <c r="J409">
        <v>1064.57</v>
      </c>
      <c r="K409">
        <v>1073.6500000000001</v>
      </c>
      <c r="L409">
        <v>1082.82</v>
      </c>
      <c r="M409">
        <v>1092.08</v>
      </c>
      <c r="N409" t="s">
        <v>988</v>
      </c>
    </row>
    <row r="410" spans="1:14" x14ac:dyDescent="0.3">
      <c r="A410">
        <v>413</v>
      </c>
      <c r="B410" t="s">
        <v>1361</v>
      </c>
      <c r="C410" t="s">
        <v>2256</v>
      </c>
      <c r="D410" t="s">
        <v>159</v>
      </c>
      <c r="E410" t="s">
        <v>159</v>
      </c>
      <c r="F410">
        <v>7952</v>
      </c>
      <c r="G410" t="s">
        <v>702</v>
      </c>
      <c r="I410">
        <v>1.27</v>
      </c>
      <c r="J410">
        <v>1.27</v>
      </c>
      <c r="K410">
        <v>1.27</v>
      </c>
      <c r="L410">
        <v>1.27</v>
      </c>
      <c r="M410">
        <v>1.27</v>
      </c>
      <c r="N410" t="s">
        <v>988</v>
      </c>
    </row>
    <row r="411" spans="1:14" x14ac:dyDescent="0.3">
      <c r="A411">
        <v>413</v>
      </c>
      <c r="B411" t="s">
        <v>1361</v>
      </c>
      <c r="C411" t="s">
        <v>2256</v>
      </c>
      <c r="D411" t="s">
        <v>159</v>
      </c>
      <c r="E411" t="s">
        <v>159</v>
      </c>
      <c r="F411">
        <v>7952</v>
      </c>
      <c r="G411" t="s">
        <v>698</v>
      </c>
      <c r="I411">
        <v>606.20000000000005</v>
      </c>
      <c r="J411">
        <v>604.74</v>
      </c>
      <c r="K411">
        <v>607.21</v>
      </c>
      <c r="L411">
        <v>610.48</v>
      </c>
      <c r="M411">
        <v>615.89</v>
      </c>
      <c r="N411" t="s">
        <v>988</v>
      </c>
    </row>
    <row r="412" spans="1:14" x14ac:dyDescent="0.3">
      <c r="A412">
        <v>413</v>
      </c>
      <c r="B412" t="s">
        <v>1361</v>
      </c>
      <c r="C412" t="s">
        <v>2256</v>
      </c>
      <c r="D412" t="s">
        <v>159</v>
      </c>
      <c r="E412" t="s">
        <v>159</v>
      </c>
      <c r="F412">
        <v>7952</v>
      </c>
      <c r="G412" t="s">
        <v>701</v>
      </c>
      <c r="I412">
        <v>0</v>
      </c>
      <c r="J412">
        <v>0</v>
      </c>
      <c r="K412">
        <v>0</v>
      </c>
      <c r="L412">
        <v>0</v>
      </c>
      <c r="M412">
        <v>0</v>
      </c>
      <c r="N412" t="s">
        <v>988</v>
      </c>
    </row>
    <row r="413" spans="1:14" x14ac:dyDescent="0.3">
      <c r="A413">
        <v>413</v>
      </c>
      <c r="B413" t="s">
        <v>1361</v>
      </c>
      <c r="C413" t="s">
        <v>2256</v>
      </c>
      <c r="D413" t="s">
        <v>159</v>
      </c>
      <c r="E413" t="s">
        <v>159</v>
      </c>
      <c r="F413">
        <v>7952</v>
      </c>
      <c r="G413" t="s">
        <v>703</v>
      </c>
      <c r="I413">
        <v>645.1</v>
      </c>
      <c r="J413">
        <v>627.87</v>
      </c>
      <c r="K413">
        <v>625.48</v>
      </c>
      <c r="L413">
        <v>625.48</v>
      </c>
      <c r="M413">
        <v>627.09</v>
      </c>
      <c r="N413" t="s">
        <v>988</v>
      </c>
    </row>
    <row r="414" spans="1:14" x14ac:dyDescent="0.3">
      <c r="A414">
        <v>413</v>
      </c>
      <c r="B414" t="s">
        <v>1361</v>
      </c>
      <c r="C414" t="s">
        <v>2256</v>
      </c>
      <c r="D414" t="s">
        <v>159</v>
      </c>
      <c r="E414" t="s">
        <v>159</v>
      </c>
      <c r="F414">
        <v>7952</v>
      </c>
      <c r="G414" t="s">
        <v>700</v>
      </c>
      <c r="I414">
        <v>2043.81</v>
      </c>
      <c r="J414">
        <v>1998.11</v>
      </c>
      <c r="K414">
        <v>1997.33</v>
      </c>
      <c r="L414">
        <v>2002.89</v>
      </c>
      <c r="M414">
        <v>2012.74</v>
      </c>
      <c r="N414" t="s">
        <v>988</v>
      </c>
    </row>
    <row r="415" spans="1:14" x14ac:dyDescent="0.3">
      <c r="A415">
        <v>413</v>
      </c>
      <c r="B415" t="s">
        <v>1361</v>
      </c>
      <c r="C415" t="s">
        <v>2256</v>
      </c>
      <c r="D415" t="s">
        <v>159</v>
      </c>
      <c r="E415" t="s">
        <v>159</v>
      </c>
      <c r="F415">
        <v>7952</v>
      </c>
      <c r="G415" t="s">
        <v>691</v>
      </c>
      <c r="I415">
        <v>26.96</v>
      </c>
      <c r="J415">
        <v>26.96</v>
      </c>
      <c r="K415">
        <v>26.96</v>
      </c>
      <c r="L415">
        <v>26.96</v>
      </c>
      <c r="M415">
        <v>26.96</v>
      </c>
      <c r="N415" t="s">
        <v>988</v>
      </c>
    </row>
    <row r="416" spans="1:14" x14ac:dyDescent="0.3">
      <c r="A416">
        <v>416</v>
      </c>
      <c r="B416" t="s">
        <v>1362</v>
      </c>
      <c r="C416" t="s">
        <v>2256</v>
      </c>
      <c r="D416" t="s">
        <v>159</v>
      </c>
      <c r="E416" t="s">
        <v>159</v>
      </c>
      <c r="F416">
        <v>7953</v>
      </c>
      <c r="G416" t="s">
        <v>686</v>
      </c>
      <c r="H416" t="s">
        <v>1344</v>
      </c>
      <c r="I416">
        <v>75.463999999999999</v>
      </c>
      <c r="J416">
        <v>64.751000000000005</v>
      </c>
      <c r="K416">
        <v>64.751000000000005</v>
      </c>
      <c r="L416">
        <v>64.751000000000005</v>
      </c>
      <c r="M416">
        <v>64.751000000000005</v>
      </c>
      <c r="N416" t="s">
        <v>988</v>
      </c>
    </row>
    <row r="417" spans="1:14" x14ac:dyDescent="0.3">
      <c r="A417">
        <v>416</v>
      </c>
      <c r="B417" t="s">
        <v>1362</v>
      </c>
      <c r="C417" t="s">
        <v>2256</v>
      </c>
      <c r="D417" t="s">
        <v>159</v>
      </c>
      <c r="E417" t="s">
        <v>159</v>
      </c>
      <c r="F417">
        <v>7953</v>
      </c>
      <c r="G417" t="s">
        <v>702</v>
      </c>
      <c r="I417">
        <v>0</v>
      </c>
      <c r="J417">
        <v>0</v>
      </c>
      <c r="K417">
        <v>0</v>
      </c>
      <c r="L417">
        <v>0</v>
      </c>
      <c r="M417">
        <v>0</v>
      </c>
      <c r="N417" t="s">
        <v>988</v>
      </c>
    </row>
    <row r="418" spans="1:14" x14ac:dyDescent="0.3">
      <c r="A418">
        <v>416</v>
      </c>
      <c r="B418" t="s">
        <v>1362</v>
      </c>
      <c r="C418" t="s">
        <v>2256</v>
      </c>
      <c r="D418" t="s">
        <v>159</v>
      </c>
      <c r="E418" t="s">
        <v>159</v>
      </c>
      <c r="F418">
        <v>7953</v>
      </c>
      <c r="G418" t="s">
        <v>691</v>
      </c>
      <c r="I418">
        <v>0</v>
      </c>
      <c r="J418">
        <v>0</v>
      </c>
      <c r="K418">
        <v>0</v>
      </c>
      <c r="L418">
        <v>0</v>
      </c>
      <c r="M418">
        <v>0</v>
      </c>
      <c r="N418" t="s">
        <v>988</v>
      </c>
    </row>
    <row r="419" spans="1:14" x14ac:dyDescent="0.3">
      <c r="A419">
        <v>416</v>
      </c>
      <c r="B419" t="s">
        <v>1362</v>
      </c>
      <c r="C419" t="s">
        <v>2256</v>
      </c>
      <c r="D419" t="s">
        <v>159</v>
      </c>
      <c r="E419" t="s">
        <v>159</v>
      </c>
      <c r="F419">
        <v>7953</v>
      </c>
      <c r="G419" t="s">
        <v>698</v>
      </c>
      <c r="I419">
        <v>31.035</v>
      </c>
      <c r="J419">
        <v>30.972000000000001</v>
      </c>
      <c r="K419">
        <v>30.977</v>
      </c>
      <c r="L419">
        <v>30.942</v>
      </c>
      <c r="M419">
        <v>31</v>
      </c>
      <c r="N419" t="s">
        <v>988</v>
      </c>
    </row>
    <row r="420" spans="1:14" x14ac:dyDescent="0.3">
      <c r="A420">
        <v>416</v>
      </c>
      <c r="B420" t="s">
        <v>1362</v>
      </c>
      <c r="C420" t="s">
        <v>2256</v>
      </c>
      <c r="D420" t="s">
        <v>159</v>
      </c>
      <c r="E420" t="s">
        <v>159</v>
      </c>
      <c r="F420">
        <v>7953</v>
      </c>
      <c r="G420" t="s">
        <v>703</v>
      </c>
      <c r="I420">
        <v>8.5980000000000008</v>
      </c>
      <c r="J420">
        <v>8.452</v>
      </c>
      <c r="K420">
        <v>8.3140000000000001</v>
      </c>
      <c r="L420">
        <v>8.1850000000000005</v>
      </c>
      <c r="M420">
        <v>8.0679999999999996</v>
      </c>
      <c r="N420" t="s">
        <v>988</v>
      </c>
    </row>
    <row r="421" spans="1:14" x14ac:dyDescent="0.3">
      <c r="A421">
        <v>416</v>
      </c>
      <c r="B421" t="s">
        <v>1362</v>
      </c>
      <c r="C421" t="s">
        <v>2256</v>
      </c>
      <c r="D421" t="s">
        <v>159</v>
      </c>
      <c r="E421" t="s">
        <v>159</v>
      </c>
      <c r="F421">
        <v>7953</v>
      </c>
      <c r="G421" t="s">
        <v>700</v>
      </c>
      <c r="I421">
        <v>15.528</v>
      </c>
      <c r="J421">
        <v>15.215</v>
      </c>
      <c r="K421">
        <v>14.932</v>
      </c>
      <c r="L421">
        <v>14.68</v>
      </c>
      <c r="M421">
        <v>14.476000000000001</v>
      </c>
      <c r="N421" t="s">
        <v>988</v>
      </c>
    </row>
    <row r="422" spans="1:14" x14ac:dyDescent="0.3">
      <c r="A422">
        <v>416</v>
      </c>
      <c r="B422" t="s">
        <v>1362</v>
      </c>
      <c r="C422" t="s">
        <v>2256</v>
      </c>
      <c r="D422" t="s">
        <v>159</v>
      </c>
      <c r="E422" t="s">
        <v>159</v>
      </c>
      <c r="F422">
        <v>7953</v>
      </c>
      <c r="G422" t="s">
        <v>696</v>
      </c>
      <c r="I422">
        <v>228.96700000000001</v>
      </c>
      <c r="J422">
        <v>224.19800000000001</v>
      </c>
      <c r="K422">
        <v>220.45</v>
      </c>
      <c r="L422">
        <v>216.43899999999999</v>
      </c>
      <c r="M422">
        <v>215.44800000000001</v>
      </c>
      <c r="N422" t="s">
        <v>988</v>
      </c>
    </row>
    <row r="423" spans="1:14" x14ac:dyDescent="0.3">
      <c r="A423">
        <v>416</v>
      </c>
      <c r="B423" t="s">
        <v>1362</v>
      </c>
      <c r="C423" t="s">
        <v>2256</v>
      </c>
      <c r="D423" t="s">
        <v>159</v>
      </c>
      <c r="E423" t="s">
        <v>159</v>
      </c>
      <c r="F423">
        <v>7953</v>
      </c>
      <c r="G423" t="s">
        <v>701</v>
      </c>
      <c r="I423">
        <v>0</v>
      </c>
      <c r="J423">
        <v>0</v>
      </c>
      <c r="K423">
        <v>0</v>
      </c>
      <c r="L423">
        <v>0</v>
      </c>
      <c r="M423">
        <v>0</v>
      </c>
      <c r="N423" t="s">
        <v>988</v>
      </c>
    </row>
    <row r="424" spans="1:14" x14ac:dyDescent="0.3">
      <c r="A424">
        <v>417</v>
      </c>
      <c r="B424" t="s">
        <v>1363</v>
      </c>
      <c r="C424" t="s">
        <v>2256</v>
      </c>
      <c r="D424" t="s">
        <v>159</v>
      </c>
      <c r="E424" t="s">
        <v>159</v>
      </c>
      <c r="F424">
        <v>7954</v>
      </c>
      <c r="G424" t="s">
        <v>686</v>
      </c>
      <c r="H424" t="s">
        <v>1344</v>
      </c>
      <c r="I424">
        <v>876.00900000000001</v>
      </c>
      <c r="J424">
        <v>772.08100000000002</v>
      </c>
      <c r="K424">
        <v>787.18100000000004</v>
      </c>
      <c r="L424">
        <v>802.28</v>
      </c>
      <c r="M424">
        <v>817.37900000000002</v>
      </c>
      <c r="N424" t="s">
        <v>988</v>
      </c>
    </row>
    <row r="425" spans="1:14" x14ac:dyDescent="0.3">
      <c r="A425">
        <v>417</v>
      </c>
      <c r="B425" t="s">
        <v>1363</v>
      </c>
      <c r="C425" t="s">
        <v>2256</v>
      </c>
      <c r="D425" t="s">
        <v>159</v>
      </c>
      <c r="E425" t="s">
        <v>159</v>
      </c>
      <c r="F425">
        <v>7954</v>
      </c>
      <c r="G425" t="s">
        <v>696</v>
      </c>
      <c r="I425">
        <v>7174.1790000000001</v>
      </c>
      <c r="J425">
        <v>7346.0829999999996</v>
      </c>
      <c r="K425">
        <v>7561.2629999999999</v>
      </c>
      <c r="L425">
        <v>7781.3620000000001</v>
      </c>
      <c r="M425">
        <v>8062.7269999999999</v>
      </c>
      <c r="N425" t="s">
        <v>988</v>
      </c>
    </row>
    <row r="426" spans="1:14" x14ac:dyDescent="0.3">
      <c r="A426">
        <v>417</v>
      </c>
      <c r="B426" t="s">
        <v>1363</v>
      </c>
      <c r="C426" t="s">
        <v>2256</v>
      </c>
      <c r="D426" t="s">
        <v>159</v>
      </c>
      <c r="E426" t="s">
        <v>159</v>
      </c>
      <c r="F426">
        <v>7954</v>
      </c>
      <c r="G426" t="s">
        <v>698</v>
      </c>
      <c r="I426">
        <v>1495.7049999999999</v>
      </c>
      <c r="J426">
        <v>1595.239</v>
      </c>
      <c r="K426">
        <v>1702.1769999999999</v>
      </c>
      <c r="L426">
        <v>1812.2070000000001</v>
      </c>
      <c r="M426">
        <v>1928.8630000000001</v>
      </c>
      <c r="N426" t="s">
        <v>988</v>
      </c>
    </row>
    <row r="427" spans="1:14" x14ac:dyDescent="0.3">
      <c r="A427">
        <v>417</v>
      </c>
      <c r="B427" t="s">
        <v>1363</v>
      </c>
      <c r="C427" t="s">
        <v>2256</v>
      </c>
      <c r="D427" t="s">
        <v>159</v>
      </c>
      <c r="E427" t="s">
        <v>159</v>
      </c>
      <c r="F427">
        <v>7954</v>
      </c>
      <c r="G427" t="s">
        <v>700</v>
      </c>
      <c r="I427">
        <v>4399.6620000000003</v>
      </c>
      <c r="J427">
        <v>4482.2290000000003</v>
      </c>
      <c r="K427">
        <v>4597.415</v>
      </c>
      <c r="L427">
        <v>4716.5209999999997</v>
      </c>
      <c r="M427">
        <v>4845.66</v>
      </c>
      <c r="N427" t="s">
        <v>988</v>
      </c>
    </row>
    <row r="428" spans="1:14" x14ac:dyDescent="0.3">
      <c r="A428">
        <v>417</v>
      </c>
      <c r="B428" t="s">
        <v>1363</v>
      </c>
      <c r="C428" t="s">
        <v>2256</v>
      </c>
      <c r="D428" t="s">
        <v>159</v>
      </c>
      <c r="E428" t="s">
        <v>159</v>
      </c>
      <c r="F428">
        <v>7954</v>
      </c>
      <c r="G428" t="s">
        <v>703</v>
      </c>
      <c r="I428">
        <v>967.39300000000003</v>
      </c>
      <c r="J428">
        <v>1096.779</v>
      </c>
      <c r="K428">
        <v>1231.5119999999999</v>
      </c>
      <c r="L428">
        <v>1366.58</v>
      </c>
      <c r="M428">
        <v>1502.4870000000001</v>
      </c>
      <c r="N428" t="s">
        <v>988</v>
      </c>
    </row>
    <row r="429" spans="1:14" x14ac:dyDescent="0.3">
      <c r="A429">
        <v>417</v>
      </c>
      <c r="B429" t="s">
        <v>1363</v>
      </c>
      <c r="C429" t="s">
        <v>2256</v>
      </c>
      <c r="D429" t="s">
        <v>159</v>
      </c>
      <c r="E429" t="s">
        <v>159</v>
      </c>
      <c r="F429">
        <v>7954</v>
      </c>
      <c r="G429" t="s">
        <v>701</v>
      </c>
      <c r="I429">
        <v>1670.4110000000001</v>
      </c>
      <c r="J429">
        <v>1670.4110000000001</v>
      </c>
      <c r="K429">
        <v>1670.4110000000001</v>
      </c>
      <c r="L429">
        <v>1670.4110000000001</v>
      </c>
      <c r="M429">
        <v>1670.4110000000001</v>
      </c>
      <c r="N429" t="s">
        <v>988</v>
      </c>
    </row>
    <row r="430" spans="1:14" x14ac:dyDescent="0.3">
      <c r="A430">
        <v>417</v>
      </c>
      <c r="B430" t="s">
        <v>1363</v>
      </c>
      <c r="C430" t="s">
        <v>2256</v>
      </c>
      <c r="D430" t="s">
        <v>159</v>
      </c>
      <c r="E430" t="s">
        <v>159</v>
      </c>
      <c r="F430">
        <v>7954</v>
      </c>
      <c r="G430" t="s">
        <v>691</v>
      </c>
      <c r="I430">
        <v>24.08</v>
      </c>
      <c r="J430">
        <v>24.08</v>
      </c>
      <c r="K430">
        <v>24.08</v>
      </c>
      <c r="L430">
        <v>24.08</v>
      </c>
      <c r="M430">
        <v>24.08</v>
      </c>
      <c r="N430" t="s">
        <v>988</v>
      </c>
    </row>
    <row r="431" spans="1:14" x14ac:dyDescent="0.3">
      <c r="A431">
        <v>417</v>
      </c>
      <c r="B431" t="s">
        <v>1363</v>
      </c>
      <c r="C431" t="s">
        <v>2256</v>
      </c>
      <c r="D431" t="s">
        <v>159</v>
      </c>
      <c r="E431" t="s">
        <v>159</v>
      </c>
      <c r="F431">
        <v>7954</v>
      </c>
      <c r="G431" t="s">
        <v>702</v>
      </c>
      <c r="I431">
        <v>1.143</v>
      </c>
      <c r="J431">
        <v>1.143</v>
      </c>
      <c r="K431">
        <v>1.143</v>
      </c>
      <c r="L431">
        <v>1.143</v>
      </c>
      <c r="M431">
        <v>1.143</v>
      </c>
      <c r="N431" t="s">
        <v>988</v>
      </c>
    </row>
    <row r="432" spans="1:14" x14ac:dyDescent="0.3">
      <c r="A432">
        <v>421</v>
      </c>
      <c r="B432" t="s">
        <v>1364</v>
      </c>
      <c r="C432" t="s">
        <v>2256</v>
      </c>
      <c r="D432" t="s">
        <v>159</v>
      </c>
      <c r="E432" t="s">
        <v>159</v>
      </c>
      <c r="F432">
        <v>7955</v>
      </c>
      <c r="G432" t="s">
        <v>701</v>
      </c>
      <c r="I432">
        <v>39.207000000000001</v>
      </c>
      <c r="J432">
        <v>39.207000000000001</v>
      </c>
      <c r="K432">
        <v>39.207000000000001</v>
      </c>
      <c r="L432">
        <v>39.207000000000001</v>
      </c>
      <c r="M432">
        <v>39.207000000000001</v>
      </c>
      <c r="N432" t="s">
        <v>988</v>
      </c>
    </row>
    <row r="433" spans="1:14" x14ac:dyDescent="0.3">
      <c r="A433">
        <v>421</v>
      </c>
      <c r="B433" t="s">
        <v>1364</v>
      </c>
      <c r="C433" t="s">
        <v>2256</v>
      </c>
      <c r="D433" t="s">
        <v>159</v>
      </c>
      <c r="E433" t="s">
        <v>159</v>
      </c>
      <c r="F433">
        <v>7955</v>
      </c>
      <c r="G433" t="s">
        <v>698</v>
      </c>
      <c r="I433">
        <v>317.91199999999998</v>
      </c>
      <c r="J433">
        <v>319.01799999999997</v>
      </c>
      <c r="K433">
        <v>322.35399999999998</v>
      </c>
      <c r="L433">
        <v>326.07100000000003</v>
      </c>
      <c r="M433">
        <v>330.97899999999998</v>
      </c>
      <c r="N433" t="s">
        <v>988</v>
      </c>
    </row>
    <row r="434" spans="1:14" x14ac:dyDescent="0.3">
      <c r="A434">
        <v>421</v>
      </c>
      <c r="B434" t="s">
        <v>1364</v>
      </c>
      <c r="C434" t="s">
        <v>2256</v>
      </c>
      <c r="D434" t="s">
        <v>159</v>
      </c>
      <c r="E434" t="s">
        <v>159</v>
      </c>
      <c r="F434">
        <v>7955</v>
      </c>
      <c r="G434" t="s">
        <v>696</v>
      </c>
      <c r="I434">
        <v>2837.0189999999998</v>
      </c>
      <c r="J434">
        <v>2950.2979999999998</v>
      </c>
      <c r="K434">
        <v>3072.741</v>
      </c>
      <c r="L434">
        <v>3169.7530000000002</v>
      </c>
      <c r="M434">
        <v>3285.5210000000002</v>
      </c>
      <c r="N434" t="s">
        <v>988</v>
      </c>
    </row>
    <row r="435" spans="1:14" x14ac:dyDescent="0.3">
      <c r="A435">
        <v>421</v>
      </c>
      <c r="B435" t="s">
        <v>1364</v>
      </c>
      <c r="C435" t="s">
        <v>2256</v>
      </c>
      <c r="D435" t="s">
        <v>159</v>
      </c>
      <c r="E435" t="s">
        <v>159</v>
      </c>
      <c r="F435">
        <v>7955</v>
      </c>
      <c r="G435" t="s">
        <v>691</v>
      </c>
      <c r="I435">
        <v>6.5570000000000004</v>
      </c>
      <c r="J435">
        <v>6.5570000000000004</v>
      </c>
      <c r="K435">
        <v>6.5570000000000004</v>
      </c>
      <c r="L435">
        <v>6.5570000000000004</v>
      </c>
      <c r="M435">
        <v>6.5570000000000004</v>
      </c>
      <c r="N435" t="s">
        <v>988</v>
      </c>
    </row>
    <row r="436" spans="1:14" x14ac:dyDescent="0.3">
      <c r="A436">
        <v>421</v>
      </c>
      <c r="B436" t="s">
        <v>1364</v>
      </c>
      <c r="C436" t="s">
        <v>2256</v>
      </c>
      <c r="D436" t="s">
        <v>159</v>
      </c>
      <c r="E436" t="s">
        <v>159</v>
      </c>
      <c r="F436">
        <v>7955</v>
      </c>
      <c r="G436" t="s">
        <v>686</v>
      </c>
      <c r="H436" t="s">
        <v>1346</v>
      </c>
      <c r="I436">
        <v>549.04899999999998</v>
      </c>
      <c r="J436">
        <v>402.92599999999999</v>
      </c>
      <c r="K436">
        <v>420.98099999999999</v>
      </c>
      <c r="L436">
        <v>439.03699999999998</v>
      </c>
      <c r="M436">
        <v>457.09300000000002</v>
      </c>
      <c r="N436" t="s">
        <v>988</v>
      </c>
    </row>
    <row r="437" spans="1:14" x14ac:dyDescent="0.3">
      <c r="A437">
        <v>421</v>
      </c>
      <c r="B437" t="s">
        <v>1364</v>
      </c>
      <c r="C437" t="s">
        <v>2256</v>
      </c>
      <c r="D437" t="s">
        <v>159</v>
      </c>
      <c r="E437" t="s">
        <v>159</v>
      </c>
      <c r="F437">
        <v>7955</v>
      </c>
      <c r="G437" t="s">
        <v>703</v>
      </c>
      <c r="I437">
        <v>230.10400000000001</v>
      </c>
      <c r="J437">
        <v>229.41300000000001</v>
      </c>
      <c r="K437">
        <v>229.755</v>
      </c>
      <c r="L437">
        <v>230.423</v>
      </c>
      <c r="M437">
        <v>231.274</v>
      </c>
      <c r="N437" t="s">
        <v>988</v>
      </c>
    </row>
    <row r="438" spans="1:14" x14ac:dyDescent="0.3">
      <c r="A438">
        <v>421</v>
      </c>
      <c r="B438" t="s">
        <v>1364</v>
      </c>
      <c r="C438" t="s">
        <v>2256</v>
      </c>
      <c r="D438" t="s">
        <v>159</v>
      </c>
      <c r="E438" t="s">
        <v>159</v>
      </c>
      <c r="F438">
        <v>7955</v>
      </c>
      <c r="G438" t="s">
        <v>700</v>
      </c>
      <c r="I438">
        <v>453.84500000000003</v>
      </c>
      <c r="J438">
        <v>449.404</v>
      </c>
      <c r="K438">
        <v>448.10899999999998</v>
      </c>
      <c r="L438">
        <v>448.20299999999997</v>
      </c>
      <c r="M438">
        <v>449.14299999999997</v>
      </c>
      <c r="N438" t="s">
        <v>988</v>
      </c>
    </row>
    <row r="439" spans="1:14" x14ac:dyDescent="0.3">
      <c r="A439">
        <v>421</v>
      </c>
      <c r="B439" t="s">
        <v>1364</v>
      </c>
      <c r="C439" t="s">
        <v>2256</v>
      </c>
      <c r="D439" t="s">
        <v>159</v>
      </c>
      <c r="E439" t="s">
        <v>159</v>
      </c>
      <c r="F439">
        <v>7955</v>
      </c>
      <c r="G439" t="s">
        <v>702</v>
      </c>
      <c r="H439" t="s">
        <v>1344</v>
      </c>
      <c r="I439">
        <v>0</v>
      </c>
      <c r="J439">
        <v>0</v>
      </c>
      <c r="K439">
        <v>0</v>
      </c>
      <c r="L439">
        <v>0</v>
      </c>
      <c r="M439">
        <v>0</v>
      </c>
      <c r="N439" t="s">
        <v>988</v>
      </c>
    </row>
    <row r="440" spans="1:14" x14ac:dyDescent="0.3">
      <c r="A440">
        <v>422</v>
      </c>
      <c r="B440" t="s">
        <v>1365</v>
      </c>
      <c r="C440" t="s">
        <v>2256</v>
      </c>
      <c r="D440" t="s">
        <v>159</v>
      </c>
      <c r="E440" t="s">
        <v>159</v>
      </c>
      <c r="F440">
        <v>7956</v>
      </c>
      <c r="G440" t="s">
        <v>703</v>
      </c>
      <c r="I440">
        <v>306.16899999999998</v>
      </c>
      <c r="J440">
        <v>319.20299999999997</v>
      </c>
      <c r="K440">
        <v>339.99799999999999</v>
      </c>
      <c r="L440">
        <v>377.29199999999997</v>
      </c>
      <c r="M440">
        <v>419.40499999999997</v>
      </c>
      <c r="N440" t="s">
        <v>988</v>
      </c>
    </row>
    <row r="441" spans="1:14" x14ac:dyDescent="0.3">
      <c r="A441">
        <v>422</v>
      </c>
      <c r="B441" t="s">
        <v>1365</v>
      </c>
      <c r="C441" t="s">
        <v>2256</v>
      </c>
      <c r="D441" t="s">
        <v>159</v>
      </c>
      <c r="E441" t="s">
        <v>159</v>
      </c>
      <c r="F441">
        <v>7956</v>
      </c>
      <c r="G441" t="s">
        <v>700</v>
      </c>
      <c r="I441">
        <v>3360.8589999999999</v>
      </c>
      <c r="J441">
        <v>3376.752</v>
      </c>
      <c r="K441">
        <v>3498.9670000000001</v>
      </c>
      <c r="L441">
        <v>3738.93</v>
      </c>
      <c r="M441">
        <v>4004.2440000000001</v>
      </c>
      <c r="N441" t="s">
        <v>988</v>
      </c>
    </row>
    <row r="442" spans="1:14" x14ac:dyDescent="0.3">
      <c r="A442">
        <v>422</v>
      </c>
      <c r="B442" t="s">
        <v>1365</v>
      </c>
      <c r="C442" t="s">
        <v>2256</v>
      </c>
      <c r="D442" t="s">
        <v>159</v>
      </c>
      <c r="E442" t="s">
        <v>159</v>
      </c>
      <c r="F442">
        <v>7956</v>
      </c>
      <c r="G442" t="s">
        <v>696</v>
      </c>
      <c r="I442">
        <v>2568.3339999999998</v>
      </c>
      <c r="J442">
        <v>2490.41</v>
      </c>
      <c r="K442">
        <v>2483.085</v>
      </c>
      <c r="L442">
        <v>2539.7869999999998</v>
      </c>
      <c r="M442">
        <v>2620.3180000000002</v>
      </c>
      <c r="N442" t="s">
        <v>988</v>
      </c>
    </row>
    <row r="443" spans="1:14" x14ac:dyDescent="0.3">
      <c r="A443">
        <v>422</v>
      </c>
      <c r="B443" t="s">
        <v>1365</v>
      </c>
      <c r="C443" t="s">
        <v>2256</v>
      </c>
      <c r="D443" t="s">
        <v>159</v>
      </c>
      <c r="E443" t="s">
        <v>159</v>
      </c>
      <c r="F443">
        <v>7956</v>
      </c>
      <c r="G443" t="s">
        <v>698</v>
      </c>
      <c r="I443">
        <v>586.92399999999998</v>
      </c>
      <c r="J443">
        <v>600.26199999999994</v>
      </c>
      <c r="K443">
        <v>614.36900000000003</v>
      </c>
      <c r="L443">
        <v>638.96699999999998</v>
      </c>
      <c r="M443">
        <v>666.72</v>
      </c>
      <c r="N443" t="s">
        <v>988</v>
      </c>
    </row>
    <row r="444" spans="1:14" x14ac:dyDescent="0.3">
      <c r="A444">
        <v>422</v>
      </c>
      <c r="B444" t="s">
        <v>1365</v>
      </c>
      <c r="C444" t="s">
        <v>2256</v>
      </c>
      <c r="D444" t="s">
        <v>159</v>
      </c>
      <c r="E444" t="s">
        <v>159</v>
      </c>
      <c r="F444">
        <v>7956</v>
      </c>
      <c r="G444" t="s">
        <v>701</v>
      </c>
      <c r="I444">
        <v>507.851</v>
      </c>
      <c r="J444">
        <v>507.851</v>
      </c>
      <c r="K444">
        <v>507.851</v>
      </c>
      <c r="L444">
        <v>507.851</v>
      </c>
      <c r="M444">
        <v>507.851</v>
      </c>
      <c r="N444" t="s">
        <v>988</v>
      </c>
    </row>
    <row r="445" spans="1:14" x14ac:dyDescent="0.3">
      <c r="A445">
        <v>422</v>
      </c>
      <c r="B445" t="s">
        <v>1365</v>
      </c>
      <c r="C445" t="s">
        <v>2256</v>
      </c>
      <c r="D445" t="s">
        <v>159</v>
      </c>
      <c r="E445" t="s">
        <v>159</v>
      </c>
      <c r="F445">
        <v>7956</v>
      </c>
      <c r="G445" t="s">
        <v>691</v>
      </c>
      <c r="I445">
        <v>38.517000000000003</v>
      </c>
      <c r="J445">
        <v>38.517000000000003</v>
      </c>
      <c r="K445">
        <v>38.517000000000003</v>
      </c>
      <c r="L445">
        <v>38.517000000000003</v>
      </c>
      <c r="M445">
        <v>38.517000000000003</v>
      </c>
      <c r="N445" t="s">
        <v>988</v>
      </c>
    </row>
    <row r="446" spans="1:14" x14ac:dyDescent="0.3">
      <c r="A446">
        <v>422</v>
      </c>
      <c r="B446" t="s">
        <v>1365</v>
      </c>
      <c r="C446" t="s">
        <v>2256</v>
      </c>
      <c r="D446" t="s">
        <v>159</v>
      </c>
      <c r="E446" t="s">
        <v>159</v>
      </c>
      <c r="F446">
        <v>7956</v>
      </c>
      <c r="G446" t="s">
        <v>702</v>
      </c>
      <c r="H446" t="s">
        <v>1344</v>
      </c>
      <c r="I446">
        <v>0</v>
      </c>
      <c r="J446">
        <v>0</v>
      </c>
      <c r="K446">
        <v>0</v>
      </c>
      <c r="L446">
        <v>0</v>
      </c>
      <c r="M446">
        <v>0</v>
      </c>
      <c r="N446" t="s">
        <v>988</v>
      </c>
    </row>
    <row r="447" spans="1:14" x14ac:dyDescent="0.3">
      <c r="A447">
        <v>422</v>
      </c>
      <c r="B447" t="s">
        <v>1365</v>
      </c>
      <c r="C447" t="s">
        <v>2256</v>
      </c>
      <c r="D447" t="s">
        <v>159</v>
      </c>
      <c r="E447" t="s">
        <v>159</v>
      </c>
      <c r="F447">
        <v>7956</v>
      </c>
      <c r="G447" t="s">
        <v>686</v>
      </c>
      <c r="H447" t="s">
        <v>1346</v>
      </c>
      <c r="I447">
        <v>174.499</v>
      </c>
      <c r="J447">
        <v>149.59100000000001</v>
      </c>
      <c r="K447">
        <v>151.93700000000001</v>
      </c>
      <c r="L447">
        <v>158.69800000000001</v>
      </c>
      <c r="M447">
        <v>165.87</v>
      </c>
      <c r="N447" t="s">
        <v>988</v>
      </c>
    </row>
    <row r="448" spans="1:14" x14ac:dyDescent="0.3">
      <c r="A448">
        <v>424</v>
      </c>
      <c r="B448" t="s">
        <v>1366</v>
      </c>
      <c r="C448" t="s">
        <v>2256</v>
      </c>
      <c r="D448" t="s">
        <v>159</v>
      </c>
      <c r="E448" t="s">
        <v>159</v>
      </c>
      <c r="F448">
        <v>7957</v>
      </c>
      <c r="G448" t="s">
        <v>702</v>
      </c>
      <c r="I448">
        <v>77</v>
      </c>
      <c r="J448">
        <v>77</v>
      </c>
      <c r="K448">
        <v>77</v>
      </c>
      <c r="L448">
        <v>77</v>
      </c>
      <c r="M448">
        <v>76.83</v>
      </c>
      <c r="N448" t="s">
        <v>988</v>
      </c>
    </row>
    <row r="449" spans="1:14" x14ac:dyDescent="0.3">
      <c r="A449">
        <v>424</v>
      </c>
      <c r="B449" t="s">
        <v>1366</v>
      </c>
      <c r="C449" t="s">
        <v>2256</v>
      </c>
      <c r="D449" t="s">
        <v>159</v>
      </c>
      <c r="E449" t="s">
        <v>159</v>
      </c>
      <c r="F449">
        <v>7957</v>
      </c>
      <c r="G449" t="s">
        <v>686</v>
      </c>
      <c r="H449" t="s">
        <v>1344</v>
      </c>
      <c r="I449">
        <v>1433</v>
      </c>
      <c r="J449">
        <v>1469</v>
      </c>
      <c r="K449">
        <v>1491</v>
      </c>
      <c r="L449">
        <v>1513</v>
      </c>
      <c r="M449">
        <v>1534.51</v>
      </c>
      <c r="N449" t="s">
        <v>988</v>
      </c>
    </row>
    <row r="450" spans="1:14" x14ac:dyDescent="0.3">
      <c r="A450">
        <v>424</v>
      </c>
      <c r="B450" t="s">
        <v>1366</v>
      </c>
      <c r="C450" t="s">
        <v>2256</v>
      </c>
      <c r="D450" t="s">
        <v>159</v>
      </c>
      <c r="E450" t="s">
        <v>159</v>
      </c>
      <c r="F450">
        <v>7957</v>
      </c>
      <c r="G450" t="s">
        <v>700</v>
      </c>
      <c r="I450">
        <v>4868</v>
      </c>
      <c r="J450">
        <v>4746</v>
      </c>
      <c r="K450">
        <v>4651</v>
      </c>
      <c r="L450">
        <v>4569</v>
      </c>
      <c r="M450">
        <v>4497.9399999999996</v>
      </c>
      <c r="N450" t="s">
        <v>988</v>
      </c>
    </row>
    <row r="451" spans="1:14" x14ac:dyDescent="0.3">
      <c r="A451">
        <v>424</v>
      </c>
      <c r="B451" t="s">
        <v>1366</v>
      </c>
      <c r="C451" t="s">
        <v>2256</v>
      </c>
      <c r="D451" t="s">
        <v>159</v>
      </c>
      <c r="E451" t="s">
        <v>159</v>
      </c>
      <c r="F451">
        <v>7957</v>
      </c>
      <c r="G451" t="s">
        <v>691</v>
      </c>
      <c r="I451">
        <v>13</v>
      </c>
      <c r="J451">
        <v>13</v>
      </c>
      <c r="K451">
        <v>13</v>
      </c>
      <c r="L451">
        <v>13</v>
      </c>
      <c r="M451">
        <v>12.81</v>
      </c>
      <c r="N451" t="s">
        <v>988</v>
      </c>
    </row>
    <row r="452" spans="1:14" x14ac:dyDescent="0.3">
      <c r="A452">
        <v>424</v>
      </c>
      <c r="B452" t="s">
        <v>1366</v>
      </c>
      <c r="C452" t="s">
        <v>2256</v>
      </c>
      <c r="D452" t="s">
        <v>159</v>
      </c>
      <c r="E452" t="s">
        <v>159</v>
      </c>
      <c r="F452">
        <v>7957</v>
      </c>
      <c r="G452" t="s">
        <v>701</v>
      </c>
      <c r="I452">
        <v>1561</v>
      </c>
      <c r="J452">
        <v>1561</v>
      </c>
      <c r="K452">
        <v>1561</v>
      </c>
      <c r="L452">
        <v>1561</v>
      </c>
      <c r="M452">
        <v>1561.5</v>
      </c>
      <c r="N452" t="s">
        <v>988</v>
      </c>
    </row>
    <row r="453" spans="1:14" x14ac:dyDescent="0.3">
      <c r="A453">
        <v>424</v>
      </c>
      <c r="B453" t="s">
        <v>1366</v>
      </c>
      <c r="C453" t="s">
        <v>2256</v>
      </c>
      <c r="D453" t="s">
        <v>159</v>
      </c>
      <c r="E453" t="s">
        <v>159</v>
      </c>
      <c r="F453">
        <v>7957</v>
      </c>
      <c r="G453" t="s">
        <v>703</v>
      </c>
      <c r="I453">
        <v>2094</v>
      </c>
      <c r="J453">
        <v>2058</v>
      </c>
      <c r="K453">
        <v>2028</v>
      </c>
      <c r="L453">
        <v>2000</v>
      </c>
      <c r="M453">
        <v>1972.05</v>
      </c>
      <c r="N453" t="s">
        <v>988</v>
      </c>
    </row>
    <row r="454" spans="1:14" x14ac:dyDescent="0.3">
      <c r="A454">
        <v>424</v>
      </c>
      <c r="B454" t="s">
        <v>1366</v>
      </c>
      <c r="C454" t="s">
        <v>2256</v>
      </c>
      <c r="D454" t="s">
        <v>159</v>
      </c>
      <c r="E454" t="s">
        <v>159</v>
      </c>
      <c r="F454">
        <v>7957</v>
      </c>
      <c r="G454" t="s">
        <v>698</v>
      </c>
      <c r="I454">
        <v>1478</v>
      </c>
      <c r="J454">
        <v>1443</v>
      </c>
      <c r="K454">
        <v>1423</v>
      </c>
      <c r="L454">
        <v>1408</v>
      </c>
      <c r="M454">
        <v>1399.59</v>
      </c>
      <c r="N454" t="s">
        <v>988</v>
      </c>
    </row>
    <row r="455" spans="1:14" x14ac:dyDescent="0.3">
      <c r="A455">
        <v>424</v>
      </c>
      <c r="B455" t="s">
        <v>1366</v>
      </c>
      <c r="C455" t="s">
        <v>2256</v>
      </c>
      <c r="D455" t="s">
        <v>159</v>
      </c>
      <c r="E455" t="s">
        <v>159</v>
      </c>
      <c r="F455">
        <v>7957</v>
      </c>
      <c r="G455" t="s">
        <v>696</v>
      </c>
      <c r="I455">
        <v>12209</v>
      </c>
      <c r="J455">
        <v>12221</v>
      </c>
      <c r="K455">
        <v>12304</v>
      </c>
      <c r="L455">
        <v>12339</v>
      </c>
      <c r="M455">
        <v>12462.05</v>
      </c>
      <c r="N455" t="s">
        <v>988</v>
      </c>
    </row>
    <row r="456" spans="1:14" x14ac:dyDescent="0.3">
      <c r="A456">
        <v>427</v>
      </c>
      <c r="B456" t="s">
        <v>1367</v>
      </c>
      <c r="C456" t="s">
        <v>2256</v>
      </c>
      <c r="D456" t="s">
        <v>159</v>
      </c>
      <c r="E456" t="s">
        <v>159</v>
      </c>
      <c r="F456">
        <v>7958</v>
      </c>
      <c r="G456" t="s">
        <v>686</v>
      </c>
      <c r="H456" t="s">
        <v>1346</v>
      </c>
      <c r="I456">
        <v>1101.854</v>
      </c>
      <c r="J456">
        <v>1304.1880000000001</v>
      </c>
      <c r="K456">
        <v>1428.8320000000001</v>
      </c>
      <c r="L456">
        <v>1559.06</v>
      </c>
      <c r="M456">
        <v>1695.421</v>
      </c>
      <c r="N456" t="s">
        <v>988</v>
      </c>
    </row>
    <row r="457" spans="1:14" x14ac:dyDescent="0.3">
      <c r="A457">
        <v>427</v>
      </c>
      <c r="B457" t="s">
        <v>1367</v>
      </c>
      <c r="C457" t="s">
        <v>2256</v>
      </c>
      <c r="D457" t="s">
        <v>159</v>
      </c>
      <c r="E457" t="s">
        <v>159</v>
      </c>
      <c r="F457">
        <v>7958</v>
      </c>
      <c r="G457" t="s">
        <v>702</v>
      </c>
      <c r="H457" t="s">
        <v>1344</v>
      </c>
      <c r="I457">
        <v>0</v>
      </c>
      <c r="J457">
        <v>0</v>
      </c>
      <c r="K457">
        <v>0</v>
      </c>
      <c r="L457">
        <v>0</v>
      </c>
      <c r="M457">
        <v>0</v>
      </c>
      <c r="N457" t="s">
        <v>988</v>
      </c>
    </row>
    <row r="458" spans="1:14" x14ac:dyDescent="0.3">
      <c r="A458">
        <v>427</v>
      </c>
      <c r="B458" t="s">
        <v>1367</v>
      </c>
      <c r="C458" t="s">
        <v>2256</v>
      </c>
      <c r="D458" t="s">
        <v>159</v>
      </c>
      <c r="E458" t="s">
        <v>159</v>
      </c>
      <c r="F458">
        <v>7958</v>
      </c>
      <c r="G458" t="s">
        <v>703</v>
      </c>
      <c r="I458">
        <v>2854.4920000000002</v>
      </c>
      <c r="J458">
        <v>3152.1660000000002</v>
      </c>
      <c r="K458">
        <v>3482.9560000000001</v>
      </c>
      <c r="L458">
        <v>3818.9229999999998</v>
      </c>
      <c r="M458">
        <v>4164.0749999999998</v>
      </c>
      <c r="N458" t="s">
        <v>988</v>
      </c>
    </row>
    <row r="459" spans="1:14" x14ac:dyDescent="0.3">
      <c r="A459">
        <v>427</v>
      </c>
      <c r="B459" t="s">
        <v>1367</v>
      </c>
      <c r="C459" t="s">
        <v>2256</v>
      </c>
      <c r="D459" t="s">
        <v>159</v>
      </c>
      <c r="E459" t="s">
        <v>159</v>
      </c>
      <c r="F459">
        <v>7958</v>
      </c>
      <c r="G459" t="s">
        <v>696</v>
      </c>
      <c r="I459">
        <v>20814.919000000002</v>
      </c>
      <c r="J459">
        <v>22592.706999999999</v>
      </c>
      <c r="K459">
        <v>24604.175999999999</v>
      </c>
      <c r="L459">
        <v>26513.395</v>
      </c>
      <c r="M459">
        <v>28704.695</v>
      </c>
      <c r="N459" t="s">
        <v>988</v>
      </c>
    </row>
    <row r="460" spans="1:14" x14ac:dyDescent="0.3">
      <c r="A460">
        <v>427</v>
      </c>
      <c r="B460" t="s">
        <v>1367</v>
      </c>
      <c r="C460" t="s">
        <v>2256</v>
      </c>
      <c r="D460" t="s">
        <v>159</v>
      </c>
      <c r="E460" t="s">
        <v>159</v>
      </c>
      <c r="F460">
        <v>7958</v>
      </c>
      <c r="G460" t="s">
        <v>701</v>
      </c>
      <c r="I460">
        <v>308.37400000000002</v>
      </c>
      <c r="J460">
        <v>308.37400000000002</v>
      </c>
      <c r="K460">
        <v>308.37400000000002</v>
      </c>
      <c r="L460">
        <v>308.37400000000002</v>
      </c>
      <c r="M460">
        <v>308.37400000000002</v>
      </c>
      <c r="N460" t="s">
        <v>988</v>
      </c>
    </row>
    <row r="461" spans="1:14" x14ac:dyDescent="0.3">
      <c r="A461">
        <v>427</v>
      </c>
      <c r="B461" t="s">
        <v>1367</v>
      </c>
      <c r="C461" t="s">
        <v>2256</v>
      </c>
      <c r="D461" t="s">
        <v>159</v>
      </c>
      <c r="E461" t="s">
        <v>159</v>
      </c>
      <c r="F461">
        <v>7958</v>
      </c>
      <c r="G461" t="s">
        <v>700</v>
      </c>
      <c r="I461">
        <v>5634.2359999999999</v>
      </c>
      <c r="J461">
        <v>6008.8779999999997</v>
      </c>
      <c r="K461">
        <v>6448.29</v>
      </c>
      <c r="L461">
        <v>6890.6059999999998</v>
      </c>
      <c r="M461">
        <v>7364.0820000000003</v>
      </c>
      <c r="N461" t="s">
        <v>988</v>
      </c>
    </row>
    <row r="462" spans="1:14" x14ac:dyDescent="0.3">
      <c r="A462">
        <v>427</v>
      </c>
      <c r="B462" t="s">
        <v>1367</v>
      </c>
      <c r="C462" t="s">
        <v>2256</v>
      </c>
      <c r="D462" t="s">
        <v>159</v>
      </c>
      <c r="E462" t="s">
        <v>159</v>
      </c>
      <c r="F462">
        <v>7958</v>
      </c>
      <c r="G462" t="s">
        <v>698</v>
      </c>
      <c r="I462">
        <v>1582.893</v>
      </c>
      <c r="J462">
        <v>1686.2940000000001</v>
      </c>
      <c r="K462">
        <v>1814.617</v>
      </c>
      <c r="L462">
        <v>1944.9290000000001</v>
      </c>
      <c r="M462">
        <v>2069.9299999999998</v>
      </c>
      <c r="N462" t="s">
        <v>988</v>
      </c>
    </row>
    <row r="463" spans="1:14" x14ac:dyDescent="0.3">
      <c r="A463">
        <v>427</v>
      </c>
      <c r="B463" t="s">
        <v>1367</v>
      </c>
      <c r="C463" t="s">
        <v>2256</v>
      </c>
      <c r="D463" t="s">
        <v>159</v>
      </c>
      <c r="E463" t="s">
        <v>159</v>
      </c>
      <c r="F463">
        <v>7958</v>
      </c>
      <c r="G463" t="s">
        <v>691</v>
      </c>
      <c r="I463">
        <v>222.922</v>
      </c>
      <c r="J463">
        <v>222.922</v>
      </c>
      <c r="K463">
        <v>222.922</v>
      </c>
      <c r="L463">
        <v>222.922</v>
      </c>
      <c r="M463">
        <v>222.922</v>
      </c>
      <c r="N463" t="s">
        <v>988</v>
      </c>
    </row>
    <row r="464" spans="1:14" x14ac:dyDescent="0.3">
      <c r="A464">
        <v>428</v>
      </c>
      <c r="B464" t="s">
        <v>1368</v>
      </c>
      <c r="C464" t="s">
        <v>2256</v>
      </c>
      <c r="D464" t="s">
        <v>159</v>
      </c>
      <c r="E464" t="s">
        <v>159</v>
      </c>
      <c r="F464">
        <v>7959</v>
      </c>
      <c r="G464" t="s">
        <v>686</v>
      </c>
      <c r="H464" t="s">
        <v>1346</v>
      </c>
      <c r="I464">
        <v>455.94799999999998</v>
      </c>
      <c r="J464">
        <v>404.95100000000002</v>
      </c>
      <c r="K464">
        <v>407.43299999999999</v>
      </c>
      <c r="L464">
        <v>409.935</v>
      </c>
      <c r="M464">
        <v>412.45699999999999</v>
      </c>
      <c r="N464" t="s">
        <v>988</v>
      </c>
    </row>
    <row r="465" spans="1:14" x14ac:dyDescent="0.3">
      <c r="A465">
        <v>428</v>
      </c>
      <c r="B465" t="s">
        <v>1368</v>
      </c>
      <c r="C465" t="s">
        <v>2256</v>
      </c>
      <c r="D465" t="s">
        <v>159</v>
      </c>
      <c r="E465" t="s">
        <v>159</v>
      </c>
      <c r="F465">
        <v>7959</v>
      </c>
      <c r="G465" t="s">
        <v>702</v>
      </c>
      <c r="H465" t="s">
        <v>1344</v>
      </c>
      <c r="I465">
        <v>0</v>
      </c>
      <c r="J465">
        <v>0</v>
      </c>
      <c r="K465">
        <v>0</v>
      </c>
      <c r="L465">
        <v>0</v>
      </c>
      <c r="M465">
        <v>0</v>
      </c>
      <c r="N465" t="s">
        <v>988</v>
      </c>
    </row>
    <row r="466" spans="1:14" x14ac:dyDescent="0.3">
      <c r="A466">
        <v>428</v>
      </c>
      <c r="B466" t="s">
        <v>1368</v>
      </c>
      <c r="C466" t="s">
        <v>2256</v>
      </c>
      <c r="D466" t="s">
        <v>159</v>
      </c>
      <c r="E466" t="s">
        <v>159</v>
      </c>
      <c r="F466">
        <v>7959</v>
      </c>
      <c r="G466" t="s">
        <v>691</v>
      </c>
      <c r="I466">
        <v>3.9039999999999999</v>
      </c>
      <c r="J466">
        <v>3.9039999999999999</v>
      </c>
      <c r="K466">
        <v>3.9039999999999999</v>
      </c>
      <c r="L466">
        <v>3.9039999999999999</v>
      </c>
      <c r="M466">
        <v>3.9039999999999999</v>
      </c>
      <c r="N466" t="s">
        <v>988</v>
      </c>
    </row>
    <row r="467" spans="1:14" x14ac:dyDescent="0.3">
      <c r="A467">
        <v>428</v>
      </c>
      <c r="B467" t="s">
        <v>1368</v>
      </c>
      <c r="C467" t="s">
        <v>2256</v>
      </c>
      <c r="D467" t="s">
        <v>159</v>
      </c>
      <c r="E467" t="s">
        <v>159</v>
      </c>
      <c r="F467">
        <v>7959</v>
      </c>
      <c r="G467" t="s">
        <v>696</v>
      </c>
      <c r="I467">
        <v>4578.42</v>
      </c>
      <c r="J467">
        <v>4527.2910000000002</v>
      </c>
      <c r="K467">
        <v>4527.2709999999997</v>
      </c>
      <c r="L467">
        <v>4516.5789999999997</v>
      </c>
      <c r="M467">
        <v>4530.1490000000003</v>
      </c>
      <c r="N467" t="s">
        <v>988</v>
      </c>
    </row>
    <row r="468" spans="1:14" x14ac:dyDescent="0.3">
      <c r="A468">
        <v>428</v>
      </c>
      <c r="B468" t="s">
        <v>1368</v>
      </c>
      <c r="C468" t="s">
        <v>2256</v>
      </c>
      <c r="D468" t="s">
        <v>159</v>
      </c>
      <c r="E468" t="s">
        <v>159</v>
      </c>
      <c r="F468">
        <v>7959</v>
      </c>
      <c r="G468" t="s">
        <v>703</v>
      </c>
      <c r="I468">
        <v>186.02500000000001</v>
      </c>
      <c r="J468">
        <v>183.33699999999999</v>
      </c>
      <c r="K468">
        <v>183.00700000000001</v>
      </c>
      <c r="L468">
        <v>182.95500000000001</v>
      </c>
      <c r="M468">
        <v>183.08199999999999</v>
      </c>
      <c r="N468" t="s">
        <v>988</v>
      </c>
    </row>
    <row r="469" spans="1:14" x14ac:dyDescent="0.3">
      <c r="A469">
        <v>428</v>
      </c>
      <c r="B469" t="s">
        <v>1368</v>
      </c>
      <c r="C469" t="s">
        <v>2256</v>
      </c>
      <c r="D469" t="s">
        <v>159</v>
      </c>
      <c r="E469" t="s">
        <v>159</v>
      </c>
      <c r="F469">
        <v>7959</v>
      </c>
      <c r="G469" t="s">
        <v>700</v>
      </c>
      <c r="I469">
        <v>1519.5340000000001</v>
      </c>
      <c r="J469">
        <v>1502.4639999999999</v>
      </c>
      <c r="K469">
        <v>1503.652</v>
      </c>
      <c r="L469">
        <v>1506.5029999999999</v>
      </c>
      <c r="M469">
        <v>1510.424</v>
      </c>
      <c r="N469" t="s">
        <v>988</v>
      </c>
    </row>
    <row r="470" spans="1:14" x14ac:dyDescent="0.3">
      <c r="A470">
        <v>428</v>
      </c>
      <c r="B470" t="s">
        <v>1368</v>
      </c>
      <c r="C470" t="s">
        <v>2256</v>
      </c>
      <c r="D470" t="s">
        <v>159</v>
      </c>
      <c r="E470" t="s">
        <v>159</v>
      </c>
      <c r="F470">
        <v>7959</v>
      </c>
      <c r="G470" t="s">
        <v>698</v>
      </c>
      <c r="I470">
        <v>198.73</v>
      </c>
      <c r="J470">
        <v>196.32599999999999</v>
      </c>
      <c r="K470">
        <v>195.94</v>
      </c>
      <c r="L470">
        <v>195.892</v>
      </c>
      <c r="M470">
        <v>196.39699999999999</v>
      </c>
      <c r="N470" t="s">
        <v>988</v>
      </c>
    </row>
    <row r="471" spans="1:14" x14ac:dyDescent="0.3">
      <c r="A471">
        <v>428</v>
      </c>
      <c r="B471" t="s">
        <v>1368</v>
      </c>
      <c r="C471" t="s">
        <v>2256</v>
      </c>
      <c r="D471" t="s">
        <v>159</v>
      </c>
      <c r="E471" t="s">
        <v>159</v>
      </c>
      <c r="F471">
        <v>7959</v>
      </c>
      <c r="G471" t="s">
        <v>701</v>
      </c>
      <c r="I471">
        <v>0</v>
      </c>
      <c r="J471">
        <v>0</v>
      </c>
      <c r="K471">
        <v>0</v>
      </c>
      <c r="L471">
        <v>0</v>
      </c>
      <c r="M471">
        <v>0</v>
      </c>
      <c r="N471" t="s">
        <v>988</v>
      </c>
    </row>
    <row r="472" spans="1:14" x14ac:dyDescent="0.3">
      <c r="A472">
        <v>429</v>
      </c>
      <c r="B472" t="s">
        <v>1369</v>
      </c>
      <c r="C472" t="s">
        <v>2256</v>
      </c>
      <c r="D472" t="s">
        <v>159</v>
      </c>
      <c r="E472" t="s">
        <v>159</v>
      </c>
      <c r="F472">
        <v>7960</v>
      </c>
      <c r="G472" t="s">
        <v>686</v>
      </c>
      <c r="H472" t="s">
        <v>1344</v>
      </c>
      <c r="I472">
        <v>124.803</v>
      </c>
      <c r="J472">
        <v>105.102</v>
      </c>
      <c r="K472">
        <v>106.34</v>
      </c>
      <c r="L472">
        <v>114.578</v>
      </c>
      <c r="M472">
        <v>115.816</v>
      </c>
      <c r="N472" t="s">
        <v>988</v>
      </c>
    </row>
    <row r="473" spans="1:14" x14ac:dyDescent="0.3">
      <c r="A473">
        <v>429</v>
      </c>
      <c r="B473" t="s">
        <v>1369</v>
      </c>
      <c r="C473" t="s">
        <v>2256</v>
      </c>
      <c r="D473" t="s">
        <v>159</v>
      </c>
      <c r="E473" t="s">
        <v>159</v>
      </c>
      <c r="F473">
        <v>7960</v>
      </c>
      <c r="G473" t="s">
        <v>702</v>
      </c>
      <c r="I473">
        <v>0</v>
      </c>
      <c r="J473">
        <v>0</v>
      </c>
      <c r="K473">
        <v>0</v>
      </c>
      <c r="L473">
        <v>49</v>
      </c>
      <c r="M473">
        <v>49</v>
      </c>
      <c r="N473" t="s">
        <v>988</v>
      </c>
    </row>
    <row r="474" spans="1:14" x14ac:dyDescent="0.3">
      <c r="A474">
        <v>429</v>
      </c>
      <c r="B474" t="s">
        <v>1369</v>
      </c>
      <c r="C474" t="s">
        <v>2256</v>
      </c>
      <c r="D474" t="s">
        <v>159</v>
      </c>
      <c r="E474" t="s">
        <v>159</v>
      </c>
      <c r="F474">
        <v>7960</v>
      </c>
      <c r="G474" t="s">
        <v>691</v>
      </c>
      <c r="I474">
        <v>3.5569999999999999</v>
      </c>
      <c r="J474">
        <v>3.5569999999999999</v>
      </c>
      <c r="K474">
        <v>3.5569999999999999</v>
      </c>
      <c r="L474">
        <v>3.5569999999999999</v>
      </c>
      <c r="M474">
        <v>3.5569999999999999</v>
      </c>
      <c r="N474" t="s">
        <v>988</v>
      </c>
    </row>
    <row r="475" spans="1:14" x14ac:dyDescent="0.3">
      <c r="A475">
        <v>429</v>
      </c>
      <c r="B475" t="s">
        <v>1369</v>
      </c>
      <c r="C475" t="s">
        <v>2256</v>
      </c>
      <c r="D475" t="s">
        <v>159</v>
      </c>
      <c r="E475" t="s">
        <v>159</v>
      </c>
      <c r="F475">
        <v>7960</v>
      </c>
      <c r="G475" t="s">
        <v>701</v>
      </c>
      <c r="I475">
        <v>0</v>
      </c>
      <c r="J475">
        <v>0</v>
      </c>
      <c r="K475">
        <v>0</v>
      </c>
      <c r="L475">
        <v>0</v>
      </c>
      <c r="M475">
        <v>0</v>
      </c>
      <c r="N475" t="s">
        <v>988</v>
      </c>
    </row>
    <row r="476" spans="1:14" x14ac:dyDescent="0.3">
      <c r="A476">
        <v>429</v>
      </c>
      <c r="B476" t="s">
        <v>1369</v>
      </c>
      <c r="C476" t="s">
        <v>2256</v>
      </c>
      <c r="D476" t="s">
        <v>159</v>
      </c>
      <c r="E476" t="s">
        <v>159</v>
      </c>
      <c r="F476">
        <v>7960</v>
      </c>
      <c r="G476" t="s">
        <v>703</v>
      </c>
      <c r="I476">
        <v>61.515999999999998</v>
      </c>
      <c r="J476">
        <v>60.503</v>
      </c>
      <c r="K476">
        <v>59.819000000000003</v>
      </c>
      <c r="L476">
        <v>59.210999999999999</v>
      </c>
      <c r="M476">
        <v>58.676000000000002</v>
      </c>
      <c r="N476" t="s">
        <v>988</v>
      </c>
    </row>
    <row r="477" spans="1:14" x14ac:dyDescent="0.3">
      <c r="A477">
        <v>429</v>
      </c>
      <c r="B477" t="s">
        <v>1369</v>
      </c>
      <c r="C477" t="s">
        <v>2256</v>
      </c>
      <c r="D477" t="s">
        <v>159</v>
      </c>
      <c r="E477" t="s">
        <v>159</v>
      </c>
      <c r="F477">
        <v>7960</v>
      </c>
      <c r="G477" t="s">
        <v>700</v>
      </c>
      <c r="I477">
        <v>384.11599999999999</v>
      </c>
      <c r="J477">
        <v>425.12200000000001</v>
      </c>
      <c r="K477">
        <v>422.411</v>
      </c>
      <c r="L477">
        <v>624.11300000000006</v>
      </c>
      <c r="M477">
        <v>622.20399999999995</v>
      </c>
      <c r="N477" t="s">
        <v>988</v>
      </c>
    </row>
    <row r="478" spans="1:14" x14ac:dyDescent="0.3">
      <c r="A478">
        <v>429</v>
      </c>
      <c r="B478" t="s">
        <v>1369</v>
      </c>
      <c r="C478" t="s">
        <v>2256</v>
      </c>
      <c r="D478" t="s">
        <v>159</v>
      </c>
      <c r="E478" t="s">
        <v>159</v>
      </c>
      <c r="F478">
        <v>7960</v>
      </c>
      <c r="G478" t="s">
        <v>698</v>
      </c>
      <c r="I478">
        <v>103.416</v>
      </c>
      <c r="J478">
        <v>100.774</v>
      </c>
      <c r="K478">
        <v>99.465000000000003</v>
      </c>
      <c r="L478">
        <v>98.772999999999996</v>
      </c>
      <c r="M478">
        <v>98.537999999999997</v>
      </c>
      <c r="N478" t="s">
        <v>988</v>
      </c>
    </row>
    <row r="479" spans="1:14" x14ac:dyDescent="0.3">
      <c r="A479">
        <v>429</v>
      </c>
      <c r="B479" t="s">
        <v>1369</v>
      </c>
      <c r="C479" t="s">
        <v>2256</v>
      </c>
      <c r="D479" t="s">
        <v>159</v>
      </c>
      <c r="E479" t="s">
        <v>159</v>
      </c>
      <c r="F479">
        <v>7960</v>
      </c>
      <c r="G479" t="s">
        <v>696</v>
      </c>
      <c r="I479">
        <v>849.32899999999995</v>
      </c>
      <c r="J479">
        <v>921.678</v>
      </c>
      <c r="K479">
        <v>923.54600000000005</v>
      </c>
      <c r="L479">
        <v>926.45699999999999</v>
      </c>
      <c r="M479">
        <v>933.02300000000002</v>
      </c>
      <c r="N479" t="s">
        <v>988</v>
      </c>
    </row>
    <row r="480" spans="1:14" x14ac:dyDescent="0.3">
      <c r="A480">
        <v>443</v>
      </c>
      <c r="B480" t="s">
        <v>1370</v>
      </c>
      <c r="C480" t="s">
        <v>2256</v>
      </c>
      <c r="D480" t="s">
        <v>159</v>
      </c>
      <c r="E480" t="s">
        <v>159</v>
      </c>
      <c r="F480">
        <v>8021</v>
      </c>
      <c r="G480" t="s">
        <v>687</v>
      </c>
      <c r="H480" t="s">
        <v>1269</v>
      </c>
      <c r="I480">
        <v>153</v>
      </c>
      <c r="J480">
        <v>149</v>
      </c>
      <c r="K480">
        <v>152</v>
      </c>
      <c r="L480">
        <v>154</v>
      </c>
      <c r="M480">
        <v>155</v>
      </c>
      <c r="N480" t="s">
        <v>988</v>
      </c>
    </row>
    <row r="481" spans="1:14" x14ac:dyDescent="0.3">
      <c r="A481">
        <v>443</v>
      </c>
      <c r="B481" t="s">
        <v>1370</v>
      </c>
      <c r="C481" t="s">
        <v>2256</v>
      </c>
      <c r="D481" t="s">
        <v>159</v>
      </c>
      <c r="E481" t="s">
        <v>159</v>
      </c>
      <c r="F481">
        <v>8021</v>
      </c>
      <c r="G481" t="s">
        <v>700</v>
      </c>
      <c r="I481">
        <v>832</v>
      </c>
      <c r="J481">
        <v>815</v>
      </c>
      <c r="K481">
        <v>831</v>
      </c>
      <c r="L481">
        <v>839</v>
      </c>
      <c r="M481">
        <v>847</v>
      </c>
      <c r="N481" t="s">
        <v>988</v>
      </c>
    </row>
    <row r="482" spans="1:14" x14ac:dyDescent="0.3">
      <c r="A482">
        <v>443</v>
      </c>
      <c r="B482" t="s">
        <v>1370</v>
      </c>
      <c r="C482" t="s">
        <v>2256</v>
      </c>
      <c r="D482" t="s">
        <v>159</v>
      </c>
      <c r="E482" t="s">
        <v>159</v>
      </c>
      <c r="F482">
        <v>8021</v>
      </c>
      <c r="G482" t="s">
        <v>698</v>
      </c>
      <c r="I482">
        <v>614</v>
      </c>
      <c r="J482">
        <v>601</v>
      </c>
      <c r="K482">
        <v>614</v>
      </c>
      <c r="L482">
        <v>619</v>
      </c>
      <c r="M482">
        <v>625</v>
      </c>
      <c r="N482" t="s">
        <v>988</v>
      </c>
    </row>
    <row r="483" spans="1:14" x14ac:dyDescent="0.3">
      <c r="A483">
        <v>443</v>
      </c>
      <c r="B483" t="s">
        <v>1370</v>
      </c>
      <c r="C483" t="s">
        <v>2256</v>
      </c>
      <c r="D483" t="s">
        <v>159</v>
      </c>
      <c r="E483" t="s">
        <v>159</v>
      </c>
      <c r="F483">
        <v>8021</v>
      </c>
      <c r="G483" t="s">
        <v>701</v>
      </c>
      <c r="I483">
        <v>32</v>
      </c>
      <c r="J483">
        <v>32</v>
      </c>
      <c r="K483">
        <v>32</v>
      </c>
      <c r="L483">
        <v>32</v>
      </c>
      <c r="M483">
        <v>33</v>
      </c>
      <c r="N483" t="s">
        <v>988</v>
      </c>
    </row>
    <row r="484" spans="1:14" x14ac:dyDescent="0.3">
      <c r="A484">
        <v>443</v>
      </c>
      <c r="B484" t="s">
        <v>1370</v>
      </c>
      <c r="C484" t="s">
        <v>2256</v>
      </c>
      <c r="D484" t="s">
        <v>159</v>
      </c>
      <c r="E484" t="s">
        <v>159</v>
      </c>
      <c r="F484">
        <v>8021</v>
      </c>
      <c r="G484" t="s">
        <v>702</v>
      </c>
      <c r="I484">
        <v>1482</v>
      </c>
      <c r="J484">
        <v>1452</v>
      </c>
      <c r="K484">
        <v>1481</v>
      </c>
      <c r="L484">
        <v>1495</v>
      </c>
      <c r="M484">
        <v>1509</v>
      </c>
      <c r="N484" t="s">
        <v>988</v>
      </c>
    </row>
    <row r="485" spans="1:14" x14ac:dyDescent="0.3">
      <c r="A485">
        <v>443</v>
      </c>
      <c r="B485" t="s">
        <v>1370</v>
      </c>
      <c r="C485" t="s">
        <v>2256</v>
      </c>
      <c r="D485" t="s">
        <v>159</v>
      </c>
      <c r="E485" t="s">
        <v>159</v>
      </c>
      <c r="F485">
        <v>8021</v>
      </c>
      <c r="G485" t="s">
        <v>684</v>
      </c>
      <c r="I485">
        <v>39</v>
      </c>
      <c r="J485">
        <v>38</v>
      </c>
      <c r="K485">
        <v>39</v>
      </c>
      <c r="L485">
        <v>39</v>
      </c>
      <c r="M485">
        <v>39</v>
      </c>
      <c r="N485" t="s">
        <v>988</v>
      </c>
    </row>
    <row r="486" spans="1:14" x14ac:dyDescent="0.3">
      <c r="A486">
        <v>443</v>
      </c>
      <c r="B486" t="s">
        <v>1370</v>
      </c>
      <c r="C486" t="s">
        <v>2256</v>
      </c>
      <c r="D486" t="s">
        <v>159</v>
      </c>
      <c r="E486" t="s">
        <v>159</v>
      </c>
      <c r="F486">
        <v>8021</v>
      </c>
      <c r="G486" t="s">
        <v>696</v>
      </c>
      <c r="I486">
        <v>3286</v>
      </c>
      <c r="J486">
        <v>3218</v>
      </c>
      <c r="K486">
        <v>3283</v>
      </c>
      <c r="L486">
        <v>3314</v>
      </c>
      <c r="M486">
        <v>3346</v>
      </c>
      <c r="N486" t="s">
        <v>988</v>
      </c>
    </row>
    <row r="487" spans="1:14" x14ac:dyDescent="0.3">
      <c r="A487">
        <v>443</v>
      </c>
      <c r="B487" t="s">
        <v>1370</v>
      </c>
      <c r="C487" t="s">
        <v>2256</v>
      </c>
      <c r="D487" t="s">
        <v>159</v>
      </c>
      <c r="E487" t="s">
        <v>159</v>
      </c>
      <c r="F487">
        <v>8021</v>
      </c>
      <c r="G487" t="s">
        <v>687</v>
      </c>
      <c r="H487" t="s">
        <v>2299</v>
      </c>
      <c r="I487">
        <v>26</v>
      </c>
      <c r="J487">
        <v>25</v>
      </c>
      <c r="K487">
        <v>26</v>
      </c>
      <c r="L487">
        <v>26</v>
      </c>
      <c r="M487">
        <v>26</v>
      </c>
      <c r="N487" t="s">
        <v>988</v>
      </c>
    </row>
    <row r="488" spans="1:14" x14ac:dyDescent="0.3">
      <c r="A488">
        <v>445</v>
      </c>
      <c r="B488" t="s">
        <v>1371</v>
      </c>
      <c r="C488" t="s">
        <v>2256</v>
      </c>
      <c r="D488" t="s">
        <v>1203</v>
      </c>
      <c r="E488" t="s">
        <v>1204</v>
      </c>
      <c r="F488">
        <v>5520</v>
      </c>
      <c r="G488" t="s">
        <v>696</v>
      </c>
      <c r="H488" t="s">
        <v>2300</v>
      </c>
      <c r="I488">
        <v>350</v>
      </c>
      <c r="J488">
        <v>350</v>
      </c>
      <c r="K488">
        <v>360</v>
      </c>
      <c r="L488">
        <v>370</v>
      </c>
      <c r="M488">
        <v>370</v>
      </c>
      <c r="N488" t="s">
        <v>988</v>
      </c>
    </row>
    <row r="489" spans="1:14" x14ac:dyDescent="0.3">
      <c r="A489">
        <v>445</v>
      </c>
      <c r="B489" t="s">
        <v>1371</v>
      </c>
      <c r="C489" t="s">
        <v>2256</v>
      </c>
      <c r="D489" t="s">
        <v>1203</v>
      </c>
      <c r="E489" t="s">
        <v>1204</v>
      </c>
      <c r="F489">
        <v>5520</v>
      </c>
      <c r="G489" t="s">
        <v>698</v>
      </c>
      <c r="H489" t="s">
        <v>2301</v>
      </c>
      <c r="I489">
        <v>20</v>
      </c>
      <c r="J489">
        <v>20</v>
      </c>
      <c r="K489">
        <v>20</v>
      </c>
      <c r="L489">
        <v>20</v>
      </c>
      <c r="M489">
        <v>20</v>
      </c>
      <c r="N489" t="s">
        <v>988</v>
      </c>
    </row>
    <row r="490" spans="1:14" x14ac:dyDescent="0.3">
      <c r="A490">
        <v>445</v>
      </c>
      <c r="B490" t="s">
        <v>1371</v>
      </c>
      <c r="C490" t="s">
        <v>2256</v>
      </c>
      <c r="D490" t="s">
        <v>1203</v>
      </c>
      <c r="E490" t="s">
        <v>1204</v>
      </c>
      <c r="F490">
        <v>5520</v>
      </c>
      <c r="G490" t="s">
        <v>686</v>
      </c>
      <c r="H490" t="s">
        <v>1269</v>
      </c>
      <c r="I490">
        <v>60</v>
      </c>
      <c r="J490">
        <v>60</v>
      </c>
      <c r="K490">
        <v>70</v>
      </c>
      <c r="L490">
        <v>70</v>
      </c>
      <c r="M490">
        <v>70</v>
      </c>
      <c r="N490" t="s">
        <v>988</v>
      </c>
    </row>
    <row r="491" spans="1:14" x14ac:dyDescent="0.3">
      <c r="A491">
        <v>445</v>
      </c>
      <c r="B491" t="s">
        <v>1371</v>
      </c>
      <c r="C491" t="s">
        <v>2256</v>
      </c>
      <c r="D491" t="s">
        <v>1203</v>
      </c>
      <c r="E491" t="s">
        <v>1204</v>
      </c>
      <c r="F491">
        <v>5520</v>
      </c>
      <c r="G491" t="s">
        <v>691</v>
      </c>
      <c r="I491">
        <v>10</v>
      </c>
      <c r="J491">
        <v>10</v>
      </c>
      <c r="K491">
        <v>10</v>
      </c>
      <c r="L491">
        <v>10</v>
      </c>
      <c r="M491">
        <v>10</v>
      </c>
      <c r="N491" t="s">
        <v>988</v>
      </c>
    </row>
    <row r="492" spans="1:14" x14ac:dyDescent="0.3">
      <c r="A492">
        <v>445</v>
      </c>
      <c r="B492" t="s">
        <v>1371</v>
      </c>
      <c r="C492" t="s">
        <v>2256</v>
      </c>
      <c r="D492" t="s">
        <v>1203</v>
      </c>
      <c r="E492" t="s">
        <v>1204</v>
      </c>
      <c r="F492">
        <v>5520</v>
      </c>
      <c r="G492" t="s">
        <v>700</v>
      </c>
      <c r="I492">
        <v>140</v>
      </c>
      <c r="J492">
        <v>150</v>
      </c>
      <c r="K492">
        <v>150</v>
      </c>
      <c r="L492">
        <v>160</v>
      </c>
      <c r="M492">
        <v>160</v>
      </c>
      <c r="N492" t="s">
        <v>988</v>
      </c>
    </row>
    <row r="493" spans="1:14" x14ac:dyDescent="0.3">
      <c r="A493">
        <v>467</v>
      </c>
      <c r="B493" t="s">
        <v>1374</v>
      </c>
      <c r="C493" t="s">
        <v>2256</v>
      </c>
      <c r="D493" t="s">
        <v>1203</v>
      </c>
      <c r="E493" t="s">
        <v>1204</v>
      </c>
      <c r="F493">
        <v>5746</v>
      </c>
      <c r="G493" t="s">
        <v>686</v>
      </c>
      <c r="I493">
        <v>548</v>
      </c>
      <c r="J493">
        <v>553</v>
      </c>
      <c r="K493">
        <v>577</v>
      </c>
      <c r="L493">
        <v>582</v>
      </c>
      <c r="N493" t="s">
        <v>988</v>
      </c>
    </row>
    <row r="494" spans="1:14" x14ac:dyDescent="0.3">
      <c r="A494">
        <v>467</v>
      </c>
      <c r="B494" t="s">
        <v>1374</v>
      </c>
      <c r="C494" t="s">
        <v>2256</v>
      </c>
      <c r="D494" t="s">
        <v>1203</v>
      </c>
      <c r="E494" t="s">
        <v>1204</v>
      </c>
      <c r="F494">
        <v>5746</v>
      </c>
      <c r="G494" t="s">
        <v>684</v>
      </c>
      <c r="I494">
        <v>913</v>
      </c>
      <c r="J494">
        <v>913</v>
      </c>
      <c r="K494">
        <v>913</v>
      </c>
      <c r="L494">
        <v>913</v>
      </c>
      <c r="N494" t="s">
        <v>988</v>
      </c>
    </row>
    <row r="495" spans="1:14" x14ac:dyDescent="0.3">
      <c r="A495">
        <v>467</v>
      </c>
      <c r="B495" t="s">
        <v>1374</v>
      </c>
      <c r="C495" t="s">
        <v>2256</v>
      </c>
      <c r="D495" t="s">
        <v>1203</v>
      </c>
      <c r="E495" t="s">
        <v>1204</v>
      </c>
      <c r="F495">
        <v>5746</v>
      </c>
      <c r="G495" t="s">
        <v>702</v>
      </c>
      <c r="I495">
        <v>675</v>
      </c>
      <c r="J495">
        <v>675</v>
      </c>
      <c r="K495">
        <v>675</v>
      </c>
      <c r="L495">
        <v>675</v>
      </c>
      <c r="N495" t="s">
        <v>988</v>
      </c>
    </row>
    <row r="496" spans="1:14" x14ac:dyDescent="0.3">
      <c r="A496">
        <v>467</v>
      </c>
      <c r="B496" t="s">
        <v>1374</v>
      </c>
      <c r="C496" t="s">
        <v>2256</v>
      </c>
      <c r="D496" t="s">
        <v>1203</v>
      </c>
      <c r="E496" t="s">
        <v>1204</v>
      </c>
      <c r="F496">
        <v>5746</v>
      </c>
      <c r="G496" t="s">
        <v>703</v>
      </c>
      <c r="I496">
        <v>317</v>
      </c>
      <c r="J496">
        <v>317</v>
      </c>
      <c r="K496">
        <v>317</v>
      </c>
      <c r="L496">
        <v>317</v>
      </c>
      <c r="N496" t="s">
        <v>988</v>
      </c>
    </row>
    <row r="497" spans="1:14" x14ac:dyDescent="0.3">
      <c r="A497">
        <v>467</v>
      </c>
      <c r="B497" t="s">
        <v>1374</v>
      </c>
      <c r="C497" t="s">
        <v>2256</v>
      </c>
      <c r="D497" t="s">
        <v>1203</v>
      </c>
      <c r="E497" t="s">
        <v>1204</v>
      </c>
      <c r="F497">
        <v>5746</v>
      </c>
      <c r="G497" t="s">
        <v>696</v>
      </c>
      <c r="I497">
        <v>4188</v>
      </c>
      <c r="J497">
        <v>4240</v>
      </c>
      <c r="K497">
        <v>4519</v>
      </c>
      <c r="L497">
        <v>4572</v>
      </c>
      <c r="N497" t="s">
        <v>988</v>
      </c>
    </row>
    <row r="498" spans="1:14" x14ac:dyDescent="0.3">
      <c r="A498">
        <v>467</v>
      </c>
      <c r="B498" t="s">
        <v>1374</v>
      </c>
      <c r="C498" t="s">
        <v>2256</v>
      </c>
      <c r="D498" t="s">
        <v>1203</v>
      </c>
      <c r="E498" t="s">
        <v>1204</v>
      </c>
      <c r="F498">
        <v>5746</v>
      </c>
      <c r="G498" t="s">
        <v>698</v>
      </c>
      <c r="I498">
        <v>369</v>
      </c>
      <c r="J498">
        <v>387</v>
      </c>
      <c r="K498">
        <v>406</v>
      </c>
      <c r="L498">
        <v>424</v>
      </c>
      <c r="N498" t="s">
        <v>988</v>
      </c>
    </row>
    <row r="499" spans="1:14" x14ac:dyDescent="0.3">
      <c r="A499">
        <v>467</v>
      </c>
      <c r="B499" t="s">
        <v>1374</v>
      </c>
      <c r="C499" t="s">
        <v>2256</v>
      </c>
      <c r="D499" t="s">
        <v>1203</v>
      </c>
      <c r="E499" t="s">
        <v>1204</v>
      </c>
      <c r="F499">
        <v>5746</v>
      </c>
      <c r="G499" t="s">
        <v>700</v>
      </c>
      <c r="I499">
        <v>555</v>
      </c>
      <c r="J499">
        <v>556</v>
      </c>
      <c r="K499">
        <v>558</v>
      </c>
      <c r="L499">
        <v>559</v>
      </c>
      <c r="N499" t="s">
        <v>988</v>
      </c>
    </row>
    <row r="500" spans="1:14" x14ac:dyDescent="0.3">
      <c r="A500">
        <v>478</v>
      </c>
      <c r="B500" t="s">
        <v>1375</v>
      </c>
      <c r="C500" t="s">
        <v>2256</v>
      </c>
      <c r="D500" t="s">
        <v>159</v>
      </c>
      <c r="E500" t="s">
        <v>159</v>
      </c>
      <c r="F500">
        <v>6869</v>
      </c>
      <c r="G500" t="s">
        <v>698</v>
      </c>
      <c r="I500">
        <v>1878</v>
      </c>
      <c r="J500">
        <v>1920</v>
      </c>
      <c r="K500">
        <v>1971</v>
      </c>
      <c r="L500">
        <v>2022</v>
      </c>
      <c r="M500">
        <v>2084</v>
      </c>
      <c r="N500" t="s">
        <v>988</v>
      </c>
    </row>
    <row r="501" spans="1:14" x14ac:dyDescent="0.3">
      <c r="A501">
        <v>478</v>
      </c>
      <c r="B501" t="s">
        <v>1375</v>
      </c>
      <c r="C501" t="s">
        <v>2256</v>
      </c>
      <c r="D501" t="s">
        <v>159</v>
      </c>
      <c r="E501" t="s">
        <v>159</v>
      </c>
      <c r="F501">
        <v>6869</v>
      </c>
      <c r="G501" t="s">
        <v>696</v>
      </c>
      <c r="I501">
        <v>8351</v>
      </c>
      <c r="J501">
        <v>8538</v>
      </c>
      <c r="K501">
        <v>8766</v>
      </c>
      <c r="L501">
        <v>8993</v>
      </c>
      <c r="M501">
        <v>9268</v>
      </c>
      <c r="N501" t="s">
        <v>988</v>
      </c>
    </row>
    <row r="502" spans="1:14" x14ac:dyDescent="0.3">
      <c r="A502">
        <v>478</v>
      </c>
      <c r="B502" t="s">
        <v>1375</v>
      </c>
      <c r="C502" t="s">
        <v>2256</v>
      </c>
      <c r="D502" t="s">
        <v>159</v>
      </c>
      <c r="E502" t="s">
        <v>159</v>
      </c>
      <c r="F502">
        <v>6869</v>
      </c>
      <c r="G502" t="s">
        <v>701</v>
      </c>
      <c r="I502">
        <v>49</v>
      </c>
      <c r="J502">
        <v>50</v>
      </c>
      <c r="K502">
        <v>51</v>
      </c>
      <c r="L502">
        <v>52</v>
      </c>
      <c r="M502">
        <v>54</v>
      </c>
      <c r="N502" t="s">
        <v>988</v>
      </c>
    </row>
    <row r="503" spans="1:14" x14ac:dyDescent="0.3">
      <c r="A503">
        <v>478</v>
      </c>
      <c r="B503" t="s">
        <v>1375</v>
      </c>
      <c r="C503" t="s">
        <v>2256</v>
      </c>
      <c r="D503" t="s">
        <v>159</v>
      </c>
      <c r="E503" t="s">
        <v>159</v>
      </c>
      <c r="F503">
        <v>6869</v>
      </c>
      <c r="G503" t="s">
        <v>700</v>
      </c>
      <c r="I503">
        <v>2887</v>
      </c>
      <c r="J503">
        <v>2952</v>
      </c>
      <c r="K503">
        <v>3031</v>
      </c>
      <c r="L503">
        <v>3109</v>
      </c>
      <c r="M503">
        <v>3205</v>
      </c>
      <c r="N503" t="s">
        <v>988</v>
      </c>
    </row>
    <row r="504" spans="1:14" x14ac:dyDescent="0.3">
      <c r="A504">
        <v>478</v>
      </c>
      <c r="B504" t="s">
        <v>1375</v>
      </c>
      <c r="C504" t="s">
        <v>2256</v>
      </c>
      <c r="D504" t="s">
        <v>159</v>
      </c>
      <c r="E504" t="s">
        <v>159</v>
      </c>
      <c r="F504">
        <v>6869</v>
      </c>
      <c r="G504" t="s">
        <v>703</v>
      </c>
      <c r="I504">
        <v>150</v>
      </c>
      <c r="J504">
        <v>154</v>
      </c>
      <c r="K504">
        <v>158</v>
      </c>
      <c r="L504">
        <v>162</v>
      </c>
      <c r="M504">
        <v>167</v>
      </c>
      <c r="N504" t="s">
        <v>988</v>
      </c>
    </row>
    <row r="505" spans="1:14" x14ac:dyDescent="0.3">
      <c r="A505">
        <v>478</v>
      </c>
      <c r="B505" t="s">
        <v>1375</v>
      </c>
      <c r="C505" t="s">
        <v>2256</v>
      </c>
      <c r="D505" t="s">
        <v>159</v>
      </c>
      <c r="E505" t="s">
        <v>159</v>
      </c>
      <c r="F505">
        <v>6869</v>
      </c>
      <c r="G505" t="s">
        <v>684</v>
      </c>
      <c r="I505">
        <v>182</v>
      </c>
      <c r="J505">
        <v>173</v>
      </c>
      <c r="K505">
        <v>164</v>
      </c>
      <c r="L505">
        <v>160</v>
      </c>
      <c r="M505">
        <v>154</v>
      </c>
      <c r="N505" t="s">
        <v>988</v>
      </c>
    </row>
    <row r="506" spans="1:14" x14ac:dyDescent="0.3">
      <c r="A506">
        <v>478</v>
      </c>
      <c r="B506" t="s">
        <v>1375</v>
      </c>
      <c r="C506" t="s">
        <v>2256</v>
      </c>
      <c r="D506" t="s">
        <v>159</v>
      </c>
      <c r="E506" t="s">
        <v>159</v>
      </c>
      <c r="F506">
        <v>6869</v>
      </c>
      <c r="G506" t="s">
        <v>702</v>
      </c>
      <c r="I506">
        <v>1905</v>
      </c>
      <c r="J506">
        <v>1948</v>
      </c>
      <c r="K506">
        <v>2000</v>
      </c>
      <c r="L506">
        <v>2051</v>
      </c>
      <c r="M506">
        <v>2114</v>
      </c>
      <c r="N506" t="s">
        <v>988</v>
      </c>
    </row>
    <row r="507" spans="1:14" x14ac:dyDescent="0.3">
      <c r="A507">
        <v>478</v>
      </c>
      <c r="B507" t="s">
        <v>1375</v>
      </c>
      <c r="C507" t="s">
        <v>2256</v>
      </c>
      <c r="D507" t="s">
        <v>159</v>
      </c>
      <c r="E507" t="s">
        <v>159</v>
      </c>
      <c r="F507">
        <v>6869</v>
      </c>
      <c r="G507" t="s">
        <v>686</v>
      </c>
      <c r="I507">
        <v>900</v>
      </c>
      <c r="J507">
        <v>920</v>
      </c>
      <c r="K507">
        <v>945</v>
      </c>
      <c r="L507">
        <v>970</v>
      </c>
      <c r="M507">
        <v>999</v>
      </c>
      <c r="N507" t="s">
        <v>988</v>
      </c>
    </row>
    <row r="508" spans="1:14" x14ac:dyDescent="0.3">
      <c r="A508">
        <v>481</v>
      </c>
      <c r="B508" t="s">
        <v>1379</v>
      </c>
      <c r="C508" t="s">
        <v>2256</v>
      </c>
      <c r="D508" t="s">
        <v>1203</v>
      </c>
      <c r="E508" t="s">
        <v>1204</v>
      </c>
      <c r="F508">
        <v>5750</v>
      </c>
      <c r="G508" t="s">
        <v>691</v>
      </c>
      <c r="H508" t="s">
        <v>2302</v>
      </c>
      <c r="I508">
        <v>8860</v>
      </c>
      <c r="J508">
        <v>8950</v>
      </c>
      <c r="K508">
        <v>9070</v>
      </c>
      <c r="L508">
        <v>9160</v>
      </c>
      <c r="M508">
        <v>9280</v>
      </c>
      <c r="N508" t="s">
        <v>988</v>
      </c>
    </row>
    <row r="509" spans="1:14" x14ac:dyDescent="0.3">
      <c r="A509">
        <v>485</v>
      </c>
      <c r="B509" t="s">
        <v>1381</v>
      </c>
      <c r="C509" t="s">
        <v>2256</v>
      </c>
      <c r="D509" t="s">
        <v>1203</v>
      </c>
      <c r="E509" t="s">
        <v>1204</v>
      </c>
      <c r="F509">
        <v>6618</v>
      </c>
      <c r="G509" t="s">
        <v>684</v>
      </c>
      <c r="I509">
        <v>2156</v>
      </c>
      <c r="J509">
        <v>2220</v>
      </c>
      <c r="K509">
        <v>2287</v>
      </c>
      <c r="L509">
        <v>2356</v>
      </c>
      <c r="M509">
        <v>2426</v>
      </c>
      <c r="N509" t="s">
        <v>988</v>
      </c>
    </row>
    <row r="510" spans="1:14" x14ac:dyDescent="0.3">
      <c r="A510">
        <v>485</v>
      </c>
      <c r="B510" t="s">
        <v>1381</v>
      </c>
      <c r="C510" t="s">
        <v>2256</v>
      </c>
      <c r="D510" t="s">
        <v>1203</v>
      </c>
      <c r="E510" t="s">
        <v>1204</v>
      </c>
      <c r="F510">
        <v>6618</v>
      </c>
      <c r="G510" t="s">
        <v>686</v>
      </c>
      <c r="I510">
        <v>245</v>
      </c>
      <c r="J510">
        <v>251</v>
      </c>
      <c r="K510">
        <v>263</v>
      </c>
      <c r="L510">
        <v>267</v>
      </c>
      <c r="M510">
        <v>272</v>
      </c>
      <c r="N510" t="s">
        <v>988</v>
      </c>
    </row>
    <row r="511" spans="1:14" x14ac:dyDescent="0.3">
      <c r="A511">
        <v>485</v>
      </c>
      <c r="B511" t="s">
        <v>1381</v>
      </c>
      <c r="C511" t="s">
        <v>2256</v>
      </c>
      <c r="D511" t="s">
        <v>1203</v>
      </c>
      <c r="E511" t="s">
        <v>1204</v>
      </c>
      <c r="F511">
        <v>6618</v>
      </c>
      <c r="G511" t="s">
        <v>696</v>
      </c>
      <c r="I511">
        <v>793</v>
      </c>
      <c r="J511">
        <v>788</v>
      </c>
      <c r="K511">
        <v>857</v>
      </c>
      <c r="L511">
        <v>855</v>
      </c>
      <c r="M511">
        <v>856</v>
      </c>
      <c r="N511" t="s">
        <v>988</v>
      </c>
    </row>
    <row r="512" spans="1:14" x14ac:dyDescent="0.3">
      <c r="A512">
        <v>485</v>
      </c>
      <c r="B512" t="s">
        <v>1381</v>
      </c>
      <c r="C512" t="s">
        <v>2256</v>
      </c>
      <c r="D512" t="s">
        <v>1203</v>
      </c>
      <c r="E512" t="s">
        <v>1204</v>
      </c>
      <c r="F512">
        <v>6618</v>
      </c>
      <c r="G512" t="s">
        <v>703</v>
      </c>
      <c r="I512">
        <v>121</v>
      </c>
      <c r="J512">
        <v>121</v>
      </c>
      <c r="K512">
        <v>121</v>
      </c>
      <c r="L512">
        <v>121</v>
      </c>
      <c r="M512">
        <v>121</v>
      </c>
      <c r="N512" t="s">
        <v>988</v>
      </c>
    </row>
    <row r="513" spans="1:14" x14ac:dyDescent="0.3">
      <c r="A513">
        <v>485</v>
      </c>
      <c r="B513" t="s">
        <v>1381</v>
      </c>
      <c r="C513" t="s">
        <v>2256</v>
      </c>
      <c r="D513" t="s">
        <v>1203</v>
      </c>
      <c r="E513" t="s">
        <v>1204</v>
      </c>
      <c r="F513">
        <v>6618</v>
      </c>
      <c r="G513" t="s">
        <v>698</v>
      </c>
      <c r="I513">
        <v>415</v>
      </c>
      <c r="J513">
        <v>412</v>
      </c>
      <c r="K513">
        <v>448</v>
      </c>
      <c r="L513">
        <v>448</v>
      </c>
      <c r="M513">
        <v>448</v>
      </c>
      <c r="N513" t="s">
        <v>988</v>
      </c>
    </row>
    <row r="514" spans="1:14" x14ac:dyDescent="0.3">
      <c r="A514">
        <v>485</v>
      </c>
      <c r="B514" t="s">
        <v>1381</v>
      </c>
      <c r="C514" t="s">
        <v>2256</v>
      </c>
      <c r="D514" t="s">
        <v>1203</v>
      </c>
      <c r="E514" t="s">
        <v>1204</v>
      </c>
      <c r="F514">
        <v>6618</v>
      </c>
      <c r="G514" t="s">
        <v>700</v>
      </c>
      <c r="I514">
        <v>261</v>
      </c>
      <c r="J514">
        <v>260</v>
      </c>
      <c r="K514">
        <v>282</v>
      </c>
      <c r="L514">
        <v>281</v>
      </c>
      <c r="M514">
        <v>282</v>
      </c>
      <c r="N514" t="s">
        <v>988</v>
      </c>
    </row>
    <row r="515" spans="1:14" x14ac:dyDescent="0.3">
      <c r="A515">
        <v>485</v>
      </c>
      <c r="B515" t="s">
        <v>1381</v>
      </c>
      <c r="C515" t="s">
        <v>2256</v>
      </c>
      <c r="D515" t="s">
        <v>1203</v>
      </c>
      <c r="E515" t="s">
        <v>1204</v>
      </c>
      <c r="F515">
        <v>6618</v>
      </c>
      <c r="G515" t="s">
        <v>701</v>
      </c>
      <c r="I515">
        <v>61</v>
      </c>
      <c r="J515">
        <v>61</v>
      </c>
      <c r="K515">
        <v>61</v>
      </c>
      <c r="L515">
        <v>61</v>
      </c>
      <c r="M515">
        <v>61</v>
      </c>
      <c r="N515" t="s">
        <v>988</v>
      </c>
    </row>
    <row r="516" spans="1:14" x14ac:dyDescent="0.3">
      <c r="A516">
        <v>485</v>
      </c>
      <c r="B516" t="s">
        <v>1381</v>
      </c>
      <c r="C516" t="s">
        <v>2256</v>
      </c>
      <c r="D516" t="s">
        <v>1203</v>
      </c>
      <c r="E516" t="s">
        <v>1204</v>
      </c>
      <c r="F516">
        <v>6618</v>
      </c>
      <c r="G516" t="s">
        <v>702</v>
      </c>
      <c r="I516">
        <v>59</v>
      </c>
      <c r="J516">
        <v>57</v>
      </c>
      <c r="K516">
        <v>62</v>
      </c>
      <c r="L516">
        <v>63</v>
      </c>
      <c r="M516">
        <v>64</v>
      </c>
      <c r="N516" t="s">
        <v>988</v>
      </c>
    </row>
    <row r="517" spans="1:14" x14ac:dyDescent="0.3">
      <c r="A517">
        <v>495</v>
      </c>
      <c r="B517" t="s">
        <v>1382</v>
      </c>
      <c r="C517" t="s">
        <v>2256</v>
      </c>
      <c r="D517" t="s">
        <v>159</v>
      </c>
      <c r="E517" t="s">
        <v>159</v>
      </c>
      <c r="F517">
        <v>5743</v>
      </c>
      <c r="G517" t="s">
        <v>698</v>
      </c>
      <c r="I517">
        <v>202</v>
      </c>
      <c r="J517">
        <v>202</v>
      </c>
      <c r="K517">
        <v>202</v>
      </c>
      <c r="L517">
        <v>202</v>
      </c>
      <c r="N517" t="s">
        <v>988</v>
      </c>
    </row>
    <row r="518" spans="1:14" x14ac:dyDescent="0.3">
      <c r="A518">
        <v>495</v>
      </c>
      <c r="B518" t="s">
        <v>1382</v>
      </c>
      <c r="C518" t="s">
        <v>2256</v>
      </c>
      <c r="D518" t="s">
        <v>159</v>
      </c>
      <c r="E518" t="s">
        <v>159</v>
      </c>
      <c r="F518">
        <v>5743</v>
      </c>
      <c r="G518" t="s">
        <v>696</v>
      </c>
      <c r="I518">
        <v>1157</v>
      </c>
      <c r="J518">
        <v>1157</v>
      </c>
      <c r="K518">
        <v>1157</v>
      </c>
      <c r="L518">
        <v>1157</v>
      </c>
      <c r="N518" t="s">
        <v>988</v>
      </c>
    </row>
    <row r="519" spans="1:14" x14ac:dyDescent="0.3">
      <c r="A519">
        <v>495</v>
      </c>
      <c r="B519" t="s">
        <v>1382</v>
      </c>
      <c r="C519" t="s">
        <v>2256</v>
      </c>
      <c r="D519" t="s">
        <v>159</v>
      </c>
      <c r="E519" t="s">
        <v>159</v>
      </c>
      <c r="F519">
        <v>5743</v>
      </c>
      <c r="G519" t="s">
        <v>700</v>
      </c>
      <c r="I519">
        <v>574</v>
      </c>
      <c r="J519">
        <v>574</v>
      </c>
      <c r="K519">
        <v>574</v>
      </c>
      <c r="L519">
        <v>574</v>
      </c>
      <c r="N519" t="s">
        <v>988</v>
      </c>
    </row>
    <row r="520" spans="1:14" x14ac:dyDescent="0.3">
      <c r="A520">
        <v>495</v>
      </c>
      <c r="B520" t="s">
        <v>1382</v>
      </c>
      <c r="C520" t="s">
        <v>2256</v>
      </c>
      <c r="D520" t="s">
        <v>159</v>
      </c>
      <c r="E520" t="s">
        <v>159</v>
      </c>
      <c r="F520">
        <v>5743</v>
      </c>
      <c r="G520" t="s">
        <v>701</v>
      </c>
      <c r="I520">
        <v>23</v>
      </c>
      <c r="J520">
        <v>23</v>
      </c>
      <c r="K520">
        <v>23</v>
      </c>
      <c r="L520">
        <v>23</v>
      </c>
      <c r="N520" t="s">
        <v>988</v>
      </c>
    </row>
    <row r="521" spans="1:14" x14ac:dyDescent="0.3">
      <c r="A521">
        <v>495</v>
      </c>
      <c r="B521" t="s">
        <v>1382</v>
      </c>
      <c r="C521" t="s">
        <v>2256</v>
      </c>
      <c r="D521" t="s">
        <v>159</v>
      </c>
      <c r="E521" t="s">
        <v>159</v>
      </c>
      <c r="F521">
        <v>5743</v>
      </c>
      <c r="G521" t="s">
        <v>684</v>
      </c>
      <c r="H521" t="s">
        <v>2303</v>
      </c>
      <c r="I521">
        <v>6496</v>
      </c>
      <c r="J521">
        <v>6496</v>
      </c>
      <c r="K521">
        <v>6496</v>
      </c>
      <c r="L521">
        <v>6496</v>
      </c>
      <c r="N521" t="s">
        <v>988</v>
      </c>
    </row>
    <row r="522" spans="1:14" x14ac:dyDescent="0.3">
      <c r="A522">
        <v>495</v>
      </c>
      <c r="B522" t="s">
        <v>1382</v>
      </c>
      <c r="C522" t="s">
        <v>2256</v>
      </c>
      <c r="D522" t="s">
        <v>159</v>
      </c>
      <c r="E522" t="s">
        <v>159</v>
      </c>
      <c r="F522">
        <v>5743</v>
      </c>
      <c r="G522" t="s">
        <v>686</v>
      </c>
      <c r="I522">
        <v>954</v>
      </c>
      <c r="J522">
        <v>954</v>
      </c>
      <c r="K522">
        <v>954</v>
      </c>
      <c r="L522">
        <v>954</v>
      </c>
      <c r="N522" t="s">
        <v>988</v>
      </c>
    </row>
    <row r="523" spans="1:14" x14ac:dyDescent="0.3">
      <c r="A523">
        <v>495</v>
      </c>
      <c r="B523" t="s">
        <v>1382</v>
      </c>
      <c r="C523" t="s">
        <v>2256</v>
      </c>
      <c r="D523" t="s">
        <v>159</v>
      </c>
      <c r="E523" t="s">
        <v>159</v>
      </c>
      <c r="F523">
        <v>5743</v>
      </c>
      <c r="G523" t="s">
        <v>691</v>
      </c>
      <c r="H523" t="s">
        <v>2304</v>
      </c>
      <c r="I523">
        <v>201</v>
      </c>
      <c r="J523">
        <v>201</v>
      </c>
      <c r="K523">
        <v>201</v>
      </c>
      <c r="L523">
        <v>201</v>
      </c>
      <c r="N523" t="s">
        <v>988</v>
      </c>
    </row>
    <row r="524" spans="1:14" x14ac:dyDescent="0.3">
      <c r="A524">
        <v>495</v>
      </c>
      <c r="B524" t="s">
        <v>1382</v>
      </c>
      <c r="C524" t="s">
        <v>2256</v>
      </c>
      <c r="D524" t="s">
        <v>159</v>
      </c>
      <c r="E524" t="s">
        <v>159</v>
      </c>
      <c r="F524">
        <v>5743</v>
      </c>
      <c r="G524" t="s">
        <v>691</v>
      </c>
      <c r="H524" t="s">
        <v>2305</v>
      </c>
      <c r="I524">
        <v>461</v>
      </c>
      <c r="J524">
        <v>461</v>
      </c>
      <c r="K524">
        <v>461</v>
      </c>
      <c r="L524">
        <v>461</v>
      </c>
      <c r="N524" t="s">
        <v>988</v>
      </c>
    </row>
    <row r="525" spans="1:14" x14ac:dyDescent="0.3">
      <c r="A525">
        <v>495</v>
      </c>
      <c r="B525" t="s">
        <v>1382</v>
      </c>
      <c r="C525" t="s">
        <v>2256</v>
      </c>
      <c r="D525" t="s">
        <v>159</v>
      </c>
      <c r="E525" t="s">
        <v>159</v>
      </c>
      <c r="F525">
        <v>5743</v>
      </c>
      <c r="G525" t="s">
        <v>703</v>
      </c>
      <c r="I525">
        <v>101</v>
      </c>
      <c r="J525">
        <v>101</v>
      </c>
      <c r="K525">
        <v>101</v>
      </c>
      <c r="L525">
        <v>101</v>
      </c>
      <c r="N525" t="s">
        <v>988</v>
      </c>
    </row>
    <row r="526" spans="1:14" x14ac:dyDescent="0.3">
      <c r="A526">
        <v>1050</v>
      </c>
      <c r="B526" t="s">
        <v>1385</v>
      </c>
      <c r="C526" t="s">
        <v>2256</v>
      </c>
      <c r="D526" t="s">
        <v>159</v>
      </c>
      <c r="E526" t="s">
        <v>159</v>
      </c>
      <c r="F526">
        <v>5766</v>
      </c>
      <c r="G526" t="s">
        <v>691</v>
      </c>
      <c r="H526" t="s">
        <v>1384</v>
      </c>
      <c r="I526">
        <v>52</v>
      </c>
      <c r="J526">
        <v>52</v>
      </c>
      <c r="K526">
        <v>52</v>
      </c>
      <c r="L526">
        <v>52</v>
      </c>
      <c r="N526" t="s">
        <v>988</v>
      </c>
    </row>
    <row r="527" spans="1:14" x14ac:dyDescent="0.3">
      <c r="A527">
        <v>1050</v>
      </c>
      <c r="B527" t="s">
        <v>1385</v>
      </c>
      <c r="C527" t="s">
        <v>2256</v>
      </c>
      <c r="D527" t="s">
        <v>159</v>
      </c>
      <c r="E527" t="s">
        <v>159</v>
      </c>
      <c r="F527">
        <v>5766</v>
      </c>
      <c r="G527" t="s">
        <v>686</v>
      </c>
      <c r="I527">
        <v>130</v>
      </c>
      <c r="J527">
        <v>130</v>
      </c>
      <c r="K527">
        <v>130</v>
      </c>
      <c r="L527">
        <v>130</v>
      </c>
      <c r="N527" t="s">
        <v>988</v>
      </c>
    </row>
    <row r="528" spans="1:14" x14ac:dyDescent="0.3">
      <c r="A528">
        <v>1050</v>
      </c>
      <c r="B528" t="s">
        <v>1385</v>
      </c>
      <c r="C528" t="s">
        <v>2256</v>
      </c>
      <c r="D528" t="s">
        <v>159</v>
      </c>
      <c r="E528" t="s">
        <v>159</v>
      </c>
      <c r="F528">
        <v>5766</v>
      </c>
      <c r="G528" t="s">
        <v>684</v>
      </c>
      <c r="H528" t="s">
        <v>2306</v>
      </c>
      <c r="I528">
        <v>38</v>
      </c>
      <c r="J528">
        <v>38</v>
      </c>
      <c r="K528">
        <v>38</v>
      </c>
      <c r="L528">
        <v>38</v>
      </c>
      <c r="N528" t="s">
        <v>988</v>
      </c>
    </row>
    <row r="529" spans="1:14" x14ac:dyDescent="0.3">
      <c r="A529">
        <v>1050</v>
      </c>
      <c r="B529" t="s">
        <v>1385</v>
      </c>
      <c r="C529" t="s">
        <v>2256</v>
      </c>
      <c r="D529" t="s">
        <v>159</v>
      </c>
      <c r="E529" t="s">
        <v>159</v>
      </c>
      <c r="F529">
        <v>5766</v>
      </c>
      <c r="G529" t="s">
        <v>703</v>
      </c>
      <c r="I529">
        <v>20</v>
      </c>
      <c r="J529">
        <v>20</v>
      </c>
      <c r="K529">
        <v>20</v>
      </c>
      <c r="L529">
        <v>20</v>
      </c>
      <c r="N529" t="s">
        <v>988</v>
      </c>
    </row>
    <row r="530" spans="1:14" x14ac:dyDescent="0.3">
      <c r="A530">
        <v>1050</v>
      </c>
      <c r="B530" t="s">
        <v>1385</v>
      </c>
      <c r="C530" t="s">
        <v>2256</v>
      </c>
      <c r="D530" t="s">
        <v>159</v>
      </c>
      <c r="E530" t="s">
        <v>159</v>
      </c>
      <c r="F530">
        <v>5766</v>
      </c>
      <c r="G530" t="s">
        <v>701</v>
      </c>
      <c r="I530">
        <v>2</v>
      </c>
      <c r="J530">
        <v>2</v>
      </c>
      <c r="K530">
        <v>2</v>
      </c>
      <c r="L530">
        <v>2</v>
      </c>
      <c r="N530" t="s">
        <v>988</v>
      </c>
    </row>
    <row r="531" spans="1:14" x14ac:dyDescent="0.3">
      <c r="A531">
        <v>1050</v>
      </c>
      <c r="B531" t="s">
        <v>1385</v>
      </c>
      <c r="C531" t="s">
        <v>2256</v>
      </c>
      <c r="D531" t="s">
        <v>159</v>
      </c>
      <c r="E531" t="s">
        <v>159</v>
      </c>
      <c r="F531">
        <v>5766</v>
      </c>
      <c r="G531" t="s">
        <v>700</v>
      </c>
      <c r="I531">
        <v>425</v>
      </c>
      <c r="J531">
        <v>425</v>
      </c>
      <c r="K531">
        <v>425</v>
      </c>
      <c r="L531">
        <v>425</v>
      </c>
      <c r="N531" t="s">
        <v>988</v>
      </c>
    </row>
    <row r="532" spans="1:14" x14ac:dyDescent="0.3">
      <c r="A532">
        <v>1050</v>
      </c>
      <c r="B532" t="s">
        <v>1385</v>
      </c>
      <c r="C532" t="s">
        <v>2256</v>
      </c>
      <c r="D532" t="s">
        <v>159</v>
      </c>
      <c r="E532" t="s">
        <v>159</v>
      </c>
      <c r="F532">
        <v>5766</v>
      </c>
      <c r="G532" t="s">
        <v>698</v>
      </c>
      <c r="I532">
        <v>95</v>
      </c>
      <c r="J532">
        <v>95</v>
      </c>
      <c r="K532">
        <v>95</v>
      </c>
      <c r="L532">
        <v>95</v>
      </c>
      <c r="N532" t="s">
        <v>988</v>
      </c>
    </row>
    <row r="533" spans="1:14" x14ac:dyDescent="0.3">
      <c r="A533">
        <v>1050</v>
      </c>
      <c r="B533" t="s">
        <v>1385</v>
      </c>
      <c r="C533" t="s">
        <v>2256</v>
      </c>
      <c r="D533" t="s">
        <v>159</v>
      </c>
      <c r="E533" t="s">
        <v>159</v>
      </c>
      <c r="F533">
        <v>5766</v>
      </c>
      <c r="G533" t="s">
        <v>696</v>
      </c>
      <c r="I533">
        <v>1088</v>
      </c>
      <c r="J533">
        <v>1088</v>
      </c>
      <c r="K533">
        <v>1088</v>
      </c>
      <c r="L533">
        <v>1088</v>
      </c>
      <c r="N533" t="s">
        <v>988</v>
      </c>
    </row>
    <row r="534" spans="1:14" x14ac:dyDescent="0.3">
      <c r="A534">
        <v>522</v>
      </c>
      <c r="B534" t="s">
        <v>1387</v>
      </c>
      <c r="C534" t="s">
        <v>2256</v>
      </c>
      <c r="D534" t="s">
        <v>1203</v>
      </c>
      <c r="E534" t="s">
        <v>1204</v>
      </c>
      <c r="F534">
        <v>7829</v>
      </c>
      <c r="G534" t="s">
        <v>698</v>
      </c>
      <c r="I534">
        <v>326</v>
      </c>
      <c r="J534">
        <v>384</v>
      </c>
      <c r="K534">
        <v>452</v>
      </c>
      <c r="L534">
        <v>452</v>
      </c>
      <c r="N534" t="s">
        <v>987</v>
      </c>
    </row>
    <row r="535" spans="1:14" x14ac:dyDescent="0.3">
      <c r="A535">
        <v>522</v>
      </c>
      <c r="B535" t="s">
        <v>1387</v>
      </c>
      <c r="C535" t="s">
        <v>2256</v>
      </c>
      <c r="D535" t="s">
        <v>1203</v>
      </c>
      <c r="E535" t="s">
        <v>1204</v>
      </c>
      <c r="F535">
        <v>7829</v>
      </c>
      <c r="G535" t="s">
        <v>700</v>
      </c>
      <c r="I535">
        <v>252</v>
      </c>
      <c r="J535">
        <v>297</v>
      </c>
      <c r="K535">
        <v>349</v>
      </c>
      <c r="L535">
        <v>349</v>
      </c>
      <c r="N535" t="s">
        <v>987</v>
      </c>
    </row>
    <row r="536" spans="1:14" x14ac:dyDescent="0.3">
      <c r="A536">
        <v>522</v>
      </c>
      <c r="B536" t="s">
        <v>1387</v>
      </c>
      <c r="C536" t="s">
        <v>2256</v>
      </c>
      <c r="D536" t="s">
        <v>1203</v>
      </c>
      <c r="E536" t="s">
        <v>1204</v>
      </c>
      <c r="F536">
        <v>7829</v>
      </c>
      <c r="G536" t="s">
        <v>703</v>
      </c>
      <c r="I536">
        <v>148</v>
      </c>
      <c r="J536">
        <v>174</v>
      </c>
      <c r="K536">
        <v>205</v>
      </c>
      <c r="L536">
        <v>205</v>
      </c>
      <c r="N536" t="s">
        <v>987</v>
      </c>
    </row>
    <row r="537" spans="1:14" x14ac:dyDescent="0.3">
      <c r="A537">
        <v>522</v>
      </c>
      <c r="B537" t="s">
        <v>1387</v>
      </c>
      <c r="C537" t="s">
        <v>2256</v>
      </c>
      <c r="D537" t="s">
        <v>1203</v>
      </c>
      <c r="E537" t="s">
        <v>1204</v>
      </c>
      <c r="F537">
        <v>7829</v>
      </c>
      <c r="G537" t="s">
        <v>702</v>
      </c>
      <c r="I537">
        <v>252</v>
      </c>
      <c r="J537">
        <v>297</v>
      </c>
      <c r="K537">
        <v>349</v>
      </c>
      <c r="L537">
        <v>349</v>
      </c>
      <c r="N537" t="s">
        <v>987</v>
      </c>
    </row>
    <row r="538" spans="1:14" x14ac:dyDescent="0.3">
      <c r="A538">
        <v>522</v>
      </c>
      <c r="B538" t="s">
        <v>1387</v>
      </c>
      <c r="C538" t="s">
        <v>2256</v>
      </c>
      <c r="D538" t="s">
        <v>1203</v>
      </c>
      <c r="E538" t="s">
        <v>1204</v>
      </c>
      <c r="F538">
        <v>7829</v>
      </c>
      <c r="G538" t="s">
        <v>686</v>
      </c>
      <c r="I538">
        <v>174</v>
      </c>
      <c r="J538">
        <v>205</v>
      </c>
      <c r="K538">
        <v>241</v>
      </c>
      <c r="L538">
        <v>241</v>
      </c>
      <c r="N538" t="s">
        <v>987</v>
      </c>
    </row>
    <row r="539" spans="1:14" x14ac:dyDescent="0.3">
      <c r="A539">
        <v>522</v>
      </c>
      <c r="B539" t="s">
        <v>1387</v>
      </c>
      <c r="C539" t="s">
        <v>2256</v>
      </c>
      <c r="D539" t="s">
        <v>1203</v>
      </c>
      <c r="E539" t="s">
        <v>1204</v>
      </c>
      <c r="F539">
        <v>7829</v>
      </c>
      <c r="G539" t="s">
        <v>696</v>
      </c>
      <c r="I539">
        <v>1844</v>
      </c>
      <c r="J539">
        <v>2171</v>
      </c>
      <c r="K539">
        <v>2556</v>
      </c>
      <c r="L539">
        <v>2556</v>
      </c>
      <c r="N539" t="s">
        <v>987</v>
      </c>
    </row>
    <row r="540" spans="1:14" x14ac:dyDescent="0.3">
      <c r="A540">
        <v>524</v>
      </c>
      <c r="B540" t="s">
        <v>1388</v>
      </c>
      <c r="C540" t="s">
        <v>2256</v>
      </c>
      <c r="D540" t="s">
        <v>1203</v>
      </c>
      <c r="E540" t="s">
        <v>1204</v>
      </c>
      <c r="F540">
        <v>5553</v>
      </c>
      <c r="G540" t="s">
        <v>698</v>
      </c>
      <c r="I540">
        <v>561</v>
      </c>
      <c r="J540">
        <v>600</v>
      </c>
      <c r="K540">
        <v>617</v>
      </c>
      <c r="L540">
        <v>629</v>
      </c>
      <c r="M540">
        <v>641</v>
      </c>
      <c r="N540" t="s">
        <v>988</v>
      </c>
    </row>
    <row r="541" spans="1:14" x14ac:dyDescent="0.3">
      <c r="A541">
        <v>524</v>
      </c>
      <c r="B541" t="s">
        <v>1388</v>
      </c>
      <c r="C541" t="s">
        <v>2256</v>
      </c>
      <c r="D541" t="s">
        <v>1203</v>
      </c>
      <c r="E541" t="s">
        <v>1204</v>
      </c>
      <c r="F541">
        <v>5553</v>
      </c>
      <c r="G541" t="s">
        <v>700</v>
      </c>
      <c r="I541">
        <v>1576</v>
      </c>
      <c r="J541">
        <v>1685</v>
      </c>
      <c r="K541">
        <v>1735</v>
      </c>
      <c r="L541">
        <v>1769</v>
      </c>
      <c r="M541">
        <v>1803</v>
      </c>
      <c r="N541" t="s">
        <v>988</v>
      </c>
    </row>
    <row r="542" spans="1:14" x14ac:dyDescent="0.3">
      <c r="A542">
        <v>524</v>
      </c>
      <c r="B542" t="s">
        <v>1388</v>
      </c>
      <c r="C542" t="s">
        <v>2256</v>
      </c>
      <c r="D542" t="s">
        <v>1203</v>
      </c>
      <c r="E542" t="s">
        <v>1204</v>
      </c>
      <c r="F542">
        <v>5553</v>
      </c>
      <c r="G542" t="s">
        <v>702</v>
      </c>
      <c r="I542">
        <v>541</v>
      </c>
      <c r="J542">
        <v>578</v>
      </c>
      <c r="K542">
        <v>595</v>
      </c>
      <c r="L542">
        <v>607</v>
      </c>
      <c r="M542">
        <v>619</v>
      </c>
      <c r="N542" t="s">
        <v>988</v>
      </c>
    </row>
    <row r="543" spans="1:14" x14ac:dyDescent="0.3">
      <c r="A543">
        <v>524</v>
      </c>
      <c r="B543" t="s">
        <v>1388</v>
      </c>
      <c r="C543" t="s">
        <v>2256</v>
      </c>
      <c r="D543" t="s">
        <v>1203</v>
      </c>
      <c r="E543" t="s">
        <v>1204</v>
      </c>
      <c r="F543">
        <v>5553</v>
      </c>
      <c r="G543" t="s">
        <v>705</v>
      </c>
      <c r="I543">
        <v>1400</v>
      </c>
      <c r="J543">
        <v>1600</v>
      </c>
      <c r="K543">
        <v>1900</v>
      </c>
      <c r="L543">
        <v>2100</v>
      </c>
      <c r="M543">
        <v>2300</v>
      </c>
      <c r="N543" t="s">
        <v>988</v>
      </c>
    </row>
    <row r="544" spans="1:14" x14ac:dyDescent="0.3">
      <c r="A544">
        <v>524</v>
      </c>
      <c r="B544" t="s">
        <v>1388</v>
      </c>
      <c r="C544" t="s">
        <v>2256</v>
      </c>
      <c r="D544" t="s">
        <v>1203</v>
      </c>
      <c r="E544" t="s">
        <v>1204</v>
      </c>
      <c r="F544">
        <v>5553</v>
      </c>
      <c r="G544" t="s">
        <v>686</v>
      </c>
      <c r="I544">
        <v>478</v>
      </c>
      <c r="J544">
        <v>512</v>
      </c>
      <c r="K544">
        <v>527</v>
      </c>
      <c r="L544">
        <v>537</v>
      </c>
      <c r="M544">
        <v>547</v>
      </c>
      <c r="N544" t="s">
        <v>988</v>
      </c>
    </row>
    <row r="545" spans="1:14" x14ac:dyDescent="0.3">
      <c r="A545">
        <v>524</v>
      </c>
      <c r="B545" t="s">
        <v>1388</v>
      </c>
      <c r="C545" t="s">
        <v>2256</v>
      </c>
      <c r="D545" t="s">
        <v>1203</v>
      </c>
      <c r="E545" t="s">
        <v>1204</v>
      </c>
      <c r="F545">
        <v>5553</v>
      </c>
      <c r="G545" t="s">
        <v>696</v>
      </c>
      <c r="I545">
        <v>5301</v>
      </c>
      <c r="J545">
        <v>5564</v>
      </c>
      <c r="K545">
        <v>5477</v>
      </c>
      <c r="L545">
        <v>5422</v>
      </c>
      <c r="M545">
        <v>5366</v>
      </c>
      <c r="N545" t="s">
        <v>988</v>
      </c>
    </row>
    <row r="546" spans="1:14" x14ac:dyDescent="0.3">
      <c r="A546">
        <v>545</v>
      </c>
      <c r="B546" t="s">
        <v>1390</v>
      </c>
      <c r="C546" t="s">
        <v>2256</v>
      </c>
      <c r="D546" t="s">
        <v>159</v>
      </c>
      <c r="E546" t="s">
        <v>159</v>
      </c>
      <c r="F546">
        <v>5532</v>
      </c>
      <c r="G546" t="s">
        <v>687</v>
      </c>
      <c r="I546">
        <v>52</v>
      </c>
      <c r="J546">
        <v>57</v>
      </c>
      <c r="K546">
        <v>61</v>
      </c>
      <c r="L546">
        <v>65</v>
      </c>
      <c r="M546">
        <v>68</v>
      </c>
      <c r="N546" t="s">
        <v>988</v>
      </c>
    </row>
    <row r="547" spans="1:14" x14ac:dyDescent="0.3">
      <c r="A547">
        <v>545</v>
      </c>
      <c r="B547" t="s">
        <v>1390</v>
      </c>
      <c r="C547" t="s">
        <v>2256</v>
      </c>
      <c r="D547" t="s">
        <v>159</v>
      </c>
      <c r="E547" t="s">
        <v>159</v>
      </c>
      <c r="F547">
        <v>5532</v>
      </c>
      <c r="G547" t="s">
        <v>686</v>
      </c>
      <c r="I547">
        <v>1914</v>
      </c>
      <c r="J547">
        <v>2086</v>
      </c>
      <c r="K547">
        <v>2236</v>
      </c>
      <c r="L547">
        <v>2362</v>
      </c>
      <c r="M547">
        <v>2496</v>
      </c>
      <c r="N547" t="s">
        <v>988</v>
      </c>
    </row>
    <row r="548" spans="1:14" x14ac:dyDescent="0.3">
      <c r="A548">
        <v>545</v>
      </c>
      <c r="B548" t="s">
        <v>1390</v>
      </c>
      <c r="C548" t="s">
        <v>2256</v>
      </c>
      <c r="D548" t="s">
        <v>159</v>
      </c>
      <c r="E548" t="s">
        <v>159</v>
      </c>
      <c r="F548">
        <v>5532</v>
      </c>
      <c r="G548" t="s">
        <v>684</v>
      </c>
      <c r="I548">
        <v>100</v>
      </c>
      <c r="J548">
        <v>108</v>
      </c>
      <c r="K548">
        <v>116</v>
      </c>
      <c r="L548">
        <v>123</v>
      </c>
      <c r="M548">
        <v>130</v>
      </c>
      <c r="N548" t="s">
        <v>988</v>
      </c>
    </row>
    <row r="549" spans="1:14" x14ac:dyDescent="0.3">
      <c r="A549">
        <v>545</v>
      </c>
      <c r="B549" t="s">
        <v>1390</v>
      </c>
      <c r="C549" t="s">
        <v>2256</v>
      </c>
      <c r="D549" t="s">
        <v>159</v>
      </c>
      <c r="E549" t="s">
        <v>159</v>
      </c>
      <c r="F549">
        <v>5532</v>
      </c>
      <c r="G549" t="s">
        <v>702</v>
      </c>
      <c r="I549">
        <v>2511</v>
      </c>
      <c r="J549">
        <v>2737</v>
      </c>
      <c r="K549">
        <v>2933</v>
      </c>
      <c r="L549">
        <v>3098</v>
      </c>
      <c r="M549">
        <v>3274</v>
      </c>
      <c r="N549" t="s">
        <v>988</v>
      </c>
    </row>
    <row r="550" spans="1:14" x14ac:dyDescent="0.3">
      <c r="A550">
        <v>545</v>
      </c>
      <c r="B550" t="s">
        <v>1390</v>
      </c>
      <c r="C550" t="s">
        <v>2256</v>
      </c>
      <c r="D550" t="s">
        <v>159</v>
      </c>
      <c r="E550" t="s">
        <v>159</v>
      </c>
      <c r="F550">
        <v>5532</v>
      </c>
      <c r="G550" t="s">
        <v>696</v>
      </c>
      <c r="I550">
        <v>7672</v>
      </c>
      <c r="J550">
        <v>8361</v>
      </c>
      <c r="K550">
        <v>8961</v>
      </c>
      <c r="L550">
        <v>9466</v>
      </c>
      <c r="M550">
        <v>10003</v>
      </c>
      <c r="N550" t="s">
        <v>988</v>
      </c>
    </row>
    <row r="551" spans="1:14" x14ac:dyDescent="0.3">
      <c r="A551">
        <v>545</v>
      </c>
      <c r="B551" t="s">
        <v>1390</v>
      </c>
      <c r="C551" t="s">
        <v>2256</v>
      </c>
      <c r="D551" t="s">
        <v>159</v>
      </c>
      <c r="E551" t="s">
        <v>159</v>
      </c>
      <c r="F551">
        <v>5532</v>
      </c>
      <c r="G551" t="s">
        <v>701</v>
      </c>
      <c r="I551">
        <v>497</v>
      </c>
      <c r="J551">
        <v>541</v>
      </c>
      <c r="K551">
        <v>580</v>
      </c>
      <c r="L551">
        <v>613</v>
      </c>
      <c r="M551">
        <v>647</v>
      </c>
      <c r="N551" t="s">
        <v>988</v>
      </c>
    </row>
    <row r="552" spans="1:14" x14ac:dyDescent="0.3">
      <c r="A552">
        <v>545</v>
      </c>
      <c r="B552" t="s">
        <v>1390</v>
      </c>
      <c r="C552" t="s">
        <v>2256</v>
      </c>
      <c r="D552" t="s">
        <v>159</v>
      </c>
      <c r="E552" t="s">
        <v>159</v>
      </c>
      <c r="F552">
        <v>5532</v>
      </c>
      <c r="G552" t="s">
        <v>700</v>
      </c>
      <c r="I552">
        <v>2033</v>
      </c>
      <c r="J552">
        <v>2216</v>
      </c>
      <c r="K552">
        <v>2374</v>
      </c>
      <c r="L552">
        <v>2508</v>
      </c>
      <c r="M552">
        <v>2651</v>
      </c>
      <c r="N552" t="s">
        <v>988</v>
      </c>
    </row>
    <row r="553" spans="1:14" x14ac:dyDescent="0.3">
      <c r="A553">
        <v>545</v>
      </c>
      <c r="B553" t="s">
        <v>1390</v>
      </c>
      <c r="C553" t="s">
        <v>2256</v>
      </c>
      <c r="D553" t="s">
        <v>159</v>
      </c>
      <c r="E553" t="s">
        <v>159</v>
      </c>
      <c r="F553">
        <v>5532</v>
      </c>
      <c r="G553" t="s">
        <v>698</v>
      </c>
      <c r="I553">
        <v>1294</v>
      </c>
      <c r="J553">
        <v>1410</v>
      </c>
      <c r="K553">
        <v>1511</v>
      </c>
      <c r="L553">
        <v>1596</v>
      </c>
      <c r="M553">
        <v>1687</v>
      </c>
      <c r="N553" t="s">
        <v>988</v>
      </c>
    </row>
    <row r="554" spans="1:14" x14ac:dyDescent="0.3">
      <c r="A554">
        <v>545</v>
      </c>
      <c r="B554" t="s">
        <v>1390</v>
      </c>
      <c r="C554" t="s">
        <v>2256</v>
      </c>
      <c r="D554" t="s">
        <v>159</v>
      </c>
      <c r="E554" t="s">
        <v>159</v>
      </c>
      <c r="F554">
        <v>5532</v>
      </c>
      <c r="G554" t="s">
        <v>703</v>
      </c>
      <c r="I554">
        <v>270</v>
      </c>
      <c r="J554">
        <v>294</v>
      </c>
      <c r="K554">
        <v>315</v>
      </c>
      <c r="L554">
        <v>333</v>
      </c>
      <c r="M554">
        <v>352</v>
      </c>
      <c r="N554" t="s">
        <v>988</v>
      </c>
    </row>
    <row r="555" spans="1:14" x14ac:dyDescent="0.3">
      <c r="A555">
        <v>547</v>
      </c>
      <c r="B555" t="s">
        <v>1391</v>
      </c>
      <c r="C555" t="s">
        <v>2256</v>
      </c>
      <c r="D555" t="s">
        <v>1203</v>
      </c>
      <c r="E555" t="s">
        <v>1204</v>
      </c>
      <c r="F555">
        <v>7915</v>
      </c>
      <c r="G555" t="s">
        <v>686</v>
      </c>
      <c r="H555" t="s">
        <v>1392</v>
      </c>
      <c r="I555">
        <v>59.7</v>
      </c>
      <c r="J555">
        <v>59.7</v>
      </c>
      <c r="K555">
        <v>59.7</v>
      </c>
      <c r="L555">
        <v>59.7</v>
      </c>
      <c r="M555">
        <v>59.7</v>
      </c>
      <c r="N555" t="s">
        <v>988</v>
      </c>
    </row>
    <row r="556" spans="1:14" x14ac:dyDescent="0.3">
      <c r="A556">
        <v>547</v>
      </c>
      <c r="B556" t="s">
        <v>1391</v>
      </c>
      <c r="C556" t="s">
        <v>2256</v>
      </c>
      <c r="D556" t="s">
        <v>1203</v>
      </c>
      <c r="E556" t="s">
        <v>1204</v>
      </c>
      <c r="F556">
        <v>7915</v>
      </c>
      <c r="G556" t="s">
        <v>696</v>
      </c>
      <c r="H556" t="s">
        <v>1393</v>
      </c>
      <c r="I556">
        <v>10061</v>
      </c>
      <c r="J556">
        <v>10061</v>
      </c>
      <c r="K556">
        <v>10224</v>
      </c>
      <c r="L556">
        <v>10224</v>
      </c>
      <c r="M556">
        <v>10224</v>
      </c>
      <c r="N556" t="s">
        <v>988</v>
      </c>
    </row>
    <row r="557" spans="1:14" x14ac:dyDescent="0.3">
      <c r="A557">
        <v>547</v>
      </c>
      <c r="B557" t="s">
        <v>1391</v>
      </c>
      <c r="C557" t="s">
        <v>2256</v>
      </c>
      <c r="D557" t="s">
        <v>1203</v>
      </c>
      <c r="E557" t="s">
        <v>1204</v>
      </c>
      <c r="F557">
        <v>7915</v>
      </c>
      <c r="G557" t="s">
        <v>698</v>
      </c>
      <c r="H557" t="s">
        <v>1393</v>
      </c>
      <c r="I557">
        <v>1356</v>
      </c>
      <c r="J557">
        <v>1527</v>
      </c>
      <c r="K557">
        <v>1664</v>
      </c>
      <c r="L557">
        <v>1669</v>
      </c>
      <c r="M557">
        <v>1669</v>
      </c>
      <c r="N557" t="s">
        <v>988</v>
      </c>
    </row>
    <row r="558" spans="1:14" x14ac:dyDescent="0.3">
      <c r="A558">
        <v>547</v>
      </c>
      <c r="B558" t="s">
        <v>1391</v>
      </c>
      <c r="C558" t="s">
        <v>2256</v>
      </c>
      <c r="D558" t="s">
        <v>1203</v>
      </c>
      <c r="E558" t="s">
        <v>1204</v>
      </c>
      <c r="F558">
        <v>7915</v>
      </c>
      <c r="G558" t="s">
        <v>700</v>
      </c>
      <c r="H558" t="s">
        <v>2307</v>
      </c>
      <c r="I558">
        <v>4003</v>
      </c>
      <c r="J558">
        <v>4046</v>
      </c>
      <c r="K558">
        <v>4089</v>
      </c>
      <c r="L558">
        <v>4132</v>
      </c>
      <c r="M558">
        <v>4175</v>
      </c>
      <c r="N558" t="s">
        <v>988</v>
      </c>
    </row>
    <row r="559" spans="1:14" x14ac:dyDescent="0.3">
      <c r="A559">
        <v>547</v>
      </c>
      <c r="B559" t="s">
        <v>1391</v>
      </c>
      <c r="C559" t="s">
        <v>2256</v>
      </c>
      <c r="D559" t="s">
        <v>1203</v>
      </c>
      <c r="E559" t="s">
        <v>1204</v>
      </c>
      <c r="F559">
        <v>7915</v>
      </c>
      <c r="G559" t="s">
        <v>687</v>
      </c>
      <c r="H559" t="s">
        <v>2308</v>
      </c>
      <c r="I559">
        <v>30.8</v>
      </c>
      <c r="J559">
        <v>31.3</v>
      </c>
      <c r="K559">
        <v>32</v>
      </c>
      <c r="L559">
        <v>32</v>
      </c>
      <c r="M559">
        <v>32.1</v>
      </c>
      <c r="N559" t="s">
        <v>988</v>
      </c>
    </row>
    <row r="560" spans="1:14" x14ac:dyDescent="0.3">
      <c r="A560">
        <v>2979</v>
      </c>
      <c r="B560" t="s">
        <v>1396</v>
      </c>
      <c r="C560" t="s">
        <v>2256</v>
      </c>
      <c r="D560" t="s">
        <v>1203</v>
      </c>
      <c r="E560" t="s">
        <v>1204</v>
      </c>
      <c r="F560">
        <v>6904</v>
      </c>
      <c r="G560" t="s">
        <v>686</v>
      </c>
      <c r="I560">
        <v>26</v>
      </c>
      <c r="J560">
        <v>33</v>
      </c>
      <c r="K560">
        <v>43</v>
      </c>
      <c r="L560">
        <v>56</v>
      </c>
      <c r="M560">
        <v>72</v>
      </c>
      <c r="N560" t="s">
        <v>987</v>
      </c>
    </row>
    <row r="561" spans="1:14" x14ac:dyDescent="0.3">
      <c r="A561">
        <v>2979</v>
      </c>
      <c r="B561" t="s">
        <v>1396</v>
      </c>
      <c r="C561" t="s">
        <v>2256</v>
      </c>
      <c r="D561" t="s">
        <v>1203</v>
      </c>
      <c r="E561" t="s">
        <v>1204</v>
      </c>
      <c r="F561">
        <v>6904</v>
      </c>
      <c r="G561" t="s">
        <v>698</v>
      </c>
      <c r="I561">
        <v>35</v>
      </c>
      <c r="J561">
        <v>45</v>
      </c>
      <c r="K561">
        <v>58</v>
      </c>
      <c r="L561">
        <v>76</v>
      </c>
      <c r="M561">
        <v>98</v>
      </c>
      <c r="N561" t="s">
        <v>987</v>
      </c>
    </row>
    <row r="562" spans="1:14" x14ac:dyDescent="0.3">
      <c r="A562">
        <v>2979</v>
      </c>
      <c r="B562" t="s">
        <v>1396</v>
      </c>
      <c r="C562" t="s">
        <v>2256</v>
      </c>
      <c r="D562" t="s">
        <v>1203</v>
      </c>
      <c r="E562" t="s">
        <v>1204</v>
      </c>
      <c r="F562">
        <v>6904</v>
      </c>
      <c r="G562" t="s">
        <v>700</v>
      </c>
      <c r="I562">
        <v>229</v>
      </c>
      <c r="J562">
        <v>297</v>
      </c>
      <c r="K562">
        <v>384</v>
      </c>
      <c r="L562">
        <v>497</v>
      </c>
      <c r="M562">
        <v>644</v>
      </c>
      <c r="N562" t="s">
        <v>987</v>
      </c>
    </row>
    <row r="563" spans="1:14" x14ac:dyDescent="0.3">
      <c r="A563">
        <v>2979</v>
      </c>
      <c r="B563" t="s">
        <v>1396</v>
      </c>
      <c r="C563" t="s">
        <v>2256</v>
      </c>
      <c r="D563" t="s">
        <v>1203</v>
      </c>
      <c r="E563" t="s">
        <v>1204</v>
      </c>
      <c r="F563">
        <v>6904</v>
      </c>
      <c r="G563" t="s">
        <v>701</v>
      </c>
      <c r="I563">
        <v>1</v>
      </c>
      <c r="J563">
        <v>2</v>
      </c>
      <c r="K563">
        <v>2</v>
      </c>
      <c r="L563">
        <v>3</v>
      </c>
      <c r="M563">
        <v>4</v>
      </c>
      <c r="N563" t="s">
        <v>987</v>
      </c>
    </row>
    <row r="564" spans="1:14" x14ac:dyDescent="0.3">
      <c r="A564">
        <v>2979</v>
      </c>
      <c r="B564" t="s">
        <v>1396</v>
      </c>
      <c r="C564" t="s">
        <v>2256</v>
      </c>
      <c r="D564" t="s">
        <v>1203</v>
      </c>
      <c r="E564" t="s">
        <v>1204</v>
      </c>
      <c r="F564">
        <v>6904</v>
      </c>
      <c r="G564" t="s">
        <v>703</v>
      </c>
      <c r="I564">
        <v>19</v>
      </c>
      <c r="J564">
        <v>25</v>
      </c>
      <c r="K564">
        <v>32</v>
      </c>
      <c r="L564">
        <v>41</v>
      </c>
      <c r="M564">
        <v>53</v>
      </c>
      <c r="N564" t="s">
        <v>987</v>
      </c>
    </row>
    <row r="565" spans="1:14" x14ac:dyDescent="0.3">
      <c r="A565">
        <v>2979</v>
      </c>
      <c r="B565" t="s">
        <v>1396</v>
      </c>
      <c r="C565" t="s">
        <v>2256</v>
      </c>
      <c r="D565" t="s">
        <v>1203</v>
      </c>
      <c r="E565" t="s">
        <v>1204</v>
      </c>
      <c r="F565">
        <v>6904</v>
      </c>
      <c r="G565" t="s">
        <v>696</v>
      </c>
      <c r="I565">
        <v>768</v>
      </c>
      <c r="J565">
        <v>994</v>
      </c>
      <c r="K565">
        <v>1286</v>
      </c>
      <c r="L565">
        <v>1665</v>
      </c>
      <c r="M565">
        <v>2156</v>
      </c>
      <c r="N565" t="s">
        <v>987</v>
      </c>
    </row>
    <row r="566" spans="1:14" x14ac:dyDescent="0.3">
      <c r="A566">
        <v>561</v>
      </c>
      <c r="B566" t="s">
        <v>1397</v>
      </c>
      <c r="C566" t="s">
        <v>2256</v>
      </c>
      <c r="D566" t="s">
        <v>159</v>
      </c>
      <c r="E566" t="s">
        <v>159</v>
      </c>
      <c r="F566">
        <v>7857</v>
      </c>
      <c r="G566" t="s">
        <v>687</v>
      </c>
      <c r="H566" t="s">
        <v>1398</v>
      </c>
      <c r="I566">
        <v>567</v>
      </c>
      <c r="J566">
        <v>586</v>
      </c>
      <c r="K566">
        <v>601</v>
      </c>
      <c r="L566">
        <v>626</v>
      </c>
      <c r="M566">
        <v>650</v>
      </c>
      <c r="N566" t="s">
        <v>988</v>
      </c>
    </row>
    <row r="567" spans="1:14" x14ac:dyDescent="0.3">
      <c r="A567">
        <v>561</v>
      </c>
      <c r="B567" t="s">
        <v>1397</v>
      </c>
      <c r="C567" t="s">
        <v>2256</v>
      </c>
      <c r="D567" t="s">
        <v>159</v>
      </c>
      <c r="E567" t="s">
        <v>159</v>
      </c>
      <c r="F567">
        <v>7857</v>
      </c>
      <c r="G567" t="s">
        <v>687</v>
      </c>
      <c r="H567" t="s">
        <v>1227</v>
      </c>
      <c r="I567">
        <v>21</v>
      </c>
      <c r="J567">
        <v>21</v>
      </c>
      <c r="K567">
        <v>21</v>
      </c>
      <c r="L567">
        <v>21</v>
      </c>
      <c r="M567">
        <v>21</v>
      </c>
      <c r="N567" t="s">
        <v>988</v>
      </c>
    </row>
    <row r="568" spans="1:14" x14ac:dyDescent="0.3">
      <c r="A568">
        <v>561</v>
      </c>
      <c r="B568" t="s">
        <v>1397</v>
      </c>
      <c r="C568" t="s">
        <v>2256</v>
      </c>
      <c r="D568" t="s">
        <v>159</v>
      </c>
      <c r="E568" t="s">
        <v>159</v>
      </c>
      <c r="F568">
        <v>7857</v>
      </c>
      <c r="G568" t="s">
        <v>702</v>
      </c>
      <c r="I568">
        <v>856</v>
      </c>
      <c r="J568">
        <v>883</v>
      </c>
      <c r="K568">
        <v>917</v>
      </c>
      <c r="L568">
        <v>963</v>
      </c>
      <c r="M568">
        <v>988.7</v>
      </c>
      <c r="N568" t="s">
        <v>988</v>
      </c>
    </row>
    <row r="569" spans="1:14" x14ac:dyDescent="0.3">
      <c r="A569">
        <v>561</v>
      </c>
      <c r="B569" t="s">
        <v>1397</v>
      </c>
      <c r="C569" t="s">
        <v>2256</v>
      </c>
      <c r="D569" t="s">
        <v>159</v>
      </c>
      <c r="E569" t="s">
        <v>159</v>
      </c>
      <c r="F569">
        <v>7857</v>
      </c>
      <c r="G569" t="s">
        <v>696</v>
      </c>
      <c r="I569">
        <v>7245</v>
      </c>
      <c r="J569">
        <v>7389</v>
      </c>
      <c r="K569">
        <v>7343</v>
      </c>
      <c r="L569">
        <v>7487</v>
      </c>
      <c r="M569">
        <v>7631</v>
      </c>
      <c r="N569" t="s">
        <v>988</v>
      </c>
    </row>
    <row r="570" spans="1:14" x14ac:dyDescent="0.3">
      <c r="A570">
        <v>561</v>
      </c>
      <c r="B570" t="s">
        <v>1397</v>
      </c>
      <c r="C570" t="s">
        <v>2256</v>
      </c>
      <c r="D570" t="s">
        <v>159</v>
      </c>
      <c r="E570" t="s">
        <v>159</v>
      </c>
      <c r="F570">
        <v>7857</v>
      </c>
      <c r="G570" t="s">
        <v>700</v>
      </c>
      <c r="H570" t="s">
        <v>1214</v>
      </c>
      <c r="I570">
        <v>877</v>
      </c>
      <c r="J570">
        <v>902</v>
      </c>
      <c r="K570">
        <v>944</v>
      </c>
      <c r="L570">
        <v>980</v>
      </c>
      <c r="M570">
        <v>1016.7</v>
      </c>
      <c r="N570" t="s">
        <v>988</v>
      </c>
    </row>
    <row r="571" spans="1:14" x14ac:dyDescent="0.3">
      <c r="A571">
        <v>561</v>
      </c>
      <c r="B571" t="s">
        <v>1397</v>
      </c>
      <c r="C571" t="s">
        <v>2256</v>
      </c>
      <c r="D571" t="s">
        <v>159</v>
      </c>
      <c r="E571" t="s">
        <v>159</v>
      </c>
      <c r="F571">
        <v>7857</v>
      </c>
      <c r="G571" t="s">
        <v>698</v>
      </c>
      <c r="I571">
        <v>1961</v>
      </c>
      <c r="J571">
        <v>2070</v>
      </c>
      <c r="K571">
        <v>2289</v>
      </c>
      <c r="L571">
        <v>2507</v>
      </c>
      <c r="M571">
        <v>2726</v>
      </c>
      <c r="N571" t="s">
        <v>988</v>
      </c>
    </row>
    <row r="572" spans="1:14" x14ac:dyDescent="0.3">
      <c r="A572">
        <v>561</v>
      </c>
      <c r="B572" t="s">
        <v>1397</v>
      </c>
      <c r="C572" t="s">
        <v>2256</v>
      </c>
      <c r="D572" t="s">
        <v>159</v>
      </c>
      <c r="E572" t="s">
        <v>159</v>
      </c>
      <c r="F572">
        <v>7857</v>
      </c>
      <c r="G572" t="s">
        <v>701</v>
      </c>
      <c r="I572">
        <v>322</v>
      </c>
      <c r="J572">
        <v>322</v>
      </c>
      <c r="K572">
        <v>322</v>
      </c>
      <c r="L572">
        <v>322</v>
      </c>
      <c r="M572">
        <v>322</v>
      </c>
      <c r="N572" t="s">
        <v>988</v>
      </c>
    </row>
    <row r="573" spans="1:14" x14ac:dyDescent="0.3">
      <c r="A573">
        <v>572</v>
      </c>
      <c r="B573" t="s">
        <v>1399</v>
      </c>
      <c r="C573" t="s">
        <v>2256</v>
      </c>
      <c r="D573" t="s">
        <v>159</v>
      </c>
      <c r="E573" t="s">
        <v>159</v>
      </c>
      <c r="F573">
        <v>7827</v>
      </c>
      <c r="G573" t="s">
        <v>696</v>
      </c>
      <c r="I573">
        <v>299</v>
      </c>
      <c r="J573">
        <v>317</v>
      </c>
      <c r="K573">
        <v>320</v>
      </c>
      <c r="L573">
        <v>328</v>
      </c>
      <c r="N573" t="s">
        <v>987</v>
      </c>
    </row>
    <row r="574" spans="1:14" x14ac:dyDescent="0.3">
      <c r="A574">
        <v>572</v>
      </c>
      <c r="B574" t="s">
        <v>1399</v>
      </c>
      <c r="C574" t="s">
        <v>2256</v>
      </c>
      <c r="D574" t="s">
        <v>159</v>
      </c>
      <c r="E574" t="s">
        <v>159</v>
      </c>
      <c r="F574">
        <v>7827</v>
      </c>
      <c r="G574" t="s">
        <v>698</v>
      </c>
      <c r="I574">
        <v>40</v>
      </c>
      <c r="J574">
        <v>42</v>
      </c>
      <c r="K574">
        <v>42</v>
      </c>
      <c r="L574">
        <v>43</v>
      </c>
      <c r="N574" t="s">
        <v>987</v>
      </c>
    </row>
    <row r="575" spans="1:14" x14ac:dyDescent="0.3">
      <c r="A575">
        <v>572</v>
      </c>
      <c r="B575" t="s">
        <v>1399</v>
      </c>
      <c r="C575" t="s">
        <v>2256</v>
      </c>
      <c r="D575" t="s">
        <v>159</v>
      </c>
      <c r="E575" t="s">
        <v>159</v>
      </c>
      <c r="F575">
        <v>7827</v>
      </c>
      <c r="G575" t="s">
        <v>700</v>
      </c>
      <c r="I575">
        <v>77</v>
      </c>
      <c r="J575">
        <v>82</v>
      </c>
      <c r="K575">
        <v>83</v>
      </c>
      <c r="L575">
        <v>84</v>
      </c>
      <c r="N575" t="s">
        <v>987</v>
      </c>
    </row>
    <row r="576" spans="1:14" x14ac:dyDescent="0.3">
      <c r="A576">
        <v>572</v>
      </c>
      <c r="B576" t="s">
        <v>1399</v>
      </c>
      <c r="C576" t="s">
        <v>2256</v>
      </c>
      <c r="D576" t="s">
        <v>159</v>
      </c>
      <c r="E576" t="s">
        <v>159</v>
      </c>
      <c r="F576">
        <v>7827</v>
      </c>
      <c r="G576" t="s">
        <v>701</v>
      </c>
      <c r="I576">
        <v>9</v>
      </c>
      <c r="J576">
        <v>10</v>
      </c>
      <c r="K576">
        <v>10</v>
      </c>
      <c r="L576">
        <v>11</v>
      </c>
      <c r="N576" t="s">
        <v>987</v>
      </c>
    </row>
    <row r="577" spans="1:14" x14ac:dyDescent="0.3">
      <c r="A577">
        <v>572</v>
      </c>
      <c r="B577" t="s">
        <v>1399</v>
      </c>
      <c r="C577" t="s">
        <v>2256</v>
      </c>
      <c r="D577" t="s">
        <v>159</v>
      </c>
      <c r="E577" t="s">
        <v>159</v>
      </c>
      <c r="F577">
        <v>7827</v>
      </c>
      <c r="G577" t="s">
        <v>684</v>
      </c>
      <c r="I577">
        <v>40</v>
      </c>
      <c r="J577">
        <v>43</v>
      </c>
      <c r="K577">
        <v>43</v>
      </c>
      <c r="L577">
        <v>44</v>
      </c>
      <c r="N577" t="s">
        <v>987</v>
      </c>
    </row>
    <row r="578" spans="1:14" x14ac:dyDescent="0.3">
      <c r="A578">
        <v>572</v>
      </c>
      <c r="B578" t="s">
        <v>1399</v>
      </c>
      <c r="C578" t="s">
        <v>2256</v>
      </c>
      <c r="D578" t="s">
        <v>159</v>
      </c>
      <c r="E578" t="s">
        <v>159</v>
      </c>
      <c r="F578">
        <v>7827</v>
      </c>
      <c r="G578" t="s">
        <v>691</v>
      </c>
      <c r="H578" t="s">
        <v>1400</v>
      </c>
      <c r="I578">
        <v>3</v>
      </c>
      <c r="J578">
        <v>3</v>
      </c>
      <c r="K578">
        <v>3</v>
      </c>
      <c r="L578">
        <v>3</v>
      </c>
      <c r="N578" t="s">
        <v>987</v>
      </c>
    </row>
    <row r="579" spans="1:14" x14ac:dyDescent="0.3">
      <c r="A579">
        <v>572</v>
      </c>
      <c r="B579" t="s">
        <v>1399</v>
      </c>
      <c r="C579" t="s">
        <v>2256</v>
      </c>
      <c r="D579" t="s">
        <v>159</v>
      </c>
      <c r="E579" t="s">
        <v>159</v>
      </c>
      <c r="F579">
        <v>7827</v>
      </c>
      <c r="G579" t="s">
        <v>686</v>
      </c>
      <c r="I579">
        <v>64</v>
      </c>
      <c r="J579">
        <v>68</v>
      </c>
      <c r="K579">
        <v>69</v>
      </c>
      <c r="L579">
        <v>70</v>
      </c>
      <c r="N579" t="s">
        <v>987</v>
      </c>
    </row>
    <row r="580" spans="1:14" x14ac:dyDescent="0.3">
      <c r="A580">
        <v>574</v>
      </c>
      <c r="B580" t="s">
        <v>1401</v>
      </c>
      <c r="C580" t="s">
        <v>2256</v>
      </c>
      <c r="D580" t="s">
        <v>1203</v>
      </c>
      <c r="E580" t="s">
        <v>1204</v>
      </c>
      <c r="F580">
        <v>5930</v>
      </c>
      <c r="G580" t="s">
        <v>698</v>
      </c>
      <c r="H580" t="s">
        <v>2309</v>
      </c>
      <c r="I580">
        <v>2713</v>
      </c>
      <c r="J580">
        <v>2715</v>
      </c>
      <c r="K580">
        <v>2978</v>
      </c>
      <c r="L580">
        <v>3266</v>
      </c>
      <c r="N580" t="s">
        <v>988</v>
      </c>
    </row>
    <row r="581" spans="1:14" x14ac:dyDescent="0.3">
      <c r="A581">
        <v>574</v>
      </c>
      <c r="B581" t="s">
        <v>1401</v>
      </c>
      <c r="C581" t="s">
        <v>2256</v>
      </c>
      <c r="D581" t="s">
        <v>1203</v>
      </c>
      <c r="E581" t="s">
        <v>1204</v>
      </c>
      <c r="F581">
        <v>5930</v>
      </c>
      <c r="G581" t="s">
        <v>700</v>
      </c>
      <c r="H581" t="s">
        <v>1402</v>
      </c>
      <c r="I581">
        <v>3052</v>
      </c>
      <c r="J581">
        <v>3346</v>
      </c>
      <c r="K581">
        <v>3670</v>
      </c>
      <c r="L581">
        <v>4026</v>
      </c>
      <c r="N581" t="s">
        <v>988</v>
      </c>
    </row>
    <row r="582" spans="1:14" x14ac:dyDescent="0.3">
      <c r="A582">
        <v>574</v>
      </c>
      <c r="B582" t="s">
        <v>1401</v>
      </c>
      <c r="C582" t="s">
        <v>2256</v>
      </c>
      <c r="D582" t="s">
        <v>1203</v>
      </c>
      <c r="E582" t="s">
        <v>1204</v>
      </c>
      <c r="F582">
        <v>5930</v>
      </c>
      <c r="G582" t="s">
        <v>703</v>
      </c>
      <c r="I582">
        <v>852</v>
      </c>
      <c r="J582">
        <v>934</v>
      </c>
      <c r="K582">
        <v>1025</v>
      </c>
      <c r="L582">
        <v>1124</v>
      </c>
      <c r="N582" t="s">
        <v>988</v>
      </c>
    </row>
    <row r="583" spans="1:14" x14ac:dyDescent="0.3">
      <c r="A583">
        <v>574</v>
      </c>
      <c r="B583" t="s">
        <v>1401</v>
      </c>
      <c r="C583" t="s">
        <v>2256</v>
      </c>
      <c r="D583" t="s">
        <v>1203</v>
      </c>
      <c r="E583" t="s">
        <v>1204</v>
      </c>
      <c r="F583">
        <v>5930</v>
      </c>
      <c r="G583" t="s">
        <v>701</v>
      </c>
      <c r="I583">
        <v>324</v>
      </c>
      <c r="J583">
        <v>355</v>
      </c>
      <c r="K583">
        <v>389</v>
      </c>
      <c r="L583">
        <v>427</v>
      </c>
      <c r="N583" t="s">
        <v>988</v>
      </c>
    </row>
    <row r="584" spans="1:14" x14ac:dyDescent="0.3">
      <c r="A584">
        <v>574</v>
      </c>
      <c r="B584" t="s">
        <v>1401</v>
      </c>
      <c r="C584" t="s">
        <v>2256</v>
      </c>
      <c r="D584" t="s">
        <v>1203</v>
      </c>
      <c r="E584" t="s">
        <v>1204</v>
      </c>
      <c r="F584">
        <v>5930</v>
      </c>
      <c r="G584" t="s">
        <v>702</v>
      </c>
      <c r="I584">
        <v>1336</v>
      </c>
      <c r="J584">
        <v>1465</v>
      </c>
      <c r="K584">
        <v>1607</v>
      </c>
      <c r="L584">
        <v>1763</v>
      </c>
      <c r="N584" t="s">
        <v>988</v>
      </c>
    </row>
    <row r="585" spans="1:14" x14ac:dyDescent="0.3">
      <c r="A585">
        <v>574</v>
      </c>
      <c r="B585" t="s">
        <v>1401</v>
      </c>
      <c r="C585" t="s">
        <v>2256</v>
      </c>
      <c r="D585" t="s">
        <v>1203</v>
      </c>
      <c r="E585" t="s">
        <v>1204</v>
      </c>
      <c r="F585">
        <v>5930</v>
      </c>
      <c r="G585" t="s">
        <v>692</v>
      </c>
      <c r="H585" t="s">
        <v>1260</v>
      </c>
      <c r="I585">
        <v>93</v>
      </c>
      <c r="J585">
        <v>101</v>
      </c>
      <c r="K585">
        <v>111</v>
      </c>
      <c r="L585">
        <v>122</v>
      </c>
      <c r="N585" t="s">
        <v>988</v>
      </c>
    </row>
    <row r="586" spans="1:14" x14ac:dyDescent="0.3">
      <c r="A586">
        <v>574</v>
      </c>
      <c r="B586" t="s">
        <v>1401</v>
      </c>
      <c r="C586" t="s">
        <v>2256</v>
      </c>
      <c r="D586" t="s">
        <v>1203</v>
      </c>
      <c r="E586" t="s">
        <v>1204</v>
      </c>
      <c r="F586">
        <v>5930</v>
      </c>
      <c r="G586" t="s">
        <v>686</v>
      </c>
      <c r="H586" t="s">
        <v>2310</v>
      </c>
      <c r="I586">
        <v>1321</v>
      </c>
      <c r="J586">
        <v>1449</v>
      </c>
      <c r="K586">
        <v>1589</v>
      </c>
      <c r="L586">
        <v>1743</v>
      </c>
      <c r="N586" t="s">
        <v>988</v>
      </c>
    </row>
    <row r="587" spans="1:14" x14ac:dyDescent="0.3">
      <c r="A587">
        <v>574</v>
      </c>
      <c r="B587" t="s">
        <v>1401</v>
      </c>
      <c r="C587" t="s">
        <v>2256</v>
      </c>
      <c r="D587" t="s">
        <v>1203</v>
      </c>
      <c r="E587" t="s">
        <v>1204</v>
      </c>
      <c r="F587">
        <v>5930</v>
      </c>
      <c r="G587" t="s">
        <v>696</v>
      </c>
      <c r="H587" t="s">
        <v>2309</v>
      </c>
      <c r="I587">
        <v>18546</v>
      </c>
      <c r="J587">
        <v>18558</v>
      </c>
      <c r="K587">
        <v>20353</v>
      </c>
      <c r="L587">
        <v>22327</v>
      </c>
      <c r="N587" t="s">
        <v>988</v>
      </c>
    </row>
    <row r="588" spans="1:14" x14ac:dyDescent="0.3">
      <c r="A588">
        <v>574</v>
      </c>
      <c r="B588" t="s">
        <v>1401</v>
      </c>
      <c r="C588" t="s">
        <v>2256</v>
      </c>
      <c r="D588" t="s">
        <v>1203</v>
      </c>
      <c r="E588" t="s">
        <v>1204</v>
      </c>
      <c r="F588">
        <v>5930</v>
      </c>
      <c r="G588" t="s">
        <v>690</v>
      </c>
      <c r="H588" t="s">
        <v>1210</v>
      </c>
      <c r="I588">
        <v>8400</v>
      </c>
      <c r="J588">
        <v>8400</v>
      </c>
      <c r="K588">
        <v>8400</v>
      </c>
      <c r="L588">
        <v>8400</v>
      </c>
      <c r="N588" t="s">
        <v>988</v>
      </c>
    </row>
    <row r="589" spans="1:14" x14ac:dyDescent="0.3">
      <c r="A589">
        <v>575</v>
      </c>
      <c r="B589" t="s">
        <v>1403</v>
      </c>
      <c r="C589" t="s">
        <v>2256</v>
      </c>
      <c r="D589" t="s">
        <v>1203</v>
      </c>
      <c r="E589" t="s">
        <v>1204</v>
      </c>
      <c r="F589">
        <v>5460</v>
      </c>
      <c r="G589" t="s">
        <v>696</v>
      </c>
      <c r="I589">
        <v>7072</v>
      </c>
      <c r="J589">
        <v>8364</v>
      </c>
      <c r="K589">
        <v>9575</v>
      </c>
      <c r="L589">
        <v>10840</v>
      </c>
      <c r="M589">
        <v>11785</v>
      </c>
      <c r="N589" t="s">
        <v>988</v>
      </c>
    </row>
    <row r="590" spans="1:14" x14ac:dyDescent="0.3">
      <c r="A590">
        <v>575</v>
      </c>
      <c r="B590" t="s">
        <v>1403</v>
      </c>
      <c r="C590" t="s">
        <v>2256</v>
      </c>
      <c r="D590" t="s">
        <v>1203</v>
      </c>
      <c r="E590" t="s">
        <v>1204</v>
      </c>
      <c r="F590">
        <v>5460</v>
      </c>
      <c r="G590" t="s">
        <v>698</v>
      </c>
      <c r="I590">
        <v>1005</v>
      </c>
      <c r="J590">
        <v>1189</v>
      </c>
      <c r="K590">
        <v>1422</v>
      </c>
      <c r="L590">
        <v>1799</v>
      </c>
      <c r="M590">
        <v>2342</v>
      </c>
      <c r="N590" t="s">
        <v>988</v>
      </c>
    </row>
    <row r="591" spans="1:14" x14ac:dyDescent="0.3">
      <c r="A591">
        <v>575</v>
      </c>
      <c r="B591" t="s">
        <v>1403</v>
      </c>
      <c r="C591" t="s">
        <v>2256</v>
      </c>
      <c r="D591" t="s">
        <v>1203</v>
      </c>
      <c r="E591" t="s">
        <v>1204</v>
      </c>
      <c r="F591">
        <v>5460</v>
      </c>
      <c r="G591" t="s">
        <v>700</v>
      </c>
      <c r="H591" t="s">
        <v>1457</v>
      </c>
      <c r="I591">
        <v>1181</v>
      </c>
      <c r="J591">
        <v>1370</v>
      </c>
      <c r="K591">
        <v>1558</v>
      </c>
      <c r="L591">
        <v>1674</v>
      </c>
      <c r="M591">
        <v>1790</v>
      </c>
      <c r="N591" t="s">
        <v>988</v>
      </c>
    </row>
    <row r="592" spans="1:14" x14ac:dyDescent="0.3">
      <c r="A592">
        <v>575</v>
      </c>
      <c r="B592" t="s">
        <v>1403</v>
      </c>
      <c r="C592" t="s">
        <v>2256</v>
      </c>
      <c r="D592" t="s">
        <v>1203</v>
      </c>
      <c r="E592" t="s">
        <v>1204</v>
      </c>
      <c r="F592">
        <v>5460</v>
      </c>
      <c r="G592" t="s">
        <v>702</v>
      </c>
      <c r="I592">
        <v>935</v>
      </c>
      <c r="J592">
        <v>1096</v>
      </c>
      <c r="K592">
        <v>1257</v>
      </c>
      <c r="L592">
        <v>1449</v>
      </c>
      <c r="M592">
        <v>1641</v>
      </c>
      <c r="N592" t="s">
        <v>988</v>
      </c>
    </row>
    <row r="593" spans="1:14" x14ac:dyDescent="0.3">
      <c r="A593">
        <v>575</v>
      </c>
      <c r="B593" t="s">
        <v>1403</v>
      </c>
      <c r="C593" t="s">
        <v>2256</v>
      </c>
      <c r="D593" t="s">
        <v>1203</v>
      </c>
      <c r="E593" t="s">
        <v>1204</v>
      </c>
      <c r="F593">
        <v>5460</v>
      </c>
      <c r="G593" t="s">
        <v>687</v>
      </c>
      <c r="I593">
        <v>22</v>
      </c>
      <c r="J593">
        <v>26</v>
      </c>
      <c r="K593">
        <v>31</v>
      </c>
      <c r="L593">
        <v>36</v>
      </c>
      <c r="M593">
        <v>41</v>
      </c>
      <c r="N593" t="s">
        <v>988</v>
      </c>
    </row>
    <row r="594" spans="1:14" x14ac:dyDescent="0.3">
      <c r="A594">
        <v>575</v>
      </c>
      <c r="B594" t="s">
        <v>1403</v>
      </c>
      <c r="C594" t="s">
        <v>2256</v>
      </c>
      <c r="D594" t="s">
        <v>1203</v>
      </c>
      <c r="E594" t="s">
        <v>1204</v>
      </c>
      <c r="F594">
        <v>5460</v>
      </c>
      <c r="G594" t="s">
        <v>686</v>
      </c>
      <c r="I594">
        <v>654</v>
      </c>
      <c r="J594">
        <v>774</v>
      </c>
      <c r="K594">
        <v>888</v>
      </c>
      <c r="L594">
        <v>1021</v>
      </c>
      <c r="M594">
        <v>1147</v>
      </c>
      <c r="N594" t="s">
        <v>988</v>
      </c>
    </row>
    <row r="595" spans="1:14" x14ac:dyDescent="0.3">
      <c r="A595">
        <v>577</v>
      </c>
      <c r="B595" t="s">
        <v>821</v>
      </c>
      <c r="C595" t="s">
        <v>2256</v>
      </c>
      <c r="D595" t="s">
        <v>159</v>
      </c>
      <c r="E595" t="s">
        <v>159</v>
      </c>
      <c r="F595">
        <v>7785</v>
      </c>
      <c r="G595" t="s">
        <v>696</v>
      </c>
      <c r="I595">
        <v>60142</v>
      </c>
      <c r="J595">
        <v>63824</v>
      </c>
      <c r="K595">
        <v>67331</v>
      </c>
      <c r="L595">
        <v>69816</v>
      </c>
      <c r="M595">
        <v>71695</v>
      </c>
      <c r="N595" t="s">
        <v>988</v>
      </c>
    </row>
    <row r="596" spans="1:14" x14ac:dyDescent="0.3">
      <c r="A596">
        <v>577</v>
      </c>
      <c r="B596" t="s">
        <v>821</v>
      </c>
      <c r="C596" t="s">
        <v>2256</v>
      </c>
      <c r="D596" t="s">
        <v>159</v>
      </c>
      <c r="E596" t="s">
        <v>159</v>
      </c>
      <c r="F596">
        <v>7785</v>
      </c>
      <c r="G596" t="s">
        <v>686</v>
      </c>
      <c r="I596">
        <v>13736</v>
      </c>
      <c r="J596">
        <v>14501</v>
      </c>
      <c r="K596">
        <v>15222</v>
      </c>
      <c r="L596">
        <v>15670</v>
      </c>
      <c r="M596">
        <v>16085</v>
      </c>
      <c r="N596" t="s">
        <v>988</v>
      </c>
    </row>
    <row r="597" spans="1:14" x14ac:dyDescent="0.3">
      <c r="A597">
        <v>577</v>
      </c>
      <c r="B597" t="s">
        <v>821</v>
      </c>
      <c r="C597" t="s">
        <v>2256</v>
      </c>
      <c r="D597" t="s">
        <v>159</v>
      </c>
      <c r="E597" t="s">
        <v>159</v>
      </c>
      <c r="F597">
        <v>7785</v>
      </c>
      <c r="G597" t="s">
        <v>687</v>
      </c>
      <c r="I597">
        <v>1457</v>
      </c>
      <c r="J597">
        <v>1563</v>
      </c>
      <c r="K597">
        <v>1670</v>
      </c>
      <c r="L597">
        <v>1755</v>
      </c>
      <c r="M597">
        <v>1840</v>
      </c>
      <c r="N597" t="s">
        <v>988</v>
      </c>
    </row>
    <row r="598" spans="1:14" x14ac:dyDescent="0.3">
      <c r="A598">
        <v>577</v>
      </c>
      <c r="B598" t="s">
        <v>821</v>
      </c>
      <c r="C598" t="s">
        <v>2256</v>
      </c>
      <c r="D598" t="s">
        <v>159</v>
      </c>
      <c r="E598" t="s">
        <v>159</v>
      </c>
      <c r="F598">
        <v>7785</v>
      </c>
      <c r="G598" t="s">
        <v>702</v>
      </c>
      <c r="I598">
        <v>34193</v>
      </c>
      <c r="J598">
        <v>36205</v>
      </c>
      <c r="K598">
        <v>38226</v>
      </c>
      <c r="L598">
        <v>39865</v>
      </c>
      <c r="M598">
        <v>41516</v>
      </c>
      <c r="N598" t="s">
        <v>988</v>
      </c>
    </row>
    <row r="599" spans="1:14" x14ac:dyDescent="0.3">
      <c r="A599">
        <v>577</v>
      </c>
      <c r="B599" t="s">
        <v>821</v>
      </c>
      <c r="C599" t="s">
        <v>2256</v>
      </c>
      <c r="D599" t="s">
        <v>159</v>
      </c>
      <c r="E599" t="s">
        <v>159</v>
      </c>
      <c r="F599">
        <v>7785</v>
      </c>
      <c r="G599" t="s">
        <v>698</v>
      </c>
      <c r="I599">
        <v>6873</v>
      </c>
      <c r="J599">
        <v>7245</v>
      </c>
      <c r="K599">
        <v>7742</v>
      </c>
      <c r="L599">
        <v>8267</v>
      </c>
      <c r="M599">
        <v>9045</v>
      </c>
      <c r="N599" t="s">
        <v>988</v>
      </c>
    </row>
    <row r="600" spans="1:14" x14ac:dyDescent="0.3">
      <c r="A600">
        <v>577</v>
      </c>
      <c r="B600" t="s">
        <v>821</v>
      </c>
      <c r="C600" t="s">
        <v>2256</v>
      </c>
      <c r="D600" t="s">
        <v>159</v>
      </c>
      <c r="E600" t="s">
        <v>159</v>
      </c>
      <c r="F600">
        <v>7785</v>
      </c>
      <c r="G600" t="s">
        <v>700</v>
      </c>
      <c r="H600" t="s">
        <v>1457</v>
      </c>
      <c r="I600">
        <v>7060</v>
      </c>
      <c r="J600">
        <v>7244</v>
      </c>
      <c r="K600">
        <v>7438</v>
      </c>
      <c r="L600">
        <v>7709</v>
      </c>
      <c r="M600">
        <v>7985</v>
      </c>
      <c r="N600" t="s">
        <v>988</v>
      </c>
    </row>
    <row r="601" spans="1:14" x14ac:dyDescent="0.3">
      <c r="A601">
        <v>578</v>
      </c>
      <c r="B601" t="s">
        <v>896</v>
      </c>
      <c r="C601" t="s">
        <v>2256</v>
      </c>
      <c r="D601" t="s">
        <v>1203</v>
      </c>
      <c r="E601" t="s">
        <v>1204</v>
      </c>
      <c r="F601">
        <v>7652</v>
      </c>
      <c r="G601" t="s">
        <v>698</v>
      </c>
      <c r="I601">
        <v>51</v>
      </c>
      <c r="J601">
        <v>57</v>
      </c>
      <c r="K601">
        <v>65</v>
      </c>
      <c r="L601">
        <v>74</v>
      </c>
      <c r="N601" t="s">
        <v>987</v>
      </c>
    </row>
    <row r="602" spans="1:14" x14ac:dyDescent="0.3">
      <c r="A602">
        <v>578</v>
      </c>
      <c r="B602" t="s">
        <v>896</v>
      </c>
      <c r="C602" t="s">
        <v>2256</v>
      </c>
      <c r="D602" t="s">
        <v>1203</v>
      </c>
      <c r="E602" t="s">
        <v>1204</v>
      </c>
      <c r="F602">
        <v>7652</v>
      </c>
      <c r="G602" t="s">
        <v>700</v>
      </c>
      <c r="I602">
        <v>671</v>
      </c>
      <c r="J602">
        <v>762</v>
      </c>
      <c r="K602">
        <v>865</v>
      </c>
      <c r="L602">
        <v>982</v>
      </c>
      <c r="N602" t="s">
        <v>987</v>
      </c>
    </row>
    <row r="603" spans="1:14" x14ac:dyDescent="0.3">
      <c r="A603">
        <v>578</v>
      </c>
      <c r="B603" t="s">
        <v>896</v>
      </c>
      <c r="C603" t="s">
        <v>2256</v>
      </c>
      <c r="D603" t="s">
        <v>1203</v>
      </c>
      <c r="E603" t="s">
        <v>1204</v>
      </c>
      <c r="F603">
        <v>7652</v>
      </c>
      <c r="G603" t="s">
        <v>686</v>
      </c>
      <c r="I603">
        <v>170</v>
      </c>
      <c r="J603">
        <v>193</v>
      </c>
      <c r="K603">
        <v>220</v>
      </c>
      <c r="L603">
        <v>249</v>
      </c>
      <c r="N603" t="s">
        <v>987</v>
      </c>
    </row>
    <row r="604" spans="1:14" x14ac:dyDescent="0.3">
      <c r="A604">
        <v>578</v>
      </c>
      <c r="B604" t="s">
        <v>896</v>
      </c>
      <c r="C604" t="s">
        <v>2256</v>
      </c>
      <c r="D604" t="s">
        <v>1203</v>
      </c>
      <c r="E604" t="s">
        <v>1204</v>
      </c>
      <c r="F604">
        <v>7652</v>
      </c>
      <c r="G604" t="s">
        <v>696</v>
      </c>
      <c r="I604">
        <v>616</v>
      </c>
      <c r="J604">
        <v>700</v>
      </c>
      <c r="K604">
        <v>795</v>
      </c>
      <c r="L604">
        <v>902</v>
      </c>
      <c r="N604" t="s">
        <v>987</v>
      </c>
    </row>
    <row r="605" spans="1:14" x14ac:dyDescent="0.3">
      <c r="A605">
        <v>583</v>
      </c>
      <c r="B605" t="s">
        <v>1406</v>
      </c>
      <c r="C605" t="s">
        <v>2256</v>
      </c>
      <c r="D605" t="s">
        <v>159</v>
      </c>
      <c r="E605" t="s">
        <v>159</v>
      </c>
      <c r="F605">
        <v>7159</v>
      </c>
      <c r="G605" t="s">
        <v>684</v>
      </c>
      <c r="I605">
        <v>76</v>
      </c>
      <c r="J605">
        <v>76</v>
      </c>
      <c r="K605">
        <v>75</v>
      </c>
      <c r="L605">
        <v>72</v>
      </c>
      <c r="M605">
        <v>72</v>
      </c>
      <c r="N605" t="s">
        <v>987</v>
      </c>
    </row>
    <row r="606" spans="1:14" x14ac:dyDescent="0.3">
      <c r="A606">
        <v>583</v>
      </c>
      <c r="B606" t="s">
        <v>1406</v>
      </c>
      <c r="C606" t="s">
        <v>2256</v>
      </c>
      <c r="D606" t="s">
        <v>159</v>
      </c>
      <c r="E606" t="s">
        <v>159</v>
      </c>
      <c r="F606">
        <v>7159</v>
      </c>
      <c r="G606" t="s">
        <v>702</v>
      </c>
      <c r="I606">
        <v>39</v>
      </c>
      <c r="J606">
        <v>38</v>
      </c>
      <c r="K606">
        <v>38</v>
      </c>
      <c r="L606">
        <v>37</v>
      </c>
      <c r="M606">
        <v>36</v>
      </c>
      <c r="N606" t="s">
        <v>987</v>
      </c>
    </row>
    <row r="607" spans="1:14" x14ac:dyDescent="0.3">
      <c r="A607">
        <v>583</v>
      </c>
      <c r="B607" t="s">
        <v>1406</v>
      </c>
      <c r="C607" t="s">
        <v>2256</v>
      </c>
      <c r="D607" t="s">
        <v>159</v>
      </c>
      <c r="E607" t="s">
        <v>159</v>
      </c>
      <c r="F607">
        <v>7159</v>
      </c>
      <c r="G607" t="s">
        <v>700</v>
      </c>
      <c r="I607">
        <v>36</v>
      </c>
      <c r="J607">
        <v>35</v>
      </c>
      <c r="K607">
        <v>35</v>
      </c>
      <c r="L607">
        <v>34</v>
      </c>
      <c r="M607">
        <v>34</v>
      </c>
      <c r="N607" t="s">
        <v>987</v>
      </c>
    </row>
    <row r="608" spans="1:14" x14ac:dyDescent="0.3">
      <c r="A608">
        <v>583</v>
      </c>
      <c r="B608" t="s">
        <v>1406</v>
      </c>
      <c r="C608" t="s">
        <v>2256</v>
      </c>
      <c r="D608" t="s">
        <v>159</v>
      </c>
      <c r="E608" t="s">
        <v>159</v>
      </c>
      <c r="F608">
        <v>7159</v>
      </c>
      <c r="G608" t="s">
        <v>698</v>
      </c>
      <c r="I608">
        <v>37</v>
      </c>
      <c r="J608">
        <v>36</v>
      </c>
      <c r="K608">
        <v>36</v>
      </c>
      <c r="L608">
        <v>35</v>
      </c>
      <c r="M608">
        <v>35</v>
      </c>
      <c r="N608" t="s">
        <v>987</v>
      </c>
    </row>
    <row r="609" spans="1:14" x14ac:dyDescent="0.3">
      <c r="A609">
        <v>583</v>
      </c>
      <c r="B609" t="s">
        <v>1406</v>
      </c>
      <c r="C609" t="s">
        <v>2256</v>
      </c>
      <c r="D609" t="s">
        <v>159</v>
      </c>
      <c r="E609" t="s">
        <v>159</v>
      </c>
      <c r="F609">
        <v>7159</v>
      </c>
      <c r="G609" t="s">
        <v>691</v>
      </c>
      <c r="H609" t="s">
        <v>1189</v>
      </c>
      <c r="I609">
        <v>16</v>
      </c>
      <c r="J609">
        <v>16</v>
      </c>
      <c r="K609">
        <v>16</v>
      </c>
      <c r="L609">
        <v>15</v>
      </c>
      <c r="M609">
        <v>15</v>
      </c>
      <c r="N609" t="s">
        <v>987</v>
      </c>
    </row>
    <row r="610" spans="1:14" x14ac:dyDescent="0.3">
      <c r="A610">
        <v>583</v>
      </c>
      <c r="B610" t="s">
        <v>1406</v>
      </c>
      <c r="C610" t="s">
        <v>2256</v>
      </c>
      <c r="D610" t="s">
        <v>159</v>
      </c>
      <c r="E610" t="s">
        <v>159</v>
      </c>
      <c r="F610">
        <v>7159</v>
      </c>
      <c r="G610" t="s">
        <v>691</v>
      </c>
      <c r="H610" t="s">
        <v>1274</v>
      </c>
      <c r="I610">
        <v>6</v>
      </c>
      <c r="J610">
        <v>6</v>
      </c>
      <c r="K610">
        <v>6</v>
      </c>
      <c r="L610">
        <v>6</v>
      </c>
      <c r="M610">
        <v>6</v>
      </c>
      <c r="N610" t="s">
        <v>987</v>
      </c>
    </row>
    <row r="611" spans="1:14" x14ac:dyDescent="0.3">
      <c r="A611">
        <v>583</v>
      </c>
      <c r="B611" t="s">
        <v>1406</v>
      </c>
      <c r="C611" t="s">
        <v>2256</v>
      </c>
      <c r="D611" t="s">
        <v>159</v>
      </c>
      <c r="E611" t="s">
        <v>159</v>
      </c>
      <c r="F611">
        <v>7159</v>
      </c>
      <c r="G611" t="s">
        <v>691</v>
      </c>
      <c r="H611" t="s">
        <v>1407</v>
      </c>
      <c r="I611">
        <v>3</v>
      </c>
      <c r="J611">
        <v>3</v>
      </c>
      <c r="K611">
        <v>3</v>
      </c>
      <c r="L611">
        <v>3</v>
      </c>
      <c r="M611">
        <v>3</v>
      </c>
      <c r="N611" t="s">
        <v>987</v>
      </c>
    </row>
    <row r="612" spans="1:14" x14ac:dyDescent="0.3">
      <c r="A612">
        <v>583</v>
      </c>
      <c r="B612" t="s">
        <v>1406</v>
      </c>
      <c r="C612" t="s">
        <v>2256</v>
      </c>
      <c r="D612" t="s">
        <v>159</v>
      </c>
      <c r="E612" t="s">
        <v>159</v>
      </c>
      <c r="F612">
        <v>7159</v>
      </c>
      <c r="G612" t="s">
        <v>691</v>
      </c>
      <c r="H612" t="s">
        <v>1408</v>
      </c>
      <c r="I612">
        <v>5</v>
      </c>
      <c r="J612">
        <v>5</v>
      </c>
      <c r="K612">
        <v>5</v>
      </c>
      <c r="L612">
        <v>5</v>
      </c>
      <c r="M612">
        <v>5</v>
      </c>
      <c r="N612" t="s">
        <v>987</v>
      </c>
    </row>
    <row r="613" spans="1:14" x14ac:dyDescent="0.3">
      <c r="A613">
        <v>583</v>
      </c>
      <c r="B613" t="s">
        <v>1406</v>
      </c>
      <c r="C613" t="s">
        <v>2256</v>
      </c>
      <c r="D613" t="s">
        <v>159</v>
      </c>
      <c r="E613" t="s">
        <v>159</v>
      </c>
      <c r="F613">
        <v>7159</v>
      </c>
      <c r="G613" t="s">
        <v>696</v>
      </c>
      <c r="I613">
        <v>350</v>
      </c>
      <c r="J613">
        <v>346</v>
      </c>
      <c r="K613">
        <v>343</v>
      </c>
      <c r="L613">
        <v>332</v>
      </c>
      <c r="M613">
        <v>330</v>
      </c>
      <c r="N613" t="s">
        <v>987</v>
      </c>
    </row>
    <row r="614" spans="1:14" x14ac:dyDescent="0.3">
      <c r="A614">
        <v>583</v>
      </c>
      <c r="B614" t="s">
        <v>1406</v>
      </c>
      <c r="C614" t="s">
        <v>2256</v>
      </c>
      <c r="D614" t="s">
        <v>159</v>
      </c>
      <c r="E614" t="s">
        <v>159</v>
      </c>
      <c r="F614">
        <v>7159</v>
      </c>
      <c r="G614" t="s">
        <v>686</v>
      </c>
      <c r="I614">
        <v>44</v>
      </c>
      <c r="J614">
        <v>43</v>
      </c>
      <c r="K614">
        <v>43</v>
      </c>
      <c r="L614">
        <v>42</v>
      </c>
      <c r="M614">
        <v>41</v>
      </c>
      <c r="N614" t="s">
        <v>987</v>
      </c>
    </row>
    <row r="615" spans="1:14" x14ac:dyDescent="0.3">
      <c r="A615">
        <v>583</v>
      </c>
      <c r="B615" t="s">
        <v>1406</v>
      </c>
      <c r="C615" t="s">
        <v>2256</v>
      </c>
      <c r="D615" t="s">
        <v>159</v>
      </c>
      <c r="E615" t="s">
        <v>159</v>
      </c>
      <c r="F615">
        <v>7159</v>
      </c>
      <c r="G615" t="s">
        <v>692</v>
      </c>
      <c r="H615" t="s">
        <v>1210</v>
      </c>
      <c r="I615">
        <v>57</v>
      </c>
      <c r="J615">
        <v>57</v>
      </c>
      <c r="K615">
        <v>56</v>
      </c>
      <c r="L615">
        <v>54</v>
      </c>
      <c r="M615">
        <v>54</v>
      </c>
      <c r="N615" t="s">
        <v>987</v>
      </c>
    </row>
    <row r="616" spans="1:14" x14ac:dyDescent="0.3">
      <c r="A616">
        <v>583</v>
      </c>
      <c r="B616" t="s">
        <v>1406</v>
      </c>
      <c r="C616" t="s">
        <v>2256</v>
      </c>
      <c r="D616" t="s">
        <v>159</v>
      </c>
      <c r="E616" t="s">
        <v>159</v>
      </c>
      <c r="F616">
        <v>7159</v>
      </c>
      <c r="G616" t="s">
        <v>691</v>
      </c>
      <c r="H616" t="s">
        <v>1260</v>
      </c>
      <c r="I616">
        <v>2</v>
      </c>
      <c r="J616">
        <v>2</v>
      </c>
      <c r="K616">
        <v>2</v>
      </c>
      <c r="L616">
        <v>2</v>
      </c>
      <c r="M616">
        <v>2</v>
      </c>
      <c r="N616" t="s">
        <v>987</v>
      </c>
    </row>
    <row r="617" spans="1:14" x14ac:dyDescent="0.3">
      <c r="A617">
        <v>583</v>
      </c>
      <c r="B617" t="s">
        <v>1406</v>
      </c>
      <c r="C617" t="s">
        <v>2256</v>
      </c>
      <c r="D617" t="s">
        <v>159</v>
      </c>
      <c r="E617" t="s">
        <v>159</v>
      </c>
      <c r="F617">
        <v>7159</v>
      </c>
      <c r="G617" t="s">
        <v>691</v>
      </c>
      <c r="H617" t="s">
        <v>1411</v>
      </c>
      <c r="I617">
        <v>2</v>
      </c>
      <c r="J617">
        <v>2</v>
      </c>
      <c r="K617">
        <v>2</v>
      </c>
      <c r="L617">
        <v>2</v>
      </c>
      <c r="M617">
        <v>2</v>
      </c>
      <c r="N617" t="s">
        <v>987</v>
      </c>
    </row>
    <row r="618" spans="1:14" x14ac:dyDescent="0.3">
      <c r="A618">
        <v>583</v>
      </c>
      <c r="B618" t="s">
        <v>1406</v>
      </c>
      <c r="C618" t="s">
        <v>2256</v>
      </c>
      <c r="D618" t="s">
        <v>159</v>
      </c>
      <c r="E618" t="s">
        <v>159</v>
      </c>
      <c r="F618">
        <v>7159</v>
      </c>
      <c r="G618" t="s">
        <v>691</v>
      </c>
      <c r="H618" t="s">
        <v>2311</v>
      </c>
      <c r="I618">
        <v>25</v>
      </c>
      <c r="J618">
        <v>24</v>
      </c>
      <c r="K618">
        <v>24</v>
      </c>
      <c r="L618">
        <v>23</v>
      </c>
      <c r="M618">
        <v>23</v>
      </c>
      <c r="N618" t="s">
        <v>987</v>
      </c>
    </row>
    <row r="619" spans="1:14" x14ac:dyDescent="0.3">
      <c r="A619">
        <v>583</v>
      </c>
      <c r="B619" t="s">
        <v>1406</v>
      </c>
      <c r="C619" t="s">
        <v>2256</v>
      </c>
      <c r="D619" t="s">
        <v>159</v>
      </c>
      <c r="E619" t="s">
        <v>159</v>
      </c>
      <c r="F619">
        <v>7159</v>
      </c>
      <c r="G619" t="s">
        <v>691</v>
      </c>
      <c r="H619" t="s">
        <v>1410</v>
      </c>
      <c r="I619">
        <v>0</v>
      </c>
      <c r="J619">
        <v>0</v>
      </c>
      <c r="K619">
        <v>0</v>
      </c>
      <c r="L619">
        <v>0</v>
      </c>
      <c r="M619">
        <v>0</v>
      </c>
      <c r="N619" t="s">
        <v>987</v>
      </c>
    </row>
    <row r="620" spans="1:14" x14ac:dyDescent="0.3">
      <c r="A620">
        <v>583</v>
      </c>
      <c r="B620" t="s">
        <v>1406</v>
      </c>
      <c r="C620" t="s">
        <v>2256</v>
      </c>
      <c r="D620" t="s">
        <v>159</v>
      </c>
      <c r="E620" t="s">
        <v>159</v>
      </c>
      <c r="F620">
        <v>7159</v>
      </c>
      <c r="G620" t="s">
        <v>691</v>
      </c>
      <c r="H620" t="s">
        <v>1409</v>
      </c>
      <c r="I620">
        <v>7</v>
      </c>
      <c r="J620">
        <v>6</v>
      </c>
      <c r="K620">
        <v>6</v>
      </c>
      <c r="L620">
        <v>6</v>
      </c>
      <c r="M620">
        <v>6</v>
      </c>
      <c r="N620" t="s">
        <v>987</v>
      </c>
    </row>
    <row r="621" spans="1:14" x14ac:dyDescent="0.3">
      <c r="A621">
        <v>596</v>
      </c>
      <c r="B621" t="s">
        <v>1413</v>
      </c>
      <c r="C621" t="s">
        <v>2256</v>
      </c>
      <c r="D621" t="s">
        <v>1203</v>
      </c>
      <c r="E621" t="s">
        <v>1204</v>
      </c>
      <c r="F621">
        <v>5734</v>
      </c>
      <c r="G621" t="s">
        <v>696</v>
      </c>
      <c r="H621" t="s">
        <v>1393</v>
      </c>
      <c r="I621">
        <v>4858</v>
      </c>
      <c r="J621">
        <v>5119</v>
      </c>
      <c r="K621">
        <v>5379</v>
      </c>
      <c r="L621">
        <v>5524</v>
      </c>
      <c r="M621">
        <v>5669</v>
      </c>
      <c r="N621" t="s">
        <v>988</v>
      </c>
    </row>
    <row r="622" spans="1:14" x14ac:dyDescent="0.3">
      <c r="A622">
        <v>596</v>
      </c>
      <c r="B622" t="s">
        <v>1413</v>
      </c>
      <c r="C622" t="s">
        <v>2256</v>
      </c>
      <c r="D622" t="s">
        <v>1203</v>
      </c>
      <c r="E622" t="s">
        <v>1204</v>
      </c>
      <c r="F622">
        <v>5734</v>
      </c>
      <c r="G622" t="s">
        <v>700</v>
      </c>
      <c r="H622" t="s">
        <v>700</v>
      </c>
      <c r="I622">
        <v>3746</v>
      </c>
      <c r="J622">
        <v>3947</v>
      </c>
      <c r="K622">
        <v>4148</v>
      </c>
      <c r="L622">
        <v>4260</v>
      </c>
      <c r="M622">
        <v>4371</v>
      </c>
      <c r="N622" t="s">
        <v>988</v>
      </c>
    </row>
    <row r="623" spans="1:14" x14ac:dyDescent="0.3">
      <c r="A623">
        <v>596</v>
      </c>
      <c r="B623" t="s">
        <v>1413</v>
      </c>
      <c r="C623" t="s">
        <v>2256</v>
      </c>
      <c r="D623" t="s">
        <v>1203</v>
      </c>
      <c r="E623" t="s">
        <v>1204</v>
      </c>
      <c r="F623">
        <v>5734</v>
      </c>
      <c r="G623" t="s">
        <v>703</v>
      </c>
      <c r="H623" t="s">
        <v>1414</v>
      </c>
      <c r="I623">
        <v>268</v>
      </c>
      <c r="J623">
        <v>282</v>
      </c>
      <c r="K623">
        <v>296</v>
      </c>
      <c r="L623">
        <v>304</v>
      </c>
      <c r="M623">
        <v>312</v>
      </c>
      <c r="N623" t="s">
        <v>988</v>
      </c>
    </row>
    <row r="624" spans="1:14" x14ac:dyDescent="0.3">
      <c r="A624">
        <v>596</v>
      </c>
      <c r="B624" t="s">
        <v>1413</v>
      </c>
      <c r="C624" t="s">
        <v>2256</v>
      </c>
      <c r="D624" t="s">
        <v>1203</v>
      </c>
      <c r="E624" t="s">
        <v>1204</v>
      </c>
      <c r="F624">
        <v>5734</v>
      </c>
      <c r="G624" t="s">
        <v>686</v>
      </c>
      <c r="H624" t="s">
        <v>1415</v>
      </c>
      <c r="I624">
        <v>887</v>
      </c>
      <c r="J624">
        <v>935</v>
      </c>
      <c r="K624">
        <v>982</v>
      </c>
      <c r="L624">
        <v>1009</v>
      </c>
      <c r="M624">
        <v>1035</v>
      </c>
      <c r="N624" t="s">
        <v>988</v>
      </c>
    </row>
    <row r="625" spans="1:14" x14ac:dyDescent="0.3">
      <c r="A625">
        <v>613</v>
      </c>
      <c r="B625" t="s">
        <v>804</v>
      </c>
      <c r="C625" t="s">
        <v>2256</v>
      </c>
      <c r="D625" t="s">
        <v>1203</v>
      </c>
      <c r="E625" t="s">
        <v>1204</v>
      </c>
      <c r="F625">
        <v>5673</v>
      </c>
      <c r="G625" t="s">
        <v>696</v>
      </c>
      <c r="H625" t="s">
        <v>2312</v>
      </c>
      <c r="I625">
        <v>20900</v>
      </c>
      <c r="J625">
        <v>21500</v>
      </c>
      <c r="K625">
        <v>22200</v>
      </c>
      <c r="L625">
        <v>23000</v>
      </c>
      <c r="M625">
        <v>23400</v>
      </c>
      <c r="N625" t="s">
        <v>988</v>
      </c>
    </row>
    <row r="626" spans="1:14" x14ac:dyDescent="0.3">
      <c r="A626">
        <v>613</v>
      </c>
      <c r="B626" t="s">
        <v>804</v>
      </c>
      <c r="C626" t="s">
        <v>2256</v>
      </c>
      <c r="D626" t="s">
        <v>1203</v>
      </c>
      <c r="E626" t="s">
        <v>1204</v>
      </c>
      <c r="F626">
        <v>5673</v>
      </c>
      <c r="G626" t="s">
        <v>698</v>
      </c>
      <c r="H626" t="s">
        <v>2312</v>
      </c>
      <c r="I626">
        <v>8400</v>
      </c>
      <c r="J626">
        <v>8700</v>
      </c>
      <c r="K626">
        <v>9000</v>
      </c>
      <c r="L626">
        <v>9300</v>
      </c>
      <c r="M626">
        <v>9500</v>
      </c>
      <c r="N626" t="s">
        <v>988</v>
      </c>
    </row>
    <row r="627" spans="1:14" x14ac:dyDescent="0.3">
      <c r="A627">
        <v>613</v>
      </c>
      <c r="B627" t="s">
        <v>804</v>
      </c>
      <c r="C627" t="s">
        <v>2256</v>
      </c>
      <c r="D627" t="s">
        <v>1203</v>
      </c>
      <c r="E627" t="s">
        <v>1204</v>
      </c>
      <c r="F627">
        <v>5673</v>
      </c>
      <c r="G627" t="s">
        <v>700</v>
      </c>
      <c r="H627" t="s">
        <v>2312</v>
      </c>
      <c r="I627">
        <v>5300</v>
      </c>
      <c r="J627">
        <v>5400</v>
      </c>
      <c r="K627">
        <v>5600</v>
      </c>
      <c r="L627">
        <v>5800</v>
      </c>
      <c r="M627">
        <v>5900</v>
      </c>
      <c r="N627" t="s">
        <v>988</v>
      </c>
    </row>
    <row r="628" spans="1:14" x14ac:dyDescent="0.3">
      <c r="A628">
        <v>613</v>
      </c>
      <c r="B628" t="s">
        <v>804</v>
      </c>
      <c r="C628" t="s">
        <v>2256</v>
      </c>
      <c r="D628" t="s">
        <v>1203</v>
      </c>
      <c r="E628" t="s">
        <v>1204</v>
      </c>
      <c r="F628">
        <v>5673</v>
      </c>
      <c r="G628" t="s">
        <v>701</v>
      </c>
      <c r="H628" t="s">
        <v>2312</v>
      </c>
      <c r="I628">
        <v>0</v>
      </c>
      <c r="J628">
        <v>0</v>
      </c>
      <c r="K628">
        <v>100</v>
      </c>
      <c r="L628">
        <v>100</v>
      </c>
      <c r="M628">
        <v>100</v>
      </c>
      <c r="N628" t="s">
        <v>988</v>
      </c>
    </row>
    <row r="629" spans="1:14" x14ac:dyDescent="0.3">
      <c r="A629">
        <v>613</v>
      </c>
      <c r="B629" t="s">
        <v>804</v>
      </c>
      <c r="C629" t="s">
        <v>2256</v>
      </c>
      <c r="D629" t="s">
        <v>1203</v>
      </c>
      <c r="E629" t="s">
        <v>1204</v>
      </c>
      <c r="F629">
        <v>5673</v>
      </c>
      <c r="G629" t="s">
        <v>703</v>
      </c>
      <c r="H629" t="s">
        <v>2312</v>
      </c>
      <c r="I629">
        <v>1800</v>
      </c>
      <c r="J629">
        <v>1800</v>
      </c>
      <c r="K629">
        <v>1900</v>
      </c>
      <c r="L629">
        <v>1900</v>
      </c>
      <c r="M629">
        <v>2000</v>
      </c>
      <c r="N629" t="s">
        <v>988</v>
      </c>
    </row>
    <row r="630" spans="1:14" x14ac:dyDescent="0.3">
      <c r="A630">
        <v>613</v>
      </c>
      <c r="B630" t="s">
        <v>804</v>
      </c>
      <c r="C630" t="s">
        <v>2256</v>
      </c>
      <c r="D630" t="s">
        <v>1203</v>
      </c>
      <c r="E630" t="s">
        <v>1204</v>
      </c>
      <c r="F630">
        <v>5673</v>
      </c>
      <c r="G630" t="s">
        <v>701</v>
      </c>
      <c r="H630" t="s">
        <v>1210</v>
      </c>
      <c r="I630">
        <v>39100</v>
      </c>
      <c r="J630">
        <v>40700</v>
      </c>
      <c r="K630">
        <v>42200</v>
      </c>
      <c r="L630">
        <v>43800</v>
      </c>
      <c r="M630">
        <v>44300</v>
      </c>
      <c r="N630" t="s">
        <v>988</v>
      </c>
    </row>
    <row r="631" spans="1:14" x14ac:dyDescent="0.3">
      <c r="A631">
        <v>613</v>
      </c>
      <c r="B631" t="s">
        <v>804</v>
      </c>
      <c r="C631" t="s">
        <v>2256</v>
      </c>
      <c r="D631" t="s">
        <v>1203</v>
      </c>
      <c r="E631" t="s">
        <v>1204</v>
      </c>
      <c r="F631">
        <v>5673</v>
      </c>
      <c r="G631" t="s">
        <v>687</v>
      </c>
      <c r="H631" t="s">
        <v>1419</v>
      </c>
      <c r="I631">
        <v>3600</v>
      </c>
      <c r="J631">
        <v>3600</v>
      </c>
      <c r="K631">
        <v>3600</v>
      </c>
      <c r="L631">
        <v>3700</v>
      </c>
      <c r="M631">
        <v>3700</v>
      </c>
      <c r="N631" t="s">
        <v>988</v>
      </c>
    </row>
    <row r="632" spans="1:14" x14ac:dyDescent="0.3">
      <c r="A632">
        <v>613</v>
      </c>
      <c r="B632" t="s">
        <v>804</v>
      </c>
      <c r="C632" t="s">
        <v>2256</v>
      </c>
      <c r="D632" t="s">
        <v>1203</v>
      </c>
      <c r="E632" t="s">
        <v>1204</v>
      </c>
      <c r="F632">
        <v>5673</v>
      </c>
      <c r="G632" t="s">
        <v>702</v>
      </c>
      <c r="H632" t="s">
        <v>1210</v>
      </c>
      <c r="I632">
        <v>1800</v>
      </c>
      <c r="J632">
        <v>1800</v>
      </c>
      <c r="K632">
        <v>1800</v>
      </c>
      <c r="L632">
        <v>1800</v>
      </c>
      <c r="M632">
        <v>1800</v>
      </c>
      <c r="N632" t="s">
        <v>988</v>
      </c>
    </row>
    <row r="633" spans="1:14" x14ac:dyDescent="0.3">
      <c r="A633">
        <v>624</v>
      </c>
      <c r="B633" t="s">
        <v>1425</v>
      </c>
      <c r="C633" t="s">
        <v>2256</v>
      </c>
      <c r="D633" t="s">
        <v>159</v>
      </c>
      <c r="E633" t="s">
        <v>159</v>
      </c>
      <c r="F633">
        <v>5690</v>
      </c>
      <c r="G633" t="s">
        <v>700</v>
      </c>
      <c r="H633" t="s">
        <v>1430</v>
      </c>
      <c r="I633">
        <v>3078</v>
      </c>
      <c r="J633">
        <v>3104</v>
      </c>
      <c r="K633">
        <v>3134</v>
      </c>
      <c r="L633">
        <v>3158</v>
      </c>
      <c r="M633">
        <v>3174</v>
      </c>
      <c r="N633" t="s">
        <v>988</v>
      </c>
    </row>
    <row r="634" spans="1:14" x14ac:dyDescent="0.3">
      <c r="A634">
        <v>624</v>
      </c>
      <c r="B634" t="s">
        <v>1425</v>
      </c>
      <c r="C634" t="s">
        <v>2256</v>
      </c>
      <c r="D634" t="s">
        <v>159</v>
      </c>
      <c r="E634" t="s">
        <v>159</v>
      </c>
      <c r="F634">
        <v>5690</v>
      </c>
      <c r="G634" t="s">
        <v>698</v>
      </c>
      <c r="H634" t="s">
        <v>1431</v>
      </c>
      <c r="I634">
        <v>2523</v>
      </c>
      <c r="J634">
        <v>2544</v>
      </c>
      <c r="K634">
        <v>2569</v>
      </c>
      <c r="L634">
        <v>2589</v>
      </c>
      <c r="M634">
        <v>2602</v>
      </c>
      <c r="N634" t="s">
        <v>988</v>
      </c>
    </row>
    <row r="635" spans="1:14" x14ac:dyDescent="0.3">
      <c r="A635">
        <v>624</v>
      </c>
      <c r="B635" t="s">
        <v>1425</v>
      </c>
      <c r="C635" t="s">
        <v>2256</v>
      </c>
      <c r="D635" t="s">
        <v>159</v>
      </c>
      <c r="E635" t="s">
        <v>159</v>
      </c>
      <c r="F635">
        <v>5690</v>
      </c>
      <c r="G635" t="s">
        <v>702</v>
      </c>
      <c r="H635" t="s">
        <v>1429</v>
      </c>
      <c r="I635">
        <v>2876</v>
      </c>
      <c r="J635">
        <v>2526</v>
      </c>
      <c r="K635">
        <v>2176</v>
      </c>
      <c r="L635">
        <v>1826</v>
      </c>
      <c r="M635">
        <v>1476</v>
      </c>
      <c r="N635" t="s">
        <v>988</v>
      </c>
    </row>
    <row r="636" spans="1:14" x14ac:dyDescent="0.3">
      <c r="A636">
        <v>624</v>
      </c>
      <c r="B636" t="s">
        <v>1425</v>
      </c>
      <c r="C636" t="s">
        <v>2256</v>
      </c>
      <c r="D636" t="s">
        <v>159</v>
      </c>
      <c r="E636" t="s">
        <v>159</v>
      </c>
      <c r="F636">
        <v>5690</v>
      </c>
      <c r="G636" t="s">
        <v>691</v>
      </c>
      <c r="H636" t="s">
        <v>1428</v>
      </c>
      <c r="I636">
        <v>200</v>
      </c>
      <c r="J636">
        <v>200</v>
      </c>
      <c r="K636">
        <v>200</v>
      </c>
      <c r="L636">
        <v>200</v>
      </c>
      <c r="M636">
        <v>200</v>
      </c>
      <c r="N636" t="s">
        <v>988</v>
      </c>
    </row>
    <row r="637" spans="1:14" x14ac:dyDescent="0.3">
      <c r="A637">
        <v>624</v>
      </c>
      <c r="B637" t="s">
        <v>1425</v>
      </c>
      <c r="C637" t="s">
        <v>2256</v>
      </c>
      <c r="D637" t="s">
        <v>159</v>
      </c>
      <c r="E637" t="s">
        <v>159</v>
      </c>
      <c r="F637">
        <v>5690</v>
      </c>
      <c r="G637" t="s">
        <v>705</v>
      </c>
      <c r="H637" t="s">
        <v>1427</v>
      </c>
      <c r="I637">
        <v>200</v>
      </c>
      <c r="J637">
        <v>200</v>
      </c>
      <c r="K637">
        <v>200</v>
      </c>
      <c r="L637">
        <v>200</v>
      </c>
      <c r="M637">
        <v>200</v>
      </c>
      <c r="N637" t="s">
        <v>988</v>
      </c>
    </row>
    <row r="638" spans="1:14" x14ac:dyDescent="0.3">
      <c r="A638">
        <v>624</v>
      </c>
      <c r="B638" t="s">
        <v>1425</v>
      </c>
      <c r="C638" t="s">
        <v>2256</v>
      </c>
      <c r="D638" t="s">
        <v>159</v>
      </c>
      <c r="E638" t="s">
        <v>159</v>
      </c>
      <c r="F638">
        <v>5690</v>
      </c>
      <c r="G638" t="s">
        <v>686</v>
      </c>
      <c r="H638" t="s">
        <v>1426</v>
      </c>
      <c r="I638">
        <v>2000</v>
      </c>
      <c r="J638">
        <v>2000</v>
      </c>
      <c r="K638">
        <v>2000</v>
      </c>
      <c r="L638">
        <v>2000</v>
      </c>
      <c r="M638">
        <v>2000</v>
      </c>
      <c r="N638" t="s">
        <v>988</v>
      </c>
    </row>
    <row r="639" spans="1:14" x14ac:dyDescent="0.3">
      <c r="A639">
        <v>624</v>
      </c>
      <c r="B639" t="s">
        <v>1425</v>
      </c>
      <c r="C639" t="s">
        <v>2256</v>
      </c>
      <c r="D639" t="s">
        <v>159</v>
      </c>
      <c r="E639" t="s">
        <v>159</v>
      </c>
      <c r="F639">
        <v>5690</v>
      </c>
      <c r="G639" t="s">
        <v>701</v>
      </c>
      <c r="H639" t="s">
        <v>701</v>
      </c>
      <c r="I639">
        <v>1044</v>
      </c>
      <c r="J639">
        <v>1053</v>
      </c>
      <c r="K639">
        <v>1063</v>
      </c>
      <c r="L639">
        <v>1071</v>
      </c>
      <c r="M639">
        <v>1077</v>
      </c>
      <c r="N639" t="s">
        <v>988</v>
      </c>
    </row>
    <row r="640" spans="1:14" x14ac:dyDescent="0.3">
      <c r="A640">
        <v>624</v>
      </c>
      <c r="B640" t="s">
        <v>1425</v>
      </c>
      <c r="C640" t="s">
        <v>2256</v>
      </c>
      <c r="D640" t="s">
        <v>159</v>
      </c>
      <c r="E640" t="s">
        <v>159</v>
      </c>
      <c r="F640">
        <v>5690</v>
      </c>
      <c r="G640" t="s">
        <v>696</v>
      </c>
      <c r="H640" t="s">
        <v>1432</v>
      </c>
      <c r="I640">
        <v>18839</v>
      </c>
      <c r="J640">
        <v>18996</v>
      </c>
      <c r="K640">
        <v>19180</v>
      </c>
      <c r="L640">
        <v>19327</v>
      </c>
      <c r="M640">
        <v>19427</v>
      </c>
      <c r="N640" t="s">
        <v>988</v>
      </c>
    </row>
    <row r="641" spans="1:14" x14ac:dyDescent="0.3">
      <c r="A641">
        <v>624</v>
      </c>
      <c r="B641" t="s">
        <v>1425</v>
      </c>
      <c r="C641" t="s">
        <v>2256</v>
      </c>
      <c r="D641" t="s">
        <v>159</v>
      </c>
      <c r="E641" t="s">
        <v>159</v>
      </c>
      <c r="F641">
        <v>5690</v>
      </c>
      <c r="G641" t="s">
        <v>686</v>
      </c>
      <c r="H641" t="s">
        <v>1433</v>
      </c>
      <c r="I641">
        <v>2000</v>
      </c>
      <c r="J641">
        <v>2000</v>
      </c>
      <c r="K641">
        <v>2000</v>
      </c>
      <c r="L641">
        <v>2000</v>
      </c>
      <c r="M641">
        <v>2000</v>
      </c>
      <c r="N641" t="s">
        <v>988</v>
      </c>
    </row>
    <row r="642" spans="1:14" x14ac:dyDescent="0.3">
      <c r="A642">
        <v>644</v>
      </c>
      <c r="B642" t="s">
        <v>1434</v>
      </c>
      <c r="C642" t="s">
        <v>2256</v>
      </c>
      <c r="D642" t="s">
        <v>159</v>
      </c>
      <c r="E642" t="s">
        <v>159</v>
      </c>
      <c r="F642">
        <v>5450</v>
      </c>
      <c r="G642" t="s">
        <v>701</v>
      </c>
      <c r="I642">
        <v>20</v>
      </c>
      <c r="J642">
        <v>20</v>
      </c>
      <c r="K642">
        <v>20</v>
      </c>
      <c r="L642">
        <v>20</v>
      </c>
      <c r="M642">
        <v>20</v>
      </c>
      <c r="N642" t="s">
        <v>988</v>
      </c>
    </row>
    <row r="643" spans="1:14" x14ac:dyDescent="0.3">
      <c r="A643">
        <v>644</v>
      </c>
      <c r="B643" t="s">
        <v>1434</v>
      </c>
      <c r="C643" t="s">
        <v>2256</v>
      </c>
      <c r="D643" t="s">
        <v>159</v>
      </c>
      <c r="E643" t="s">
        <v>159</v>
      </c>
      <c r="F643">
        <v>5450</v>
      </c>
      <c r="G643" t="s">
        <v>703</v>
      </c>
      <c r="I643">
        <v>358</v>
      </c>
      <c r="J643">
        <v>360</v>
      </c>
      <c r="K643">
        <v>362</v>
      </c>
      <c r="L643">
        <v>364</v>
      </c>
      <c r="M643">
        <v>366</v>
      </c>
      <c r="N643" t="s">
        <v>988</v>
      </c>
    </row>
    <row r="644" spans="1:14" x14ac:dyDescent="0.3">
      <c r="A644">
        <v>644</v>
      </c>
      <c r="B644" t="s">
        <v>1434</v>
      </c>
      <c r="C644" t="s">
        <v>2256</v>
      </c>
      <c r="D644" t="s">
        <v>159</v>
      </c>
      <c r="E644" t="s">
        <v>159</v>
      </c>
      <c r="F644">
        <v>5450</v>
      </c>
      <c r="G644" t="s">
        <v>702</v>
      </c>
      <c r="I644">
        <v>92</v>
      </c>
      <c r="J644">
        <v>92</v>
      </c>
      <c r="K644">
        <v>93</v>
      </c>
      <c r="L644">
        <v>93</v>
      </c>
      <c r="M644">
        <v>94</v>
      </c>
      <c r="N644" t="s">
        <v>988</v>
      </c>
    </row>
    <row r="645" spans="1:14" x14ac:dyDescent="0.3">
      <c r="A645">
        <v>644</v>
      </c>
      <c r="B645" t="s">
        <v>1434</v>
      </c>
      <c r="C645" t="s">
        <v>2256</v>
      </c>
      <c r="D645" t="s">
        <v>159</v>
      </c>
      <c r="E645" t="s">
        <v>159</v>
      </c>
      <c r="F645">
        <v>5450</v>
      </c>
      <c r="G645" t="s">
        <v>686</v>
      </c>
      <c r="I645">
        <v>301</v>
      </c>
      <c r="J645">
        <v>303</v>
      </c>
      <c r="K645">
        <v>304</v>
      </c>
      <c r="L645">
        <v>306</v>
      </c>
      <c r="M645">
        <v>307</v>
      </c>
      <c r="N645" t="s">
        <v>988</v>
      </c>
    </row>
    <row r="646" spans="1:14" x14ac:dyDescent="0.3">
      <c r="A646">
        <v>644</v>
      </c>
      <c r="B646" t="s">
        <v>1434</v>
      </c>
      <c r="C646" t="s">
        <v>2256</v>
      </c>
      <c r="D646" t="s">
        <v>159</v>
      </c>
      <c r="E646" t="s">
        <v>159</v>
      </c>
      <c r="F646">
        <v>5450</v>
      </c>
      <c r="G646" t="s">
        <v>696</v>
      </c>
      <c r="I646">
        <v>2897</v>
      </c>
      <c r="J646">
        <v>2912</v>
      </c>
      <c r="K646">
        <v>2927</v>
      </c>
      <c r="L646">
        <v>2942</v>
      </c>
      <c r="M646">
        <v>2958</v>
      </c>
      <c r="N646" t="s">
        <v>988</v>
      </c>
    </row>
    <row r="647" spans="1:14" x14ac:dyDescent="0.3">
      <c r="A647">
        <v>644</v>
      </c>
      <c r="B647" t="s">
        <v>1434</v>
      </c>
      <c r="C647" t="s">
        <v>2256</v>
      </c>
      <c r="D647" t="s">
        <v>159</v>
      </c>
      <c r="E647" t="s">
        <v>159</v>
      </c>
      <c r="F647">
        <v>5450</v>
      </c>
      <c r="G647" t="s">
        <v>687</v>
      </c>
      <c r="H647" t="s">
        <v>1260</v>
      </c>
      <c r="I647">
        <v>23</v>
      </c>
      <c r="J647">
        <v>23</v>
      </c>
      <c r="K647">
        <v>23</v>
      </c>
      <c r="L647">
        <v>23</v>
      </c>
      <c r="M647">
        <v>23</v>
      </c>
      <c r="N647" t="s">
        <v>988</v>
      </c>
    </row>
    <row r="648" spans="1:14" x14ac:dyDescent="0.3">
      <c r="A648">
        <v>644</v>
      </c>
      <c r="B648" t="s">
        <v>1434</v>
      </c>
      <c r="C648" t="s">
        <v>2256</v>
      </c>
      <c r="D648" t="s">
        <v>159</v>
      </c>
      <c r="E648" t="s">
        <v>159</v>
      </c>
      <c r="F648">
        <v>5450</v>
      </c>
      <c r="G648" t="s">
        <v>700</v>
      </c>
      <c r="I648">
        <v>783</v>
      </c>
      <c r="J648">
        <v>787</v>
      </c>
      <c r="K648">
        <v>791</v>
      </c>
      <c r="L648">
        <v>795</v>
      </c>
      <c r="M648">
        <v>799</v>
      </c>
      <c r="N648" t="s">
        <v>988</v>
      </c>
    </row>
    <row r="649" spans="1:14" x14ac:dyDescent="0.3">
      <c r="A649">
        <v>644</v>
      </c>
      <c r="B649" t="s">
        <v>1434</v>
      </c>
      <c r="C649" t="s">
        <v>2256</v>
      </c>
      <c r="D649" t="s">
        <v>159</v>
      </c>
      <c r="E649" t="s">
        <v>159</v>
      </c>
      <c r="F649">
        <v>5450</v>
      </c>
      <c r="G649" t="s">
        <v>698</v>
      </c>
      <c r="I649">
        <v>922</v>
      </c>
      <c r="J649">
        <v>927</v>
      </c>
      <c r="K649">
        <v>932</v>
      </c>
      <c r="L649">
        <v>937</v>
      </c>
      <c r="M649">
        <v>941</v>
      </c>
      <c r="N649" t="s">
        <v>988</v>
      </c>
    </row>
    <row r="650" spans="1:14" x14ac:dyDescent="0.3">
      <c r="A650">
        <v>644</v>
      </c>
      <c r="B650" t="s">
        <v>1434</v>
      </c>
      <c r="C650" t="s">
        <v>2256</v>
      </c>
      <c r="D650" t="s">
        <v>159</v>
      </c>
      <c r="E650" t="s">
        <v>159</v>
      </c>
      <c r="F650">
        <v>5450</v>
      </c>
      <c r="G650" t="s">
        <v>687</v>
      </c>
      <c r="H650" t="s">
        <v>1435</v>
      </c>
      <c r="I650">
        <v>211</v>
      </c>
      <c r="J650">
        <v>212</v>
      </c>
      <c r="K650">
        <v>213</v>
      </c>
      <c r="L650">
        <v>215</v>
      </c>
      <c r="M650">
        <v>216</v>
      </c>
      <c r="N650" t="s">
        <v>988</v>
      </c>
    </row>
    <row r="651" spans="1:14" x14ac:dyDescent="0.3">
      <c r="A651">
        <v>649</v>
      </c>
      <c r="B651" t="s">
        <v>1436</v>
      </c>
      <c r="C651" t="s">
        <v>2256</v>
      </c>
      <c r="D651" t="s">
        <v>159</v>
      </c>
      <c r="E651" t="s">
        <v>159</v>
      </c>
      <c r="F651">
        <v>5683</v>
      </c>
      <c r="G651" t="s">
        <v>701</v>
      </c>
      <c r="I651">
        <v>6</v>
      </c>
      <c r="J651">
        <v>6</v>
      </c>
      <c r="K651">
        <v>6</v>
      </c>
      <c r="L651">
        <v>6</v>
      </c>
      <c r="M651">
        <v>6</v>
      </c>
      <c r="N651" t="s">
        <v>987</v>
      </c>
    </row>
    <row r="652" spans="1:14" x14ac:dyDescent="0.3">
      <c r="A652">
        <v>649</v>
      </c>
      <c r="B652" t="s">
        <v>1436</v>
      </c>
      <c r="C652" t="s">
        <v>2256</v>
      </c>
      <c r="D652" t="s">
        <v>159</v>
      </c>
      <c r="E652" t="s">
        <v>159</v>
      </c>
      <c r="F652">
        <v>5683</v>
      </c>
      <c r="G652" t="s">
        <v>700</v>
      </c>
      <c r="I652">
        <v>222</v>
      </c>
      <c r="J652">
        <v>222</v>
      </c>
      <c r="K652">
        <v>222</v>
      </c>
      <c r="L652">
        <v>222</v>
      </c>
      <c r="M652">
        <v>222</v>
      </c>
      <c r="N652" t="s">
        <v>987</v>
      </c>
    </row>
    <row r="653" spans="1:14" x14ac:dyDescent="0.3">
      <c r="A653">
        <v>649</v>
      </c>
      <c r="B653" t="s">
        <v>1436</v>
      </c>
      <c r="C653" t="s">
        <v>2256</v>
      </c>
      <c r="D653" t="s">
        <v>159</v>
      </c>
      <c r="E653" t="s">
        <v>159</v>
      </c>
      <c r="F653">
        <v>5683</v>
      </c>
      <c r="G653" t="s">
        <v>703</v>
      </c>
      <c r="I653">
        <v>159</v>
      </c>
      <c r="J653">
        <v>159</v>
      </c>
      <c r="K653">
        <v>159</v>
      </c>
      <c r="L653">
        <v>159</v>
      </c>
      <c r="M653">
        <v>159</v>
      </c>
      <c r="N653" t="s">
        <v>987</v>
      </c>
    </row>
    <row r="654" spans="1:14" x14ac:dyDescent="0.3">
      <c r="A654">
        <v>649</v>
      </c>
      <c r="B654" t="s">
        <v>1436</v>
      </c>
      <c r="C654" t="s">
        <v>2256</v>
      </c>
      <c r="D654" t="s">
        <v>159</v>
      </c>
      <c r="E654" t="s">
        <v>159</v>
      </c>
      <c r="F654">
        <v>5683</v>
      </c>
      <c r="G654" t="s">
        <v>686</v>
      </c>
      <c r="I654">
        <v>186</v>
      </c>
      <c r="J654">
        <v>184</v>
      </c>
      <c r="K654">
        <v>183</v>
      </c>
      <c r="L654">
        <v>182</v>
      </c>
      <c r="M654">
        <v>181</v>
      </c>
      <c r="N654" t="s">
        <v>987</v>
      </c>
    </row>
    <row r="655" spans="1:14" x14ac:dyDescent="0.3">
      <c r="A655">
        <v>649</v>
      </c>
      <c r="B655" t="s">
        <v>1436</v>
      </c>
      <c r="C655" t="s">
        <v>2256</v>
      </c>
      <c r="D655" t="s">
        <v>159</v>
      </c>
      <c r="E655" t="s">
        <v>159</v>
      </c>
      <c r="F655">
        <v>5683</v>
      </c>
      <c r="G655" t="s">
        <v>696</v>
      </c>
      <c r="I655">
        <v>236</v>
      </c>
      <c r="J655">
        <v>230</v>
      </c>
      <c r="K655">
        <v>225</v>
      </c>
      <c r="L655">
        <v>221</v>
      </c>
      <c r="M655">
        <v>218</v>
      </c>
      <c r="N655" t="s">
        <v>987</v>
      </c>
    </row>
    <row r="656" spans="1:14" x14ac:dyDescent="0.3">
      <c r="A656">
        <v>651</v>
      </c>
      <c r="B656" t="s">
        <v>1437</v>
      </c>
      <c r="C656" t="s">
        <v>2256</v>
      </c>
      <c r="D656" t="s">
        <v>1203</v>
      </c>
      <c r="E656" t="s">
        <v>1204</v>
      </c>
      <c r="F656">
        <v>5729</v>
      </c>
      <c r="G656" t="s">
        <v>702</v>
      </c>
      <c r="I656">
        <v>221.08</v>
      </c>
      <c r="J656">
        <v>224.57</v>
      </c>
      <c r="K656">
        <v>228.11</v>
      </c>
      <c r="L656">
        <v>231.71</v>
      </c>
      <c r="M656">
        <v>235.36</v>
      </c>
      <c r="N656" t="s">
        <v>988</v>
      </c>
    </row>
    <row r="657" spans="1:14" x14ac:dyDescent="0.3">
      <c r="A657">
        <v>651</v>
      </c>
      <c r="B657" t="s">
        <v>1437</v>
      </c>
      <c r="C657" t="s">
        <v>2256</v>
      </c>
      <c r="D657" t="s">
        <v>1203</v>
      </c>
      <c r="E657" t="s">
        <v>1204</v>
      </c>
      <c r="F657">
        <v>5729</v>
      </c>
      <c r="G657" t="s">
        <v>686</v>
      </c>
      <c r="I657">
        <v>355.12</v>
      </c>
      <c r="J657">
        <v>360.72</v>
      </c>
      <c r="K657">
        <v>366.41</v>
      </c>
      <c r="L657">
        <v>372.19</v>
      </c>
      <c r="M657">
        <v>378.06</v>
      </c>
      <c r="N657" t="s">
        <v>988</v>
      </c>
    </row>
    <row r="658" spans="1:14" x14ac:dyDescent="0.3">
      <c r="A658">
        <v>651</v>
      </c>
      <c r="B658" t="s">
        <v>1437</v>
      </c>
      <c r="C658" t="s">
        <v>2256</v>
      </c>
      <c r="D658" t="s">
        <v>1203</v>
      </c>
      <c r="E658" t="s">
        <v>1204</v>
      </c>
      <c r="F658">
        <v>5729</v>
      </c>
      <c r="G658" t="s">
        <v>700</v>
      </c>
      <c r="H658" t="s">
        <v>1438</v>
      </c>
      <c r="I658">
        <v>263.07</v>
      </c>
      <c r="J658">
        <v>267.22000000000003</v>
      </c>
      <c r="K658">
        <v>271.43</v>
      </c>
      <c r="L658">
        <v>275.70999999999998</v>
      </c>
      <c r="M658">
        <v>280.06</v>
      </c>
      <c r="N658" t="s">
        <v>988</v>
      </c>
    </row>
    <row r="659" spans="1:14" x14ac:dyDescent="0.3">
      <c r="A659">
        <v>651</v>
      </c>
      <c r="B659" t="s">
        <v>1437</v>
      </c>
      <c r="C659" t="s">
        <v>2256</v>
      </c>
      <c r="D659" t="s">
        <v>1203</v>
      </c>
      <c r="E659" t="s">
        <v>1204</v>
      </c>
      <c r="F659">
        <v>5729</v>
      </c>
      <c r="G659" t="s">
        <v>696</v>
      </c>
      <c r="I659">
        <v>2350.2199999999998</v>
      </c>
      <c r="J659">
        <v>2387.2800000000002</v>
      </c>
      <c r="K659">
        <v>2424.92</v>
      </c>
      <c r="L659">
        <v>2463.15</v>
      </c>
      <c r="M659">
        <v>2501.9899999999998</v>
      </c>
      <c r="N659" t="s">
        <v>988</v>
      </c>
    </row>
    <row r="660" spans="1:14" x14ac:dyDescent="0.3">
      <c r="A660">
        <v>651</v>
      </c>
      <c r="B660" t="s">
        <v>1437</v>
      </c>
      <c r="C660" t="s">
        <v>2256</v>
      </c>
      <c r="D660" t="s">
        <v>1203</v>
      </c>
      <c r="E660" t="s">
        <v>1204</v>
      </c>
      <c r="F660">
        <v>5729</v>
      </c>
      <c r="G660" t="s">
        <v>698</v>
      </c>
      <c r="I660">
        <v>789.25</v>
      </c>
      <c r="J660">
        <v>801.69</v>
      </c>
      <c r="K660">
        <v>814.34</v>
      </c>
      <c r="L660">
        <v>827.18</v>
      </c>
      <c r="M660">
        <v>840.22</v>
      </c>
      <c r="N660" t="s">
        <v>988</v>
      </c>
    </row>
    <row r="661" spans="1:14" x14ac:dyDescent="0.3">
      <c r="A661">
        <v>654</v>
      </c>
      <c r="B661" t="s">
        <v>1439</v>
      </c>
      <c r="C661" t="s">
        <v>2256</v>
      </c>
      <c r="D661" t="s">
        <v>159</v>
      </c>
      <c r="E661" t="s">
        <v>159</v>
      </c>
      <c r="F661">
        <v>7861</v>
      </c>
      <c r="G661" t="s">
        <v>698</v>
      </c>
      <c r="I661">
        <v>7810</v>
      </c>
      <c r="J661">
        <v>8208</v>
      </c>
      <c r="K661">
        <v>8627</v>
      </c>
      <c r="L661">
        <v>9067</v>
      </c>
      <c r="N661" t="s">
        <v>986</v>
      </c>
    </row>
    <row r="662" spans="1:14" x14ac:dyDescent="0.3">
      <c r="A662">
        <v>654</v>
      </c>
      <c r="B662" t="s">
        <v>1439</v>
      </c>
      <c r="C662" t="s">
        <v>2256</v>
      </c>
      <c r="D662" t="s">
        <v>159</v>
      </c>
      <c r="E662" t="s">
        <v>159</v>
      </c>
      <c r="F662">
        <v>7861</v>
      </c>
      <c r="G662" t="s">
        <v>700</v>
      </c>
      <c r="I662">
        <v>43967</v>
      </c>
      <c r="J662">
        <v>46210</v>
      </c>
      <c r="K662">
        <v>48567</v>
      </c>
      <c r="L662">
        <v>51044</v>
      </c>
      <c r="N662" t="s">
        <v>986</v>
      </c>
    </row>
    <row r="663" spans="1:14" x14ac:dyDescent="0.3">
      <c r="A663">
        <v>654</v>
      </c>
      <c r="B663" t="s">
        <v>1439</v>
      </c>
      <c r="C663" t="s">
        <v>2256</v>
      </c>
      <c r="D663" t="s">
        <v>159</v>
      </c>
      <c r="E663" t="s">
        <v>159</v>
      </c>
      <c r="F663">
        <v>7861</v>
      </c>
      <c r="G663" t="s">
        <v>686</v>
      </c>
      <c r="I663">
        <v>18967</v>
      </c>
      <c r="J663">
        <v>18967</v>
      </c>
      <c r="K663">
        <v>18967</v>
      </c>
      <c r="L663">
        <v>18967</v>
      </c>
      <c r="N663" t="s">
        <v>986</v>
      </c>
    </row>
    <row r="664" spans="1:14" x14ac:dyDescent="0.3">
      <c r="A664">
        <v>654</v>
      </c>
      <c r="B664" t="s">
        <v>1439</v>
      </c>
      <c r="C664" t="s">
        <v>2256</v>
      </c>
      <c r="D664" t="s">
        <v>159</v>
      </c>
      <c r="E664" t="s">
        <v>159</v>
      </c>
      <c r="F664">
        <v>7861</v>
      </c>
      <c r="G664" t="s">
        <v>691</v>
      </c>
      <c r="H664" t="s">
        <v>1428</v>
      </c>
      <c r="I664">
        <v>92</v>
      </c>
      <c r="J664">
        <v>97</v>
      </c>
      <c r="K664">
        <v>102</v>
      </c>
      <c r="L664">
        <v>107</v>
      </c>
      <c r="N664" t="s">
        <v>986</v>
      </c>
    </row>
    <row r="665" spans="1:14" x14ac:dyDescent="0.3">
      <c r="A665">
        <v>654</v>
      </c>
      <c r="B665" t="s">
        <v>1439</v>
      </c>
      <c r="C665" t="s">
        <v>2256</v>
      </c>
      <c r="D665" t="s">
        <v>159</v>
      </c>
      <c r="E665" t="s">
        <v>159</v>
      </c>
      <c r="F665">
        <v>7861</v>
      </c>
      <c r="G665" t="s">
        <v>696</v>
      </c>
      <c r="I665">
        <v>253932</v>
      </c>
      <c r="J665">
        <v>266886</v>
      </c>
      <c r="K665">
        <v>280499</v>
      </c>
      <c r="L665">
        <v>294808</v>
      </c>
      <c r="N665" t="s">
        <v>986</v>
      </c>
    </row>
    <row r="666" spans="1:14" x14ac:dyDescent="0.3">
      <c r="A666">
        <v>664</v>
      </c>
      <c r="B666" t="s">
        <v>1441</v>
      </c>
      <c r="C666" t="s">
        <v>2256</v>
      </c>
      <c r="D666" t="s">
        <v>159</v>
      </c>
      <c r="E666" t="s">
        <v>159</v>
      </c>
      <c r="F666">
        <v>8035</v>
      </c>
      <c r="G666" t="s">
        <v>696</v>
      </c>
      <c r="I666">
        <v>29462</v>
      </c>
      <c r="J666">
        <v>32046</v>
      </c>
      <c r="K666">
        <v>32935</v>
      </c>
      <c r="L666">
        <v>33679</v>
      </c>
      <c r="M666">
        <v>33679</v>
      </c>
      <c r="N666" t="s">
        <v>988</v>
      </c>
    </row>
    <row r="667" spans="1:14" x14ac:dyDescent="0.3">
      <c r="A667">
        <v>664</v>
      </c>
      <c r="B667" t="s">
        <v>1441</v>
      </c>
      <c r="C667" t="s">
        <v>2256</v>
      </c>
      <c r="D667" t="s">
        <v>159</v>
      </c>
      <c r="E667" t="s">
        <v>159</v>
      </c>
      <c r="F667">
        <v>8035</v>
      </c>
      <c r="G667" t="s">
        <v>687</v>
      </c>
      <c r="I667">
        <v>96</v>
      </c>
      <c r="J667">
        <v>104</v>
      </c>
      <c r="K667">
        <v>107</v>
      </c>
      <c r="L667">
        <v>110</v>
      </c>
      <c r="M667">
        <v>110</v>
      </c>
      <c r="N667" t="s">
        <v>988</v>
      </c>
    </row>
    <row r="668" spans="1:14" x14ac:dyDescent="0.3">
      <c r="A668">
        <v>664</v>
      </c>
      <c r="B668" t="s">
        <v>1441</v>
      </c>
      <c r="C668" t="s">
        <v>2256</v>
      </c>
      <c r="D668" t="s">
        <v>159</v>
      </c>
      <c r="E668" t="s">
        <v>159</v>
      </c>
      <c r="F668">
        <v>8035</v>
      </c>
      <c r="G668" t="s">
        <v>686</v>
      </c>
      <c r="I668">
        <v>3094</v>
      </c>
      <c r="J668">
        <v>3366</v>
      </c>
      <c r="K668">
        <v>3459</v>
      </c>
      <c r="L668">
        <v>3537</v>
      </c>
      <c r="M668">
        <v>3537</v>
      </c>
      <c r="N668" t="s">
        <v>988</v>
      </c>
    </row>
    <row r="669" spans="1:14" x14ac:dyDescent="0.3">
      <c r="A669">
        <v>664</v>
      </c>
      <c r="B669" t="s">
        <v>1441</v>
      </c>
      <c r="C669" t="s">
        <v>2256</v>
      </c>
      <c r="D669" t="s">
        <v>159</v>
      </c>
      <c r="E669" t="s">
        <v>159</v>
      </c>
      <c r="F669">
        <v>8035</v>
      </c>
      <c r="G669" t="s">
        <v>684</v>
      </c>
      <c r="I669">
        <v>13</v>
      </c>
      <c r="J669">
        <v>14</v>
      </c>
      <c r="K669">
        <v>15</v>
      </c>
      <c r="L669">
        <v>15</v>
      </c>
      <c r="M669">
        <v>15</v>
      </c>
      <c r="N669" t="s">
        <v>988</v>
      </c>
    </row>
    <row r="670" spans="1:14" x14ac:dyDescent="0.3">
      <c r="A670">
        <v>664</v>
      </c>
      <c r="B670" t="s">
        <v>1441</v>
      </c>
      <c r="C670" t="s">
        <v>2256</v>
      </c>
      <c r="D670" t="s">
        <v>159</v>
      </c>
      <c r="E670" t="s">
        <v>159</v>
      </c>
      <c r="F670">
        <v>8035</v>
      </c>
      <c r="G670" t="s">
        <v>698</v>
      </c>
      <c r="I670">
        <v>4713</v>
      </c>
      <c r="J670">
        <v>5126</v>
      </c>
      <c r="K670">
        <v>5269</v>
      </c>
      <c r="L670">
        <v>5387</v>
      </c>
      <c r="M670">
        <v>5387</v>
      </c>
      <c r="N670" t="s">
        <v>988</v>
      </c>
    </row>
    <row r="671" spans="1:14" x14ac:dyDescent="0.3">
      <c r="A671">
        <v>664</v>
      </c>
      <c r="B671" t="s">
        <v>1441</v>
      </c>
      <c r="C671" t="s">
        <v>2256</v>
      </c>
      <c r="D671" t="s">
        <v>159</v>
      </c>
      <c r="E671" t="s">
        <v>159</v>
      </c>
      <c r="F671">
        <v>8035</v>
      </c>
      <c r="G671" t="s">
        <v>703</v>
      </c>
      <c r="I671">
        <v>714</v>
      </c>
      <c r="J671">
        <v>777</v>
      </c>
      <c r="K671">
        <v>798</v>
      </c>
      <c r="L671">
        <v>816</v>
      </c>
      <c r="M671">
        <v>816</v>
      </c>
      <c r="N671" t="s">
        <v>988</v>
      </c>
    </row>
    <row r="672" spans="1:14" x14ac:dyDescent="0.3">
      <c r="A672">
        <v>664</v>
      </c>
      <c r="B672" t="s">
        <v>1441</v>
      </c>
      <c r="C672" t="s">
        <v>2256</v>
      </c>
      <c r="D672" t="s">
        <v>159</v>
      </c>
      <c r="E672" t="s">
        <v>159</v>
      </c>
      <c r="F672">
        <v>8035</v>
      </c>
      <c r="G672" t="s">
        <v>701</v>
      </c>
      <c r="I672">
        <v>2432</v>
      </c>
      <c r="J672">
        <v>2645</v>
      </c>
      <c r="K672">
        <v>2719</v>
      </c>
      <c r="L672">
        <v>2780</v>
      </c>
      <c r="M672">
        <v>2780</v>
      </c>
      <c r="N672" t="s">
        <v>988</v>
      </c>
    </row>
    <row r="673" spans="1:14" x14ac:dyDescent="0.3">
      <c r="A673">
        <v>664</v>
      </c>
      <c r="B673" t="s">
        <v>1441</v>
      </c>
      <c r="C673" t="s">
        <v>2256</v>
      </c>
      <c r="D673" t="s">
        <v>159</v>
      </c>
      <c r="E673" t="s">
        <v>159</v>
      </c>
      <c r="F673">
        <v>8035</v>
      </c>
      <c r="G673" t="s">
        <v>700</v>
      </c>
      <c r="I673">
        <v>2294</v>
      </c>
      <c r="J673">
        <v>2495</v>
      </c>
      <c r="K673">
        <v>2565</v>
      </c>
      <c r="L673">
        <v>2622</v>
      </c>
      <c r="M673">
        <v>2622</v>
      </c>
      <c r="N673" t="s">
        <v>988</v>
      </c>
    </row>
    <row r="674" spans="1:14" x14ac:dyDescent="0.3">
      <c r="A674">
        <v>664</v>
      </c>
      <c r="B674" t="s">
        <v>1441</v>
      </c>
      <c r="C674" t="s">
        <v>2256</v>
      </c>
      <c r="D674" t="s">
        <v>159</v>
      </c>
      <c r="E674" t="s">
        <v>159</v>
      </c>
      <c r="F674">
        <v>8035</v>
      </c>
      <c r="G674" t="s">
        <v>702</v>
      </c>
      <c r="I674">
        <v>8751</v>
      </c>
      <c r="J674">
        <v>9519</v>
      </c>
      <c r="K674">
        <v>9783</v>
      </c>
      <c r="L674">
        <v>10003</v>
      </c>
      <c r="M674">
        <v>10003</v>
      </c>
      <c r="N674" t="s">
        <v>988</v>
      </c>
    </row>
    <row r="675" spans="1:14" x14ac:dyDescent="0.3">
      <c r="A675">
        <v>673</v>
      </c>
      <c r="B675" t="s">
        <v>1442</v>
      </c>
      <c r="C675" t="s">
        <v>2256</v>
      </c>
      <c r="D675" t="s">
        <v>159</v>
      </c>
      <c r="E675" t="s">
        <v>159</v>
      </c>
      <c r="F675">
        <v>7793</v>
      </c>
      <c r="G675" t="s">
        <v>696</v>
      </c>
      <c r="I675">
        <v>1100</v>
      </c>
      <c r="J675">
        <v>1080</v>
      </c>
      <c r="K675">
        <v>1073</v>
      </c>
      <c r="L675">
        <v>1076</v>
      </c>
      <c r="M675">
        <v>1081</v>
      </c>
      <c r="N675" t="s">
        <v>987</v>
      </c>
    </row>
    <row r="676" spans="1:14" x14ac:dyDescent="0.3">
      <c r="A676">
        <v>673</v>
      </c>
      <c r="B676" t="s">
        <v>1442</v>
      </c>
      <c r="C676" t="s">
        <v>2256</v>
      </c>
      <c r="D676" t="s">
        <v>159</v>
      </c>
      <c r="E676" t="s">
        <v>159</v>
      </c>
      <c r="F676">
        <v>7793</v>
      </c>
      <c r="G676" t="s">
        <v>686</v>
      </c>
      <c r="H676" t="s">
        <v>2313</v>
      </c>
      <c r="I676">
        <v>149</v>
      </c>
      <c r="J676">
        <v>144</v>
      </c>
      <c r="K676">
        <v>144</v>
      </c>
      <c r="L676">
        <v>145</v>
      </c>
      <c r="M676">
        <v>146</v>
      </c>
      <c r="N676" t="s">
        <v>987</v>
      </c>
    </row>
    <row r="677" spans="1:14" x14ac:dyDescent="0.3">
      <c r="A677">
        <v>673</v>
      </c>
      <c r="B677" t="s">
        <v>1442</v>
      </c>
      <c r="C677" t="s">
        <v>2256</v>
      </c>
      <c r="D677" t="s">
        <v>159</v>
      </c>
      <c r="E677" t="s">
        <v>159</v>
      </c>
      <c r="F677">
        <v>7793</v>
      </c>
      <c r="G677" t="s">
        <v>698</v>
      </c>
      <c r="I677">
        <v>491</v>
      </c>
      <c r="J677">
        <v>481</v>
      </c>
      <c r="K677">
        <v>476</v>
      </c>
      <c r="L677">
        <v>476</v>
      </c>
      <c r="M677">
        <v>477</v>
      </c>
      <c r="N677" t="s">
        <v>987</v>
      </c>
    </row>
    <row r="678" spans="1:14" x14ac:dyDescent="0.3">
      <c r="A678">
        <v>673</v>
      </c>
      <c r="B678" t="s">
        <v>1442</v>
      </c>
      <c r="C678" t="s">
        <v>2256</v>
      </c>
      <c r="D678" t="s">
        <v>159</v>
      </c>
      <c r="E678" t="s">
        <v>159</v>
      </c>
      <c r="F678">
        <v>7793</v>
      </c>
      <c r="G678" t="s">
        <v>700</v>
      </c>
      <c r="H678" t="s">
        <v>1444</v>
      </c>
      <c r="I678">
        <v>339</v>
      </c>
      <c r="J678">
        <v>340</v>
      </c>
      <c r="K678">
        <v>344</v>
      </c>
      <c r="L678">
        <v>349</v>
      </c>
      <c r="M678">
        <v>355</v>
      </c>
      <c r="N678" t="s">
        <v>987</v>
      </c>
    </row>
    <row r="679" spans="1:14" x14ac:dyDescent="0.3">
      <c r="A679">
        <v>673</v>
      </c>
      <c r="B679" t="s">
        <v>1442</v>
      </c>
      <c r="C679" t="s">
        <v>2256</v>
      </c>
      <c r="D679" t="s">
        <v>159</v>
      </c>
      <c r="E679" t="s">
        <v>159</v>
      </c>
      <c r="F679">
        <v>7793</v>
      </c>
      <c r="G679" t="s">
        <v>702</v>
      </c>
      <c r="I679">
        <v>55</v>
      </c>
      <c r="J679">
        <v>56</v>
      </c>
      <c r="K679">
        <v>58</v>
      </c>
      <c r="L679">
        <v>60</v>
      </c>
      <c r="M679">
        <v>61</v>
      </c>
      <c r="N679" t="s">
        <v>987</v>
      </c>
    </row>
    <row r="680" spans="1:14" x14ac:dyDescent="0.3">
      <c r="A680">
        <v>678</v>
      </c>
      <c r="B680" t="s">
        <v>1445</v>
      </c>
      <c r="C680" t="s">
        <v>2256</v>
      </c>
      <c r="D680" t="s">
        <v>159</v>
      </c>
      <c r="E680" t="s">
        <v>159</v>
      </c>
      <c r="F680">
        <v>7334</v>
      </c>
      <c r="G680" t="s">
        <v>696</v>
      </c>
      <c r="H680" t="s">
        <v>2314</v>
      </c>
      <c r="I680">
        <v>5398</v>
      </c>
      <c r="J680">
        <v>5662</v>
      </c>
      <c r="K680">
        <v>5939</v>
      </c>
      <c r="L680">
        <v>6231</v>
      </c>
      <c r="M680">
        <v>6537</v>
      </c>
      <c r="N680" t="s">
        <v>988</v>
      </c>
    </row>
    <row r="681" spans="1:14" x14ac:dyDescent="0.3">
      <c r="A681">
        <v>678</v>
      </c>
      <c r="B681" t="s">
        <v>1445</v>
      </c>
      <c r="C681" t="s">
        <v>2256</v>
      </c>
      <c r="D681" t="s">
        <v>159</v>
      </c>
      <c r="E681" t="s">
        <v>159</v>
      </c>
      <c r="F681">
        <v>7334</v>
      </c>
      <c r="G681" t="s">
        <v>686</v>
      </c>
      <c r="H681" t="s">
        <v>2315</v>
      </c>
      <c r="I681">
        <v>991</v>
      </c>
      <c r="J681">
        <v>1042</v>
      </c>
      <c r="K681">
        <v>1095</v>
      </c>
      <c r="L681">
        <v>1151</v>
      </c>
      <c r="M681">
        <v>1209</v>
      </c>
      <c r="N681" t="s">
        <v>988</v>
      </c>
    </row>
    <row r="682" spans="1:14" x14ac:dyDescent="0.3">
      <c r="A682">
        <v>678</v>
      </c>
      <c r="B682" t="s">
        <v>1445</v>
      </c>
      <c r="C682" t="s">
        <v>2256</v>
      </c>
      <c r="D682" t="s">
        <v>159</v>
      </c>
      <c r="E682" t="s">
        <v>159</v>
      </c>
      <c r="F682">
        <v>7334</v>
      </c>
      <c r="G682" t="s">
        <v>691</v>
      </c>
      <c r="H682" t="s">
        <v>2316</v>
      </c>
      <c r="I682">
        <v>2490</v>
      </c>
      <c r="J682">
        <v>2624</v>
      </c>
      <c r="K682">
        <v>2765</v>
      </c>
      <c r="L682">
        <v>2912</v>
      </c>
      <c r="M682">
        <v>3067</v>
      </c>
      <c r="N682" t="s">
        <v>988</v>
      </c>
    </row>
    <row r="683" spans="1:14" x14ac:dyDescent="0.3">
      <c r="A683">
        <v>678</v>
      </c>
      <c r="B683" t="s">
        <v>1445</v>
      </c>
      <c r="C683" t="s">
        <v>2256</v>
      </c>
      <c r="D683" t="s">
        <v>159</v>
      </c>
      <c r="E683" t="s">
        <v>159</v>
      </c>
      <c r="F683">
        <v>7334</v>
      </c>
      <c r="G683" t="s">
        <v>698</v>
      </c>
      <c r="I683">
        <v>2033</v>
      </c>
      <c r="J683">
        <v>2142</v>
      </c>
      <c r="K683">
        <v>2257</v>
      </c>
      <c r="L683">
        <v>2378</v>
      </c>
      <c r="M683">
        <v>2505</v>
      </c>
      <c r="N683" t="s">
        <v>988</v>
      </c>
    </row>
    <row r="684" spans="1:14" x14ac:dyDescent="0.3">
      <c r="A684">
        <v>699</v>
      </c>
      <c r="B684" t="s">
        <v>1449</v>
      </c>
      <c r="C684" t="s">
        <v>2256</v>
      </c>
      <c r="D684" t="s">
        <v>159</v>
      </c>
      <c r="E684" t="s">
        <v>159</v>
      </c>
      <c r="F684">
        <v>6729</v>
      </c>
      <c r="G684" t="s">
        <v>702</v>
      </c>
      <c r="I684">
        <v>992</v>
      </c>
      <c r="J684">
        <v>1178</v>
      </c>
      <c r="K684">
        <v>1289</v>
      </c>
      <c r="L684">
        <v>1322</v>
      </c>
      <c r="M684">
        <v>1355</v>
      </c>
      <c r="N684" t="s">
        <v>986</v>
      </c>
    </row>
    <row r="685" spans="1:14" x14ac:dyDescent="0.3">
      <c r="A685">
        <v>699</v>
      </c>
      <c r="B685" t="s">
        <v>1449</v>
      </c>
      <c r="C685" t="s">
        <v>2256</v>
      </c>
      <c r="D685" t="s">
        <v>159</v>
      </c>
      <c r="E685" t="s">
        <v>159</v>
      </c>
      <c r="F685">
        <v>6729</v>
      </c>
      <c r="G685" t="s">
        <v>700</v>
      </c>
      <c r="I685">
        <v>6916</v>
      </c>
      <c r="J685">
        <v>8210</v>
      </c>
      <c r="K685">
        <v>8987</v>
      </c>
      <c r="L685">
        <v>9214</v>
      </c>
      <c r="M685">
        <v>9447</v>
      </c>
      <c r="N685" t="s">
        <v>986</v>
      </c>
    </row>
    <row r="686" spans="1:14" x14ac:dyDescent="0.3">
      <c r="A686">
        <v>699</v>
      </c>
      <c r="B686" t="s">
        <v>1449</v>
      </c>
      <c r="C686" t="s">
        <v>2256</v>
      </c>
      <c r="D686" t="s">
        <v>159</v>
      </c>
      <c r="E686" t="s">
        <v>159</v>
      </c>
      <c r="F686">
        <v>6729</v>
      </c>
      <c r="G686" t="s">
        <v>698</v>
      </c>
      <c r="I686">
        <v>3602</v>
      </c>
      <c r="J686">
        <v>4276</v>
      </c>
      <c r="K686">
        <v>4681</v>
      </c>
      <c r="L686">
        <v>4799</v>
      </c>
      <c r="M686">
        <v>4920</v>
      </c>
      <c r="N686" t="s">
        <v>986</v>
      </c>
    </row>
    <row r="687" spans="1:14" x14ac:dyDescent="0.3">
      <c r="A687">
        <v>699</v>
      </c>
      <c r="B687" t="s">
        <v>1449</v>
      </c>
      <c r="C687" t="s">
        <v>2256</v>
      </c>
      <c r="D687" t="s">
        <v>159</v>
      </c>
      <c r="E687" t="s">
        <v>159</v>
      </c>
      <c r="F687">
        <v>6729</v>
      </c>
      <c r="G687" t="s">
        <v>696</v>
      </c>
      <c r="I687">
        <v>312389</v>
      </c>
      <c r="J687">
        <v>370865</v>
      </c>
      <c r="K687">
        <v>405958</v>
      </c>
      <c r="L687">
        <v>416199</v>
      </c>
      <c r="M687">
        <v>426698</v>
      </c>
      <c r="N687" t="s">
        <v>986</v>
      </c>
    </row>
    <row r="688" spans="1:14" x14ac:dyDescent="0.3">
      <c r="A688">
        <v>699</v>
      </c>
      <c r="B688" t="s">
        <v>1449</v>
      </c>
      <c r="C688" t="s">
        <v>2256</v>
      </c>
      <c r="D688" t="s">
        <v>159</v>
      </c>
      <c r="E688" t="s">
        <v>159</v>
      </c>
      <c r="F688">
        <v>6729</v>
      </c>
      <c r="G688" t="s">
        <v>703</v>
      </c>
      <c r="I688">
        <v>16668</v>
      </c>
      <c r="J688">
        <v>19788</v>
      </c>
      <c r="K688">
        <v>21661</v>
      </c>
      <c r="L688">
        <v>22207</v>
      </c>
      <c r="M688">
        <v>22767</v>
      </c>
      <c r="N688" t="s">
        <v>986</v>
      </c>
    </row>
    <row r="689" spans="1:14" x14ac:dyDescent="0.3">
      <c r="A689">
        <v>699</v>
      </c>
      <c r="B689" t="s">
        <v>1449</v>
      </c>
      <c r="C689" t="s">
        <v>2256</v>
      </c>
      <c r="D689" t="s">
        <v>159</v>
      </c>
      <c r="E689" t="s">
        <v>159</v>
      </c>
      <c r="F689">
        <v>6729</v>
      </c>
      <c r="G689" t="s">
        <v>705</v>
      </c>
      <c r="H689" t="s">
        <v>1452</v>
      </c>
      <c r="I689">
        <v>18820</v>
      </c>
      <c r="J689">
        <v>18820</v>
      </c>
      <c r="K689">
        <v>18820</v>
      </c>
      <c r="L689">
        <v>18820</v>
      </c>
      <c r="M689">
        <v>18820</v>
      </c>
      <c r="N689" t="s">
        <v>986</v>
      </c>
    </row>
    <row r="690" spans="1:14" x14ac:dyDescent="0.3">
      <c r="A690">
        <v>699</v>
      </c>
      <c r="B690" t="s">
        <v>1449</v>
      </c>
      <c r="C690" t="s">
        <v>2256</v>
      </c>
      <c r="D690" t="s">
        <v>159</v>
      </c>
      <c r="E690" t="s">
        <v>159</v>
      </c>
      <c r="F690">
        <v>6729</v>
      </c>
      <c r="G690" t="s">
        <v>691</v>
      </c>
      <c r="H690" t="s">
        <v>1451</v>
      </c>
      <c r="I690">
        <v>29941</v>
      </c>
      <c r="J690">
        <v>35545</v>
      </c>
      <c r="K690">
        <v>38909</v>
      </c>
      <c r="L690">
        <v>39890</v>
      </c>
      <c r="M690">
        <v>40897</v>
      </c>
      <c r="N690" t="s">
        <v>986</v>
      </c>
    </row>
    <row r="691" spans="1:14" x14ac:dyDescent="0.3">
      <c r="A691">
        <v>699</v>
      </c>
      <c r="B691" t="s">
        <v>1449</v>
      </c>
      <c r="C691" t="s">
        <v>2256</v>
      </c>
      <c r="D691" t="s">
        <v>159</v>
      </c>
      <c r="E691" t="s">
        <v>159</v>
      </c>
      <c r="F691">
        <v>6729</v>
      </c>
      <c r="G691" t="s">
        <v>686</v>
      </c>
      <c r="I691">
        <v>48797</v>
      </c>
      <c r="J691">
        <v>57931</v>
      </c>
      <c r="K691">
        <v>63413</v>
      </c>
      <c r="L691">
        <v>65013</v>
      </c>
      <c r="M691">
        <v>66653</v>
      </c>
      <c r="N691" t="s">
        <v>986</v>
      </c>
    </row>
    <row r="692" spans="1:14" x14ac:dyDescent="0.3">
      <c r="A692">
        <v>711</v>
      </c>
      <c r="B692" t="s">
        <v>1453</v>
      </c>
      <c r="C692" t="s">
        <v>2256</v>
      </c>
      <c r="D692" t="s">
        <v>1203</v>
      </c>
      <c r="E692" t="s">
        <v>1204</v>
      </c>
      <c r="F692">
        <v>5970</v>
      </c>
      <c r="G692" t="s">
        <v>700</v>
      </c>
      <c r="I692">
        <v>2600</v>
      </c>
      <c r="J692">
        <v>2801</v>
      </c>
      <c r="K692">
        <v>3094</v>
      </c>
      <c r="L692">
        <v>3334</v>
      </c>
      <c r="M692">
        <v>3591</v>
      </c>
      <c r="N692" t="s">
        <v>988</v>
      </c>
    </row>
    <row r="693" spans="1:14" x14ac:dyDescent="0.3">
      <c r="A693">
        <v>711</v>
      </c>
      <c r="B693" t="s">
        <v>1453</v>
      </c>
      <c r="C693" t="s">
        <v>2256</v>
      </c>
      <c r="D693" t="s">
        <v>1203</v>
      </c>
      <c r="E693" t="s">
        <v>1204</v>
      </c>
      <c r="F693">
        <v>5970</v>
      </c>
      <c r="G693" t="s">
        <v>701</v>
      </c>
      <c r="I693">
        <v>20</v>
      </c>
      <c r="J693">
        <v>21</v>
      </c>
      <c r="K693">
        <v>23</v>
      </c>
      <c r="L693">
        <v>25</v>
      </c>
      <c r="M693">
        <v>27</v>
      </c>
      <c r="N693" t="s">
        <v>988</v>
      </c>
    </row>
    <row r="694" spans="1:14" x14ac:dyDescent="0.3">
      <c r="A694">
        <v>711</v>
      </c>
      <c r="B694" t="s">
        <v>1453</v>
      </c>
      <c r="C694" t="s">
        <v>2256</v>
      </c>
      <c r="D694" t="s">
        <v>1203</v>
      </c>
      <c r="E694" t="s">
        <v>1204</v>
      </c>
      <c r="F694">
        <v>5970</v>
      </c>
      <c r="G694" t="s">
        <v>702</v>
      </c>
      <c r="I694">
        <v>174</v>
      </c>
      <c r="J694">
        <v>188</v>
      </c>
      <c r="K694">
        <v>226</v>
      </c>
      <c r="L694">
        <v>243</v>
      </c>
      <c r="M694">
        <v>262</v>
      </c>
      <c r="N694" t="s">
        <v>988</v>
      </c>
    </row>
    <row r="695" spans="1:14" x14ac:dyDescent="0.3">
      <c r="A695">
        <v>711</v>
      </c>
      <c r="B695" t="s">
        <v>1453</v>
      </c>
      <c r="C695" t="s">
        <v>2256</v>
      </c>
      <c r="D695" t="s">
        <v>1203</v>
      </c>
      <c r="E695" t="s">
        <v>1204</v>
      </c>
      <c r="F695">
        <v>5970</v>
      </c>
      <c r="G695" t="s">
        <v>691</v>
      </c>
      <c r="I695">
        <v>1963</v>
      </c>
      <c r="J695">
        <v>2114</v>
      </c>
      <c r="K695">
        <v>2045</v>
      </c>
      <c r="L695">
        <v>2203</v>
      </c>
      <c r="M695">
        <v>2374</v>
      </c>
      <c r="N695" t="s">
        <v>988</v>
      </c>
    </row>
    <row r="696" spans="1:14" x14ac:dyDescent="0.3">
      <c r="A696">
        <v>711</v>
      </c>
      <c r="B696" t="s">
        <v>1453</v>
      </c>
      <c r="C696" t="s">
        <v>2256</v>
      </c>
      <c r="D696" t="s">
        <v>1203</v>
      </c>
      <c r="E696" t="s">
        <v>1204</v>
      </c>
      <c r="F696">
        <v>5970</v>
      </c>
      <c r="G696" t="s">
        <v>686</v>
      </c>
      <c r="I696">
        <v>805</v>
      </c>
      <c r="J696">
        <v>868</v>
      </c>
      <c r="K696">
        <v>889</v>
      </c>
      <c r="L696">
        <v>958</v>
      </c>
      <c r="M696">
        <v>1032</v>
      </c>
      <c r="N696" t="s">
        <v>988</v>
      </c>
    </row>
    <row r="697" spans="1:14" x14ac:dyDescent="0.3">
      <c r="A697">
        <v>711</v>
      </c>
      <c r="B697" t="s">
        <v>1453</v>
      </c>
      <c r="C697" t="s">
        <v>2256</v>
      </c>
      <c r="D697" t="s">
        <v>1203</v>
      </c>
      <c r="E697" t="s">
        <v>1204</v>
      </c>
      <c r="F697">
        <v>5970</v>
      </c>
      <c r="G697" t="s">
        <v>698</v>
      </c>
      <c r="I697">
        <v>714</v>
      </c>
      <c r="J697">
        <v>769</v>
      </c>
      <c r="K697">
        <v>865</v>
      </c>
      <c r="L697">
        <v>931</v>
      </c>
      <c r="M697">
        <v>1003</v>
      </c>
      <c r="N697" t="s">
        <v>988</v>
      </c>
    </row>
    <row r="698" spans="1:14" x14ac:dyDescent="0.3">
      <c r="A698">
        <v>711</v>
      </c>
      <c r="B698" t="s">
        <v>1453</v>
      </c>
      <c r="C698" t="s">
        <v>2256</v>
      </c>
      <c r="D698" t="s">
        <v>1203</v>
      </c>
      <c r="E698" t="s">
        <v>1204</v>
      </c>
      <c r="F698">
        <v>5970</v>
      </c>
      <c r="G698" t="s">
        <v>696</v>
      </c>
      <c r="I698">
        <v>2918</v>
      </c>
      <c r="J698">
        <v>3143</v>
      </c>
      <c r="K698">
        <v>3528</v>
      </c>
      <c r="L698">
        <v>3801</v>
      </c>
      <c r="M698">
        <v>4094</v>
      </c>
      <c r="N698" t="s">
        <v>988</v>
      </c>
    </row>
    <row r="699" spans="1:14" x14ac:dyDescent="0.3">
      <c r="A699">
        <v>727</v>
      </c>
      <c r="B699" t="s">
        <v>825</v>
      </c>
      <c r="C699" t="s">
        <v>2256</v>
      </c>
      <c r="D699" t="s">
        <v>1203</v>
      </c>
      <c r="E699" t="s">
        <v>1204</v>
      </c>
      <c r="F699">
        <v>5697</v>
      </c>
      <c r="G699" t="s">
        <v>686</v>
      </c>
      <c r="H699" t="s">
        <v>2317</v>
      </c>
      <c r="I699">
        <v>2474</v>
      </c>
      <c r="J699">
        <v>2570</v>
      </c>
      <c r="K699">
        <v>2660</v>
      </c>
      <c r="L699">
        <v>2750</v>
      </c>
      <c r="M699">
        <v>2832</v>
      </c>
      <c r="N699" t="s">
        <v>988</v>
      </c>
    </row>
    <row r="700" spans="1:14" x14ac:dyDescent="0.3">
      <c r="A700">
        <v>727</v>
      </c>
      <c r="B700" t="s">
        <v>825</v>
      </c>
      <c r="C700" t="s">
        <v>2256</v>
      </c>
      <c r="D700" t="s">
        <v>1203</v>
      </c>
      <c r="E700" t="s">
        <v>1204</v>
      </c>
      <c r="F700">
        <v>5697</v>
      </c>
      <c r="G700" t="s">
        <v>687</v>
      </c>
      <c r="I700">
        <v>2</v>
      </c>
      <c r="J700">
        <v>2</v>
      </c>
      <c r="K700">
        <v>3</v>
      </c>
      <c r="L700">
        <v>3</v>
      </c>
      <c r="M700">
        <v>3</v>
      </c>
      <c r="N700" t="s">
        <v>988</v>
      </c>
    </row>
    <row r="701" spans="1:14" x14ac:dyDescent="0.3">
      <c r="A701">
        <v>727</v>
      </c>
      <c r="B701" t="s">
        <v>825</v>
      </c>
      <c r="C701" t="s">
        <v>2256</v>
      </c>
      <c r="D701" t="s">
        <v>1203</v>
      </c>
      <c r="E701" t="s">
        <v>1204</v>
      </c>
      <c r="F701">
        <v>5697</v>
      </c>
      <c r="G701" t="s">
        <v>702</v>
      </c>
      <c r="I701">
        <v>3739</v>
      </c>
      <c r="J701">
        <v>3885</v>
      </c>
      <c r="K701">
        <v>4032</v>
      </c>
      <c r="L701">
        <v>4185</v>
      </c>
      <c r="M701">
        <v>4337</v>
      </c>
      <c r="N701" t="s">
        <v>988</v>
      </c>
    </row>
    <row r="702" spans="1:14" x14ac:dyDescent="0.3">
      <c r="A702">
        <v>727</v>
      </c>
      <c r="B702" t="s">
        <v>825</v>
      </c>
      <c r="C702" t="s">
        <v>2256</v>
      </c>
      <c r="D702" t="s">
        <v>1203</v>
      </c>
      <c r="E702" t="s">
        <v>1204</v>
      </c>
      <c r="F702">
        <v>5697</v>
      </c>
      <c r="G702" t="s">
        <v>700</v>
      </c>
      <c r="H702" t="s">
        <v>1457</v>
      </c>
      <c r="I702">
        <v>10292</v>
      </c>
      <c r="J702">
        <v>10687</v>
      </c>
      <c r="K702">
        <v>11084</v>
      </c>
      <c r="L702">
        <v>11245</v>
      </c>
      <c r="M702">
        <v>11407</v>
      </c>
      <c r="N702" t="s">
        <v>988</v>
      </c>
    </row>
    <row r="703" spans="1:14" x14ac:dyDescent="0.3">
      <c r="A703">
        <v>727</v>
      </c>
      <c r="B703" t="s">
        <v>825</v>
      </c>
      <c r="C703" t="s">
        <v>2256</v>
      </c>
      <c r="D703" t="s">
        <v>1203</v>
      </c>
      <c r="E703" t="s">
        <v>1204</v>
      </c>
      <c r="F703">
        <v>5697</v>
      </c>
      <c r="G703" t="s">
        <v>696</v>
      </c>
      <c r="I703">
        <v>17305</v>
      </c>
      <c r="J703">
        <v>18180</v>
      </c>
      <c r="K703">
        <v>19008</v>
      </c>
      <c r="L703">
        <v>19770</v>
      </c>
      <c r="M703">
        <v>20342</v>
      </c>
      <c r="N703" t="s">
        <v>988</v>
      </c>
    </row>
    <row r="704" spans="1:14" x14ac:dyDescent="0.3">
      <c r="A704">
        <v>727</v>
      </c>
      <c r="B704" t="s">
        <v>825</v>
      </c>
      <c r="C704" t="s">
        <v>2256</v>
      </c>
      <c r="D704" t="s">
        <v>1203</v>
      </c>
      <c r="E704" t="s">
        <v>1204</v>
      </c>
      <c r="F704">
        <v>5697</v>
      </c>
      <c r="G704" t="s">
        <v>698</v>
      </c>
      <c r="I704">
        <v>1716</v>
      </c>
      <c r="J704">
        <v>1738</v>
      </c>
      <c r="K704">
        <v>1777</v>
      </c>
      <c r="L704">
        <v>1841</v>
      </c>
      <c r="M704">
        <v>1944</v>
      </c>
      <c r="N704" t="s">
        <v>988</v>
      </c>
    </row>
    <row r="705" spans="1:14" x14ac:dyDescent="0.3">
      <c r="A705">
        <v>727</v>
      </c>
      <c r="B705" t="s">
        <v>825</v>
      </c>
      <c r="C705" t="s">
        <v>2256</v>
      </c>
      <c r="D705" t="s">
        <v>1203</v>
      </c>
      <c r="E705" t="s">
        <v>1204</v>
      </c>
      <c r="F705">
        <v>5697</v>
      </c>
      <c r="G705" t="s">
        <v>692</v>
      </c>
      <c r="H705" t="s">
        <v>1456</v>
      </c>
      <c r="I705">
        <v>700</v>
      </c>
      <c r="J705">
        <v>700</v>
      </c>
      <c r="K705">
        <v>700</v>
      </c>
      <c r="L705">
        <v>700</v>
      </c>
      <c r="M705">
        <v>700</v>
      </c>
      <c r="N705" t="s">
        <v>988</v>
      </c>
    </row>
    <row r="706" spans="1:14" x14ac:dyDescent="0.3">
      <c r="A706">
        <v>731</v>
      </c>
      <c r="B706" t="s">
        <v>1458</v>
      </c>
      <c r="C706" t="s">
        <v>2256</v>
      </c>
      <c r="D706" t="s">
        <v>1203</v>
      </c>
      <c r="E706" t="s">
        <v>1204</v>
      </c>
      <c r="F706">
        <v>5481</v>
      </c>
      <c r="G706" t="s">
        <v>696</v>
      </c>
      <c r="I706">
        <v>1744</v>
      </c>
      <c r="J706">
        <v>2059</v>
      </c>
      <c r="K706">
        <v>2369</v>
      </c>
      <c r="L706">
        <v>2679</v>
      </c>
      <c r="N706" t="s">
        <v>987</v>
      </c>
    </row>
    <row r="707" spans="1:14" x14ac:dyDescent="0.3">
      <c r="A707">
        <v>731</v>
      </c>
      <c r="B707" t="s">
        <v>1458</v>
      </c>
      <c r="C707" t="s">
        <v>2256</v>
      </c>
      <c r="D707" t="s">
        <v>1203</v>
      </c>
      <c r="E707" t="s">
        <v>1204</v>
      </c>
      <c r="F707">
        <v>5481</v>
      </c>
      <c r="G707" t="s">
        <v>698</v>
      </c>
      <c r="I707">
        <v>197</v>
      </c>
      <c r="J707">
        <v>320</v>
      </c>
      <c r="K707">
        <v>442</v>
      </c>
      <c r="L707">
        <v>564</v>
      </c>
      <c r="N707" t="s">
        <v>987</v>
      </c>
    </row>
    <row r="708" spans="1:14" x14ac:dyDescent="0.3">
      <c r="A708">
        <v>731</v>
      </c>
      <c r="B708" t="s">
        <v>1458</v>
      </c>
      <c r="C708" t="s">
        <v>2256</v>
      </c>
      <c r="D708" t="s">
        <v>1203</v>
      </c>
      <c r="E708" t="s">
        <v>1204</v>
      </c>
      <c r="F708">
        <v>5481</v>
      </c>
      <c r="G708" t="s">
        <v>700</v>
      </c>
      <c r="H708" t="s">
        <v>1404</v>
      </c>
      <c r="I708">
        <v>229</v>
      </c>
      <c r="J708">
        <v>388</v>
      </c>
      <c r="K708">
        <v>546</v>
      </c>
      <c r="L708">
        <v>705</v>
      </c>
      <c r="N708" t="s">
        <v>987</v>
      </c>
    </row>
    <row r="709" spans="1:14" x14ac:dyDescent="0.3">
      <c r="A709">
        <v>731</v>
      </c>
      <c r="B709" t="s">
        <v>1458</v>
      </c>
      <c r="C709" t="s">
        <v>2256</v>
      </c>
      <c r="D709" t="s">
        <v>1203</v>
      </c>
      <c r="E709" t="s">
        <v>1204</v>
      </c>
      <c r="F709">
        <v>5481</v>
      </c>
      <c r="G709" t="s">
        <v>701</v>
      </c>
      <c r="I709">
        <v>26</v>
      </c>
      <c r="J709">
        <v>26</v>
      </c>
      <c r="K709">
        <v>26</v>
      </c>
      <c r="L709">
        <v>26</v>
      </c>
      <c r="N709" t="s">
        <v>987</v>
      </c>
    </row>
    <row r="710" spans="1:14" x14ac:dyDescent="0.3">
      <c r="A710">
        <v>731</v>
      </c>
      <c r="B710" t="s">
        <v>1458</v>
      </c>
      <c r="C710" t="s">
        <v>2256</v>
      </c>
      <c r="D710" t="s">
        <v>1203</v>
      </c>
      <c r="E710" t="s">
        <v>1204</v>
      </c>
      <c r="F710">
        <v>5481</v>
      </c>
      <c r="G710" t="s">
        <v>702</v>
      </c>
      <c r="I710">
        <v>160</v>
      </c>
      <c r="J710">
        <v>169</v>
      </c>
      <c r="K710">
        <v>174</v>
      </c>
      <c r="L710">
        <v>179</v>
      </c>
      <c r="N710" t="s">
        <v>987</v>
      </c>
    </row>
    <row r="711" spans="1:14" x14ac:dyDescent="0.3">
      <c r="A711">
        <v>731</v>
      </c>
      <c r="B711" t="s">
        <v>1458</v>
      </c>
      <c r="C711" t="s">
        <v>2256</v>
      </c>
      <c r="D711" t="s">
        <v>1203</v>
      </c>
      <c r="E711" t="s">
        <v>1204</v>
      </c>
      <c r="F711">
        <v>5481</v>
      </c>
      <c r="G711" t="s">
        <v>686</v>
      </c>
      <c r="I711">
        <v>155</v>
      </c>
      <c r="J711">
        <v>196</v>
      </c>
      <c r="K711">
        <v>235</v>
      </c>
      <c r="L711">
        <v>275</v>
      </c>
      <c r="N711" t="s">
        <v>987</v>
      </c>
    </row>
    <row r="712" spans="1:14" x14ac:dyDescent="0.3">
      <c r="A712">
        <v>731</v>
      </c>
      <c r="B712" t="s">
        <v>1458</v>
      </c>
      <c r="C712" t="s">
        <v>2256</v>
      </c>
      <c r="D712" t="s">
        <v>1203</v>
      </c>
      <c r="E712" t="s">
        <v>1204</v>
      </c>
      <c r="F712">
        <v>5481</v>
      </c>
      <c r="G712" t="s">
        <v>691</v>
      </c>
      <c r="I712">
        <v>69</v>
      </c>
      <c r="J712">
        <v>103</v>
      </c>
      <c r="K712">
        <v>128</v>
      </c>
      <c r="L712">
        <v>152</v>
      </c>
      <c r="N712" t="s">
        <v>987</v>
      </c>
    </row>
    <row r="713" spans="1:14" x14ac:dyDescent="0.3">
      <c r="A713">
        <v>737</v>
      </c>
      <c r="B713" t="s">
        <v>1460</v>
      </c>
      <c r="C713" t="s">
        <v>2256</v>
      </c>
      <c r="D713" t="s">
        <v>1203</v>
      </c>
      <c r="E713" t="s">
        <v>1204</v>
      </c>
      <c r="F713">
        <v>7336</v>
      </c>
      <c r="G713" t="s">
        <v>686</v>
      </c>
      <c r="I713">
        <v>111</v>
      </c>
      <c r="J713">
        <v>121</v>
      </c>
      <c r="K713">
        <v>133</v>
      </c>
      <c r="L713">
        <v>146</v>
      </c>
      <c r="N713" t="s">
        <v>987</v>
      </c>
    </row>
    <row r="714" spans="1:14" x14ac:dyDescent="0.3">
      <c r="A714">
        <v>737</v>
      </c>
      <c r="B714" t="s">
        <v>1460</v>
      </c>
      <c r="C714" t="s">
        <v>2256</v>
      </c>
      <c r="D714" t="s">
        <v>1203</v>
      </c>
      <c r="E714" t="s">
        <v>1204</v>
      </c>
      <c r="F714">
        <v>7336</v>
      </c>
      <c r="G714" t="s">
        <v>696</v>
      </c>
      <c r="H714" t="s">
        <v>1461</v>
      </c>
      <c r="I714">
        <v>1199</v>
      </c>
      <c r="J714">
        <v>1314</v>
      </c>
      <c r="K714">
        <v>1440</v>
      </c>
      <c r="L714">
        <v>1578</v>
      </c>
      <c r="N714" t="s">
        <v>987</v>
      </c>
    </row>
    <row r="715" spans="1:14" x14ac:dyDescent="0.3">
      <c r="A715">
        <v>737</v>
      </c>
      <c r="B715" t="s">
        <v>1460</v>
      </c>
      <c r="C715" t="s">
        <v>2256</v>
      </c>
      <c r="D715" t="s">
        <v>1203</v>
      </c>
      <c r="E715" t="s">
        <v>1204</v>
      </c>
      <c r="F715">
        <v>7336</v>
      </c>
      <c r="G715" t="s">
        <v>701</v>
      </c>
      <c r="I715">
        <v>148</v>
      </c>
      <c r="J715">
        <v>162</v>
      </c>
      <c r="K715">
        <v>177</v>
      </c>
      <c r="L715">
        <v>194</v>
      </c>
      <c r="N715" t="s">
        <v>987</v>
      </c>
    </row>
    <row r="716" spans="1:14" x14ac:dyDescent="0.3">
      <c r="A716">
        <v>737</v>
      </c>
      <c r="B716" t="s">
        <v>1460</v>
      </c>
      <c r="C716" t="s">
        <v>2256</v>
      </c>
      <c r="D716" t="s">
        <v>1203</v>
      </c>
      <c r="E716" t="s">
        <v>1204</v>
      </c>
      <c r="F716">
        <v>7336</v>
      </c>
      <c r="G716" t="s">
        <v>700</v>
      </c>
      <c r="H716" t="s">
        <v>2318</v>
      </c>
      <c r="I716">
        <v>277</v>
      </c>
      <c r="J716">
        <v>303</v>
      </c>
      <c r="K716">
        <v>332</v>
      </c>
      <c r="L716">
        <v>364</v>
      </c>
      <c r="N716" t="s">
        <v>987</v>
      </c>
    </row>
    <row r="717" spans="1:14" x14ac:dyDescent="0.3">
      <c r="A717">
        <v>737</v>
      </c>
      <c r="B717" t="s">
        <v>1460</v>
      </c>
      <c r="C717" t="s">
        <v>2256</v>
      </c>
      <c r="D717" t="s">
        <v>1203</v>
      </c>
      <c r="E717" t="s">
        <v>1204</v>
      </c>
      <c r="F717">
        <v>7336</v>
      </c>
      <c r="G717" t="s">
        <v>702</v>
      </c>
      <c r="I717">
        <v>92</v>
      </c>
      <c r="J717">
        <v>101</v>
      </c>
      <c r="K717">
        <v>111</v>
      </c>
      <c r="L717">
        <v>121</v>
      </c>
      <c r="N717" t="s">
        <v>987</v>
      </c>
    </row>
    <row r="718" spans="1:14" x14ac:dyDescent="0.3">
      <c r="A718">
        <v>737</v>
      </c>
      <c r="B718" t="s">
        <v>1460</v>
      </c>
      <c r="C718" t="s">
        <v>2256</v>
      </c>
      <c r="D718" t="s">
        <v>1203</v>
      </c>
      <c r="E718" t="s">
        <v>1204</v>
      </c>
      <c r="F718">
        <v>7336</v>
      </c>
      <c r="G718" t="s">
        <v>687</v>
      </c>
      <c r="I718">
        <v>18</v>
      </c>
      <c r="J718">
        <v>20</v>
      </c>
      <c r="K718">
        <v>22</v>
      </c>
      <c r="L718">
        <v>24</v>
      </c>
      <c r="N718" t="s">
        <v>987</v>
      </c>
    </row>
    <row r="719" spans="1:14" x14ac:dyDescent="0.3">
      <c r="A719">
        <v>739</v>
      </c>
      <c r="B719" t="s">
        <v>1463</v>
      </c>
      <c r="C719" t="s">
        <v>2256</v>
      </c>
      <c r="D719" t="s">
        <v>159</v>
      </c>
      <c r="E719" t="s">
        <v>159</v>
      </c>
      <c r="F719">
        <v>7839</v>
      </c>
      <c r="G719" t="s">
        <v>700</v>
      </c>
      <c r="I719">
        <v>24</v>
      </c>
      <c r="J719">
        <v>24</v>
      </c>
      <c r="K719">
        <v>32</v>
      </c>
      <c r="L719">
        <v>37</v>
      </c>
      <c r="M719">
        <v>43</v>
      </c>
      <c r="N719" t="s">
        <v>987</v>
      </c>
    </row>
    <row r="720" spans="1:14" x14ac:dyDescent="0.3">
      <c r="A720">
        <v>739</v>
      </c>
      <c r="B720" t="s">
        <v>1463</v>
      </c>
      <c r="C720" t="s">
        <v>2256</v>
      </c>
      <c r="D720" t="s">
        <v>159</v>
      </c>
      <c r="E720" t="s">
        <v>159</v>
      </c>
      <c r="F720">
        <v>7839</v>
      </c>
      <c r="G720" t="s">
        <v>702</v>
      </c>
      <c r="I720">
        <v>218</v>
      </c>
      <c r="J720">
        <v>253</v>
      </c>
      <c r="K720">
        <v>287</v>
      </c>
      <c r="L720">
        <v>331</v>
      </c>
      <c r="M720">
        <v>382</v>
      </c>
      <c r="N720" t="s">
        <v>987</v>
      </c>
    </row>
    <row r="721" spans="1:14" x14ac:dyDescent="0.3">
      <c r="A721">
        <v>739</v>
      </c>
      <c r="B721" t="s">
        <v>1463</v>
      </c>
      <c r="C721" t="s">
        <v>2256</v>
      </c>
      <c r="D721" t="s">
        <v>159</v>
      </c>
      <c r="E721" t="s">
        <v>159</v>
      </c>
      <c r="F721">
        <v>7839</v>
      </c>
      <c r="G721" t="s">
        <v>686</v>
      </c>
      <c r="I721">
        <v>142</v>
      </c>
      <c r="J721">
        <v>165</v>
      </c>
      <c r="K721">
        <v>187</v>
      </c>
      <c r="L721">
        <v>216</v>
      </c>
      <c r="M721">
        <v>249</v>
      </c>
      <c r="N721" t="s">
        <v>987</v>
      </c>
    </row>
    <row r="722" spans="1:14" x14ac:dyDescent="0.3">
      <c r="A722">
        <v>739</v>
      </c>
      <c r="B722" t="s">
        <v>1463</v>
      </c>
      <c r="C722" t="s">
        <v>2256</v>
      </c>
      <c r="D722" t="s">
        <v>159</v>
      </c>
      <c r="E722" t="s">
        <v>159</v>
      </c>
      <c r="F722">
        <v>7839</v>
      </c>
      <c r="G722" t="s">
        <v>687</v>
      </c>
      <c r="I722">
        <v>1039</v>
      </c>
      <c r="J722">
        <v>1203</v>
      </c>
      <c r="K722">
        <v>1367</v>
      </c>
      <c r="L722">
        <v>1576</v>
      </c>
      <c r="M722">
        <v>1817</v>
      </c>
      <c r="N722" t="s">
        <v>987</v>
      </c>
    </row>
    <row r="723" spans="1:14" x14ac:dyDescent="0.3">
      <c r="A723">
        <v>2998</v>
      </c>
      <c r="B723" t="s">
        <v>1464</v>
      </c>
      <c r="C723" t="s">
        <v>2256</v>
      </c>
      <c r="D723" t="s">
        <v>1203</v>
      </c>
      <c r="E723" t="s">
        <v>1204</v>
      </c>
      <c r="F723">
        <v>7992</v>
      </c>
      <c r="G723" t="s">
        <v>701</v>
      </c>
      <c r="I723">
        <v>94.968564929999999</v>
      </c>
      <c r="J723">
        <v>148</v>
      </c>
      <c r="K723">
        <v>201.91259729999999</v>
      </c>
      <c r="L723">
        <v>255</v>
      </c>
      <c r="M723">
        <v>255</v>
      </c>
      <c r="N723" t="s">
        <v>987</v>
      </c>
    </row>
    <row r="724" spans="1:14" x14ac:dyDescent="0.3">
      <c r="A724">
        <v>2998</v>
      </c>
      <c r="B724" t="s">
        <v>1464</v>
      </c>
      <c r="C724" t="s">
        <v>2256</v>
      </c>
      <c r="D724" t="s">
        <v>1203</v>
      </c>
      <c r="E724" t="s">
        <v>1204</v>
      </c>
      <c r="F724">
        <v>7992</v>
      </c>
      <c r="G724" t="s">
        <v>698</v>
      </c>
      <c r="I724">
        <v>119.99548590000001</v>
      </c>
      <c r="J724">
        <v>221</v>
      </c>
      <c r="K724">
        <v>321.99246069999998</v>
      </c>
      <c r="L724">
        <v>423</v>
      </c>
      <c r="M724">
        <v>423</v>
      </c>
      <c r="N724" t="s">
        <v>987</v>
      </c>
    </row>
    <row r="725" spans="1:14" x14ac:dyDescent="0.3">
      <c r="A725">
        <v>2998</v>
      </c>
      <c r="B725" t="s">
        <v>1464</v>
      </c>
      <c r="C725" t="s">
        <v>2256</v>
      </c>
      <c r="D725" t="s">
        <v>1203</v>
      </c>
      <c r="E725" t="s">
        <v>1204</v>
      </c>
      <c r="F725">
        <v>7992</v>
      </c>
      <c r="G725" t="s">
        <v>686</v>
      </c>
      <c r="I725">
        <v>119.8874756</v>
      </c>
      <c r="J725">
        <v>159</v>
      </c>
      <c r="K725">
        <v>198.4198145</v>
      </c>
      <c r="L725">
        <v>238</v>
      </c>
      <c r="M725">
        <v>282</v>
      </c>
      <c r="N725" t="s">
        <v>987</v>
      </c>
    </row>
    <row r="726" spans="1:14" x14ac:dyDescent="0.3">
      <c r="A726">
        <v>2998</v>
      </c>
      <c r="B726" t="s">
        <v>1464</v>
      </c>
      <c r="C726" t="s">
        <v>2256</v>
      </c>
      <c r="D726" t="s">
        <v>1203</v>
      </c>
      <c r="E726" t="s">
        <v>1204</v>
      </c>
      <c r="F726">
        <v>7992</v>
      </c>
      <c r="G726" t="s">
        <v>687</v>
      </c>
      <c r="H726" t="s">
        <v>2319</v>
      </c>
      <c r="I726">
        <v>4.5742767200000003</v>
      </c>
      <c r="J726">
        <v>6</v>
      </c>
      <c r="K726">
        <v>7.5706585200000003</v>
      </c>
      <c r="L726">
        <v>9</v>
      </c>
      <c r="M726">
        <v>11</v>
      </c>
      <c r="N726" t="s">
        <v>987</v>
      </c>
    </row>
    <row r="727" spans="1:14" x14ac:dyDescent="0.3">
      <c r="A727">
        <v>2998</v>
      </c>
      <c r="B727" t="s">
        <v>1464</v>
      </c>
      <c r="C727" t="s">
        <v>2256</v>
      </c>
      <c r="D727" t="s">
        <v>1203</v>
      </c>
      <c r="E727" t="s">
        <v>1204</v>
      </c>
      <c r="F727">
        <v>7992</v>
      </c>
      <c r="G727" t="s">
        <v>702</v>
      </c>
      <c r="I727">
        <v>231.7402045</v>
      </c>
      <c r="J727">
        <v>172</v>
      </c>
      <c r="K727">
        <v>112.7403521</v>
      </c>
      <c r="L727">
        <v>53</v>
      </c>
      <c r="M727">
        <v>53</v>
      </c>
      <c r="N727" t="s">
        <v>987</v>
      </c>
    </row>
    <row r="728" spans="1:14" x14ac:dyDescent="0.3">
      <c r="A728">
        <v>2998</v>
      </c>
      <c r="B728" t="s">
        <v>1464</v>
      </c>
      <c r="C728" t="s">
        <v>2256</v>
      </c>
      <c r="D728" t="s">
        <v>1203</v>
      </c>
      <c r="E728" t="s">
        <v>1204</v>
      </c>
      <c r="F728">
        <v>7992</v>
      </c>
      <c r="G728" t="s">
        <v>703</v>
      </c>
      <c r="I728">
        <v>5.0805237119999997</v>
      </c>
      <c r="J728">
        <v>9</v>
      </c>
      <c r="K728">
        <v>12.747792990000001</v>
      </c>
      <c r="L728">
        <v>17</v>
      </c>
      <c r="M728">
        <v>17</v>
      </c>
      <c r="N728" t="s">
        <v>987</v>
      </c>
    </row>
    <row r="729" spans="1:14" x14ac:dyDescent="0.3">
      <c r="A729">
        <v>2998</v>
      </c>
      <c r="B729" t="s">
        <v>1464</v>
      </c>
      <c r="C729" t="s">
        <v>2256</v>
      </c>
      <c r="D729" t="s">
        <v>1203</v>
      </c>
      <c r="E729" t="s">
        <v>1204</v>
      </c>
      <c r="F729">
        <v>7992</v>
      </c>
      <c r="G729" t="s">
        <v>696</v>
      </c>
      <c r="I729">
        <v>648.75567660000002</v>
      </c>
      <c r="J729">
        <v>637</v>
      </c>
      <c r="K729">
        <v>624.80210790000001</v>
      </c>
      <c r="L729">
        <v>613</v>
      </c>
      <c r="M729">
        <v>883</v>
      </c>
      <c r="N729" t="s">
        <v>987</v>
      </c>
    </row>
    <row r="730" spans="1:14" x14ac:dyDescent="0.3">
      <c r="A730">
        <v>2998</v>
      </c>
      <c r="B730" t="s">
        <v>1464</v>
      </c>
      <c r="C730" t="s">
        <v>2256</v>
      </c>
      <c r="D730" t="s">
        <v>1203</v>
      </c>
      <c r="E730" t="s">
        <v>1204</v>
      </c>
      <c r="F730">
        <v>7992</v>
      </c>
      <c r="G730" t="s">
        <v>700</v>
      </c>
      <c r="H730" t="s">
        <v>1465</v>
      </c>
      <c r="I730">
        <v>232.93357499999999</v>
      </c>
      <c r="J730">
        <v>268</v>
      </c>
      <c r="K730">
        <v>302.13405160000002</v>
      </c>
      <c r="L730">
        <v>337</v>
      </c>
      <c r="M730">
        <v>383</v>
      </c>
      <c r="N730" t="s">
        <v>987</v>
      </c>
    </row>
    <row r="731" spans="1:14" x14ac:dyDescent="0.3">
      <c r="A731">
        <v>759</v>
      </c>
      <c r="B731" t="s">
        <v>1467</v>
      </c>
      <c r="C731" t="s">
        <v>2256</v>
      </c>
      <c r="D731" t="s">
        <v>159</v>
      </c>
      <c r="E731" t="s">
        <v>159</v>
      </c>
      <c r="F731">
        <v>7834</v>
      </c>
      <c r="G731" t="s">
        <v>687</v>
      </c>
      <c r="H731" t="s">
        <v>2320</v>
      </c>
      <c r="I731">
        <v>1</v>
      </c>
      <c r="J731">
        <v>1</v>
      </c>
      <c r="K731">
        <v>1</v>
      </c>
      <c r="L731">
        <v>2</v>
      </c>
      <c r="M731">
        <v>2</v>
      </c>
      <c r="N731" t="s">
        <v>988</v>
      </c>
    </row>
    <row r="732" spans="1:14" x14ac:dyDescent="0.3">
      <c r="A732">
        <v>759</v>
      </c>
      <c r="B732" t="s">
        <v>1467</v>
      </c>
      <c r="C732" t="s">
        <v>2256</v>
      </c>
      <c r="D732" t="s">
        <v>159</v>
      </c>
      <c r="E732" t="s">
        <v>159</v>
      </c>
      <c r="F732">
        <v>7834</v>
      </c>
      <c r="G732" t="s">
        <v>687</v>
      </c>
      <c r="H732" t="s">
        <v>2321</v>
      </c>
      <c r="I732">
        <v>2</v>
      </c>
      <c r="J732">
        <v>3</v>
      </c>
      <c r="K732">
        <v>3</v>
      </c>
      <c r="L732">
        <v>3</v>
      </c>
      <c r="M732">
        <v>4</v>
      </c>
      <c r="N732" t="s">
        <v>988</v>
      </c>
    </row>
    <row r="733" spans="1:14" x14ac:dyDescent="0.3">
      <c r="A733">
        <v>759</v>
      </c>
      <c r="B733" t="s">
        <v>1467</v>
      </c>
      <c r="C733" t="s">
        <v>2256</v>
      </c>
      <c r="D733" t="s">
        <v>159</v>
      </c>
      <c r="E733" t="s">
        <v>159</v>
      </c>
      <c r="F733">
        <v>7834</v>
      </c>
      <c r="G733" t="s">
        <v>687</v>
      </c>
      <c r="H733" t="s">
        <v>2322</v>
      </c>
      <c r="I733">
        <v>136</v>
      </c>
      <c r="J733">
        <v>136</v>
      </c>
      <c r="K733">
        <v>136</v>
      </c>
      <c r="L733">
        <v>136</v>
      </c>
      <c r="M733">
        <v>136</v>
      </c>
      <c r="N733" t="s">
        <v>988</v>
      </c>
    </row>
    <row r="734" spans="1:14" x14ac:dyDescent="0.3">
      <c r="A734">
        <v>759</v>
      </c>
      <c r="B734" t="s">
        <v>1467</v>
      </c>
      <c r="C734" t="s">
        <v>2256</v>
      </c>
      <c r="D734" t="s">
        <v>159</v>
      </c>
      <c r="E734" t="s">
        <v>159</v>
      </c>
      <c r="F734">
        <v>7834</v>
      </c>
      <c r="G734" t="s">
        <v>687</v>
      </c>
      <c r="H734" t="s">
        <v>2323</v>
      </c>
      <c r="I734">
        <v>21</v>
      </c>
      <c r="J734">
        <v>21</v>
      </c>
      <c r="K734">
        <v>21</v>
      </c>
      <c r="L734">
        <v>21</v>
      </c>
      <c r="M734">
        <v>21</v>
      </c>
      <c r="N734" t="s">
        <v>988</v>
      </c>
    </row>
    <row r="735" spans="1:14" x14ac:dyDescent="0.3">
      <c r="A735">
        <v>759</v>
      </c>
      <c r="B735" t="s">
        <v>1467</v>
      </c>
      <c r="C735" t="s">
        <v>2256</v>
      </c>
      <c r="D735" t="s">
        <v>159</v>
      </c>
      <c r="E735" t="s">
        <v>159</v>
      </c>
      <c r="F735">
        <v>7834</v>
      </c>
      <c r="G735" t="s">
        <v>686</v>
      </c>
      <c r="H735" t="s">
        <v>2324</v>
      </c>
      <c r="I735">
        <v>678</v>
      </c>
      <c r="J735">
        <v>755</v>
      </c>
      <c r="K735">
        <v>780</v>
      </c>
      <c r="L735">
        <v>781</v>
      </c>
      <c r="M735">
        <v>793</v>
      </c>
      <c r="N735" t="s">
        <v>988</v>
      </c>
    </row>
    <row r="736" spans="1:14" x14ac:dyDescent="0.3">
      <c r="A736">
        <v>759</v>
      </c>
      <c r="B736" t="s">
        <v>1467</v>
      </c>
      <c r="C736" t="s">
        <v>2256</v>
      </c>
      <c r="D736" t="s">
        <v>159</v>
      </c>
      <c r="E736" t="s">
        <v>159</v>
      </c>
      <c r="F736">
        <v>7834</v>
      </c>
      <c r="G736" t="s">
        <v>687</v>
      </c>
      <c r="H736" t="s">
        <v>1260</v>
      </c>
      <c r="I736">
        <v>376</v>
      </c>
      <c r="J736">
        <v>376</v>
      </c>
      <c r="K736">
        <v>376</v>
      </c>
      <c r="L736">
        <v>188</v>
      </c>
      <c r="M736">
        <v>188</v>
      </c>
      <c r="N736" t="s">
        <v>988</v>
      </c>
    </row>
    <row r="737" spans="1:14" x14ac:dyDescent="0.3">
      <c r="A737">
        <v>759</v>
      </c>
      <c r="B737" t="s">
        <v>1467</v>
      </c>
      <c r="C737" t="s">
        <v>2256</v>
      </c>
      <c r="D737" t="s">
        <v>159</v>
      </c>
      <c r="E737" t="s">
        <v>159</v>
      </c>
      <c r="F737">
        <v>7834</v>
      </c>
      <c r="G737" t="s">
        <v>698</v>
      </c>
      <c r="I737">
        <v>2043</v>
      </c>
      <c r="J737">
        <v>2287</v>
      </c>
      <c r="K737">
        <v>2367</v>
      </c>
      <c r="L737">
        <v>2405</v>
      </c>
      <c r="M737">
        <v>2443</v>
      </c>
      <c r="N737" t="s">
        <v>988</v>
      </c>
    </row>
    <row r="738" spans="1:14" x14ac:dyDescent="0.3">
      <c r="A738">
        <v>759</v>
      </c>
      <c r="B738" t="s">
        <v>1467</v>
      </c>
      <c r="C738" t="s">
        <v>2256</v>
      </c>
      <c r="D738" t="s">
        <v>159</v>
      </c>
      <c r="E738" t="s">
        <v>159</v>
      </c>
      <c r="F738">
        <v>7834</v>
      </c>
      <c r="G738" t="s">
        <v>700</v>
      </c>
      <c r="I738">
        <v>649</v>
      </c>
      <c r="J738">
        <v>727</v>
      </c>
      <c r="K738">
        <v>752</v>
      </c>
      <c r="L738">
        <v>764</v>
      </c>
      <c r="M738">
        <v>776</v>
      </c>
      <c r="N738" t="s">
        <v>988</v>
      </c>
    </row>
    <row r="739" spans="1:14" x14ac:dyDescent="0.3">
      <c r="A739">
        <v>759</v>
      </c>
      <c r="B739" t="s">
        <v>1467</v>
      </c>
      <c r="C739" t="s">
        <v>2256</v>
      </c>
      <c r="D739" t="s">
        <v>159</v>
      </c>
      <c r="E739" t="s">
        <v>159</v>
      </c>
      <c r="F739">
        <v>7834</v>
      </c>
      <c r="G739" t="s">
        <v>703</v>
      </c>
      <c r="I739">
        <v>522</v>
      </c>
      <c r="J739">
        <v>584</v>
      </c>
      <c r="K739">
        <v>604</v>
      </c>
      <c r="L739">
        <v>614</v>
      </c>
      <c r="M739">
        <v>624</v>
      </c>
      <c r="N739" t="s">
        <v>988</v>
      </c>
    </row>
    <row r="740" spans="1:14" x14ac:dyDescent="0.3">
      <c r="A740">
        <v>759</v>
      </c>
      <c r="B740" t="s">
        <v>1467</v>
      </c>
      <c r="C740" t="s">
        <v>2256</v>
      </c>
      <c r="D740" t="s">
        <v>159</v>
      </c>
      <c r="E740" t="s">
        <v>159</v>
      </c>
      <c r="F740">
        <v>7834</v>
      </c>
      <c r="G740" t="s">
        <v>702</v>
      </c>
      <c r="I740">
        <v>1329</v>
      </c>
      <c r="J740">
        <v>1489</v>
      </c>
      <c r="K740">
        <v>1540</v>
      </c>
      <c r="L740">
        <v>1565</v>
      </c>
      <c r="M740">
        <v>1590</v>
      </c>
      <c r="N740" t="s">
        <v>988</v>
      </c>
    </row>
    <row r="741" spans="1:14" x14ac:dyDescent="0.3">
      <c r="A741">
        <v>759</v>
      </c>
      <c r="B741" t="s">
        <v>1467</v>
      </c>
      <c r="C741" t="s">
        <v>2256</v>
      </c>
      <c r="D741" t="s">
        <v>159</v>
      </c>
      <c r="E741" t="s">
        <v>159</v>
      </c>
      <c r="F741">
        <v>7834</v>
      </c>
      <c r="G741" t="s">
        <v>696</v>
      </c>
      <c r="I741">
        <v>6236</v>
      </c>
      <c r="J741">
        <v>6983</v>
      </c>
      <c r="K741">
        <v>7226</v>
      </c>
      <c r="L741">
        <v>7342</v>
      </c>
      <c r="M741">
        <v>7458</v>
      </c>
      <c r="N741" t="s">
        <v>988</v>
      </c>
    </row>
    <row r="742" spans="1:14" x14ac:dyDescent="0.3">
      <c r="A742">
        <v>775</v>
      </c>
      <c r="B742" t="s">
        <v>924</v>
      </c>
      <c r="C742" t="s">
        <v>2256</v>
      </c>
      <c r="D742" t="s">
        <v>1203</v>
      </c>
      <c r="E742" t="s">
        <v>1204</v>
      </c>
      <c r="F742">
        <v>5478</v>
      </c>
      <c r="G742" t="s">
        <v>687</v>
      </c>
      <c r="H742" t="s">
        <v>2325</v>
      </c>
      <c r="I742">
        <v>67890</v>
      </c>
      <c r="J742">
        <v>69350</v>
      </c>
      <c r="K742">
        <v>70810</v>
      </c>
      <c r="L742">
        <v>73365</v>
      </c>
      <c r="M742">
        <v>76285</v>
      </c>
      <c r="N742" t="s">
        <v>987</v>
      </c>
    </row>
    <row r="743" spans="1:14" x14ac:dyDescent="0.3">
      <c r="A743">
        <v>784</v>
      </c>
      <c r="B743" t="s">
        <v>1475</v>
      </c>
      <c r="C743" t="s">
        <v>2256</v>
      </c>
      <c r="D743" t="s">
        <v>159</v>
      </c>
      <c r="E743" t="s">
        <v>159</v>
      </c>
      <c r="F743">
        <v>5767</v>
      </c>
      <c r="G743" t="s">
        <v>1844</v>
      </c>
      <c r="I743">
        <v>34</v>
      </c>
      <c r="J743">
        <v>38</v>
      </c>
      <c r="K743">
        <v>41</v>
      </c>
      <c r="L743">
        <v>45</v>
      </c>
      <c r="M743">
        <v>49</v>
      </c>
      <c r="N743" t="s">
        <v>988</v>
      </c>
    </row>
    <row r="744" spans="1:14" x14ac:dyDescent="0.3">
      <c r="A744">
        <v>784</v>
      </c>
      <c r="B744" t="s">
        <v>1475</v>
      </c>
      <c r="C744" t="s">
        <v>2256</v>
      </c>
      <c r="D744" t="s">
        <v>159</v>
      </c>
      <c r="E744" t="s">
        <v>159</v>
      </c>
      <c r="F744">
        <v>5767</v>
      </c>
      <c r="G744" t="s">
        <v>702</v>
      </c>
      <c r="I744">
        <v>700</v>
      </c>
      <c r="J744">
        <v>766</v>
      </c>
      <c r="K744">
        <v>837</v>
      </c>
      <c r="L744">
        <v>915</v>
      </c>
      <c r="M744">
        <v>1001</v>
      </c>
      <c r="N744" t="s">
        <v>988</v>
      </c>
    </row>
    <row r="745" spans="1:14" x14ac:dyDescent="0.3">
      <c r="A745">
        <v>784</v>
      </c>
      <c r="B745" t="s">
        <v>1475</v>
      </c>
      <c r="C745" t="s">
        <v>2256</v>
      </c>
      <c r="D745" t="s">
        <v>159</v>
      </c>
      <c r="E745" t="s">
        <v>159</v>
      </c>
      <c r="F745">
        <v>5767</v>
      </c>
      <c r="G745" t="s">
        <v>701</v>
      </c>
      <c r="I745">
        <v>174</v>
      </c>
      <c r="J745">
        <v>190</v>
      </c>
      <c r="K745">
        <v>208</v>
      </c>
      <c r="L745">
        <v>227</v>
      </c>
      <c r="M745">
        <v>248</v>
      </c>
      <c r="N745" t="s">
        <v>988</v>
      </c>
    </row>
    <row r="746" spans="1:14" x14ac:dyDescent="0.3">
      <c r="A746">
        <v>784</v>
      </c>
      <c r="B746" t="s">
        <v>1475</v>
      </c>
      <c r="C746" t="s">
        <v>2256</v>
      </c>
      <c r="D746" t="s">
        <v>159</v>
      </c>
      <c r="E746" t="s">
        <v>159</v>
      </c>
      <c r="F746">
        <v>5767</v>
      </c>
      <c r="G746" t="s">
        <v>687</v>
      </c>
      <c r="I746">
        <v>325</v>
      </c>
      <c r="J746">
        <v>355</v>
      </c>
      <c r="K746">
        <v>389</v>
      </c>
      <c r="L746">
        <v>425</v>
      </c>
      <c r="M746">
        <v>464</v>
      </c>
      <c r="N746" t="s">
        <v>988</v>
      </c>
    </row>
    <row r="747" spans="1:14" x14ac:dyDescent="0.3">
      <c r="A747">
        <v>784</v>
      </c>
      <c r="B747" t="s">
        <v>1475</v>
      </c>
      <c r="C747" t="s">
        <v>2256</v>
      </c>
      <c r="D747" t="s">
        <v>159</v>
      </c>
      <c r="E747" t="s">
        <v>159</v>
      </c>
      <c r="F747">
        <v>5767</v>
      </c>
      <c r="G747" t="s">
        <v>700</v>
      </c>
      <c r="I747">
        <v>1030</v>
      </c>
      <c r="J747">
        <v>1126</v>
      </c>
      <c r="K747">
        <v>1231</v>
      </c>
      <c r="L747">
        <v>1346</v>
      </c>
      <c r="M747">
        <v>1472</v>
      </c>
      <c r="N747" t="s">
        <v>988</v>
      </c>
    </row>
    <row r="748" spans="1:14" x14ac:dyDescent="0.3">
      <c r="A748">
        <v>784</v>
      </c>
      <c r="B748" t="s">
        <v>1475</v>
      </c>
      <c r="C748" t="s">
        <v>2256</v>
      </c>
      <c r="D748" t="s">
        <v>159</v>
      </c>
      <c r="E748" t="s">
        <v>159</v>
      </c>
      <c r="F748">
        <v>5767</v>
      </c>
      <c r="G748" t="s">
        <v>698</v>
      </c>
      <c r="I748">
        <v>1031</v>
      </c>
      <c r="J748">
        <v>1127</v>
      </c>
      <c r="K748">
        <v>1232</v>
      </c>
      <c r="L748">
        <v>1347</v>
      </c>
      <c r="M748">
        <v>1473</v>
      </c>
      <c r="N748" t="s">
        <v>988</v>
      </c>
    </row>
    <row r="749" spans="1:14" x14ac:dyDescent="0.3">
      <c r="A749">
        <v>784</v>
      </c>
      <c r="B749" t="s">
        <v>1475</v>
      </c>
      <c r="C749" t="s">
        <v>2256</v>
      </c>
      <c r="D749" t="s">
        <v>159</v>
      </c>
      <c r="E749" t="s">
        <v>159</v>
      </c>
      <c r="F749">
        <v>5767</v>
      </c>
      <c r="G749" t="s">
        <v>696</v>
      </c>
      <c r="I749">
        <v>5108</v>
      </c>
      <c r="J749">
        <v>5584</v>
      </c>
      <c r="K749">
        <v>6106</v>
      </c>
      <c r="L749">
        <v>6675</v>
      </c>
      <c r="M749">
        <v>7298</v>
      </c>
      <c r="N749" t="s">
        <v>988</v>
      </c>
    </row>
    <row r="750" spans="1:14" x14ac:dyDescent="0.3">
      <c r="A750">
        <v>785</v>
      </c>
      <c r="B750" t="s">
        <v>1476</v>
      </c>
      <c r="C750" t="s">
        <v>2256</v>
      </c>
      <c r="D750" t="s">
        <v>159</v>
      </c>
      <c r="E750" t="s">
        <v>159</v>
      </c>
      <c r="F750">
        <v>5655</v>
      </c>
      <c r="G750" t="s">
        <v>687</v>
      </c>
      <c r="H750" t="s">
        <v>1477</v>
      </c>
      <c r="I750">
        <v>29</v>
      </c>
      <c r="J750">
        <v>31</v>
      </c>
      <c r="K750">
        <v>33</v>
      </c>
      <c r="L750">
        <v>34</v>
      </c>
      <c r="M750">
        <v>36</v>
      </c>
      <c r="N750" t="s">
        <v>988</v>
      </c>
    </row>
    <row r="751" spans="1:14" x14ac:dyDescent="0.3">
      <c r="A751">
        <v>785</v>
      </c>
      <c r="B751" t="s">
        <v>1476</v>
      </c>
      <c r="C751" t="s">
        <v>2256</v>
      </c>
      <c r="D751" t="s">
        <v>159</v>
      </c>
      <c r="E751" t="s">
        <v>159</v>
      </c>
      <c r="F751">
        <v>5655</v>
      </c>
      <c r="G751" t="s">
        <v>696</v>
      </c>
      <c r="I751">
        <v>804</v>
      </c>
      <c r="J751">
        <v>851</v>
      </c>
      <c r="K751">
        <v>898</v>
      </c>
      <c r="L751">
        <v>945.4</v>
      </c>
      <c r="M751">
        <v>993</v>
      </c>
      <c r="N751" t="s">
        <v>988</v>
      </c>
    </row>
    <row r="752" spans="1:14" x14ac:dyDescent="0.3">
      <c r="A752">
        <v>785</v>
      </c>
      <c r="B752" t="s">
        <v>1476</v>
      </c>
      <c r="C752" t="s">
        <v>2256</v>
      </c>
      <c r="D752" t="s">
        <v>159</v>
      </c>
      <c r="E752" t="s">
        <v>159</v>
      </c>
      <c r="F752">
        <v>5655</v>
      </c>
      <c r="G752" t="s">
        <v>698</v>
      </c>
      <c r="I752">
        <v>17</v>
      </c>
      <c r="J752">
        <v>18</v>
      </c>
      <c r="K752">
        <v>19</v>
      </c>
      <c r="L752">
        <v>20.399999999999999</v>
      </c>
      <c r="M752">
        <v>21</v>
      </c>
      <c r="N752" t="s">
        <v>988</v>
      </c>
    </row>
    <row r="753" spans="1:14" x14ac:dyDescent="0.3">
      <c r="A753">
        <v>787</v>
      </c>
      <c r="B753" t="s">
        <v>1478</v>
      </c>
      <c r="C753" t="s">
        <v>2256</v>
      </c>
      <c r="D753" t="s">
        <v>1203</v>
      </c>
      <c r="E753" t="s">
        <v>1204</v>
      </c>
      <c r="F753">
        <v>5718</v>
      </c>
      <c r="G753" t="s">
        <v>700</v>
      </c>
      <c r="I753">
        <v>148.9084</v>
      </c>
      <c r="J753">
        <v>171.06549999999999</v>
      </c>
      <c r="K753">
        <v>214.17619999999999</v>
      </c>
      <c r="L753">
        <v>333.6592</v>
      </c>
      <c r="M753">
        <v>452.26459999999997</v>
      </c>
      <c r="N753" t="s">
        <v>987</v>
      </c>
    </row>
    <row r="754" spans="1:14" x14ac:dyDescent="0.3">
      <c r="A754">
        <v>787</v>
      </c>
      <c r="B754" t="s">
        <v>1478</v>
      </c>
      <c r="C754" t="s">
        <v>2256</v>
      </c>
      <c r="D754" t="s">
        <v>1203</v>
      </c>
      <c r="E754" t="s">
        <v>1204</v>
      </c>
      <c r="F754">
        <v>5718</v>
      </c>
      <c r="G754" t="s">
        <v>696</v>
      </c>
      <c r="I754">
        <v>475.72500000000002</v>
      </c>
      <c r="J754">
        <v>479.30919999999998</v>
      </c>
      <c r="K754">
        <v>487.45519999999999</v>
      </c>
      <c r="L754">
        <v>499.83710000000002</v>
      </c>
      <c r="M754">
        <v>513.52229999999997</v>
      </c>
      <c r="N754" t="s">
        <v>987</v>
      </c>
    </row>
    <row r="755" spans="1:14" x14ac:dyDescent="0.3">
      <c r="A755">
        <v>787</v>
      </c>
      <c r="B755" t="s">
        <v>1478</v>
      </c>
      <c r="C755" t="s">
        <v>2256</v>
      </c>
      <c r="D755" t="s">
        <v>1203</v>
      </c>
      <c r="E755" t="s">
        <v>1204</v>
      </c>
      <c r="F755">
        <v>5718</v>
      </c>
      <c r="G755" t="s">
        <v>701</v>
      </c>
      <c r="I755">
        <v>8.1460000000000008</v>
      </c>
      <c r="J755">
        <v>9.1234999999999999</v>
      </c>
      <c r="K755">
        <v>10.752700000000001</v>
      </c>
      <c r="L755">
        <v>15.966100000000001</v>
      </c>
      <c r="M755">
        <v>21.505400000000002</v>
      </c>
      <c r="N755" t="s">
        <v>987</v>
      </c>
    </row>
    <row r="756" spans="1:14" x14ac:dyDescent="0.3">
      <c r="A756">
        <v>787</v>
      </c>
      <c r="B756" t="s">
        <v>1478</v>
      </c>
      <c r="C756" t="s">
        <v>2256</v>
      </c>
      <c r="D756" t="s">
        <v>1203</v>
      </c>
      <c r="E756" t="s">
        <v>1204</v>
      </c>
      <c r="F756">
        <v>5718</v>
      </c>
      <c r="G756" t="s">
        <v>686</v>
      </c>
      <c r="I756">
        <v>59.302700000000002</v>
      </c>
      <c r="J756">
        <v>61.583599999999997</v>
      </c>
      <c r="K756">
        <v>66.145300000000006</v>
      </c>
      <c r="L756">
        <v>77.2239</v>
      </c>
      <c r="M756">
        <v>90.257400000000004</v>
      </c>
      <c r="N756" t="s">
        <v>987</v>
      </c>
    </row>
    <row r="757" spans="1:14" x14ac:dyDescent="0.3">
      <c r="A757">
        <v>793</v>
      </c>
      <c r="B757" t="s">
        <v>1479</v>
      </c>
      <c r="C757" t="s">
        <v>2256</v>
      </c>
      <c r="D757" t="s">
        <v>159</v>
      </c>
      <c r="E757" t="s">
        <v>159</v>
      </c>
      <c r="F757">
        <v>5477</v>
      </c>
      <c r="G757" t="s">
        <v>700</v>
      </c>
      <c r="H757" t="s">
        <v>700</v>
      </c>
      <c r="I757">
        <v>1939</v>
      </c>
      <c r="J757">
        <v>2006</v>
      </c>
      <c r="K757">
        <v>2073</v>
      </c>
      <c r="L757">
        <v>2135</v>
      </c>
      <c r="M757">
        <v>2197</v>
      </c>
      <c r="N757" t="s">
        <v>988</v>
      </c>
    </row>
    <row r="758" spans="1:14" x14ac:dyDescent="0.3">
      <c r="A758">
        <v>793</v>
      </c>
      <c r="B758" t="s">
        <v>1479</v>
      </c>
      <c r="C758" t="s">
        <v>2256</v>
      </c>
      <c r="D758" t="s">
        <v>159</v>
      </c>
      <c r="E758" t="s">
        <v>159</v>
      </c>
      <c r="F758">
        <v>5477</v>
      </c>
      <c r="G758" t="s">
        <v>696</v>
      </c>
      <c r="H758" t="s">
        <v>1393</v>
      </c>
      <c r="I758">
        <v>11211</v>
      </c>
      <c r="J758">
        <v>11589</v>
      </c>
      <c r="K758">
        <v>11966</v>
      </c>
      <c r="L758">
        <v>12316</v>
      </c>
      <c r="M758">
        <v>12667</v>
      </c>
      <c r="N758" t="s">
        <v>988</v>
      </c>
    </row>
    <row r="759" spans="1:14" x14ac:dyDescent="0.3">
      <c r="A759">
        <v>793</v>
      </c>
      <c r="B759" t="s">
        <v>1479</v>
      </c>
      <c r="C759" t="s">
        <v>2256</v>
      </c>
      <c r="D759" t="s">
        <v>159</v>
      </c>
      <c r="E759" t="s">
        <v>159</v>
      </c>
      <c r="F759">
        <v>5477</v>
      </c>
      <c r="G759" t="s">
        <v>698</v>
      </c>
      <c r="H759" t="s">
        <v>698</v>
      </c>
      <c r="I759">
        <v>3497</v>
      </c>
      <c r="J759">
        <v>3618</v>
      </c>
      <c r="K759">
        <v>3738</v>
      </c>
      <c r="L759">
        <v>3850</v>
      </c>
      <c r="M759">
        <v>3962</v>
      </c>
      <c r="N759" t="s">
        <v>988</v>
      </c>
    </row>
    <row r="760" spans="1:14" x14ac:dyDescent="0.3">
      <c r="A760">
        <v>793</v>
      </c>
      <c r="B760" t="s">
        <v>1479</v>
      </c>
      <c r="C760" t="s">
        <v>2256</v>
      </c>
      <c r="D760" t="s">
        <v>159</v>
      </c>
      <c r="E760" t="s">
        <v>159</v>
      </c>
      <c r="F760">
        <v>5477</v>
      </c>
      <c r="G760" t="s">
        <v>687</v>
      </c>
      <c r="H760" t="s">
        <v>1302</v>
      </c>
      <c r="I760">
        <v>3</v>
      </c>
      <c r="J760">
        <v>3</v>
      </c>
      <c r="K760">
        <v>3</v>
      </c>
      <c r="L760">
        <v>4</v>
      </c>
      <c r="M760">
        <v>4</v>
      </c>
      <c r="N760" t="s">
        <v>988</v>
      </c>
    </row>
    <row r="761" spans="1:14" x14ac:dyDescent="0.3">
      <c r="A761">
        <v>793</v>
      </c>
      <c r="B761" t="s">
        <v>1479</v>
      </c>
      <c r="C761" t="s">
        <v>2256</v>
      </c>
      <c r="D761" t="s">
        <v>159</v>
      </c>
      <c r="E761" t="s">
        <v>159</v>
      </c>
      <c r="F761">
        <v>5477</v>
      </c>
      <c r="G761" t="s">
        <v>702</v>
      </c>
      <c r="H761" t="s">
        <v>1480</v>
      </c>
      <c r="I761">
        <v>1787</v>
      </c>
      <c r="J761">
        <v>1848</v>
      </c>
      <c r="K761">
        <v>1910</v>
      </c>
      <c r="L761">
        <v>1967</v>
      </c>
      <c r="M761">
        <v>2024</v>
      </c>
      <c r="N761" t="s">
        <v>988</v>
      </c>
    </row>
    <row r="762" spans="1:14" x14ac:dyDescent="0.3">
      <c r="A762">
        <v>793</v>
      </c>
      <c r="B762" t="s">
        <v>1479</v>
      </c>
      <c r="C762" t="s">
        <v>2256</v>
      </c>
      <c r="D762" t="s">
        <v>159</v>
      </c>
      <c r="E762" t="s">
        <v>159</v>
      </c>
      <c r="F762">
        <v>5477</v>
      </c>
      <c r="G762" t="s">
        <v>686</v>
      </c>
      <c r="H762" t="s">
        <v>1482</v>
      </c>
      <c r="I762">
        <v>1115</v>
      </c>
      <c r="J762">
        <v>1153</v>
      </c>
      <c r="K762">
        <v>1191</v>
      </c>
      <c r="L762">
        <v>1226</v>
      </c>
      <c r="M762">
        <v>1261</v>
      </c>
      <c r="N762" t="s">
        <v>988</v>
      </c>
    </row>
    <row r="763" spans="1:14" x14ac:dyDescent="0.3">
      <c r="A763">
        <v>793</v>
      </c>
      <c r="B763" t="s">
        <v>1479</v>
      </c>
      <c r="C763" t="s">
        <v>2256</v>
      </c>
      <c r="D763" t="s">
        <v>159</v>
      </c>
      <c r="E763" t="s">
        <v>159</v>
      </c>
      <c r="F763">
        <v>5477</v>
      </c>
      <c r="G763" t="s">
        <v>687</v>
      </c>
      <c r="H763" t="s">
        <v>1481</v>
      </c>
      <c r="I763">
        <v>148</v>
      </c>
      <c r="J763">
        <v>153</v>
      </c>
      <c r="K763">
        <v>158</v>
      </c>
      <c r="L763">
        <v>163</v>
      </c>
      <c r="M763">
        <v>168</v>
      </c>
      <c r="N763" t="s">
        <v>988</v>
      </c>
    </row>
    <row r="764" spans="1:14" x14ac:dyDescent="0.3">
      <c r="A764">
        <v>794</v>
      </c>
      <c r="B764" t="s">
        <v>1483</v>
      </c>
      <c r="C764" t="s">
        <v>2256</v>
      </c>
      <c r="D764" t="s">
        <v>159</v>
      </c>
      <c r="E764" t="s">
        <v>159</v>
      </c>
      <c r="F764">
        <v>6888</v>
      </c>
      <c r="G764" t="s">
        <v>696</v>
      </c>
      <c r="I764">
        <v>66900</v>
      </c>
      <c r="J764">
        <v>71700</v>
      </c>
      <c r="K764">
        <v>76700</v>
      </c>
      <c r="L764">
        <v>80500</v>
      </c>
      <c r="M764">
        <v>84000</v>
      </c>
      <c r="N764" t="s">
        <v>988</v>
      </c>
    </row>
    <row r="765" spans="1:14" x14ac:dyDescent="0.3">
      <c r="A765">
        <v>794</v>
      </c>
      <c r="B765" t="s">
        <v>1483</v>
      </c>
      <c r="C765" t="s">
        <v>2256</v>
      </c>
      <c r="D765" t="s">
        <v>159</v>
      </c>
      <c r="E765" t="s">
        <v>159</v>
      </c>
      <c r="F765">
        <v>6888</v>
      </c>
      <c r="G765" t="s">
        <v>698</v>
      </c>
      <c r="I765">
        <v>8500</v>
      </c>
      <c r="J765">
        <v>9100</v>
      </c>
      <c r="K765">
        <v>9700</v>
      </c>
      <c r="L765">
        <v>10200</v>
      </c>
      <c r="M765">
        <v>10600</v>
      </c>
      <c r="N765" t="s">
        <v>988</v>
      </c>
    </row>
    <row r="766" spans="1:14" x14ac:dyDescent="0.3">
      <c r="A766">
        <v>794</v>
      </c>
      <c r="B766" t="s">
        <v>1483</v>
      </c>
      <c r="C766" t="s">
        <v>2256</v>
      </c>
      <c r="D766" t="s">
        <v>159</v>
      </c>
      <c r="E766" t="s">
        <v>159</v>
      </c>
      <c r="F766">
        <v>6888</v>
      </c>
      <c r="G766" t="s">
        <v>700</v>
      </c>
      <c r="I766">
        <v>6100</v>
      </c>
      <c r="J766">
        <v>6500</v>
      </c>
      <c r="K766">
        <v>7000</v>
      </c>
      <c r="L766">
        <v>7300</v>
      </c>
      <c r="M766">
        <v>7600</v>
      </c>
      <c r="N766" t="s">
        <v>988</v>
      </c>
    </row>
    <row r="767" spans="1:14" x14ac:dyDescent="0.3">
      <c r="A767">
        <v>794</v>
      </c>
      <c r="B767" t="s">
        <v>1483</v>
      </c>
      <c r="C767" t="s">
        <v>2256</v>
      </c>
      <c r="D767" t="s">
        <v>159</v>
      </c>
      <c r="E767" t="s">
        <v>159</v>
      </c>
      <c r="F767">
        <v>6888</v>
      </c>
      <c r="G767" t="s">
        <v>701</v>
      </c>
      <c r="I767">
        <v>600</v>
      </c>
      <c r="J767">
        <v>600</v>
      </c>
      <c r="K767">
        <v>700</v>
      </c>
      <c r="L767">
        <v>700</v>
      </c>
      <c r="M767">
        <v>700</v>
      </c>
      <c r="N767" t="s">
        <v>988</v>
      </c>
    </row>
    <row r="768" spans="1:14" x14ac:dyDescent="0.3">
      <c r="A768">
        <v>794</v>
      </c>
      <c r="B768" t="s">
        <v>1483</v>
      </c>
      <c r="C768" t="s">
        <v>2256</v>
      </c>
      <c r="D768" t="s">
        <v>159</v>
      </c>
      <c r="E768" t="s">
        <v>159</v>
      </c>
      <c r="F768">
        <v>6888</v>
      </c>
      <c r="G768" t="s">
        <v>703</v>
      </c>
      <c r="I768">
        <v>2700</v>
      </c>
      <c r="J768">
        <v>2900</v>
      </c>
      <c r="K768">
        <v>3100</v>
      </c>
      <c r="L768">
        <v>3200</v>
      </c>
      <c r="M768">
        <v>3400</v>
      </c>
      <c r="N768" t="s">
        <v>988</v>
      </c>
    </row>
    <row r="769" spans="1:14" x14ac:dyDescent="0.3">
      <c r="A769">
        <v>794</v>
      </c>
      <c r="B769" t="s">
        <v>1483</v>
      </c>
      <c r="C769" t="s">
        <v>2256</v>
      </c>
      <c r="D769" t="s">
        <v>159</v>
      </c>
      <c r="E769" t="s">
        <v>159</v>
      </c>
      <c r="F769">
        <v>6888</v>
      </c>
      <c r="G769" t="s">
        <v>702</v>
      </c>
      <c r="I769">
        <v>8400</v>
      </c>
      <c r="J769">
        <v>7600</v>
      </c>
      <c r="K769">
        <v>6800</v>
      </c>
      <c r="L769">
        <v>6200</v>
      </c>
      <c r="M769">
        <v>5500</v>
      </c>
      <c r="N769" t="s">
        <v>988</v>
      </c>
    </row>
    <row r="770" spans="1:14" x14ac:dyDescent="0.3">
      <c r="A770">
        <v>794</v>
      </c>
      <c r="B770" t="s">
        <v>1483</v>
      </c>
      <c r="C770" t="s">
        <v>2256</v>
      </c>
      <c r="D770" t="s">
        <v>159</v>
      </c>
      <c r="E770" t="s">
        <v>159</v>
      </c>
      <c r="F770">
        <v>6888</v>
      </c>
      <c r="G770" t="s">
        <v>684</v>
      </c>
      <c r="H770" t="s">
        <v>2269</v>
      </c>
      <c r="I770">
        <v>1500</v>
      </c>
      <c r="J770">
        <v>1500</v>
      </c>
      <c r="K770">
        <v>1500</v>
      </c>
      <c r="L770">
        <v>1500</v>
      </c>
      <c r="M770">
        <v>1500</v>
      </c>
      <c r="N770" t="s">
        <v>988</v>
      </c>
    </row>
    <row r="771" spans="1:14" x14ac:dyDescent="0.3">
      <c r="A771">
        <v>794</v>
      </c>
      <c r="B771" t="s">
        <v>1483</v>
      </c>
      <c r="C771" t="s">
        <v>2256</v>
      </c>
      <c r="D771" t="s">
        <v>159</v>
      </c>
      <c r="E771" t="s">
        <v>159</v>
      </c>
      <c r="F771">
        <v>6888</v>
      </c>
      <c r="G771" t="s">
        <v>687</v>
      </c>
      <c r="I771">
        <v>0</v>
      </c>
      <c r="J771">
        <v>0</v>
      </c>
      <c r="K771">
        <v>0</v>
      </c>
      <c r="L771">
        <v>0</v>
      </c>
      <c r="M771">
        <v>0</v>
      </c>
      <c r="N771" t="s">
        <v>988</v>
      </c>
    </row>
    <row r="772" spans="1:14" x14ac:dyDescent="0.3">
      <c r="A772">
        <v>794</v>
      </c>
      <c r="B772" t="s">
        <v>1483</v>
      </c>
      <c r="C772" t="s">
        <v>2256</v>
      </c>
      <c r="D772" t="s">
        <v>159</v>
      </c>
      <c r="E772" t="s">
        <v>159</v>
      </c>
      <c r="F772">
        <v>6888</v>
      </c>
      <c r="G772" t="s">
        <v>687</v>
      </c>
      <c r="H772" t="s">
        <v>1484</v>
      </c>
      <c r="I772">
        <v>7400</v>
      </c>
      <c r="J772">
        <v>7900</v>
      </c>
      <c r="K772">
        <v>8400</v>
      </c>
      <c r="L772">
        <v>8800</v>
      </c>
      <c r="M772">
        <v>9200</v>
      </c>
      <c r="N772" t="s">
        <v>988</v>
      </c>
    </row>
    <row r="773" spans="1:14" x14ac:dyDescent="0.3">
      <c r="A773">
        <v>794</v>
      </c>
      <c r="B773" t="s">
        <v>1483</v>
      </c>
      <c r="C773" t="s">
        <v>2256</v>
      </c>
      <c r="D773" t="s">
        <v>159</v>
      </c>
      <c r="E773" t="s">
        <v>159</v>
      </c>
      <c r="F773">
        <v>6888</v>
      </c>
      <c r="G773" t="s">
        <v>684</v>
      </c>
      <c r="H773" t="s">
        <v>1210</v>
      </c>
      <c r="I773">
        <v>500</v>
      </c>
      <c r="J773">
        <v>500</v>
      </c>
      <c r="K773">
        <v>500</v>
      </c>
      <c r="L773">
        <v>500</v>
      </c>
      <c r="M773">
        <v>500</v>
      </c>
      <c r="N773" t="s">
        <v>988</v>
      </c>
    </row>
    <row r="774" spans="1:14" x14ac:dyDescent="0.3">
      <c r="A774">
        <v>814</v>
      </c>
      <c r="B774" t="s">
        <v>1485</v>
      </c>
      <c r="C774" t="s">
        <v>2256</v>
      </c>
      <c r="D774" t="s">
        <v>159</v>
      </c>
      <c r="E774" t="s">
        <v>159</v>
      </c>
      <c r="F774">
        <v>5446</v>
      </c>
      <c r="G774" t="s">
        <v>703</v>
      </c>
      <c r="H774" t="s">
        <v>1873</v>
      </c>
      <c r="I774">
        <v>475</v>
      </c>
      <c r="J774">
        <v>500</v>
      </c>
      <c r="K774">
        <v>522</v>
      </c>
      <c r="L774">
        <v>551</v>
      </c>
      <c r="M774">
        <v>579</v>
      </c>
      <c r="N774" t="s">
        <v>988</v>
      </c>
    </row>
    <row r="775" spans="1:14" x14ac:dyDescent="0.3">
      <c r="A775">
        <v>814</v>
      </c>
      <c r="B775" t="s">
        <v>1485</v>
      </c>
      <c r="C775" t="s">
        <v>2256</v>
      </c>
      <c r="D775" t="s">
        <v>159</v>
      </c>
      <c r="E775" t="s">
        <v>159</v>
      </c>
      <c r="F775">
        <v>5446</v>
      </c>
      <c r="G775" t="s">
        <v>700</v>
      </c>
      <c r="H775" t="s">
        <v>1873</v>
      </c>
      <c r="I775">
        <v>986</v>
      </c>
      <c r="J775">
        <v>1039</v>
      </c>
      <c r="K775">
        <v>1084</v>
      </c>
      <c r="L775">
        <v>1143</v>
      </c>
      <c r="M775">
        <v>1202</v>
      </c>
      <c r="N775" t="s">
        <v>988</v>
      </c>
    </row>
    <row r="776" spans="1:14" x14ac:dyDescent="0.3">
      <c r="A776">
        <v>814</v>
      </c>
      <c r="B776" t="s">
        <v>1485</v>
      </c>
      <c r="C776" t="s">
        <v>2256</v>
      </c>
      <c r="D776" t="s">
        <v>159</v>
      </c>
      <c r="E776" t="s">
        <v>159</v>
      </c>
      <c r="F776">
        <v>5446</v>
      </c>
      <c r="G776" t="s">
        <v>698</v>
      </c>
      <c r="H776" t="s">
        <v>1873</v>
      </c>
      <c r="I776">
        <v>937</v>
      </c>
      <c r="J776">
        <v>956</v>
      </c>
      <c r="K776">
        <v>970</v>
      </c>
      <c r="L776">
        <v>1017</v>
      </c>
      <c r="M776">
        <v>1065</v>
      </c>
      <c r="N776" t="s">
        <v>988</v>
      </c>
    </row>
    <row r="777" spans="1:14" x14ac:dyDescent="0.3">
      <c r="A777">
        <v>814</v>
      </c>
      <c r="B777" t="s">
        <v>1485</v>
      </c>
      <c r="C777" t="s">
        <v>2256</v>
      </c>
      <c r="D777" t="s">
        <v>159</v>
      </c>
      <c r="E777" t="s">
        <v>159</v>
      </c>
      <c r="F777">
        <v>5446</v>
      </c>
      <c r="G777" t="s">
        <v>696</v>
      </c>
      <c r="H777" t="s">
        <v>1873</v>
      </c>
      <c r="I777">
        <v>4275</v>
      </c>
      <c r="J777">
        <v>4362</v>
      </c>
      <c r="K777">
        <v>4426</v>
      </c>
      <c r="L777">
        <v>4642</v>
      </c>
      <c r="M777">
        <v>4858</v>
      </c>
      <c r="N777" t="s">
        <v>988</v>
      </c>
    </row>
    <row r="778" spans="1:14" x14ac:dyDescent="0.3">
      <c r="A778">
        <v>814</v>
      </c>
      <c r="B778" t="s">
        <v>1485</v>
      </c>
      <c r="C778" t="s">
        <v>2256</v>
      </c>
      <c r="D778" t="s">
        <v>159</v>
      </c>
      <c r="E778" t="s">
        <v>159</v>
      </c>
      <c r="F778">
        <v>5446</v>
      </c>
      <c r="G778" t="s">
        <v>702</v>
      </c>
      <c r="H778" t="s">
        <v>1873</v>
      </c>
      <c r="I778">
        <v>725</v>
      </c>
      <c r="J778">
        <v>764</v>
      </c>
      <c r="K778">
        <v>798</v>
      </c>
      <c r="L778">
        <v>841</v>
      </c>
      <c r="M778">
        <v>884</v>
      </c>
      <c r="N778" t="s">
        <v>988</v>
      </c>
    </row>
    <row r="779" spans="1:14" x14ac:dyDescent="0.3">
      <c r="A779">
        <v>814</v>
      </c>
      <c r="B779" t="s">
        <v>1485</v>
      </c>
      <c r="C779" t="s">
        <v>2256</v>
      </c>
      <c r="D779" t="s">
        <v>159</v>
      </c>
      <c r="E779" t="s">
        <v>159</v>
      </c>
      <c r="F779">
        <v>5446</v>
      </c>
      <c r="G779" t="s">
        <v>701</v>
      </c>
      <c r="H779" t="s">
        <v>1873</v>
      </c>
      <c r="I779">
        <v>1</v>
      </c>
      <c r="J779">
        <v>1</v>
      </c>
      <c r="K779">
        <v>1</v>
      </c>
      <c r="L779">
        <v>1</v>
      </c>
      <c r="M779">
        <v>1</v>
      </c>
      <c r="N779" t="s">
        <v>988</v>
      </c>
    </row>
    <row r="780" spans="1:14" x14ac:dyDescent="0.3">
      <c r="A780">
        <v>814</v>
      </c>
      <c r="B780" t="s">
        <v>1485</v>
      </c>
      <c r="C780" t="s">
        <v>2256</v>
      </c>
      <c r="D780" t="s">
        <v>159</v>
      </c>
      <c r="E780" t="s">
        <v>159</v>
      </c>
      <c r="F780">
        <v>5446</v>
      </c>
      <c r="G780" t="s">
        <v>686</v>
      </c>
      <c r="H780" t="s">
        <v>1873</v>
      </c>
      <c r="I780">
        <v>506</v>
      </c>
      <c r="J780">
        <v>521</v>
      </c>
      <c r="K780">
        <v>533</v>
      </c>
      <c r="L780">
        <v>560</v>
      </c>
      <c r="M780">
        <v>587</v>
      </c>
      <c r="N780" t="s">
        <v>988</v>
      </c>
    </row>
    <row r="781" spans="1:14" x14ac:dyDescent="0.3">
      <c r="A781">
        <v>816</v>
      </c>
      <c r="B781" t="s">
        <v>765</v>
      </c>
      <c r="C781" t="s">
        <v>2256</v>
      </c>
      <c r="D781" t="s">
        <v>1203</v>
      </c>
      <c r="E781" t="s">
        <v>1204</v>
      </c>
      <c r="F781">
        <v>5604</v>
      </c>
      <c r="G781" t="s">
        <v>691</v>
      </c>
      <c r="H781" t="s">
        <v>2326</v>
      </c>
      <c r="I781">
        <v>34740</v>
      </c>
      <c r="J781">
        <v>35530</v>
      </c>
      <c r="K781">
        <v>36680</v>
      </c>
      <c r="L781">
        <v>37890</v>
      </c>
      <c r="M781">
        <v>39080</v>
      </c>
      <c r="N781" t="s">
        <v>988</v>
      </c>
    </row>
    <row r="782" spans="1:14" x14ac:dyDescent="0.3">
      <c r="A782">
        <v>827</v>
      </c>
      <c r="B782" t="s">
        <v>1488</v>
      </c>
      <c r="C782" t="s">
        <v>2256</v>
      </c>
      <c r="D782" t="s">
        <v>1203</v>
      </c>
      <c r="E782" t="s">
        <v>1204</v>
      </c>
      <c r="F782">
        <v>5921</v>
      </c>
      <c r="G782" t="s">
        <v>686</v>
      </c>
      <c r="H782" t="s">
        <v>2327</v>
      </c>
      <c r="I782">
        <v>19</v>
      </c>
      <c r="J782">
        <v>16</v>
      </c>
      <c r="K782">
        <v>16</v>
      </c>
      <c r="L782">
        <v>16</v>
      </c>
      <c r="N782" t="s">
        <v>988</v>
      </c>
    </row>
    <row r="783" spans="1:14" x14ac:dyDescent="0.3">
      <c r="A783">
        <v>827</v>
      </c>
      <c r="B783" t="s">
        <v>1488</v>
      </c>
      <c r="C783" t="s">
        <v>2256</v>
      </c>
      <c r="D783" t="s">
        <v>1203</v>
      </c>
      <c r="E783" t="s">
        <v>1204</v>
      </c>
      <c r="F783">
        <v>5921</v>
      </c>
      <c r="G783" t="s">
        <v>702</v>
      </c>
      <c r="I783">
        <v>152</v>
      </c>
      <c r="J783">
        <v>150</v>
      </c>
      <c r="K783">
        <v>149</v>
      </c>
      <c r="L783">
        <v>147</v>
      </c>
      <c r="N783" t="s">
        <v>988</v>
      </c>
    </row>
    <row r="784" spans="1:14" x14ac:dyDescent="0.3">
      <c r="A784">
        <v>827</v>
      </c>
      <c r="B784" t="s">
        <v>1488</v>
      </c>
      <c r="C784" t="s">
        <v>2256</v>
      </c>
      <c r="D784" t="s">
        <v>1203</v>
      </c>
      <c r="E784" t="s">
        <v>1204</v>
      </c>
      <c r="F784">
        <v>5921</v>
      </c>
      <c r="G784" t="s">
        <v>703</v>
      </c>
      <c r="I784">
        <v>0</v>
      </c>
      <c r="J784">
        <v>0</v>
      </c>
      <c r="K784">
        <v>0</v>
      </c>
      <c r="L784">
        <v>0</v>
      </c>
      <c r="M784">
        <v>0</v>
      </c>
      <c r="N784" t="s">
        <v>988</v>
      </c>
    </row>
    <row r="785" spans="1:14" x14ac:dyDescent="0.3">
      <c r="A785">
        <v>827</v>
      </c>
      <c r="B785" t="s">
        <v>1488</v>
      </c>
      <c r="C785" t="s">
        <v>2256</v>
      </c>
      <c r="D785" t="s">
        <v>1203</v>
      </c>
      <c r="E785" t="s">
        <v>1204</v>
      </c>
      <c r="F785">
        <v>5921</v>
      </c>
      <c r="G785" t="s">
        <v>701</v>
      </c>
      <c r="H785" t="s">
        <v>2328</v>
      </c>
      <c r="I785">
        <v>3009</v>
      </c>
      <c r="J785">
        <v>3002</v>
      </c>
      <c r="K785">
        <v>2995</v>
      </c>
      <c r="L785">
        <v>2988</v>
      </c>
      <c r="N785" t="s">
        <v>988</v>
      </c>
    </row>
    <row r="786" spans="1:14" x14ac:dyDescent="0.3">
      <c r="A786">
        <v>827</v>
      </c>
      <c r="B786" t="s">
        <v>1488</v>
      </c>
      <c r="C786" t="s">
        <v>2256</v>
      </c>
      <c r="D786" t="s">
        <v>1203</v>
      </c>
      <c r="E786" t="s">
        <v>1204</v>
      </c>
      <c r="F786">
        <v>5921</v>
      </c>
      <c r="G786" t="s">
        <v>700</v>
      </c>
      <c r="I786">
        <v>800</v>
      </c>
      <c r="J786">
        <v>792</v>
      </c>
      <c r="K786">
        <v>784</v>
      </c>
      <c r="L786">
        <v>776</v>
      </c>
      <c r="N786" t="s">
        <v>988</v>
      </c>
    </row>
    <row r="787" spans="1:14" x14ac:dyDescent="0.3">
      <c r="A787">
        <v>827</v>
      </c>
      <c r="B787" t="s">
        <v>1488</v>
      </c>
      <c r="C787" t="s">
        <v>2256</v>
      </c>
      <c r="D787" t="s">
        <v>1203</v>
      </c>
      <c r="E787" t="s">
        <v>1204</v>
      </c>
      <c r="F787">
        <v>5921</v>
      </c>
      <c r="G787" t="s">
        <v>698</v>
      </c>
      <c r="I787">
        <v>630</v>
      </c>
      <c r="J787">
        <v>623</v>
      </c>
      <c r="K787">
        <v>617</v>
      </c>
      <c r="L787">
        <v>611</v>
      </c>
      <c r="N787" t="s">
        <v>988</v>
      </c>
    </row>
    <row r="788" spans="1:14" x14ac:dyDescent="0.3">
      <c r="A788">
        <v>827</v>
      </c>
      <c r="B788" t="s">
        <v>1488</v>
      </c>
      <c r="C788" t="s">
        <v>2256</v>
      </c>
      <c r="D788" t="s">
        <v>1203</v>
      </c>
      <c r="E788" t="s">
        <v>1204</v>
      </c>
      <c r="F788">
        <v>5921</v>
      </c>
      <c r="G788" t="s">
        <v>696</v>
      </c>
      <c r="I788">
        <v>844</v>
      </c>
      <c r="J788">
        <v>836</v>
      </c>
      <c r="K788">
        <v>828</v>
      </c>
      <c r="L788">
        <v>819</v>
      </c>
      <c r="N788" t="s">
        <v>988</v>
      </c>
    </row>
    <row r="789" spans="1:14" x14ac:dyDescent="0.3">
      <c r="A789">
        <v>827</v>
      </c>
      <c r="B789" t="s">
        <v>1488</v>
      </c>
      <c r="C789" t="s">
        <v>2256</v>
      </c>
      <c r="D789" t="s">
        <v>1203</v>
      </c>
      <c r="E789" t="s">
        <v>1204</v>
      </c>
      <c r="F789">
        <v>5921</v>
      </c>
      <c r="G789" t="s">
        <v>687</v>
      </c>
      <c r="H789" t="s">
        <v>1489</v>
      </c>
      <c r="I789">
        <v>4</v>
      </c>
      <c r="J789">
        <v>4</v>
      </c>
      <c r="K789">
        <v>4</v>
      </c>
      <c r="L789">
        <v>4</v>
      </c>
      <c r="N789" t="s">
        <v>988</v>
      </c>
    </row>
    <row r="790" spans="1:14" x14ac:dyDescent="0.3">
      <c r="A790">
        <v>830</v>
      </c>
      <c r="B790" t="s">
        <v>1491</v>
      </c>
      <c r="C790" t="s">
        <v>2256</v>
      </c>
      <c r="D790" t="s">
        <v>159</v>
      </c>
      <c r="E790" t="s">
        <v>159</v>
      </c>
      <c r="F790">
        <v>8004</v>
      </c>
      <c r="G790" t="s">
        <v>700</v>
      </c>
      <c r="I790">
        <v>822</v>
      </c>
      <c r="J790">
        <v>1004.4</v>
      </c>
      <c r="K790">
        <v>1080</v>
      </c>
      <c r="L790">
        <v>1160</v>
      </c>
      <c r="M790">
        <v>1160</v>
      </c>
      <c r="N790" t="s">
        <v>988</v>
      </c>
    </row>
    <row r="791" spans="1:14" x14ac:dyDescent="0.3">
      <c r="A791">
        <v>830</v>
      </c>
      <c r="B791" t="s">
        <v>1491</v>
      </c>
      <c r="C791" t="s">
        <v>2256</v>
      </c>
      <c r="D791" t="s">
        <v>159</v>
      </c>
      <c r="E791" t="s">
        <v>159</v>
      </c>
      <c r="F791">
        <v>8004</v>
      </c>
      <c r="G791" t="s">
        <v>696</v>
      </c>
      <c r="I791">
        <v>1905</v>
      </c>
      <c r="J791">
        <v>1913</v>
      </c>
      <c r="K791">
        <v>1885</v>
      </c>
      <c r="L791">
        <v>1858.8</v>
      </c>
      <c r="M791">
        <v>1847</v>
      </c>
      <c r="N791" t="s">
        <v>988</v>
      </c>
    </row>
    <row r="792" spans="1:14" x14ac:dyDescent="0.3">
      <c r="A792">
        <v>830</v>
      </c>
      <c r="B792" t="s">
        <v>1491</v>
      </c>
      <c r="C792" t="s">
        <v>2256</v>
      </c>
      <c r="D792" t="s">
        <v>159</v>
      </c>
      <c r="E792" t="s">
        <v>159</v>
      </c>
      <c r="F792">
        <v>8004</v>
      </c>
      <c r="G792" t="s">
        <v>703</v>
      </c>
      <c r="I792">
        <v>55</v>
      </c>
      <c r="J792">
        <v>67.900000000000006</v>
      </c>
      <c r="K792">
        <v>73</v>
      </c>
      <c r="L792">
        <v>78</v>
      </c>
      <c r="M792">
        <v>78.39</v>
      </c>
      <c r="N792" t="s">
        <v>988</v>
      </c>
    </row>
    <row r="793" spans="1:14" x14ac:dyDescent="0.3">
      <c r="A793">
        <v>830</v>
      </c>
      <c r="B793" t="s">
        <v>1491</v>
      </c>
      <c r="C793" t="s">
        <v>2256</v>
      </c>
      <c r="D793" t="s">
        <v>159</v>
      </c>
      <c r="E793" t="s">
        <v>159</v>
      </c>
      <c r="F793">
        <v>8004</v>
      </c>
      <c r="G793" t="s">
        <v>702</v>
      </c>
      <c r="I793">
        <v>1314</v>
      </c>
      <c r="J793">
        <v>1339.04</v>
      </c>
      <c r="K793">
        <v>1339</v>
      </c>
      <c r="L793">
        <v>1339</v>
      </c>
      <c r="M793">
        <v>1339</v>
      </c>
      <c r="N793" t="s">
        <v>988</v>
      </c>
    </row>
    <row r="794" spans="1:14" x14ac:dyDescent="0.3">
      <c r="A794">
        <v>830</v>
      </c>
      <c r="B794" t="s">
        <v>1491</v>
      </c>
      <c r="C794" t="s">
        <v>2256</v>
      </c>
      <c r="D794" t="s">
        <v>159</v>
      </c>
      <c r="E794" t="s">
        <v>159</v>
      </c>
      <c r="F794">
        <v>8004</v>
      </c>
      <c r="G794" t="s">
        <v>686</v>
      </c>
      <c r="H794" t="s">
        <v>1227</v>
      </c>
      <c r="I794">
        <v>410</v>
      </c>
      <c r="J794">
        <v>432.4</v>
      </c>
      <c r="K794">
        <v>433</v>
      </c>
      <c r="L794">
        <v>434</v>
      </c>
      <c r="M794">
        <v>433.44</v>
      </c>
      <c r="N794" t="s">
        <v>988</v>
      </c>
    </row>
    <row r="795" spans="1:14" x14ac:dyDescent="0.3">
      <c r="A795">
        <v>830</v>
      </c>
      <c r="B795" t="s">
        <v>1491</v>
      </c>
      <c r="C795" t="s">
        <v>2256</v>
      </c>
      <c r="D795" t="s">
        <v>159</v>
      </c>
      <c r="E795" t="s">
        <v>159</v>
      </c>
      <c r="F795">
        <v>8004</v>
      </c>
      <c r="G795" t="s">
        <v>698</v>
      </c>
      <c r="I795">
        <v>2746</v>
      </c>
      <c r="J795">
        <v>2894</v>
      </c>
      <c r="K795">
        <v>2856</v>
      </c>
      <c r="L795">
        <v>2817</v>
      </c>
      <c r="M795">
        <v>2812.7</v>
      </c>
      <c r="N795" t="s">
        <v>988</v>
      </c>
    </row>
    <row r="796" spans="1:14" x14ac:dyDescent="0.3">
      <c r="A796">
        <v>835</v>
      </c>
      <c r="B796" t="s">
        <v>1493</v>
      </c>
      <c r="C796" t="s">
        <v>2256</v>
      </c>
      <c r="D796" t="s">
        <v>1203</v>
      </c>
      <c r="E796" t="s">
        <v>1204</v>
      </c>
      <c r="F796">
        <v>5610</v>
      </c>
      <c r="G796" t="s">
        <v>691</v>
      </c>
      <c r="H796" t="s">
        <v>1393</v>
      </c>
      <c r="I796">
        <v>5450</v>
      </c>
      <c r="J796">
        <v>5870</v>
      </c>
      <c r="K796">
        <v>5950</v>
      </c>
      <c r="L796">
        <v>6030</v>
      </c>
      <c r="M796">
        <v>6070</v>
      </c>
      <c r="N796" t="s">
        <v>988</v>
      </c>
    </row>
    <row r="797" spans="1:14" x14ac:dyDescent="0.3">
      <c r="A797">
        <v>835</v>
      </c>
      <c r="B797" t="s">
        <v>1493</v>
      </c>
      <c r="C797" t="s">
        <v>2256</v>
      </c>
      <c r="D797" t="s">
        <v>1203</v>
      </c>
      <c r="E797" t="s">
        <v>1204</v>
      </c>
      <c r="F797">
        <v>5610</v>
      </c>
      <c r="G797" t="s">
        <v>691</v>
      </c>
      <c r="H797" t="s">
        <v>1494</v>
      </c>
      <c r="I797">
        <v>1480</v>
      </c>
      <c r="J797">
        <v>1630</v>
      </c>
      <c r="K797">
        <v>1660</v>
      </c>
      <c r="L797">
        <v>1680</v>
      </c>
      <c r="M797">
        <v>1690</v>
      </c>
      <c r="N797" t="s">
        <v>988</v>
      </c>
    </row>
    <row r="798" spans="1:14" x14ac:dyDescent="0.3">
      <c r="A798">
        <v>835</v>
      </c>
      <c r="B798" t="s">
        <v>1493</v>
      </c>
      <c r="C798" t="s">
        <v>2256</v>
      </c>
      <c r="D798" t="s">
        <v>1203</v>
      </c>
      <c r="E798" t="s">
        <v>1204</v>
      </c>
      <c r="F798">
        <v>5610</v>
      </c>
      <c r="G798" t="s">
        <v>686</v>
      </c>
      <c r="I798">
        <v>370</v>
      </c>
      <c r="J798">
        <v>410</v>
      </c>
      <c r="K798">
        <v>410</v>
      </c>
      <c r="L798">
        <v>420</v>
      </c>
      <c r="M798">
        <v>420</v>
      </c>
      <c r="N798" t="s">
        <v>988</v>
      </c>
    </row>
    <row r="799" spans="1:14" x14ac:dyDescent="0.3">
      <c r="A799">
        <v>842</v>
      </c>
      <c r="B799" t="s">
        <v>1495</v>
      </c>
      <c r="C799" t="s">
        <v>2256</v>
      </c>
      <c r="D799" t="s">
        <v>159</v>
      </c>
      <c r="E799" t="s">
        <v>159</v>
      </c>
      <c r="F799">
        <v>6760</v>
      </c>
      <c r="G799" t="s">
        <v>686</v>
      </c>
      <c r="I799">
        <v>1827</v>
      </c>
      <c r="J799">
        <v>1968</v>
      </c>
      <c r="K799">
        <v>2120</v>
      </c>
      <c r="L799">
        <v>2284</v>
      </c>
      <c r="M799">
        <v>2461</v>
      </c>
      <c r="N799" t="s">
        <v>988</v>
      </c>
    </row>
    <row r="800" spans="1:14" x14ac:dyDescent="0.3">
      <c r="A800">
        <v>842</v>
      </c>
      <c r="B800" t="s">
        <v>1495</v>
      </c>
      <c r="C800" t="s">
        <v>2256</v>
      </c>
      <c r="D800" t="s">
        <v>159</v>
      </c>
      <c r="E800" t="s">
        <v>159</v>
      </c>
      <c r="F800">
        <v>6760</v>
      </c>
      <c r="G800" t="s">
        <v>705</v>
      </c>
      <c r="H800" t="s">
        <v>2329</v>
      </c>
      <c r="I800">
        <v>1464</v>
      </c>
      <c r="J800">
        <v>1464</v>
      </c>
      <c r="K800">
        <v>1464</v>
      </c>
      <c r="L800">
        <v>1464</v>
      </c>
      <c r="M800">
        <v>1464</v>
      </c>
      <c r="N800" t="s">
        <v>988</v>
      </c>
    </row>
    <row r="801" spans="1:14" x14ac:dyDescent="0.3">
      <c r="A801">
        <v>842</v>
      </c>
      <c r="B801" t="s">
        <v>1495</v>
      </c>
      <c r="C801" t="s">
        <v>2256</v>
      </c>
      <c r="D801" t="s">
        <v>159</v>
      </c>
      <c r="E801" t="s">
        <v>159</v>
      </c>
      <c r="F801">
        <v>6760</v>
      </c>
      <c r="G801" t="s">
        <v>687</v>
      </c>
      <c r="H801" t="s">
        <v>1499</v>
      </c>
      <c r="I801">
        <v>212</v>
      </c>
      <c r="J801">
        <v>228</v>
      </c>
      <c r="K801">
        <v>246</v>
      </c>
      <c r="L801">
        <v>265</v>
      </c>
      <c r="M801">
        <v>285</v>
      </c>
      <c r="N801" t="s">
        <v>988</v>
      </c>
    </row>
    <row r="802" spans="1:14" x14ac:dyDescent="0.3">
      <c r="A802">
        <v>842</v>
      </c>
      <c r="B802" t="s">
        <v>1495</v>
      </c>
      <c r="C802" t="s">
        <v>2256</v>
      </c>
      <c r="D802" t="s">
        <v>159</v>
      </c>
      <c r="E802" t="s">
        <v>159</v>
      </c>
      <c r="F802">
        <v>6760</v>
      </c>
      <c r="G802" t="s">
        <v>687</v>
      </c>
      <c r="H802" t="s">
        <v>1500</v>
      </c>
      <c r="I802">
        <v>65</v>
      </c>
      <c r="J802">
        <v>70</v>
      </c>
      <c r="K802">
        <v>75</v>
      </c>
      <c r="L802">
        <v>81</v>
      </c>
      <c r="M802">
        <v>87</v>
      </c>
      <c r="N802" t="s">
        <v>988</v>
      </c>
    </row>
    <row r="803" spans="1:14" x14ac:dyDescent="0.3">
      <c r="A803">
        <v>842</v>
      </c>
      <c r="B803" t="s">
        <v>1495</v>
      </c>
      <c r="C803" t="s">
        <v>2256</v>
      </c>
      <c r="D803" t="s">
        <v>159</v>
      </c>
      <c r="E803" t="s">
        <v>159</v>
      </c>
      <c r="F803">
        <v>6760</v>
      </c>
      <c r="G803" t="s">
        <v>703</v>
      </c>
      <c r="I803">
        <v>103</v>
      </c>
      <c r="J803">
        <v>111</v>
      </c>
      <c r="K803">
        <v>119</v>
      </c>
      <c r="L803">
        <v>129</v>
      </c>
      <c r="M803">
        <v>138</v>
      </c>
      <c r="N803" t="s">
        <v>988</v>
      </c>
    </row>
    <row r="804" spans="1:14" x14ac:dyDescent="0.3">
      <c r="A804">
        <v>842</v>
      </c>
      <c r="B804" t="s">
        <v>1495</v>
      </c>
      <c r="C804" t="s">
        <v>2256</v>
      </c>
      <c r="D804" t="s">
        <v>159</v>
      </c>
      <c r="E804" t="s">
        <v>159</v>
      </c>
      <c r="F804">
        <v>6760</v>
      </c>
      <c r="G804" t="s">
        <v>700</v>
      </c>
      <c r="I804">
        <v>5560</v>
      </c>
      <c r="J804">
        <v>5989</v>
      </c>
      <c r="K804">
        <v>6452</v>
      </c>
      <c r="L804">
        <v>6951</v>
      </c>
      <c r="M804">
        <v>7488</v>
      </c>
      <c r="N804" t="s">
        <v>988</v>
      </c>
    </row>
    <row r="805" spans="1:14" x14ac:dyDescent="0.3">
      <c r="A805">
        <v>842</v>
      </c>
      <c r="B805" t="s">
        <v>1495</v>
      </c>
      <c r="C805" t="s">
        <v>2256</v>
      </c>
      <c r="D805" t="s">
        <v>159</v>
      </c>
      <c r="E805" t="s">
        <v>159</v>
      </c>
      <c r="F805">
        <v>6760</v>
      </c>
      <c r="G805" t="s">
        <v>687</v>
      </c>
      <c r="H805" t="s">
        <v>1496</v>
      </c>
      <c r="I805">
        <v>20594</v>
      </c>
      <c r="J805">
        <v>22300</v>
      </c>
      <c r="K805">
        <v>24137</v>
      </c>
      <c r="L805">
        <v>26114</v>
      </c>
      <c r="M805">
        <v>28247</v>
      </c>
      <c r="N805" t="s">
        <v>988</v>
      </c>
    </row>
    <row r="806" spans="1:14" x14ac:dyDescent="0.3">
      <c r="A806">
        <v>851</v>
      </c>
      <c r="B806" t="s">
        <v>1501</v>
      </c>
      <c r="C806" t="s">
        <v>2256</v>
      </c>
      <c r="D806" t="s">
        <v>159</v>
      </c>
      <c r="E806" t="s">
        <v>159</v>
      </c>
      <c r="F806">
        <v>5582</v>
      </c>
      <c r="G806" t="s">
        <v>686</v>
      </c>
      <c r="I806">
        <v>2249</v>
      </c>
      <c r="J806">
        <v>2271</v>
      </c>
      <c r="K806">
        <v>2293</v>
      </c>
      <c r="L806">
        <v>2316</v>
      </c>
      <c r="M806">
        <v>2396</v>
      </c>
      <c r="N806" t="s">
        <v>988</v>
      </c>
    </row>
    <row r="807" spans="1:14" x14ac:dyDescent="0.3">
      <c r="A807">
        <v>851</v>
      </c>
      <c r="B807" t="s">
        <v>1501</v>
      </c>
      <c r="C807" t="s">
        <v>2256</v>
      </c>
      <c r="D807" t="s">
        <v>159</v>
      </c>
      <c r="E807" t="s">
        <v>159</v>
      </c>
      <c r="F807">
        <v>5582</v>
      </c>
      <c r="G807" t="s">
        <v>705</v>
      </c>
      <c r="H807" t="s">
        <v>2330</v>
      </c>
      <c r="I807">
        <v>454</v>
      </c>
      <c r="J807">
        <v>458</v>
      </c>
      <c r="K807">
        <v>463</v>
      </c>
      <c r="L807">
        <v>467</v>
      </c>
      <c r="M807">
        <v>483</v>
      </c>
      <c r="N807" t="s">
        <v>988</v>
      </c>
    </row>
    <row r="808" spans="1:14" x14ac:dyDescent="0.3">
      <c r="A808">
        <v>851</v>
      </c>
      <c r="B808" t="s">
        <v>1501</v>
      </c>
      <c r="C808" t="s">
        <v>2256</v>
      </c>
      <c r="D808" t="s">
        <v>159</v>
      </c>
      <c r="E808" t="s">
        <v>159</v>
      </c>
      <c r="F808">
        <v>5582</v>
      </c>
      <c r="G808" t="s">
        <v>684</v>
      </c>
      <c r="I808">
        <v>4160</v>
      </c>
      <c r="J808">
        <v>4200</v>
      </c>
      <c r="K808">
        <v>4240</v>
      </c>
      <c r="L808">
        <v>4283</v>
      </c>
      <c r="M808">
        <v>4430</v>
      </c>
      <c r="N808" t="s">
        <v>988</v>
      </c>
    </row>
    <row r="809" spans="1:14" x14ac:dyDescent="0.3">
      <c r="A809">
        <v>851</v>
      </c>
      <c r="B809" t="s">
        <v>1501</v>
      </c>
      <c r="C809" t="s">
        <v>2256</v>
      </c>
      <c r="D809" t="s">
        <v>159</v>
      </c>
      <c r="E809" t="s">
        <v>159</v>
      </c>
      <c r="F809">
        <v>5582</v>
      </c>
      <c r="G809" t="s">
        <v>702</v>
      </c>
      <c r="H809" t="s">
        <v>2331</v>
      </c>
      <c r="I809">
        <v>2110</v>
      </c>
      <c r="J809">
        <v>2130</v>
      </c>
      <c r="K809">
        <v>2151</v>
      </c>
      <c r="L809">
        <v>2172</v>
      </c>
      <c r="M809">
        <v>2247</v>
      </c>
      <c r="N809" t="s">
        <v>988</v>
      </c>
    </row>
    <row r="810" spans="1:14" x14ac:dyDescent="0.3">
      <c r="A810">
        <v>851</v>
      </c>
      <c r="B810" t="s">
        <v>1501</v>
      </c>
      <c r="C810" t="s">
        <v>2256</v>
      </c>
      <c r="D810" t="s">
        <v>159</v>
      </c>
      <c r="E810" t="s">
        <v>159</v>
      </c>
      <c r="F810">
        <v>5582</v>
      </c>
      <c r="G810" t="s">
        <v>696</v>
      </c>
      <c r="H810" t="s">
        <v>1502</v>
      </c>
      <c r="I810">
        <v>9470</v>
      </c>
      <c r="J810">
        <v>9560</v>
      </c>
      <c r="K810">
        <v>9652</v>
      </c>
      <c r="L810">
        <v>9749</v>
      </c>
      <c r="M810">
        <v>10085</v>
      </c>
      <c r="N810" t="s">
        <v>988</v>
      </c>
    </row>
    <row r="811" spans="1:14" x14ac:dyDescent="0.3">
      <c r="A811">
        <v>851</v>
      </c>
      <c r="B811" t="s">
        <v>1501</v>
      </c>
      <c r="C811" t="s">
        <v>2256</v>
      </c>
      <c r="D811" t="s">
        <v>159</v>
      </c>
      <c r="E811" t="s">
        <v>159</v>
      </c>
      <c r="F811">
        <v>5582</v>
      </c>
      <c r="G811" t="s">
        <v>701</v>
      </c>
      <c r="I811">
        <v>87</v>
      </c>
      <c r="J811">
        <v>88</v>
      </c>
      <c r="K811">
        <v>89</v>
      </c>
      <c r="L811">
        <v>90</v>
      </c>
      <c r="M811">
        <v>93</v>
      </c>
      <c r="N811" t="s">
        <v>988</v>
      </c>
    </row>
    <row r="812" spans="1:14" x14ac:dyDescent="0.3">
      <c r="A812">
        <v>851</v>
      </c>
      <c r="B812" t="s">
        <v>1501</v>
      </c>
      <c r="C812" t="s">
        <v>2256</v>
      </c>
      <c r="D812" t="s">
        <v>159</v>
      </c>
      <c r="E812" t="s">
        <v>159</v>
      </c>
      <c r="F812">
        <v>5582</v>
      </c>
      <c r="G812" t="s">
        <v>700</v>
      </c>
      <c r="I812">
        <v>2136</v>
      </c>
      <c r="J812">
        <v>2156</v>
      </c>
      <c r="K812">
        <v>2177</v>
      </c>
      <c r="L812">
        <v>2199</v>
      </c>
      <c r="M812">
        <v>2275</v>
      </c>
      <c r="N812" t="s">
        <v>988</v>
      </c>
    </row>
    <row r="813" spans="1:14" x14ac:dyDescent="0.3">
      <c r="A813">
        <v>851</v>
      </c>
      <c r="B813" t="s">
        <v>1501</v>
      </c>
      <c r="C813" t="s">
        <v>2256</v>
      </c>
      <c r="D813" t="s">
        <v>159</v>
      </c>
      <c r="E813" t="s">
        <v>159</v>
      </c>
      <c r="F813">
        <v>5582</v>
      </c>
      <c r="G813" t="s">
        <v>698</v>
      </c>
      <c r="I813">
        <v>4582</v>
      </c>
      <c r="J813">
        <v>4625</v>
      </c>
      <c r="K813">
        <v>4670</v>
      </c>
      <c r="L813">
        <v>4717</v>
      </c>
      <c r="M813">
        <v>4879</v>
      </c>
      <c r="N813" t="s">
        <v>988</v>
      </c>
    </row>
    <row r="814" spans="1:14" x14ac:dyDescent="0.3">
      <c r="A814">
        <v>851</v>
      </c>
      <c r="B814" t="s">
        <v>1501</v>
      </c>
      <c r="C814" t="s">
        <v>2256</v>
      </c>
      <c r="D814" t="s">
        <v>159</v>
      </c>
      <c r="E814" t="s">
        <v>159</v>
      </c>
      <c r="F814">
        <v>5582</v>
      </c>
      <c r="G814" t="s">
        <v>703</v>
      </c>
      <c r="I814">
        <v>592</v>
      </c>
      <c r="J814">
        <v>597</v>
      </c>
      <c r="K814">
        <v>603</v>
      </c>
      <c r="L814">
        <v>609</v>
      </c>
      <c r="M814">
        <v>630</v>
      </c>
      <c r="N814" t="s">
        <v>988</v>
      </c>
    </row>
    <row r="815" spans="1:14" x14ac:dyDescent="0.3">
      <c r="A815">
        <v>856</v>
      </c>
      <c r="B815" t="s">
        <v>1505</v>
      </c>
      <c r="C815" t="s">
        <v>2256</v>
      </c>
      <c r="D815" t="s">
        <v>1203</v>
      </c>
      <c r="E815" t="s">
        <v>1204</v>
      </c>
      <c r="F815">
        <v>5561</v>
      </c>
      <c r="G815" t="s">
        <v>698</v>
      </c>
      <c r="I815">
        <v>497.85487426182999</v>
      </c>
      <c r="J815">
        <v>483.08317680607598</v>
      </c>
      <c r="K815">
        <v>478.09395968987002</v>
      </c>
      <c r="L815">
        <v>477.15961604648197</v>
      </c>
      <c r="M815">
        <v>478.290870952266</v>
      </c>
      <c r="N815" t="s">
        <v>987</v>
      </c>
    </row>
    <row r="816" spans="1:14" x14ac:dyDescent="0.3">
      <c r="A816">
        <v>856</v>
      </c>
      <c r="B816" t="s">
        <v>1505</v>
      </c>
      <c r="C816" t="s">
        <v>2256</v>
      </c>
      <c r="D816" t="s">
        <v>1203</v>
      </c>
      <c r="E816" t="s">
        <v>1204</v>
      </c>
      <c r="F816">
        <v>5561</v>
      </c>
      <c r="G816" t="s">
        <v>696</v>
      </c>
      <c r="I816">
        <v>349.41102548793299</v>
      </c>
      <c r="J816">
        <v>343.835382931006</v>
      </c>
      <c r="K816">
        <v>345.62875462965201</v>
      </c>
      <c r="L816">
        <v>350.182122881206</v>
      </c>
      <c r="M816">
        <v>355.09881965486699</v>
      </c>
      <c r="N816" t="s">
        <v>987</v>
      </c>
    </row>
    <row r="817" spans="1:14" x14ac:dyDescent="0.3">
      <c r="A817">
        <v>856</v>
      </c>
      <c r="B817" t="s">
        <v>1505</v>
      </c>
      <c r="C817" t="s">
        <v>2256</v>
      </c>
      <c r="D817" t="s">
        <v>1203</v>
      </c>
      <c r="E817" t="s">
        <v>1204</v>
      </c>
      <c r="F817">
        <v>5561</v>
      </c>
      <c r="G817" t="s">
        <v>700</v>
      </c>
      <c r="H817" t="s">
        <v>1462</v>
      </c>
      <c r="I817">
        <v>186.50398466531001</v>
      </c>
      <c r="J817">
        <v>204.66706937895501</v>
      </c>
      <c r="K817">
        <v>213.34644075706299</v>
      </c>
      <c r="L817">
        <v>221.34131062122299</v>
      </c>
      <c r="M817">
        <v>229.65667587182199</v>
      </c>
      <c r="N817" t="s">
        <v>987</v>
      </c>
    </row>
    <row r="818" spans="1:14" x14ac:dyDescent="0.3">
      <c r="A818">
        <v>856</v>
      </c>
      <c r="B818" t="s">
        <v>1505</v>
      </c>
      <c r="C818" t="s">
        <v>2256</v>
      </c>
      <c r="D818" t="s">
        <v>1203</v>
      </c>
      <c r="E818" t="s">
        <v>1204</v>
      </c>
      <c r="F818">
        <v>5561</v>
      </c>
      <c r="G818" t="s">
        <v>701</v>
      </c>
      <c r="I818">
        <v>25.599368904999999</v>
      </c>
      <c r="J818">
        <v>28.680928280844</v>
      </c>
      <c r="K818">
        <v>30.320969653043001</v>
      </c>
      <c r="L818">
        <v>31.804238479723001</v>
      </c>
      <c r="M818">
        <v>33.289665096608999</v>
      </c>
      <c r="N818" t="s">
        <v>987</v>
      </c>
    </row>
    <row r="819" spans="1:14" x14ac:dyDescent="0.3">
      <c r="A819">
        <v>856</v>
      </c>
      <c r="B819" t="s">
        <v>1505</v>
      </c>
      <c r="C819" t="s">
        <v>2256</v>
      </c>
      <c r="D819" t="s">
        <v>1203</v>
      </c>
      <c r="E819" t="s">
        <v>1204</v>
      </c>
      <c r="F819">
        <v>5561</v>
      </c>
      <c r="G819" t="s">
        <v>702</v>
      </c>
      <c r="I819">
        <v>421.00380161110002</v>
      </c>
      <c r="J819">
        <v>448.15798321812099</v>
      </c>
      <c r="K819">
        <v>471.12210224706899</v>
      </c>
      <c r="L819">
        <v>495.929602835465</v>
      </c>
      <c r="M819">
        <v>558.51078278716398</v>
      </c>
      <c r="N819" t="s">
        <v>987</v>
      </c>
    </row>
    <row r="820" spans="1:14" x14ac:dyDescent="0.3">
      <c r="A820">
        <v>856</v>
      </c>
      <c r="B820" t="s">
        <v>1505</v>
      </c>
      <c r="C820" t="s">
        <v>2256</v>
      </c>
      <c r="D820" t="s">
        <v>1203</v>
      </c>
      <c r="E820" t="s">
        <v>1204</v>
      </c>
      <c r="F820">
        <v>5561</v>
      </c>
      <c r="G820" t="s">
        <v>691</v>
      </c>
      <c r="H820" t="s">
        <v>1410</v>
      </c>
      <c r="I820">
        <v>0.64587494000300005</v>
      </c>
      <c r="J820">
        <v>0.657160558655</v>
      </c>
      <c r="K820">
        <v>0.67796699552499995</v>
      </c>
      <c r="L820">
        <v>0.69998673269300005</v>
      </c>
      <c r="M820">
        <v>0.72202923018499998</v>
      </c>
      <c r="N820" t="s">
        <v>987</v>
      </c>
    </row>
    <row r="821" spans="1:14" x14ac:dyDescent="0.3">
      <c r="A821">
        <v>856</v>
      </c>
      <c r="B821" t="s">
        <v>1505</v>
      </c>
      <c r="C821" t="s">
        <v>2256</v>
      </c>
      <c r="D821" t="s">
        <v>1203</v>
      </c>
      <c r="E821" t="s">
        <v>1204</v>
      </c>
      <c r="F821">
        <v>5561</v>
      </c>
      <c r="G821" t="s">
        <v>686</v>
      </c>
      <c r="I821">
        <v>133.719070097615</v>
      </c>
      <c r="J821">
        <v>136.66238937533799</v>
      </c>
      <c r="K821">
        <v>141.40694287086299</v>
      </c>
      <c r="L821">
        <v>145.39990330243899</v>
      </c>
      <c r="M821">
        <v>149.70423125686099</v>
      </c>
      <c r="N821" t="s">
        <v>987</v>
      </c>
    </row>
    <row r="822" spans="1:14" x14ac:dyDescent="0.3">
      <c r="A822">
        <v>859</v>
      </c>
      <c r="B822" t="s">
        <v>1507</v>
      </c>
      <c r="C822" t="s">
        <v>2256</v>
      </c>
      <c r="D822" t="s">
        <v>1203</v>
      </c>
      <c r="E822" t="s">
        <v>1204</v>
      </c>
      <c r="F822">
        <v>5694</v>
      </c>
      <c r="G822" t="s">
        <v>698</v>
      </c>
      <c r="I822">
        <v>108</v>
      </c>
      <c r="J822">
        <v>111</v>
      </c>
      <c r="K822">
        <v>115</v>
      </c>
      <c r="L822">
        <v>119</v>
      </c>
      <c r="M822">
        <v>121</v>
      </c>
      <c r="N822" t="s">
        <v>987</v>
      </c>
    </row>
    <row r="823" spans="1:14" x14ac:dyDescent="0.3">
      <c r="A823">
        <v>859</v>
      </c>
      <c r="B823" t="s">
        <v>1507</v>
      </c>
      <c r="C823" t="s">
        <v>2256</v>
      </c>
      <c r="D823" t="s">
        <v>1203</v>
      </c>
      <c r="E823" t="s">
        <v>1204</v>
      </c>
      <c r="F823">
        <v>5694</v>
      </c>
      <c r="G823" t="s">
        <v>700</v>
      </c>
      <c r="I823">
        <v>315</v>
      </c>
      <c r="J823">
        <v>323</v>
      </c>
      <c r="K823">
        <v>334</v>
      </c>
      <c r="L823">
        <v>343</v>
      </c>
      <c r="M823">
        <v>353</v>
      </c>
      <c r="N823" t="s">
        <v>987</v>
      </c>
    </row>
    <row r="824" spans="1:14" x14ac:dyDescent="0.3">
      <c r="A824">
        <v>859</v>
      </c>
      <c r="B824" t="s">
        <v>1507</v>
      </c>
      <c r="C824" t="s">
        <v>2256</v>
      </c>
      <c r="D824" t="s">
        <v>1203</v>
      </c>
      <c r="E824" t="s">
        <v>1204</v>
      </c>
      <c r="F824">
        <v>5694</v>
      </c>
      <c r="G824" t="s">
        <v>687</v>
      </c>
      <c r="H824" t="s">
        <v>1509</v>
      </c>
      <c r="I824">
        <v>13</v>
      </c>
      <c r="J824">
        <v>13</v>
      </c>
      <c r="K824">
        <v>13</v>
      </c>
      <c r="L824">
        <v>14</v>
      </c>
      <c r="M824">
        <v>14</v>
      </c>
      <c r="N824" t="s">
        <v>987</v>
      </c>
    </row>
    <row r="825" spans="1:14" x14ac:dyDescent="0.3">
      <c r="A825">
        <v>859</v>
      </c>
      <c r="B825" t="s">
        <v>1507</v>
      </c>
      <c r="C825" t="s">
        <v>2256</v>
      </c>
      <c r="D825" t="s">
        <v>1203</v>
      </c>
      <c r="E825" t="s">
        <v>1204</v>
      </c>
      <c r="F825">
        <v>5694</v>
      </c>
      <c r="G825" t="s">
        <v>686</v>
      </c>
      <c r="I825">
        <v>137</v>
      </c>
      <c r="J825">
        <v>141</v>
      </c>
      <c r="K825">
        <v>145</v>
      </c>
      <c r="L825">
        <v>149</v>
      </c>
      <c r="M825">
        <v>153</v>
      </c>
      <c r="N825" t="s">
        <v>987</v>
      </c>
    </row>
    <row r="826" spans="1:14" x14ac:dyDescent="0.3">
      <c r="A826">
        <v>859</v>
      </c>
      <c r="B826" t="s">
        <v>1507</v>
      </c>
      <c r="C826" t="s">
        <v>2256</v>
      </c>
      <c r="D826" t="s">
        <v>1203</v>
      </c>
      <c r="E826" t="s">
        <v>1204</v>
      </c>
      <c r="F826">
        <v>5694</v>
      </c>
      <c r="G826" t="s">
        <v>691</v>
      </c>
      <c r="H826" t="s">
        <v>1508</v>
      </c>
      <c r="I826">
        <v>4</v>
      </c>
      <c r="J826">
        <v>4</v>
      </c>
      <c r="K826">
        <v>4</v>
      </c>
      <c r="L826">
        <v>4</v>
      </c>
      <c r="M826">
        <v>4</v>
      </c>
      <c r="N826" t="s">
        <v>987</v>
      </c>
    </row>
    <row r="827" spans="1:14" x14ac:dyDescent="0.3">
      <c r="A827">
        <v>859</v>
      </c>
      <c r="B827" t="s">
        <v>1507</v>
      </c>
      <c r="C827" t="s">
        <v>2256</v>
      </c>
      <c r="D827" t="s">
        <v>1203</v>
      </c>
      <c r="E827" t="s">
        <v>1204</v>
      </c>
      <c r="F827">
        <v>5694</v>
      </c>
      <c r="G827" t="s">
        <v>696</v>
      </c>
      <c r="I827">
        <v>441</v>
      </c>
      <c r="J827">
        <v>455</v>
      </c>
      <c r="K827">
        <v>468</v>
      </c>
      <c r="L827">
        <v>482</v>
      </c>
      <c r="M827">
        <v>495</v>
      </c>
      <c r="N827" t="s">
        <v>987</v>
      </c>
    </row>
    <row r="828" spans="1:14" x14ac:dyDescent="0.3">
      <c r="A828">
        <v>866</v>
      </c>
      <c r="B828" t="s">
        <v>1510</v>
      </c>
      <c r="C828" t="s">
        <v>2256</v>
      </c>
      <c r="D828" t="s">
        <v>1203</v>
      </c>
      <c r="E828" t="s">
        <v>1204</v>
      </c>
      <c r="F828">
        <v>5963</v>
      </c>
      <c r="G828" t="s">
        <v>687</v>
      </c>
      <c r="H828" t="s">
        <v>1511</v>
      </c>
      <c r="I828">
        <v>627</v>
      </c>
      <c r="J828">
        <v>678</v>
      </c>
      <c r="K828">
        <v>732</v>
      </c>
      <c r="L828">
        <v>790</v>
      </c>
      <c r="N828" t="s">
        <v>988</v>
      </c>
    </row>
    <row r="829" spans="1:14" x14ac:dyDescent="0.3">
      <c r="A829">
        <v>866</v>
      </c>
      <c r="B829" t="s">
        <v>1510</v>
      </c>
      <c r="C829" t="s">
        <v>2256</v>
      </c>
      <c r="D829" t="s">
        <v>1203</v>
      </c>
      <c r="E829" t="s">
        <v>1204</v>
      </c>
      <c r="F829">
        <v>5963</v>
      </c>
      <c r="G829" t="s">
        <v>696</v>
      </c>
      <c r="I829">
        <v>8073</v>
      </c>
      <c r="J829">
        <v>8100</v>
      </c>
      <c r="K829">
        <v>8126</v>
      </c>
      <c r="L829">
        <v>8153</v>
      </c>
      <c r="N829" t="s">
        <v>988</v>
      </c>
    </row>
    <row r="830" spans="1:14" x14ac:dyDescent="0.3">
      <c r="A830">
        <v>866</v>
      </c>
      <c r="B830" t="s">
        <v>1510</v>
      </c>
      <c r="C830" t="s">
        <v>2256</v>
      </c>
      <c r="D830" t="s">
        <v>1203</v>
      </c>
      <c r="E830" t="s">
        <v>1204</v>
      </c>
      <c r="F830">
        <v>5963</v>
      </c>
      <c r="G830" t="s">
        <v>698</v>
      </c>
      <c r="I830">
        <v>644</v>
      </c>
      <c r="J830">
        <v>646</v>
      </c>
      <c r="K830">
        <v>648</v>
      </c>
      <c r="L830">
        <v>650</v>
      </c>
      <c r="N830" t="s">
        <v>988</v>
      </c>
    </row>
    <row r="831" spans="1:14" x14ac:dyDescent="0.3">
      <c r="A831">
        <v>866</v>
      </c>
      <c r="B831" t="s">
        <v>1510</v>
      </c>
      <c r="C831" t="s">
        <v>2256</v>
      </c>
      <c r="D831" t="s">
        <v>1203</v>
      </c>
      <c r="E831" t="s">
        <v>1204</v>
      </c>
      <c r="F831">
        <v>5963</v>
      </c>
      <c r="G831" t="s">
        <v>700</v>
      </c>
      <c r="I831">
        <v>275</v>
      </c>
      <c r="J831">
        <v>276</v>
      </c>
      <c r="K831">
        <v>277</v>
      </c>
      <c r="L831">
        <v>278</v>
      </c>
      <c r="N831" t="s">
        <v>988</v>
      </c>
    </row>
    <row r="832" spans="1:14" x14ac:dyDescent="0.3">
      <c r="A832">
        <v>866</v>
      </c>
      <c r="B832" t="s">
        <v>1510</v>
      </c>
      <c r="C832" t="s">
        <v>2256</v>
      </c>
      <c r="D832" t="s">
        <v>1203</v>
      </c>
      <c r="E832" t="s">
        <v>1204</v>
      </c>
      <c r="F832">
        <v>5963</v>
      </c>
      <c r="G832" t="s">
        <v>701</v>
      </c>
      <c r="I832">
        <v>255</v>
      </c>
      <c r="J832">
        <v>256</v>
      </c>
      <c r="K832">
        <v>257</v>
      </c>
      <c r="L832">
        <v>258</v>
      </c>
      <c r="N832" t="s">
        <v>988</v>
      </c>
    </row>
    <row r="833" spans="1:14" x14ac:dyDescent="0.3">
      <c r="A833">
        <v>866</v>
      </c>
      <c r="B833" t="s">
        <v>1510</v>
      </c>
      <c r="C833" t="s">
        <v>2256</v>
      </c>
      <c r="D833" t="s">
        <v>1203</v>
      </c>
      <c r="E833" t="s">
        <v>1204</v>
      </c>
      <c r="F833">
        <v>5963</v>
      </c>
      <c r="G833" t="s">
        <v>702</v>
      </c>
      <c r="I833">
        <v>644</v>
      </c>
      <c r="J833">
        <v>646</v>
      </c>
      <c r="K833">
        <v>649</v>
      </c>
      <c r="L833">
        <v>651</v>
      </c>
      <c r="N833" t="s">
        <v>988</v>
      </c>
    </row>
    <row r="834" spans="1:14" x14ac:dyDescent="0.3">
      <c r="A834">
        <v>866</v>
      </c>
      <c r="B834" t="s">
        <v>1510</v>
      </c>
      <c r="C834" t="s">
        <v>2256</v>
      </c>
      <c r="D834" t="s">
        <v>1203</v>
      </c>
      <c r="E834" t="s">
        <v>1204</v>
      </c>
      <c r="F834">
        <v>5963</v>
      </c>
      <c r="G834" t="s">
        <v>687</v>
      </c>
      <c r="H834" t="s">
        <v>1512</v>
      </c>
      <c r="I834">
        <v>12</v>
      </c>
      <c r="J834">
        <v>12</v>
      </c>
      <c r="K834">
        <v>12</v>
      </c>
      <c r="L834">
        <v>12</v>
      </c>
      <c r="N834" t="s">
        <v>988</v>
      </c>
    </row>
    <row r="835" spans="1:14" x14ac:dyDescent="0.3">
      <c r="A835">
        <v>867</v>
      </c>
      <c r="B835" t="s">
        <v>1513</v>
      </c>
      <c r="C835" t="s">
        <v>2256</v>
      </c>
      <c r="D835" t="s">
        <v>1203</v>
      </c>
      <c r="E835" t="s">
        <v>1204</v>
      </c>
      <c r="F835">
        <v>5770</v>
      </c>
      <c r="G835" t="s">
        <v>696</v>
      </c>
      <c r="H835" t="s">
        <v>2332</v>
      </c>
      <c r="I835">
        <v>3667</v>
      </c>
      <c r="J835">
        <v>3946</v>
      </c>
      <c r="K835">
        <v>4013</v>
      </c>
      <c r="L835">
        <v>4173</v>
      </c>
      <c r="M835">
        <v>4270</v>
      </c>
      <c r="N835" t="s">
        <v>987</v>
      </c>
    </row>
    <row r="836" spans="1:14" x14ac:dyDescent="0.3">
      <c r="A836">
        <v>867</v>
      </c>
      <c r="B836" t="s">
        <v>1513</v>
      </c>
      <c r="C836" t="s">
        <v>2256</v>
      </c>
      <c r="D836" t="s">
        <v>1203</v>
      </c>
      <c r="E836" t="s">
        <v>1204</v>
      </c>
      <c r="F836">
        <v>5770</v>
      </c>
      <c r="G836" t="s">
        <v>700</v>
      </c>
      <c r="H836" t="s">
        <v>2333</v>
      </c>
      <c r="I836">
        <v>669</v>
      </c>
      <c r="J836">
        <v>720</v>
      </c>
      <c r="K836">
        <v>732</v>
      </c>
      <c r="L836">
        <v>762</v>
      </c>
      <c r="M836">
        <v>779</v>
      </c>
      <c r="N836" t="s">
        <v>987</v>
      </c>
    </row>
    <row r="837" spans="1:14" x14ac:dyDescent="0.3">
      <c r="A837">
        <v>867</v>
      </c>
      <c r="B837" t="s">
        <v>1513</v>
      </c>
      <c r="C837" t="s">
        <v>2256</v>
      </c>
      <c r="D837" t="s">
        <v>1203</v>
      </c>
      <c r="E837" t="s">
        <v>1204</v>
      </c>
      <c r="F837">
        <v>5770</v>
      </c>
      <c r="G837" t="s">
        <v>701</v>
      </c>
      <c r="H837" t="s">
        <v>2334</v>
      </c>
      <c r="I837">
        <v>798</v>
      </c>
      <c r="J837">
        <v>859</v>
      </c>
      <c r="K837">
        <v>874</v>
      </c>
      <c r="L837">
        <v>909</v>
      </c>
      <c r="M837">
        <v>930</v>
      </c>
      <c r="N837" t="s">
        <v>987</v>
      </c>
    </row>
    <row r="838" spans="1:14" x14ac:dyDescent="0.3">
      <c r="A838">
        <v>867</v>
      </c>
      <c r="B838" t="s">
        <v>1513</v>
      </c>
      <c r="C838" t="s">
        <v>2256</v>
      </c>
      <c r="D838" t="s">
        <v>1203</v>
      </c>
      <c r="E838" t="s">
        <v>1204</v>
      </c>
      <c r="F838">
        <v>5770</v>
      </c>
      <c r="G838" t="s">
        <v>703</v>
      </c>
      <c r="H838" t="s">
        <v>2335</v>
      </c>
      <c r="I838">
        <v>85</v>
      </c>
      <c r="J838">
        <v>92</v>
      </c>
      <c r="K838">
        <v>93</v>
      </c>
      <c r="L838">
        <v>97</v>
      </c>
      <c r="M838">
        <v>99</v>
      </c>
      <c r="N838" t="s">
        <v>987</v>
      </c>
    </row>
    <row r="839" spans="1:14" x14ac:dyDescent="0.3">
      <c r="A839">
        <v>867</v>
      </c>
      <c r="B839" t="s">
        <v>1513</v>
      </c>
      <c r="C839" t="s">
        <v>2256</v>
      </c>
      <c r="D839" t="s">
        <v>1203</v>
      </c>
      <c r="E839" t="s">
        <v>1204</v>
      </c>
      <c r="F839">
        <v>5770</v>
      </c>
      <c r="G839" t="s">
        <v>702</v>
      </c>
      <c r="H839" t="s">
        <v>2336</v>
      </c>
      <c r="I839">
        <v>1005</v>
      </c>
      <c r="J839">
        <v>1082</v>
      </c>
      <c r="K839">
        <v>1100</v>
      </c>
      <c r="L839">
        <v>1144</v>
      </c>
      <c r="M839">
        <v>1171</v>
      </c>
      <c r="N839" t="s">
        <v>987</v>
      </c>
    </row>
    <row r="840" spans="1:14" x14ac:dyDescent="0.3">
      <c r="A840">
        <v>867</v>
      </c>
      <c r="B840" t="s">
        <v>1513</v>
      </c>
      <c r="C840" t="s">
        <v>2256</v>
      </c>
      <c r="D840" t="s">
        <v>1203</v>
      </c>
      <c r="E840" t="s">
        <v>1204</v>
      </c>
      <c r="F840">
        <v>5770</v>
      </c>
      <c r="G840" t="s">
        <v>705</v>
      </c>
      <c r="I840">
        <v>3</v>
      </c>
      <c r="J840">
        <v>3</v>
      </c>
      <c r="K840">
        <v>3</v>
      </c>
      <c r="L840">
        <v>3</v>
      </c>
      <c r="M840">
        <v>3</v>
      </c>
      <c r="N840" t="s">
        <v>987</v>
      </c>
    </row>
    <row r="841" spans="1:14" x14ac:dyDescent="0.3">
      <c r="A841">
        <v>867</v>
      </c>
      <c r="B841" t="s">
        <v>1513</v>
      </c>
      <c r="C841" t="s">
        <v>2256</v>
      </c>
      <c r="D841" t="s">
        <v>1203</v>
      </c>
      <c r="E841" t="s">
        <v>1204</v>
      </c>
      <c r="F841">
        <v>5770</v>
      </c>
      <c r="G841" t="s">
        <v>698</v>
      </c>
      <c r="H841" t="s">
        <v>2337</v>
      </c>
      <c r="I841">
        <v>319</v>
      </c>
      <c r="J841">
        <v>343</v>
      </c>
      <c r="K841">
        <v>349</v>
      </c>
      <c r="L841">
        <v>363</v>
      </c>
      <c r="M841">
        <v>371</v>
      </c>
      <c r="N841" t="s">
        <v>987</v>
      </c>
    </row>
    <row r="842" spans="1:14" x14ac:dyDescent="0.3">
      <c r="A842">
        <v>867</v>
      </c>
      <c r="B842" t="s">
        <v>1513</v>
      </c>
      <c r="C842" t="s">
        <v>2256</v>
      </c>
      <c r="D842" t="s">
        <v>1203</v>
      </c>
      <c r="E842" t="s">
        <v>1204</v>
      </c>
      <c r="F842">
        <v>5770</v>
      </c>
      <c r="G842" t="s">
        <v>691</v>
      </c>
      <c r="H842" t="s">
        <v>2338</v>
      </c>
      <c r="I842">
        <v>25</v>
      </c>
      <c r="J842">
        <v>25</v>
      </c>
      <c r="K842">
        <v>25</v>
      </c>
      <c r="L842">
        <v>25</v>
      </c>
      <c r="M842">
        <v>25</v>
      </c>
      <c r="N842" t="s">
        <v>987</v>
      </c>
    </row>
    <row r="843" spans="1:14" x14ac:dyDescent="0.3">
      <c r="A843">
        <v>867</v>
      </c>
      <c r="B843" t="s">
        <v>1513</v>
      </c>
      <c r="C843" t="s">
        <v>2256</v>
      </c>
      <c r="D843" t="s">
        <v>1203</v>
      </c>
      <c r="E843" t="s">
        <v>1204</v>
      </c>
      <c r="F843">
        <v>5770</v>
      </c>
      <c r="G843" t="s">
        <v>686</v>
      </c>
      <c r="I843">
        <v>535</v>
      </c>
      <c r="J843">
        <v>578</v>
      </c>
      <c r="K843">
        <v>588</v>
      </c>
      <c r="L843">
        <v>613</v>
      </c>
      <c r="M843">
        <v>627</v>
      </c>
      <c r="N843" t="s">
        <v>987</v>
      </c>
    </row>
    <row r="844" spans="1:14" x14ac:dyDescent="0.3">
      <c r="A844">
        <v>873</v>
      </c>
      <c r="B844" t="s">
        <v>1516</v>
      </c>
      <c r="C844" t="s">
        <v>2256</v>
      </c>
      <c r="D844" t="s">
        <v>159</v>
      </c>
      <c r="E844" t="s">
        <v>159</v>
      </c>
      <c r="F844">
        <v>6762</v>
      </c>
      <c r="G844" t="s">
        <v>684</v>
      </c>
      <c r="I844">
        <v>2233</v>
      </c>
      <c r="J844">
        <v>2220</v>
      </c>
      <c r="K844">
        <v>2212</v>
      </c>
      <c r="L844">
        <v>2196</v>
      </c>
      <c r="M844">
        <v>2190</v>
      </c>
      <c r="N844" t="s">
        <v>988</v>
      </c>
    </row>
    <row r="845" spans="1:14" x14ac:dyDescent="0.3">
      <c r="A845">
        <v>873</v>
      </c>
      <c r="B845" t="s">
        <v>1516</v>
      </c>
      <c r="C845" t="s">
        <v>2256</v>
      </c>
      <c r="D845" t="s">
        <v>159</v>
      </c>
      <c r="E845" t="s">
        <v>159</v>
      </c>
      <c r="F845">
        <v>6762</v>
      </c>
      <c r="G845" t="s">
        <v>686</v>
      </c>
      <c r="I845">
        <v>759</v>
      </c>
      <c r="J845">
        <v>759</v>
      </c>
      <c r="K845">
        <v>759</v>
      </c>
      <c r="L845">
        <v>759</v>
      </c>
      <c r="M845">
        <v>759</v>
      </c>
      <c r="N845" t="s">
        <v>988</v>
      </c>
    </row>
    <row r="846" spans="1:14" x14ac:dyDescent="0.3">
      <c r="A846">
        <v>873</v>
      </c>
      <c r="B846" t="s">
        <v>1516</v>
      </c>
      <c r="C846" t="s">
        <v>2256</v>
      </c>
      <c r="D846" t="s">
        <v>159</v>
      </c>
      <c r="E846" t="s">
        <v>159</v>
      </c>
      <c r="F846">
        <v>6762</v>
      </c>
      <c r="G846" t="s">
        <v>702</v>
      </c>
      <c r="I846">
        <v>25</v>
      </c>
      <c r="J846">
        <v>25</v>
      </c>
      <c r="K846">
        <v>25</v>
      </c>
      <c r="L846">
        <v>25</v>
      </c>
      <c r="M846">
        <v>25</v>
      </c>
      <c r="N846" t="s">
        <v>988</v>
      </c>
    </row>
    <row r="847" spans="1:14" x14ac:dyDescent="0.3">
      <c r="A847">
        <v>873</v>
      </c>
      <c r="B847" t="s">
        <v>1516</v>
      </c>
      <c r="C847" t="s">
        <v>2256</v>
      </c>
      <c r="D847" t="s">
        <v>159</v>
      </c>
      <c r="E847" t="s">
        <v>159</v>
      </c>
      <c r="F847">
        <v>6762</v>
      </c>
      <c r="G847" t="s">
        <v>703</v>
      </c>
      <c r="I847">
        <v>117</v>
      </c>
      <c r="J847">
        <v>117</v>
      </c>
      <c r="K847">
        <v>117</v>
      </c>
      <c r="L847">
        <v>116</v>
      </c>
      <c r="M847">
        <v>116</v>
      </c>
      <c r="N847" t="s">
        <v>988</v>
      </c>
    </row>
    <row r="848" spans="1:14" x14ac:dyDescent="0.3">
      <c r="A848">
        <v>873</v>
      </c>
      <c r="B848" t="s">
        <v>1516</v>
      </c>
      <c r="C848" t="s">
        <v>2256</v>
      </c>
      <c r="D848" t="s">
        <v>159</v>
      </c>
      <c r="E848" t="s">
        <v>159</v>
      </c>
      <c r="F848">
        <v>6762</v>
      </c>
      <c r="G848" t="s">
        <v>700</v>
      </c>
      <c r="H848" t="s">
        <v>2339</v>
      </c>
      <c r="I848">
        <v>483</v>
      </c>
      <c r="J848">
        <v>482</v>
      </c>
      <c r="K848">
        <v>482</v>
      </c>
      <c r="L848">
        <v>479</v>
      </c>
      <c r="M848">
        <v>479</v>
      </c>
      <c r="N848" t="s">
        <v>988</v>
      </c>
    </row>
    <row r="849" spans="1:14" x14ac:dyDescent="0.3">
      <c r="A849">
        <v>873</v>
      </c>
      <c r="B849" t="s">
        <v>1516</v>
      </c>
      <c r="C849" t="s">
        <v>2256</v>
      </c>
      <c r="D849" t="s">
        <v>159</v>
      </c>
      <c r="E849" t="s">
        <v>159</v>
      </c>
      <c r="F849">
        <v>6762</v>
      </c>
      <c r="G849" t="s">
        <v>698</v>
      </c>
      <c r="I849">
        <v>653</v>
      </c>
      <c r="J849">
        <v>719</v>
      </c>
      <c r="K849">
        <v>740</v>
      </c>
      <c r="L849">
        <v>742</v>
      </c>
      <c r="M849">
        <v>741</v>
      </c>
      <c r="N849" t="s">
        <v>988</v>
      </c>
    </row>
    <row r="850" spans="1:14" x14ac:dyDescent="0.3">
      <c r="A850">
        <v>873</v>
      </c>
      <c r="B850" t="s">
        <v>1516</v>
      </c>
      <c r="C850" t="s">
        <v>2256</v>
      </c>
      <c r="D850" t="s">
        <v>159</v>
      </c>
      <c r="E850" t="s">
        <v>159</v>
      </c>
      <c r="F850">
        <v>6762</v>
      </c>
      <c r="G850" t="s">
        <v>696</v>
      </c>
      <c r="I850">
        <v>4375</v>
      </c>
      <c r="J850">
        <v>4647</v>
      </c>
      <c r="K850">
        <v>5216</v>
      </c>
      <c r="L850">
        <v>5443</v>
      </c>
      <c r="M850">
        <v>5550</v>
      </c>
      <c r="N850" t="s">
        <v>988</v>
      </c>
    </row>
    <row r="851" spans="1:14" x14ac:dyDescent="0.3">
      <c r="A851">
        <v>904</v>
      </c>
      <c r="B851" t="s">
        <v>862</v>
      </c>
      <c r="C851" t="s">
        <v>2256</v>
      </c>
      <c r="D851" t="s">
        <v>1203</v>
      </c>
      <c r="E851" t="s">
        <v>1204</v>
      </c>
      <c r="F851">
        <v>5650</v>
      </c>
      <c r="G851" t="s">
        <v>687</v>
      </c>
      <c r="H851" t="s">
        <v>1517</v>
      </c>
      <c r="I851">
        <v>150</v>
      </c>
      <c r="J851">
        <v>150</v>
      </c>
      <c r="K851">
        <v>150</v>
      </c>
      <c r="L851">
        <v>150</v>
      </c>
      <c r="M851">
        <v>150</v>
      </c>
      <c r="N851" t="s">
        <v>988</v>
      </c>
    </row>
    <row r="852" spans="1:14" x14ac:dyDescent="0.3">
      <c r="A852">
        <v>904</v>
      </c>
      <c r="B852" t="s">
        <v>862</v>
      </c>
      <c r="C852" t="s">
        <v>2256</v>
      </c>
      <c r="D852" t="s">
        <v>1203</v>
      </c>
      <c r="E852" t="s">
        <v>1204</v>
      </c>
      <c r="F852">
        <v>5650</v>
      </c>
      <c r="G852" t="s">
        <v>686</v>
      </c>
      <c r="I852">
        <v>2182</v>
      </c>
      <c r="J852">
        <v>2421</v>
      </c>
      <c r="K852">
        <v>2578</v>
      </c>
      <c r="L852">
        <v>2678</v>
      </c>
      <c r="M852">
        <v>2718</v>
      </c>
      <c r="N852" t="s">
        <v>988</v>
      </c>
    </row>
    <row r="853" spans="1:14" x14ac:dyDescent="0.3">
      <c r="A853">
        <v>904</v>
      </c>
      <c r="B853" t="s">
        <v>862</v>
      </c>
      <c r="C853" t="s">
        <v>2256</v>
      </c>
      <c r="D853" t="s">
        <v>1203</v>
      </c>
      <c r="E853" t="s">
        <v>1204</v>
      </c>
      <c r="F853">
        <v>5650</v>
      </c>
      <c r="G853" t="s">
        <v>703</v>
      </c>
      <c r="H853" t="s">
        <v>1518</v>
      </c>
      <c r="I853">
        <v>1017</v>
      </c>
      <c r="J853">
        <v>1076</v>
      </c>
      <c r="K853">
        <v>1124</v>
      </c>
      <c r="L853">
        <v>1193</v>
      </c>
      <c r="M853">
        <v>1219</v>
      </c>
      <c r="N853" t="s">
        <v>988</v>
      </c>
    </row>
    <row r="854" spans="1:14" x14ac:dyDescent="0.3">
      <c r="A854">
        <v>904</v>
      </c>
      <c r="B854" t="s">
        <v>862</v>
      </c>
      <c r="C854" t="s">
        <v>2256</v>
      </c>
      <c r="D854" t="s">
        <v>1203</v>
      </c>
      <c r="E854" t="s">
        <v>1204</v>
      </c>
      <c r="F854">
        <v>5650</v>
      </c>
      <c r="G854" t="s">
        <v>703</v>
      </c>
      <c r="H854" t="s">
        <v>1274</v>
      </c>
      <c r="I854">
        <v>859</v>
      </c>
      <c r="J854">
        <v>981</v>
      </c>
      <c r="K854">
        <v>1067</v>
      </c>
      <c r="L854">
        <v>1081</v>
      </c>
      <c r="M854">
        <v>1096</v>
      </c>
      <c r="N854" t="s">
        <v>988</v>
      </c>
    </row>
    <row r="855" spans="1:14" x14ac:dyDescent="0.3">
      <c r="A855">
        <v>904</v>
      </c>
      <c r="B855" t="s">
        <v>862</v>
      </c>
      <c r="C855" t="s">
        <v>2256</v>
      </c>
      <c r="D855" t="s">
        <v>1203</v>
      </c>
      <c r="E855" t="s">
        <v>1204</v>
      </c>
      <c r="F855">
        <v>5650</v>
      </c>
      <c r="G855" t="s">
        <v>700</v>
      </c>
      <c r="H855" t="s">
        <v>2340</v>
      </c>
      <c r="I855">
        <v>4544</v>
      </c>
      <c r="J855">
        <v>5072</v>
      </c>
      <c r="K855">
        <v>5359</v>
      </c>
      <c r="L855">
        <v>5579</v>
      </c>
      <c r="M855">
        <v>5703</v>
      </c>
      <c r="N855" t="s">
        <v>988</v>
      </c>
    </row>
    <row r="856" spans="1:14" x14ac:dyDescent="0.3">
      <c r="A856">
        <v>904</v>
      </c>
      <c r="B856" t="s">
        <v>862</v>
      </c>
      <c r="C856" t="s">
        <v>2256</v>
      </c>
      <c r="D856" t="s">
        <v>1203</v>
      </c>
      <c r="E856" t="s">
        <v>1204</v>
      </c>
      <c r="F856">
        <v>5650</v>
      </c>
      <c r="G856" t="s">
        <v>698</v>
      </c>
      <c r="I856">
        <v>2056</v>
      </c>
      <c r="J856">
        <v>2458</v>
      </c>
      <c r="K856">
        <v>2780</v>
      </c>
      <c r="L856">
        <v>2970</v>
      </c>
      <c r="M856">
        <v>3136</v>
      </c>
      <c r="N856" t="s">
        <v>988</v>
      </c>
    </row>
    <row r="857" spans="1:14" x14ac:dyDescent="0.3">
      <c r="A857">
        <v>904</v>
      </c>
      <c r="B857" t="s">
        <v>862</v>
      </c>
      <c r="C857" t="s">
        <v>2256</v>
      </c>
      <c r="D857" t="s">
        <v>1203</v>
      </c>
      <c r="E857" t="s">
        <v>1204</v>
      </c>
      <c r="F857">
        <v>5650</v>
      </c>
      <c r="G857" t="s">
        <v>696</v>
      </c>
      <c r="I857">
        <v>9710</v>
      </c>
      <c r="J857">
        <v>10587</v>
      </c>
      <c r="K857">
        <v>11156</v>
      </c>
      <c r="L857">
        <v>11494</v>
      </c>
      <c r="M857">
        <v>11498</v>
      </c>
      <c r="N857" t="s">
        <v>988</v>
      </c>
    </row>
    <row r="858" spans="1:14" x14ac:dyDescent="0.3">
      <c r="A858">
        <v>920</v>
      </c>
      <c r="B858" t="s">
        <v>1519</v>
      </c>
      <c r="C858" t="s">
        <v>2256</v>
      </c>
      <c r="D858" t="s">
        <v>1203</v>
      </c>
      <c r="E858" t="s">
        <v>1204</v>
      </c>
      <c r="F858">
        <v>5702</v>
      </c>
      <c r="G858" t="s">
        <v>703</v>
      </c>
      <c r="I858">
        <v>15.27</v>
      </c>
      <c r="J858">
        <v>17</v>
      </c>
      <c r="K858">
        <v>18</v>
      </c>
      <c r="L858">
        <v>19</v>
      </c>
      <c r="M858">
        <v>21</v>
      </c>
      <c r="N858" t="s">
        <v>987</v>
      </c>
    </row>
    <row r="859" spans="1:14" x14ac:dyDescent="0.3">
      <c r="A859">
        <v>920</v>
      </c>
      <c r="B859" t="s">
        <v>1519</v>
      </c>
      <c r="C859" t="s">
        <v>2256</v>
      </c>
      <c r="D859" t="s">
        <v>1203</v>
      </c>
      <c r="E859" t="s">
        <v>1204</v>
      </c>
      <c r="F859">
        <v>5702</v>
      </c>
      <c r="G859" t="s">
        <v>700</v>
      </c>
      <c r="I859">
        <v>40.340000000000003</v>
      </c>
      <c r="J859">
        <v>44</v>
      </c>
      <c r="K859">
        <v>47</v>
      </c>
      <c r="L859">
        <v>51</v>
      </c>
      <c r="M859">
        <v>55</v>
      </c>
      <c r="N859" t="s">
        <v>987</v>
      </c>
    </row>
    <row r="860" spans="1:14" x14ac:dyDescent="0.3">
      <c r="A860">
        <v>920</v>
      </c>
      <c r="B860" t="s">
        <v>1519</v>
      </c>
      <c r="C860" t="s">
        <v>2256</v>
      </c>
      <c r="D860" t="s">
        <v>1203</v>
      </c>
      <c r="E860" t="s">
        <v>1204</v>
      </c>
      <c r="F860">
        <v>5702</v>
      </c>
      <c r="G860" t="s">
        <v>687</v>
      </c>
      <c r="H860" t="s">
        <v>1520</v>
      </c>
      <c r="I860">
        <v>22.29</v>
      </c>
      <c r="J860">
        <v>24</v>
      </c>
      <c r="K860">
        <v>26</v>
      </c>
      <c r="L860">
        <v>28</v>
      </c>
      <c r="M860">
        <v>31</v>
      </c>
      <c r="N860" t="s">
        <v>987</v>
      </c>
    </row>
    <row r="861" spans="1:14" x14ac:dyDescent="0.3">
      <c r="A861">
        <v>920</v>
      </c>
      <c r="B861" t="s">
        <v>1519</v>
      </c>
      <c r="C861" t="s">
        <v>2256</v>
      </c>
      <c r="D861" t="s">
        <v>1203</v>
      </c>
      <c r="E861" t="s">
        <v>1204</v>
      </c>
      <c r="F861">
        <v>5702</v>
      </c>
      <c r="G861" t="s">
        <v>696</v>
      </c>
      <c r="I861">
        <v>277.48</v>
      </c>
      <c r="J861">
        <v>300</v>
      </c>
      <c r="K861">
        <v>325</v>
      </c>
      <c r="L861">
        <v>352</v>
      </c>
      <c r="M861">
        <v>381</v>
      </c>
      <c r="N861" t="s">
        <v>987</v>
      </c>
    </row>
    <row r="862" spans="1:14" x14ac:dyDescent="0.3">
      <c r="A862">
        <v>920</v>
      </c>
      <c r="B862" t="s">
        <v>1519</v>
      </c>
      <c r="C862" t="s">
        <v>2256</v>
      </c>
      <c r="D862" t="s">
        <v>1203</v>
      </c>
      <c r="E862" t="s">
        <v>1204</v>
      </c>
      <c r="F862">
        <v>5702</v>
      </c>
      <c r="G862" t="s">
        <v>701</v>
      </c>
      <c r="I862">
        <v>1.42</v>
      </c>
      <c r="J862">
        <v>2</v>
      </c>
      <c r="K862">
        <v>2</v>
      </c>
      <c r="L862">
        <v>2</v>
      </c>
      <c r="M862">
        <v>2</v>
      </c>
      <c r="N862" t="s">
        <v>987</v>
      </c>
    </row>
    <row r="863" spans="1:14" x14ac:dyDescent="0.3">
      <c r="A863">
        <v>920</v>
      </c>
      <c r="B863" t="s">
        <v>1519</v>
      </c>
      <c r="C863" t="s">
        <v>2256</v>
      </c>
      <c r="D863" t="s">
        <v>1203</v>
      </c>
      <c r="E863" t="s">
        <v>1204</v>
      </c>
      <c r="F863">
        <v>5702</v>
      </c>
      <c r="G863" t="s">
        <v>684</v>
      </c>
      <c r="I863">
        <v>9.0299999999999994</v>
      </c>
      <c r="J863">
        <v>10</v>
      </c>
      <c r="K863">
        <v>11</v>
      </c>
      <c r="L863">
        <v>11</v>
      </c>
      <c r="M863">
        <v>12</v>
      </c>
      <c r="N863" t="s">
        <v>987</v>
      </c>
    </row>
    <row r="864" spans="1:14" x14ac:dyDescent="0.3">
      <c r="A864">
        <v>920</v>
      </c>
      <c r="B864" t="s">
        <v>1519</v>
      </c>
      <c r="C864" t="s">
        <v>2256</v>
      </c>
      <c r="D864" t="s">
        <v>1203</v>
      </c>
      <c r="E864" t="s">
        <v>1204</v>
      </c>
      <c r="F864">
        <v>5702</v>
      </c>
      <c r="G864" t="s">
        <v>1521</v>
      </c>
      <c r="H864" t="s">
        <v>1522</v>
      </c>
      <c r="I864">
        <v>3.63</v>
      </c>
      <c r="J864">
        <v>4</v>
      </c>
      <c r="K864">
        <v>4</v>
      </c>
      <c r="L864">
        <v>5</v>
      </c>
      <c r="M864">
        <v>5</v>
      </c>
      <c r="N864" t="s">
        <v>987</v>
      </c>
    </row>
    <row r="865" spans="1:14" x14ac:dyDescent="0.3">
      <c r="A865">
        <v>920</v>
      </c>
      <c r="B865" t="s">
        <v>1519</v>
      </c>
      <c r="C865" t="s">
        <v>2256</v>
      </c>
      <c r="D865" t="s">
        <v>1203</v>
      </c>
      <c r="E865" t="s">
        <v>1204</v>
      </c>
      <c r="F865">
        <v>5702</v>
      </c>
      <c r="G865" t="s">
        <v>686</v>
      </c>
      <c r="I865">
        <v>92.37</v>
      </c>
      <c r="J865">
        <v>100</v>
      </c>
      <c r="K865">
        <v>108</v>
      </c>
      <c r="L865">
        <v>117</v>
      </c>
      <c r="M865">
        <v>127</v>
      </c>
      <c r="N865" t="s">
        <v>987</v>
      </c>
    </row>
    <row r="866" spans="1:14" x14ac:dyDescent="0.3">
      <c r="A866">
        <v>924</v>
      </c>
      <c r="B866" t="s">
        <v>1523</v>
      </c>
      <c r="C866" t="s">
        <v>2256</v>
      </c>
      <c r="D866" t="s">
        <v>159</v>
      </c>
      <c r="E866" t="s">
        <v>159</v>
      </c>
      <c r="F866">
        <v>7854</v>
      </c>
      <c r="G866" t="s">
        <v>701</v>
      </c>
      <c r="I866">
        <v>227</v>
      </c>
      <c r="J866">
        <v>228</v>
      </c>
      <c r="K866">
        <v>245</v>
      </c>
      <c r="L866">
        <v>263</v>
      </c>
      <c r="M866">
        <v>263</v>
      </c>
      <c r="N866" t="s">
        <v>988</v>
      </c>
    </row>
    <row r="867" spans="1:14" x14ac:dyDescent="0.3">
      <c r="A867">
        <v>924</v>
      </c>
      <c r="B867" t="s">
        <v>1523</v>
      </c>
      <c r="C867" t="s">
        <v>2256</v>
      </c>
      <c r="D867" t="s">
        <v>159</v>
      </c>
      <c r="E867" t="s">
        <v>159</v>
      </c>
      <c r="F867">
        <v>7854</v>
      </c>
      <c r="G867" t="s">
        <v>700</v>
      </c>
      <c r="I867">
        <v>1159</v>
      </c>
      <c r="J867">
        <v>1164</v>
      </c>
      <c r="K867">
        <v>1252</v>
      </c>
      <c r="L867">
        <v>1346</v>
      </c>
      <c r="M867">
        <v>1346</v>
      </c>
      <c r="N867" t="s">
        <v>988</v>
      </c>
    </row>
    <row r="868" spans="1:14" x14ac:dyDescent="0.3">
      <c r="A868">
        <v>924</v>
      </c>
      <c r="B868" t="s">
        <v>1523</v>
      </c>
      <c r="C868" t="s">
        <v>2256</v>
      </c>
      <c r="D868" t="s">
        <v>159</v>
      </c>
      <c r="E868" t="s">
        <v>159</v>
      </c>
      <c r="F868">
        <v>7854</v>
      </c>
      <c r="G868" t="s">
        <v>696</v>
      </c>
      <c r="I868">
        <v>4672</v>
      </c>
      <c r="J868">
        <v>4596</v>
      </c>
      <c r="K868">
        <v>4552</v>
      </c>
      <c r="L868">
        <v>4475</v>
      </c>
      <c r="M868">
        <v>4471</v>
      </c>
      <c r="N868" t="s">
        <v>988</v>
      </c>
    </row>
    <row r="869" spans="1:14" x14ac:dyDescent="0.3">
      <c r="A869">
        <v>924</v>
      </c>
      <c r="B869" t="s">
        <v>1523</v>
      </c>
      <c r="C869" t="s">
        <v>2256</v>
      </c>
      <c r="D869" t="s">
        <v>159</v>
      </c>
      <c r="E869" t="s">
        <v>159</v>
      </c>
      <c r="F869">
        <v>7854</v>
      </c>
      <c r="G869" t="s">
        <v>698</v>
      </c>
      <c r="I869">
        <v>653</v>
      </c>
      <c r="J869">
        <v>644</v>
      </c>
      <c r="K869">
        <v>629</v>
      </c>
      <c r="L869">
        <v>617</v>
      </c>
      <c r="M869">
        <v>622</v>
      </c>
      <c r="N869" t="s">
        <v>988</v>
      </c>
    </row>
    <row r="870" spans="1:14" x14ac:dyDescent="0.3">
      <c r="A870">
        <v>924</v>
      </c>
      <c r="B870" t="s">
        <v>1523</v>
      </c>
      <c r="C870" t="s">
        <v>2256</v>
      </c>
      <c r="D870" t="s">
        <v>159</v>
      </c>
      <c r="E870" t="s">
        <v>159</v>
      </c>
      <c r="F870">
        <v>7854</v>
      </c>
      <c r="G870" t="s">
        <v>686</v>
      </c>
      <c r="H870" t="s">
        <v>1405</v>
      </c>
      <c r="I870">
        <v>409</v>
      </c>
      <c r="J870">
        <v>405</v>
      </c>
      <c r="K870">
        <v>411</v>
      </c>
      <c r="L870">
        <v>415</v>
      </c>
      <c r="M870">
        <v>415</v>
      </c>
      <c r="N870" t="s">
        <v>988</v>
      </c>
    </row>
    <row r="871" spans="1:14" x14ac:dyDescent="0.3">
      <c r="A871">
        <v>924</v>
      </c>
      <c r="B871" t="s">
        <v>1523</v>
      </c>
      <c r="C871" t="s">
        <v>2256</v>
      </c>
      <c r="D871" t="s">
        <v>159</v>
      </c>
      <c r="E871" t="s">
        <v>159</v>
      </c>
      <c r="F871">
        <v>7854</v>
      </c>
      <c r="G871" t="s">
        <v>702</v>
      </c>
      <c r="I871">
        <v>652</v>
      </c>
      <c r="J871">
        <v>652</v>
      </c>
      <c r="K871">
        <v>652</v>
      </c>
      <c r="L871">
        <v>652</v>
      </c>
      <c r="M871">
        <v>652</v>
      </c>
      <c r="N871" t="s">
        <v>988</v>
      </c>
    </row>
    <row r="872" spans="1:14" x14ac:dyDescent="0.3">
      <c r="A872">
        <v>924</v>
      </c>
      <c r="B872" t="s">
        <v>1523</v>
      </c>
      <c r="C872" t="s">
        <v>2256</v>
      </c>
      <c r="D872" t="s">
        <v>159</v>
      </c>
      <c r="E872" t="s">
        <v>159</v>
      </c>
      <c r="F872">
        <v>7854</v>
      </c>
      <c r="G872" t="s">
        <v>703</v>
      </c>
      <c r="I872">
        <v>817</v>
      </c>
      <c r="J872">
        <v>821</v>
      </c>
      <c r="K872">
        <v>883</v>
      </c>
      <c r="L872">
        <v>949</v>
      </c>
      <c r="M872">
        <v>949</v>
      </c>
      <c r="N872" t="s">
        <v>988</v>
      </c>
    </row>
    <row r="873" spans="1:14" x14ac:dyDescent="0.3">
      <c r="A873">
        <v>934</v>
      </c>
      <c r="B873" t="s">
        <v>899</v>
      </c>
      <c r="C873" t="s">
        <v>2256</v>
      </c>
      <c r="D873" t="s">
        <v>159</v>
      </c>
      <c r="E873" t="s">
        <v>159</v>
      </c>
      <c r="F873">
        <v>7328</v>
      </c>
      <c r="G873" t="s">
        <v>686</v>
      </c>
      <c r="I873">
        <v>10097</v>
      </c>
      <c r="J873">
        <v>10900</v>
      </c>
      <c r="K873">
        <v>11408</v>
      </c>
      <c r="L873">
        <v>11917</v>
      </c>
      <c r="M873">
        <v>12426</v>
      </c>
      <c r="N873" t="s">
        <v>988</v>
      </c>
    </row>
    <row r="874" spans="1:14" x14ac:dyDescent="0.3">
      <c r="A874">
        <v>934</v>
      </c>
      <c r="B874" t="s">
        <v>899</v>
      </c>
      <c r="C874" t="s">
        <v>2256</v>
      </c>
      <c r="D874" t="s">
        <v>159</v>
      </c>
      <c r="E874" t="s">
        <v>159</v>
      </c>
      <c r="F874">
        <v>7328</v>
      </c>
      <c r="G874" t="s">
        <v>1526</v>
      </c>
      <c r="H874" t="s">
        <v>1210</v>
      </c>
      <c r="I874">
        <v>62700</v>
      </c>
      <c r="J874">
        <v>65400</v>
      </c>
      <c r="K874">
        <v>68100</v>
      </c>
      <c r="L874">
        <v>70800</v>
      </c>
      <c r="M874">
        <v>73500</v>
      </c>
      <c r="N874" t="s">
        <v>988</v>
      </c>
    </row>
    <row r="875" spans="1:14" x14ac:dyDescent="0.3">
      <c r="A875">
        <v>934</v>
      </c>
      <c r="B875" t="s">
        <v>899</v>
      </c>
      <c r="C875" t="s">
        <v>2256</v>
      </c>
      <c r="D875" t="s">
        <v>159</v>
      </c>
      <c r="E875" t="s">
        <v>159</v>
      </c>
      <c r="F875">
        <v>7328</v>
      </c>
      <c r="G875" t="s">
        <v>696</v>
      </c>
      <c r="I875">
        <v>76255</v>
      </c>
      <c r="J875">
        <v>80429</v>
      </c>
      <c r="K875">
        <v>82934</v>
      </c>
      <c r="L875">
        <v>85437</v>
      </c>
      <c r="M875">
        <v>87936</v>
      </c>
      <c r="N875" t="s">
        <v>988</v>
      </c>
    </row>
    <row r="876" spans="1:14" x14ac:dyDescent="0.3">
      <c r="A876">
        <v>934</v>
      </c>
      <c r="B876" t="s">
        <v>899</v>
      </c>
      <c r="C876" t="s">
        <v>2256</v>
      </c>
      <c r="D876" t="s">
        <v>159</v>
      </c>
      <c r="E876" t="s">
        <v>159</v>
      </c>
      <c r="F876">
        <v>7328</v>
      </c>
      <c r="G876" t="s">
        <v>702</v>
      </c>
      <c r="I876">
        <v>4490</v>
      </c>
      <c r="J876">
        <v>5035</v>
      </c>
      <c r="K876">
        <v>5422</v>
      </c>
      <c r="L876">
        <v>5809</v>
      </c>
      <c r="M876">
        <v>6196</v>
      </c>
      <c r="N876" t="s">
        <v>988</v>
      </c>
    </row>
    <row r="877" spans="1:14" x14ac:dyDescent="0.3">
      <c r="A877">
        <v>934</v>
      </c>
      <c r="B877" t="s">
        <v>899</v>
      </c>
      <c r="C877" t="s">
        <v>2256</v>
      </c>
      <c r="D877" t="s">
        <v>159</v>
      </c>
      <c r="E877" t="s">
        <v>159</v>
      </c>
      <c r="F877">
        <v>7328</v>
      </c>
      <c r="G877" t="s">
        <v>703</v>
      </c>
      <c r="H877" t="s">
        <v>1525</v>
      </c>
      <c r="I877">
        <v>0</v>
      </c>
      <c r="J877">
        <v>0</v>
      </c>
      <c r="K877">
        <v>0</v>
      </c>
      <c r="L877">
        <v>0</v>
      </c>
      <c r="M877">
        <v>0</v>
      </c>
      <c r="N877" t="s">
        <v>988</v>
      </c>
    </row>
    <row r="878" spans="1:14" x14ac:dyDescent="0.3">
      <c r="A878">
        <v>934</v>
      </c>
      <c r="B878" t="s">
        <v>899</v>
      </c>
      <c r="C878" t="s">
        <v>2256</v>
      </c>
      <c r="D878" t="s">
        <v>159</v>
      </c>
      <c r="E878" t="s">
        <v>159</v>
      </c>
      <c r="F878">
        <v>7328</v>
      </c>
      <c r="G878" t="s">
        <v>701</v>
      </c>
      <c r="I878">
        <v>7410</v>
      </c>
      <c r="J878">
        <v>9003</v>
      </c>
      <c r="K878">
        <v>9922</v>
      </c>
      <c r="L878">
        <v>10841</v>
      </c>
      <c r="M878">
        <v>11758</v>
      </c>
      <c r="N878" t="s">
        <v>988</v>
      </c>
    </row>
    <row r="879" spans="1:14" x14ac:dyDescent="0.3">
      <c r="A879">
        <v>934</v>
      </c>
      <c r="B879" t="s">
        <v>899</v>
      </c>
      <c r="C879" t="s">
        <v>2256</v>
      </c>
      <c r="D879" t="s">
        <v>159</v>
      </c>
      <c r="E879" t="s">
        <v>159</v>
      </c>
      <c r="F879">
        <v>7328</v>
      </c>
      <c r="G879" t="s">
        <v>700</v>
      </c>
      <c r="I879">
        <v>19052</v>
      </c>
      <c r="J879">
        <v>21135</v>
      </c>
      <c r="K879">
        <v>22587</v>
      </c>
      <c r="L879">
        <v>24041</v>
      </c>
      <c r="M879">
        <v>25496</v>
      </c>
      <c r="N879" t="s">
        <v>988</v>
      </c>
    </row>
    <row r="880" spans="1:14" x14ac:dyDescent="0.3">
      <c r="A880">
        <v>934</v>
      </c>
      <c r="B880" t="s">
        <v>899</v>
      </c>
      <c r="C880" t="s">
        <v>2256</v>
      </c>
      <c r="D880" t="s">
        <v>159</v>
      </c>
      <c r="E880" t="s">
        <v>159</v>
      </c>
      <c r="F880">
        <v>7328</v>
      </c>
      <c r="G880" t="s">
        <v>698</v>
      </c>
      <c r="I880">
        <v>19000</v>
      </c>
      <c r="J880">
        <v>20654</v>
      </c>
      <c r="K880">
        <v>21737</v>
      </c>
      <c r="L880">
        <v>22831</v>
      </c>
      <c r="M880">
        <v>23935</v>
      </c>
      <c r="N880" t="s">
        <v>988</v>
      </c>
    </row>
    <row r="881" spans="1:14" x14ac:dyDescent="0.3">
      <c r="A881">
        <v>934</v>
      </c>
      <c r="B881" t="s">
        <v>899</v>
      </c>
      <c r="C881" t="s">
        <v>2256</v>
      </c>
      <c r="D881" t="s">
        <v>159</v>
      </c>
      <c r="E881" t="s">
        <v>159</v>
      </c>
      <c r="F881">
        <v>7328</v>
      </c>
      <c r="G881" t="s">
        <v>687</v>
      </c>
      <c r="H881" t="s">
        <v>1527</v>
      </c>
      <c r="I881">
        <v>200</v>
      </c>
      <c r="J881">
        <v>200</v>
      </c>
      <c r="K881">
        <v>200</v>
      </c>
      <c r="L881">
        <v>200</v>
      </c>
      <c r="M881">
        <v>200</v>
      </c>
      <c r="N881" t="s">
        <v>988</v>
      </c>
    </row>
    <row r="882" spans="1:14" x14ac:dyDescent="0.3">
      <c r="A882">
        <v>967</v>
      </c>
      <c r="B882" t="s">
        <v>1528</v>
      </c>
      <c r="C882" t="s">
        <v>2256</v>
      </c>
      <c r="D882" t="s">
        <v>159</v>
      </c>
      <c r="E882" t="s">
        <v>159</v>
      </c>
      <c r="F882">
        <v>8034</v>
      </c>
      <c r="G882" t="s">
        <v>696</v>
      </c>
      <c r="I882">
        <v>12315.6</v>
      </c>
      <c r="J882">
        <v>13135</v>
      </c>
      <c r="K882">
        <v>12962</v>
      </c>
      <c r="L882">
        <v>12789</v>
      </c>
      <c r="M882">
        <v>12735</v>
      </c>
      <c r="N882" t="s">
        <v>988</v>
      </c>
    </row>
    <row r="883" spans="1:14" x14ac:dyDescent="0.3">
      <c r="A883">
        <v>967</v>
      </c>
      <c r="B883" t="s">
        <v>1528</v>
      </c>
      <c r="C883" t="s">
        <v>2256</v>
      </c>
      <c r="D883" t="s">
        <v>159</v>
      </c>
      <c r="E883" t="s">
        <v>159</v>
      </c>
      <c r="F883">
        <v>8034</v>
      </c>
      <c r="G883" t="s">
        <v>698</v>
      </c>
      <c r="I883">
        <v>4769.7</v>
      </c>
      <c r="J883">
        <v>5291</v>
      </c>
      <c r="K883">
        <v>5405</v>
      </c>
      <c r="L883">
        <v>5509</v>
      </c>
      <c r="M883">
        <v>5734</v>
      </c>
      <c r="N883" t="s">
        <v>988</v>
      </c>
    </row>
    <row r="884" spans="1:14" x14ac:dyDescent="0.3">
      <c r="A884">
        <v>967</v>
      </c>
      <c r="B884" t="s">
        <v>1528</v>
      </c>
      <c r="C884" t="s">
        <v>2256</v>
      </c>
      <c r="D884" t="s">
        <v>159</v>
      </c>
      <c r="E884" t="s">
        <v>159</v>
      </c>
      <c r="F884">
        <v>8034</v>
      </c>
      <c r="G884" t="s">
        <v>703</v>
      </c>
      <c r="I884">
        <v>531.70000000000005</v>
      </c>
      <c r="J884">
        <v>564</v>
      </c>
      <c r="K884">
        <v>578</v>
      </c>
      <c r="L884">
        <v>592</v>
      </c>
      <c r="M884">
        <v>592</v>
      </c>
      <c r="N884" t="s">
        <v>988</v>
      </c>
    </row>
    <row r="885" spans="1:14" x14ac:dyDescent="0.3">
      <c r="A885">
        <v>967</v>
      </c>
      <c r="B885" t="s">
        <v>1528</v>
      </c>
      <c r="C885" t="s">
        <v>2256</v>
      </c>
      <c r="D885" t="s">
        <v>159</v>
      </c>
      <c r="E885" t="s">
        <v>159</v>
      </c>
      <c r="F885">
        <v>8034</v>
      </c>
      <c r="G885" t="s">
        <v>700</v>
      </c>
      <c r="I885">
        <v>4478</v>
      </c>
      <c r="J885">
        <v>4746</v>
      </c>
      <c r="K885">
        <v>4865</v>
      </c>
      <c r="L885">
        <v>4987</v>
      </c>
      <c r="M885">
        <v>4987</v>
      </c>
      <c r="N885" t="s">
        <v>988</v>
      </c>
    </row>
    <row r="886" spans="1:14" x14ac:dyDescent="0.3">
      <c r="A886">
        <v>967</v>
      </c>
      <c r="B886" t="s">
        <v>1528</v>
      </c>
      <c r="C886" t="s">
        <v>2256</v>
      </c>
      <c r="D886" t="s">
        <v>159</v>
      </c>
      <c r="E886" t="s">
        <v>159</v>
      </c>
      <c r="F886">
        <v>8034</v>
      </c>
      <c r="G886" t="s">
        <v>701</v>
      </c>
      <c r="I886">
        <v>1486</v>
      </c>
      <c r="J886">
        <v>1575</v>
      </c>
      <c r="K886">
        <v>1614</v>
      </c>
      <c r="L886">
        <v>1654</v>
      </c>
      <c r="M886">
        <v>1654</v>
      </c>
      <c r="N886" t="s">
        <v>988</v>
      </c>
    </row>
    <row r="887" spans="1:14" x14ac:dyDescent="0.3">
      <c r="A887">
        <v>967</v>
      </c>
      <c r="B887" t="s">
        <v>1528</v>
      </c>
      <c r="C887" t="s">
        <v>2256</v>
      </c>
      <c r="D887" t="s">
        <v>159</v>
      </c>
      <c r="E887" t="s">
        <v>159</v>
      </c>
      <c r="F887">
        <v>8034</v>
      </c>
      <c r="G887" t="s">
        <v>702</v>
      </c>
      <c r="I887">
        <v>1225</v>
      </c>
      <c r="J887">
        <v>1225</v>
      </c>
      <c r="K887">
        <v>1225</v>
      </c>
      <c r="L887">
        <v>1225</v>
      </c>
      <c r="M887">
        <v>1225</v>
      </c>
      <c r="N887" t="s">
        <v>988</v>
      </c>
    </row>
    <row r="888" spans="1:14" x14ac:dyDescent="0.3">
      <c r="A888">
        <v>967</v>
      </c>
      <c r="B888" t="s">
        <v>1528</v>
      </c>
      <c r="C888" t="s">
        <v>2256</v>
      </c>
      <c r="D888" t="s">
        <v>159</v>
      </c>
      <c r="E888" t="s">
        <v>159</v>
      </c>
      <c r="F888">
        <v>8034</v>
      </c>
      <c r="G888" t="s">
        <v>686</v>
      </c>
      <c r="I888">
        <v>849</v>
      </c>
      <c r="J888">
        <v>909</v>
      </c>
      <c r="K888">
        <v>912</v>
      </c>
      <c r="L888">
        <v>916</v>
      </c>
      <c r="M888">
        <v>922</v>
      </c>
      <c r="N888" t="s">
        <v>988</v>
      </c>
    </row>
    <row r="889" spans="1:14" x14ac:dyDescent="0.3">
      <c r="A889">
        <v>972</v>
      </c>
      <c r="B889" t="s">
        <v>1529</v>
      </c>
      <c r="C889" t="s">
        <v>2256</v>
      </c>
      <c r="D889" t="s">
        <v>159</v>
      </c>
      <c r="E889" t="s">
        <v>159</v>
      </c>
      <c r="F889">
        <v>5640</v>
      </c>
      <c r="G889" t="s">
        <v>696</v>
      </c>
      <c r="I889">
        <v>3089.8853470940398</v>
      </c>
      <c r="J889">
        <v>3204.8836356473398</v>
      </c>
      <c r="K889">
        <v>3445.24990832089</v>
      </c>
      <c r="L889">
        <v>3703.6436514449601</v>
      </c>
      <c r="M889">
        <v>3981.4169253033301</v>
      </c>
      <c r="N889" t="s">
        <v>988</v>
      </c>
    </row>
    <row r="890" spans="1:14" x14ac:dyDescent="0.3">
      <c r="A890">
        <v>972</v>
      </c>
      <c r="B890" t="s">
        <v>1529</v>
      </c>
      <c r="C890" t="s">
        <v>2256</v>
      </c>
      <c r="D890" t="s">
        <v>159</v>
      </c>
      <c r="E890" t="s">
        <v>159</v>
      </c>
      <c r="F890">
        <v>5640</v>
      </c>
      <c r="G890" t="s">
        <v>687</v>
      </c>
      <c r="H890" t="s">
        <v>1530</v>
      </c>
      <c r="I890">
        <v>121.39474622012099</v>
      </c>
      <c r="J890">
        <v>128.53487855049701</v>
      </c>
      <c r="K890">
        <v>128.53487855049701</v>
      </c>
      <c r="L890">
        <v>128.53487855049701</v>
      </c>
      <c r="M890">
        <v>128.53487855049701</v>
      </c>
      <c r="N890" t="s">
        <v>988</v>
      </c>
    </row>
    <row r="891" spans="1:14" x14ac:dyDescent="0.3">
      <c r="A891">
        <v>972</v>
      </c>
      <c r="B891" t="s">
        <v>1529</v>
      </c>
      <c r="C891" t="s">
        <v>2256</v>
      </c>
      <c r="D891" t="s">
        <v>159</v>
      </c>
      <c r="E891" t="s">
        <v>159</v>
      </c>
      <c r="F891">
        <v>5640</v>
      </c>
      <c r="G891" t="s">
        <v>686</v>
      </c>
      <c r="H891" t="s">
        <v>1269</v>
      </c>
      <c r="I891">
        <v>372.50753166644603</v>
      </c>
      <c r="J891">
        <v>374.34103775921301</v>
      </c>
      <c r="K891">
        <v>374.34103775921301</v>
      </c>
      <c r="L891">
        <v>374.34103775921301</v>
      </c>
      <c r="M891">
        <v>374.34103775921301</v>
      </c>
      <c r="N891" t="s">
        <v>988</v>
      </c>
    </row>
    <row r="892" spans="1:14" x14ac:dyDescent="0.3">
      <c r="A892">
        <v>972</v>
      </c>
      <c r="B892" t="s">
        <v>1529</v>
      </c>
      <c r="C892" t="s">
        <v>2256</v>
      </c>
      <c r="D892" t="s">
        <v>159</v>
      </c>
      <c r="E892" t="s">
        <v>159</v>
      </c>
      <c r="F892">
        <v>5640</v>
      </c>
      <c r="G892" t="s">
        <v>702</v>
      </c>
      <c r="I892">
        <v>208.997074640844</v>
      </c>
      <c r="J892">
        <v>195.211965780274</v>
      </c>
      <c r="K892">
        <v>195.211965780274</v>
      </c>
      <c r="L892">
        <v>195.211965780274</v>
      </c>
      <c r="M892">
        <v>195.211965780274</v>
      </c>
      <c r="N892" t="s">
        <v>988</v>
      </c>
    </row>
    <row r="893" spans="1:14" x14ac:dyDescent="0.3">
      <c r="A893">
        <v>972</v>
      </c>
      <c r="B893" t="s">
        <v>1529</v>
      </c>
      <c r="C893" t="s">
        <v>2256</v>
      </c>
      <c r="D893" t="s">
        <v>159</v>
      </c>
      <c r="E893" t="s">
        <v>159</v>
      </c>
      <c r="F893">
        <v>5640</v>
      </c>
      <c r="G893" t="s">
        <v>703</v>
      </c>
      <c r="I893">
        <v>214.99134352054301</v>
      </c>
      <c r="J893">
        <v>208.25401934429399</v>
      </c>
      <c r="K893">
        <v>208.25401934429399</v>
      </c>
      <c r="L893">
        <v>208.25401934429399</v>
      </c>
      <c r="M893">
        <v>208.25401934429399</v>
      </c>
      <c r="N893" t="s">
        <v>988</v>
      </c>
    </row>
    <row r="894" spans="1:14" x14ac:dyDescent="0.3">
      <c r="A894">
        <v>972</v>
      </c>
      <c r="B894" t="s">
        <v>1529</v>
      </c>
      <c r="C894" t="s">
        <v>2256</v>
      </c>
      <c r="D894" t="s">
        <v>159</v>
      </c>
      <c r="E894" t="s">
        <v>159</v>
      </c>
      <c r="F894">
        <v>5640</v>
      </c>
      <c r="G894" t="s">
        <v>701</v>
      </c>
      <c r="I894">
        <v>258.57543970558902</v>
      </c>
      <c r="J894">
        <v>242.974498413634</v>
      </c>
      <c r="K894">
        <v>242.974498413634</v>
      </c>
      <c r="L894">
        <v>242.974498413634</v>
      </c>
      <c r="M894">
        <v>242.974498413634</v>
      </c>
      <c r="N894" t="s">
        <v>988</v>
      </c>
    </row>
    <row r="895" spans="1:14" x14ac:dyDescent="0.3">
      <c r="A895">
        <v>972</v>
      </c>
      <c r="B895" t="s">
        <v>1529</v>
      </c>
      <c r="C895" t="s">
        <v>2256</v>
      </c>
      <c r="D895" t="s">
        <v>159</v>
      </c>
      <c r="E895" t="s">
        <v>159</v>
      </c>
      <c r="F895">
        <v>5640</v>
      </c>
      <c r="G895" t="s">
        <v>700</v>
      </c>
      <c r="I895">
        <v>268.43642212500498</v>
      </c>
      <c r="J895">
        <v>280.05624983561597</v>
      </c>
      <c r="K895">
        <v>301.06046857328698</v>
      </c>
      <c r="L895">
        <v>323.64000371628299</v>
      </c>
      <c r="M895">
        <v>347.913003995005</v>
      </c>
      <c r="N895" t="s">
        <v>988</v>
      </c>
    </row>
    <row r="896" spans="1:14" x14ac:dyDescent="0.3">
      <c r="A896">
        <v>972</v>
      </c>
      <c r="B896" t="s">
        <v>1529</v>
      </c>
      <c r="C896" t="s">
        <v>2256</v>
      </c>
      <c r="D896" t="s">
        <v>159</v>
      </c>
      <c r="E896" t="s">
        <v>159</v>
      </c>
      <c r="F896">
        <v>5640</v>
      </c>
      <c r="G896" t="s">
        <v>698</v>
      </c>
      <c r="I896">
        <v>362.45075138651202</v>
      </c>
      <c r="J896">
        <v>379.18966776422599</v>
      </c>
      <c r="K896">
        <v>407.62889284654301</v>
      </c>
      <c r="L896">
        <v>438.20105981003297</v>
      </c>
      <c r="M896">
        <v>471.066139295786</v>
      </c>
      <c r="N896" t="s">
        <v>988</v>
      </c>
    </row>
    <row r="897" spans="1:14" x14ac:dyDescent="0.3">
      <c r="A897">
        <v>977</v>
      </c>
      <c r="B897" t="s">
        <v>1531</v>
      </c>
      <c r="C897" t="s">
        <v>2256</v>
      </c>
      <c r="D897" t="s">
        <v>159</v>
      </c>
      <c r="E897" t="s">
        <v>159</v>
      </c>
      <c r="F897">
        <v>7963</v>
      </c>
      <c r="G897" t="s">
        <v>686</v>
      </c>
      <c r="H897" t="s">
        <v>1227</v>
      </c>
      <c r="I897">
        <v>1343</v>
      </c>
      <c r="J897">
        <v>1365</v>
      </c>
      <c r="K897">
        <v>1360</v>
      </c>
      <c r="L897">
        <v>1352</v>
      </c>
      <c r="M897">
        <v>1355</v>
      </c>
      <c r="N897" t="s">
        <v>988</v>
      </c>
    </row>
    <row r="898" spans="1:14" x14ac:dyDescent="0.3">
      <c r="A898">
        <v>977</v>
      </c>
      <c r="B898" t="s">
        <v>1531</v>
      </c>
      <c r="C898" t="s">
        <v>2256</v>
      </c>
      <c r="D898" t="s">
        <v>159</v>
      </c>
      <c r="E898" t="s">
        <v>159</v>
      </c>
      <c r="F898">
        <v>7963</v>
      </c>
      <c r="G898" t="s">
        <v>702</v>
      </c>
      <c r="I898">
        <v>684</v>
      </c>
      <c r="J898">
        <v>684</v>
      </c>
      <c r="K898">
        <v>684</v>
      </c>
      <c r="L898">
        <v>684</v>
      </c>
      <c r="M898">
        <v>684</v>
      </c>
      <c r="N898" t="s">
        <v>988</v>
      </c>
    </row>
    <row r="899" spans="1:14" x14ac:dyDescent="0.3">
      <c r="A899">
        <v>977</v>
      </c>
      <c r="B899" t="s">
        <v>1531</v>
      </c>
      <c r="C899" t="s">
        <v>2256</v>
      </c>
      <c r="D899" t="s">
        <v>159</v>
      </c>
      <c r="E899" t="s">
        <v>159</v>
      </c>
      <c r="F899">
        <v>7963</v>
      </c>
      <c r="G899" t="s">
        <v>703</v>
      </c>
      <c r="I899">
        <v>1356</v>
      </c>
      <c r="J899">
        <v>1501</v>
      </c>
      <c r="K899">
        <v>1538</v>
      </c>
      <c r="L899">
        <v>1577</v>
      </c>
      <c r="M899">
        <v>1577</v>
      </c>
      <c r="N899" t="s">
        <v>988</v>
      </c>
    </row>
    <row r="900" spans="1:14" x14ac:dyDescent="0.3">
      <c r="A900">
        <v>977</v>
      </c>
      <c r="B900" t="s">
        <v>1531</v>
      </c>
      <c r="C900" t="s">
        <v>2256</v>
      </c>
      <c r="D900" t="s">
        <v>159</v>
      </c>
      <c r="E900" t="s">
        <v>159</v>
      </c>
      <c r="F900">
        <v>7963</v>
      </c>
      <c r="G900" t="s">
        <v>696</v>
      </c>
      <c r="I900">
        <v>10148.5</v>
      </c>
      <c r="J900">
        <v>9951.5</v>
      </c>
      <c r="K900">
        <v>9767</v>
      </c>
      <c r="L900">
        <v>9575</v>
      </c>
      <c r="M900">
        <v>9585</v>
      </c>
      <c r="N900" t="s">
        <v>988</v>
      </c>
    </row>
    <row r="901" spans="1:14" x14ac:dyDescent="0.3">
      <c r="A901">
        <v>977</v>
      </c>
      <c r="B901" t="s">
        <v>1531</v>
      </c>
      <c r="C901" t="s">
        <v>2256</v>
      </c>
      <c r="D901" t="s">
        <v>159</v>
      </c>
      <c r="E901" t="s">
        <v>159</v>
      </c>
      <c r="F901">
        <v>7963</v>
      </c>
      <c r="G901" t="s">
        <v>700</v>
      </c>
      <c r="I901">
        <v>3318</v>
      </c>
      <c r="J901">
        <v>3671</v>
      </c>
      <c r="K901">
        <v>3763</v>
      </c>
      <c r="L901">
        <v>3857</v>
      </c>
      <c r="M901">
        <v>3857</v>
      </c>
      <c r="N901" t="s">
        <v>988</v>
      </c>
    </row>
    <row r="902" spans="1:14" x14ac:dyDescent="0.3">
      <c r="A902">
        <v>977</v>
      </c>
      <c r="B902" t="s">
        <v>1531</v>
      </c>
      <c r="C902" t="s">
        <v>2256</v>
      </c>
      <c r="D902" t="s">
        <v>159</v>
      </c>
      <c r="E902" t="s">
        <v>159</v>
      </c>
      <c r="F902">
        <v>7963</v>
      </c>
      <c r="G902" t="s">
        <v>698</v>
      </c>
      <c r="I902">
        <v>4773.6000000000004</v>
      </c>
      <c r="J902">
        <v>4718.5</v>
      </c>
      <c r="K902">
        <v>4674</v>
      </c>
      <c r="L902">
        <v>4578</v>
      </c>
      <c r="M902">
        <v>4613</v>
      </c>
      <c r="N902" t="s">
        <v>988</v>
      </c>
    </row>
    <row r="903" spans="1:14" x14ac:dyDescent="0.3">
      <c r="A903">
        <v>977</v>
      </c>
      <c r="B903" t="s">
        <v>1531</v>
      </c>
      <c r="C903" t="s">
        <v>2256</v>
      </c>
      <c r="D903" t="s">
        <v>159</v>
      </c>
      <c r="E903" t="s">
        <v>159</v>
      </c>
      <c r="F903">
        <v>7963</v>
      </c>
      <c r="G903" t="s">
        <v>701</v>
      </c>
      <c r="I903">
        <v>965</v>
      </c>
      <c r="J903">
        <v>1067</v>
      </c>
      <c r="K903">
        <v>1094</v>
      </c>
      <c r="L903">
        <v>1121</v>
      </c>
      <c r="M903">
        <v>1121</v>
      </c>
      <c r="N903" t="s">
        <v>988</v>
      </c>
    </row>
    <row r="904" spans="1:14" x14ac:dyDescent="0.3">
      <c r="A904">
        <v>990</v>
      </c>
      <c r="B904" t="s">
        <v>1537</v>
      </c>
      <c r="C904" t="s">
        <v>2256</v>
      </c>
      <c r="D904" t="s">
        <v>1203</v>
      </c>
      <c r="E904" t="s">
        <v>1204</v>
      </c>
      <c r="F904">
        <v>5687</v>
      </c>
      <c r="G904" t="s">
        <v>686</v>
      </c>
      <c r="H904" t="s">
        <v>1210</v>
      </c>
      <c r="I904">
        <v>2572</v>
      </c>
      <c r="J904">
        <v>2572</v>
      </c>
      <c r="K904">
        <v>2572</v>
      </c>
      <c r="L904">
        <v>2572</v>
      </c>
      <c r="M904">
        <v>2572</v>
      </c>
      <c r="N904" t="s">
        <v>988</v>
      </c>
    </row>
    <row r="905" spans="1:14" x14ac:dyDescent="0.3">
      <c r="A905">
        <v>990</v>
      </c>
      <c r="B905" t="s">
        <v>1537</v>
      </c>
      <c r="C905" t="s">
        <v>2256</v>
      </c>
      <c r="D905" t="s">
        <v>1203</v>
      </c>
      <c r="E905" t="s">
        <v>1204</v>
      </c>
      <c r="F905">
        <v>5687</v>
      </c>
      <c r="G905" t="s">
        <v>686</v>
      </c>
      <c r="H905" t="s">
        <v>2312</v>
      </c>
      <c r="I905">
        <v>341</v>
      </c>
      <c r="J905">
        <v>341</v>
      </c>
      <c r="K905">
        <v>341</v>
      </c>
      <c r="L905">
        <v>341</v>
      </c>
      <c r="M905">
        <v>341</v>
      </c>
      <c r="N905" t="s">
        <v>988</v>
      </c>
    </row>
    <row r="906" spans="1:14" x14ac:dyDescent="0.3">
      <c r="A906">
        <v>990</v>
      </c>
      <c r="B906" t="s">
        <v>1537</v>
      </c>
      <c r="C906" t="s">
        <v>2256</v>
      </c>
      <c r="D906" t="s">
        <v>1203</v>
      </c>
      <c r="E906" t="s">
        <v>1204</v>
      </c>
      <c r="F906">
        <v>5687</v>
      </c>
      <c r="G906" t="s">
        <v>684</v>
      </c>
      <c r="H906" t="s">
        <v>1210</v>
      </c>
      <c r="I906">
        <v>4794</v>
      </c>
      <c r="J906">
        <v>4794</v>
      </c>
      <c r="K906">
        <v>4794</v>
      </c>
      <c r="L906">
        <v>4794</v>
      </c>
      <c r="M906">
        <v>4794</v>
      </c>
      <c r="N906" t="s">
        <v>988</v>
      </c>
    </row>
    <row r="907" spans="1:14" x14ac:dyDescent="0.3">
      <c r="A907">
        <v>990</v>
      </c>
      <c r="B907" t="s">
        <v>1537</v>
      </c>
      <c r="C907" t="s">
        <v>2256</v>
      </c>
      <c r="D907" t="s">
        <v>1203</v>
      </c>
      <c r="E907" t="s">
        <v>1204</v>
      </c>
      <c r="F907">
        <v>5687</v>
      </c>
      <c r="G907" t="s">
        <v>696</v>
      </c>
      <c r="I907">
        <v>1249</v>
      </c>
      <c r="J907">
        <v>1317</v>
      </c>
      <c r="K907">
        <v>1388</v>
      </c>
      <c r="L907">
        <v>1461</v>
      </c>
      <c r="M907">
        <v>1539</v>
      </c>
      <c r="N907" t="s">
        <v>988</v>
      </c>
    </row>
    <row r="908" spans="1:14" x14ac:dyDescent="0.3">
      <c r="A908">
        <v>990</v>
      </c>
      <c r="B908" t="s">
        <v>1537</v>
      </c>
      <c r="C908" t="s">
        <v>2256</v>
      </c>
      <c r="D908" t="s">
        <v>1203</v>
      </c>
      <c r="E908" t="s">
        <v>1204</v>
      </c>
      <c r="F908">
        <v>5687</v>
      </c>
      <c r="G908" t="s">
        <v>703</v>
      </c>
      <c r="I908">
        <v>95.5</v>
      </c>
      <c r="J908">
        <v>100.8</v>
      </c>
      <c r="K908">
        <v>106.1</v>
      </c>
      <c r="L908">
        <v>111.7</v>
      </c>
      <c r="M908">
        <v>117.7</v>
      </c>
      <c r="N908" t="s">
        <v>988</v>
      </c>
    </row>
    <row r="909" spans="1:14" x14ac:dyDescent="0.3">
      <c r="A909">
        <v>990</v>
      </c>
      <c r="B909" t="s">
        <v>1537</v>
      </c>
      <c r="C909" t="s">
        <v>2256</v>
      </c>
      <c r="D909" t="s">
        <v>1203</v>
      </c>
      <c r="E909" t="s">
        <v>1204</v>
      </c>
      <c r="F909">
        <v>5687</v>
      </c>
      <c r="G909" t="s">
        <v>700</v>
      </c>
      <c r="I909">
        <v>39.700000000000003</v>
      </c>
      <c r="J909">
        <v>41.9</v>
      </c>
      <c r="K909">
        <v>44.1</v>
      </c>
      <c r="L909">
        <v>46.4</v>
      </c>
      <c r="M909">
        <v>48.9</v>
      </c>
      <c r="N909" t="s">
        <v>988</v>
      </c>
    </row>
    <row r="910" spans="1:14" x14ac:dyDescent="0.3">
      <c r="A910">
        <v>990</v>
      </c>
      <c r="B910" t="s">
        <v>1537</v>
      </c>
      <c r="C910" t="s">
        <v>2256</v>
      </c>
      <c r="D910" t="s">
        <v>1203</v>
      </c>
      <c r="E910" t="s">
        <v>1204</v>
      </c>
      <c r="F910">
        <v>5687</v>
      </c>
      <c r="G910" t="s">
        <v>698</v>
      </c>
      <c r="I910">
        <v>17.600000000000001</v>
      </c>
      <c r="J910">
        <v>18.600000000000001</v>
      </c>
      <c r="K910">
        <v>19.600000000000001</v>
      </c>
      <c r="L910">
        <v>20.6</v>
      </c>
      <c r="M910">
        <v>21.7</v>
      </c>
      <c r="N910" t="s">
        <v>988</v>
      </c>
    </row>
    <row r="911" spans="1:14" x14ac:dyDescent="0.3">
      <c r="A911">
        <v>990</v>
      </c>
      <c r="B911" t="s">
        <v>1537</v>
      </c>
      <c r="C911" t="s">
        <v>2256</v>
      </c>
      <c r="D911" t="s">
        <v>1203</v>
      </c>
      <c r="E911" t="s">
        <v>1204</v>
      </c>
      <c r="F911">
        <v>5687</v>
      </c>
      <c r="G911" t="s">
        <v>702</v>
      </c>
      <c r="I911">
        <v>66.099999999999994</v>
      </c>
      <c r="J911">
        <v>69.8</v>
      </c>
      <c r="K911">
        <v>73.5</v>
      </c>
      <c r="L911">
        <v>77.3</v>
      </c>
      <c r="M911">
        <v>81.5</v>
      </c>
      <c r="N911" t="s">
        <v>988</v>
      </c>
    </row>
    <row r="912" spans="1:14" x14ac:dyDescent="0.3">
      <c r="A912">
        <v>995</v>
      </c>
      <c r="B912" t="s">
        <v>1540</v>
      </c>
      <c r="C912" t="s">
        <v>2256</v>
      </c>
      <c r="D912" t="s">
        <v>1203</v>
      </c>
      <c r="E912" t="s">
        <v>1204</v>
      </c>
      <c r="F912">
        <v>6827</v>
      </c>
      <c r="G912" t="s">
        <v>686</v>
      </c>
      <c r="H912" t="s">
        <v>1269</v>
      </c>
      <c r="I912">
        <v>819</v>
      </c>
      <c r="J912">
        <v>883</v>
      </c>
      <c r="K912">
        <v>951</v>
      </c>
      <c r="L912">
        <v>1024</v>
      </c>
      <c r="M912">
        <v>1104</v>
      </c>
      <c r="N912" t="s">
        <v>988</v>
      </c>
    </row>
    <row r="913" spans="1:14" x14ac:dyDescent="0.3">
      <c r="A913">
        <v>995</v>
      </c>
      <c r="B913" t="s">
        <v>1540</v>
      </c>
      <c r="C913" t="s">
        <v>2256</v>
      </c>
      <c r="D913" t="s">
        <v>1203</v>
      </c>
      <c r="E913" t="s">
        <v>1204</v>
      </c>
      <c r="F913">
        <v>6827</v>
      </c>
      <c r="G913" t="s">
        <v>687</v>
      </c>
      <c r="I913">
        <v>25</v>
      </c>
      <c r="J913">
        <v>27</v>
      </c>
      <c r="K913">
        <v>30</v>
      </c>
      <c r="L913">
        <v>32</v>
      </c>
      <c r="M913">
        <v>34</v>
      </c>
      <c r="N913" t="s">
        <v>988</v>
      </c>
    </row>
    <row r="914" spans="1:14" x14ac:dyDescent="0.3">
      <c r="A914">
        <v>995</v>
      </c>
      <c r="B914" t="s">
        <v>1540</v>
      </c>
      <c r="C914" t="s">
        <v>2256</v>
      </c>
      <c r="D914" t="s">
        <v>1203</v>
      </c>
      <c r="E914" t="s">
        <v>1204</v>
      </c>
      <c r="F914">
        <v>6827</v>
      </c>
      <c r="G914" t="s">
        <v>702</v>
      </c>
      <c r="I914">
        <v>986</v>
      </c>
      <c r="J914">
        <v>1062</v>
      </c>
      <c r="K914">
        <v>1144</v>
      </c>
      <c r="L914">
        <v>1232</v>
      </c>
      <c r="M914">
        <v>1328</v>
      </c>
      <c r="N914" t="s">
        <v>988</v>
      </c>
    </row>
    <row r="915" spans="1:14" x14ac:dyDescent="0.3">
      <c r="A915">
        <v>995</v>
      </c>
      <c r="B915" t="s">
        <v>1540</v>
      </c>
      <c r="C915" t="s">
        <v>2256</v>
      </c>
      <c r="D915" t="s">
        <v>1203</v>
      </c>
      <c r="E915" t="s">
        <v>1204</v>
      </c>
      <c r="F915">
        <v>6827</v>
      </c>
      <c r="G915" t="s">
        <v>696</v>
      </c>
      <c r="I915">
        <v>4796</v>
      </c>
      <c r="J915">
        <v>5166</v>
      </c>
      <c r="K915">
        <v>5566</v>
      </c>
      <c r="L915">
        <v>5996</v>
      </c>
      <c r="M915">
        <v>6459</v>
      </c>
      <c r="N915" t="s">
        <v>988</v>
      </c>
    </row>
    <row r="916" spans="1:14" x14ac:dyDescent="0.3">
      <c r="A916">
        <v>995</v>
      </c>
      <c r="B916" t="s">
        <v>1540</v>
      </c>
      <c r="C916" t="s">
        <v>2256</v>
      </c>
      <c r="D916" t="s">
        <v>1203</v>
      </c>
      <c r="E916" t="s">
        <v>1204</v>
      </c>
      <c r="F916">
        <v>6827</v>
      </c>
      <c r="G916" t="s">
        <v>700</v>
      </c>
      <c r="I916">
        <v>940</v>
      </c>
      <c r="J916">
        <v>1013</v>
      </c>
      <c r="K916">
        <v>1091</v>
      </c>
      <c r="L916">
        <v>1176</v>
      </c>
      <c r="M916">
        <v>1266</v>
      </c>
      <c r="N916" t="s">
        <v>988</v>
      </c>
    </row>
    <row r="917" spans="1:14" x14ac:dyDescent="0.3">
      <c r="A917">
        <v>995</v>
      </c>
      <c r="B917" t="s">
        <v>1540</v>
      </c>
      <c r="C917" t="s">
        <v>2256</v>
      </c>
      <c r="D917" t="s">
        <v>1203</v>
      </c>
      <c r="E917" t="s">
        <v>1204</v>
      </c>
      <c r="F917">
        <v>6827</v>
      </c>
      <c r="G917" t="s">
        <v>698</v>
      </c>
      <c r="I917">
        <v>925</v>
      </c>
      <c r="J917">
        <v>997</v>
      </c>
      <c r="K917">
        <v>1074</v>
      </c>
      <c r="L917">
        <v>1157</v>
      </c>
      <c r="M917">
        <v>1246</v>
      </c>
      <c r="N917" t="s">
        <v>988</v>
      </c>
    </row>
    <row r="918" spans="1:14" x14ac:dyDescent="0.3">
      <c r="A918">
        <v>995</v>
      </c>
      <c r="B918" t="s">
        <v>1540</v>
      </c>
      <c r="C918" t="s">
        <v>2256</v>
      </c>
      <c r="D918" t="s">
        <v>1203</v>
      </c>
      <c r="E918" t="s">
        <v>1204</v>
      </c>
      <c r="F918">
        <v>6827</v>
      </c>
      <c r="G918" t="s">
        <v>701</v>
      </c>
      <c r="I918">
        <v>154</v>
      </c>
      <c r="J918">
        <v>166</v>
      </c>
      <c r="K918">
        <v>179</v>
      </c>
      <c r="L918">
        <v>193</v>
      </c>
      <c r="M918">
        <v>208</v>
      </c>
      <c r="N918" t="s">
        <v>988</v>
      </c>
    </row>
    <row r="919" spans="1:14" x14ac:dyDescent="0.3">
      <c r="A919">
        <v>1004</v>
      </c>
      <c r="B919" t="s">
        <v>1541</v>
      </c>
      <c r="C919" t="s">
        <v>2256</v>
      </c>
      <c r="D919" t="s">
        <v>1203</v>
      </c>
      <c r="E919" t="s">
        <v>1204</v>
      </c>
      <c r="F919">
        <v>5904</v>
      </c>
      <c r="G919" t="s">
        <v>698</v>
      </c>
      <c r="I919">
        <v>9001</v>
      </c>
      <c r="J919">
        <v>9091</v>
      </c>
      <c r="K919">
        <v>9182</v>
      </c>
      <c r="L919">
        <v>9274</v>
      </c>
      <c r="M919">
        <v>9367</v>
      </c>
      <c r="N919" t="s">
        <v>988</v>
      </c>
    </row>
    <row r="920" spans="1:14" x14ac:dyDescent="0.3">
      <c r="A920">
        <v>1004</v>
      </c>
      <c r="B920" t="s">
        <v>1541</v>
      </c>
      <c r="C920" t="s">
        <v>2256</v>
      </c>
      <c r="D920" t="s">
        <v>1203</v>
      </c>
      <c r="E920" t="s">
        <v>1204</v>
      </c>
      <c r="F920">
        <v>5904</v>
      </c>
      <c r="G920" t="s">
        <v>700</v>
      </c>
      <c r="I920">
        <v>2648</v>
      </c>
      <c r="J920">
        <v>2675</v>
      </c>
      <c r="K920">
        <v>2701</v>
      </c>
      <c r="L920">
        <v>2728</v>
      </c>
      <c r="M920">
        <v>2756</v>
      </c>
      <c r="N920" t="s">
        <v>988</v>
      </c>
    </row>
    <row r="921" spans="1:14" x14ac:dyDescent="0.3">
      <c r="A921">
        <v>1004</v>
      </c>
      <c r="B921" t="s">
        <v>1541</v>
      </c>
      <c r="C921" t="s">
        <v>2256</v>
      </c>
      <c r="D921" t="s">
        <v>1203</v>
      </c>
      <c r="E921" t="s">
        <v>1204</v>
      </c>
      <c r="F921">
        <v>5904</v>
      </c>
      <c r="G921" t="s">
        <v>701</v>
      </c>
      <c r="I921">
        <v>457</v>
      </c>
      <c r="J921">
        <v>461</v>
      </c>
      <c r="K921">
        <v>466</v>
      </c>
      <c r="L921">
        <v>470</v>
      </c>
      <c r="M921">
        <v>475</v>
      </c>
      <c r="N921" t="s">
        <v>988</v>
      </c>
    </row>
    <row r="922" spans="1:14" x14ac:dyDescent="0.3">
      <c r="A922">
        <v>1004</v>
      </c>
      <c r="B922" t="s">
        <v>1541</v>
      </c>
      <c r="C922" t="s">
        <v>2256</v>
      </c>
      <c r="D922" t="s">
        <v>1203</v>
      </c>
      <c r="E922" t="s">
        <v>1204</v>
      </c>
      <c r="F922">
        <v>5904</v>
      </c>
      <c r="G922" t="s">
        <v>691</v>
      </c>
      <c r="H922" t="s">
        <v>1414</v>
      </c>
      <c r="I922">
        <v>465</v>
      </c>
      <c r="J922">
        <v>469</v>
      </c>
      <c r="K922">
        <v>474</v>
      </c>
      <c r="L922">
        <v>479</v>
      </c>
      <c r="M922">
        <v>483</v>
      </c>
      <c r="N922" t="s">
        <v>988</v>
      </c>
    </row>
    <row r="923" spans="1:14" x14ac:dyDescent="0.3">
      <c r="A923">
        <v>1004</v>
      </c>
      <c r="B923" t="s">
        <v>1541</v>
      </c>
      <c r="C923" t="s">
        <v>2256</v>
      </c>
      <c r="D923" t="s">
        <v>1203</v>
      </c>
      <c r="E923" t="s">
        <v>1204</v>
      </c>
      <c r="F923">
        <v>5904</v>
      </c>
      <c r="G923" t="s">
        <v>702</v>
      </c>
      <c r="H923" t="s">
        <v>1275</v>
      </c>
      <c r="I923">
        <v>385</v>
      </c>
      <c r="J923">
        <v>389</v>
      </c>
      <c r="K923">
        <v>393</v>
      </c>
      <c r="L923">
        <v>396</v>
      </c>
      <c r="M923">
        <v>400</v>
      </c>
      <c r="N923" t="s">
        <v>988</v>
      </c>
    </row>
    <row r="924" spans="1:14" x14ac:dyDescent="0.3">
      <c r="A924">
        <v>1004</v>
      </c>
      <c r="B924" t="s">
        <v>1541</v>
      </c>
      <c r="C924" t="s">
        <v>2256</v>
      </c>
      <c r="D924" t="s">
        <v>1203</v>
      </c>
      <c r="E924" t="s">
        <v>1204</v>
      </c>
      <c r="F924">
        <v>5904</v>
      </c>
      <c r="G924" t="s">
        <v>691</v>
      </c>
      <c r="H924" t="s">
        <v>1230</v>
      </c>
      <c r="I924">
        <v>75</v>
      </c>
      <c r="J924">
        <v>75</v>
      </c>
      <c r="K924">
        <v>76</v>
      </c>
      <c r="L924">
        <v>77</v>
      </c>
      <c r="M924">
        <v>78</v>
      </c>
      <c r="N924" t="s">
        <v>988</v>
      </c>
    </row>
    <row r="925" spans="1:14" x14ac:dyDescent="0.3">
      <c r="A925">
        <v>1004</v>
      </c>
      <c r="B925" t="s">
        <v>1541</v>
      </c>
      <c r="C925" t="s">
        <v>2256</v>
      </c>
      <c r="D925" t="s">
        <v>1203</v>
      </c>
      <c r="E925" t="s">
        <v>1204</v>
      </c>
      <c r="F925">
        <v>5904</v>
      </c>
      <c r="G925" t="s">
        <v>696</v>
      </c>
      <c r="I925">
        <v>8555</v>
      </c>
      <c r="J925">
        <v>8640</v>
      </c>
      <c r="K925">
        <v>8727</v>
      </c>
      <c r="L925">
        <v>8814</v>
      </c>
      <c r="M925">
        <v>8902</v>
      </c>
      <c r="N925" t="s">
        <v>988</v>
      </c>
    </row>
    <row r="926" spans="1:14" x14ac:dyDescent="0.3">
      <c r="A926">
        <v>1005</v>
      </c>
      <c r="B926" t="s">
        <v>1542</v>
      </c>
      <c r="C926" t="s">
        <v>2256</v>
      </c>
      <c r="D926" t="s">
        <v>1203</v>
      </c>
      <c r="E926" t="s">
        <v>1204</v>
      </c>
      <c r="F926">
        <v>5451</v>
      </c>
      <c r="G926" t="s">
        <v>696</v>
      </c>
      <c r="I926">
        <v>7398</v>
      </c>
      <c r="J926">
        <v>7479</v>
      </c>
      <c r="K926">
        <v>7560</v>
      </c>
      <c r="L926">
        <v>7643</v>
      </c>
      <c r="M926">
        <v>7726</v>
      </c>
      <c r="N926" t="s">
        <v>988</v>
      </c>
    </row>
    <row r="927" spans="1:14" x14ac:dyDescent="0.3">
      <c r="A927">
        <v>1005</v>
      </c>
      <c r="B927" t="s">
        <v>1542</v>
      </c>
      <c r="C927" t="s">
        <v>2256</v>
      </c>
      <c r="D927" t="s">
        <v>1203</v>
      </c>
      <c r="E927" t="s">
        <v>1204</v>
      </c>
      <c r="F927">
        <v>5451</v>
      </c>
      <c r="G927" t="s">
        <v>698</v>
      </c>
      <c r="I927">
        <v>550</v>
      </c>
      <c r="J927">
        <v>556</v>
      </c>
      <c r="K927">
        <v>562</v>
      </c>
      <c r="L927">
        <v>568</v>
      </c>
      <c r="M927">
        <v>575</v>
      </c>
      <c r="N927" t="s">
        <v>988</v>
      </c>
    </row>
    <row r="928" spans="1:14" x14ac:dyDescent="0.3">
      <c r="A928">
        <v>1005</v>
      </c>
      <c r="B928" t="s">
        <v>1542</v>
      </c>
      <c r="C928" t="s">
        <v>2256</v>
      </c>
      <c r="D928" t="s">
        <v>1203</v>
      </c>
      <c r="E928" t="s">
        <v>1204</v>
      </c>
      <c r="F928">
        <v>5451</v>
      </c>
      <c r="G928" t="s">
        <v>700</v>
      </c>
      <c r="I928">
        <v>1040</v>
      </c>
      <c r="J928">
        <v>1051</v>
      </c>
      <c r="K928">
        <v>1063</v>
      </c>
      <c r="L928">
        <v>1074</v>
      </c>
      <c r="M928">
        <v>1086</v>
      </c>
      <c r="N928" t="s">
        <v>988</v>
      </c>
    </row>
    <row r="929" spans="1:14" x14ac:dyDescent="0.3">
      <c r="A929">
        <v>1005</v>
      </c>
      <c r="B929" t="s">
        <v>1542</v>
      </c>
      <c r="C929" t="s">
        <v>2256</v>
      </c>
      <c r="D929" t="s">
        <v>1203</v>
      </c>
      <c r="E929" t="s">
        <v>1204</v>
      </c>
      <c r="F929">
        <v>5451</v>
      </c>
      <c r="G929" t="s">
        <v>701</v>
      </c>
      <c r="I929">
        <v>21</v>
      </c>
      <c r="J929">
        <v>22</v>
      </c>
      <c r="K929">
        <v>22</v>
      </c>
      <c r="L929">
        <v>22</v>
      </c>
      <c r="M929">
        <v>22</v>
      </c>
      <c r="N929" t="s">
        <v>988</v>
      </c>
    </row>
    <row r="930" spans="1:14" x14ac:dyDescent="0.3">
      <c r="A930">
        <v>1005</v>
      </c>
      <c r="B930" t="s">
        <v>1542</v>
      </c>
      <c r="C930" t="s">
        <v>2256</v>
      </c>
      <c r="D930" t="s">
        <v>1203</v>
      </c>
      <c r="E930" t="s">
        <v>1204</v>
      </c>
      <c r="F930">
        <v>5451</v>
      </c>
      <c r="G930" t="s">
        <v>703</v>
      </c>
      <c r="I930">
        <v>635</v>
      </c>
      <c r="J930">
        <v>642</v>
      </c>
      <c r="K930">
        <v>649</v>
      </c>
      <c r="L930">
        <v>656</v>
      </c>
      <c r="M930">
        <v>663</v>
      </c>
      <c r="N930" t="s">
        <v>988</v>
      </c>
    </row>
    <row r="931" spans="1:14" x14ac:dyDescent="0.3">
      <c r="A931">
        <v>1005</v>
      </c>
      <c r="B931" t="s">
        <v>1542</v>
      </c>
      <c r="C931" t="s">
        <v>2256</v>
      </c>
      <c r="D931" t="s">
        <v>1203</v>
      </c>
      <c r="E931" t="s">
        <v>1204</v>
      </c>
      <c r="F931">
        <v>5451</v>
      </c>
      <c r="G931" t="s">
        <v>702</v>
      </c>
      <c r="I931">
        <v>357</v>
      </c>
      <c r="J931">
        <v>361</v>
      </c>
      <c r="K931">
        <v>365</v>
      </c>
      <c r="L931">
        <v>369</v>
      </c>
      <c r="M931">
        <v>373</v>
      </c>
      <c r="N931" t="s">
        <v>988</v>
      </c>
    </row>
    <row r="932" spans="1:14" x14ac:dyDescent="0.3">
      <c r="A932">
        <v>1005</v>
      </c>
      <c r="B932" t="s">
        <v>1542</v>
      </c>
      <c r="C932" t="s">
        <v>2256</v>
      </c>
      <c r="D932" t="s">
        <v>1203</v>
      </c>
      <c r="E932" t="s">
        <v>1204</v>
      </c>
      <c r="F932">
        <v>5451</v>
      </c>
      <c r="G932" t="s">
        <v>686</v>
      </c>
      <c r="I932">
        <v>1082</v>
      </c>
      <c r="J932">
        <v>1093</v>
      </c>
      <c r="K932">
        <v>1105</v>
      </c>
      <c r="L932">
        <v>1117</v>
      </c>
      <c r="M932">
        <v>1129</v>
      </c>
      <c r="N932" t="s">
        <v>988</v>
      </c>
    </row>
    <row r="933" spans="1:14" x14ac:dyDescent="0.3">
      <c r="A933">
        <v>1005</v>
      </c>
      <c r="B933" t="s">
        <v>1542</v>
      </c>
      <c r="C933" t="s">
        <v>2256</v>
      </c>
      <c r="D933" t="s">
        <v>1203</v>
      </c>
      <c r="E933" t="s">
        <v>1204</v>
      </c>
      <c r="F933">
        <v>5451</v>
      </c>
      <c r="G933" t="s">
        <v>705</v>
      </c>
      <c r="I933">
        <v>7</v>
      </c>
      <c r="J933">
        <v>7</v>
      </c>
      <c r="K933">
        <v>7</v>
      </c>
      <c r="L933">
        <v>7</v>
      </c>
      <c r="M933">
        <v>7</v>
      </c>
      <c r="N933" t="s">
        <v>988</v>
      </c>
    </row>
    <row r="934" spans="1:14" x14ac:dyDescent="0.3">
      <c r="A934">
        <v>1029</v>
      </c>
      <c r="B934" t="s">
        <v>1543</v>
      </c>
      <c r="C934" t="s">
        <v>2256</v>
      </c>
      <c r="D934" t="s">
        <v>1203</v>
      </c>
      <c r="E934" t="s">
        <v>1204</v>
      </c>
      <c r="F934">
        <v>5875</v>
      </c>
      <c r="G934" t="s">
        <v>691</v>
      </c>
      <c r="I934">
        <v>5109</v>
      </c>
      <c r="J934">
        <v>5152</v>
      </c>
      <c r="K934">
        <v>5196</v>
      </c>
      <c r="L934">
        <v>5240</v>
      </c>
      <c r="M934">
        <v>5284</v>
      </c>
      <c r="N934" t="s">
        <v>988</v>
      </c>
    </row>
    <row r="935" spans="1:14" x14ac:dyDescent="0.3">
      <c r="A935">
        <v>1030</v>
      </c>
      <c r="B935" t="s">
        <v>1544</v>
      </c>
      <c r="C935" t="s">
        <v>2256</v>
      </c>
      <c r="D935" t="s">
        <v>1203</v>
      </c>
      <c r="E935" t="s">
        <v>1204</v>
      </c>
      <c r="F935">
        <v>5887</v>
      </c>
      <c r="G935" t="s">
        <v>691</v>
      </c>
      <c r="I935">
        <v>5435</v>
      </c>
      <c r="J935">
        <v>5528</v>
      </c>
      <c r="K935">
        <v>5622</v>
      </c>
      <c r="L935">
        <v>5718</v>
      </c>
      <c r="M935">
        <v>5815</v>
      </c>
      <c r="N935" t="s">
        <v>988</v>
      </c>
    </row>
    <row r="936" spans="1:14" x14ac:dyDescent="0.3">
      <c r="A936">
        <v>1031</v>
      </c>
      <c r="B936" t="s">
        <v>1545</v>
      </c>
      <c r="C936" t="s">
        <v>2256</v>
      </c>
      <c r="D936" t="s">
        <v>1203</v>
      </c>
      <c r="E936" t="s">
        <v>1204</v>
      </c>
      <c r="F936">
        <v>5889</v>
      </c>
      <c r="G936" t="s">
        <v>691</v>
      </c>
      <c r="I936">
        <v>1774</v>
      </c>
      <c r="J936">
        <v>1804</v>
      </c>
      <c r="K936">
        <v>1836</v>
      </c>
      <c r="L936">
        <v>1867</v>
      </c>
      <c r="M936">
        <v>1899</v>
      </c>
      <c r="N936" t="s">
        <v>988</v>
      </c>
    </row>
    <row r="937" spans="1:14" x14ac:dyDescent="0.3">
      <c r="A937">
        <v>1032</v>
      </c>
      <c r="B937" t="s">
        <v>1546</v>
      </c>
      <c r="C937" t="s">
        <v>2256</v>
      </c>
      <c r="D937" t="s">
        <v>1203</v>
      </c>
      <c r="E937" t="s">
        <v>1204</v>
      </c>
      <c r="F937">
        <v>5891</v>
      </c>
      <c r="G937" t="s">
        <v>691</v>
      </c>
      <c r="I937">
        <v>4636</v>
      </c>
      <c r="J937">
        <v>4667</v>
      </c>
      <c r="K937">
        <v>4699</v>
      </c>
      <c r="L937">
        <v>4731</v>
      </c>
      <c r="M937">
        <v>4763</v>
      </c>
      <c r="N937" t="s">
        <v>988</v>
      </c>
    </row>
    <row r="938" spans="1:14" x14ac:dyDescent="0.3">
      <c r="A938">
        <v>1034</v>
      </c>
      <c r="B938" t="s">
        <v>1547</v>
      </c>
      <c r="C938" t="s">
        <v>2256</v>
      </c>
      <c r="D938" t="s">
        <v>1203</v>
      </c>
      <c r="E938" t="s">
        <v>1204</v>
      </c>
      <c r="F938">
        <v>5539</v>
      </c>
      <c r="G938" t="s">
        <v>703</v>
      </c>
      <c r="I938">
        <v>550</v>
      </c>
      <c r="J938">
        <v>559</v>
      </c>
      <c r="K938">
        <v>568</v>
      </c>
      <c r="L938">
        <v>577</v>
      </c>
      <c r="M938">
        <v>587</v>
      </c>
      <c r="N938" t="s">
        <v>988</v>
      </c>
    </row>
    <row r="939" spans="1:14" x14ac:dyDescent="0.3">
      <c r="A939">
        <v>1034</v>
      </c>
      <c r="B939" t="s">
        <v>1547</v>
      </c>
      <c r="C939" t="s">
        <v>2256</v>
      </c>
      <c r="D939" t="s">
        <v>1203</v>
      </c>
      <c r="E939" t="s">
        <v>1204</v>
      </c>
      <c r="F939">
        <v>5539</v>
      </c>
      <c r="G939" t="s">
        <v>696</v>
      </c>
      <c r="I939">
        <v>5626</v>
      </c>
      <c r="J939">
        <v>5719</v>
      </c>
      <c r="K939">
        <v>5813</v>
      </c>
      <c r="L939">
        <v>5909</v>
      </c>
      <c r="M939">
        <v>6006</v>
      </c>
      <c r="N939" t="s">
        <v>988</v>
      </c>
    </row>
    <row r="940" spans="1:14" x14ac:dyDescent="0.3">
      <c r="A940">
        <v>1034</v>
      </c>
      <c r="B940" t="s">
        <v>1547</v>
      </c>
      <c r="C940" t="s">
        <v>2256</v>
      </c>
      <c r="D940" t="s">
        <v>1203</v>
      </c>
      <c r="E940" t="s">
        <v>1204</v>
      </c>
      <c r="F940">
        <v>5539</v>
      </c>
      <c r="G940" t="s">
        <v>698</v>
      </c>
      <c r="I940">
        <v>691</v>
      </c>
      <c r="J940">
        <v>703</v>
      </c>
      <c r="K940">
        <v>714</v>
      </c>
      <c r="L940">
        <v>726</v>
      </c>
      <c r="M940">
        <v>738</v>
      </c>
      <c r="N940" t="s">
        <v>988</v>
      </c>
    </row>
    <row r="941" spans="1:14" x14ac:dyDescent="0.3">
      <c r="A941">
        <v>1034</v>
      </c>
      <c r="B941" t="s">
        <v>1547</v>
      </c>
      <c r="C941" t="s">
        <v>2256</v>
      </c>
      <c r="D941" t="s">
        <v>1203</v>
      </c>
      <c r="E941" t="s">
        <v>1204</v>
      </c>
      <c r="F941">
        <v>5539</v>
      </c>
      <c r="G941" t="s">
        <v>700</v>
      </c>
      <c r="I941">
        <v>1889</v>
      </c>
      <c r="J941">
        <v>1920</v>
      </c>
      <c r="K941">
        <v>1952</v>
      </c>
      <c r="L941">
        <v>1984</v>
      </c>
      <c r="M941">
        <v>2017</v>
      </c>
      <c r="N941" t="s">
        <v>988</v>
      </c>
    </row>
    <row r="942" spans="1:14" x14ac:dyDescent="0.3">
      <c r="A942">
        <v>1034</v>
      </c>
      <c r="B942" t="s">
        <v>1547</v>
      </c>
      <c r="C942" t="s">
        <v>2256</v>
      </c>
      <c r="D942" t="s">
        <v>1203</v>
      </c>
      <c r="E942" t="s">
        <v>1204</v>
      </c>
      <c r="F942">
        <v>5539</v>
      </c>
      <c r="G942" t="s">
        <v>701</v>
      </c>
      <c r="I942">
        <v>74</v>
      </c>
      <c r="J942">
        <v>75</v>
      </c>
      <c r="K942">
        <v>76</v>
      </c>
      <c r="L942">
        <v>78</v>
      </c>
      <c r="M942">
        <v>79</v>
      </c>
      <c r="N942" t="s">
        <v>988</v>
      </c>
    </row>
    <row r="943" spans="1:14" x14ac:dyDescent="0.3">
      <c r="A943">
        <v>1034</v>
      </c>
      <c r="B943" t="s">
        <v>1547</v>
      </c>
      <c r="C943" t="s">
        <v>2256</v>
      </c>
      <c r="D943" t="s">
        <v>1203</v>
      </c>
      <c r="E943" t="s">
        <v>1204</v>
      </c>
      <c r="F943">
        <v>5539</v>
      </c>
      <c r="G943" t="s">
        <v>686</v>
      </c>
      <c r="I943">
        <v>871</v>
      </c>
      <c r="J943">
        <v>885</v>
      </c>
      <c r="K943">
        <v>900</v>
      </c>
      <c r="L943">
        <v>915</v>
      </c>
      <c r="M943">
        <v>930</v>
      </c>
      <c r="N943" t="s">
        <v>988</v>
      </c>
    </row>
    <row r="944" spans="1:14" x14ac:dyDescent="0.3">
      <c r="A944">
        <v>1034</v>
      </c>
      <c r="B944" t="s">
        <v>1547</v>
      </c>
      <c r="C944" t="s">
        <v>2256</v>
      </c>
      <c r="D944" t="s">
        <v>1203</v>
      </c>
      <c r="E944" t="s">
        <v>1204</v>
      </c>
      <c r="F944">
        <v>5539</v>
      </c>
      <c r="G944" t="s">
        <v>702</v>
      </c>
      <c r="I944">
        <v>750</v>
      </c>
      <c r="J944">
        <v>762</v>
      </c>
      <c r="K944">
        <v>775</v>
      </c>
      <c r="L944">
        <v>788</v>
      </c>
      <c r="M944">
        <v>801</v>
      </c>
      <c r="N944" t="s">
        <v>988</v>
      </c>
    </row>
    <row r="945" spans="1:14" x14ac:dyDescent="0.3">
      <c r="A945">
        <v>1036</v>
      </c>
      <c r="B945" t="s">
        <v>1548</v>
      </c>
      <c r="C945" t="s">
        <v>2256</v>
      </c>
      <c r="D945" t="s">
        <v>1203</v>
      </c>
      <c r="E945" t="s">
        <v>1204</v>
      </c>
      <c r="F945">
        <v>5892</v>
      </c>
      <c r="G945" t="s">
        <v>691</v>
      </c>
      <c r="I945">
        <v>13605</v>
      </c>
      <c r="J945">
        <v>13949</v>
      </c>
      <c r="K945">
        <v>14301</v>
      </c>
      <c r="L945">
        <v>14662</v>
      </c>
      <c r="M945">
        <v>15032</v>
      </c>
      <c r="N945" t="s">
        <v>988</v>
      </c>
    </row>
    <row r="946" spans="1:14" x14ac:dyDescent="0.3">
      <c r="A946">
        <v>1038</v>
      </c>
      <c r="B946" t="s">
        <v>1549</v>
      </c>
      <c r="C946" t="s">
        <v>2256</v>
      </c>
      <c r="D946" t="s">
        <v>1203</v>
      </c>
      <c r="E946" t="s">
        <v>1204</v>
      </c>
      <c r="F946">
        <v>5893</v>
      </c>
      <c r="G946" t="s">
        <v>691</v>
      </c>
      <c r="I946">
        <v>5002</v>
      </c>
      <c r="J946">
        <v>5086</v>
      </c>
      <c r="K946">
        <v>5175</v>
      </c>
      <c r="L946">
        <v>5269</v>
      </c>
      <c r="M946">
        <v>5370</v>
      </c>
      <c r="N946" t="s">
        <v>988</v>
      </c>
    </row>
    <row r="947" spans="1:14" x14ac:dyDescent="0.3">
      <c r="A947">
        <v>1041</v>
      </c>
      <c r="B947" t="s">
        <v>1550</v>
      </c>
      <c r="C947" t="s">
        <v>2256</v>
      </c>
      <c r="D947" t="s">
        <v>1203</v>
      </c>
      <c r="E947" t="s">
        <v>1204</v>
      </c>
      <c r="F947">
        <v>5894</v>
      </c>
      <c r="G947" t="s">
        <v>691</v>
      </c>
      <c r="I947">
        <v>4843</v>
      </c>
      <c r="J947">
        <v>4945</v>
      </c>
      <c r="K947">
        <v>5049</v>
      </c>
      <c r="L947">
        <v>5155</v>
      </c>
      <c r="M947">
        <v>5264</v>
      </c>
      <c r="N947" t="s">
        <v>988</v>
      </c>
    </row>
    <row r="948" spans="1:14" x14ac:dyDescent="0.3">
      <c r="A948">
        <v>1049</v>
      </c>
      <c r="B948" t="s">
        <v>1551</v>
      </c>
      <c r="C948" t="s">
        <v>2256</v>
      </c>
      <c r="D948" t="s">
        <v>1203</v>
      </c>
      <c r="E948" t="s">
        <v>1204</v>
      </c>
      <c r="F948">
        <v>5895</v>
      </c>
      <c r="G948" t="s">
        <v>691</v>
      </c>
      <c r="I948">
        <v>4365</v>
      </c>
      <c r="J948">
        <v>4367</v>
      </c>
      <c r="K948">
        <v>4369</v>
      </c>
      <c r="L948">
        <v>4371</v>
      </c>
      <c r="M948">
        <v>4374</v>
      </c>
      <c r="N948" t="s">
        <v>988</v>
      </c>
    </row>
    <row r="949" spans="1:14" x14ac:dyDescent="0.3">
      <c r="A949">
        <v>1052</v>
      </c>
      <c r="B949" t="s">
        <v>1552</v>
      </c>
      <c r="C949" t="s">
        <v>2256</v>
      </c>
      <c r="D949" t="s">
        <v>1203</v>
      </c>
      <c r="E949" t="s">
        <v>1204</v>
      </c>
      <c r="F949">
        <v>5896</v>
      </c>
      <c r="G949" t="s">
        <v>691</v>
      </c>
      <c r="I949">
        <v>6105</v>
      </c>
      <c r="J949">
        <v>6266</v>
      </c>
      <c r="K949">
        <v>6432</v>
      </c>
      <c r="L949">
        <v>6603</v>
      </c>
      <c r="M949">
        <v>6777</v>
      </c>
      <c r="N949" t="s">
        <v>988</v>
      </c>
    </row>
    <row r="950" spans="1:14" x14ac:dyDescent="0.3">
      <c r="A950">
        <v>1053</v>
      </c>
      <c r="B950" t="s">
        <v>1553</v>
      </c>
      <c r="C950" t="s">
        <v>2256</v>
      </c>
      <c r="D950" t="s">
        <v>1203</v>
      </c>
      <c r="E950" t="s">
        <v>1204</v>
      </c>
      <c r="F950">
        <v>5897</v>
      </c>
      <c r="G950" t="s">
        <v>691</v>
      </c>
      <c r="I950">
        <v>6657</v>
      </c>
      <c r="J950">
        <v>6683</v>
      </c>
      <c r="K950">
        <v>6709</v>
      </c>
      <c r="L950">
        <v>6736</v>
      </c>
      <c r="M950">
        <v>6762</v>
      </c>
      <c r="N950" t="s">
        <v>988</v>
      </c>
    </row>
    <row r="951" spans="1:14" x14ac:dyDescent="0.3">
      <c r="A951">
        <v>1054</v>
      </c>
      <c r="B951" t="s">
        <v>1554</v>
      </c>
      <c r="C951" t="s">
        <v>2256</v>
      </c>
      <c r="D951" t="s">
        <v>1203</v>
      </c>
      <c r="E951" t="s">
        <v>1204</v>
      </c>
      <c r="F951">
        <v>5540</v>
      </c>
      <c r="G951" t="s">
        <v>698</v>
      </c>
      <c r="I951">
        <v>852</v>
      </c>
      <c r="J951">
        <v>855</v>
      </c>
      <c r="K951">
        <v>859</v>
      </c>
      <c r="L951">
        <v>862</v>
      </c>
      <c r="M951">
        <v>866</v>
      </c>
      <c r="N951" t="s">
        <v>988</v>
      </c>
    </row>
    <row r="952" spans="1:14" x14ac:dyDescent="0.3">
      <c r="A952">
        <v>1054</v>
      </c>
      <c r="B952" t="s">
        <v>1554</v>
      </c>
      <c r="C952" t="s">
        <v>2256</v>
      </c>
      <c r="D952" t="s">
        <v>1203</v>
      </c>
      <c r="E952" t="s">
        <v>1204</v>
      </c>
      <c r="F952">
        <v>5540</v>
      </c>
      <c r="G952" t="s">
        <v>703</v>
      </c>
      <c r="I952">
        <v>672</v>
      </c>
      <c r="J952">
        <v>675</v>
      </c>
      <c r="K952">
        <v>678</v>
      </c>
      <c r="L952">
        <v>680</v>
      </c>
      <c r="M952">
        <v>683</v>
      </c>
      <c r="N952" t="s">
        <v>988</v>
      </c>
    </row>
    <row r="953" spans="1:14" x14ac:dyDescent="0.3">
      <c r="A953">
        <v>1054</v>
      </c>
      <c r="B953" t="s">
        <v>1554</v>
      </c>
      <c r="C953" t="s">
        <v>2256</v>
      </c>
      <c r="D953" t="s">
        <v>1203</v>
      </c>
      <c r="E953" t="s">
        <v>1204</v>
      </c>
      <c r="F953">
        <v>5540</v>
      </c>
      <c r="G953" t="s">
        <v>702</v>
      </c>
      <c r="I953">
        <v>620</v>
      </c>
      <c r="J953">
        <v>622</v>
      </c>
      <c r="K953">
        <v>625</v>
      </c>
      <c r="L953">
        <v>627</v>
      </c>
      <c r="M953">
        <v>630</v>
      </c>
      <c r="N953" t="s">
        <v>988</v>
      </c>
    </row>
    <row r="954" spans="1:14" x14ac:dyDescent="0.3">
      <c r="A954">
        <v>1054</v>
      </c>
      <c r="B954" t="s">
        <v>1554</v>
      </c>
      <c r="C954" t="s">
        <v>2256</v>
      </c>
      <c r="D954" t="s">
        <v>1203</v>
      </c>
      <c r="E954" t="s">
        <v>1204</v>
      </c>
      <c r="F954">
        <v>5540</v>
      </c>
      <c r="G954" t="s">
        <v>696</v>
      </c>
      <c r="I954">
        <v>5913</v>
      </c>
      <c r="J954">
        <v>5937</v>
      </c>
      <c r="K954">
        <v>5960</v>
      </c>
      <c r="L954">
        <v>5985</v>
      </c>
      <c r="M954">
        <v>6008</v>
      </c>
      <c r="N954" t="s">
        <v>988</v>
      </c>
    </row>
    <row r="955" spans="1:14" x14ac:dyDescent="0.3">
      <c r="A955">
        <v>1054</v>
      </c>
      <c r="B955" t="s">
        <v>1554</v>
      </c>
      <c r="C955" t="s">
        <v>2256</v>
      </c>
      <c r="D955" t="s">
        <v>1203</v>
      </c>
      <c r="E955" t="s">
        <v>1204</v>
      </c>
      <c r="F955">
        <v>5540</v>
      </c>
      <c r="G955" t="s">
        <v>700</v>
      </c>
      <c r="I955">
        <v>1943</v>
      </c>
      <c r="J955">
        <v>1951</v>
      </c>
      <c r="K955">
        <v>1959</v>
      </c>
      <c r="L955">
        <v>1967</v>
      </c>
      <c r="M955">
        <v>1975</v>
      </c>
      <c r="N955" t="s">
        <v>988</v>
      </c>
    </row>
    <row r="956" spans="1:14" x14ac:dyDescent="0.3">
      <c r="A956">
        <v>1054</v>
      </c>
      <c r="B956" t="s">
        <v>1554</v>
      </c>
      <c r="C956" t="s">
        <v>2256</v>
      </c>
      <c r="D956" t="s">
        <v>1203</v>
      </c>
      <c r="E956" t="s">
        <v>1204</v>
      </c>
      <c r="F956">
        <v>5540</v>
      </c>
      <c r="G956" t="s">
        <v>687</v>
      </c>
      <c r="I956">
        <v>1</v>
      </c>
      <c r="J956">
        <v>1</v>
      </c>
      <c r="K956">
        <v>1</v>
      </c>
      <c r="L956">
        <v>1</v>
      </c>
      <c r="M956">
        <v>1</v>
      </c>
      <c r="N956" t="s">
        <v>988</v>
      </c>
    </row>
    <row r="957" spans="1:14" x14ac:dyDescent="0.3">
      <c r="A957">
        <v>1054</v>
      </c>
      <c r="B957" t="s">
        <v>1554</v>
      </c>
      <c r="C957" t="s">
        <v>2256</v>
      </c>
      <c r="D957" t="s">
        <v>1203</v>
      </c>
      <c r="E957" t="s">
        <v>1204</v>
      </c>
      <c r="F957">
        <v>5540</v>
      </c>
      <c r="G957" t="s">
        <v>686</v>
      </c>
      <c r="I957">
        <v>752</v>
      </c>
      <c r="J957">
        <v>755</v>
      </c>
      <c r="K957">
        <v>758</v>
      </c>
      <c r="L957">
        <v>761</v>
      </c>
      <c r="M957">
        <v>764</v>
      </c>
      <c r="N957" t="s">
        <v>988</v>
      </c>
    </row>
    <row r="958" spans="1:14" x14ac:dyDescent="0.3">
      <c r="A958">
        <v>1057</v>
      </c>
      <c r="B958" t="s">
        <v>1555</v>
      </c>
      <c r="C958" t="s">
        <v>2256</v>
      </c>
      <c r="D958" t="s">
        <v>1203</v>
      </c>
      <c r="E958" t="s">
        <v>1204</v>
      </c>
      <c r="F958">
        <v>5898</v>
      </c>
      <c r="G958" t="s">
        <v>691</v>
      </c>
      <c r="I958">
        <v>6062</v>
      </c>
      <c r="J958">
        <v>6189</v>
      </c>
      <c r="K958">
        <v>6318</v>
      </c>
      <c r="L958">
        <v>6450</v>
      </c>
      <c r="M958">
        <v>6585</v>
      </c>
      <c r="N958" t="s">
        <v>988</v>
      </c>
    </row>
    <row r="959" spans="1:14" x14ac:dyDescent="0.3">
      <c r="A959">
        <v>1058</v>
      </c>
      <c r="B959" t="s">
        <v>1556</v>
      </c>
      <c r="C959" t="s">
        <v>2256</v>
      </c>
      <c r="D959" t="s">
        <v>1203</v>
      </c>
      <c r="E959" t="s">
        <v>1204</v>
      </c>
      <c r="F959">
        <v>5899</v>
      </c>
      <c r="G959" t="s">
        <v>691</v>
      </c>
      <c r="I959">
        <v>2954</v>
      </c>
      <c r="J959">
        <v>2988</v>
      </c>
      <c r="K959">
        <v>3022</v>
      </c>
      <c r="L959">
        <v>3056</v>
      </c>
      <c r="M959">
        <v>3091</v>
      </c>
      <c r="N959" t="s">
        <v>988</v>
      </c>
    </row>
    <row r="960" spans="1:14" x14ac:dyDescent="0.3">
      <c r="A960">
        <v>1059</v>
      </c>
      <c r="B960" t="s">
        <v>1557</v>
      </c>
      <c r="C960" t="s">
        <v>2256</v>
      </c>
      <c r="D960" t="s">
        <v>1203</v>
      </c>
      <c r="E960" t="s">
        <v>1204</v>
      </c>
      <c r="F960">
        <v>5900</v>
      </c>
      <c r="G960" t="s">
        <v>691</v>
      </c>
      <c r="I960">
        <v>2396</v>
      </c>
      <c r="J960">
        <v>2422</v>
      </c>
      <c r="K960">
        <v>2447</v>
      </c>
      <c r="L960">
        <v>2474</v>
      </c>
      <c r="M960">
        <v>2500</v>
      </c>
      <c r="N960" t="s">
        <v>988</v>
      </c>
    </row>
    <row r="961" spans="1:14" x14ac:dyDescent="0.3">
      <c r="A961">
        <v>1060</v>
      </c>
      <c r="B961" t="s">
        <v>1558</v>
      </c>
      <c r="C961" t="s">
        <v>2256</v>
      </c>
      <c r="D961" t="s">
        <v>1203</v>
      </c>
      <c r="E961" t="s">
        <v>1204</v>
      </c>
      <c r="F961">
        <v>5901</v>
      </c>
      <c r="G961" t="s">
        <v>691</v>
      </c>
      <c r="I961">
        <v>26939</v>
      </c>
      <c r="J961">
        <v>27347</v>
      </c>
      <c r="K961">
        <v>27761</v>
      </c>
      <c r="L961">
        <v>28181</v>
      </c>
      <c r="M961">
        <v>28608</v>
      </c>
      <c r="N961" t="s">
        <v>988</v>
      </c>
    </row>
    <row r="962" spans="1:14" x14ac:dyDescent="0.3">
      <c r="A962">
        <v>1062</v>
      </c>
      <c r="B962" t="s">
        <v>1559</v>
      </c>
      <c r="C962" t="s">
        <v>2256</v>
      </c>
      <c r="D962" t="s">
        <v>1203</v>
      </c>
      <c r="E962" t="s">
        <v>1204</v>
      </c>
      <c r="F962">
        <v>5886</v>
      </c>
      <c r="G962" t="s">
        <v>691</v>
      </c>
      <c r="I962">
        <v>14137</v>
      </c>
      <c r="J962">
        <v>14527</v>
      </c>
      <c r="K962">
        <v>14926</v>
      </c>
      <c r="L962">
        <v>15337</v>
      </c>
      <c r="M962">
        <v>15759</v>
      </c>
      <c r="N962" t="s">
        <v>988</v>
      </c>
    </row>
    <row r="963" spans="1:14" x14ac:dyDescent="0.3">
      <c r="A963">
        <v>1068</v>
      </c>
      <c r="B963" t="s">
        <v>1560</v>
      </c>
      <c r="C963" t="s">
        <v>2256</v>
      </c>
      <c r="D963" t="s">
        <v>159</v>
      </c>
      <c r="E963" t="s">
        <v>159</v>
      </c>
      <c r="F963">
        <v>5489</v>
      </c>
      <c r="G963" t="s">
        <v>686</v>
      </c>
      <c r="I963">
        <v>640</v>
      </c>
      <c r="J963">
        <v>658</v>
      </c>
      <c r="K963">
        <v>680</v>
      </c>
      <c r="L963">
        <v>702</v>
      </c>
      <c r="N963" t="s">
        <v>988</v>
      </c>
    </row>
    <row r="964" spans="1:14" x14ac:dyDescent="0.3">
      <c r="A964">
        <v>1068</v>
      </c>
      <c r="B964" t="s">
        <v>1560</v>
      </c>
      <c r="C964" t="s">
        <v>2256</v>
      </c>
      <c r="D964" t="s">
        <v>159</v>
      </c>
      <c r="E964" t="s">
        <v>159</v>
      </c>
      <c r="F964">
        <v>5489</v>
      </c>
      <c r="G964" t="s">
        <v>705</v>
      </c>
      <c r="I964">
        <v>0</v>
      </c>
      <c r="J964">
        <v>0</v>
      </c>
      <c r="K964">
        <v>0</v>
      </c>
      <c r="L964">
        <v>0</v>
      </c>
      <c r="N964" t="s">
        <v>988</v>
      </c>
    </row>
    <row r="965" spans="1:14" x14ac:dyDescent="0.3">
      <c r="A965">
        <v>1068</v>
      </c>
      <c r="B965" t="s">
        <v>1560</v>
      </c>
      <c r="C965" t="s">
        <v>2256</v>
      </c>
      <c r="D965" t="s">
        <v>159</v>
      </c>
      <c r="E965" t="s">
        <v>159</v>
      </c>
      <c r="F965">
        <v>5489</v>
      </c>
      <c r="G965" t="s">
        <v>690</v>
      </c>
      <c r="I965">
        <v>0</v>
      </c>
      <c r="J965">
        <v>0</v>
      </c>
      <c r="K965">
        <v>0</v>
      </c>
      <c r="L965">
        <v>0</v>
      </c>
      <c r="N965" t="s">
        <v>988</v>
      </c>
    </row>
    <row r="966" spans="1:14" x14ac:dyDescent="0.3">
      <c r="A966">
        <v>1068</v>
      </c>
      <c r="B966" t="s">
        <v>1560</v>
      </c>
      <c r="C966" t="s">
        <v>2256</v>
      </c>
      <c r="D966" t="s">
        <v>159</v>
      </c>
      <c r="E966" t="s">
        <v>159</v>
      </c>
      <c r="F966">
        <v>5489</v>
      </c>
      <c r="G966" t="s">
        <v>684</v>
      </c>
      <c r="I966">
        <v>2128</v>
      </c>
      <c r="J966">
        <v>2129</v>
      </c>
      <c r="K966">
        <v>2129</v>
      </c>
      <c r="L966">
        <v>2128</v>
      </c>
      <c r="N966" t="s">
        <v>988</v>
      </c>
    </row>
    <row r="967" spans="1:14" x14ac:dyDescent="0.3">
      <c r="A967">
        <v>1068</v>
      </c>
      <c r="B967" t="s">
        <v>1560</v>
      </c>
      <c r="C967" t="s">
        <v>2256</v>
      </c>
      <c r="D967" t="s">
        <v>159</v>
      </c>
      <c r="E967" t="s">
        <v>159</v>
      </c>
      <c r="F967">
        <v>5489</v>
      </c>
      <c r="G967" t="s">
        <v>703</v>
      </c>
      <c r="I967">
        <v>800</v>
      </c>
      <c r="J967">
        <v>1010</v>
      </c>
      <c r="K967">
        <v>1010</v>
      </c>
      <c r="L967">
        <v>1010</v>
      </c>
      <c r="N967" t="s">
        <v>988</v>
      </c>
    </row>
    <row r="968" spans="1:14" x14ac:dyDescent="0.3">
      <c r="A968">
        <v>1068</v>
      </c>
      <c r="B968" t="s">
        <v>1560</v>
      </c>
      <c r="C968" t="s">
        <v>2256</v>
      </c>
      <c r="D968" t="s">
        <v>159</v>
      </c>
      <c r="E968" t="s">
        <v>159</v>
      </c>
      <c r="F968">
        <v>5489</v>
      </c>
      <c r="G968" t="s">
        <v>701</v>
      </c>
      <c r="I968">
        <v>0</v>
      </c>
      <c r="J968">
        <v>0</v>
      </c>
      <c r="K968">
        <v>0</v>
      </c>
      <c r="L968">
        <v>0</v>
      </c>
      <c r="N968" t="s">
        <v>988</v>
      </c>
    </row>
    <row r="969" spans="1:14" x14ac:dyDescent="0.3">
      <c r="A969">
        <v>1068</v>
      </c>
      <c r="B969" t="s">
        <v>1560</v>
      </c>
      <c r="C969" t="s">
        <v>2256</v>
      </c>
      <c r="D969" t="s">
        <v>159</v>
      </c>
      <c r="E969" t="s">
        <v>159</v>
      </c>
      <c r="F969">
        <v>5489</v>
      </c>
      <c r="G969" t="s">
        <v>700</v>
      </c>
      <c r="I969">
        <v>1700</v>
      </c>
      <c r="J969">
        <v>1856</v>
      </c>
      <c r="K969">
        <v>1986</v>
      </c>
      <c r="L969">
        <v>2056</v>
      </c>
      <c r="N969" t="s">
        <v>988</v>
      </c>
    </row>
    <row r="970" spans="1:14" x14ac:dyDescent="0.3">
      <c r="A970">
        <v>1068</v>
      </c>
      <c r="B970" t="s">
        <v>1560</v>
      </c>
      <c r="C970" t="s">
        <v>2256</v>
      </c>
      <c r="D970" t="s">
        <v>159</v>
      </c>
      <c r="E970" t="s">
        <v>159</v>
      </c>
      <c r="F970">
        <v>5489</v>
      </c>
      <c r="G970" t="s">
        <v>698</v>
      </c>
      <c r="I970">
        <v>1899</v>
      </c>
      <c r="J970">
        <v>1927</v>
      </c>
      <c r="K970">
        <v>1957</v>
      </c>
      <c r="L970">
        <v>1989</v>
      </c>
      <c r="N970" t="s">
        <v>988</v>
      </c>
    </row>
    <row r="971" spans="1:14" x14ac:dyDescent="0.3">
      <c r="A971">
        <v>1068</v>
      </c>
      <c r="B971" t="s">
        <v>1560</v>
      </c>
      <c r="C971" t="s">
        <v>2256</v>
      </c>
      <c r="D971" t="s">
        <v>159</v>
      </c>
      <c r="E971" t="s">
        <v>159</v>
      </c>
      <c r="F971">
        <v>5489</v>
      </c>
      <c r="G971" t="s">
        <v>696</v>
      </c>
      <c r="I971">
        <v>3254</v>
      </c>
      <c r="J971">
        <v>3300</v>
      </c>
      <c r="K971">
        <v>3354</v>
      </c>
      <c r="L971">
        <v>3407</v>
      </c>
      <c r="N971" t="s">
        <v>988</v>
      </c>
    </row>
    <row r="972" spans="1:14" x14ac:dyDescent="0.3">
      <c r="A972">
        <v>1068</v>
      </c>
      <c r="B972" t="s">
        <v>1560</v>
      </c>
      <c r="C972" t="s">
        <v>2256</v>
      </c>
      <c r="D972" t="s">
        <v>159</v>
      </c>
      <c r="E972" t="s">
        <v>159</v>
      </c>
      <c r="F972">
        <v>5489</v>
      </c>
      <c r="G972" t="s">
        <v>702</v>
      </c>
      <c r="I972">
        <v>445</v>
      </c>
      <c r="J972">
        <v>445</v>
      </c>
      <c r="K972">
        <v>445</v>
      </c>
      <c r="L972">
        <v>445</v>
      </c>
      <c r="N972" t="s">
        <v>988</v>
      </c>
    </row>
    <row r="973" spans="1:14" x14ac:dyDescent="0.3">
      <c r="A973">
        <v>1083</v>
      </c>
      <c r="B973" t="s">
        <v>1561</v>
      </c>
      <c r="C973" t="s">
        <v>2256</v>
      </c>
      <c r="D973" t="s">
        <v>1203</v>
      </c>
      <c r="E973" t="s">
        <v>1204</v>
      </c>
      <c r="F973">
        <v>5752</v>
      </c>
      <c r="G973" t="s">
        <v>698</v>
      </c>
      <c r="I973">
        <v>604</v>
      </c>
      <c r="J973">
        <v>604</v>
      </c>
      <c r="K973">
        <v>584</v>
      </c>
      <c r="L973">
        <v>548</v>
      </c>
      <c r="M973">
        <v>530</v>
      </c>
      <c r="N973" t="s">
        <v>987</v>
      </c>
    </row>
    <row r="974" spans="1:14" x14ac:dyDescent="0.3">
      <c r="A974">
        <v>1083</v>
      </c>
      <c r="B974" t="s">
        <v>1561</v>
      </c>
      <c r="C974" t="s">
        <v>2256</v>
      </c>
      <c r="D974" t="s">
        <v>1203</v>
      </c>
      <c r="E974" t="s">
        <v>1204</v>
      </c>
      <c r="F974">
        <v>5752</v>
      </c>
      <c r="G974" t="s">
        <v>701</v>
      </c>
      <c r="I974">
        <v>74</v>
      </c>
      <c r="J974">
        <v>73</v>
      </c>
      <c r="K974">
        <v>68</v>
      </c>
      <c r="L974">
        <v>62</v>
      </c>
      <c r="M974">
        <v>58</v>
      </c>
      <c r="N974" t="s">
        <v>987</v>
      </c>
    </row>
    <row r="975" spans="1:14" x14ac:dyDescent="0.3">
      <c r="A975">
        <v>1083</v>
      </c>
      <c r="B975" t="s">
        <v>1561</v>
      </c>
      <c r="C975" t="s">
        <v>2256</v>
      </c>
      <c r="D975" t="s">
        <v>1203</v>
      </c>
      <c r="E975" t="s">
        <v>1204</v>
      </c>
      <c r="F975">
        <v>5752</v>
      </c>
      <c r="G975" t="s">
        <v>703</v>
      </c>
      <c r="H975" t="s">
        <v>1562</v>
      </c>
      <c r="I975">
        <v>275</v>
      </c>
      <c r="J975">
        <v>208</v>
      </c>
      <c r="K975">
        <v>173</v>
      </c>
      <c r="L975">
        <v>141</v>
      </c>
      <c r="M975">
        <v>117</v>
      </c>
      <c r="N975" t="s">
        <v>987</v>
      </c>
    </row>
    <row r="976" spans="1:14" x14ac:dyDescent="0.3">
      <c r="A976">
        <v>1083</v>
      </c>
      <c r="B976" t="s">
        <v>1561</v>
      </c>
      <c r="C976" t="s">
        <v>2256</v>
      </c>
      <c r="D976" t="s">
        <v>1203</v>
      </c>
      <c r="E976" t="s">
        <v>1204</v>
      </c>
      <c r="F976">
        <v>5752</v>
      </c>
      <c r="G976" t="s">
        <v>702</v>
      </c>
      <c r="I976">
        <v>170</v>
      </c>
      <c r="J976">
        <v>181</v>
      </c>
      <c r="K976">
        <v>166</v>
      </c>
      <c r="L976">
        <v>146</v>
      </c>
      <c r="M976">
        <v>134</v>
      </c>
      <c r="N976" t="s">
        <v>987</v>
      </c>
    </row>
    <row r="977" spans="1:14" x14ac:dyDescent="0.3">
      <c r="A977">
        <v>1083</v>
      </c>
      <c r="B977" t="s">
        <v>1561</v>
      </c>
      <c r="C977" t="s">
        <v>2256</v>
      </c>
      <c r="D977" t="s">
        <v>1203</v>
      </c>
      <c r="E977" t="s">
        <v>1204</v>
      </c>
      <c r="F977">
        <v>5752</v>
      </c>
      <c r="G977" t="s">
        <v>684</v>
      </c>
      <c r="I977">
        <v>2</v>
      </c>
      <c r="J977">
        <v>2</v>
      </c>
      <c r="K977">
        <v>2</v>
      </c>
      <c r="L977">
        <v>2</v>
      </c>
      <c r="M977">
        <v>2</v>
      </c>
      <c r="N977" t="s">
        <v>987</v>
      </c>
    </row>
    <row r="978" spans="1:14" x14ac:dyDescent="0.3">
      <c r="A978">
        <v>1083</v>
      </c>
      <c r="B978" t="s">
        <v>1561</v>
      </c>
      <c r="C978" t="s">
        <v>2256</v>
      </c>
      <c r="D978" t="s">
        <v>1203</v>
      </c>
      <c r="E978" t="s">
        <v>1204</v>
      </c>
      <c r="F978">
        <v>5752</v>
      </c>
      <c r="G978" t="s">
        <v>696</v>
      </c>
      <c r="I978">
        <v>1787</v>
      </c>
      <c r="J978">
        <v>1735</v>
      </c>
      <c r="K978">
        <v>1506</v>
      </c>
      <c r="L978">
        <v>1269</v>
      </c>
      <c r="M978">
        <v>1102</v>
      </c>
      <c r="N978" t="s">
        <v>987</v>
      </c>
    </row>
    <row r="979" spans="1:14" x14ac:dyDescent="0.3">
      <c r="A979">
        <v>1083</v>
      </c>
      <c r="B979" t="s">
        <v>1561</v>
      </c>
      <c r="C979" t="s">
        <v>2256</v>
      </c>
      <c r="D979" t="s">
        <v>1203</v>
      </c>
      <c r="E979" t="s">
        <v>1204</v>
      </c>
      <c r="F979">
        <v>5752</v>
      </c>
      <c r="G979" t="s">
        <v>700</v>
      </c>
      <c r="H979" t="s">
        <v>1563</v>
      </c>
      <c r="I979">
        <v>276</v>
      </c>
      <c r="J979">
        <v>216</v>
      </c>
      <c r="K979">
        <v>204</v>
      </c>
      <c r="L979">
        <v>188</v>
      </c>
      <c r="M979">
        <v>179</v>
      </c>
      <c r="N979" t="s">
        <v>987</v>
      </c>
    </row>
    <row r="980" spans="1:14" x14ac:dyDescent="0.3">
      <c r="A980">
        <v>1083</v>
      </c>
      <c r="B980" t="s">
        <v>1561</v>
      </c>
      <c r="C980" t="s">
        <v>2256</v>
      </c>
      <c r="D980" t="s">
        <v>1203</v>
      </c>
      <c r="E980" t="s">
        <v>1204</v>
      </c>
      <c r="F980">
        <v>5752</v>
      </c>
      <c r="G980" t="s">
        <v>686</v>
      </c>
      <c r="I980">
        <v>175</v>
      </c>
      <c r="J980">
        <v>155</v>
      </c>
      <c r="K980">
        <v>122</v>
      </c>
      <c r="L980">
        <v>94</v>
      </c>
      <c r="M980">
        <v>85</v>
      </c>
      <c r="N980" t="s">
        <v>987</v>
      </c>
    </row>
    <row r="981" spans="1:14" x14ac:dyDescent="0.3">
      <c r="A981">
        <v>1094</v>
      </c>
      <c r="B981" t="s">
        <v>1564</v>
      </c>
      <c r="C981" t="s">
        <v>2256</v>
      </c>
      <c r="D981" t="s">
        <v>1203</v>
      </c>
      <c r="E981" t="s">
        <v>1204</v>
      </c>
      <c r="F981">
        <v>5821</v>
      </c>
      <c r="G981" t="s">
        <v>696</v>
      </c>
      <c r="I981">
        <v>693</v>
      </c>
      <c r="J981">
        <v>729</v>
      </c>
      <c r="K981">
        <v>765</v>
      </c>
      <c r="L981">
        <v>803</v>
      </c>
      <c r="M981">
        <v>843</v>
      </c>
      <c r="N981" t="s">
        <v>987</v>
      </c>
    </row>
    <row r="982" spans="1:14" x14ac:dyDescent="0.3">
      <c r="A982">
        <v>1094</v>
      </c>
      <c r="B982" t="s">
        <v>1564</v>
      </c>
      <c r="C982" t="s">
        <v>2256</v>
      </c>
      <c r="D982" t="s">
        <v>1203</v>
      </c>
      <c r="E982" t="s">
        <v>1204</v>
      </c>
      <c r="F982">
        <v>5821</v>
      </c>
      <c r="G982" t="s">
        <v>687</v>
      </c>
      <c r="I982">
        <v>15</v>
      </c>
      <c r="J982">
        <v>16</v>
      </c>
      <c r="K982">
        <v>17</v>
      </c>
      <c r="L982">
        <v>18</v>
      </c>
      <c r="M982">
        <v>19</v>
      </c>
      <c r="N982" t="s">
        <v>987</v>
      </c>
    </row>
    <row r="983" spans="1:14" x14ac:dyDescent="0.3">
      <c r="A983">
        <v>1094</v>
      </c>
      <c r="B983" t="s">
        <v>1564</v>
      </c>
      <c r="C983" t="s">
        <v>2256</v>
      </c>
      <c r="D983" t="s">
        <v>1203</v>
      </c>
      <c r="E983" t="s">
        <v>1204</v>
      </c>
      <c r="F983">
        <v>5821</v>
      </c>
      <c r="G983" t="s">
        <v>702</v>
      </c>
      <c r="I983">
        <v>11</v>
      </c>
      <c r="J983">
        <v>11</v>
      </c>
      <c r="K983">
        <v>12</v>
      </c>
      <c r="L983">
        <v>12</v>
      </c>
      <c r="M983">
        <v>12</v>
      </c>
      <c r="N983" t="s">
        <v>987</v>
      </c>
    </row>
    <row r="984" spans="1:14" x14ac:dyDescent="0.3">
      <c r="A984">
        <v>1094</v>
      </c>
      <c r="B984" t="s">
        <v>1564</v>
      </c>
      <c r="C984" t="s">
        <v>2256</v>
      </c>
      <c r="D984" t="s">
        <v>1203</v>
      </c>
      <c r="E984" t="s">
        <v>1204</v>
      </c>
      <c r="F984">
        <v>5821</v>
      </c>
      <c r="G984" t="s">
        <v>700</v>
      </c>
      <c r="H984" t="s">
        <v>2341</v>
      </c>
      <c r="I984">
        <v>97</v>
      </c>
      <c r="J984">
        <v>102</v>
      </c>
      <c r="K984">
        <v>107</v>
      </c>
      <c r="L984">
        <v>112</v>
      </c>
      <c r="M984">
        <v>117</v>
      </c>
      <c r="N984" t="s">
        <v>987</v>
      </c>
    </row>
    <row r="985" spans="1:14" x14ac:dyDescent="0.3">
      <c r="A985">
        <v>1094</v>
      </c>
      <c r="B985" t="s">
        <v>1564</v>
      </c>
      <c r="C985" t="s">
        <v>2256</v>
      </c>
      <c r="D985" t="s">
        <v>1203</v>
      </c>
      <c r="E985" t="s">
        <v>1204</v>
      </c>
      <c r="F985">
        <v>5821</v>
      </c>
      <c r="G985" t="s">
        <v>698</v>
      </c>
      <c r="I985">
        <v>65</v>
      </c>
      <c r="J985">
        <v>69</v>
      </c>
      <c r="K985">
        <v>72</v>
      </c>
      <c r="L985">
        <v>75</v>
      </c>
      <c r="M985">
        <v>78</v>
      </c>
      <c r="N985" t="s">
        <v>987</v>
      </c>
    </row>
    <row r="986" spans="1:14" x14ac:dyDescent="0.3">
      <c r="A986">
        <v>1109</v>
      </c>
      <c r="B986" t="s">
        <v>1566</v>
      </c>
      <c r="C986" t="s">
        <v>2256</v>
      </c>
      <c r="D986" t="s">
        <v>1203</v>
      </c>
      <c r="E986" t="s">
        <v>1204</v>
      </c>
      <c r="F986">
        <v>6747</v>
      </c>
      <c r="G986" t="s">
        <v>700</v>
      </c>
      <c r="I986">
        <v>16</v>
      </c>
      <c r="J986">
        <v>16</v>
      </c>
      <c r="K986">
        <v>17</v>
      </c>
      <c r="L986">
        <v>18</v>
      </c>
      <c r="M986">
        <v>20</v>
      </c>
      <c r="N986" t="s">
        <v>987</v>
      </c>
    </row>
    <row r="987" spans="1:14" x14ac:dyDescent="0.3">
      <c r="A987">
        <v>1109</v>
      </c>
      <c r="B987" t="s">
        <v>1566</v>
      </c>
      <c r="C987" t="s">
        <v>2256</v>
      </c>
      <c r="D987" t="s">
        <v>1203</v>
      </c>
      <c r="E987" t="s">
        <v>1204</v>
      </c>
      <c r="F987">
        <v>6747</v>
      </c>
      <c r="G987" t="s">
        <v>696</v>
      </c>
      <c r="I987">
        <v>96</v>
      </c>
      <c r="J987">
        <v>99</v>
      </c>
      <c r="K987">
        <v>104</v>
      </c>
      <c r="L987">
        <v>111</v>
      </c>
      <c r="M987">
        <v>120</v>
      </c>
      <c r="N987" t="s">
        <v>987</v>
      </c>
    </row>
    <row r="988" spans="1:14" x14ac:dyDescent="0.3">
      <c r="A988">
        <v>1109</v>
      </c>
      <c r="B988" t="s">
        <v>1566</v>
      </c>
      <c r="C988" t="s">
        <v>2256</v>
      </c>
      <c r="D988" t="s">
        <v>1203</v>
      </c>
      <c r="E988" t="s">
        <v>1204</v>
      </c>
      <c r="F988">
        <v>6747</v>
      </c>
      <c r="G988" t="s">
        <v>687</v>
      </c>
      <c r="I988">
        <v>3</v>
      </c>
      <c r="J988">
        <v>3</v>
      </c>
      <c r="K988">
        <v>3</v>
      </c>
      <c r="L988">
        <v>3</v>
      </c>
      <c r="M988">
        <v>3</v>
      </c>
      <c r="N988" t="s">
        <v>987</v>
      </c>
    </row>
    <row r="989" spans="1:14" x14ac:dyDescent="0.3">
      <c r="A989">
        <v>1109</v>
      </c>
      <c r="B989" t="s">
        <v>1566</v>
      </c>
      <c r="C989" t="s">
        <v>2256</v>
      </c>
      <c r="D989" t="s">
        <v>1203</v>
      </c>
      <c r="E989" t="s">
        <v>1204</v>
      </c>
      <c r="F989">
        <v>6747</v>
      </c>
      <c r="G989" t="s">
        <v>686</v>
      </c>
      <c r="I989">
        <v>27</v>
      </c>
      <c r="J989">
        <v>27</v>
      </c>
      <c r="K989">
        <v>27</v>
      </c>
      <c r="L989">
        <v>27</v>
      </c>
      <c r="M989">
        <v>27</v>
      </c>
      <c r="N989" t="s">
        <v>987</v>
      </c>
    </row>
    <row r="990" spans="1:14" x14ac:dyDescent="0.3">
      <c r="A990">
        <v>1110</v>
      </c>
      <c r="B990" t="s">
        <v>1571</v>
      </c>
      <c r="C990" t="s">
        <v>2256</v>
      </c>
      <c r="D990" t="s">
        <v>1203</v>
      </c>
      <c r="E990" t="s">
        <v>1204</v>
      </c>
      <c r="F990">
        <v>7139</v>
      </c>
      <c r="G990" t="s">
        <v>702</v>
      </c>
      <c r="I990">
        <v>38</v>
      </c>
      <c r="J990">
        <v>41</v>
      </c>
      <c r="K990">
        <v>43</v>
      </c>
      <c r="L990">
        <v>46</v>
      </c>
      <c r="M990">
        <v>48</v>
      </c>
      <c r="N990" t="s">
        <v>988</v>
      </c>
    </row>
    <row r="991" spans="1:14" x14ac:dyDescent="0.3">
      <c r="A991">
        <v>1110</v>
      </c>
      <c r="B991" t="s">
        <v>1571</v>
      </c>
      <c r="C991" t="s">
        <v>2256</v>
      </c>
      <c r="D991" t="s">
        <v>1203</v>
      </c>
      <c r="E991" t="s">
        <v>1204</v>
      </c>
      <c r="F991">
        <v>7139</v>
      </c>
      <c r="G991" t="s">
        <v>687</v>
      </c>
      <c r="I991">
        <v>27</v>
      </c>
      <c r="J991">
        <v>28</v>
      </c>
      <c r="K991">
        <v>30</v>
      </c>
      <c r="L991">
        <v>32</v>
      </c>
      <c r="M991">
        <v>33</v>
      </c>
      <c r="N991" t="s">
        <v>988</v>
      </c>
    </row>
    <row r="992" spans="1:14" x14ac:dyDescent="0.3">
      <c r="A992">
        <v>1110</v>
      </c>
      <c r="B992" t="s">
        <v>1571</v>
      </c>
      <c r="C992" t="s">
        <v>2256</v>
      </c>
      <c r="D992" t="s">
        <v>1203</v>
      </c>
      <c r="E992" t="s">
        <v>1204</v>
      </c>
      <c r="F992">
        <v>7139</v>
      </c>
      <c r="G992" t="s">
        <v>686</v>
      </c>
      <c r="I992">
        <v>146</v>
      </c>
      <c r="J992">
        <v>156</v>
      </c>
      <c r="K992">
        <v>165</v>
      </c>
      <c r="L992">
        <v>174</v>
      </c>
      <c r="M992">
        <v>183</v>
      </c>
      <c r="N992" t="s">
        <v>988</v>
      </c>
    </row>
    <row r="993" spans="1:14" x14ac:dyDescent="0.3">
      <c r="A993">
        <v>1110</v>
      </c>
      <c r="B993" t="s">
        <v>1571</v>
      </c>
      <c r="C993" t="s">
        <v>2256</v>
      </c>
      <c r="D993" t="s">
        <v>1203</v>
      </c>
      <c r="E993" t="s">
        <v>1204</v>
      </c>
      <c r="F993">
        <v>7139</v>
      </c>
      <c r="G993" t="s">
        <v>701</v>
      </c>
      <c r="I993">
        <v>14</v>
      </c>
      <c r="J993">
        <v>15</v>
      </c>
      <c r="K993">
        <v>16</v>
      </c>
      <c r="L993">
        <v>17</v>
      </c>
      <c r="M993">
        <v>18</v>
      </c>
      <c r="N993" t="s">
        <v>988</v>
      </c>
    </row>
    <row r="994" spans="1:14" x14ac:dyDescent="0.3">
      <c r="A994">
        <v>1110</v>
      </c>
      <c r="B994" t="s">
        <v>1571</v>
      </c>
      <c r="C994" t="s">
        <v>2256</v>
      </c>
      <c r="D994" t="s">
        <v>1203</v>
      </c>
      <c r="E994" t="s">
        <v>1204</v>
      </c>
      <c r="F994">
        <v>7139</v>
      </c>
      <c r="G994" t="s">
        <v>700</v>
      </c>
      <c r="I994">
        <v>159</v>
      </c>
      <c r="J994">
        <v>169</v>
      </c>
      <c r="K994">
        <v>179</v>
      </c>
      <c r="L994">
        <v>189</v>
      </c>
      <c r="M994">
        <v>199</v>
      </c>
      <c r="N994" t="s">
        <v>988</v>
      </c>
    </row>
    <row r="995" spans="1:14" x14ac:dyDescent="0.3">
      <c r="A995">
        <v>1110</v>
      </c>
      <c r="B995" t="s">
        <v>1571</v>
      </c>
      <c r="C995" t="s">
        <v>2256</v>
      </c>
      <c r="D995" t="s">
        <v>1203</v>
      </c>
      <c r="E995" t="s">
        <v>1204</v>
      </c>
      <c r="F995">
        <v>7139</v>
      </c>
      <c r="G995" t="s">
        <v>698</v>
      </c>
      <c r="I995">
        <v>223</v>
      </c>
      <c r="J995">
        <v>237</v>
      </c>
      <c r="K995">
        <v>251</v>
      </c>
      <c r="L995">
        <v>265</v>
      </c>
      <c r="M995">
        <v>280</v>
      </c>
      <c r="N995" t="s">
        <v>988</v>
      </c>
    </row>
    <row r="996" spans="1:14" x14ac:dyDescent="0.3">
      <c r="A996">
        <v>1110</v>
      </c>
      <c r="B996" t="s">
        <v>1571</v>
      </c>
      <c r="C996" t="s">
        <v>2256</v>
      </c>
      <c r="D996" t="s">
        <v>1203</v>
      </c>
      <c r="E996" t="s">
        <v>1204</v>
      </c>
      <c r="F996">
        <v>7139</v>
      </c>
      <c r="G996" t="s">
        <v>696</v>
      </c>
      <c r="I996">
        <v>768</v>
      </c>
      <c r="J996">
        <v>818</v>
      </c>
      <c r="K996">
        <v>866</v>
      </c>
      <c r="L996">
        <v>913</v>
      </c>
      <c r="M996">
        <v>962</v>
      </c>
      <c r="N996" t="s">
        <v>988</v>
      </c>
    </row>
    <row r="997" spans="1:14" x14ac:dyDescent="0.3">
      <c r="A997">
        <v>1125</v>
      </c>
      <c r="B997" t="s">
        <v>1572</v>
      </c>
      <c r="C997" t="s">
        <v>2256</v>
      </c>
      <c r="D997" t="s">
        <v>1203</v>
      </c>
      <c r="E997" t="s">
        <v>1204</v>
      </c>
      <c r="F997">
        <v>6188</v>
      </c>
      <c r="G997" t="s">
        <v>686</v>
      </c>
      <c r="I997">
        <v>797</v>
      </c>
      <c r="J997">
        <v>834</v>
      </c>
      <c r="K997">
        <v>874</v>
      </c>
      <c r="L997">
        <v>915</v>
      </c>
      <c r="M997">
        <v>959</v>
      </c>
      <c r="N997" t="s">
        <v>988</v>
      </c>
    </row>
    <row r="998" spans="1:14" x14ac:dyDescent="0.3">
      <c r="A998">
        <v>1125</v>
      </c>
      <c r="B998" t="s">
        <v>1572</v>
      </c>
      <c r="C998" t="s">
        <v>2256</v>
      </c>
      <c r="D998" t="s">
        <v>1203</v>
      </c>
      <c r="E998" t="s">
        <v>1204</v>
      </c>
      <c r="F998">
        <v>6188</v>
      </c>
      <c r="G998" t="s">
        <v>687</v>
      </c>
      <c r="H998" t="s">
        <v>1573</v>
      </c>
      <c r="I998">
        <v>62</v>
      </c>
      <c r="J998">
        <v>65</v>
      </c>
      <c r="K998">
        <v>68</v>
      </c>
      <c r="L998">
        <v>71</v>
      </c>
      <c r="M998">
        <v>74</v>
      </c>
      <c r="N998" t="s">
        <v>988</v>
      </c>
    </row>
    <row r="999" spans="1:14" x14ac:dyDescent="0.3">
      <c r="A999">
        <v>1125</v>
      </c>
      <c r="B999" t="s">
        <v>1572</v>
      </c>
      <c r="C999" t="s">
        <v>2256</v>
      </c>
      <c r="D999" t="s">
        <v>1203</v>
      </c>
      <c r="E999" t="s">
        <v>1204</v>
      </c>
      <c r="F999">
        <v>6188</v>
      </c>
      <c r="G999" t="s">
        <v>696</v>
      </c>
      <c r="I999">
        <v>6849</v>
      </c>
      <c r="J999">
        <v>7173</v>
      </c>
      <c r="K999">
        <v>7512</v>
      </c>
      <c r="L999">
        <v>7868</v>
      </c>
      <c r="M999">
        <v>8240</v>
      </c>
      <c r="N999" t="s">
        <v>988</v>
      </c>
    </row>
    <row r="1000" spans="1:14" x14ac:dyDescent="0.3">
      <c r="A1000">
        <v>1125</v>
      </c>
      <c r="B1000" t="s">
        <v>1572</v>
      </c>
      <c r="C1000" t="s">
        <v>2256</v>
      </c>
      <c r="D1000" t="s">
        <v>1203</v>
      </c>
      <c r="E1000" t="s">
        <v>1204</v>
      </c>
      <c r="F1000">
        <v>6188</v>
      </c>
      <c r="G1000" t="s">
        <v>698</v>
      </c>
      <c r="I1000">
        <v>994</v>
      </c>
      <c r="J1000">
        <v>1041</v>
      </c>
      <c r="K1000">
        <v>1090</v>
      </c>
      <c r="L1000">
        <v>1142</v>
      </c>
      <c r="M1000">
        <v>1196</v>
      </c>
      <c r="N1000" t="s">
        <v>988</v>
      </c>
    </row>
    <row r="1001" spans="1:14" x14ac:dyDescent="0.3">
      <c r="A1001">
        <v>1125</v>
      </c>
      <c r="B1001" t="s">
        <v>1572</v>
      </c>
      <c r="C1001" t="s">
        <v>2256</v>
      </c>
      <c r="D1001" t="s">
        <v>1203</v>
      </c>
      <c r="E1001" t="s">
        <v>1204</v>
      </c>
      <c r="F1001">
        <v>6188</v>
      </c>
      <c r="G1001" t="s">
        <v>702</v>
      </c>
      <c r="I1001">
        <v>744</v>
      </c>
      <c r="J1001">
        <v>780</v>
      </c>
      <c r="K1001">
        <v>817</v>
      </c>
      <c r="L1001">
        <v>855</v>
      </c>
      <c r="M1001">
        <v>896</v>
      </c>
      <c r="N1001" t="s">
        <v>988</v>
      </c>
    </row>
    <row r="1002" spans="1:14" x14ac:dyDescent="0.3">
      <c r="A1002">
        <v>1125</v>
      </c>
      <c r="B1002" t="s">
        <v>1572</v>
      </c>
      <c r="C1002" t="s">
        <v>2256</v>
      </c>
      <c r="D1002" t="s">
        <v>1203</v>
      </c>
      <c r="E1002" t="s">
        <v>1204</v>
      </c>
      <c r="F1002">
        <v>6188</v>
      </c>
      <c r="G1002" t="s">
        <v>701</v>
      </c>
      <c r="I1002">
        <v>332</v>
      </c>
      <c r="J1002">
        <v>347</v>
      </c>
      <c r="K1002">
        <v>364</v>
      </c>
      <c r="L1002">
        <v>381</v>
      </c>
      <c r="M1002">
        <v>399</v>
      </c>
      <c r="N1002" t="s">
        <v>988</v>
      </c>
    </row>
    <row r="1003" spans="1:14" x14ac:dyDescent="0.3">
      <c r="A1003">
        <v>1125</v>
      </c>
      <c r="B1003" t="s">
        <v>1572</v>
      </c>
      <c r="C1003" t="s">
        <v>2256</v>
      </c>
      <c r="D1003" t="s">
        <v>1203</v>
      </c>
      <c r="E1003" t="s">
        <v>1204</v>
      </c>
      <c r="F1003">
        <v>6188</v>
      </c>
      <c r="G1003" t="s">
        <v>700</v>
      </c>
      <c r="H1003" t="s">
        <v>1264</v>
      </c>
      <c r="I1003">
        <v>997</v>
      </c>
      <c r="J1003">
        <v>1044</v>
      </c>
      <c r="K1003">
        <v>1093</v>
      </c>
      <c r="L1003">
        <v>1145</v>
      </c>
      <c r="M1003">
        <v>1199</v>
      </c>
      <c r="N1003" t="s">
        <v>988</v>
      </c>
    </row>
    <row r="1004" spans="1:14" x14ac:dyDescent="0.3">
      <c r="A1004">
        <v>1125</v>
      </c>
      <c r="B1004" t="s">
        <v>1572</v>
      </c>
      <c r="C1004" t="s">
        <v>2256</v>
      </c>
      <c r="D1004" t="s">
        <v>1203</v>
      </c>
      <c r="E1004" t="s">
        <v>1204</v>
      </c>
      <c r="F1004">
        <v>6188</v>
      </c>
      <c r="G1004" t="s">
        <v>687</v>
      </c>
      <c r="I1004">
        <v>848</v>
      </c>
      <c r="J1004">
        <v>888</v>
      </c>
      <c r="K1004">
        <v>930</v>
      </c>
      <c r="L1004">
        <v>974</v>
      </c>
      <c r="M1004">
        <v>1020</v>
      </c>
      <c r="N1004" t="s">
        <v>988</v>
      </c>
    </row>
    <row r="1005" spans="1:14" x14ac:dyDescent="0.3">
      <c r="A1005">
        <v>1142</v>
      </c>
      <c r="B1005" t="s">
        <v>1574</v>
      </c>
      <c r="C1005" t="s">
        <v>2256</v>
      </c>
      <c r="D1005" t="s">
        <v>159</v>
      </c>
      <c r="E1005" t="s">
        <v>159</v>
      </c>
      <c r="F1005">
        <v>7961</v>
      </c>
      <c r="G1005" t="s">
        <v>686</v>
      </c>
      <c r="H1005" t="s">
        <v>1346</v>
      </c>
      <c r="I1005">
        <v>204.268</v>
      </c>
      <c r="J1005">
        <v>214.68299999999999</v>
      </c>
      <c r="K1005">
        <v>217.125</v>
      </c>
      <c r="L1005">
        <v>219.595</v>
      </c>
      <c r="M1005">
        <v>222.09399999999999</v>
      </c>
      <c r="N1005" t="s">
        <v>988</v>
      </c>
    </row>
    <row r="1006" spans="1:14" x14ac:dyDescent="0.3">
      <c r="A1006">
        <v>1142</v>
      </c>
      <c r="B1006" t="s">
        <v>1574</v>
      </c>
      <c r="C1006" t="s">
        <v>2256</v>
      </c>
      <c r="D1006" t="s">
        <v>159</v>
      </c>
      <c r="E1006" t="s">
        <v>159</v>
      </c>
      <c r="F1006">
        <v>7961</v>
      </c>
      <c r="G1006" t="s">
        <v>702</v>
      </c>
      <c r="H1006" t="s">
        <v>1344</v>
      </c>
      <c r="I1006">
        <v>0</v>
      </c>
      <c r="J1006">
        <v>0</v>
      </c>
      <c r="K1006">
        <v>0</v>
      </c>
      <c r="L1006">
        <v>0</v>
      </c>
      <c r="M1006">
        <v>0</v>
      </c>
      <c r="N1006" t="s">
        <v>988</v>
      </c>
    </row>
    <row r="1007" spans="1:14" x14ac:dyDescent="0.3">
      <c r="A1007">
        <v>1142</v>
      </c>
      <c r="B1007" t="s">
        <v>1574</v>
      </c>
      <c r="C1007" t="s">
        <v>2256</v>
      </c>
      <c r="D1007" t="s">
        <v>159</v>
      </c>
      <c r="E1007" t="s">
        <v>159</v>
      </c>
      <c r="F1007">
        <v>7961</v>
      </c>
      <c r="G1007" t="s">
        <v>691</v>
      </c>
      <c r="I1007">
        <v>2.597</v>
      </c>
      <c r="J1007">
        <v>2.597</v>
      </c>
      <c r="K1007">
        <v>2.597</v>
      </c>
      <c r="L1007">
        <v>2.597</v>
      </c>
      <c r="M1007">
        <v>2.597</v>
      </c>
      <c r="N1007" t="s">
        <v>988</v>
      </c>
    </row>
    <row r="1008" spans="1:14" x14ac:dyDescent="0.3">
      <c r="A1008">
        <v>1142</v>
      </c>
      <c r="B1008" t="s">
        <v>1574</v>
      </c>
      <c r="C1008" t="s">
        <v>2256</v>
      </c>
      <c r="D1008" t="s">
        <v>159</v>
      </c>
      <c r="E1008" t="s">
        <v>159</v>
      </c>
      <c r="F1008">
        <v>7961</v>
      </c>
      <c r="G1008" t="s">
        <v>701</v>
      </c>
      <c r="I1008">
        <v>26.247</v>
      </c>
      <c r="J1008">
        <v>26.247</v>
      </c>
      <c r="K1008">
        <v>26.247</v>
      </c>
      <c r="L1008">
        <v>26.247</v>
      </c>
      <c r="M1008">
        <v>26.247</v>
      </c>
      <c r="N1008" t="s">
        <v>988</v>
      </c>
    </row>
    <row r="1009" spans="1:14" x14ac:dyDescent="0.3">
      <c r="A1009">
        <v>1142</v>
      </c>
      <c r="B1009" t="s">
        <v>1574</v>
      </c>
      <c r="C1009" t="s">
        <v>2256</v>
      </c>
      <c r="D1009" t="s">
        <v>159</v>
      </c>
      <c r="E1009" t="s">
        <v>159</v>
      </c>
      <c r="F1009">
        <v>7961</v>
      </c>
      <c r="G1009" t="s">
        <v>703</v>
      </c>
      <c r="I1009">
        <v>61.710999999999999</v>
      </c>
      <c r="J1009">
        <v>58.866999999999997</v>
      </c>
      <c r="K1009">
        <v>56.87</v>
      </c>
      <c r="L1009">
        <v>55.433</v>
      </c>
      <c r="M1009">
        <v>54.365000000000002</v>
      </c>
      <c r="N1009" t="s">
        <v>988</v>
      </c>
    </row>
    <row r="1010" spans="1:14" x14ac:dyDescent="0.3">
      <c r="A1010">
        <v>1142</v>
      </c>
      <c r="B1010" t="s">
        <v>1574</v>
      </c>
      <c r="C1010" t="s">
        <v>2256</v>
      </c>
      <c r="D1010" t="s">
        <v>159</v>
      </c>
      <c r="E1010" t="s">
        <v>159</v>
      </c>
      <c r="F1010">
        <v>7961</v>
      </c>
      <c r="G1010" t="s">
        <v>700</v>
      </c>
      <c r="I1010">
        <v>544.005</v>
      </c>
      <c r="J1010">
        <v>521.19100000000003</v>
      </c>
      <c r="K1010">
        <v>505.27100000000002</v>
      </c>
      <c r="L1010">
        <v>493.92200000000003</v>
      </c>
      <c r="M1010">
        <v>485.58300000000003</v>
      </c>
      <c r="N1010" t="s">
        <v>988</v>
      </c>
    </row>
    <row r="1011" spans="1:14" x14ac:dyDescent="0.3">
      <c r="A1011">
        <v>1142</v>
      </c>
      <c r="B1011" t="s">
        <v>1574</v>
      </c>
      <c r="C1011" t="s">
        <v>2256</v>
      </c>
      <c r="D1011" t="s">
        <v>159</v>
      </c>
      <c r="E1011" t="s">
        <v>159</v>
      </c>
      <c r="F1011">
        <v>7961</v>
      </c>
      <c r="G1011" t="s">
        <v>698</v>
      </c>
      <c r="I1011">
        <v>1285.502</v>
      </c>
      <c r="J1011">
        <v>1278.19</v>
      </c>
      <c r="K1011">
        <v>1281.78</v>
      </c>
      <c r="L1011">
        <v>1289.31</v>
      </c>
      <c r="M1011">
        <v>1302.307</v>
      </c>
      <c r="N1011" t="s">
        <v>988</v>
      </c>
    </row>
    <row r="1012" spans="1:14" x14ac:dyDescent="0.3">
      <c r="A1012">
        <v>1142</v>
      </c>
      <c r="B1012" t="s">
        <v>1574</v>
      </c>
      <c r="C1012" t="s">
        <v>2256</v>
      </c>
      <c r="D1012" t="s">
        <v>159</v>
      </c>
      <c r="E1012" t="s">
        <v>159</v>
      </c>
      <c r="F1012">
        <v>7961</v>
      </c>
      <c r="G1012" t="s">
        <v>696</v>
      </c>
      <c r="I1012">
        <v>1705.8119999999999</v>
      </c>
      <c r="J1012">
        <v>1709.308</v>
      </c>
      <c r="K1012">
        <v>1727.5640000000001</v>
      </c>
      <c r="L1012">
        <v>1741.2339999999999</v>
      </c>
      <c r="M1012">
        <v>1769.626</v>
      </c>
      <c r="N1012" t="s">
        <v>988</v>
      </c>
    </row>
    <row r="1013" spans="1:14" x14ac:dyDescent="0.3">
      <c r="A1013">
        <v>1143</v>
      </c>
      <c r="B1013" t="s">
        <v>1575</v>
      </c>
      <c r="C1013" t="s">
        <v>2256</v>
      </c>
      <c r="D1013" t="s">
        <v>1203</v>
      </c>
      <c r="E1013" t="s">
        <v>1204</v>
      </c>
      <c r="F1013">
        <v>5903</v>
      </c>
      <c r="G1013" t="s">
        <v>686</v>
      </c>
      <c r="H1013" t="s">
        <v>1577</v>
      </c>
      <c r="I1013">
        <v>675</v>
      </c>
      <c r="J1013">
        <v>723</v>
      </c>
      <c r="K1013">
        <v>765</v>
      </c>
      <c r="L1013">
        <v>809</v>
      </c>
      <c r="N1013" t="s">
        <v>987</v>
      </c>
    </row>
    <row r="1014" spans="1:14" x14ac:dyDescent="0.3">
      <c r="A1014">
        <v>1143</v>
      </c>
      <c r="B1014" t="s">
        <v>1575</v>
      </c>
      <c r="C1014" t="s">
        <v>2256</v>
      </c>
      <c r="D1014" t="s">
        <v>1203</v>
      </c>
      <c r="E1014" t="s">
        <v>1204</v>
      </c>
      <c r="F1014">
        <v>5903</v>
      </c>
      <c r="G1014" t="s">
        <v>687</v>
      </c>
      <c r="H1014" t="s">
        <v>1580</v>
      </c>
      <c r="I1014">
        <v>39</v>
      </c>
      <c r="J1014">
        <v>44</v>
      </c>
      <c r="K1014">
        <v>49</v>
      </c>
      <c r="L1014">
        <v>54</v>
      </c>
      <c r="N1014" t="s">
        <v>987</v>
      </c>
    </row>
    <row r="1015" spans="1:14" x14ac:dyDescent="0.3">
      <c r="A1015">
        <v>1143</v>
      </c>
      <c r="B1015" t="s">
        <v>1575</v>
      </c>
      <c r="C1015" t="s">
        <v>2256</v>
      </c>
      <c r="D1015" t="s">
        <v>1203</v>
      </c>
      <c r="E1015" t="s">
        <v>1204</v>
      </c>
      <c r="F1015">
        <v>5903</v>
      </c>
      <c r="G1015" t="s">
        <v>698</v>
      </c>
      <c r="H1015" t="s">
        <v>1579</v>
      </c>
      <c r="I1015">
        <v>1104</v>
      </c>
      <c r="J1015">
        <v>1172</v>
      </c>
      <c r="K1015">
        <v>1259</v>
      </c>
      <c r="L1015">
        <v>1365</v>
      </c>
      <c r="N1015" t="s">
        <v>987</v>
      </c>
    </row>
    <row r="1016" spans="1:14" x14ac:dyDescent="0.3">
      <c r="A1016">
        <v>1143</v>
      </c>
      <c r="B1016" t="s">
        <v>1575</v>
      </c>
      <c r="C1016" t="s">
        <v>2256</v>
      </c>
      <c r="D1016" t="s">
        <v>1203</v>
      </c>
      <c r="E1016" t="s">
        <v>1204</v>
      </c>
      <c r="F1016">
        <v>5903</v>
      </c>
      <c r="G1016" t="s">
        <v>700</v>
      </c>
      <c r="H1016" t="s">
        <v>1272</v>
      </c>
      <c r="I1016">
        <v>970</v>
      </c>
      <c r="J1016">
        <v>987</v>
      </c>
      <c r="K1016">
        <v>1007</v>
      </c>
      <c r="L1016">
        <v>1006</v>
      </c>
      <c r="N1016" t="s">
        <v>987</v>
      </c>
    </row>
    <row r="1017" spans="1:14" x14ac:dyDescent="0.3">
      <c r="A1017">
        <v>1143</v>
      </c>
      <c r="B1017" t="s">
        <v>1575</v>
      </c>
      <c r="C1017" t="s">
        <v>2256</v>
      </c>
      <c r="D1017" t="s">
        <v>1203</v>
      </c>
      <c r="E1017" t="s">
        <v>1204</v>
      </c>
      <c r="F1017">
        <v>5903</v>
      </c>
      <c r="G1017" t="s">
        <v>701</v>
      </c>
      <c r="I1017">
        <v>889</v>
      </c>
      <c r="J1017">
        <v>910</v>
      </c>
      <c r="K1017">
        <v>931</v>
      </c>
      <c r="L1017">
        <v>933</v>
      </c>
      <c r="N1017" t="s">
        <v>987</v>
      </c>
    </row>
    <row r="1018" spans="1:14" x14ac:dyDescent="0.3">
      <c r="A1018">
        <v>1143</v>
      </c>
      <c r="B1018" t="s">
        <v>1575</v>
      </c>
      <c r="C1018" t="s">
        <v>2256</v>
      </c>
      <c r="D1018" t="s">
        <v>1203</v>
      </c>
      <c r="E1018" t="s">
        <v>1204</v>
      </c>
      <c r="F1018">
        <v>5903</v>
      </c>
      <c r="G1018" t="s">
        <v>702</v>
      </c>
      <c r="H1018" t="s">
        <v>1576</v>
      </c>
      <c r="I1018">
        <v>662</v>
      </c>
      <c r="J1018">
        <v>651</v>
      </c>
      <c r="K1018">
        <v>674</v>
      </c>
      <c r="L1018">
        <v>684</v>
      </c>
      <c r="N1018" t="s">
        <v>987</v>
      </c>
    </row>
    <row r="1019" spans="1:14" x14ac:dyDescent="0.3">
      <c r="A1019">
        <v>1143</v>
      </c>
      <c r="B1019" t="s">
        <v>1575</v>
      </c>
      <c r="C1019" t="s">
        <v>2256</v>
      </c>
      <c r="D1019" t="s">
        <v>1203</v>
      </c>
      <c r="E1019" t="s">
        <v>1204</v>
      </c>
      <c r="F1019">
        <v>5903</v>
      </c>
      <c r="G1019" t="s">
        <v>696</v>
      </c>
      <c r="H1019" t="s">
        <v>1578</v>
      </c>
      <c r="I1019">
        <v>2149</v>
      </c>
      <c r="J1019">
        <v>2302</v>
      </c>
      <c r="K1019">
        <v>2488</v>
      </c>
      <c r="L1019">
        <v>2710</v>
      </c>
      <c r="N1019" t="s">
        <v>987</v>
      </c>
    </row>
    <row r="1020" spans="1:14" x14ac:dyDescent="0.3">
      <c r="A1020">
        <v>1144</v>
      </c>
      <c r="B1020" t="s">
        <v>1581</v>
      </c>
      <c r="C1020" t="s">
        <v>2256</v>
      </c>
      <c r="D1020" t="s">
        <v>1203</v>
      </c>
      <c r="E1020" t="s">
        <v>1204</v>
      </c>
      <c r="F1020">
        <v>6619</v>
      </c>
      <c r="G1020" t="s">
        <v>696</v>
      </c>
      <c r="I1020">
        <v>417</v>
      </c>
      <c r="J1020">
        <v>484</v>
      </c>
      <c r="K1020">
        <v>508</v>
      </c>
      <c r="L1020">
        <v>534</v>
      </c>
      <c r="M1020">
        <v>562</v>
      </c>
      <c r="N1020" t="s">
        <v>987</v>
      </c>
    </row>
    <row r="1021" spans="1:14" x14ac:dyDescent="0.3">
      <c r="A1021">
        <v>1144</v>
      </c>
      <c r="B1021" t="s">
        <v>1581</v>
      </c>
      <c r="C1021" t="s">
        <v>2256</v>
      </c>
      <c r="D1021" t="s">
        <v>1203</v>
      </c>
      <c r="E1021" t="s">
        <v>1204</v>
      </c>
      <c r="F1021">
        <v>6619</v>
      </c>
      <c r="G1021" t="s">
        <v>686</v>
      </c>
      <c r="I1021">
        <v>35</v>
      </c>
      <c r="J1021">
        <v>37</v>
      </c>
      <c r="K1021">
        <v>39</v>
      </c>
      <c r="L1021">
        <v>41</v>
      </c>
      <c r="M1021">
        <v>43</v>
      </c>
      <c r="N1021" t="s">
        <v>987</v>
      </c>
    </row>
    <row r="1022" spans="1:14" x14ac:dyDescent="0.3">
      <c r="A1022">
        <v>1144</v>
      </c>
      <c r="B1022" t="s">
        <v>1581</v>
      </c>
      <c r="C1022" t="s">
        <v>2256</v>
      </c>
      <c r="D1022" t="s">
        <v>1203</v>
      </c>
      <c r="E1022" t="s">
        <v>1204</v>
      </c>
      <c r="F1022">
        <v>6619</v>
      </c>
      <c r="G1022" t="s">
        <v>692</v>
      </c>
      <c r="H1022" t="s">
        <v>1583</v>
      </c>
      <c r="I1022">
        <v>1</v>
      </c>
      <c r="J1022">
        <v>1</v>
      </c>
      <c r="K1022">
        <v>1</v>
      </c>
      <c r="L1022">
        <v>1</v>
      </c>
      <c r="M1022">
        <v>1</v>
      </c>
      <c r="N1022" t="s">
        <v>987</v>
      </c>
    </row>
    <row r="1023" spans="1:14" x14ac:dyDescent="0.3">
      <c r="A1023">
        <v>1144</v>
      </c>
      <c r="B1023" t="s">
        <v>1581</v>
      </c>
      <c r="C1023" t="s">
        <v>2256</v>
      </c>
      <c r="D1023" t="s">
        <v>1203</v>
      </c>
      <c r="E1023" t="s">
        <v>1204</v>
      </c>
      <c r="F1023">
        <v>6619</v>
      </c>
      <c r="G1023" t="s">
        <v>702</v>
      </c>
      <c r="I1023">
        <v>72</v>
      </c>
      <c r="J1023">
        <v>75</v>
      </c>
      <c r="K1023">
        <v>79</v>
      </c>
      <c r="L1023">
        <v>83</v>
      </c>
      <c r="M1023">
        <v>87</v>
      </c>
      <c r="N1023" t="s">
        <v>987</v>
      </c>
    </row>
    <row r="1024" spans="1:14" x14ac:dyDescent="0.3">
      <c r="A1024">
        <v>1144</v>
      </c>
      <c r="B1024" t="s">
        <v>1581</v>
      </c>
      <c r="C1024" t="s">
        <v>2256</v>
      </c>
      <c r="D1024" t="s">
        <v>1203</v>
      </c>
      <c r="E1024" t="s">
        <v>1204</v>
      </c>
      <c r="F1024">
        <v>6619</v>
      </c>
      <c r="G1024" t="s">
        <v>703</v>
      </c>
      <c r="H1024" t="s">
        <v>2342</v>
      </c>
      <c r="I1024">
        <v>9</v>
      </c>
      <c r="J1024">
        <v>9</v>
      </c>
      <c r="K1024">
        <v>10</v>
      </c>
      <c r="L1024">
        <v>10</v>
      </c>
      <c r="M1024">
        <v>11</v>
      </c>
      <c r="N1024" t="s">
        <v>987</v>
      </c>
    </row>
    <row r="1025" spans="1:14" x14ac:dyDescent="0.3">
      <c r="A1025">
        <v>1144</v>
      </c>
      <c r="B1025" t="s">
        <v>1581</v>
      </c>
      <c r="C1025" t="s">
        <v>2256</v>
      </c>
      <c r="D1025" t="s">
        <v>1203</v>
      </c>
      <c r="E1025" t="s">
        <v>1204</v>
      </c>
      <c r="F1025">
        <v>6619</v>
      </c>
      <c r="G1025" t="s">
        <v>701</v>
      </c>
      <c r="H1025" t="s">
        <v>1585</v>
      </c>
      <c r="I1025">
        <v>13</v>
      </c>
      <c r="J1025">
        <v>14</v>
      </c>
      <c r="K1025">
        <v>14</v>
      </c>
      <c r="L1025">
        <v>15</v>
      </c>
      <c r="M1025">
        <v>16</v>
      </c>
      <c r="N1025" t="s">
        <v>987</v>
      </c>
    </row>
    <row r="1026" spans="1:14" x14ac:dyDescent="0.3">
      <c r="A1026">
        <v>1144</v>
      </c>
      <c r="B1026" t="s">
        <v>1581</v>
      </c>
      <c r="C1026" t="s">
        <v>2256</v>
      </c>
      <c r="D1026" t="s">
        <v>1203</v>
      </c>
      <c r="E1026" t="s">
        <v>1204</v>
      </c>
      <c r="F1026">
        <v>6619</v>
      </c>
      <c r="G1026" t="s">
        <v>701</v>
      </c>
      <c r="I1026">
        <v>3</v>
      </c>
      <c r="J1026">
        <v>3</v>
      </c>
      <c r="K1026">
        <v>3</v>
      </c>
      <c r="L1026">
        <v>3</v>
      </c>
      <c r="M1026">
        <v>4</v>
      </c>
      <c r="N1026" t="s">
        <v>987</v>
      </c>
    </row>
    <row r="1027" spans="1:14" x14ac:dyDescent="0.3">
      <c r="A1027">
        <v>1144</v>
      </c>
      <c r="B1027" t="s">
        <v>1581</v>
      </c>
      <c r="C1027" t="s">
        <v>2256</v>
      </c>
      <c r="D1027" t="s">
        <v>1203</v>
      </c>
      <c r="E1027" t="s">
        <v>1204</v>
      </c>
      <c r="F1027">
        <v>6619</v>
      </c>
      <c r="G1027" t="s">
        <v>700</v>
      </c>
      <c r="I1027">
        <v>96</v>
      </c>
      <c r="J1027">
        <v>101</v>
      </c>
      <c r="K1027">
        <v>106</v>
      </c>
      <c r="L1027">
        <v>111</v>
      </c>
      <c r="M1027">
        <v>117</v>
      </c>
      <c r="N1027" t="s">
        <v>987</v>
      </c>
    </row>
    <row r="1028" spans="1:14" x14ac:dyDescent="0.3">
      <c r="A1028">
        <v>1144</v>
      </c>
      <c r="B1028" t="s">
        <v>1581</v>
      </c>
      <c r="C1028" t="s">
        <v>2256</v>
      </c>
      <c r="D1028" t="s">
        <v>1203</v>
      </c>
      <c r="E1028" t="s">
        <v>1204</v>
      </c>
      <c r="F1028">
        <v>6619</v>
      </c>
      <c r="G1028" t="s">
        <v>698</v>
      </c>
      <c r="I1028">
        <v>74</v>
      </c>
      <c r="J1028">
        <v>86</v>
      </c>
      <c r="K1028">
        <v>90</v>
      </c>
      <c r="L1028">
        <v>95</v>
      </c>
      <c r="M1028">
        <v>100</v>
      </c>
      <c r="N1028" t="s">
        <v>987</v>
      </c>
    </row>
    <row r="1029" spans="1:14" x14ac:dyDescent="0.3">
      <c r="A1029">
        <v>1154</v>
      </c>
      <c r="B1029" t="s">
        <v>1586</v>
      </c>
      <c r="C1029" t="s">
        <v>2256</v>
      </c>
      <c r="D1029" t="s">
        <v>159</v>
      </c>
      <c r="E1029" t="s">
        <v>159</v>
      </c>
      <c r="F1029">
        <v>7784</v>
      </c>
      <c r="G1029" t="s">
        <v>686</v>
      </c>
      <c r="I1029">
        <v>1771</v>
      </c>
      <c r="J1029">
        <v>1789</v>
      </c>
      <c r="K1029">
        <v>1795</v>
      </c>
      <c r="L1029">
        <v>1787</v>
      </c>
      <c r="M1029">
        <v>1774</v>
      </c>
      <c r="N1029" t="s">
        <v>988</v>
      </c>
    </row>
    <row r="1030" spans="1:14" x14ac:dyDescent="0.3">
      <c r="A1030">
        <v>1154</v>
      </c>
      <c r="B1030" t="s">
        <v>1586</v>
      </c>
      <c r="C1030" t="s">
        <v>2256</v>
      </c>
      <c r="D1030" t="s">
        <v>159</v>
      </c>
      <c r="E1030" t="s">
        <v>159</v>
      </c>
      <c r="F1030">
        <v>7784</v>
      </c>
      <c r="G1030" t="s">
        <v>687</v>
      </c>
      <c r="I1030">
        <v>40</v>
      </c>
      <c r="J1030">
        <v>43</v>
      </c>
      <c r="K1030">
        <v>45</v>
      </c>
      <c r="L1030">
        <v>47</v>
      </c>
      <c r="M1030">
        <v>49</v>
      </c>
      <c r="N1030" t="s">
        <v>988</v>
      </c>
    </row>
    <row r="1031" spans="1:14" x14ac:dyDescent="0.3">
      <c r="A1031">
        <v>1154</v>
      </c>
      <c r="B1031" t="s">
        <v>1586</v>
      </c>
      <c r="C1031" t="s">
        <v>2256</v>
      </c>
      <c r="D1031" t="s">
        <v>159</v>
      </c>
      <c r="E1031" t="s">
        <v>159</v>
      </c>
      <c r="F1031">
        <v>7784</v>
      </c>
      <c r="G1031" t="s">
        <v>700</v>
      </c>
      <c r="I1031">
        <v>2991</v>
      </c>
      <c r="J1031">
        <v>2956</v>
      </c>
      <c r="K1031">
        <v>2901</v>
      </c>
      <c r="L1031">
        <v>2825</v>
      </c>
      <c r="M1031">
        <v>2744</v>
      </c>
      <c r="N1031" t="s">
        <v>988</v>
      </c>
    </row>
    <row r="1032" spans="1:14" x14ac:dyDescent="0.3">
      <c r="A1032">
        <v>1154</v>
      </c>
      <c r="B1032" t="s">
        <v>1586</v>
      </c>
      <c r="C1032" t="s">
        <v>2256</v>
      </c>
      <c r="D1032" t="s">
        <v>159</v>
      </c>
      <c r="E1032" t="s">
        <v>159</v>
      </c>
      <c r="F1032">
        <v>7784</v>
      </c>
      <c r="G1032" t="s">
        <v>698</v>
      </c>
      <c r="I1032">
        <v>9328</v>
      </c>
      <c r="J1032">
        <v>9911</v>
      </c>
      <c r="K1032">
        <v>10423</v>
      </c>
      <c r="L1032">
        <v>10844</v>
      </c>
      <c r="M1032">
        <v>11229</v>
      </c>
      <c r="N1032" t="s">
        <v>988</v>
      </c>
    </row>
    <row r="1033" spans="1:14" x14ac:dyDescent="0.3">
      <c r="A1033">
        <v>1154</v>
      </c>
      <c r="B1033" t="s">
        <v>1586</v>
      </c>
      <c r="C1033" t="s">
        <v>2256</v>
      </c>
      <c r="D1033" t="s">
        <v>159</v>
      </c>
      <c r="E1033" t="s">
        <v>159</v>
      </c>
      <c r="F1033">
        <v>7784</v>
      </c>
      <c r="G1033" t="s">
        <v>696</v>
      </c>
      <c r="I1033">
        <v>13674</v>
      </c>
      <c r="J1033">
        <v>13783</v>
      </c>
      <c r="K1033">
        <v>13798</v>
      </c>
      <c r="L1033">
        <v>13705</v>
      </c>
      <c r="M1033">
        <v>13584</v>
      </c>
      <c r="N1033" t="s">
        <v>988</v>
      </c>
    </row>
    <row r="1034" spans="1:14" x14ac:dyDescent="0.3">
      <c r="A1034">
        <v>1154</v>
      </c>
      <c r="B1034" t="s">
        <v>1586</v>
      </c>
      <c r="C1034" t="s">
        <v>2256</v>
      </c>
      <c r="D1034" t="s">
        <v>159</v>
      </c>
      <c r="E1034" t="s">
        <v>159</v>
      </c>
      <c r="F1034">
        <v>7784</v>
      </c>
      <c r="G1034" t="s">
        <v>702</v>
      </c>
      <c r="I1034">
        <v>2380</v>
      </c>
      <c r="J1034">
        <v>2633</v>
      </c>
      <c r="K1034">
        <v>2867</v>
      </c>
      <c r="L1034">
        <v>3074</v>
      </c>
      <c r="M1034">
        <v>3268</v>
      </c>
      <c r="N1034" t="s">
        <v>988</v>
      </c>
    </row>
    <row r="1035" spans="1:14" x14ac:dyDescent="0.3">
      <c r="A1035">
        <v>1154</v>
      </c>
      <c r="B1035" t="s">
        <v>1586</v>
      </c>
      <c r="C1035" t="s">
        <v>2256</v>
      </c>
      <c r="D1035" t="s">
        <v>159</v>
      </c>
      <c r="E1035" t="s">
        <v>159</v>
      </c>
      <c r="F1035">
        <v>7784</v>
      </c>
      <c r="G1035" t="s">
        <v>703</v>
      </c>
      <c r="I1035">
        <v>849</v>
      </c>
      <c r="J1035">
        <v>849</v>
      </c>
      <c r="K1035">
        <v>845</v>
      </c>
      <c r="L1035">
        <v>832</v>
      </c>
      <c r="M1035">
        <v>820</v>
      </c>
      <c r="N1035" t="s">
        <v>988</v>
      </c>
    </row>
    <row r="1036" spans="1:14" x14ac:dyDescent="0.3">
      <c r="A1036">
        <v>1157</v>
      </c>
      <c r="B1036" t="s">
        <v>1587</v>
      </c>
      <c r="C1036" t="s">
        <v>2256</v>
      </c>
      <c r="D1036" t="s">
        <v>1203</v>
      </c>
      <c r="E1036" t="s">
        <v>1204</v>
      </c>
      <c r="F1036">
        <v>5829</v>
      </c>
      <c r="G1036" t="s">
        <v>702</v>
      </c>
      <c r="I1036">
        <v>342</v>
      </c>
      <c r="J1036">
        <v>348</v>
      </c>
      <c r="K1036">
        <v>355</v>
      </c>
      <c r="L1036">
        <v>361</v>
      </c>
      <c r="M1036">
        <v>368</v>
      </c>
      <c r="N1036" t="s">
        <v>988</v>
      </c>
    </row>
    <row r="1037" spans="1:14" x14ac:dyDescent="0.3">
      <c r="A1037">
        <v>1157</v>
      </c>
      <c r="B1037" t="s">
        <v>1587</v>
      </c>
      <c r="C1037" t="s">
        <v>2256</v>
      </c>
      <c r="D1037" t="s">
        <v>1203</v>
      </c>
      <c r="E1037" t="s">
        <v>1204</v>
      </c>
      <c r="F1037">
        <v>5829</v>
      </c>
      <c r="G1037" t="s">
        <v>686</v>
      </c>
      <c r="I1037">
        <v>133</v>
      </c>
      <c r="J1037">
        <v>135</v>
      </c>
      <c r="K1037">
        <v>138</v>
      </c>
      <c r="L1037">
        <v>140</v>
      </c>
      <c r="M1037">
        <v>143</v>
      </c>
      <c r="N1037" t="s">
        <v>988</v>
      </c>
    </row>
    <row r="1038" spans="1:14" x14ac:dyDescent="0.3">
      <c r="A1038">
        <v>1157</v>
      </c>
      <c r="B1038" t="s">
        <v>1587</v>
      </c>
      <c r="C1038" t="s">
        <v>2256</v>
      </c>
      <c r="D1038" t="s">
        <v>1203</v>
      </c>
      <c r="E1038" t="s">
        <v>1204</v>
      </c>
      <c r="F1038">
        <v>5829</v>
      </c>
      <c r="G1038" t="s">
        <v>700</v>
      </c>
      <c r="I1038">
        <v>892</v>
      </c>
      <c r="J1038">
        <v>909</v>
      </c>
      <c r="K1038">
        <v>926</v>
      </c>
      <c r="L1038">
        <v>943</v>
      </c>
      <c r="M1038">
        <v>961</v>
      </c>
      <c r="N1038" t="s">
        <v>988</v>
      </c>
    </row>
    <row r="1039" spans="1:14" x14ac:dyDescent="0.3">
      <c r="A1039">
        <v>1157</v>
      </c>
      <c r="B1039" t="s">
        <v>1587</v>
      </c>
      <c r="C1039" t="s">
        <v>2256</v>
      </c>
      <c r="D1039" t="s">
        <v>1203</v>
      </c>
      <c r="E1039" t="s">
        <v>1204</v>
      </c>
      <c r="F1039">
        <v>5829</v>
      </c>
      <c r="G1039" t="s">
        <v>698</v>
      </c>
      <c r="I1039">
        <v>1193</v>
      </c>
      <c r="J1039">
        <v>1215</v>
      </c>
      <c r="K1039">
        <v>1238</v>
      </c>
      <c r="L1039">
        <v>1261</v>
      </c>
      <c r="M1039">
        <v>1285</v>
      </c>
      <c r="N1039" t="s">
        <v>988</v>
      </c>
    </row>
    <row r="1040" spans="1:14" x14ac:dyDescent="0.3">
      <c r="A1040">
        <v>1157</v>
      </c>
      <c r="B1040" t="s">
        <v>1587</v>
      </c>
      <c r="C1040" t="s">
        <v>2256</v>
      </c>
      <c r="D1040" t="s">
        <v>1203</v>
      </c>
      <c r="E1040" t="s">
        <v>1204</v>
      </c>
      <c r="F1040">
        <v>5829</v>
      </c>
      <c r="G1040" t="s">
        <v>696</v>
      </c>
      <c r="I1040">
        <v>1607</v>
      </c>
      <c r="J1040">
        <v>1638</v>
      </c>
      <c r="K1040">
        <v>1667</v>
      </c>
      <c r="L1040">
        <v>1700</v>
      </c>
      <c r="M1040">
        <v>1731</v>
      </c>
      <c r="N1040" t="s">
        <v>988</v>
      </c>
    </row>
    <row r="1041" spans="1:14" x14ac:dyDescent="0.3">
      <c r="A1041">
        <v>1166</v>
      </c>
      <c r="B1041" t="s">
        <v>1589</v>
      </c>
      <c r="C1041" t="s">
        <v>2256</v>
      </c>
      <c r="D1041" t="s">
        <v>1203</v>
      </c>
      <c r="E1041" t="s">
        <v>1204</v>
      </c>
      <c r="F1041">
        <v>5919</v>
      </c>
      <c r="G1041" t="s">
        <v>691</v>
      </c>
      <c r="I1041">
        <v>15250</v>
      </c>
      <c r="J1041">
        <v>16290</v>
      </c>
      <c r="K1041">
        <v>16990</v>
      </c>
      <c r="L1041">
        <v>17740</v>
      </c>
      <c r="M1041">
        <v>18420</v>
      </c>
      <c r="N1041" t="s">
        <v>988</v>
      </c>
    </row>
    <row r="1042" spans="1:14" x14ac:dyDescent="0.3">
      <c r="A1042">
        <v>1167</v>
      </c>
      <c r="B1042" t="s">
        <v>1590</v>
      </c>
      <c r="C1042" t="s">
        <v>2256</v>
      </c>
      <c r="D1042" t="s">
        <v>1203</v>
      </c>
      <c r="E1042" t="s">
        <v>1204</v>
      </c>
      <c r="F1042">
        <v>5831</v>
      </c>
      <c r="G1042" t="s">
        <v>691</v>
      </c>
      <c r="I1042">
        <v>3056</v>
      </c>
      <c r="J1042">
        <v>3149</v>
      </c>
      <c r="K1042">
        <v>3222</v>
      </c>
      <c r="L1042">
        <v>3292</v>
      </c>
      <c r="M1042">
        <v>3354</v>
      </c>
      <c r="N1042" t="s">
        <v>988</v>
      </c>
    </row>
    <row r="1043" spans="1:14" x14ac:dyDescent="0.3">
      <c r="A1043">
        <v>1181</v>
      </c>
      <c r="B1043" t="s">
        <v>1592</v>
      </c>
      <c r="C1043" t="s">
        <v>2256</v>
      </c>
      <c r="D1043" t="s">
        <v>1203</v>
      </c>
      <c r="E1043" t="s">
        <v>1204</v>
      </c>
      <c r="F1043">
        <v>5959</v>
      </c>
      <c r="G1043" t="s">
        <v>686</v>
      </c>
      <c r="I1043">
        <v>338</v>
      </c>
      <c r="J1043">
        <v>358</v>
      </c>
      <c r="K1043">
        <v>354</v>
      </c>
      <c r="L1043">
        <v>352</v>
      </c>
      <c r="M1043">
        <v>350</v>
      </c>
      <c r="N1043" t="s">
        <v>988</v>
      </c>
    </row>
    <row r="1044" spans="1:14" x14ac:dyDescent="0.3">
      <c r="A1044">
        <v>1181</v>
      </c>
      <c r="B1044" t="s">
        <v>1592</v>
      </c>
      <c r="C1044" t="s">
        <v>2256</v>
      </c>
      <c r="D1044" t="s">
        <v>1203</v>
      </c>
      <c r="E1044" t="s">
        <v>1204</v>
      </c>
      <c r="F1044">
        <v>5959</v>
      </c>
      <c r="G1044" t="s">
        <v>696</v>
      </c>
      <c r="I1044">
        <v>3110</v>
      </c>
      <c r="J1044">
        <v>3261</v>
      </c>
      <c r="K1044">
        <v>3244</v>
      </c>
      <c r="L1044">
        <v>3222</v>
      </c>
      <c r="M1044">
        <v>3204</v>
      </c>
      <c r="N1044" t="s">
        <v>988</v>
      </c>
    </row>
    <row r="1045" spans="1:14" x14ac:dyDescent="0.3">
      <c r="A1045">
        <v>1181</v>
      </c>
      <c r="B1045" t="s">
        <v>1592</v>
      </c>
      <c r="C1045" t="s">
        <v>2256</v>
      </c>
      <c r="D1045" t="s">
        <v>1203</v>
      </c>
      <c r="E1045" t="s">
        <v>1204</v>
      </c>
      <c r="F1045">
        <v>5959</v>
      </c>
      <c r="G1045" t="s">
        <v>700</v>
      </c>
      <c r="I1045">
        <v>13</v>
      </c>
      <c r="J1045">
        <v>13</v>
      </c>
      <c r="K1045">
        <v>13</v>
      </c>
      <c r="L1045">
        <v>13</v>
      </c>
      <c r="M1045">
        <v>13</v>
      </c>
      <c r="N1045" t="s">
        <v>988</v>
      </c>
    </row>
    <row r="1046" spans="1:14" x14ac:dyDescent="0.3">
      <c r="A1046">
        <v>1181</v>
      </c>
      <c r="B1046" t="s">
        <v>1592</v>
      </c>
      <c r="C1046" t="s">
        <v>2256</v>
      </c>
      <c r="D1046" t="s">
        <v>1203</v>
      </c>
      <c r="E1046" t="s">
        <v>1204</v>
      </c>
      <c r="F1046">
        <v>5959</v>
      </c>
      <c r="G1046" t="s">
        <v>703</v>
      </c>
      <c r="I1046">
        <v>42</v>
      </c>
      <c r="J1046">
        <v>45</v>
      </c>
      <c r="K1046">
        <v>45</v>
      </c>
      <c r="L1046">
        <v>45</v>
      </c>
      <c r="M1046">
        <v>45</v>
      </c>
      <c r="N1046" t="s">
        <v>988</v>
      </c>
    </row>
    <row r="1047" spans="1:14" x14ac:dyDescent="0.3">
      <c r="A1047">
        <v>1181</v>
      </c>
      <c r="B1047" t="s">
        <v>1592</v>
      </c>
      <c r="C1047" t="s">
        <v>2256</v>
      </c>
      <c r="D1047" t="s">
        <v>1203</v>
      </c>
      <c r="E1047" t="s">
        <v>1204</v>
      </c>
      <c r="F1047">
        <v>5959</v>
      </c>
      <c r="G1047" t="s">
        <v>702</v>
      </c>
      <c r="I1047">
        <v>61</v>
      </c>
      <c r="J1047">
        <v>61</v>
      </c>
      <c r="K1047">
        <v>59</v>
      </c>
      <c r="L1047">
        <v>57</v>
      </c>
      <c r="M1047">
        <v>57</v>
      </c>
      <c r="N1047" t="s">
        <v>988</v>
      </c>
    </row>
    <row r="1048" spans="1:14" x14ac:dyDescent="0.3">
      <c r="A1048">
        <v>1188</v>
      </c>
      <c r="B1048" t="s">
        <v>1593</v>
      </c>
      <c r="C1048" t="s">
        <v>2256</v>
      </c>
      <c r="D1048" t="s">
        <v>159</v>
      </c>
      <c r="E1048" t="s">
        <v>159</v>
      </c>
      <c r="F1048">
        <v>7794</v>
      </c>
      <c r="G1048" t="s">
        <v>698</v>
      </c>
      <c r="I1048">
        <v>380</v>
      </c>
      <c r="J1048">
        <v>424</v>
      </c>
      <c r="K1048">
        <v>424</v>
      </c>
      <c r="L1048">
        <v>424</v>
      </c>
      <c r="N1048" t="s">
        <v>988</v>
      </c>
    </row>
    <row r="1049" spans="1:14" x14ac:dyDescent="0.3">
      <c r="A1049">
        <v>1188</v>
      </c>
      <c r="B1049" t="s">
        <v>1593</v>
      </c>
      <c r="C1049" t="s">
        <v>2256</v>
      </c>
      <c r="D1049" t="s">
        <v>159</v>
      </c>
      <c r="E1049" t="s">
        <v>159</v>
      </c>
      <c r="F1049">
        <v>7794</v>
      </c>
      <c r="G1049" t="s">
        <v>696</v>
      </c>
      <c r="I1049">
        <v>2128</v>
      </c>
      <c r="J1049">
        <v>2520</v>
      </c>
      <c r="K1049">
        <v>3259</v>
      </c>
      <c r="L1049">
        <v>3923</v>
      </c>
      <c r="N1049" t="s">
        <v>988</v>
      </c>
    </row>
    <row r="1050" spans="1:14" x14ac:dyDescent="0.3">
      <c r="A1050">
        <v>1188</v>
      </c>
      <c r="B1050" t="s">
        <v>1593</v>
      </c>
      <c r="C1050" t="s">
        <v>2256</v>
      </c>
      <c r="D1050" t="s">
        <v>159</v>
      </c>
      <c r="E1050" t="s">
        <v>159</v>
      </c>
      <c r="F1050">
        <v>7794</v>
      </c>
      <c r="G1050" t="s">
        <v>701</v>
      </c>
      <c r="I1050">
        <v>126</v>
      </c>
      <c r="J1050">
        <v>126</v>
      </c>
      <c r="K1050">
        <v>126</v>
      </c>
      <c r="L1050">
        <v>126</v>
      </c>
      <c r="N1050" t="s">
        <v>988</v>
      </c>
    </row>
    <row r="1051" spans="1:14" x14ac:dyDescent="0.3">
      <c r="A1051">
        <v>1188</v>
      </c>
      <c r="B1051" t="s">
        <v>1593</v>
      </c>
      <c r="C1051" t="s">
        <v>2256</v>
      </c>
      <c r="D1051" t="s">
        <v>159</v>
      </c>
      <c r="E1051" t="s">
        <v>159</v>
      </c>
      <c r="F1051">
        <v>7794</v>
      </c>
      <c r="G1051" t="s">
        <v>702</v>
      </c>
      <c r="I1051">
        <v>278</v>
      </c>
      <c r="J1051">
        <v>278</v>
      </c>
      <c r="K1051">
        <v>278</v>
      </c>
      <c r="L1051">
        <v>278</v>
      </c>
      <c r="N1051" t="s">
        <v>988</v>
      </c>
    </row>
    <row r="1052" spans="1:14" x14ac:dyDescent="0.3">
      <c r="A1052">
        <v>1188</v>
      </c>
      <c r="B1052" t="s">
        <v>1593</v>
      </c>
      <c r="C1052" t="s">
        <v>2256</v>
      </c>
      <c r="D1052" t="s">
        <v>159</v>
      </c>
      <c r="E1052" t="s">
        <v>159</v>
      </c>
      <c r="F1052">
        <v>7794</v>
      </c>
      <c r="G1052" t="s">
        <v>686</v>
      </c>
      <c r="I1052">
        <v>265</v>
      </c>
      <c r="J1052">
        <v>265</v>
      </c>
      <c r="K1052">
        <v>265</v>
      </c>
      <c r="L1052">
        <v>265</v>
      </c>
      <c r="N1052" t="s">
        <v>988</v>
      </c>
    </row>
    <row r="1053" spans="1:14" x14ac:dyDescent="0.3">
      <c r="A1053">
        <v>1188</v>
      </c>
      <c r="B1053" t="s">
        <v>1593</v>
      </c>
      <c r="C1053" t="s">
        <v>2256</v>
      </c>
      <c r="D1053" t="s">
        <v>159</v>
      </c>
      <c r="E1053" t="s">
        <v>159</v>
      </c>
      <c r="F1053">
        <v>7794</v>
      </c>
      <c r="G1053" t="s">
        <v>691</v>
      </c>
      <c r="I1053">
        <v>29</v>
      </c>
      <c r="J1053">
        <v>30</v>
      </c>
      <c r="K1053">
        <v>30</v>
      </c>
      <c r="L1053">
        <v>30</v>
      </c>
      <c r="N1053" t="s">
        <v>988</v>
      </c>
    </row>
    <row r="1054" spans="1:14" x14ac:dyDescent="0.3">
      <c r="A1054">
        <v>1188</v>
      </c>
      <c r="B1054" t="s">
        <v>1593</v>
      </c>
      <c r="C1054" t="s">
        <v>2256</v>
      </c>
      <c r="D1054" t="s">
        <v>159</v>
      </c>
      <c r="E1054" t="s">
        <v>159</v>
      </c>
      <c r="F1054">
        <v>7794</v>
      </c>
      <c r="G1054" t="s">
        <v>700</v>
      </c>
      <c r="I1054">
        <v>480</v>
      </c>
      <c r="J1054">
        <v>480</v>
      </c>
      <c r="K1054">
        <v>480</v>
      </c>
      <c r="L1054">
        <v>480</v>
      </c>
      <c r="N1054" t="s">
        <v>988</v>
      </c>
    </row>
    <row r="1055" spans="1:14" x14ac:dyDescent="0.3">
      <c r="A1055">
        <v>1210</v>
      </c>
      <c r="B1055" t="s">
        <v>1595</v>
      </c>
      <c r="C1055" t="s">
        <v>2256</v>
      </c>
      <c r="D1055" t="s">
        <v>159</v>
      </c>
      <c r="E1055" t="s">
        <v>159</v>
      </c>
      <c r="F1055">
        <v>7824</v>
      </c>
      <c r="G1055" t="s">
        <v>696</v>
      </c>
      <c r="I1055">
        <v>389</v>
      </c>
      <c r="J1055">
        <v>401</v>
      </c>
      <c r="K1055">
        <v>413</v>
      </c>
      <c r="L1055">
        <v>425</v>
      </c>
      <c r="M1055">
        <v>436</v>
      </c>
      <c r="N1055" t="s">
        <v>987</v>
      </c>
    </row>
    <row r="1056" spans="1:14" x14ac:dyDescent="0.3">
      <c r="A1056">
        <v>1210</v>
      </c>
      <c r="B1056" t="s">
        <v>1595</v>
      </c>
      <c r="C1056" t="s">
        <v>2256</v>
      </c>
      <c r="D1056" t="s">
        <v>159</v>
      </c>
      <c r="E1056" t="s">
        <v>159</v>
      </c>
      <c r="F1056">
        <v>7824</v>
      </c>
      <c r="G1056" t="s">
        <v>700</v>
      </c>
      <c r="I1056">
        <v>62</v>
      </c>
      <c r="J1056">
        <v>64</v>
      </c>
      <c r="K1056">
        <v>66</v>
      </c>
      <c r="L1056">
        <v>68</v>
      </c>
      <c r="M1056">
        <v>70</v>
      </c>
      <c r="N1056" t="s">
        <v>987</v>
      </c>
    </row>
    <row r="1057" spans="1:14" x14ac:dyDescent="0.3">
      <c r="A1057">
        <v>1210</v>
      </c>
      <c r="B1057" t="s">
        <v>1595</v>
      </c>
      <c r="C1057" t="s">
        <v>2256</v>
      </c>
      <c r="D1057" t="s">
        <v>159</v>
      </c>
      <c r="E1057" t="s">
        <v>159</v>
      </c>
      <c r="F1057">
        <v>7824</v>
      </c>
      <c r="G1057" t="s">
        <v>702</v>
      </c>
      <c r="I1057">
        <v>6</v>
      </c>
      <c r="J1057">
        <v>6</v>
      </c>
      <c r="K1057">
        <v>6</v>
      </c>
      <c r="L1057">
        <v>7</v>
      </c>
      <c r="M1057">
        <v>7</v>
      </c>
      <c r="N1057" t="s">
        <v>987</v>
      </c>
    </row>
    <row r="1058" spans="1:14" x14ac:dyDescent="0.3">
      <c r="A1058">
        <v>1210</v>
      </c>
      <c r="B1058" t="s">
        <v>1595</v>
      </c>
      <c r="C1058" t="s">
        <v>2256</v>
      </c>
      <c r="D1058" t="s">
        <v>159</v>
      </c>
      <c r="E1058" t="s">
        <v>159</v>
      </c>
      <c r="F1058">
        <v>7824</v>
      </c>
      <c r="G1058" t="s">
        <v>687</v>
      </c>
      <c r="I1058">
        <v>0</v>
      </c>
      <c r="J1058">
        <v>0</v>
      </c>
      <c r="K1058">
        <v>0</v>
      </c>
      <c r="L1058">
        <v>0</v>
      </c>
      <c r="M1058">
        <v>0</v>
      </c>
      <c r="N1058" t="s">
        <v>987</v>
      </c>
    </row>
    <row r="1059" spans="1:14" x14ac:dyDescent="0.3">
      <c r="A1059">
        <v>1210</v>
      </c>
      <c r="B1059" t="s">
        <v>1595</v>
      </c>
      <c r="C1059" t="s">
        <v>2256</v>
      </c>
      <c r="D1059" t="s">
        <v>159</v>
      </c>
      <c r="E1059" t="s">
        <v>159</v>
      </c>
      <c r="F1059">
        <v>7824</v>
      </c>
      <c r="G1059" t="s">
        <v>686</v>
      </c>
      <c r="I1059">
        <v>216</v>
      </c>
      <c r="J1059">
        <v>222</v>
      </c>
      <c r="K1059">
        <v>229</v>
      </c>
      <c r="L1059">
        <v>235</v>
      </c>
      <c r="M1059">
        <v>242</v>
      </c>
      <c r="N1059" t="s">
        <v>987</v>
      </c>
    </row>
    <row r="1060" spans="1:14" x14ac:dyDescent="0.3">
      <c r="A1060">
        <v>1210</v>
      </c>
      <c r="B1060" t="s">
        <v>1595</v>
      </c>
      <c r="C1060" t="s">
        <v>2256</v>
      </c>
      <c r="D1060" t="s">
        <v>159</v>
      </c>
      <c r="E1060" t="s">
        <v>159</v>
      </c>
      <c r="F1060">
        <v>7824</v>
      </c>
      <c r="G1060" t="s">
        <v>698</v>
      </c>
      <c r="I1060">
        <v>56</v>
      </c>
      <c r="J1060">
        <v>57</v>
      </c>
      <c r="K1060">
        <v>59</v>
      </c>
      <c r="L1060">
        <v>61</v>
      </c>
      <c r="M1060">
        <v>62</v>
      </c>
      <c r="N1060" t="s">
        <v>987</v>
      </c>
    </row>
    <row r="1061" spans="1:14" x14ac:dyDescent="0.3">
      <c r="A1061">
        <v>1215</v>
      </c>
      <c r="B1061" t="s">
        <v>1596</v>
      </c>
      <c r="C1061" t="s">
        <v>2256</v>
      </c>
      <c r="D1061" t="s">
        <v>1203</v>
      </c>
      <c r="E1061" t="s">
        <v>1204</v>
      </c>
      <c r="F1061">
        <v>5592</v>
      </c>
      <c r="G1061" t="s">
        <v>698</v>
      </c>
      <c r="I1061">
        <v>5949.6</v>
      </c>
      <c r="J1061">
        <v>5826</v>
      </c>
      <c r="K1061">
        <v>5731</v>
      </c>
      <c r="L1061">
        <v>5603</v>
      </c>
      <c r="M1061">
        <v>5603</v>
      </c>
      <c r="N1061" t="s">
        <v>988</v>
      </c>
    </row>
    <row r="1062" spans="1:14" x14ac:dyDescent="0.3">
      <c r="A1062">
        <v>1215</v>
      </c>
      <c r="B1062" t="s">
        <v>1596</v>
      </c>
      <c r="C1062" t="s">
        <v>2256</v>
      </c>
      <c r="D1062" t="s">
        <v>1203</v>
      </c>
      <c r="E1062" t="s">
        <v>1204</v>
      </c>
      <c r="F1062">
        <v>5592</v>
      </c>
      <c r="G1062" t="s">
        <v>696</v>
      </c>
      <c r="I1062">
        <v>11713.5</v>
      </c>
      <c r="J1062">
        <v>11525</v>
      </c>
      <c r="K1062">
        <v>11339</v>
      </c>
      <c r="L1062">
        <v>11127</v>
      </c>
      <c r="M1062">
        <v>11090</v>
      </c>
      <c r="N1062" t="s">
        <v>988</v>
      </c>
    </row>
    <row r="1063" spans="1:14" x14ac:dyDescent="0.3">
      <c r="A1063">
        <v>1215</v>
      </c>
      <c r="B1063" t="s">
        <v>1596</v>
      </c>
      <c r="C1063" t="s">
        <v>2256</v>
      </c>
      <c r="D1063" t="s">
        <v>1203</v>
      </c>
      <c r="E1063" t="s">
        <v>1204</v>
      </c>
      <c r="F1063">
        <v>5592</v>
      </c>
      <c r="G1063" t="s">
        <v>686</v>
      </c>
      <c r="H1063" t="s">
        <v>1227</v>
      </c>
      <c r="I1063">
        <v>1496</v>
      </c>
      <c r="J1063">
        <v>1503</v>
      </c>
      <c r="K1063">
        <v>1492</v>
      </c>
      <c r="L1063">
        <v>1478</v>
      </c>
      <c r="M1063">
        <v>1476</v>
      </c>
      <c r="N1063" t="s">
        <v>988</v>
      </c>
    </row>
    <row r="1064" spans="1:14" x14ac:dyDescent="0.3">
      <c r="A1064">
        <v>1215</v>
      </c>
      <c r="B1064" t="s">
        <v>1596</v>
      </c>
      <c r="C1064" t="s">
        <v>2256</v>
      </c>
      <c r="D1064" t="s">
        <v>1203</v>
      </c>
      <c r="E1064" t="s">
        <v>1204</v>
      </c>
      <c r="F1064">
        <v>5592</v>
      </c>
      <c r="G1064" t="s">
        <v>702</v>
      </c>
      <c r="I1064">
        <v>3412</v>
      </c>
      <c r="J1064">
        <v>3412</v>
      </c>
      <c r="K1064">
        <v>3412</v>
      </c>
      <c r="L1064">
        <v>3412</v>
      </c>
      <c r="M1064">
        <v>3412</v>
      </c>
      <c r="N1064" t="s">
        <v>988</v>
      </c>
    </row>
    <row r="1065" spans="1:14" x14ac:dyDescent="0.3">
      <c r="A1065">
        <v>1215</v>
      </c>
      <c r="B1065" t="s">
        <v>1596</v>
      </c>
      <c r="C1065" t="s">
        <v>2256</v>
      </c>
      <c r="D1065" t="s">
        <v>1203</v>
      </c>
      <c r="E1065" t="s">
        <v>1204</v>
      </c>
      <c r="F1065">
        <v>5592</v>
      </c>
      <c r="G1065" t="s">
        <v>703</v>
      </c>
      <c r="I1065">
        <v>125</v>
      </c>
      <c r="J1065">
        <v>139</v>
      </c>
      <c r="K1065">
        <v>142</v>
      </c>
      <c r="L1065">
        <v>146</v>
      </c>
      <c r="M1065">
        <v>146</v>
      </c>
      <c r="N1065" t="s">
        <v>988</v>
      </c>
    </row>
    <row r="1066" spans="1:14" x14ac:dyDescent="0.3">
      <c r="A1066">
        <v>1215</v>
      </c>
      <c r="B1066" t="s">
        <v>1596</v>
      </c>
      <c r="C1066" t="s">
        <v>2256</v>
      </c>
      <c r="D1066" t="s">
        <v>1203</v>
      </c>
      <c r="E1066" t="s">
        <v>1204</v>
      </c>
      <c r="F1066">
        <v>5592</v>
      </c>
      <c r="G1066" t="s">
        <v>701</v>
      </c>
      <c r="I1066">
        <v>588</v>
      </c>
      <c r="J1066">
        <v>654</v>
      </c>
      <c r="K1066">
        <v>670</v>
      </c>
      <c r="L1066">
        <v>687</v>
      </c>
      <c r="M1066">
        <v>687</v>
      </c>
      <c r="N1066" t="s">
        <v>988</v>
      </c>
    </row>
    <row r="1067" spans="1:14" x14ac:dyDescent="0.3">
      <c r="A1067">
        <v>1215</v>
      </c>
      <c r="B1067" t="s">
        <v>1596</v>
      </c>
      <c r="C1067" t="s">
        <v>2256</v>
      </c>
      <c r="D1067" t="s">
        <v>1203</v>
      </c>
      <c r="E1067" t="s">
        <v>1204</v>
      </c>
      <c r="F1067">
        <v>5592</v>
      </c>
      <c r="G1067" t="s">
        <v>700</v>
      </c>
      <c r="I1067">
        <v>3115</v>
      </c>
      <c r="J1067">
        <v>3465</v>
      </c>
      <c r="K1067">
        <v>3551</v>
      </c>
      <c r="L1067">
        <v>3640</v>
      </c>
      <c r="M1067">
        <v>3640</v>
      </c>
      <c r="N1067" t="s">
        <v>988</v>
      </c>
    </row>
    <row r="1068" spans="1:14" x14ac:dyDescent="0.3">
      <c r="A1068">
        <v>1217</v>
      </c>
      <c r="B1068" t="s">
        <v>1598</v>
      </c>
      <c r="C1068" t="s">
        <v>2256</v>
      </c>
      <c r="D1068" t="s">
        <v>159</v>
      </c>
      <c r="E1068" t="s">
        <v>159</v>
      </c>
      <c r="F1068">
        <v>5609</v>
      </c>
      <c r="G1068" t="s">
        <v>698</v>
      </c>
      <c r="I1068">
        <v>2001</v>
      </c>
      <c r="J1068">
        <v>1980</v>
      </c>
      <c r="K1068">
        <v>1958</v>
      </c>
      <c r="L1068">
        <v>1935</v>
      </c>
      <c r="M1068">
        <v>1911</v>
      </c>
      <c r="N1068" t="s">
        <v>988</v>
      </c>
    </row>
    <row r="1069" spans="1:14" x14ac:dyDescent="0.3">
      <c r="A1069">
        <v>1217</v>
      </c>
      <c r="B1069" t="s">
        <v>1598</v>
      </c>
      <c r="C1069" t="s">
        <v>2256</v>
      </c>
      <c r="D1069" t="s">
        <v>159</v>
      </c>
      <c r="E1069" t="s">
        <v>159</v>
      </c>
      <c r="F1069">
        <v>5609</v>
      </c>
      <c r="G1069" t="s">
        <v>696</v>
      </c>
      <c r="I1069">
        <v>879</v>
      </c>
      <c r="J1069">
        <v>869</v>
      </c>
      <c r="K1069">
        <v>860</v>
      </c>
      <c r="L1069">
        <v>850</v>
      </c>
      <c r="M1069">
        <v>839</v>
      </c>
      <c r="N1069" t="s">
        <v>988</v>
      </c>
    </row>
    <row r="1070" spans="1:14" x14ac:dyDescent="0.3">
      <c r="A1070">
        <v>1217</v>
      </c>
      <c r="B1070" t="s">
        <v>1598</v>
      </c>
      <c r="C1070" t="s">
        <v>2256</v>
      </c>
      <c r="D1070" t="s">
        <v>159</v>
      </c>
      <c r="E1070" t="s">
        <v>159</v>
      </c>
      <c r="F1070">
        <v>5609</v>
      </c>
      <c r="G1070" t="s">
        <v>687</v>
      </c>
      <c r="I1070">
        <v>49</v>
      </c>
      <c r="J1070">
        <v>48</v>
      </c>
      <c r="K1070">
        <v>48</v>
      </c>
      <c r="L1070">
        <v>47</v>
      </c>
      <c r="M1070">
        <v>47</v>
      </c>
      <c r="N1070" t="s">
        <v>988</v>
      </c>
    </row>
    <row r="1071" spans="1:14" x14ac:dyDescent="0.3">
      <c r="A1071">
        <v>1217</v>
      </c>
      <c r="B1071" t="s">
        <v>1598</v>
      </c>
      <c r="C1071" t="s">
        <v>2256</v>
      </c>
      <c r="D1071" t="s">
        <v>159</v>
      </c>
      <c r="E1071" t="s">
        <v>159</v>
      </c>
      <c r="F1071">
        <v>5609</v>
      </c>
      <c r="G1071" t="s">
        <v>700</v>
      </c>
      <c r="I1071">
        <v>1025</v>
      </c>
      <c r="J1071">
        <v>1014</v>
      </c>
      <c r="K1071">
        <v>1003</v>
      </c>
      <c r="L1071">
        <v>991</v>
      </c>
      <c r="M1071">
        <v>979</v>
      </c>
      <c r="N1071" t="s">
        <v>988</v>
      </c>
    </row>
    <row r="1072" spans="1:14" x14ac:dyDescent="0.3">
      <c r="A1072">
        <v>1217</v>
      </c>
      <c r="B1072" t="s">
        <v>1598</v>
      </c>
      <c r="C1072" t="s">
        <v>2256</v>
      </c>
      <c r="D1072" t="s">
        <v>159</v>
      </c>
      <c r="E1072" t="s">
        <v>159</v>
      </c>
      <c r="F1072">
        <v>5609</v>
      </c>
      <c r="G1072" t="s">
        <v>686</v>
      </c>
      <c r="I1072">
        <v>293</v>
      </c>
      <c r="J1072">
        <v>135</v>
      </c>
      <c r="K1072">
        <v>133</v>
      </c>
      <c r="L1072">
        <v>130</v>
      </c>
      <c r="M1072">
        <v>128</v>
      </c>
      <c r="N1072" t="s">
        <v>988</v>
      </c>
    </row>
    <row r="1073" spans="1:14" x14ac:dyDescent="0.3">
      <c r="A1073">
        <v>1217</v>
      </c>
      <c r="B1073" t="s">
        <v>1598</v>
      </c>
      <c r="C1073" t="s">
        <v>2256</v>
      </c>
      <c r="D1073" t="s">
        <v>159</v>
      </c>
      <c r="E1073" t="s">
        <v>159</v>
      </c>
      <c r="F1073">
        <v>5609</v>
      </c>
      <c r="G1073" t="s">
        <v>703</v>
      </c>
      <c r="I1073">
        <v>78</v>
      </c>
      <c r="J1073">
        <v>77</v>
      </c>
      <c r="K1073">
        <v>76</v>
      </c>
      <c r="L1073">
        <v>76</v>
      </c>
      <c r="M1073">
        <v>75</v>
      </c>
      <c r="N1073" t="s">
        <v>988</v>
      </c>
    </row>
    <row r="1074" spans="1:14" x14ac:dyDescent="0.3">
      <c r="A1074">
        <v>1217</v>
      </c>
      <c r="B1074" t="s">
        <v>1598</v>
      </c>
      <c r="C1074" t="s">
        <v>2256</v>
      </c>
      <c r="D1074" t="s">
        <v>159</v>
      </c>
      <c r="E1074" t="s">
        <v>159</v>
      </c>
      <c r="F1074">
        <v>5609</v>
      </c>
      <c r="G1074" t="s">
        <v>702</v>
      </c>
      <c r="I1074">
        <v>15</v>
      </c>
      <c r="J1074">
        <v>14</v>
      </c>
      <c r="K1074">
        <v>14</v>
      </c>
      <c r="L1074">
        <v>14</v>
      </c>
      <c r="M1074">
        <v>14</v>
      </c>
      <c r="N1074" t="s">
        <v>988</v>
      </c>
    </row>
    <row r="1075" spans="1:14" x14ac:dyDescent="0.3">
      <c r="A1075">
        <v>1217</v>
      </c>
      <c r="B1075" t="s">
        <v>1598</v>
      </c>
      <c r="C1075" t="s">
        <v>2256</v>
      </c>
      <c r="D1075" t="s">
        <v>159</v>
      </c>
      <c r="E1075" t="s">
        <v>159</v>
      </c>
      <c r="F1075">
        <v>5609</v>
      </c>
      <c r="G1075" t="s">
        <v>684</v>
      </c>
      <c r="I1075">
        <v>2</v>
      </c>
      <c r="J1075">
        <v>2</v>
      </c>
      <c r="K1075">
        <v>2</v>
      </c>
      <c r="L1075">
        <v>2</v>
      </c>
      <c r="M1075">
        <v>2</v>
      </c>
      <c r="N1075" t="s">
        <v>988</v>
      </c>
    </row>
    <row r="1076" spans="1:14" x14ac:dyDescent="0.3">
      <c r="A1076">
        <v>1217</v>
      </c>
      <c r="B1076" t="s">
        <v>1598</v>
      </c>
      <c r="C1076" t="s">
        <v>2256</v>
      </c>
      <c r="D1076" t="s">
        <v>159</v>
      </c>
      <c r="E1076" t="s">
        <v>159</v>
      </c>
      <c r="F1076">
        <v>5609</v>
      </c>
      <c r="G1076" t="s">
        <v>701</v>
      </c>
      <c r="I1076">
        <v>49</v>
      </c>
      <c r="J1076">
        <v>48</v>
      </c>
      <c r="K1076">
        <v>48</v>
      </c>
      <c r="L1076">
        <v>47</v>
      </c>
      <c r="M1076">
        <v>47</v>
      </c>
      <c r="N1076" t="s">
        <v>988</v>
      </c>
    </row>
    <row r="1077" spans="1:14" x14ac:dyDescent="0.3">
      <c r="A1077">
        <v>1225</v>
      </c>
      <c r="B1077" t="s">
        <v>1599</v>
      </c>
      <c r="C1077" t="s">
        <v>2256</v>
      </c>
      <c r="D1077" t="s">
        <v>1203</v>
      </c>
      <c r="E1077" t="s">
        <v>1204</v>
      </c>
      <c r="F1077">
        <v>7664</v>
      </c>
      <c r="G1077" t="s">
        <v>700</v>
      </c>
      <c r="H1077" t="s">
        <v>1272</v>
      </c>
      <c r="I1077">
        <v>77</v>
      </c>
      <c r="J1077">
        <v>83</v>
      </c>
      <c r="K1077">
        <v>90</v>
      </c>
      <c r="L1077">
        <v>96</v>
      </c>
      <c r="M1077">
        <v>101</v>
      </c>
      <c r="N1077" t="s">
        <v>987</v>
      </c>
    </row>
    <row r="1078" spans="1:14" x14ac:dyDescent="0.3">
      <c r="A1078">
        <v>1225</v>
      </c>
      <c r="B1078" t="s">
        <v>1599</v>
      </c>
      <c r="C1078" t="s">
        <v>2256</v>
      </c>
      <c r="D1078" t="s">
        <v>1203</v>
      </c>
      <c r="E1078" t="s">
        <v>1204</v>
      </c>
      <c r="F1078">
        <v>7664</v>
      </c>
      <c r="G1078" t="s">
        <v>702</v>
      </c>
      <c r="H1078" t="s">
        <v>1275</v>
      </c>
      <c r="I1078">
        <v>20</v>
      </c>
      <c r="J1078">
        <v>22</v>
      </c>
      <c r="K1078">
        <v>23</v>
      </c>
      <c r="L1078">
        <v>25</v>
      </c>
      <c r="M1078">
        <v>26</v>
      </c>
      <c r="N1078" t="s">
        <v>987</v>
      </c>
    </row>
    <row r="1079" spans="1:14" x14ac:dyDescent="0.3">
      <c r="A1079">
        <v>1225</v>
      </c>
      <c r="B1079" t="s">
        <v>1599</v>
      </c>
      <c r="C1079" t="s">
        <v>2256</v>
      </c>
      <c r="D1079" t="s">
        <v>1203</v>
      </c>
      <c r="E1079" t="s">
        <v>1204</v>
      </c>
      <c r="F1079">
        <v>7664</v>
      </c>
      <c r="G1079" t="s">
        <v>687</v>
      </c>
      <c r="I1079">
        <v>7</v>
      </c>
      <c r="J1079">
        <v>7</v>
      </c>
      <c r="K1079">
        <v>8</v>
      </c>
      <c r="L1079">
        <v>8</v>
      </c>
      <c r="M1079">
        <v>9</v>
      </c>
      <c r="N1079" t="s">
        <v>987</v>
      </c>
    </row>
    <row r="1080" spans="1:14" x14ac:dyDescent="0.3">
      <c r="A1080">
        <v>1225</v>
      </c>
      <c r="B1080" t="s">
        <v>1599</v>
      </c>
      <c r="C1080" t="s">
        <v>2256</v>
      </c>
      <c r="D1080" t="s">
        <v>1203</v>
      </c>
      <c r="E1080" t="s">
        <v>1204</v>
      </c>
      <c r="F1080">
        <v>7664</v>
      </c>
      <c r="G1080" t="s">
        <v>686</v>
      </c>
      <c r="I1080">
        <v>108</v>
      </c>
      <c r="J1080">
        <v>117</v>
      </c>
      <c r="K1080">
        <v>126</v>
      </c>
      <c r="L1080">
        <v>134</v>
      </c>
      <c r="M1080">
        <v>142</v>
      </c>
      <c r="N1080" t="s">
        <v>987</v>
      </c>
    </row>
    <row r="1081" spans="1:14" x14ac:dyDescent="0.3">
      <c r="A1081">
        <v>1225</v>
      </c>
      <c r="B1081" t="s">
        <v>1599</v>
      </c>
      <c r="C1081" t="s">
        <v>2256</v>
      </c>
      <c r="D1081" t="s">
        <v>1203</v>
      </c>
      <c r="E1081" t="s">
        <v>1204</v>
      </c>
      <c r="F1081">
        <v>7664</v>
      </c>
      <c r="G1081" t="s">
        <v>701</v>
      </c>
      <c r="I1081">
        <v>0</v>
      </c>
      <c r="J1081">
        <v>0</v>
      </c>
      <c r="K1081">
        <v>0</v>
      </c>
      <c r="L1081">
        <v>0</v>
      </c>
      <c r="M1081">
        <v>0</v>
      </c>
      <c r="N1081" t="s">
        <v>987</v>
      </c>
    </row>
    <row r="1082" spans="1:14" x14ac:dyDescent="0.3">
      <c r="A1082">
        <v>1225</v>
      </c>
      <c r="B1082" t="s">
        <v>1599</v>
      </c>
      <c r="C1082" t="s">
        <v>2256</v>
      </c>
      <c r="D1082" t="s">
        <v>1203</v>
      </c>
      <c r="E1082" t="s">
        <v>1204</v>
      </c>
      <c r="F1082">
        <v>7664</v>
      </c>
      <c r="G1082" t="s">
        <v>698</v>
      </c>
      <c r="I1082">
        <v>51</v>
      </c>
      <c r="J1082">
        <v>55</v>
      </c>
      <c r="K1082">
        <v>59</v>
      </c>
      <c r="L1082">
        <v>63</v>
      </c>
      <c r="M1082">
        <v>67</v>
      </c>
      <c r="N1082" t="s">
        <v>987</v>
      </c>
    </row>
    <row r="1083" spans="1:14" x14ac:dyDescent="0.3">
      <c r="A1083">
        <v>1225</v>
      </c>
      <c r="B1083" t="s">
        <v>1599</v>
      </c>
      <c r="C1083" t="s">
        <v>2256</v>
      </c>
      <c r="D1083" t="s">
        <v>1203</v>
      </c>
      <c r="E1083" t="s">
        <v>1204</v>
      </c>
      <c r="F1083">
        <v>7664</v>
      </c>
      <c r="G1083" t="s">
        <v>696</v>
      </c>
      <c r="I1083">
        <v>827</v>
      </c>
      <c r="J1083">
        <v>899</v>
      </c>
      <c r="K1083">
        <v>967</v>
      </c>
      <c r="L1083">
        <v>1031</v>
      </c>
      <c r="M1083">
        <v>1091</v>
      </c>
      <c r="N1083" t="s">
        <v>987</v>
      </c>
    </row>
    <row r="1084" spans="1:14" x14ac:dyDescent="0.3">
      <c r="A1084">
        <v>1234</v>
      </c>
      <c r="B1084" t="s">
        <v>1600</v>
      </c>
      <c r="C1084" t="s">
        <v>2256</v>
      </c>
      <c r="D1084" t="s">
        <v>1203</v>
      </c>
      <c r="E1084" t="s">
        <v>1204</v>
      </c>
      <c r="F1084">
        <v>5993</v>
      </c>
      <c r="G1084" t="s">
        <v>700</v>
      </c>
      <c r="H1084" t="s">
        <v>2343</v>
      </c>
      <c r="I1084">
        <v>963</v>
      </c>
      <c r="J1084">
        <v>991</v>
      </c>
      <c r="K1084">
        <v>1068</v>
      </c>
      <c r="L1084">
        <v>1088</v>
      </c>
      <c r="M1084">
        <v>1119</v>
      </c>
      <c r="N1084" t="s">
        <v>988</v>
      </c>
    </row>
    <row r="1085" spans="1:14" x14ac:dyDescent="0.3">
      <c r="A1085">
        <v>1234</v>
      </c>
      <c r="B1085" t="s">
        <v>1600</v>
      </c>
      <c r="C1085" t="s">
        <v>2256</v>
      </c>
      <c r="D1085" t="s">
        <v>1203</v>
      </c>
      <c r="E1085" t="s">
        <v>1204</v>
      </c>
      <c r="F1085">
        <v>5993</v>
      </c>
      <c r="G1085" t="s">
        <v>691</v>
      </c>
      <c r="H1085" t="s">
        <v>2344</v>
      </c>
      <c r="I1085">
        <v>313</v>
      </c>
      <c r="J1085">
        <v>322</v>
      </c>
      <c r="K1085">
        <v>348</v>
      </c>
      <c r="L1085">
        <v>354</v>
      </c>
      <c r="M1085">
        <v>364</v>
      </c>
      <c r="N1085" t="s">
        <v>988</v>
      </c>
    </row>
    <row r="1086" spans="1:14" x14ac:dyDescent="0.3">
      <c r="A1086">
        <v>1234</v>
      </c>
      <c r="B1086" t="s">
        <v>1600</v>
      </c>
      <c r="C1086" t="s">
        <v>2256</v>
      </c>
      <c r="D1086" t="s">
        <v>1203</v>
      </c>
      <c r="E1086" t="s">
        <v>1204</v>
      </c>
      <c r="F1086">
        <v>5993</v>
      </c>
      <c r="G1086" t="s">
        <v>686</v>
      </c>
      <c r="I1086">
        <v>417</v>
      </c>
      <c r="J1086">
        <v>428</v>
      </c>
      <c r="K1086">
        <v>461</v>
      </c>
      <c r="L1086">
        <v>470</v>
      </c>
      <c r="M1086">
        <v>483</v>
      </c>
      <c r="N1086" t="s">
        <v>988</v>
      </c>
    </row>
    <row r="1087" spans="1:14" x14ac:dyDescent="0.3">
      <c r="A1087">
        <v>1234</v>
      </c>
      <c r="B1087" t="s">
        <v>1600</v>
      </c>
      <c r="C1087" t="s">
        <v>2256</v>
      </c>
      <c r="D1087" t="s">
        <v>1203</v>
      </c>
      <c r="E1087" t="s">
        <v>1204</v>
      </c>
      <c r="F1087">
        <v>5993</v>
      </c>
      <c r="G1087" t="s">
        <v>696</v>
      </c>
      <c r="I1087">
        <v>4688</v>
      </c>
      <c r="J1087">
        <v>4824</v>
      </c>
      <c r="K1087">
        <v>5203</v>
      </c>
      <c r="L1087">
        <v>5297</v>
      </c>
      <c r="M1087">
        <v>5446</v>
      </c>
      <c r="N1087" t="s">
        <v>988</v>
      </c>
    </row>
    <row r="1088" spans="1:14" x14ac:dyDescent="0.3">
      <c r="A1088">
        <v>1234</v>
      </c>
      <c r="B1088" t="s">
        <v>1600</v>
      </c>
      <c r="C1088" t="s">
        <v>2256</v>
      </c>
      <c r="D1088" t="s">
        <v>1203</v>
      </c>
      <c r="E1088" t="s">
        <v>1204</v>
      </c>
      <c r="F1088">
        <v>5993</v>
      </c>
      <c r="G1088" t="s">
        <v>698</v>
      </c>
      <c r="I1088">
        <v>549</v>
      </c>
      <c r="J1088">
        <v>565</v>
      </c>
      <c r="K1088">
        <v>610</v>
      </c>
      <c r="L1088">
        <v>621</v>
      </c>
      <c r="M1088">
        <v>638</v>
      </c>
      <c r="N1088" t="s">
        <v>988</v>
      </c>
    </row>
    <row r="1089" spans="1:14" x14ac:dyDescent="0.3">
      <c r="A1089">
        <v>1236</v>
      </c>
      <c r="B1089" t="s">
        <v>1603</v>
      </c>
      <c r="C1089" t="s">
        <v>2256</v>
      </c>
      <c r="D1089" t="s">
        <v>1203</v>
      </c>
      <c r="E1089" t="s">
        <v>1204</v>
      </c>
      <c r="F1089">
        <v>5698</v>
      </c>
      <c r="G1089" t="s">
        <v>698</v>
      </c>
      <c r="I1089">
        <v>1875</v>
      </c>
      <c r="J1089">
        <v>1985</v>
      </c>
      <c r="K1089">
        <v>2135</v>
      </c>
      <c r="L1089">
        <v>2303</v>
      </c>
      <c r="M1089">
        <v>2553</v>
      </c>
      <c r="N1089" t="s">
        <v>988</v>
      </c>
    </row>
    <row r="1090" spans="1:14" x14ac:dyDescent="0.3">
      <c r="A1090">
        <v>1236</v>
      </c>
      <c r="B1090" t="s">
        <v>1603</v>
      </c>
      <c r="C1090" t="s">
        <v>2256</v>
      </c>
      <c r="D1090" t="s">
        <v>1203</v>
      </c>
      <c r="E1090" t="s">
        <v>1204</v>
      </c>
      <c r="F1090">
        <v>5698</v>
      </c>
      <c r="G1090" t="s">
        <v>700</v>
      </c>
      <c r="H1090" t="s">
        <v>1457</v>
      </c>
      <c r="I1090">
        <v>3113</v>
      </c>
      <c r="J1090">
        <v>3254</v>
      </c>
      <c r="K1090">
        <v>3397</v>
      </c>
      <c r="L1090">
        <v>3468</v>
      </c>
      <c r="M1090">
        <v>3540</v>
      </c>
      <c r="N1090" t="s">
        <v>988</v>
      </c>
    </row>
    <row r="1091" spans="1:14" x14ac:dyDescent="0.3">
      <c r="A1091">
        <v>1236</v>
      </c>
      <c r="B1091" t="s">
        <v>1603</v>
      </c>
      <c r="C1091" t="s">
        <v>2256</v>
      </c>
      <c r="D1091" t="s">
        <v>1203</v>
      </c>
      <c r="E1091" t="s">
        <v>1204</v>
      </c>
      <c r="F1091">
        <v>5698</v>
      </c>
      <c r="G1091" t="s">
        <v>702</v>
      </c>
      <c r="I1091">
        <v>5752</v>
      </c>
      <c r="J1091">
        <v>6171</v>
      </c>
      <c r="K1091">
        <v>6590</v>
      </c>
      <c r="L1091">
        <v>6934</v>
      </c>
      <c r="M1091">
        <v>7277</v>
      </c>
      <c r="N1091" t="s">
        <v>988</v>
      </c>
    </row>
    <row r="1092" spans="1:14" x14ac:dyDescent="0.3">
      <c r="A1092">
        <v>1236</v>
      </c>
      <c r="B1092" t="s">
        <v>1603</v>
      </c>
      <c r="C1092" t="s">
        <v>2256</v>
      </c>
      <c r="D1092" t="s">
        <v>1203</v>
      </c>
      <c r="E1092" t="s">
        <v>1204</v>
      </c>
      <c r="F1092">
        <v>5698</v>
      </c>
      <c r="G1092" t="s">
        <v>687</v>
      </c>
      <c r="I1092">
        <v>5</v>
      </c>
      <c r="J1092">
        <v>6</v>
      </c>
      <c r="K1092">
        <v>6</v>
      </c>
      <c r="L1092">
        <v>6</v>
      </c>
      <c r="M1092">
        <v>7</v>
      </c>
      <c r="N1092" t="s">
        <v>988</v>
      </c>
    </row>
    <row r="1093" spans="1:14" x14ac:dyDescent="0.3">
      <c r="A1093">
        <v>1236</v>
      </c>
      <c r="B1093" t="s">
        <v>1603</v>
      </c>
      <c r="C1093" t="s">
        <v>2256</v>
      </c>
      <c r="D1093" t="s">
        <v>1203</v>
      </c>
      <c r="E1093" t="s">
        <v>1204</v>
      </c>
      <c r="F1093">
        <v>5698</v>
      </c>
      <c r="G1093" t="s">
        <v>696</v>
      </c>
      <c r="I1093">
        <v>12790</v>
      </c>
      <c r="J1093">
        <v>13828</v>
      </c>
      <c r="K1093">
        <v>14822</v>
      </c>
      <c r="L1093">
        <v>15532</v>
      </c>
      <c r="M1093">
        <v>16067</v>
      </c>
      <c r="N1093" t="s">
        <v>988</v>
      </c>
    </row>
    <row r="1094" spans="1:14" x14ac:dyDescent="0.3">
      <c r="A1094">
        <v>1236</v>
      </c>
      <c r="B1094" t="s">
        <v>1603</v>
      </c>
      <c r="C1094" t="s">
        <v>2256</v>
      </c>
      <c r="D1094" t="s">
        <v>1203</v>
      </c>
      <c r="E1094" t="s">
        <v>1204</v>
      </c>
      <c r="F1094">
        <v>5698</v>
      </c>
      <c r="G1094" t="s">
        <v>686</v>
      </c>
      <c r="I1094">
        <v>1257</v>
      </c>
      <c r="J1094">
        <v>1348</v>
      </c>
      <c r="K1094">
        <v>1434</v>
      </c>
      <c r="L1094">
        <v>1495</v>
      </c>
      <c r="M1094">
        <v>1553</v>
      </c>
      <c r="N1094" t="s">
        <v>988</v>
      </c>
    </row>
    <row r="1095" spans="1:14" x14ac:dyDescent="0.3">
      <c r="A1095">
        <v>1238</v>
      </c>
      <c r="B1095" t="s">
        <v>1604</v>
      </c>
      <c r="C1095" t="s">
        <v>2256</v>
      </c>
      <c r="D1095" t="s">
        <v>1203</v>
      </c>
      <c r="E1095" t="s">
        <v>1204</v>
      </c>
      <c r="F1095">
        <v>5920</v>
      </c>
      <c r="G1095" t="s">
        <v>700</v>
      </c>
      <c r="I1095">
        <v>2693</v>
      </c>
      <c r="J1095">
        <v>2713</v>
      </c>
      <c r="K1095">
        <v>2739</v>
      </c>
      <c r="L1095">
        <v>2770</v>
      </c>
      <c r="M1095">
        <v>2804</v>
      </c>
      <c r="N1095" t="s">
        <v>988</v>
      </c>
    </row>
    <row r="1096" spans="1:14" x14ac:dyDescent="0.3">
      <c r="A1096">
        <v>1238</v>
      </c>
      <c r="B1096" t="s">
        <v>1604</v>
      </c>
      <c r="C1096" t="s">
        <v>2256</v>
      </c>
      <c r="D1096" t="s">
        <v>1203</v>
      </c>
      <c r="E1096" t="s">
        <v>1204</v>
      </c>
      <c r="F1096">
        <v>5920</v>
      </c>
      <c r="G1096" t="s">
        <v>687</v>
      </c>
      <c r="H1096" t="s">
        <v>1605</v>
      </c>
      <c r="I1096">
        <v>6818</v>
      </c>
      <c r="J1096">
        <v>6872</v>
      </c>
      <c r="K1096">
        <v>6943</v>
      </c>
      <c r="L1096">
        <v>7026</v>
      </c>
      <c r="M1096">
        <v>7120</v>
      </c>
      <c r="N1096" t="s">
        <v>988</v>
      </c>
    </row>
    <row r="1097" spans="1:14" x14ac:dyDescent="0.3">
      <c r="A1097">
        <v>1238</v>
      </c>
      <c r="B1097" t="s">
        <v>1604</v>
      </c>
      <c r="C1097" t="s">
        <v>2256</v>
      </c>
      <c r="D1097" t="s">
        <v>1203</v>
      </c>
      <c r="E1097" t="s">
        <v>1204</v>
      </c>
      <c r="F1097">
        <v>5920</v>
      </c>
      <c r="G1097" t="s">
        <v>701</v>
      </c>
      <c r="I1097">
        <v>61</v>
      </c>
      <c r="J1097">
        <v>61</v>
      </c>
      <c r="K1097">
        <v>62</v>
      </c>
      <c r="L1097">
        <v>63</v>
      </c>
      <c r="M1097">
        <v>64</v>
      </c>
      <c r="N1097" t="s">
        <v>988</v>
      </c>
    </row>
    <row r="1098" spans="1:14" x14ac:dyDescent="0.3">
      <c r="A1098">
        <v>1238</v>
      </c>
      <c r="B1098" t="s">
        <v>1604</v>
      </c>
      <c r="C1098" t="s">
        <v>2256</v>
      </c>
      <c r="D1098" t="s">
        <v>1203</v>
      </c>
      <c r="E1098" t="s">
        <v>1204</v>
      </c>
      <c r="F1098">
        <v>5920</v>
      </c>
      <c r="G1098" t="s">
        <v>703</v>
      </c>
      <c r="H1098" t="s">
        <v>1414</v>
      </c>
      <c r="I1098">
        <v>114</v>
      </c>
      <c r="J1098">
        <v>115</v>
      </c>
      <c r="K1098">
        <v>116</v>
      </c>
      <c r="L1098">
        <v>118</v>
      </c>
      <c r="M1098">
        <v>119</v>
      </c>
      <c r="N1098" t="s">
        <v>988</v>
      </c>
    </row>
    <row r="1099" spans="1:14" x14ac:dyDescent="0.3">
      <c r="A1099">
        <v>1238</v>
      </c>
      <c r="B1099" t="s">
        <v>1604</v>
      </c>
      <c r="C1099" t="s">
        <v>2256</v>
      </c>
      <c r="D1099" t="s">
        <v>1203</v>
      </c>
      <c r="E1099" t="s">
        <v>1204</v>
      </c>
      <c r="F1099">
        <v>5920</v>
      </c>
      <c r="G1099" t="s">
        <v>687</v>
      </c>
      <c r="H1099" t="s">
        <v>1410</v>
      </c>
      <c r="I1099">
        <v>7</v>
      </c>
      <c r="J1099">
        <v>7</v>
      </c>
      <c r="K1099">
        <v>7</v>
      </c>
      <c r="L1099">
        <v>7</v>
      </c>
      <c r="M1099">
        <v>7</v>
      </c>
      <c r="N1099" t="s">
        <v>988</v>
      </c>
    </row>
    <row r="1100" spans="1:14" x14ac:dyDescent="0.3">
      <c r="A1100">
        <v>1238</v>
      </c>
      <c r="B1100" t="s">
        <v>1604</v>
      </c>
      <c r="C1100" t="s">
        <v>2256</v>
      </c>
      <c r="D1100" t="s">
        <v>1203</v>
      </c>
      <c r="E1100" t="s">
        <v>1204</v>
      </c>
      <c r="F1100">
        <v>5920</v>
      </c>
      <c r="G1100" t="s">
        <v>686</v>
      </c>
      <c r="H1100" t="s">
        <v>1433</v>
      </c>
      <c r="I1100">
        <v>469</v>
      </c>
      <c r="J1100">
        <v>473</v>
      </c>
      <c r="K1100">
        <v>478</v>
      </c>
      <c r="L1100">
        <v>484</v>
      </c>
      <c r="M1100">
        <v>491</v>
      </c>
      <c r="N1100" t="s">
        <v>988</v>
      </c>
    </row>
    <row r="1101" spans="1:14" x14ac:dyDescent="0.3">
      <c r="A1101">
        <v>1245</v>
      </c>
      <c r="B1101" t="s">
        <v>1606</v>
      </c>
      <c r="C1101" t="s">
        <v>2256</v>
      </c>
      <c r="D1101" t="s">
        <v>159</v>
      </c>
      <c r="E1101" t="s">
        <v>159</v>
      </c>
      <c r="F1101">
        <v>8089</v>
      </c>
      <c r="G1101" t="s">
        <v>684</v>
      </c>
      <c r="I1101">
        <v>3225</v>
      </c>
      <c r="J1101">
        <v>2391</v>
      </c>
      <c r="K1101">
        <v>1556</v>
      </c>
      <c r="L1101">
        <v>722</v>
      </c>
      <c r="N1101" t="s">
        <v>988</v>
      </c>
    </row>
    <row r="1102" spans="1:14" x14ac:dyDescent="0.3">
      <c r="A1102">
        <v>1245</v>
      </c>
      <c r="B1102" t="s">
        <v>1606</v>
      </c>
      <c r="C1102" t="s">
        <v>2256</v>
      </c>
      <c r="D1102" t="s">
        <v>159</v>
      </c>
      <c r="E1102" t="s">
        <v>159</v>
      </c>
      <c r="F1102">
        <v>8089</v>
      </c>
      <c r="G1102" t="s">
        <v>691</v>
      </c>
      <c r="I1102">
        <v>0</v>
      </c>
      <c r="J1102">
        <v>0</v>
      </c>
      <c r="K1102">
        <v>0</v>
      </c>
      <c r="L1102">
        <v>0</v>
      </c>
      <c r="N1102" t="s">
        <v>988</v>
      </c>
    </row>
    <row r="1103" spans="1:14" x14ac:dyDescent="0.3">
      <c r="A1103">
        <v>1245</v>
      </c>
      <c r="B1103" t="s">
        <v>1606</v>
      </c>
      <c r="C1103" t="s">
        <v>2256</v>
      </c>
      <c r="D1103" t="s">
        <v>159</v>
      </c>
      <c r="E1103" t="s">
        <v>159</v>
      </c>
      <c r="F1103">
        <v>8089</v>
      </c>
      <c r="G1103" t="s">
        <v>686</v>
      </c>
      <c r="H1103" t="s">
        <v>2345</v>
      </c>
      <c r="I1103">
        <v>3573</v>
      </c>
      <c r="J1103">
        <v>3936</v>
      </c>
      <c r="K1103">
        <v>4298</v>
      </c>
      <c r="L1103">
        <v>4661</v>
      </c>
      <c r="N1103" t="s">
        <v>988</v>
      </c>
    </row>
    <row r="1104" spans="1:14" x14ac:dyDescent="0.3">
      <c r="A1104">
        <v>1245</v>
      </c>
      <c r="B1104" t="s">
        <v>1606</v>
      </c>
      <c r="C1104" t="s">
        <v>2256</v>
      </c>
      <c r="D1104" t="s">
        <v>159</v>
      </c>
      <c r="E1104" t="s">
        <v>159</v>
      </c>
      <c r="F1104">
        <v>8089</v>
      </c>
      <c r="G1104" t="s">
        <v>702</v>
      </c>
      <c r="I1104">
        <v>1705</v>
      </c>
      <c r="J1104">
        <v>1915</v>
      </c>
      <c r="K1104">
        <v>2126</v>
      </c>
      <c r="L1104">
        <v>2337</v>
      </c>
      <c r="N1104" t="s">
        <v>988</v>
      </c>
    </row>
    <row r="1105" spans="1:14" x14ac:dyDescent="0.3">
      <c r="A1105">
        <v>1245</v>
      </c>
      <c r="B1105" t="s">
        <v>1606</v>
      </c>
      <c r="C1105" t="s">
        <v>2256</v>
      </c>
      <c r="D1105" t="s">
        <v>159</v>
      </c>
      <c r="E1105" t="s">
        <v>159</v>
      </c>
      <c r="F1105">
        <v>8089</v>
      </c>
      <c r="G1105" t="s">
        <v>698</v>
      </c>
      <c r="I1105">
        <v>12515</v>
      </c>
      <c r="J1105">
        <v>14062</v>
      </c>
      <c r="K1105">
        <v>15609</v>
      </c>
      <c r="L1105">
        <v>17157</v>
      </c>
      <c r="N1105" t="s">
        <v>988</v>
      </c>
    </row>
    <row r="1106" spans="1:14" x14ac:dyDescent="0.3">
      <c r="A1106">
        <v>1245</v>
      </c>
      <c r="B1106" t="s">
        <v>1606</v>
      </c>
      <c r="C1106" t="s">
        <v>2256</v>
      </c>
      <c r="D1106" t="s">
        <v>159</v>
      </c>
      <c r="E1106" t="s">
        <v>159</v>
      </c>
      <c r="F1106">
        <v>8089</v>
      </c>
      <c r="G1106" t="s">
        <v>703</v>
      </c>
      <c r="I1106">
        <v>5028</v>
      </c>
      <c r="J1106">
        <v>5650</v>
      </c>
      <c r="K1106">
        <v>6272</v>
      </c>
      <c r="L1106">
        <v>6893</v>
      </c>
      <c r="N1106" t="s">
        <v>988</v>
      </c>
    </row>
    <row r="1107" spans="1:14" x14ac:dyDescent="0.3">
      <c r="A1107">
        <v>1245</v>
      </c>
      <c r="B1107" t="s">
        <v>1606</v>
      </c>
      <c r="C1107" t="s">
        <v>2256</v>
      </c>
      <c r="D1107" t="s">
        <v>159</v>
      </c>
      <c r="E1107" t="s">
        <v>159</v>
      </c>
      <c r="F1107">
        <v>8089</v>
      </c>
      <c r="G1107" t="s">
        <v>701</v>
      </c>
      <c r="I1107">
        <v>4465</v>
      </c>
      <c r="J1107">
        <v>5018</v>
      </c>
      <c r="K1107">
        <v>5570</v>
      </c>
      <c r="L1107">
        <v>6122</v>
      </c>
      <c r="N1107" t="s">
        <v>988</v>
      </c>
    </row>
    <row r="1108" spans="1:14" x14ac:dyDescent="0.3">
      <c r="A1108">
        <v>1245</v>
      </c>
      <c r="B1108" t="s">
        <v>1606</v>
      </c>
      <c r="C1108" t="s">
        <v>2256</v>
      </c>
      <c r="D1108" t="s">
        <v>159</v>
      </c>
      <c r="E1108" t="s">
        <v>159</v>
      </c>
      <c r="F1108">
        <v>8089</v>
      </c>
      <c r="G1108" t="s">
        <v>700</v>
      </c>
      <c r="I1108">
        <v>9701</v>
      </c>
      <c r="J1108">
        <v>10900</v>
      </c>
      <c r="K1108">
        <v>12099</v>
      </c>
      <c r="L1108">
        <v>13299</v>
      </c>
      <c r="N1108" t="s">
        <v>988</v>
      </c>
    </row>
    <row r="1109" spans="1:14" x14ac:dyDescent="0.3">
      <c r="A1109">
        <v>1245</v>
      </c>
      <c r="B1109" t="s">
        <v>1606</v>
      </c>
      <c r="C1109" t="s">
        <v>2256</v>
      </c>
      <c r="D1109" t="s">
        <v>159</v>
      </c>
      <c r="E1109" t="s">
        <v>159</v>
      </c>
      <c r="F1109">
        <v>8089</v>
      </c>
      <c r="G1109" t="s">
        <v>696</v>
      </c>
      <c r="I1109">
        <v>26866</v>
      </c>
      <c r="J1109">
        <v>30188</v>
      </c>
      <c r="K1109">
        <v>33510</v>
      </c>
      <c r="L1109">
        <v>36832</v>
      </c>
      <c r="N1109" t="s">
        <v>988</v>
      </c>
    </row>
    <row r="1110" spans="1:14" x14ac:dyDescent="0.3">
      <c r="A1110">
        <v>1273</v>
      </c>
      <c r="B1110" t="s">
        <v>1609</v>
      </c>
      <c r="C1110" t="s">
        <v>2256</v>
      </c>
      <c r="D1110" t="s">
        <v>159</v>
      </c>
      <c r="E1110" t="s">
        <v>159</v>
      </c>
      <c r="F1110">
        <v>5684</v>
      </c>
      <c r="G1110" t="s">
        <v>686</v>
      </c>
      <c r="H1110" t="s">
        <v>1610</v>
      </c>
      <c r="I1110">
        <v>140</v>
      </c>
      <c r="J1110">
        <v>140</v>
      </c>
      <c r="K1110">
        <v>140</v>
      </c>
      <c r="L1110">
        <v>140</v>
      </c>
      <c r="M1110">
        <v>140</v>
      </c>
      <c r="N1110" t="s">
        <v>988</v>
      </c>
    </row>
    <row r="1111" spans="1:14" x14ac:dyDescent="0.3">
      <c r="A1111">
        <v>1273</v>
      </c>
      <c r="B1111" t="s">
        <v>1609</v>
      </c>
      <c r="C1111" t="s">
        <v>2256</v>
      </c>
      <c r="D1111" t="s">
        <v>159</v>
      </c>
      <c r="E1111" t="s">
        <v>159</v>
      </c>
      <c r="F1111">
        <v>5684</v>
      </c>
      <c r="G1111" t="s">
        <v>692</v>
      </c>
      <c r="H1111" t="s">
        <v>2346</v>
      </c>
      <c r="I1111">
        <v>500</v>
      </c>
      <c r="J1111">
        <v>500</v>
      </c>
      <c r="K1111">
        <v>500</v>
      </c>
      <c r="L1111">
        <v>500</v>
      </c>
      <c r="M1111">
        <v>500</v>
      </c>
      <c r="N1111" t="s">
        <v>988</v>
      </c>
    </row>
    <row r="1112" spans="1:14" x14ac:dyDescent="0.3">
      <c r="A1112">
        <v>1273</v>
      </c>
      <c r="B1112" t="s">
        <v>1609</v>
      </c>
      <c r="C1112" t="s">
        <v>2256</v>
      </c>
      <c r="D1112" t="s">
        <v>159</v>
      </c>
      <c r="E1112" t="s">
        <v>159</v>
      </c>
      <c r="F1112">
        <v>5684</v>
      </c>
      <c r="G1112" t="s">
        <v>686</v>
      </c>
      <c r="H1112" t="s">
        <v>2347</v>
      </c>
      <c r="I1112">
        <v>2255</v>
      </c>
      <c r="J1112">
        <v>2444</v>
      </c>
      <c r="K1112">
        <v>2578</v>
      </c>
      <c r="L1112">
        <v>2726</v>
      </c>
      <c r="M1112">
        <v>2726</v>
      </c>
      <c r="N1112" t="s">
        <v>988</v>
      </c>
    </row>
    <row r="1113" spans="1:14" x14ac:dyDescent="0.3">
      <c r="A1113">
        <v>1273</v>
      </c>
      <c r="B1113" t="s">
        <v>1609</v>
      </c>
      <c r="C1113" t="s">
        <v>2256</v>
      </c>
      <c r="D1113" t="s">
        <v>159</v>
      </c>
      <c r="E1113" t="s">
        <v>159</v>
      </c>
      <c r="F1113">
        <v>5684</v>
      </c>
      <c r="G1113" t="s">
        <v>705</v>
      </c>
      <c r="H1113" t="s">
        <v>687</v>
      </c>
      <c r="I1113">
        <v>95</v>
      </c>
      <c r="J1113">
        <v>231</v>
      </c>
      <c r="K1113">
        <v>326</v>
      </c>
      <c r="L1113">
        <v>435</v>
      </c>
      <c r="M1113">
        <v>435</v>
      </c>
      <c r="N1113" t="s">
        <v>988</v>
      </c>
    </row>
    <row r="1114" spans="1:14" x14ac:dyDescent="0.3">
      <c r="A1114">
        <v>1273</v>
      </c>
      <c r="B1114" t="s">
        <v>1609</v>
      </c>
      <c r="C1114" t="s">
        <v>2256</v>
      </c>
      <c r="D1114" t="s">
        <v>159</v>
      </c>
      <c r="E1114" t="s">
        <v>159</v>
      </c>
      <c r="F1114">
        <v>5684</v>
      </c>
      <c r="G1114" t="s">
        <v>705</v>
      </c>
      <c r="H1114" t="s">
        <v>2348</v>
      </c>
      <c r="I1114">
        <v>328</v>
      </c>
      <c r="J1114">
        <v>328</v>
      </c>
      <c r="K1114">
        <v>328</v>
      </c>
      <c r="L1114">
        <v>328</v>
      </c>
      <c r="M1114">
        <v>328</v>
      </c>
      <c r="N1114" t="s">
        <v>988</v>
      </c>
    </row>
    <row r="1115" spans="1:14" x14ac:dyDescent="0.3">
      <c r="A1115">
        <v>1273</v>
      </c>
      <c r="B1115" t="s">
        <v>1609</v>
      </c>
      <c r="C1115" t="s">
        <v>2256</v>
      </c>
      <c r="D1115" t="s">
        <v>159</v>
      </c>
      <c r="E1115" t="s">
        <v>159</v>
      </c>
      <c r="F1115">
        <v>5684</v>
      </c>
      <c r="G1115" t="s">
        <v>696</v>
      </c>
      <c r="I1115">
        <v>18551</v>
      </c>
      <c r="J1115">
        <v>20082</v>
      </c>
      <c r="K1115">
        <v>21174</v>
      </c>
      <c r="L1115">
        <v>22375</v>
      </c>
      <c r="M1115">
        <v>22375</v>
      </c>
      <c r="N1115" t="s">
        <v>988</v>
      </c>
    </row>
    <row r="1116" spans="1:14" x14ac:dyDescent="0.3">
      <c r="A1116">
        <v>1273</v>
      </c>
      <c r="B1116" t="s">
        <v>1609</v>
      </c>
      <c r="C1116" t="s">
        <v>2256</v>
      </c>
      <c r="D1116" t="s">
        <v>159</v>
      </c>
      <c r="E1116" t="s">
        <v>159</v>
      </c>
      <c r="F1116">
        <v>5684</v>
      </c>
      <c r="G1116" t="s">
        <v>691</v>
      </c>
      <c r="H1116" t="s">
        <v>1826</v>
      </c>
      <c r="I1116">
        <v>210</v>
      </c>
      <c r="J1116">
        <v>228</v>
      </c>
      <c r="K1116">
        <v>241</v>
      </c>
      <c r="L1116">
        <v>254</v>
      </c>
      <c r="M1116">
        <v>254</v>
      </c>
      <c r="N1116" t="s">
        <v>988</v>
      </c>
    </row>
    <row r="1117" spans="1:14" x14ac:dyDescent="0.3">
      <c r="A1117">
        <v>1273</v>
      </c>
      <c r="B1117" t="s">
        <v>1609</v>
      </c>
      <c r="C1117" t="s">
        <v>2256</v>
      </c>
      <c r="D1117" t="s">
        <v>159</v>
      </c>
      <c r="E1117" t="s">
        <v>159</v>
      </c>
      <c r="F1117">
        <v>5684</v>
      </c>
      <c r="G1117" t="s">
        <v>702</v>
      </c>
      <c r="H1117" t="s">
        <v>2349</v>
      </c>
      <c r="I1117">
        <v>3007</v>
      </c>
      <c r="J1117">
        <v>3258</v>
      </c>
      <c r="K1117">
        <v>3437</v>
      </c>
      <c r="L1117">
        <v>3634</v>
      </c>
      <c r="M1117">
        <v>3634</v>
      </c>
      <c r="N1117" t="s">
        <v>988</v>
      </c>
    </row>
    <row r="1118" spans="1:14" x14ac:dyDescent="0.3">
      <c r="A1118">
        <v>1273</v>
      </c>
      <c r="B1118" t="s">
        <v>1609</v>
      </c>
      <c r="C1118" t="s">
        <v>2256</v>
      </c>
      <c r="D1118" t="s">
        <v>159</v>
      </c>
      <c r="E1118" t="s">
        <v>159</v>
      </c>
      <c r="F1118">
        <v>5684</v>
      </c>
      <c r="G1118" t="s">
        <v>701</v>
      </c>
      <c r="I1118">
        <v>722</v>
      </c>
      <c r="J1118">
        <v>782</v>
      </c>
      <c r="K1118">
        <v>825</v>
      </c>
      <c r="L1118">
        <v>872</v>
      </c>
      <c r="M1118">
        <v>872</v>
      </c>
      <c r="N1118" t="s">
        <v>988</v>
      </c>
    </row>
    <row r="1119" spans="1:14" x14ac:dyDescent="0.3">
      <c r="A1119">
        <v>1273</v>
      </c>
      <c r="B1119" t="s">
        <v>1609</v>
      </c>
      <c r="C1119" t="s">
        <v>2256</v>
      </c>
      <c r="D1119" t="s">
        <v>159</v>
      </c>
      <c r="E1119" t="s">
        <v>159</v>
      </c>
      <c r="F1119">
        <v>5684</v>
      </c>
      <c r="G1119" t="s">
        <v>700</v>
      </c>
      <c r="H1119" t="s">
        <v>2350</v>
      </c>
      <c r="I1119">
        <v>2251</v>
      </c>
      <c r="J1119">
        <v>2451</v>
      </c>
      <c r="K1119">
        <v>2595</v>
      </c>
      <c r="L1119">
        <v>2752</v>
      </c>
      <c r="M1119">
        <v>2752</v>
      </c>
      <c r="N1119" t="s">
        <v>988</v>
      </c>
    </row>
    <row r="1120" spans="1:14" x14ac:dyDescent="0.3">
      <c r="A1120">
        <v>1273</v>
      </c>
      <c r="B1120" t="s">
        <v>1609</v>
      </c>
      <c r="C1120" t="s">
        <v>2256</v>
      </c>
      <c r="D1120" t="s">
        <v>159</v>
      </c>
      <c r="E1120" t="s">
        <v>159</v>
      </c>
      <c r="F1120">
        <v>5684</v>
      </c>
      <c r="G1120" t="s">
        <v>698</v>
      </c>
      <c r="I1120">
        <v>1606</v>
      </c>
      <c r="J1120">
        <v>1731</v>
      </c>
      <c r="K1120">
        <v>1821</v>
      </c>
      <c r="L1120">
        <v>1919</v>
      </c>
      <c r="M1120">
        <v>1919</v>
      </c>
      <c r="N1120" t="s">
        <v>988</v>
      </c>
    </row>
    <row r="1121" spans="1:14" x14ac:dyDescent="0.3">
      <c r="A1121">
        <v>1273</v>
      </c>
      <c r="B1121" t="s">
        <v>1609</v>
      </c>
      <c r="C1121" t="s">
        <v>2256</v>
      </c>
      <c r="D1121" t="s">
        <v>159</v>
      </c>
      <c r="E1121" t="s">
        <v>159</v>
      </c>
      <c r="F1121">
        <v>5684</v>
      </c>
      <c r="G1121" t="s">
        <v>705</v>
      </c>
      <c r="H1121" t="s">
        <v>2351</v>
      </c>
      <c r="I1121">
        <v>1200</v>
      </c>
      <c r="J1121">
        <v>1200</v>
      </c>
      <c r="K1121">
        <v>1200</v>
      </c>
      <c r="L1121">
        <v>1200</v>
      </c>
      <c r="M1121">
        <v>1200</v>
      </c>
      <c r="N1121" t="s">
        <v>988</v>
      </c>
    </row>
    <row r="1122" spans="1:14" x14ac:dyDescent="0.3">
      <c r="A1122">
        <v>1324</v>
      </c>
      <c r="B1122" t="s">
        <v>1619</v>
      </c>
      <c r="C1122" t="s">
        <v>2256</v>
      </c>
      <c r="D1122" t="s">
        <v>159</v>
      </c>
      <c r="E1122" t="s">
        <v>159</v>
      </c>
      <c r="F1122">
        <v>5633</v>
      </c>
      <c r="G1122" t="s">
        <v>703</v>
      </c>
      <c r="I1122">
        <v>225</v>
      </c>
      <c r="J1122">
        <v>234</v>
      </c>
      <c r="K1122">
        <v>242</v>
      </c>
      <c r="L1122">
        <v>247.5</v>
      </c>
      <c r="M1122">
        <v>249</v>
      </c>
      <c r="N1122" t="s">
        <v>988</v>
      </c>
    </row>
    <row r="1123" spans="1:14" x14ac:dyDescent="0.3">
      <c r="A1123">
        <v>1324</v>
      </c>
      <c r="B1123" t="s">
        <v>1619</v>
      </c>
      <c r="C1123" t="s">
        <v>2256</v>
      </c>
      <c r="D1123" t="s">
        <v>159</v>
      </c>
      <c r="E1123" t="s">
        <v>159</v>
      </c>
      <c r="F1123">
        <v>5633</v>
      </c>
      <c r="G1123" t="s">
        <v>698</v>
      </c>
      <c r="I1123">
        <v>2118</v>
      </c>
      <c r="J1123">
        <v>2110</v>
      </c>
      <c r="K1123">
        <v>2117.9</v>
      </c>
      <c r="L1123">
        <v>2124.5</v>
      </c>
      <c r="M1123">
        <v>2142</v>
      </c>
      <c r="N1123" t="s">
        <v>988</v>
      </c>
    </row>
    <row r="1124" spans="1:14" x14ac:dyDescent="0.3">
      <c r="A1124">
        <v>1324</v>
      </c>
      <c r="B1124" t="s">
        <v>1619</v>
      </c>
      <c r="C1124" t="s">
        <v>2256</v>
      </c>
      <c r="D1124" t="s">
        <v>159</v>
      </c>
      <c r="E1124" t="s">
        <v>159</v>
      </c>
      <c r="F1124">
        <v>5633</v>
      </c>
      <c r="G1124" t="s">
        <v>700</v>
      </c>
      <c r="I1124">
        <v>1113</v>
      </c>
      <c r="J1124">
        <v>1157</v>
      </c>
      <c r="K1124">
        <v>1198.4000000000001</v>
      </c>
      <c r="L1124">
        <v>1225</v>
      </c>
      <c r="M1124">
        <v>1229</v>
      </c>
      <c r="N1124" t="s">
        <v>988</v>
      </c>
    </row>
    <row r="1125" spans="1:14" x14ac:dyDescent="0.3">
      <c r="A1125">
        <v>1324</v>
      </c>
      <c r="B1125" t="s">
        <v>1619</v>
      </c>
      <c r="C1125" t="s">
        <v>2256</v>
      </c>
      <c r="D1125" t="s">
        <v>159</v>
      </c>
      <c r="E1125" t="s">
        <v>159</v>
      </c>
      <c r="F1125">
        <v>5633</v>
      </c>
      <c r="G1125" t="s">
        <v>702</v>
      </c>
      <c r="I1125">
        <v>639</v>
      </c>
      <c r="J1125">
        <v>640</v>
      </c>
      <c r="K1125">
        <v>646.4</v>
      </c>
      <c r="L1125">
        <v>645</v>
      </c>
      <c r="M1125">
        <v>647</v>
      </c>
      <c r="N1125" t="s">
        <v>988</v>
      </c>
    </row>
    <row r="1126" spans="1:14" x14ac:dyDescent="0.3">
      <c r="A1126">
        <v>1324</v>
      </c>
      <c r="B1126" t="s">
        <v>1619</v>
      </c>
      <c r="C1126" t="s">
        <v>2256</v>
      </c>
      <c r="D1126" t="s">
        <v>159</v>
      </c>
      <c r="E1126" t="s">
        <v>159</v>
      </c>
      <c r="F1126">
        <v>5633</v>
      </c>
      <c r="G1126" t="s">
        <v>686</v>
      </c>
      <c r="I1126">
        <v>737</v>
      </c>
      <c r="J1126">
        <v>733</v>
      </c>
      <c r="K1126">
        <v>734</v>
      </c>
      <c r="L1126">
        <v>736</v>
      </c>
      <c r="M1126">
        <v>738</v>
      </c>
      <c r="N1126" t="s">
        <v>988</v>
      </c>
    </row>
    <row r="1127" spans="1:14" x14ac:dyDescent="0.3">
      <c r="A1127">
        <v>1324</v>
      </c>
      <c r="B1127" t="s">
        <v>1619</v>
      </c>
      <c r="C1127" t="s">
        <v>2256</v>
      </c>
      <c r="D1127" t="s">
        <v>159</v>
      </c>
      <c r="E1127" t="s">
        <v>159</v>
      </c>
      <c r="F1127">
        <v>5633</v>
      </c>
      <c r="G1127" t="s">
        <v>696</v>
      </c>
      <c r="I1127">
        <v>4019</v>
      </c>
      <c r="J1127">
        <v>3936</v>
      </c>
      <c r="K1127">
        <v>3886</v>
      </c>
      <c r="L1127">
        <v>3862</v>
      </c>
      <c r="M1127">
        <v>3860</v>
      </c>
      <c r="N1127" t="s">
        <v>988</v>
      </c>
    </row>
    <row r="1128" spans="1:14" x14ac:dyDescent="0.3">
      <c r="A1128">
        <v>1327</v>
      </c>
      <c r="B1128" t="s">
        <v>1620</v>
      </c>
      <c r="C1128" t="s">
        <v>2256</v>
      </c>
      <c r="D1128" t="s">
        <v>159</v>
      </c>
      <c r="E1128" t="s">
        <v>159</v>
      </c>
      <c r="F1128">
        <v>7985</v>
      </c>
      <c r="G1128" t="s">
        <v>702</v>
      </c>
      <c r="I1128">
        <v>26</v>
      </c>
      <c r="J1128">
        <v>26</v>
      </c>
      <c r="K1128">
        <v>26</v>
      </c>
      <c r="L1128">
        <v>26</v>
      </c>
      <c r="M1128">
        <v>26</v>
      </c>
      <c r="N1128" t="s">
        <v>988</v>
      </c>
    </row>
    <row r="1129" spans="1:14" x14ac:dyDescent="0.3">
      <c r="A1129">
        <v>1327</v>
      </c>
      <c r="B1129" t="s">
        <v>1620</v>
      </c>
      <c r="C1129" t="s">
        <v>2256</v>
      </c>
      <c r="D1129" t="s">
        <v>159</v>
      </c>
      <c r="E1129" t="s">
        <v>159</v>
      </c>
      <c r="F1129">
        <v>7985</v>
      </c>
      <c r="G1129" t="s">
        <v>686</v>
      </c>
      <c r="H1129" t="s">
        <v>2352</v>
      </c>
      <c r="I1129">
        <v>27</v>
      </c>
      <c r="J1129">
        <v>28</v>
      </c>
      <c r="K1129">
        <v>27</v>
      </c>
      <c r="L1129">
        <v>27</v>
      </c>
      <c r="M1129">
        <v>27</v>
      </c>
      <c r="N1129" t="s">
        <v>988</v>
      </c>
    </row>
    <row r="1130" spans="1:14" x14ac:dyDescent="0.3">
      <c r="A1130">
        <v>1327</v>
      </c>
      <c r="B1130" t="s">
        <v>1620</v>
      </c>
      <c r="C1130" t="s">
        <v>2256</v>
      </c>
      <c r="D1130" t="s">
        <v>159</v>
      </c>
      <c r="E1130" t="s">
        <v>159</v>
      </c>
      <c r="F1130">
        <v>7985</v>
      </c>
      <c r="G1130" t="s">
        <v>700</v>
      </c>
      <c r="I1130">
        <v>66</v>
      </c>
      <c r="J1130">
        <v>116</v>
      </c>
      <c r="K1130">
        <v>119</v>
      </c>
      <c r="L1130">
        <v>122</v>
      </c>
      <c r="M1130">
        <v>122</v>
      </c>
      <c r="N1130" t="s">
        <v>988</v>
      </c>
    </row>
    <row r="1131" spans="1:14" x14ac:dyDescent="0.3">
      <c r="A1131">
        <v>1327</v>
      </c>
      <c r="B1131" t="s">
        <v>1620</v>
      </c>
      <c r="C1131" t="s">
        <v>2256</v>
      </c>
      <c r="D1131" t="s">
        <v>159</v>
      </c>
      <c r="E1131" t="s">
        <v>159</v>
      </c>
      <c r="F1131">
        <v>7985</v>
      </c>
      <c r="G1131" t="s">
        <v>698</v>
      </c>
      <c r="I1131">
        <v>315</v>
      </c>
      <c r="J1131">
        <v>309</v>
      </c>
      <c r="K1131">
        <v>304</v>
      </c>
      <c r="L1131">
        <v>297.60000000000002</v>
      </c>
      <c r="M1131">
        <v>296.60000000000002</v>
      </c>
      <c r="N1131" t="s">
        <v>988</v>
      </c>
    </row>
    <row r="1132" spans="1:14" x14ac:dyDescent="0.3">
      <c r="A1132">
        <v>1327</v>
      </c>
      <c r="B1132" t="s">
        <v>1620</v>
      </c>
      <c r="C1132" t="s">
        <v>2256</v>
      </c>
      <c r="D1132" t="s">
        <v>159</v>
      </c>
      <c r="E1132" t="s">
        <v>159</v>
      </c>
      <c r="F1132">
        <v>7985</v>
      </c>
      <c r="G1132" t="s">
        <v>696</v>
      </c>
      <c r="I1132">
        <v>1438</v>
      </c>
      <c r="J1132">
        <v>1414</v>
      </c>
      <c r="K1132">
        <v>1391</v>
      </c>
      <c r="L1132">
        <v>1366.5</v>
      </c>
      <c r="M1132">
        <v>1360.8</v>
      </c>
      <c r="N1132" t="s">
        <v>988</v>
      </c>
    </row>
    <row r="1133" spans="1:14" x14ac:dyDescent="0.3">
      <c r="A1133">
        <v>1333</v>
      </c>
      <c r="B1133" t="s">
        <v>1623</v>
      </c>
      <c r="C1133" t="s">
        <v>2256</v>
      </c>
      <c r="D1133" t="s">
        <v>1203</v>
      </c>
      <c r="E1133" t="s">
        <v>1204</v>
      </c>
      <c r="F1133">
        <v>5662</v>
      </c>
      <c r="G1133" t="s">
        <v>687</v>
      </c>
      <c r="H1133" t="s">
        <v>1624</v>
      </c>
      <c r="I1133">
        <v>6</v>
      </c>
      <c r="J1133">
        <v>6</v>
      </c>
      <c r="K1133">
        <v>6</v>
      </c>
      <c r="L1133">
        <v>6</v>
      </c>
      <c r="N1133" t="s">
        <v>988</v>
      </c>
    </row>
    <row r="1134" spans="1:14" x14ac:dyDescent="0.3">
      <c r="A1134">
        <v>1333</v>
      </c>
      <c r="B1134" t="s">
        <v>1623</v>
      </c>
      <c r="C1134" t="s">
        <v>2256</v>
      </c>
      <c r="D1134" t="s">
        <v>1203</v>
      </c>
      <c r="E1134" t="s">
        <v>1204</v>
      </c>
      <c r="F1134">
        <v>5662</v>
      </c>
      <c r="G1134" t="s">
        <v>703</v>
      </c>
      <c r="I1134">
        <v>1228</v>
      </c>
      <c r="J1134">
        <v>1268</v>
      </c>
      <c r="K1134">
        <v>1310</v>
      </c>
      <c r="L1134">
        <v>1345</v>
      </c>
      <c r="N1134" t="s">
        <v>988</v>
      </c>
    </row>
    <row r="1135" spans="1:14" x14ac:dyDescent="0.3">
      <c r="A1135">
        <v>1333</v>
      </c>
      <c r="B1135" t="s">
        <v>1623</v>
      </c>
      <c r="C1135" t="s">
        <v>2256</v>
      </c>
      <c r="D1135" t="s">
        <v>1203</v>
      </c>
      <c r="E1135" t="s">
        <v>1204</v>
      </c>
      <c r="F1135">
        <v>5662</v>
      </c>
      <c r="G1135" t="s">
        <v>684</v>
      </c>
      <c r="I1135">
        <v>22</v>
      </c>
      <c r="J1135">
        <v>23</v>
      </c>
      <c r="K1135">
        <v>24</v>
      </c>
      <c r="L1135">
        <v>24</v>
      </c>
      <c r="N1135" t="s">
        <v>988</v>
      </c>
    </row>
    <row r="1136" spans="1:14" x14ac:dyDescent="0.3">
      <c r="A1136">
        <v>1333</v>
      </c>
      <c r="B1136" t="s">
        <v>1623</v>
      </c>
      <c r="C1136" t="s">
        <v>2256</v>
      </c>
      <c r="D1136" t="s">
        <v>1203</v>
      </c>
      <c r="E1136" t="s">
        <v>1204</v>
      </c>
      <c r="F1136">
        <v>5662</v>
      </c>
      <c r="G1136" t="s">
        <v>701</v>
      </c>
      <c r="I1136">
        <v>191</v>
      </c>
      <c r="J1136">
        <v>197</v>
      </c>
      <c r="K1136">
        <v>204</v>
      </c>
      <c r="L1136">
        <v>209</v>
      </c>
      <c r="N1136" t="s">
        <v>988</v>
      </c>
    </row>
    <row r="1137" spans="1:14" x14ac:dyDescent="0.3">
      <c r="A1137">
        <v>1333</v>
      </c>
      <c r="B1137" t="s">
        <v>1623</v>
      </c>
      <c r="C1137" t="s">
        <v>2256</v>
      </c>
      <c r="D1137" t="s">
        <v>1203</v>
      </c>
      <c r="E1137" t="s">
        <v>1204</v>
      </c>
      <c r="F1137">
        <v>5662</v>
      </c>
      <c r="G1137" t="s">
        <v>700</v>
      </c>
      <c r="I1137">
        <v>719</v>
      </c>
      <c r="J1137">
        <v>743</v>
      </c>
      <c r="K1137">
        <v>768</v>
      </c>
      <c r="L1137">
        <v>788</v>
      </c>
      <c r="N1137" t="s">
        <v>988</v>
      </c>
    </row>
    <row r="1138" spans="1:14" x14ac:dyDescent="0.3">
      <c r="A1138">
        <v>1333</v>
      </c>
      <c r="B1138" t="s">
        <v>1623</v>
      </c>
      <c r="C1138" t="s">
        <v>2256</v>
      </c>
      <c r="D1138" t="s">
        <v>1203</v>
      </c>
      <c r="E1138" t="s">
        <v>1204</v>
      </c>
      <c r="F1138">
        <v>5662</v>
      </c>
      <c r="G1138" t="s">
        <v>698</v>
      </c>
      <c r="I1138">
        <v>1086</v>
      </c>
      <c r="J1138">
        <v>1122</v>
      </c>
      <c r="K1138">
        <v>1158</v>
      </c>
      <c r="L1138">
        <v>1189</v>
      </c>
      <c r="N1138" t="s">
        <v>988</v>
      </c>
    </row>
    <row r="1139" spans="1:14" x14ac:dyDescent="0.3">
      <c r="A1139">
        <v>1333</v>
      </c>
      <c r="B1139" t="s">
        <v>1623</v>
      </c>
      <c r="C1139" t="s">
        <v>2256</v>
      </c>
      <c r="D1139" t="s">
        <v>1203</v>
      </c>
      <c r="E1139" t="s">
        <v>1204</v>
      </c>
      <c r="F1139">
        <v>5662</v>
      </c>
      <c r="G1139" t="s">
        <v>696</v>
      </c>
      <c r="I1139">
        <v>3573</v>
      </c>
      <c r="J1139">
        <v>3691</v>
      </c>
      <c r="K1139">
        <v>3812</v>
      </c>
      <c r="L1139">
        <v>3914</v>
      </c>
      <c r="N1139" t="s">
        <v>988</v>
      </c>
    </row>
    <row r="1140" spans="1:14" x14ac:dyDescent="0.3">
      <c r="A1140">
        <v>1335</v>
      </c>
      <c r="B1140" t="s">
        <v>1625</v>
      </c>
      <c r="C1140" t="s">
        <v>2256</v>
      </c>
      <c r="D1140" t="s">
        <v>159</v>
      </c>
      <c r="E1140" t="s">
        <v>159</v>
      </c>
      <c r="F1140">
        <v>5719</v>
      </c>
      <c r="G1140" t="s">
        <v>686</v>
      </c>
      <c r="I1140">
        <v>234</v>
      </c>
      <c r="J1140">
        <v>237</v>
      </c>
      <c r="K1140">
        <v>236</v>
      </c>
      <c r="L1140">
        <v>235</v>
      </c>
      <c r="M1140">
        <v>233</v>
      </c>
      <c r="N1140" t="s">
        <v>988</v>
      </c>
    </row>
    <row r="1141" spans="1:14" x14ac:dyDescent="0.3">
      <c r="A1141">
        <v>1335</v>
      </c>
      <c r="B1141" t="s">
        <v>1625</v>
      </c>
      <c r="C1141" t="s">
        <v>2256</v>
      </c>
      <c r="D1141" t="s">
        <v>159</v>
      </c>
      <c r="E1141" t="s">
        <v>159</v>
      </c>
      <c r="F1141">
        <v>5719</v>
      </c>
      <c r="G1141" t="s">
        <v>696</v>
      </c>
      <c r="I1141">
        <v>2053</v>
      </c>
      <c r="J1141">
        <v>2024</v>
      </c>
      <c r="K1141">
        <v>1993</v>
      </c>
      <c r="L1141">
        <v>1963</v>
      </c>
      <c r="M1141">
        <v>1953</v>
      </c>
      <c r="N1141" t="s">
        <v>988</v>
      </c>
    </row>
    <row r="1142" spans="1:14" x14ac:dyDescent="0.3">
      <c r="A1142">
        <v>1335</v>
      </c>
      <c r="B1142" t="s">
        <v>1625</v>
      </c>
      <c r="C1142" t="s">
        <v>2256</v>
      </c>
      <c r="D1142" t="s">
        <v>159</v>
      </c>
      <c r="E1142" t="s">
        <v>159</v>
      </c>
      <c r="F1142">
        <v>5719</v>
      </c>
      <c r="G1142" t="s">
        <v>698</v>
      </c>
      <c r="I1142">
        <v>448</v>
      </c>
      <c r="J1142">
        <v>437</v>
      </c>
      <c r="K1142">
        <v>426</v>
      </c>
      <c r="L1142">
        <v>425</v>
      </c>
      <c r="M1142">
        <v>414</v>
      </c>
      <c r="N1142" t="s">
        <v>988</v>
      </c>
    </row>
    <row r="1143" spans="1:14" x14ac:dyDescent="0.3">
      <c r="A1143">
        <v>1335</v>
      </c>
      <c r="B1143" t="s">
        <v>1625</v>
      </c>
      <c r="C1143" t="s">
        <v>2256</v>
      </c>
      <c r="D1143" t="s">
        <v>159</v>
      </c>
      <c r="E1143" t="s">
        <v>159</v>
      </c>
      <c r="F1143">
        <v>5719</v>
      </c>
      <c r="G1143" t="s">
        <v>700</v>
      </c>
      <c r="I1143">
        <v>557</v>
      </c>
      <c r="J1143">
        <v>647</v>
      </c>
      <c r="K1143">
        <v>663</v>
      </c>
      <c r="L1143">
        <v>679</v>
      </c>
      <c r="M1143">
        <v>679</v>
      </c>
      <c r="N1143" t="s">
        <v>988</v>
      </c>
    </row>
    <row r="1144" spans="1:14" x14ac:dyDescent="0.3">
      <c r="A1144">
        <v>1335</v>
      </c>
      <c r="B1144" t="s">
        <v>1625</v>
      </c>
      <c r="C1144" t="s">
        <v>2256</v>
      </c>
      <c r="D1144" t="s">
        <v>159</v>
      </c>
      <c r="E1144" t="s">
        <v>159</v>
      </c>
      <c r="F1144">
        <v>5719</v>
      </c>
      <c r="G1144" t="s">
        <v>702</v>
      </c>
      <c r="I1144">
        <v>113</v>
      </c>
      <c r="J1144">
        <v>113</v>
      </c>
      <c r="K1144">
        <v>113</v>
      </c>
      <c r="L1144">
        <v>113</v>
      </c>
      <c r="M1144">
        <v>113</v>
      </c>
      <c r="N1144" t="s">
        <v>988</v>
      </c>
    </row>
    <row r="1145" spans="1:14" x14ac:dyDescent="0.3">
      <c r="A1145">
        <v>1335</v>
      </c>
      <c r="B1145" t="s">
        <v>1625</v>
      </c>
      <c r="C1145" t="s">
        <v>2256</v>
      </c>
      <c r="D1145" t="s">
        <v>159</v>
      </c>
      <c r="E1145" t="s">
        <v>159</v>
      </c>
      <c r="F1145">
        <v>5719</v>
      </c>
      <c r="G1145" t="s">
        <v>705</v>
      </c>
      <c r="I1145">
        <v>272</v>
      </c>
      <c r="J1145">
        <v>272</v>
      </c>
      <c r="K1145">
        <v>272</v>
      </c>
      <c r="L1145">
        <v>272</v>
      </c>
      <c r="M1145">
        <v>272</v>
      </c>
      <c r="N1145" t="s">
        <v>988</v>
      </c>
    </row>
    <row r="1146" spans="1:14" x14ac:dyDescent="0.3">
      <c r="A1146">
        <v>1343</v>
      </c>
      <c r="B1146" t="s">
        <v>1626</v>
      </c>
      <c r="C1146" t="s">
        <v>2256</v>
      </c>
      <c r="D1146" t="s">
        <v>1203</v>
      </c>
      <c r="E1146" t="s">
        <v>1204</v>
      </c>
      <c r="F1146">
        <v>5845</v>
      </c>
      <c r="G1146" t="s">
        <v>700</v>
      </c>
      <c r="I1146">
        <v>98.27</v>
      </c>
      <c r="J1146">
        <v>99.89</v>
      </c>
      <c r="K1146">
        <v>101</v>
      </c>
      <c r="L1146">
        <v>102</v>
      </c>
      <c r="M1146">
        <v>103.39</v>
      </c>
      <c r="N1146" t="s">
        <v>988</v>
      </c>
    </row>
    <row r="1147" spans="1:14" x14ac:dyDescent="0.3">
      <c r="A1147">
        <v>1343</v>
      </c>
      <c r="B1147" t="s">
        <v>1626</v>
      </c>
      <c r="C1147" t="s">
        <v>2256</v>
      </c>
      <c r="D1147" t="s">
        <v>1203</v>
      </c>
      <c r="E1147" t="s">
        <v>1204</v>
      </c>
      <c r="F1147">
        <v>5845</v>
      </c>
      <c r="G1147" t="s">
        <v>702</v>
      </c>
      <c r="H1147" t="s">
        <v>2353</v>
      </c>
      <c r="I1147">
        <v>21</v>
      </c>
      <c r="J1147">
        <v>20.99</v>
      </c>
      <c r="K1147">
        <v>21</v>
      </c>
      <c r="L1147">
        <v>21</v>
      </c>
      <c r="M1147">
        <v>21</v>
      </c>
      <c r="N1147" t="s">
        <v>988</v>
      </c>
    </row>
    <row r="1148" spans="1:14" x14ac:dyDescent="0.3">
      <c r="A1148">
        <v>1343</v>
      </c>
      <c r="B1148" t="s">
        <v>1626</v>
      </c>
      <c r="C1148" t="s">
        <v>2256</v>
      </c>
      <c r="D1148" t="s">
        <v>1203</v>
      </c>
      <c r="E1148" t="s">
        <v>1204</v>
      </c>
      <c r="F1148">
        <v>5845</v>
      </c>
      <c r="G1148" t="s">
        <v>691</v>
      </c>
      <c r="H1148" t="s">
        <v>1499</v>
      </c>
      <c r="I1148">
        <v>1</v>
      </c>
      <c r="J1148">
        <v>0.83</v>
      </c>
      <c r="K1148">
        <v>1</v>
      </c>
      <c r="L1148">
        <v>1</v>
      </c>
      <c r="M1148">
        <v>1</v>
      </c>
      <c r="N1148" t="s">
        <v>988</v>
      </c>
    </row>
    <row r="1149" spans="1:14" x14ac:dyDescent="0.3">
      <c r="A1149">
        <v>1343</v>
      </c>
      <c r="B1149" t="s">
        <v>1626</v>
      </c>
      <c r="C1149" t="s">
        <v>2256</v>
      </c>
      <c r="D1149" t="s">
        <v>1203</v>
      </c>
      <c r="E1149" t="s">
        <v>1204</v>
      </c>
      <c r="F1149">
        <v>5845</v>
      </c>
      <c r="G1149" t="s">
        <v>691</v>
      </c>
      <c r="H1149" t="s">
        <v>1293</v>
      </c>
      <c r="I1149">
        <v>0</v>
      </c>
      <c r="J1149">
        <v>0</v>
      </c>
      <c r="K1149">
        <v>0</v>
      </c>
      <c r="L1149">
        <v>0</v>
      </c>
      <c r="M1149">
        <v>0</v>
      </c>
      <c r="N1149" t="s">
        <v>988</v>
      </c>
    </row>
    <row r="1150" spans="1:14" x14ac:dyDescent="0.3">
      <c r="A1150">
        <v>1343</v>
      </c>
      <c r="B1150" t="s">
        <v>1626</v>
      </c>
      <c r="C1150" t="s">
        <v>2256</v>
      </c>
      <c r="D1150" t="s">
        <v>1203</v>
      </c>
      <c r="E1150" t="s">
        <v>1204</v>
      </c>
      <c r="F1150">
        <v>5845</v>
      </c>
      <c r="G1150" t="s">
        <v>696</v>
      </c>
      <c r="H1150" t="s">
        <v>1627</v>
      </c>
      <c r="I1150">
        <v>1029.29</v>
      </c>
      <c r="J1150">
        <v>1056.81</v>
      </c>
      <c r="K1150">
        <v>1082</v>
      </c>
      <c r="L1150">
        <v>1105</v>
      </c>
      <c r="M1150">
        <v>1125.3900000000001</v>
      </c>
      <c r="N1150" t="s">
        <v>988</v>
      </c>
    </row>
    <row r="1151" spans="1:14" x14ac:dyDescent="0.3">
      <c r="A1151">
        <v>1343</v>
      </c>
      <c r="B1151" t="s">
        <v>1626</v>
      </c>
      <c r="C1151" t="s">
        <v>2256</v>
      </c>
      <c r="D1151" t="s">
        <v>1203</v>
      </c>
      <c r="E1151" t="s">
        <v>1204</v>
      </c>
      <c r="F1151">
        <v>5845</v>
      </c>
      <c r="G1151" t="s">
        <v>691</v>
      </c>
      <c r="H1151" t="s">
        <v>1628</v>
      </c>
      <c r="I1151">
        <v>12</v>
      </c>
      <c r="J1151">
        <v>12.87</v>
      </c>
      <c r="K1151">
        <v>13</v>
      </c>
      <c r="L1151">
        <v>13</v>
      </c>
      <c r="M1151">
        <v>13</v>
      </c>
      <c r="N1151" t="s">
        <v>988</v>
      </c>
    </row>
    <row r="1152" spans="1:14" x14ac:dyDescent="0.3">
      <c r="A1152">
        <v>1343</v>
      </c>
      <c r="B1152" t="s">
        <v>1626</v>
      </c>
      <c r="C1152" t="s">
        <v>2256</v>
      </c>
      <c r="D1152" t="s">
        <v>1203</v>
      </c>
      <c r="E1152" t="s">
        <v>1204</v>
      </c>
      <c r="F1152">
        <v>5845</v>
      </c>
      <c r="G1152" t="s">
        <v>686</v>
      </c>
      <c r="I1152">
        <v>155</v>
      </c>
      <c r="J1152">
        <v>150</v>
      </c>
      <c r="K1152">
        <v>150</v>
      </c>
      <c r="L1152">
        <v>145</v>
      </c>
      <c r="M1152">
        <v>145</v>
      </c>
      <c r="N1152" t="s">
        <v>988</v>
      </c>
    </row>
    <row r="1153" spans="1:14" x14ac:dyDescent="0.3">
      <c r="A1153">
        <v>1343</v>
      </c>
      <c r="B1153" t="s">
        <v>1626</v>
      </c>
      <c r="C1153" t="s">
        <v>2256</v>
      </c>
      <c r="D1153" t="s">
        <v>1203</v>
      </c>
      <c r="E1153" t="s">
        <v>1204</v>
      </c>
      <c r="F1153">
        <v>5845</v>
      </c>
      <c r="G1153" t="s">
        <v>705</v>
      </c>
      <c r="H1153" t="s">
        <v>1630</v>
      </c>
      <c r="I1153">
        <v>0</v>
      </c>
      <c r="J1153">
        <v>0</v>
      </c>
      <c r="K1153">
        <v>0</v>
      </c>
      <c r="L1153">
        <v>0</v>
      </c>
      <c r="M1153">
        <v>0</v>
      </c>
      <c r="N1153" t="s">
        <v>988</v>
      </c>
    </row>
    <row r="1154" spans="1:14" x14ac:dyDescent="0.3">
      <c r="A1154">
        <v>1343</v>
      </c>
      <c r="B1154" t="s">
        <v>1626</v>
      </c>
      <c r="C1154" t="s">
        <v>2256</v>
      </c>
      <c r="D1154" t="s">
        <v>1203</v>
      </c>
      <c r="E1154" t="s">
        <v>1204</v>
      </c>
      <c r="F1154">
        <v>5845</v>
      </c>
      <c r="G1154" t="s">
        <v>703</v>
      </c>
      <c r="I1154">
        <v>19</v>
      </c>
      <c r="J1154">
        <v>19</v>
      </c>
      <c r="K1154">
        <v>19</v>
      </c>
      <c r="L1154">
        <v>19</v>
      </c>
      <c r="M1154">
        <v>19</v>
      </c>
      <c r="N1154" t="s">
        <v>988</v>
      </c>
    </row>
    <row r="1155" spans="1:14" x14ac:dyDescent="0.3">
      <c r="A1155">
        <v>1352</v>
      </c>
      <c r="B1155" t="s">
        <v>1631</v>
      </c>
      <c r="C1155" t="s">
        <v>2256</v>
      </c>
      <c r="D1155" t="s">
        <v>1203</v>
      </c>
      <c r="E1155" t="s">
        <v>1204</v>
      </c>
      <c r="F1155">
        <v>6941</v>
      </c>
      <c r="G1155" t="s">
        <v>696</v>
      </c>
      <c r="I1155">
        <v>7650</v>
      </c>
      <c r="J1155">
        <v>8054</v>
      </c>
      <c r="K1155">
        <v>8480</v>
      </c>
      <c r="L1155">
        <v>8930</v>
      </c>
      <c r="N1155" t="s">
        <v>988</v>
      </c>
    </row>
    <row r="1156" spans="1:14" x14ac:dyDescent="0.3">
      <c r="A1156">
        <v>1352</v>
      </c>
      <c r="B1156" t="s">
        <v>1631</v>
      </c>
      <c r="C1156" t="s">
        <v>2256</v>
      </c>
      <c r="D1156" t="s">
        <v>1203</v>
      </c>
      <c r="E1156" t="s">
        <v>1204</v>
      </c>
      <c r="F1156">
        <v>6941</v>
      </c>
      <c r="G1156" t="s">
        <v>698</v>
      </c>
      <c r="I1156">
        <v>783</v>
      </c>
      <c r="J1156">
        <v>824</v>
      </c>
      <c r="K1156">
        <v>868</v>
      </c>
      <c r="L1156">
        <v>916</v>
      </c>
      <c r="N1156" t="s">
        <v>988</v>
      </c>
    </row>
    <row r="1157" spans="1:14" x14ac:dyDescent="0.3">
      <c r="A1157">
        <v>1352</v>
      </c>
      <c r="B1157" t="s">
        <v>1631</v>
      </c>
      <c r="C1157" t="s">
        <v>2256</v>
      </c>
      <c r="D1157" t="s">
        <v>1203</v>
      </c>
      <c r="E1157" t="s">
        <v>1204</v>
      </c>
      <c r="F1157">
        <v>6941</v>
      </c>
      <c r="G1157" t="s">
        <v>700</v>
      </c>
      <c r="I1157">
        <v>430</v>
      </c>
      <c r="J1157">
        <v>452</v>
      </c>
      <c r="K1157">
        <v>477</v>
      </c>
      <c r="L1157">
        <v>507</v>
      </c>
      <c r="N1157" t="s">
        <v>988</v>
      </c>
    </row>
    <row r="1158" spans="1:14" x14ac:dyDescent="0.3">
      <c r="A1158">
        <v>1352</v>
      </c>
      <c r="B1158" t="s">
        <v>1631</v>
      </c>
      <c r="C1158" t="s">
        <v>2256</v>
      </c>
      <c r="D1158" t="s">
        <v>1203</v>
      </c>
      <c r="E1158" t="s">
        <v>1204</v>
      </c>
      <c r="F1158">
        <v>6941</v>
      </c>
      <c r="G1158" t="s">
        <v>701</v>
      </c>
      <c r="I1158">
        <v>1</v>
      </c>
      <c r="J1158">
        <v>1</v>
      </c>
      <c r="K1158">
        <v>1</v>
      </c>
      <c r="L1158">
        <v>1</v>
      </c>
      <c r="N1158" t="s">
        <v>988</v>
      </c>
    </row>
    <row r="1159" spans="1:14" x14ac:dyDescent="0.3">
      <c r="A1159">
        <v>1352</v>
      </c>
      <c r="B1159" t="s">
        <v>1631</v>
      </c>
      <c r="C1159" t="s">
        <v>2256</v>
      </c>
      <c r="D1159" t="s">
        <v>1203</v>
      </c>
      <c r="E1159" t="s">
        <v>1204</v>
      </c>
      <c r="F1159">
        <v>6941</v>
      </c>
      <c r="G1159" t="s">
        <v>703</v>
      </c>
      <c r="I1159">
        <v>688</v>
      </c>
      <c r="J1159">
        <v>724</v>
      </c>
      <c r="K1159">
        <v>763</v>
      </c>
      <c r="L1159">
        <v>804</v>
      </c>
      <c r="N1159" t="s">
        <v>988</v>
      </c>
    </row>
    <row r="1160" spans="1:14" x14ac:dyDescent="0.3">
      <c r="A1160">
        <v>1352</v>
      </c>
      <c r="B1160" t="s">
        <v>1631</v>
      </c>
      <c r="C1160" t="s">
        <v>2256</v>
      </c>
      <c r="D1160" t="s">
        <v>1203</v>
      </c>
      <c r="E1160" t="s">
        <v>1204</v>
      </c>
      <c r="F1160">
        <v>6941</v>
      </c>
      <c r="G1160" t="s">
        <v>702</v>
      </c>
      <c r="I1160">
        <v>272</v>
      </c>
      <c r="J1160">
        <v>286</v>
      </c>
      <c r="K1160">
        <v>301</v>
      </c>
      <c r="L1160">
        <v>313</v>
      </c>
      <c r="N1160" t="s">
        <v>988</v>
      </c>
    </row>
    <row r="1161" spans="1:14" x14ac:dyDescent="0.3">
      <c r="A1161">
        <v>1352</v>
      </c>
      <c r="B1161" t="s">
        <v>1631</v>
      </c>
      <c r="C1161" t="s">
        <v>2256</v>
      </c>
      <c r="D1161" t="s">
        <v>1203</v>
      </c>
      <c r="E1161" t="s">
        <v>1204</v>
      </c>
      <c r="F1161">
        <v>6941</v>
      </c>
      <c r="G1161" t="s">
        <v>684</v>
      </c>
      <c r="I1161">
        <v>5424</v>
      </c>
      <c r="J1161">
        <v>5424</v>
      </c>
      <c r="K1161">
        <v>5424</v>
      </c>
      <c r="L1161">
        <v>5424</v>
      </c>
      <c r="N1161" t="s">
        <v>988</v>
      </c>
    </row>
    <row r="1162" spans="1:14" x14ac:dyDescent="0.3">
      <c r="A1162">
        <v>1352</v>
      </c>
      <c r="B1162" t="s">
        <v>1631</v>
      </c>
      <c r="C1162" t="s">
        <v>2256</v>
      </c>
      <c r="D1162" t="s">
        <v>1203</v>
      </c>
      <c r="E1162" t="s">
        <v>1204</v>
      </c>
      <c r="F1162">
        <v>6941</v>
      </c>
      <c r="G1162" t="s">
        <v>686</v>
      </c>
      <c r="I1162">
        <v>921</v>
      </c>
      <c r="J1162">
        <v>921</v>
      </c>
      <c r="K1162">
        <v>921</v>
      </c>
      <c r="L1162">
        <v>921</v>
      </c>
      <c r="N1162" t="s">
        <v>988</v>
      </c>
    </row>
    <row r="1163" spans="1:14" x14ac:dyDescent="0.3">
      <c r="A1163">
        <v>1368</v>
      </c>
      <c r="B1163" t="s">
        <v>1632</v>
      </c>
      <c r="C1163" t="s">
        <v>2256</v>
      </c>
      <c r="D1163" t="s">
        <v>1203</v>
      </c>
      <c r="E1163" t="s">
        <v>1204</v>
      </c>
      <c r="F1163">
        <v>5455</v>
      </c>
      <c r="G1163" t="s">
        <v>696</v>
      </c>
      <c r="H1163" t="s">
        <v>1393</v>
      </c>
      <c r="I1163">
        <v>4136</v>
      </c>
      <c r="J1163">
        <v>4276</v>
      </c>
      <c r="K1163">
        <v>4264</v>
      </c>
      <c r="L1163">
        <v>4317</v>
      </c>
      <c r="N1163" t="s">
        <v>988</v>
      </c>
    </row>
    <row r="1164" spans="1:14" x14ac:dyDescent="0.3">
      <c r="A1164">
        <v>1370</v>
      </c>
      <c r="B1164" t="s">
        <v>1633</v>
      </c>
      <c r="C1164" t="s">
        <v>2256</v>
      </c>
      <c r="D1164" t="s">
        <v>1203</v>
      </c>
      <c r="E1164" t="s">
        <v>1204</v>
      </c>
      <c r="F1164">
        <v>5811</v>
      </c>
      <c r="G1164" t="s">
        <v>696</v>
      </c>
      <c r="I1164">
        <v>5351</v>
      </c>
      <c r="J1164">
        <v>5297</v>
      </c>
      <c r="K1164">
        <v>5244</v>
      </c>
      <c r="L1164">
        <v>5191</v>
      </c>
      <c r="N1164" t="s">
        <v>988</v>
      </c>
    </row>
    <row r="1165" spans="1:14" x14ac:dyDescent="0.3">
      <c r="A1165">
        <v>1370</v>
      </c>
      <c r="B1165" t="s">
        <v>1633</v>
      </c>
      <c r="C1165" t="s">
        <v>2256</v>
      </c>
      <c r="D1165" t="s">
        <v>1203</v>
      </c>
      <c r="E1165" t="s">
        <v>1204</v>
      </c>
      <c r="F1165">
        <v>5811</v>
      </c>
      <c r="G1165" t="s">
        <v>687</v>
      </c>
      <c r="H1165" t="s">
        <v>1634</v>
      </c>
      <c r="I1165">
        <v>2</v>
      </c>
      <c r="J1165">
        <v>2</v>
      </c>
      <c r="K1165">
        <v>2</v>
      </c>
      <c r="L1165">
        <v>2</v>
      </c>
      <c r="N1165" t="s">
        <v>988</v>
      </c>
    </row>
    <row r="1166" spans="1:14" x14ac:dyDescent="0.3">
      <c r="A1166">
        <v>1370</v>
      </c>
      <c r="B1166" t="s">
        <v>1633</v>
      </c>
      <c r="C1166" t="s">
        <v>2256</v>
      </c>
      <c r="D1166" t="s">
        <v>1203</v>
      </c>
      <c r="E1166" t="s">
        <v>1204</v>
      </c>
      <c r="F1166">
        <v>5811</v>
      </c>
      <c r="G1166" t="s">
        <v>702</v>
      </c>
      <c r="I1166">
        <v>314</v>
      </c>
      <c r="J1166">
        <v>311</v>
      </c>
      <c r="K1166">
        <v>308</v>
      </c>
      <c r="L1166">
        <v>304</v>
      </c>
      <c r="N1166" t="s">
        <v>988</v>
      </c>
    </row>
    <row r="1167" spans="1:14" x14ac:dyDescent="0.3">
      <c r="A1167">
        <v>1370</v>
      </c>
      <c r="B1167" t="s">
        <v>1633</v>
      </c>
      <c r="C1167" t="s">
        <v>2256</v>
      </c>
      <c r="D1167" t="s">
        <v>1203</v>
      </c>
      <c r="E1167" t="s">
        <v>1204</v>
      </c>
      <c r="F1167">
        <v>5811</v>
      </c>
      <c r="G1167" t="s">
        <v>703</v>
      </c>
      <c r="I1167">
        <v>80</v>
      </c>
      <c r="J1167">
        <v>79</v>
      </c>
      <c r="K1167">
        <v>79</v>
      </c>
      <c r="L1167">
        <v>78</v>
      </c>
      <c r="N1167" t="s">
        <v>988</v>
      </c>
    </row>
    <row r="1168" spans="1:14" x14ac:dyDescent="0.3">
      <c r="A1168">
        <v>1370</v>
      </c>
      <c r="B1168" t="s">
        <v>1633</v>
      </c>
      <c r="C1168" t="s">
        <v>2256</v>
      </c>
      <c r="D1168" t="s">
        <v>1203</v>
      </c>
      <c r="E1168" t="s">
        <v>1204</v>
      </c>
      <c r="F1168">
        <v>5811</v>
      </c>
      <c r="G1168" t="s">
        <v>700</v>
      </c>
      <c r="I1168">
        <v>688</v>
      </c>
      <c r="J1168">
        <v>681</v>
      </c>
      <c r="K1168">
        <v>674</v>
      </c>
      <c r="L1168">
        <v>668</v>
      </c>
      <c r="N1168" t="s">
        <v>988</v>
      </c>
    </row>
    <row r="1169" spans="1:14" x14ac:dyDescent="0.3">
      <c r="A1169">
        <v>1370</v>
      </c>
      <c r="B1169" t="s">
        <v>1633</v>
      </c>
      <c r="C1169" t="s">
        <v>2256</v>
      </c>
      <c r="D1169" t="s">
        <v>1203</v>
      </c>
      <c r="E1169" t="s">
        <v>1204</v>
      </c>
      <c r="F1169">
        <v>5811</v>
      </c>
      <c r="G1169" t="s">
        <v>698</v>
      </c>
      <c r="I1169">
        <v>253</v>
      </c>
      <c r="J1169">
        <v>251</v>
      </c>
      <c r="K1169">
        <v>248</v>
      </c>
      <c r="L1169">
        <v>246</v>
      </c>
      <c r="N1169" t="s">
        <v>988</v>
      </c>
    </row>
    <row r="1170" spans="1:14" x14ac:dyDescent="0.3">
      <c r="A1170">
        <v>1371</v>
      </c>
      <c r="B1170" t="s">
        <v>1635</v>
      </c>
      <c r="C1170" t="s">
        <v>2256</v>
      </c>
      <c r="D1170" t="s">
        <v>1203</v>
      </c>
      <c r="E1170" t="s">
        <v>1204</v>
      </c>
      <c r="F1170">
        <v>7512</v>
      </c>
      <c r="G1170" t="s">
        <v>686</v>
      </c>
      <c r="H1170" t="s">
        <v>1269</v>
      </c>
      <c r="I1170">
        <v>124</v>
      </c>
      <c r="J1170">
        <v>129</v>
      </c>
      <c r="K1170">
        <v>135</v>
      </c>
      <c r="L1170">
        <v>140</v>
      </c>
      <c r="N1170" t="s">
        <v>987</v>
      </c>
    </row>
    <row r="1171" spans="1:14" x14ac:dyDescent="0.3">
      <c r="A1171">
        <v>1371</v>
      </c>
      <c r="B1171" t="s">
        <v>1635</v>
      </c>
      <c r="C1171" t="s">
        <v>2256</v>
      </c>
      <c r="D1171" t="s">
        <v>1203</v>
      </c>
      <c r="E1171" t="s">
        <v>1204</v>
      </c>
      <c r="F1171">
        <v>7512</v>
      </c>
      <c r="G1171" t="s">
        <v>691</v>
      </c>
      <c r="H1171" t="s">
        <v>1636</v>
      </c>
      <c r="I1171">
        <v>1117</v>
      </c>
      <c r="J1171">
        <v>1164</v>
      </c>
      <c r="K1171">
        <v>1213</v>
      </c>
      <c r="L1171">
        <v>1264</v>
      </c>
      <c r="N1171" t="s">
        <v>987</v>
      </c>
    </row>
    <row r="1172" spans="1:14" x14ac:dyDescent="0.3">
      <c r="A1172">
        <v>1384</v>
      </c>
      <c r="B1172" t="s">
        <v>1637</v>
      </c>
      <c r="C1172" t="s">
        <v>2256</v>
      </c>
      <c r="D1172" t="s">
        <v>1203</v>
      </c>
      <c r="E1172" t="s">
        <v>1204</v>
      </c>
      <c r="F1172">
        <v>5709</v>
      </c>
      <c r="G1172" t="s">
        <v>702</v>
      </c>
      <c r="H1172" t="s">
        <v>2032</v>
      </c>
      <c r="I1172">
        <v>708</v>
      </c>
      <c r="J1172">
        <v>748</v>
      </c>
      <c r="K1172">
        <v>791</v>
      </c>
      <c r="L1172">
        <v>837</v>
      </c>
      <c r="M1172">
        <v>885</v>
      </c>
      <c r="N1172" t="s">
        <v>988</v>
      </c>
    </row>
    <row r="1173" spans="1:14" x14ac:dyDescent="0.3">
      <c r="A1173">
        <v>1384</v>
      </c>
      <c r="B1173" t="s">
        <v>1637</v>
      </c>
      <c r="C1173" t="s">
        <v>2256</v>
      </c>
      <c r="D1173" t="s">
        <v>1203</v>
      </c>
      <c r="E1173" t="s">
        <v>1204</v>
      </c>
      <c r="F1173">
        <v>5709</v>
      </c>
      <c r="G1173" t="s">
        <v>700</v>
      </c>
      <c r="H1173" t="s">
        <v>2032</v>
      </c>
      <c r="I1173">
        <v>1465</v>
      </c>
      <c r="J1173">
        <v>1549</v>
      </c>
      <c r="K1173">
        <v>1638</v>
      </c>
      <c r="L1173">
        <v>1732</v>
      </c>
      <c r="M1173">
        <v>1832</v>
      </c>
      <c r="N1173" t="s">
        <v>988</v>
      </c>
    </row>
    <row r="1174" spans="1:14" x14ac:dyDescent="0.3">
      <c r="A1174">
        <v>1384</v>
      </c>
      <c r="B1174" t="s">
        <v>1637</v>
      </c>
      <c r="C1174" t="s">
        <v>2256</v>
      </c>
      <c r="D1174" t="s">
        <v>1203</v>
      </c>
      <c r="E1174" t="s">
        <v>1204</v>
      </c>
      <c r="F1174">
        <v>5709</v>
      </c>
      <c r="G1174" t="s">
        <v>698</v>
      </c>
      <c r="H1174" t="s">
        <v>2032</v>
      </c>
      <c r="I1174">
        <v>1255</v>
      </c>
      <c r="J1174">
        <v>1327</v>
      </c>
      <c r="K1174">
        <v>1403</v>
      </c>
      <c r="L1174">
        <v>1484</v>
      </c>
      <c r="M1174">
        <v>1569</v>
      </c>
      <c r="N1174" t="s">
        <v>988</v>
      </c>
    </row>
    <row r="1175" spans="1:14" x14ac:dyDescent="0.3">
      <c r="A1175">
        <v>1384</v>
      </c>
      <c r="B1175" t="s">
        <v>1637</v>
      </c>
      <c r="C1175" t="s">
        <v>2256</v>
      </c>
      <c r="D1175" t="s">
        <v>1203</v>
      </c>
      <c r="E1175" t="s">
        <v>1204</v>
      </c>
      <c r="F1175">
        <v>5709</v>
      </c>
      <c r="G1175" t="s">
        <v>696</v>
      </c>
      <c r="H1175" t="s">
        <v>2032</v>
      </c>
      <c r="I1175">
        <v>14542</v>
      </c>
      <c r="J1175">
        <v>15377</v>
      </c>
      <c r="K1175">
        <v>16259</v>
      </c>
      <c r="L1175">
        <v>17192</v>
      </c>
      <c r="M1175">
        <v>18179</v>
      </c>
      <c r="N1175" t="s">
        <v>988</v>
      </c>
    </row>
    <row r="1176" spans="1:14" x14ac:dyDescent="0.3">
      <c r="A1176">
        <v>1384</v>
      </c>
      <c r="B1176" t="s">
        <v>1637</v>
      </c>
      <c r="C1176" t="s">
        <v>2256</v>
      </c>
      <c r="D1176" t="s">
        <v>1203</v>
      </c>
      <c r="E1176" t="s">
        <v>1204</v>
      </c>
      <c r="F1176">
        <v>5709</v>
      </c>
      <c r="G1176" t="s">
        <v>686</v>
      </c>
      <c r="H1176" t="s">
        <v>2032</v>
      </c>
      <c r="I1176">
        <v>432</v>
      </c>
      <c r="J1176">
        <v>457</v>
      </c>
      <c r="K1176">
        <v>483</v>
      </c>
      <c r="L1176">
        <v>510</v>
      </c>
      <c r="M1176">
        <v>540</v>
      </c>
      <c r="N1176" t="s">
        <v>988</v>
      </c>
    </row>
    <row r="1177" spans="1:14" x14ac:dyDescent="0.3">
      <c r="A1177">
        <v>1384</v>
      </c>
      <c r="B1177" t="s">
        <v>1637</v>
      </c>
      <c r="C1177" t="s">
        <v>2256</v>
      </c>
      <c r="D1177" t="s">
        <v>1203</v>
      </c>
      <c r="E1177" t="s">
        <v>1204</v>
      </c>
      <c r="F1177">
        <v>5709</v>
      </c>
      <c r="G1177" t="s">
        <v>687</v>
      </c>
      <c r="H1177" t="s">
        <v>2354</v>
      </c>
      <c r="I1177">
        <v>106</v>
      </c>
      <c r="J1177">
        <v>106</v>
      </c>
      <c r="K1177">
        <v>106</v>
      </c>
      <c r="L1177">
        <v>106</v>
      </c>
      <c r="M1177">
        <v>106</v>
      </c>
      <c r="N1177" t="s">
        <v>988</v>
      </c>
    </row>
    <row r="1178" spans="1:14" x14ac:dyDescent="0.3">
      <c r="A1178">
        <v>1384</v>
      </c>
      <c r="B1178" t="s">
        <v>1637</v>
      </c>
      <c r="C1178" t="s">
        <v>2256</v>
      </c>
      <c r="D1178" t="s">
        <v>1203</v>
      </c>
      <c r="E1178" t="s">
        <v>1204</v>
      </c>
      <c r="F1178">
        <v>5709</v>
      </c>
      <c r="G1178" t="s">
        <v>691</v>
      </c>
      <c r="H1178" t="s">
        <v>2355</v>
      </c>
      <c r="I1178">
        <v>682</v>
      </c>
      <c r="J1178">
        <v>682</v>
      </c>
      <c r="K1178">
        <v>682</v>
      </c>
      <c r="L1178">
        <v>682</v>
      </c>
      <c r="M1178">
        <v>682</v>
      </c>
      <c r="N1178" t="s">
        <v>988</v>
      </c>
    </row>
    <row r="1179" spans="1:14" x14ac:dyDescent="0.3">
      <c r="A1179">
        <v>1388</v>
      </c>
      <c r="B1179" t="s">
        <v>1640</v>
      </c>
      <c r="C1179" t="s">
        <v>2256</v>
      </c>
      <c r="D1179" t="s">
        <v>159</v>
      </c>
      <c r="E1179" t="s">
        <v>159</v>
      </c>
      <c r="F1179">
        <v>5503</v>
      </c>
      <c r="G1179" t="s">
        <v>703</v>
      </c>
      <c r="I1179">
        <v>444.7</v>
      </c>
      <c r="J1179">
        <v>453.78</v>
      </c>
      <c r="K1179">
        <v>462.6</v>
      </c>
      <c r="L1179">
        <v>471.2</v>
      </c>
      <c r="M1179">
        <v>562.9</v>
      </c>
      <c r="N1179" t="s">
        <v>988</v>
      </c>
    </row>
    <row r="1180" spans="1:14" x14ac:dyDescent="0.3">
      <c r="A1180">
        <v>1388</v>
      </c>
      <c r="B1180" t="s">
        <v>1640</v>
      </c>
      <c r="C1180" t="s">
        <v>2256</v>
      </c>
      <c r="D1180" t="s">
        <v>159</v>
      </c>
      <c r="E1180" t="s">
        <v>159</v>
      </c>
      <c r="F1180">
        <v>5503</v>
      </c>
      <c r="G1180" t="s">
        <v>701</v>
      </c>
      <c r="I1180">
        <v>1854.4</v>
      </c>
      <c r="J1180">
        <v>1854.41</v>
      </c>
      <c r="K1180">
        <v>1854.4</v>
      </c>
      <c r="L1180">
        <v>2101.1999999999998</v>
      </c>
      <c r="M1180">
        <v>2197.1999999999998</v>
      </c>
      <c r="N1180" t="s">
        <v>988</v>
      </c>
    </row>
    <row r="1181" spans="1:14" x14ac:dyDescent="0.3">
      <c r="A1181">
        <v>1388</v>
      </c>
      <c r="B1181" t="s">
        <v>1640</v>
      </c>
      <c r="C1181" t="s">
        <v>2256</v>
      </c>
      <c r="D1181" t="s">
        <v>159</v>
      </c>
      <c r="E1181" t="s">
        <v>159</v>
      </c>
      <c r="F1181">
        <v>5503</v>
      </c>
      <c r="G1181" t="s">
        <v>700</v>
      </c>
      <c r="I1181">
        <v>593</v>
      </c>
      <c r="J1181">
        <v>734.4</v>
      </c>
      <c r="K1181">
        <v>858.9</v>
      </c>
      <c r="L1181">
        <v>1048.4000000000001</v>
      </c>
      <c r="M1181">
        <v>1151.5</v>
      </c>
      <c r="N1181" t="s">
        <v>988</v>
      </c>
    </row>
    <row r="1182" spans="1:14" x14ac:dyDescent="0.3">
      <c r="A1182">
        <v>1388</v>
      </c>
      <c r="B1182" t="s">
        <v>1640</v>
      </c>
      <c r="C1182" t="s">
        <v>2256</v>
      </c>
      <c r="D1182" t="s">
        <v>159</v>
      </c>
      <c r="E1182" t="s">
        <v>159</v>
      </c>
      <c r="F1182">
        <v>5503</v>
      </c>
      <c r="G1182" t="s">
        <v>698</v>
      </c>
      <c r="I1182">
        <v>171.8</v>
      </c>
      <c r="J1182">
        <v>382.75</v>
      </c>
      <c r="K1182">
        <v>593.70000000000005</v>
      </c>
      <c r="L1182">
        <v>804.6</v>
      </c>
      <c r="M1182">
        <v>839</v>
      </c>
      <c r="N1182" t="s">
        <v>988</v>
      </c>
    </row>
    <row r="1183" spans="1:14" x14ac:dyDescent="0.3">
      <c r="A1183">
        <v>1388</v>
      </c>
      <c r="B1183" t="s">
        <v>1640</v>
      </c>
      <c r="C1183" t="s">
        <v>2256</v>
      </c>
      <c r="D1183" t="s">
        <v>159</v>
      </c>
      <c r="E1183" t="s">
        <v>159</v>
      </c>
      <c r="F1183">
        <v>5503</v>
      </c>
      <c r="G1183" t="s">
        <v>696</v>
      </c>
      <c r="I1183">
        <v>3807.2</v>
      </c>
      <c r="J1183">
        <v>4810.13</v>
      </c>
      <c r="K1183">
        <v>5498.2</v>
      </c>
      <c r="L1183">
        <v>6185.8</v>
      </c>
      <c r="M1183">
        <v>7987.3</v>
      </c>
      <c r="N1183" t="s">
        <v>988</v>
      </c>
    </row>
    <row r="1184" spans="1:14" x14ac:dyDescent="0.3">
      <c r="A1184">
        <v>1388</v>
      </c>
      <c r="B1184" t="s">
        <v>1640</v>
      </c>
      <c r="C1184" t="s">
        <v>2256</v>
      </c>
      <c r="D1184" t="s">
        <v>159</v>
      </c>
      <c r="E1184" t="s">
        <v>159</v>
      </c>
      <c r="F1184">
        <v>5503</v>
      </c>
      <c r="G1184" t="s">
        <v>686</v>
      </c>
      <c r="H1184" t="s">
        <v>2032</v>
      </c>
      <c r="I1184">
        <v>614.9</v>
      </c>
      <c r="J1184">
        <v>688.15</v>
      </c>
      <c r="K1184">
        <v>743.4</v>
      </c>
      <c r="L1184">
        <v>816.6</v>
      </c>
      <c r="M1184">
        <v>934.5</v>
      </c>
      <c r="N1184" t="s">
        <v>988</v>
      </c>
    </row>
    <row r="1185" spans="1:14" x14ac:dyDescent="0.3">
      <c r="A1185">
        <v>1388</v>
      </c>
      <c r="B1185" t="s">
        <v>1640</v>
      </c>
      <c r="C1185" t="s">
        <v>2256</v>
      </c>
      <c r="D1185" t="s">
        <v>159</v>
      </c>
      <c r="E1185" t="s">
        <v>159</v>
      </c>
      <c r="F1185">
        <v>5503</v>
      </c>
      <c r="G1185" t="s">
        <v>702</v>
      </c>
      <c r="H1185" t="s">
        <v>1275</v>
      </c>
      <c r="I1185">
        <v>196.1</v>
      </c>
      <c r="J1185">
        <v>223.92</v>
      </c>
      <c r="K1185">
        <v>241.8</v>
      </c>
      <c r="L1185">
        <v>288.10000000000002</v>
      </c>
      <c r="M1185">
        <v>401.4</v>
      </c>
      <c r="N1185" t="s">
        <v>988</v>
      </c>
    </row>
    <row r="1186" spans="1:14" x14ac:dyDescent="0.3">
      <c r="A1186">
        <v>1869</v>
      </c>
      <c r="B1186" t="s">
        <v>1643</v>
      </c>
      <c r="C1186" t="s">
        <v>2256</v>
      </c>
      <c r="D1186" t="s">
        <v>159</v>
      </c>
      <c r="E1186" t="s">
        <v>159</v>
      </c>
      <c r="F1186">
        <v>5551</v>
      </c>
      <c r="G1186" t="s">
        <v>698</v>
      </c>
      <c r="I1186">
        <v>1239</v>
      </c>
      <c r="J1186">
        <v>1246</v>
      </c>
      <c r="K1186">
        <v>1252</v>
      </c>
      <c r="L1186">
        <v>1259</v>
      </c>
      <c r="M1186">
        <v>1265</v>
      </c>
      <c r="N1186" t="s">
        <v>988</v>
      </c>
    </row>
    <row r="1187" spans="1:14" x14ac:dyDescent="0.3">
      <c r="A1187">
        <v>1869</v>
      </c>
      <c r="B1187" t="s">
        <v>1643</v>
      </c>
      <c r="C1187" t="s">
        <v>2256</v>
      </c>
      <c r="D1187" t="s">
        <v>159</v>
      </c>
      <c r="E1187" t="s">
        <v>159</v>
      </c>
      <c r="F1187">
        <v>5551</v>
      </c>
      <c r="G1187" t="s">
        <v>696</v>
      </c>
      <c r="I1187">
        <v>7366</v>
      </c>
      <c r="J1187">
        <v>7405</v>
      </c>
      <c r="K1187">
        <v>7444</v>
      </c>
      <c r="L1187">
        <v>7483</v>
      </c>
      <c r="M1187">
        <v>7523</v>
      </c>
      <c r="N1187" t="s">
        <v>988</v>
      </c>
    </row>
    <row r="1188" spans="1:14" x14ac:dyDescent="0.3">
      <c r="A1188">
        <v>1869</v>
      </c>
      <c r="B1188" t="s">
        <v>1643</v>
      </c>
      <c r="C1188" t="s">
        <v>2256</v>
      </c>
      <c r="D1188" t="s">
        <v>159</v>
      </c>
      <c r="E1188" t="s">
        <v>159</v>
      </c>
      <c r="F1188">
        <v>5551</v>
      </c>
      <c r="G1188" t="s">
        <v>687</v>
      </c>
      <c r="I1188">
        <v>15</v>
      </c>
      <c r="J1188">
        <v>15</v>
      </c>
      <c r="K1188">
        <v>15</v>
      </c>
      <c r="L1188">
        <v>16</v>
      </c>
      <c r="M1188">
        <v>16</v>
      </c>
      <c r="N1188" t="s">
        <v>988</v>
      </c>
    </row>
    <row r="1189" spans="1:14" x14ac:dyDescent="0.3">
      <c r="A1189">
        <v>1869</v>
      </c>
      <c r="B1189" t="s">
        <v>1643</v>
      </c>
      <c r="C1189" t="s">
        <v>2256</v>
      </c>
      <c r="D1189" t="s">
        <v>159</v>
      </c>
      <c r="E1189" t="s">
        <v>159</v>
      </c>
      <c r="F1189">
        <v>5551</v>
      </c>
      <c r="G1189" t="s">
        <v>686</v>
      </c>
      <c r="I1189">
        <v>935</v>
      </c>
      <c r="J1189">
        <v>939</v>
      </c>
      <c r="K1189">
        <v>944</v>
      </c>
      <c r="L1189">
        <v>949</v>
      </c>
      <c r="M1189">
        <v>954</v>
      </c>
      <c r="N1189" t="s">
        <v>988</v>
      </c>
    </row>
    <row r="1190" spans="1:14" x14ac:dyDescent="0.3">
      <c r="A1190">
        <v>1869</v>
      </c>
      <c r="B1190" t="s">
        <v>1643</v>
      </c>
      <c r="C1190" t="s">
        <v>2256</v>
      </c>
      <c r="D1190" t="s">
        <v>159</v>
      </c>
      <c r="E1190" t="s">
        <v>159</v>
      </c>
      <c r="F1190">
        <v>5551</v>
      </c>
      <c r="G1190" t="s">
        <v>703</v>
      </c>
      <c r="I1190">
        <v>471</v>
      </c>
      <c r="J1190">
        <v>473</v>
      </c>
      <c r="K1190">
        <v>476</v>
      </c>
      <c r="L1190">
        <v>478</v>
      </c>
      <c r="M1190">
        <v>481</v>
      </c>
      <c r="N1190" t="s">
        <v>988</v>
      </c>
    </row>
    <row r="1191" spans="1:14" x14ac:dyDescent="0.3">
      <c r="A1191">
        <v>1869</v>
      </c>
      <c r="B1191" t="s">
        <v>1643</v>
      </c>
      <c r="C1191" t="s">
        <v>2256</v>
      </c>
      <c r="D1191" t="s">
        <v>159</v>
      </c>
      <c r="E1191" t="s">
        <v>159</v>
      </c>
      <c r="F1191">
        <v>5551</v>
      </c>
      <c r="G1191" t="s">
        <v>701</v>
      </c>
      <c r="I1191">
        <v>79</v>
      </c>
      <c r="J1191">
        <v>79</v>
      </c>
      <c r="K1191">
        <v>79</v>
      </c>
      <c r="L1191">
        <v>80</v>
      </c>
      <c r="M1191">
        <v>80</v>
      </c>
      <c r="N1191" t="s">
        <v>988</v>
      </c>
    </row>
    <row r="1192" spans="1:14" x14ac:dyDescent="0.3">
      <c r="A1192">
        <v>1869</v>
      </c>
      <c r="B1192" t="s">
        <v>1643</v>
      </c>
      <c r="C1192" t="s">
        <v>2256</v>
      </c>
      <c r="D1192" t="s">
        <v>159</v>
      </c>
      <c r="E1192" t="s">
        <v>159</v>
      </c>
      <c r="F1192">
        <v>5551</v>
      </c>
      <c r="G1192" t="s">
        <v>700</v>
      </c>
      <c r="I1192">
        <v>1103</v>
      </c>
      <c r="J1192">
        <v>1109</v>
      </c>
      <c r="K1192">
        <v>1115</v>
      </c>
      <c r="L1192">
        <v>1121</v>
      </c>
      <c r="M1192">
        <v>1127</v>
      </c>
      <c r="N1192" t="s">
        <v>988</v>
      </c>
    </row>
    <row r="1193" spans="1:14" x14ac:dyDescent="0.3">
      <c r="A1193">
        <v>1424</v>
      </c>
      <c r="B1193" t="s">
        <v>1644</v>
      </c>
      <c r="C1193" t="s">
        <v>2256</v>
      </c>
      <c r="D1193" t="s">
        <v>159</v>
      </c>
      <c r="E1193" t="s">
        <v>159</v>
      </c>
      <c r="F1193">
        <v>5558</v>
      </c>
      <c r="G1193" t="s">
        <v>686</v>
      </c>
      <c r="H1193" t="s">
        <v>2356</v>
      </c>
      <c r="I1193">
        <v>950</v>
      </c>
      <c r="J1193">
        <v>1060</v>
      </c>
      <c r="K1193">
        <v>1250</v>
      </c>
      <c r="L1193">
        <v>1450</v>
      </c>
      <c r="M1193">
        <v>1640</v>
      </c>
      <c r="N1193" t="s">
        <v>988</v>
      </c>
    </row>
    <row r="1194" spans="1:14" x14ac:dyDescent="0.3">
      <c r="A1194">
        <v>1424</v>
      </c>
      <c r="B1194" t="s">
        <v>1644</v>
      </c>
      <c r="C1194" t="s">
        <v>2256</v>
      </c>
      <c r="D1194" t="s">
        <v>159</v>
      </c>
      <c r="E1194" t="s">
        <v>159</v>
      </c>
      <c r="F1194">
        <v>5558</v>
      </c>
      <c r="G1194" t="s">
        <v>687</v>
      </c>
      <c r="H1194" t="s">
        <v>1646</v>
      </c>
      <c r="I1194">
        <v>170</v>
      </c>
      <c r="J1194">
        <v>170</v>
      </c>
      <c r="K1194">
        <v>170</v>
      </c>
      <c r="L1194">
        <v>170</v>
      </c>
      <c r="M1194">
        <v>170</v>
      </c>
      <c r="N1194" t="s">
        <v>988</v>
      </c>
    </row>
    <row r="1195" spans="1:14" x14ac:dyDescent="0.3">
      <c r="A1195">
        <v>1424</v>
      </c>
      <c r="B1195" t="s">
        <v>1644</v>
      </c>
      <c r="C1195" t="s">
        <v>2256</v>
      </c>
      <c r="D1195" t="s">
        <v>159</v>
      </c>
      <c r="E1195" t="s">
        <v>159</v>
      </c>
      <c r="F1195">
        <v>5558</v>
      </c>
      <c r="G1195" t="s">
        <v>687</v>
      </c>
      <c r="H1195" t="s">
        <v>1645</v>
      </c>
      <c r="I1195">
        <v>200</v>
      </c>
      <c r="J1195">
        <v>200</v>
      </c>
      <c r="K1195">
        <v>200</v>
      </c>
      <c r="L1195">
        <v>200</v>
      </c>
      <c r="M1195">
        <v>200</v>
      </c>
      <c r="N1195" t="s">
        <v>988</v>
      </c>
    </row>
    <row r="1196" spans="1:14" x14ac:dyDescent="0.3">
      <c r="A1196">
        <v>1424</v>
      </c>
      <c r="B1196" t="s">
        <v>1644</v>
      </c>
      <c r="C1196" t="s">
        <v>2256</v>
      </c>
      <c r="D1196" t="s">
        <v>159</v>
      </c>
      <c r="E1196" t="s">
        <v>159</v>
      </c>
      <c r="F1196">
        <v>5558</v>
      </c>
      <c r="G1196" t="s">
        <v>702</v>
      </c>
      <c r="H1196" t="s">
        <v>2357</v>
      </c>
      <c r="I1196">
        <v>830</v>
      </c>
      <c r="J1196">
        <v>1000</v>
      </c>
      <c r="K1196">
        <v>1140</v>
      </c>
      <c r="L1196">
        <v>1270</v>
      </c>
      <c r="M1196">
        <v>1120</v>
      </c>
      <c r="N1196" t="s">
        <v>988</v>
      </c>
    </row>
    <row r="1197" spans="1:14" x14ac:dyDescent="0.3">
      <c r="A1197">
        <v>1424</v>
      </c>
      <c r="B1197" t="s">
        <v>1644</v>
      </c>
      <c r="C1197" t="s">
        <v>2256</v>
      </c>
      <c r="D1197" t="s">
        <v>159</v>
      </c>
      <c r="E1197" t="s">
        <v>159</v>
      </c>
      <c r="F1197">
        <v>5558</v>
      </c>
      <c r="G1197" t="s">
        <v>703</v>
      </c>
      <c r="H1197" t="s">
        <v>2358</v>
      </c>
      <c r="I1197">
        <v>0</v>
      </c>
      <c r="J1197">
        <v>20</v>
      </c>
      <c r="K1197">
        <v>50</v>
      </c>
      <c r="L1197">
        <v>70</v>
      </c>
      <c r="M1197">
        <v>100</v>
      </c>
      <c r="N1197" t="s">
        <v>988</v>
      </c>
    </row>
    <row r="1198" spans="1:14" x14ac:dyDescent="0.3">
      <c r="A1198">
        <v>1424</v>
      </c>
      <c r="B1198" t="s">
        <v>1644</v>
      </c>
      <c r="C1198" t="s">
        <v>2256</v>
      </c>
      <c r="D1198" t="s">
        <v>159</v>
      </c>
      <c r="E1198" t="s">
        <v>159</v>
      </c>
      <c r="F1198">
        <v>5558</v>
      </c>
      <c r="G1198" t="s">
        <v>701</v>
      </c>
      <c r="I1198">
        <v>90</v>
      </c>
      <c r="J1198">
        <v>90</v>
      </c>
      <c r="K1198">
        <v>270</v>
      </c>
      <c r="L1198">
        <v>450</v>
      </c>
      <c r="M1198">
        <v>630</v>
      </c>
      <c r="N1198" t="s">
        <v>988</v>
      </c>
    </row>
    <row r="1199" spans="1:14" x14ac:dyDescent="0.3">
      <c r="A1199">
        <v>1424</v>
      </c>
      <c r="B1199" t="s">
        <v>1644</v>
      </c>
      <c r="C1199" t="s">
        <v>2256</v>
      </c>
      <c r="D1199" t="s">
        <v>159</v>
      </c>
      <c r="E1199" t="s">
        <v>159</v>
      </c>
      <c r="F1199">
        <v>5558</v>
      </c>
      <c r="G1199" t="s">
        <v>700</v>
      </c>
      <c r="H1199" t="s">
        <v>2359</v>
      </c>
      <c r="I1199">
        <v>580</v>
      </c>
      <c r="J1199">
        <v>720</v>
      </c>
      <c r="K1199">
        <v>950</v>
      </c>
      <c r="L1199">
        <v>1180</v>
      </c>
      <c r="M1199">
        <v>1420</v>
      </c>
      <c r="N1199" t="s">
        <v>988</v>
      </c>
    </row>
    <row r="1200" spans="1:14" x14ac:dyDescent="0.3">
      <c r="A1200">
        <v>1424</v>
      </c>
      <c r="B1200" t="s">
        <v>1644</v>
      </c>
      <c r="C1200" t="s">
        <v>2256</v>
      </c>
      <c r="D1200" t="s">
        <v>159</v>
      </c>
      <c r="E1200" t="s">
        <v>159</v>
      </c>
      <c r="F1200">
        <v>5558</v>
      </c>
      <c r="G1200" t="s">
        <v>696</v>
      </c>
      <c r="H1200" t="s">
        <v>2360</v>
      </c>
      <c r="I1200">
        <v>8770</v>
      </c>
      <c r="J1200">
        <v>9320</v>
      </c>
      <c r="K1200">
        <v>10350</v>
      </c>
      <c r="L1200">
        <v>11380</v>
      </c>
      <c r="M1200">
        <v>12410</v>
      </c>
      <c r="N1200" t="s">
        <v>988</v>
      </c>
    </row>
    <row r="1201" spans="1:14" x14ac:dyDescent="0.3">
      <c r="A1201">
        <v>1424</v>
      </c>
      <c r="B1201" t="s">
        <v>1644</v>
      </c>
      <c r="C1201" t="s">
        <v>2256</v>
      </c>
      <c r="D1201" t="s">
        <v>159</v>
      </c>
      <c r="E1201" t="s">
        <v>159</v>
      </c>
      <c r="F1201">
        <v>5558</v>
      </c>
      <c r="G1201" t="s">
        <v>698</v>
      </c>
      <c r="I1201">
        <v>230</v>
      </c>
      <c r="J1201">
        <v>310</v>
      </c>
      <c r="K1201">
        <v>410</v>
      </c>
      <c r="L1201">
        <v>510</v>
      </c>
      <c r="M1201">
        <v>610</v>
      </c>
      <c r="N1201" t="s">
        <v>988</v>
      </c>
    </row>
    <row r="1202" spans="1:14" x14ac:dyDescent="0.3">
      <c r="A1202">
        <v>1425</v>
      </c>
      <c r="B1202" t="s">
        <v>1647</v>
      </c>
      <c r="C1202" t="s">
        <v>2256</v>
      </c>
      <c r="D1202" t="s">
        <v>159</v>
      </c>
      <c r="E1202" t="s">
        <v>159</v>
      </c>
      <c r="F1202">
        <v>7826</v>
      </c>
      <c r="G1202" t="s">
        <v>705</v>
      </c>
      <c r="H1202" t="s">
        <v>1649</v>
      </c>
      <c r="I1202">
        <v>0</v>
      </c>
      <c r="J1202">
        <v>0</v>
      </c>
      <c r="K1202">
        <v>0</v>
      </c>
      <c r="L1202">
        <v>0</v>
      </c>
      <c r="M1202">
        <v>0</v>
      </c>
      <c r="N1202" t="s">
        <v>988</v>
      </c>
    </row>
    <row r="1203" spans="1:14" x14ac:dyDescent="0.3">
      <c r="A1203">
        <v>1425</v>
      </c>
      <c r="B1203" t="s">
        <v>1647</v>
      </c>
      <c r="C1203" t="s">
        <v>2256</v>
      </c>
      <c r="D1203" t="s">
        <v>159</v>
      </c>
      <c r="E1203" t="s">
        <v>159</v>
      </c>
      <c r="F1203">
        <v>7826</v>
      </c>
      <c r="G1203" t="s">
        <v>691</v>
      </c>
      <c r="H1203" t="s">
        <v>2361</v>
      </c>
      <c r="I1203">
        <v>1897.2</v>
      </c>
      <c r="J1203">
        <v>1927.1</v>
      </c>
      <c r="K1203">
        <v>1957.5</v>
      </c>
      <c r="L1203">
        <v>1988.3</v>
      </c>
      <c r="M1203">
        <v>2019.7</v>
      </c>
      <c r="N1203" t="s">
        <v>988</v>
      </c>
    </row>
    <row r="1204" spans="1:14" x14ac:dyDescent="0.3">
      <c r="A1204">
        <v>1425</v>
      </c>
      <c r="B1204" t="s">
        <v>1647</v>
      </c>
      <c r="C1204" t="s">
        <v>2256</v>
      </c>
      <c r="D1204" t="s">
        <v>159</v>
      </c>
      <c r="E1204" t="s">
        <v>159</v>
      </c>
      <c r="F1204">
        <v>7826</v>
      </c>
      <c r="G1204" t="s">
        <v>686</v>
      </c>
      <c r="I1204">
        <v>197.4</v>
      </c>
      <c r="J1204">
        <v>200.5</v>
      </c>
      <c r="K1204">
        <v>203.7</v>
      </c>
      <c r="L1204">
        <v>206.9</v>
      </c>
      <c r="M1204">
        <v>210.1</v>
      </c>
      <c r="N1204" t="s">
        <v>988</v>
      </c>
    </row>
    <row r="1205" spans="1:14" x14ac:dyDescent="0.3">
      <c r="A1205">
        <v>1427</v>
      </c>
      <c r="B1205" t="s">
        <v>1650</v>
      </c>
      <c r="C1205" t="s">
        <v>2256</v>
      </c>
      <c r="D1205" t="s">
        <v>159</v>
      </c>
      <c r="E1205" t="s">
        <v>159</v>
      </c>
      <c r="F1205">
        <v>6005</v>
      </c>
      <c r="G1205" t="s">
        <v>698</v>
      </c>
      <c r="I1205">
        <v>901</v>
      </c>
      <c r="J1205">
        <v>994</v>
      </c>
      <c r="K1205">
        <v>1087</v>
      </c>
      <c r="L1205">
        <v>1179</v>
      </c>
      <c r="M1205">
        <v>1272</v>
      </c>
      <c r="N1205" t="s">
        <v>988</v>
      </c>
    </row>
    <row r="1206" spans="1:14" x14ac:dyDescent="0.3">
      <c r="A1206">
        <v>1427</v>
      </c>
      <c r="B1206" t="s">
        <v>1650</v>
      </c>
      <c r="C1206" t="s">
        <v>2256</v>
      </c>
      <c r="D1206" t="s">
        <v>159</v>
      </c>
      <c r="E1206" t="s">
        <v>159</v>
      </c>
      <c r="F1206">
        <v>6005</v>
      </c>
      <c r="G1206" t="s">
        <v>700</v>
      </c>
      <c r="H1206" t="s">
        <v>1272</v>
      </c>
      <c r="I1206">
        <v>353</v>
      </c>
      <c r="J1206">
        <v>389</v>
      </c>
      <c r="K1206">
        <v>425</v>
      </c>
      <c r="L1206">
        <v>462</v>
      </c>
      <c r="M1206">
        <v>498</v>
      </c>
      <c r="N1206" t="s">
        <v>988</v>
      </c>
    </row>
    <row r="1207" spans="1:14" x14ac:dyDescent="0.3">
      <c r="A1207">
        <v>1427</v>
      </c>
      <c r="B1207" t="s">
        <v>1650</v>
      </c>
      <c r="C1207" t="s">
        <v>2256</v>
      </c>
      <c r="D1207" t="s">
        <v>159</v>
      </c>
      <c r="E1207" t="s">
        <v>159</v>
      </c>
      <c r="F1207">
        <v>6005</v>
      </c>
      <c r="G1207" t="s">
        <v>702</v>
      </c>
      <c r="I1207">
        <v>178</v>
      </c>
      <c r="J1207">
        <v>196</v>
      </c>
      <c r="K1207">
        <v>215</v>
      </c>
      <c r="L1207">
        <v>233</v>
      </c>
      <c r="M1207">
        <v>251</v>
      </c>
      <c r="N1207" t="s">
        <v>988</v>
      </c>
    </row>
    <row r="1208" spans="1:14" x14ac:dyDescent="0.3">
      <c r="A1208">
        <v>1427</v>
      </c>
      <c r="B1208" t="s">
        <v>1650</v>
      </c>
      <c r="C1208" t="s">
        <v>2256</v>
      </c>
      <c r="D1208" t="s">
        <v>159</v>
      </c>
      <c r="E1208" t="s">
        <v>159</v>
      </c>
      <c r="F1208">
        <v>6005</v>
      </c>
      <c r="G1208" t="s">
        <v>696</v>
      </c>
      <c r="I1208">
        <v>2242</v>
      </c>
      <c r="J1208">
        <v>2473</v>
      </c>
      <c r="K1208">
        <v>2703</v>
      </c>
      <c r="L1208">
        <v>2934</v>
      </c>
      <c r="M1208">
        <v>3165</v>
      </c>
      <c r="N1208" t="s">
        <v>988</v>
      </c>
    </row>
    <row r="1209" spans="1:14" x14ac:dyDescent="0.3">
      <c r="A1209">
        <v>1427</v>
      </c>
      <c r="B1209" t="s">
        <v>1650</v>
      </c>
      <c r="C1209" t="s">
        <v>2256</v>
      </c>
      <c r="D1209" t="s">
        <v>159</v>
      </c>
      <c r="E1209" t="s">
        <v>159</v>
      </c>
      <c r="F1209">
        <v>6005</v>
      </c>
      <c r="G1209" t="s">
        <v>686</v>
      </c>
      <c r="I1209">
        <v>372</v>
      </c>
      <c r="J1209">
        <v>410</v>
      </c>
      <c r="K1209">
        <v>448</v>
      </c>
      <c r="L1209">
        <v>486</v>
      </c>
      <c r="M1209">
        <v>523</v>
      </c>
      <c r="N1209" t="s">
        <v>988</v>
      </c>
    </row>
    <row r="1210" spans="1:14" x14ac:dyDescent="0.3">
      <c r="A1210">
        <v>1443</v>
      </c>
      <c r="B1210" t="s">
        <v>1651</v>
      </c>
      <c r="C1210" t="s">
        <v>2256</v>
      </c>
      <c r="D1210" t="s">
        <v>159</v>
      </c>
      <c r="E1210" t="s">
        <v>159</v>
      </c>
      <c r="F1210">
        <v>7974</v>
      </c>
      <c r="G1210" t="s">
        <v>696</v>
      </c>
      <c r="I1210">
        <v>942</v>
      </c>
      <c r="J1210">
        <v>954</v>
      </c>
      <c r="K1210">
        <v>962</v>
      </c>
      <c r="L1210">
        <v>965</v>
      </c>
      <c r="M1210">
        <v>965</v>
      </c>
      <c r="N1210" t="s">
        <v>987</v>
      </c>
    </row>
    <row r="1211" spans="1:14" x14ac:dyDescent="0.3">
      <c r="A1211">
        <v>1443</v>
      </c>
      <c r="B1211" t="s">
        <v>1651</v>
      </c>
      <c r="C1211" t="s">
        <v>2256</v>
      </c>
      <c r="D1211" t="s">
        <v>159</v>
      </c>
      <c r="E1211" t="s">
        <v>159</v>
      </c>
      <c r="F1211">
        <v>7974</v>
      </c>
      <c r="G1211" t="s">
        <v>692</v>
      </c>
      <c r="H1211" t="s">
        <v>2362</v>
      </c>
      <c r="I1211">
        <v>60</v>
      </c>
      <c r="J1211">
        <v>60</v>
      </c>
      <c r="K1211">
        <v>60</v>
      </c>
      <c r="L1211">
        <v>60</v>
      </c>
      <c r="M1211">
        <v>60</v>
      </c>
      <c r="N1211" t="s">
        <v>987</v>
      </c>
    </row>
    <row r="1212" spans="1:14" x14ac:dyDescent="0.3">
      <c r="A1212">
        <v>1443</v>
      </c>
      <c r="B1212" t="s">
        <v>1651</v>
      </c>
      <c r="C1212" t="s">
        <v>2256</v>
      </c>
      <c r="D1212" t="s">
        <v>159</v>
      </c>
      <c r="E1212" t="s">
        <v>159</v>
      </c>
      <c r="F1212">
        <v>7974</v>
      </c>
      <c r="G1212" t="s">
        <v>691</v>
      </c>
      <c r="H1212" t="s">
        <v>2363</v>
      </c>
      <c r="I1212">
        <v>23</v>
      </c>
      <c r="J1212">
        <v>24</v>
      </c>
      <c r="K1212">
        <v>25</v>
      </c>
      <c r="L1212">
        <v>25</v>
      </c>
      <c r="M1212">
        <v>25</v>
      </c>
      <c r="N1212" t="s">
        <v>987</v>
      </c>
    </row>
    <row r="1213" spans="1:14" x14ac:dyDescent="0.3">
      <c r="A1213">
        <v>1443</v>
      </c>
      <c r="B1213" t="s">
        <v>1651</v>
      </c>
      <c r="C1213" t="s">
        <v>2256</v>
      </c>
      <c r="D1213" t="s">
        <v>159</v>
      </c>
      <c r="E1213" t="s">
        <v>159</v>
      </c>
      <c r="F1213">
        <v>7974</v>
      </c>
      <c r="G1213" t="s">
        <v>698</v>
      </c>
      <c r="I1213">
        <v>170</v>
      </c>
      <c r="J1213">
        <v>216</v>
      </c>
      <c r="K1213">
        <v>266</v>
      </c>
      <c r="L1213">
        <v>320</v>
      </c>
      <c r="M1213">
        <v>320</v>
      </c>
      <c r="N1213" t="s">
        <v>987</v>
      </c>
    </row>
    <row r="1214" spans="1:14" x14ac:dyDescent="0.3">
      <c r="A1214">
        <v>1443</v>
      </c>
      <c r="B1214" t="s">
        <v>1651</v>
      </c>
      <c r="C1214" t="s">
        <v>2256</v>
      </c>
      <c r="D1214" t="s">
        <v>159</v>
      </c>
      <c r="E1214" t="s">
        <v>159</v>
      </c>
      <c r="F1214">
        <v>7974</v>
      </c>
      <c r="G1214" t="s">
        <v>700</v>
      </c>
      <c r="I1214">
        <v>755</v>
      </c>
      <c r="J1214">
        <v>747</v>
      </c>
      <c r="K1214">
        <v>739</v>
      </c>
      <c r="L1214">
        <v>731</v>
      </c>
      <c r="M1214">
        <v>731</v>
      </c>
      <c r="N1214" t="s">
        <v>987</v>
      </c>
    </row>
    <row r="1215" spans="1:14" x14ac:dyDescent="0.3">
      <c r="A1215">
        <v>1443</v>
      </c>
      <c r="B1215" t="s">
        <v>1651</v>
      </c>
      <c r="C1215" t="s">
        <v>2256</v>
      </c>
      <c r="D1215" t="s">
        <v>159</v>
      </c>
      <c r="E1215" t="s">
        <v>159</v>
      </c>
      <c r="F1215">
        <v>7974</v>
      </c>
      <c r="G1215" t="s">
        <v>686</v>
      </c>
      <c r="I1215">
        <v>149</v>
      </c>
      <c r="J1215">
        <v>153</v>
      </c>
      <c r="K1215">
        <v>157</v>
      </c>
      <c r="L1215">
        <v>161</v>
      </c>
      <c r="M1215">
        <v>161</v>
      </c>
      <c r="N1215" t="s">
        <v>987</v>
      </c>
    </row>
    <row r="1216" spans="1:14" x14ac:dyDescent="0.3">
      <c r="A1216">
        <v>1444</v>
      </c>
      <c r="B1216" t="s">
        <v>1653</v>
      </c>
      <c r="C1216" t="s">
        <v>2256</v>
      </c>
      <c r="D1216" t="s">
        <v>1203</v>
      </c>
      <c r="E1216" t="s">
        <v>1204</v>
      </c>
      <c r="F1216">
        <v>7975</v>
      </c>
      <c r="G1216" t="s">
        <v>686</v>
      </c>
      <c r="I1216">
        <v>137.59</v>
      </c>
      <c r="J1216">
        <v>137.59</v>
      </c>
      <c r="K1216">
        <v>137.59</v>
      </c>
      <c r="L1216">
        <v>137.59</v>
      </c>
      <c r="M1216">
        <v>137.59</v>
      </c>
      <c r="N1216" t="s">
        <v>987</v>
      </c>
    </row>
    <row r="1217" spans="1:14" x14ac:dyDescent="0.3">
      <c r="A1217">
        <v>1444</v>
      </c>
      <c r="B1217" t="s">
        <v>1653</v>
      </c>
      <c r="C1217" t="s">
        <v>2256</v>
      </c>
      <c r="D1217" t="s">
        <v>1203</v>
      </c>
      <c r="E1217" t="s">
        <v>1204</v>
      </c>
      <c r="F1217">
        <v>7975</v>
      </c>
      <c r="G1217" t="s">
        <v>700</v>
      </c>
      <c r="I1217">
        <v>98.07</v>
      </c>
      <c r="J1217">
        <v>108.17</v>
      </c>
      <c r="K1217">
        <v>119.31</v>
      </c>
      <c r="L1217">
        <v>131.6</v>
      </c>
      <c r="M1217">
        <v>145.15</v>
      </c>
      <c r="N1217" t="s">
        <v>987</v>
      </c>
    </row>
    <row r="1218" spans="1:14" x14ac:dyDescent="0.3">
      <c r="A1218">
        <v>1444</v>
      </c>
      <c r="B1218" t="s">
        <v>1653</v>
      </c>
      <c r="C1218" t="s">
        <v>2256</v>
      </c>
      <c r="D1218" t="s">
        <v>1203</v>
      </c>
      <c r="E1218" t="s">
        <v>1204</v>
      </c>
      <c r="F1218">
        <v>7975</v>
      </c>
      <c r="G1218" t="s">
        <v>698</v>
      </c>
      <c r="I1218">
        <v>63.85</v>
      </c>
      <c r="J1218">
        <v>70.430000000000007</v>
      </c>
      <c r="K1218">
        <v>77.680000000000007</v>
      </c>
      <c r="L1218">
        <v>85.68</v>
      </c>
      <c r="M1218">
        <v>94.51</v>
      </c>
      <c r="N1218" t="s">
        <v>987</v>
      </c>
    </row>
    <row r="1219" spans="1:14" x14ac:dyDescent="0.3">
      <c r="A1219">
        <v>1444</v>
      </c>
      <c r="B1219" t="s">
        <v>1653</v>
      </c>
      <c r="C1219" t="s">
        <v>2256</v>
      </c>
      <c r="D1219" t="s">
        <v>1203</v>
      </c>
      <c r="E1219" t="s">
        <v>1204</v>
      </c>
      <c r="F1219">
        <v>7975</v>
      </c>
      <c r="G1219" t="s">
        <v>696</v>
      </c>
      <c r="I1219">
        <v>639.33000000000004</v>
      </c>
      <c r="J1219">
        <v>705.18</v>
      </c>
      <c r="K1219">
        <v>777.81</v>
      </c>
      <c r="L1219">
        <v>857.92</v>
      </c>
      <c r="M1219">
        <v>946.28</v>
      </c>
      <c r="N1219" t="s">
        <v>987</v>
      </c>
    </row>
    <row r="1220" spans="1:14" x14ac:dyDescent="0.3">
      <c r="A1220">
        <v>1444</v>
      </c>
      <c r="B1220" t="s">
        <v>1653</v>
      </c>
      <c r="C1220" t="s">
        <v>2256</v>
      </c>
      <c r="D1220" t="s">
        <v>1203</v>
      </c>
      <c r="E1220" t="s">
        <v>1204</v>
      </c>
      <c r="F1220">
        <v>7975</v>
      </c>
      <c r="G1220" t="s">
        <v>691</v>
      </c>
      <c r="I1220">
        <v>0.96</v>
      </c>
      <c r="J1220">
        <v>1.06</v>
      </c>
      <c r="K1220">
        <v>1.17</v>
      </c>
      <c r="L1220">
        <v>1.29</v>
      </c>
      <c r="M1220">
        <v>1.42</v>
      </c>
      <c r="N1220" t="s">
        <v>987</v>
      </c>
    </row>
    <row r="1221" spans="1:14" x14ac:dyDescent="0.3">
      <c r="A1221">
        <v>1444</v>
      </c>
      <c r="B1221" t="s">
        <v>1653</v>
      </c>
      <c r="C1221" t="s">
        <v>2256</v>
      </c>
      <c r="D1221" t="s">
        <v>1203</v>
      </c>
      <c r="E1221" t="s">
        <v>1204</v>
      </c>
      <c r="F1221">
        <v>7975</v>
      </c>
      <c r="G1221" t="s">
        <v>702</v>
      </c>
      <c r="I1221">
        <v>67.12</v>
      </c>
      <c r="J1221">
        <v>74.03</v>
      </c>
      <c r="K1221">
        <v>81.66</v>
      </c>
      <c r="L1221">
        <v>90.07</v>
      </c>
      <c r="M1221">
        <v>99.34</v>
      </c>
      <c r="N1221" t="s">
        <v>987</v>
      </c>
    </row>
    <row r="1222" spans="1:14" x14ac:dyDescent="0.3">
      <c r="A1222">
        <v>1444</v>
      </c>
      <c r="B1222" t="s">
        <v>1653</v>
      </c>
      <c r="C1222" t="s">
        <v>2256</v>
      </c>
      <c r="D1222" t="s">
        <v>1203</v>
      </c>
      <c r="E1222" t="s">
        <v>1204</v>
      </c>
      <c r="F1222">
        <v>7975</v>
      </c>
      <c r="G1222" t="s">
        <v>701</v>
      </c>
      <c r="I1222">
        <v>2044.68</v>
      </c>
      <c r="J1222">
        <v>2255.2800000000002</v>
      </c>
      <c r="K1222">
        <v>2487.56</v>
      </c>
      <c r="L1222">
        <v>2743.77</v>
      </c>
      <c r="M1222">
        <v>3026.37</v>
      </c>
      <c r="N1222" t="s">
        <v>987</v>
      </c>
    </row>
    <row r="1223" spans="1:14" x14ac:dyDescent="0.3">
      <c r="A1223">
        <v>1450</v>
      </c>
      <c r="B1223" t="s">
        <v>1660</v>
      </c>
      <c r="C1223" t="s">
        <v>2256</v>
      </c>
      <c r="D1223" t="s">
        <v>1203</v>
      </c>
      <c r="E1223" t="s">
        <v>1204</v>
      </c>
      <c r="F1223">
        <v>5914</v>
      </c>
      <c r="G1223" t="s">
        <v>696</v>
      </c>
      <c r="I1223">
        <v>7780</v>
      </c>
      <c r="J1223">
        <v>8231</v>
      </c>
      <c r="K1223">
        <v>8708</v>
      </c>
      <c r="L1223">
        <v>9212</v>
      </c>
      <c r="M1223">
        <v>9745</v>
      </c>
      <c r="N1223" t="s">
        <v>988</v>
      </c>
    </row>
    <row r="1224" spans="1:14" x14ac:dyDescent="0.3">
      <c r="A1224">
        <v>1450</v>
      </c>
      <c r="B1224" t="s">
        <v>1660</v>
      </c>
      <c r="C1224" t="s">
        <v>2256</v>
      </c>
      <c r="D1224" t="s">
        <v>1203</v>
      </c>
      <c r="E1224" t="s">
        <v>1204</v>
      </c>
      <c r="F1224">
        <v>5914</v>
      </c>
      <c r="G1224" t="s">
        <v>698</v>
      </c>
      <c r="I1224">
        <v>2170</v>
      </c>
      <c r="J1224">
        <v>2296</v>
      </c>
      <c r="K1224">
        <v>2429</v>
      </c>
      <c r="L1224">
        <v>2570</v>
      </c>
      <c r="M1224">
        <v>2718</v>
      </c>
      <c r="N1224" t="s">
        <v>988</v>
      </c>
    </row>
    <row r="1225" spans="1:14" x14ac:dyDescent="0.3">
      <c r="A1225">
        <v>1450</v>
      </c>
      <c r="B1225" t="s">
        <v>1660</v>
      </c>
      <c r="C1225" t="s">
        <v>2256</v>
      </c>
      <c r="D1225" t="s">
        <v>1203</v>
      </c>
      <c r="E1225" t="s">
        <v>1204</v>
      </c>
      <c r="F1225">
        <v>5914</v>
      </c>
      <c r="G1225" t="s">
        <v>700</v>
      </c>
      <c r="I1225">
        <v>3108</v>
      </c>
      <c r="J1225">
        <v>3288</v>
      </c>
      <c r="K1225">
        <v>3478</v>
      </c>
      <c r="L1225">
        <v>3679</v>
      </c>
      <c r="M1225">
        <v>3893</v>
      </c>
      <c r="N1225" t="s">
        <v>988</v>
      </c>
    </row>
    <row r="1226" spans="1:14" x14ac:dyDescent="0.3">
      <c r="A1226">
        <v>1450</v>
      </c>
      <c r="B1226" t="s">
        <v>1660</v>
      </c>
      <c r="C1226" t="s">
        <v>2256</v>
      </c>
      <c r="D1226" t="s">
        <v>1203</v>
      </c>
      <c r="E1226" t="s">
        <v>1204</v>
      </c>
      <c r="F1226">
        <v>5914</v>
      </c>
      <c r="G1226" t="s">
        <v>703</v>
      </c>
      <c r="I1226">
        <v>879</v>
      </c>
      <c r="J1226">
        <v>930</v>
      </c>
      <c r="K1226">
        <v>983</v>
      </c>
      <c r="L1226">
        <v>1040</v>
      </c>
      <c r="M1226">
        <v>1100</v>
      </c>
      <c r="N1226" t="s">
        <v>988</v>
      </c>
    </row>
    <row r="1227" spans="1:14" x14ac:dyDescent="0.3">
      <c r="A1227">
        <v>1450</v>
      </c>
      <c r="B1227" t="s">
        <v>1660</v>
      </c>
      <c r="C1227" t="s">
        <v>2256</v>
      </c>
      <c r="D1227" t="s">
        <v>1203</v>
      </c>
      <c r="E1227" t="s">
        <v>1204</v>
      </c>
      <c r="F1227">
        <v>5914</v>
      </c>
      <c r="G1227" t="s">
        <v>701</v>
      </c>
      <c r="I1227">
        <v>270</v>
      </c>
      <c r="J1227">
        <v>285</v>
      </c>
      <c r="K1227">
        <v>302</v>
      </c>
      <c r="L1227">
        <v>319</v>
      </c>
      <c r="M1227">
        <v>338</v>
      </c>
      <c r="N1227" t="s">
        <v>988</v>
      </c>
    </row>
    <row r="1228" spans="1:14" x14ac:dyDescent="0.3">
      <c r="A1228">
        <v>1450</v>
      </c>
      <c r="B1228" t="s">
        <v>1660</v>
      </c>
      <c r="C1228" t="s">
        <v>2256</v>
      </c>
      <c r="D1228" t="s">
        <v>1203</v>
      </c>
      <c r="E1228" t="s">
        <v>1204</v>
      </c>
      <c r="F1228">
        <v>5914</v>
      </c>
      <c r="G1228" t="s">
        <v>686</v>
      </c>
      <c r="I1228">
        <v>456</v>
      </c>
      <c r="J1228">
        <v>482</v>
      </c>
      <c r="K1228">
        <v>510</v>
      </c>
      <c r="L1228">
        <v>540</v>
      </c>
      <c r="M1228">
        <v>571</v>
      </c>
      <c r="N1228" t="s">
        <v>988</v>
      </c>
    </row>
    <row r="1229" spans="1:14" x14ac:dyDescent="0.3">
      <c r="A1229">
        <v>1452</v>
      </c>
      <c r="B1229" t="s">
        <v>1661</v>
      </c>
      <c r="C1229" t="s">
        <v>2256</v>
      </c>
      <c r="D1229" t="s">
        <v>1203</v>
      </c>
      <c r="E1229" t="s">
        <v>1204</v>
      </c>
      <c r="F1229">
        <v>5740</v>
      </c>
      <c r="G1229" t="s">
        <v>698</v>
      </c>
      <c r="H1229" t="s">
        <v>698</v>
      </c>
      <c r="I1229">
        <v>855</v>
      </c>
      <c r="J1229">
        <v>881</v>
      </c>
      <c r="K1229">
        <v>907</v>
      </c>
      <c r="L1229">
        <v>933</v>
      </c>
      <c r="M1229">
        <v>958</v>
      </c>
      <c r="N1229" t="s">
        <v>988</v>
      </c>
    </row>
    <row r="1230" spans="1:14" x14ac:dyDescent="0.3">
      <c r="A1230">
        <v>1452</v>
      </c>
      <c r="B1230" t="s">
        <v>1661</v>
      </c>
      <c r="C1230" t="s">
        <v>2256</v>
      </c>
      <c r="D1230" t="s">
        <v>1203</v>
      </c>
      <c r="E1230" t="s">
        <v>1204</v>
      </c>
      <c r="F1230">
        <v>5740</v>
      </c>
      <c r="G1230" t="s">
        <v>700</v>
      </c>
      <c r="H1230" t="s">
        <v>1404</v>
      </c>
      <c r="I1230">
        <v>622</v>
      </c>
      <c r="J1230">
        <v>641</v>
      </c>
      <c r="K1230">
        <v>660</v>
      </c>
      <c r="L1230">
        <v>678</v>
      </c>
      <c r="M1230">
        <v>696</v>
      </c>
      <c r="N1230" t="s">
        <v>988</v>
      </c>
    </row>
    <row r="1231" spans="1:14" x14ac:dyDescent="0.3">
      <c r="A1231">
        <v>1452</v>
      </c>
      <c r="B1231" t="s">
        <v>1661</v>
      </c>
      <c r="C1231" t="s">
        <v>2256</v>
      </c>
      <c r="D1231" t="s">
        <v>1203</v>
      </c>
      <c r="E1231" t="s">
        <v>1204</v>
      </c>
      <c r="F1231">
        <v>5740</v>
      </c>
      <c r="G1231" t="s">
        <v>702</v>
      </c>
      <c r="H1231" t="s">
        <v>1663</v>
      </c>
      <c r="I1231">
        <v>947</v>
      </c>
      <c r="J1231">
        <v>976</v>
      </c>
      <c r="K1231">
        <v>1005</v>
      </c>
      <c r="L1231">
        <v>1033</v>
      </c>
      <c r="M1231">
        <v>1060</v>
      </c>
      <c r="N1231" t="s">
        <v>988</v>
      </c>
    </row>
    <row r="1232" spans="1:14" x14ac:dyDescent="0.3">
      <c r="A1232">
        <v>1452</v>
      </c>
      <c r="B1232" t="s">
        <v>1661</v>
      </c>
      <c r="C1232" t="s">
        <v>2256</v>
      </c>
      <c r="D1232" t="s">
        <v>1203</v>
      </c>
      <c r="E1232" t="s">
        <v>1204</v>
      </c>
      <c r="F1232">
        <v>5740</v>
      </c>
      <c r="G1232" t="s">
        <v>687</v>
      </c>
      <c r="H1232" t="s">
        <v>687</v>
      </c>
      <c r="I1232">
        <v>0</v>
      </c>
      <c r="J1232">
        <v>0</v>
      </c>
      <c r="K1232">
        <v>0</v>
      </c>
      <c r="L1232">
        <v>0</v>
      </c>
      <c r="M1232">
        <v>0</v>
      </c>
      <c r="N1232" t="s">
        <v>988</v>
      </c>
    </row>
    <row r="1233" spans="1:14" x14ac:dyDescent="0.3">
      <c r="A1233">
        <v>1452</v>
      </c>
      <c r="B1233" t="s">
        <v>1661</v>
      </c>
      <c r="C1233" t="s">
        <v>2256</v>
      </c>
      <c r="D1233" t="s">
        <v>1203</v>
      </c>
      <c r="E1233" t="s">
        <v>1204</v>
      </c>
      <c r="F1233">
        <v>5740</v>
      </c>
      <c r="G1233" t="s">
        <v>686</v>
      </c>
      <c r="H1233" t="s">
        <v>1482</v>
      </c>
      <c r="I1233">
        <v>647</v>
      </c>
      <c r="J1233">
        <v>667</v>
      </c>
      <c r="K1233">
        <v>687</v>
      </c>
      <c r="L1233">
        <v>705</v>
      </c>
      <c r="M1233">
        <v>724</v>
      </c>
      <c r="N1233" t="s">
        <v>988</v>
      </c>
    </row>
    <row r="1234" spans="1:14" x14ac:dyDescent="0.3">
      <c r="A1234">
        <v>1452</v>
      </c>
      <c r="B1234" t="s">
        <v>1661</v>
      </c>
      <c r="C1234" t="s">
        <v>2256</v>
      </c>
      <c r="D1234" t="s">
        <v>1203</v>
      </c>
      <c r="E1234" t="s">
        <v>1204</v>
      </c>
      <c r="F1234">
        <v>5740</v>
      </c>
      <c r="G1234" t="s">
        <v>696</v>
      </c>
      <c r="H1234" t="s">
        <v>1662</v>
      </c>
      <c r="I1234">
        <v>2557</v>
      </c>
      <c r="J1234">
        <v>2633</v>
      </c>
      <c r="K1234">
        <v>2708</v>
      </c>
      <c r="L1234">
        <v>2781</v>
      </c>
      <c r="M1234">
        <v>2854</v>
      </c>
      <c r="N1234" t="s">
        <v>988</v>
      </c>
    </row>
    <row r="1235" spans="1:14" x14ac:dyDescent="0.3">
      <c r="A1235">
        <v>1456</v>
      </c>
      <c r="B1235" t="s">
        <v>1664</v>
      </c>
      <c r="C1235" t="s">
        <v>2256</v>
      </c>
      <c r="D1235" t="s">
        <v>159</v>
      </c>
      <c r="E1235" t="s">
        <v>159</v>
      </c>
      <c r="F1235">
        <v>7786</v>
      </c>
      <c r="G1235" t="s">
        <v>703</v>
      </c>
      <c r="I1235">
        <v>182</v>
      </c>
      <c r="J1235">
        <v>182</v>
      </c>
      <c r="K1235">
        <v>182</v>
      </c>
      <c r="L1235">
        <v>181</v>
      </c>
      <c r="M1235">
        <v>181</v>
      </c>
      <c r="N1235" t="s">
        <v>988</v>
      </c>
    </row>
    <row r="1236" spans="1:14" x14ac:dyDescent="0.3">
      <c r="A1236">
        <v>1456</v>
      </c>
      <c r="B1236" t="s">
        <v>1664</v>
      </c>
      <c r="C1236" t="s">
        <v>2256</v>
      </c>
      <c r="D1236" t="s">
        <v>159</v>
      </c>
      <c r="E1236" t="s">
        <v>159</v>
      </c>
      <c r="F1236">
        <v>7786</v>
      </c>
      <c r="G1236" t="s">
        <v>686</v>
      </c>
      <c r="I1236">
        <v>128</v>
      </c>
      <c r="J1236">
        <v>128</v>
      </c>
      <c r="K1236">
        <v>128</v>
      </c>
      <c r="L1236">
        <v>128</v>
      </c>
      <c r="M1236">
        <v>128</v>
      </c>
      <c r="N1236" t="s">
        <v>988</v>
      </c>
    </row>
    <row r="1237" spans="1:14" x14ac:dyDescent="0.3">
      <c r="A1237">
        <v>1456</v>
      </c>
      <c r="B1237" t="s">
        <v>1664</v>
      </c>
      <c r="C1237" t="s">
        <v>2256</v>
      </c>
      <c r="D1237" t="s">
        <v>159</v>
      </c>
      <c r="E1237" t="s">
        <v>159</v>
      </c>
      <c r="F1237">
        <v>7786</v>
      </c>
      <c r="G1237" t="s">
        <v>698</v>
      </c>
      <c r="I1237">
        <v>109</v>
      </c>
      <c r="J1237">
        <v>109</v>
      </c>
      <c r="K1237">
        <v>109</v>
      </c>
      <c r="L1237">
        <v>109</v>
      </c>
      <c r="M1237">
        <v>108</v>
      </c>
      <c r="N1237" t="s">
        <v>988</v>
      </c>
    </row>
    <row r="1238" spans="1:14" x14ac:dyDescent="0.3">
      <c r="A1238">
        <v>1456</v>
      </c>
      <c r="B1238" t="s">
        <v>1664</v>
      </c>
      <c r="C1238" t="s">
        <v>2256</v>
      </c>
      <c r="D1238" t="s">
        <v>159</v>
      </c>
      <c r="E1238" t="s">
        <v>159</v>
      </c>
      <c r="F1238">
        <v>7786</v>
      </c>
      <c r="G1238" t="s">
        <v>700</v>
      </c>
      <c r="I1238">
        <v>238</v>
      </c>
      <c r="J1238">
        <v>238</v>
      </c>
      <c r="K1238">
        <v>238</v>
      </c>
      <c r="L1238">
        <v>238</v>
      </c>
      <c r="M1238">
        <v>238</v>
      </c>
      <c r="N1238" t="s">
        <v>988</v>
      </c>
    </row>
    <row r="1239" spans="1:14" x14ac:dyDescent="0.3">
      <c r="A1239">
        <v>1456</v>
      </c>
      <c r="B1239" t="s">
        <v>1664</v>
      </c>
      <c r="C1239" t="s">
        <v>2256</v>
      </c>
      <c r="D1239" t="s">
        <v>159</v>
      </c>
      <c r="E1239" t="s">
        <v>159</v>
      </c>
      <c r="F1239">
        <v>7786</v>
      </c>
      <c r="G1239" t="s">
        <v>696</v>
      </c>
      <c r="I1239">
        <v>1559</v>
      </c>
      <c r="J1239">
        <v>1558</v>
      </c>
      <c r="K1239">
        <v>1557</v>
      </c>
      <c r="L1239">
        <v>1556</v>
      </c>
      <c r="M1239">
        <v>1554</v>
      </c>
      <c r="N1239" t="s">
        <v>988</v>
      </c>
    </row>
    <row r="1240" spans="1:14" x14ac:dyDescent="0.3">
      <c r="A1240">
        <v>1459</v>
      </c>
      <c r="B1240" t="s">
        <v>1665</v>
      </c>
      <c r="C1240" t="s">
        <v>2256</v>
      </c>
      <c r="D1240" t="s">
        <v>159</v>
      </c>
      <c r="E1240" t="s">
        <v>159</v>
      </c>
      <c r="F1240">
        <v>5681</v>
      </c>
      <c r="G1240" t="s">
        <v>696</v>
      </c>
      <c r="I1240">
        <v>2286</v>
      </c>
      <c r="J1240">
        <v>2307</v>
      </c>
      <c r="K1240">
        <v>2328</v>
      </c>
      <c r="L1240">
        <v>2348</v>
      </c>
      <c r="M1240">
        <v>2370</v>
      </c>
      <c r="N1240" t="s">
        <v>988</v>
      </c>
    </row>
    <row r="1241" spans="1:14" x14ac:dyDescent="0.3">
      <c r="A1241">
        <v>1459</v>
      </c>
      <c r="B1241" t="s">
        <v>1665</v>
      </c>
      <c r="C1241" t="s">
        <v>2256</v>
      </c>
      <c r="D1241" t="s">
        <v>159</v>
      </c>
      <c r="E1241" t="s">
        <v>159</v>
      </c>
      <c r="F1241">
        <v>5681</v>
      </c>
      <c r="G1241" t="s">
        <v>687</v>
      </c>
      <c r="I1241">
        <v>326</v>
      </c>
      <c r="J1241">
        <v>329</v>
      </c>
      <c r="K1241">
        <v>332</v>
      </c>
      <c r="L1241">
        <v>335</v>
      </c>
      <c r="M1241">
        <v>338</v>
      </c>
      <c r="N1241" t="s">
        <v>988</v>
      </c>
    </row>
    <row r="1242" spans="1:14" x14ac:dyDescent="0.3">
      <c r="A1242">
        <v>1459</v>
      </c>
      <c r="B1242" t="s">
        <v>1665</v>
      </c>
      <c r="C1242" t="s">
        <v>2256</v>
      </c>
      <c r="D1242" t="s">
        <v>159</v>
      </c>
      <c r="E1242" t="s">
        <v>159</v>
      </c>
      <c r="F1242">
        <v>5681</v>
      </c>
      <c r="G1242" t="s">
        <v>700</v>
      </c>
      <c r="I1242">
        <v>800</v>
      </c>
      <c r="J1242">
        <v>807</v>
      </c>
      <c r="K1242">
        <v>815</v>
      </c>
      <c r="L1242">
        <v>822</v>
      </c>
      <c r="M1242">
        <v>829</v>
      </c>
      <c r="N1242" t="s">
        <v>988</v>
      </c>
    </row>
    <row r="1243" spans="1:14" x14ac:dyDescent="0.3">
      <c r="A1243">
        <v>1459</v>
      </c>
      <c r="B1243" t="s">
        <v>1665</v>
      </c>
      <c r="C1243" t="s">
        <v>2256</v>
      </c>
      <c r="D1243" t="s">
        <v>159</v>
      </c>
      <c r="E1243" t="s">
        <v>159</v>
      </c>
      <c r="F1243">
        <v>5681</v>
      </c>
      <c r="G1243" t="s">
        <v>701</v>
      </c>
      <c r="I1243">
        <v>89</v>
      </c>
      <c r="J1243">
        <v>90</v>
      </c>
      <c r="K1243">
        <v>91</v>
      </c>
      <c r="L1243">
        <v>91</v>
      </c>
      <c r="M1243">
        <v>92</v>
      </c>
      <c r="N1243" t="s">
        <v>988</v>
      </c>
    </row>
    <row r="1244" spans="1:14" x14ac:dyDescent="0.3">
      <c r="A1244">
        <v>1459</v>
      </c>
      <c r="B1244" t="s">
        <v>1665</v>
      </c>
      <c r="C1244" t="s">
        <v>2256</v>
      </c>
      <c r="D1244" t="s">
        <v>159</v>
      </c>
      <c r="E1244" t="s">
        <v>159</v>
      </c>
      <c r="F1244">
        <v>5681</v>
      </c>
      <c r="G1244" t="s">
        <v>702</v>
      </c>
      <c r="I1244">
        <v>328</v>
      </c>
      <c r="J1244">
        <v>331</v>
      </c>
      <c r="K1244">
        <v>334</v>
      </c>
      <c r="L1244">
        <v>337</v>
      </c>
      <c r="M1244">
        <v>340</v>
      </c>
      <c r="N1244" t="s">
        <v>988</v>
      </c>
    </row>
    <row r="1245" spans="1:14" x14ac:dyDescent="0.3">
      <c r="A1245">
        <v>1459</v>
      </c>
      <c r="B1245" t="s">
        <v>1665</v>
      </c>
      <c r="C1245" t="s">
        <v>2256</v>
      </c>
      <c r="D1245" t="s">
        <v>159</v>
      </c>
      <c r="E1245" t="s">
        <v>159</v>
      </c>
      <c r="F1245">
        <v>5681</v>
      </c>
      <c r="G1245" t="s">
        <v>698</v>
      </c>
      <c r="I1245">
        <v>1305</v>
      </c>
      <c r="J1245">
        <v>1316</v>
      </c>
      <c r="K1245">
        <v>1328</v>
      </c>
      <c r="L1245">
        <v>1340</v>
      </c>
      <c r="M1245">
        <v>1352</v>
      </c>
      <c r="N1245" t="s">
        <v>988</v>
      </c>
    </row>
    <row r="1246" spans="1:14" x14ac:dyDescent="0.3">
      <c r="A1246">
        <v>1459</v>
      </c>
      <c r="B1246" t="s">
        <v>1665</v>
      </c>
      <c r="C1246" t="s">
        <v>2256</v>
      </c>
      <c r="D1246" t="s">
        <v>159</v>
      </c>
      <c r="E1246" t="s">
        <v>159</v>
      </c>
      <c r="F1246">
        <v>5681</v>
      </c>
      <c r="G1246" t="s">
        <v>686</v>
      </c>
      <c r="I1246">
        <v>454</v>
      </c>
      <c r="J1246">
        <v>458</v>
      </c>
      <c r="K1246">
        <v>462</v>
      </c>
      <c r="L1246">
        <v>467</v>
      </c>
      <c r="M1246">
        <v>471</v>
      </c>
      <c r="N1246" t="s">
        <v>988</v>
      </c>
    </row>
    <row r="1247" spans="1:14" x14ac:dyDescent="0.3">
      <c r="A1247">
        <v>1464</v>
      </c>
      <c r="B1247" t="s">
        <v>1667</v>
      </c>
      <c r="C1247" t="s">
        <v>2256</v>
      </c>
      <c r="D1247" t="s">
        <v>159</v>
      </c>
      <c r="E1247" t="s">
        <v>159</v>
      </c>
      <c r="F1247">
        <v>7899</v>
      </c>
      <c r="G1247" t="s">
        <v>701</v>
      </c>
      <c r="I1247">
        <v>584</v>
      </c>
      <c r="J1247">
        <v>574</v>
      </c>
      <c r="K1247">
        <v>565</v>
      </c>
      <c r="L1247">
        <v>556</v>
      </c>
      <c r="M1247">
        <v>553</v>
      </c>
      <c r="N1247" t="s">
        <v>988</v>
      </c>
    </row>
    <row r="1248" spans="1:14" x14ac:dyDescent="0.3">
      <c r="A1248">
        <v>1464</v>
      </c>
      <c r="B1248" t="s">
        <v>1667</v>
      </c>
      <c r="C1248" t="s">
        <v>2256</v>
      </c>
      <c r="D1248" t="s">
        <v>159</v>
      </c>
      <c r="E1248" t="s">
        <v>159</v>
      </c>
      <c r="F1248">
        <v>7899</v>
      </c>
      <c r="G1248" t="s">
        <v>700</v>
      </c>
      <c r="I1248">
        <v>10479</v>
      </c>
      <c r="J1248">
        <v>9718</v>
      </c>
      <c r="K1248">
        <v>9578</v>
      </c>
      <c r="L1248">
        <v>9283</v>
      </c>
      <c r="M1248">
        <v>9509</v>
      </c>
      <c r="N1248" t="s">
        <v>988</v>
      </c>
    </row>
    <row r="1249" spans="1:14" x14ac:dyDescent="0.3">
      <c r="A1249">
        <v>1464</v>
      </c>
      <c r="B1249" t="s">
        <v>1667</v>
      </c>
      <c r="C1249" t="s">
        <v>2256</v>
      </c>
      <c r="D1249" t="s">
        <v>159</v>
      </c>
      <c r="E1249" t="s">
        <v>159</v>
      </c>
      <c r="F1249">
        <v>7899</v>
      </c>
      <c r="G1249" t="s">
        <v>698</v>
      </c>
      <c r="I1249">
        <v>13696</v>
      </c>
      <c r="J1249">
        <v>12987</v>
      </c>
      <c r="K1249">
        <v>13256</v>
      </c>
      <c r="L1249">
        <v>13281</v>
      </c>
      <c r="M1249">
        <v>13588</v>
      </c>
      <c r="N1249" t="s">
        <v>988</v>
      </c>
    </row>
    <row r="1250" spans="1:14" x14ac:dyDescent="0.3">
      <c r="A1250">
        <v>1464</v>
      </c>
      <c r="B1250" t="s">
        <v>1667</v>
      </c>
      <c r="C1250" t="s">
        <v>2256</v>
      </c>
      <c r="D1250" t="s">
        <v>159</v>
      </c>
      <c r="E1250" t="s">
        <v>159</v>
      </c>
      <c r="F1250">
        <v>7899</v>
      </c>
      <c r="G1250" t="s">
        <v>702</v>
      </c>
      <c r="H1250" t="s">
        <v>1275</v>
      </c>
      <c r="I1250">
        <v>1859</v>
      </c>
      <c r="J1250">
        <v>1898</v>
      </c>
      <c r="K1250">
        <v>1936</v>
      </c>
      <c r="L1250">
        <v>1975</v>
      </c>
      <c r="M1250">
        <v>2012</v>
      </c>
      <c r="N1250" t="s">
        <v>988</v>
      </c>
    </row>
    <row r="1251" spans="1:14" x14ac:dyDescent="0.3">
      <c r="A1251">
        <v>1464</v>
      </c>
      <c r="B1251" t="s">
        <v>1667</v>
      </c>
      <c r="C1251" t="s">
        <v>2256</v>
      </c>
      <c r="D1251" t="s">
        <v>159</v>
      </c>
      <c r="E1251" t="s">
        <v>159</v>
      </c>
      <c r="F1251">
        <v>7899</v>
      </c>
      <c r="G1251" t="s">
        <v>686</v>
      </c>
      <c r="I1251">
        <v>1832</v>
      </c>
      <c r="J1251">
        <v>1728</v>
      </c>
      <c r="K1251">
        <v>1732</v>
      </c>
      <c r="L1251">
        <v>1709</v>
      </c>
      <c r="M1251">
        <v>1736</v>
      </c>
      <c r="N1251" t="s">
        <v>988</v>
      </c>
    </row>
    <row r="1252" spans="1:14" x14ac:dyDescent="0.3">
      <c r="A1252">
        <v>1464</v>
      </c>
      <c r="B1252" t="s">
        <v>1667</v>
      </c>
      <c r="C1252" t="s">
        <v>2256</v>
      </c>
      <c r="D1252" t="s">
        <v>159</v>
      </c>
      <c r="E1252" t="s">
        <v>159</v>
      </c>
      <c r="F1252">
        <v>7899</v>
      </c>
      <c r="G1252" t="s">
        <v>696</v>
      </c>
      <c r="I1252">
        <v>17341</v>
      </c>
      <c r="J1252">
        <v>16307</v>
      </c>
      <c r="K1252">
        <v>16231</v>
      </c>
      <c r="L1252">
        <v>15916</v>
      </c>
      <c r="M1252">
        <v>15999</v>
      </c>
      <c r="N1252" t="s">
        <v>988</v>
      </c>
    </row>
    <row r="1253" spans="1:14" x14ac:dyDescent="0.3">
      <c r="A1253">
        <v>1473</v>
      </c>
      <c r="B1253" t="s">
        <v>1669</v>
      </c>
      <c r="C1253" t="s">
        <v>2256</v>
      </c>
      <c r="D1253" t="s">
        <v>159</v>
      </c>
      <c r="E1253" t="s">
        <v>159</v>
      </c>
      <c r="F1253">
        <v>6646</v>
      </c>
      <c r="G1253" t="s">
        <v>696</v>
      </c>
      <c r="I1253">
        <v>228529</v>
      </c>
      <c r="J1253">
        <v>233366</v>
      </c>
      <c r="K1253">
        <v>237297</v>
      </c>
      <c r="L1253">
        <v>242761</v>
      </c>
      <c r="M1253">
        <v>246779</v>
      </c>
      <c r="N1253" t="s">
        <v>988</v>
      </c>
    </row>
    <row r="1254" spans="1:14" x14ac:dyDescent="0.3">
      <c r="A1254">
        <v>1473</v>
      </c>
      <c r="B1254" t="s">
        <v>1669</v>
      </c>
      <c r="C1254" t="s">
        <v>2256</v>
      </c>
      <c r="D1254" t="s">
        <v>159</v>
      </c>
      <c r="E1254" t="s">
        <v>159</v>
      </c>
      <c r="F1254">
        <v>6646</v>
      </c>
      <c r="G1254" t="s">
        <v>698</v>
      </c>
      <c r="I1254">
        <v>192452</v>
      </c>
      <c r="J1254">
        <v>205453</v>
      </c>
      <c r="K1254">
        <v>219523</v>
      </c>
      <c r="L1254">
        <v>233327</v>
      </c>
      <c r="M1254">
        <v>244578</v>
      </c>
      <c r="N1254" t="s">
        <v>988</v>
      </c>
    </row>
    <row r="1255" spans="1:14" x14ac:dyDescent="0.3">
      <c r="A1255">
        <v>1473</v>
      </c>
      <c r="B1255" t="s">
        <v>1669</v>
      </c>
      <c r="C1255" t="s">
        <v>2256</v>
      </c>
      <c r="D1255" t="s">
        <v>159</v>
      </c>
      <c r="E1255" t="s">
        <v>159</v>
      </c>
      <c r="F1255">
        <v>6646</v>
      </c>
      <c r="G1255" t="s">
        <v>701</v>
      </c>
      <c r="I1255">
        <v>12121</v>
      </c>
      <c r="J1255">
        <v>2539</v>
      </c>
      <c r="K1255">
        <v>1808</v>
      </c>
      <c r="L1255">
        <v>1055</v>
      </c>
      <c r="M1255">
        <v>140</v>
      </c>
      <c r="N1255" t="s">
        <v>988</v>
      </c>
    </row>
    <row r="1256" spans="1:14" x14ac:dyDescent="0.3">
      <c r="A1256">
        <v>1473</v>
      </c>
      <c r="B1256" t="s">
        <v>1669</v>
      </c>
      <c r="C1256" t="s">
        <v>2256</v>
      </c>
      <c r="D1256" t="s">
        <v>159</v>
      </c>
      <c r="E1256" t="s">
        <v>159</v>
      </c>
      <c r="F1256">
        <v>6646</v>
      </c>
      <c r="G1256" t="s">
        <v>686</v>
      </c>
      <c r="H1256" t="s">
        <v>1269</v>
      </c>
      <c r="I1256">
        <v>51321</v>
      </c>
      <c r="J1256">
        <v>50826</v>
      </c>
      <c r="K1256">
        <v>51334</v>
      </c>
      <c r="L1256">
        <v>51026</v>
      </c>
      <c r="M1256">
        <v>50687</v>
      </c>
      <c r="N1256" t="s">
        <v>988</v>
      </c>
    </row>
    <row r="1257" spans="1:14" x14ac:dyDescent="0.3">
      <c r="A1257">
        <v>1473</v>
      </c>
      <c r="B1257" t="s">
        <v>1669</v>
      </c>
      <c r="C1257" t="s">
        <v>2256</v>
      </c>
      <c r="D1257" t="s">
        <v>159</v>
      </c>
      <c r="E1257" t="s">
        <v>159</v>
      </c>
      <c r="F1257">
        <v>6646</v>
      </c>
      <c r="G1257" t="s">
        <v>700</v>
      </c>
      <c r="H1257" t="s">
        <v>2364</v>
      </c>
      <c r="I1257">
        <v>140863</v>
      </c>
      <c r="J1257">
        <v>138733</v>
      </c>
      <c r="K1257">
        <v>139213</v>
      </c>
      <c r="L1257">
        <v>139882</v>
      </c>
      <c r="M1257">
        <v>138302</v>
      </c>
      <c r="N1257" t="s">
        <v>988</v>
      </c>
    </row>
    <row r="1258" spans="1:14" x14ac:dyDescent="0.3">
      <c r="A1258">
        <v>1481</v>
      </c>
      <c r="B1258" t="s">
        <v>1670</v>
      </c>
      <c r="C1258" t="s">
        <v>2256</v>
      </c>
      <c r="D1258" t="s">
        <v>1203</v>
      </c>
      <c r="E1258" t="s">
        <v>1204</v>
      </c>
      <c r="F1258">
        <v>6739</v>
      </c>
      <c r="G1258" t="s">
        <v>701</v>
      </c>
      <c r="I1258">
        <v>81</v>
      </c>
      <c r="J1258">
        <v>83</v>
      </c>
      <c r="K1258">
        <v>84</v>
      </c>
      <c r="L1258">
        <v>86</v>
      </c>
      <c r="N1258" t="s">
        <v>988</v>
      </c>
    </row>
    <row r="1259" spans="1:14" x14ac:dyDescent="0.3">
      <c r="A1259">
        <v>1481</v>
      </c>
      <c r="B1259" t="s">
        <v>1670</v>
      </c>
      <c r="C1259" t="s">
        <v>2256</v>
      </c>
      <c r="D1259" t="s">
        <v>1203</v>
      </c>
      <c r="E1259" t="s">
        <v>1204</v>
      </c>
      <c r="F1259">
        <v>6739</v>
      </c>
      <c r="G1259" t="s">
        <v>703</v>
      </c>
      <c r="H1259" t="s">
        <v>1671</v>
      </c>
      <c r="I1259">
        <v>1335</v>
      </c>
      <c r="J1259">
        <v>1362</v>
      </c>
      <c r="K1259">
        <v>1390</v>
      </c>
      <c r="L1259">
        <v>1418</v>
      </c>
      <c r="N1259" t="s">
        <v>988</v>
      </c>
    </row>
    <row r="1260" spans="1:14" x14ac:dyDescent="0.3">
      <c r="A1260">
        <v>1481</v>
      </c>
      <c r="B1260" t="s">
        <v>1670</v>
      </c>
      <c r="C1260" t="s">
        <v>2256</v>
      </c>
      <c r="D1260" t="s">
        <v>1203</v>
      </c>
      <c r="E1260" t="s">
        <v>1204</v>
      </c>
      <c r="F1260">
        <v>6739</v>
      </c>
      <c r="G1260" t="s">
        <v>687</v>
      </c>
      <c r="H1260" t="s">
        <v>1672</v>
      </c>
      <c r="I1260">
        <v>99</v>
      </c>
      <c r="J1260">
        <v>101</v>
      </c>
      <c r="K1260">
        <v>103</v>
      </c>
      <c r="L1260">
        <v>105</v>
      </c>
      <c r="N1260" t="s">
        <v>988</v>
      </c>
    </row>
    <row r="1261" spans="1:14" x14ac:dyDescent="0.3">
      <c r="A1261">
        <v>1481</v>
      </c>
      <c r="B1261" t="s">
        <v>1670</v>
      </c>
      <c r="C1261" t="s">
        <v>2256</v>
      </c>
      <c r="D1261" t="s">
        <v>1203</v>
      </c>
      <c r="E1261" t="s">
        <v>1204</v>
      </c>
      <c r="F1261">
        <v>6739</v>
      </c>
      <c r="G1261" t="s">
        <v>691</v>
      </c>
      <c r="H1261" t="s">
        <v>1673</v>
      </c>
      <c r="I1261">
        <v>19</v>
      </c>
      <c r="J1261">
        <v>19</v>
      </c>
      <c r="K1261">
        <v>19</v>
      </c>
      <c r="L1261">
        <v>20</v>
      </c>
      <c r="N1261" t="s">
        <v>988</v>
      </c>
    </row>
    <row r="1262" spans="1:14" x14ac:dyDescent="0.3">
      <c r="A1262">
        <v>1481</v>
      </c>
      <c r="B1262" t="s">
        <v>1670</v>
      </c>
      <c r="C1262" t="s">
        <v>2256</v>
      </c>
      <c r="D1262" t="s">
        <v>1203</v>
      </c>
      <c r="E1262" t="s">
        <v>1204</v>
      </c>
      <c r="F1262">
        <v>6739</v>
      </c>
      <c r="G1262" t="s">
        <v>696</v>
      </c>
      <c r="I1262">
        <v>5592</v>
      </c>
      <c r="J1262">
        <v>5704</v>
      </c>
      <c r="K1262">
        <v>5820</v>
      </c>
      <c r="L1262">
        <v>5937</v>
      </c>
      <c r="N1262" t="s">
        <v>988</v>
      </c>
    </row>
    <row r="1263" spans="1:14" x14ac:dyDescent="0.3">
      <c r="A1263">
        <v>1481</v>
      </c>
      <c r="B1263" t="s">
        <v>1670</v>
      </c>
      <c r="C1263" t="s">
        <v>2256</v>
      </c>
      <c r="D1263" t="s">
        <v>1203</v>
      </c>
      <c r="E1263" t="s">
        <v>1204</v>
      </c>
      <c r="F1263">
        <v>6739</v>
      </c>
      <c r="G1263" t="s">
        <v>686</v>
      </c>
      <c r="I1263">
        <v>509</v>
      </c>
      <c r="J1263">
        <v>520</v>
      </c>
      <c r="K1263">
        <v>530</v>
      </c>
      <c r="L1263">
        <v>541</v>
      </c>
      <c r="N1263" t="s">
        <v>988</v>
      </c>
    </row>
    <row r="1264" spans="1:14" x14ac:dyDescent="0.3">
      <c r="A1264">
        <v>1481</v>
      </c>
      <c r="B1264" t="s">
        <v>1670</v>
      </c>
      <c r="C1264" t="s">
        <v>2256</v>
      </c>
      <c r="D1264" t="s">
        <v>1203</v>
      </c>
      <c r="E1264" t="s">
        <v>1204</v>
      </c>
      <c r="F1264">
        <v>6739</v>
      </c>
      <c r="G1264" t="s">
        <v>698</v>
      </c>
      <c r="I1264">
        <v>480</v>
      </c>
      <c r="J1264">
        <v>490</v>
      </c>
      <c r="K1264">
        <v>500</v>
      </c>
      <c r="L1264">
        <v>509</v>
      </c>
      <c r="N1264" t="s">
        <v>988</v>
      </c>
    </row>
    <row r="1265" spans="1:14" x14ac:dyDescent="0.3">
      <c r="A1265">
        <v>1481</v>
      </c>
      <c r="B1265" t="s">
        <v>1670</v>
      </c>
      <c r="C1265" t="s">
        <v>2256</v>
      </c>
      <c r="D1265" t="s">
        <v>1203</v>
      </c>
      <c r="E1265" t="s">
        <v>1204</v>
      </c>
      <c r="F1265">
        <v>6739</v>
      </c>
      <c r="G1265" t="s">
        <v>700</v>
      </c>
      <c r="I1265">
        <v>375</v>
      </c>
      <c r="J1265">
        <v>382</v>
      </c>
      <c r="K1265">
        <v>390</v>
      </c>
      <c r="L1265">
        <v>398</v>
      </c>
      <c r="N1265" t="s">
        <v>988</v>
      </c>
    </row>
    <row r="1266" spans="1:14" x14ac:dyDescent="0.3">
      <c r="A1266">
        <v>1484</v>
      </c>
      <c r="B1266" t="s">
        <v>1674</v>
      </c>
      <c r="C1266" t="s">
        <v>2256</v>
      </c>
      <c r="D1266" t="s">
        <v>1203</v>
      </c>
      <c r="E1266" t="s">
        <v>1204</v>
      </c>
      <c r="F1266">
        <v>6741</v>
      </c>
      <c r="G1266" t="s">
        <v>686</v>
      </c>
      <c r="I1266">
        <v>3808</v>
      </c>
      <c r="J1266">
        <v>3998</v>
      </c>
      <c r="K1266">
        <v>4202</v>
      </c>
      <c r="L1266">
        <v>4419</v>
      </c>
      <c r="M1266">
        <v>4643</v>
      </c>
      <c r="N1266" t="s">
        <v>988</v>
      </c>
    </row>
    <row r="1267" spans="1:14" x14ac:dyDescent="0.3">
      <c r="A1267">
        <v>1484</v>
      </c>
      <c r="B1267" t="s">
        <v>1674</v>
      </c>
      <c r="C1267" t="s">
        <v>2256</v>
      </c>
      <c r="D1267" t="s">
        <v>1203</v>
      </c>
      <c r="E1267" t="s">
        <v>1204</v>
      </c>
      <c r="F1267">
        <v>6741</v>
      </c>
      <c r="G1267" t="s">
        <v>703</v>
      </c>
      <c r="I1267">
        <v>1035</v>
      </c>
      <c r="J1267">
        <v>870</v>
      </c>
      <c r="K1267">
        <v>726</v>
      </c>
      <c r="L1267">
        <v>595</v>
      </c>
      <c r="M1267">
        <v>625</v>
      </c>
      <c r="N1267" t="s">
        <v>988</v>
      </c>
    </row>
    <row r="1268" spans="1:14" x14ac:dyDescent="0.3">
      <c r="A1268">
        <v>1484</v>
      </c>
      <c r="B1268" t="s">
        <v>1674</v>
      </c>
      <c r="C1268" t="s">
        <v>2256</v>
      </c>
      <c r="D1268" t="s">
        <v>1203</v>
      </c>
      <c r="E1268" t="s">
        <v>1204</v>
      </c>
      <c r="F1268">
        <v>6741</v>
      </c>
      <c r="G1268" t="s">
        <v>701</v>
      </c>
      <c r="I1268">
        <v>3315</v>
      </c>
      <c r="J1268">
        <v>3546</v>
      </c>
      <c r="K1268">
        <v>3777</v>
      </c>
      <c r="L1268">
        <v>4022</v>
      </c>
      <c r="M1268">
        <v>4226</v>
      </c>
      <c r="N1268" t="s">
        <v>988</v>
      </c>
    </row>
    <row r="1269" spans="1:14" x14ac:dyDescent="0.3">
      <c r="A1269">
        <v>1484</v>
      </c>
      <c r="B1269" t="s">
        <v>1674</v>
      </c>
      <c r="C1269" t="s">
        <v>2256</v>
      </c>
      <c r="D1269" t="s">
        <v>1203</v>
      </c>
      <c r="E1269" t="s">
        <v>1204</v>
      </c>
      <c r="F1269">
        <v>6741</v>
      </c>
      <c r="G1269" t="s">
        <v>700</v>
      </c>
      <c r="I1269">
        <v>3112</v>
      </c>
      <c r="J1269">
        <v>2617</v>
      </c>
      <c r="K1269">
        <v>2178</v>
      </c>
      <c r="L1269">
        <v>1780</v>
      </c>
      <c r="M1269">
        <v>1870</v>
      </c>
      <c r="N1269" t="s">
        <v>988</v>
      </c>
    </row>
    <row r="1270" spans="1:14" x14ac:dyDescent="0.3">
      <c r="A1270">
        <v>1484</v>
      </c>
      <c r="B1270" t="s">
        <v>1674</v>
      </c>
      <c r="C1270" t="s">
        <v>2256</v>
      </c>
      <c r="D1270" t="s">
        <v>1203</v>
      </c>
      <c r="E1270" t="s">
        <v>1204</v>
      </c>
      <c r="F1270">
        <v>6741</v>
      </c>
      <c r="G1270" t="s">
        <v>698</v>
      </c>
      <c r="I1270">
        <v>2212</v>
      </c>
      <c r="J1270">
        <v>2364</v>
      </c>
      <c r="K1270">
        <v>2518</v>
      </c>
      <c r="L1270">
        <v>2683</v>
      </c>
      <c r="M1270">
        <v>2819</v>
      </c>
      <c r="N1270" t="s">
        <v>988</v>
      </c>
    </row>
    <row r="1271" spans="1:14" x14ac:dyDescent="0.3">
      <c r="A1271">
        <v>1484</v>
      </c>
      <c r="B1271" t="s">
        <v>1674</v>
      </c>
      <c r="C1271" t="s">
        <v>2256</v>
      </c>
      <c r="D1271" t="s">
        <v>1203</v>
      </c>
      <c r="E1271" t="s">
        <v>1204</v>
      </c>
      <c r="F1271">
        <v>6741</v>
      </c>
      <c r="G1271" t="s">
        <v>696</v>
      </c>
      <c r="I1271">
        <v>40919</v>
      </c>
      <c r="J1271">
        <v>43706</v>
      </c>
      <c r="K1271">
        <v>46599</v>
      </c>
      <c r="L1271">
        <v>49601</v>
      </c>
      <c r="M1271">
        <v>52116</v>
      </c>
      <c r="N1271" t="s">
        <v>988</v>
      </c>
    </row>
    <row r="1272" spans="1:14" x14ac:dyDescent="0.3">
      <c r="A1272">
        <v>1487</v>
      </c>
      <c r="B1272" t="s">
        <v>1677</v>
      </c>
      <c r="C1272" t="s">
        <v>2256</v>
      </c>
      <c r="D1272" t="s">
        <v>1203</v>
      </c>
      <c r="E1272" t="s">
        <v>1204</v>
      </c>
      <c r="F1272">
        <v>5663</v>
      </c>
      <c r="G1272" t="s">
        <v>686</v>
      </c>
      <c r="I1272">
        <v>1471</v>
      </c>
      <c r="J1272">
        <v>1584</v>
      </c>
      <c r="K1272">
        <v>1707</v>
      </c>
      <c r="L1272">
        <v>1839</v>
      </c>
      <c r="M1272">
        <v>1981</v>
      </c>
      <c r="N1272" t="s">
        <v>988</v>
      </c>
    </row>
    <row r="1273" spans="1:14" x14ac:dyDescent="0.3">
      <c r="A1273">
        <v>1487</v>
      </c>
      <c r="B1273" t="s">
        <v>1677</v>
      </c>
      <c r="C1273" t="s">
        <v>2256</v>
      </c>
      <c r="D1273" t="s">
        <v>1203</v>
      </c>
      <c r="E1273" t="s">
        <v>1204</v>
      </c>
      <c r="F1273">
        <v>5663</v>
      </c>
      <c r="G1273" t="s">
        <v>698</v>
      </c>
      <c r="I1273">
        <v>356</v>
      </c>
      <c r="J1273">
        <v>384</v>
      </c>
      <c r="K1273">
        <v>414</v>
      </c>
      <c r="L1273">
        <v>446</v>
      </c>
      <c r="M1273">
        <v>480</v>
      </c>
      <c r="N1273" t="s">
        <v>988</v>
      </c>
    </row>
    <row r="1274" spans="1:14" x14ac:dyDescent="0.3">
      <c r="A1274">
        <v>1487</v>
      </c>
      <c r="B1274" t="s">
        <v>1677</v>
      </c>
      <c r="C1274" t="s">
        <v>2256</v>
      </c>
      <c r="D1274" t="s">
        <v>1203</v>
      </c>
      <c r="E1274" t="s">
        <v>1204</v>
      </c>
      <c r="F1274">
        <v>5663</v>
      </c>
      <c r="G1274" t="s">
        <v>700</v>
      </c>
      <c r="I1274">
        <v>1111</v>
      </c>
      <c r="J1274">
        <v>1197</v>
      </c>
      <c r="K1274">
        <v>1290</v>
      </c>
      <c r="L1274">
        <v>1389</v>
      </c>
      <c r="M1274">
        <v>1497</v>
      </c>
      <c r="N1274" t="s">
        <v>988</v>
      </c>
    </row>
    <row r="1275" spans="1:14" x14ac:dyDescent="0.3">
      <c r="A1275">
        <v>1487</v>
      </c>
      <c r="B1275" t="s">
        <v>1677</v>
      </c>
      <c r="C1275" t="s">
        <v>2256</v>
      </c>
      <c r="D1275" t="s">
        <v>1203</v>
      </c>
      <c r="E1275" t="s">
        <v>1204</v>
      </c>
      <c r="F1275">
        <v>5663</v>
      </c>
      <c r="G1275" t="s">
        <v>702</v>
      </c>
      <c r="I1275">
        <v>586</v>
      </c>
      <c r="J1275">
        <v>632</v>
      </c>
      <c r="K1275">
        <v>680</v>
      </c>
      <c r="L1275">
        <v>733</v>
      </c>
      <c r="M1275">
        <v>790</v>
      </c>
      <c r="N1275" t="s">
        <v>988</v>
      </c>
    </row>
    <row r="1276" spans="1:14" x14ac:dyDescent="0.3">
      <c r="A1276">
        <v>1487</v>
      </c>
      <c r="B1276" t="s">
        <v>1677</v>
      </c>
      <c r="C1276" t="s">
        <v>2256</v>
      </c>
      <c r="D1276" t="s">
        <v>1203</v>
      </c>
      <c r="E1276" t="s">
        <v>1204</v>
      </c>
      <c r="F1276">
        <v>5663</v>
      </c>
      <c r="G1276" t="s">
        <v>696</v>
      </c>
      <c r="I1276">
        <v>4816</v>
      </c>
      <c r="J1276">
        <v>5188</v>
      </c>
      <c r="K1276">
        <v>5589</v>
      </c>
      <c r="L1276">
        <v>6021</v>
      </c>
      <c r="M1276">
        <v>6486</v>
      </c>
      <c r="N1276" t="s">
        <v>988</v>
      </c>
    </row>
    <row r="1277" spans="1:14" x14ac:dyDescent="0.3">
      <c r="A1277">
        <v>1506</v>
      </c>
      <c r="B1277" t="s">
        <v>1678</v>
      </c>
      <c r="C1277" t="s">
        <v>2256</v>
      </c>
      <c r="D1277" t="s">
        <v>159</v>
      </c>
      <c r="E1277" t="s">
        <v>159</v>
      </c>
      <c r="F1277">
        <v>7862</v>
      </c>
      <c r="G1277" t="s">
        <v>700</v>
      </c>
      <c r="I1277">
        <v>2305</v>
      </c>
      <c r="J1277">
        <v>2328</v>
      </c>
      <c r="K1277">
        <v>2352</v>
      </c>
      <c r="L1277">
        <v>2375</v>
      </c>
      <c r="M1277">
        <v>2399</v>
      </c>
      <c r="N1277" t="s">
        <v>988</v>
      </c>
    </row>
    <row r="1278" spans="1:14" x14ac:dyDescent="0.3">
      <c r="A1278">
        <v>1506</v>
      </c>
      <c r="B1278" t="s">
        <v>1678</v>
      </c>
      <c r="C1278" t="s">
        <v>2256</v>
      </c>
      <c r="D1278" t="s">
        <v>159</v>
      </c>
      <c r="E1278" t="s">
        <v>159</v>
      </c>
      <c r="F1278">
        <v>7862</v>
      </c>
      <c r="G1278" t="s">
        <v>686</v>
      </c>
      <c r="I1278">
        <v>472</v>
      </c>
      <c r="J1278">
        <v>478</v>
      </c>
      <c r="K1278">
        <v>482</v>
      </c>
      <c r="L1278">
        <v>487</v>
      </c>
      <c r="M1278">
        <v>492</v>
      </c>
      <c r="N1278" t="s">
        <v>988</v>
      </c>
    </row>
    <row r="1279" spans="1:14" x14ac:dyDescent="0.3">
      <c r="A1279">
        <v>1506</v>
      </c>
      <c r="B1279" t="s">
        <v>1678</v>
      </c>
      <c r="C1279" t="s">
        <v>2256</v>
      </c>
      <c r="D1279" t="s">
        <v>159</v>
      </c>
      <c r="E1279" t="s">
        <v>159</v>
      </c>
      <c r="F1279">
        <v>7862</v>
      </c>
      <c r="G1279" t="s">
        <v>701</v>
      </c>
      <c r="I1279">
        <v>329</v>
      </c>
      <c r="J1279">
        <v>332</v>
      </c>
      <c r="K1279">
        <v>335</v>
      </c>
      <c r="L1279">
        <v>339</v>
      </c>
      <c r="M1279">
        <v>342</v>
      </c>
      <c r="N1279" t="s">
        <v>988</v>
      </c>
    </row>
    <row r="1280" spans="1:14" x14ac:dyDescent="0.3">
      <c r="A1280">
        <v>1506</v>
      </c>
      <c r="B1280" t="s">
        <v>1678</v>
      </c>
      <c r="C1280" t="s">
        <v>2256</v>
      </c>
      <c r="D1280" t="s">
        <v>159</v>
      </c>
      <c r="E1280" t="s">
        <v>159</v>
      </c>
      <c r="F1280">
        <v>7862</v>
      </c>
      <c r="G1280" t="s">
        <v>698</v>
      </c>
      <c r="I1280">
        <v>445</v>
      </c>
      <c r="J1280">
        <v>449</v>
      </c>
      <c r="K1280">
        <v>454</v>
      </c>
      <c r="L1280">
        <v>458</v>
      </c>
      <c r="M1280">
        <v>463</v>
      </c>
      <c r="N1280" t="s">
        <v>988</v>
      </c>
    </row>
    <row r="1281" spans="1:14" x14ac:dyDescent="0.3">
      <c r="A1281">
        <v>1506</v>
      </c>
      <c r="B1281" t="s">
        <v>1678</v>
      </c>
      <c r="C1281" t="s">
        <v>2256</v>
      </c>
      <c r="D1281" t="s">
        <v>159</v>
      </c>
      <c r="E1281" t="s">
        <v>159</v>
      </c>
      <c r="F1281">
        <v>7862</v>
      </c>
      <c r="G1281" t="s">
        <v>696</v>
      </c>
      <c r="I1281">
        <v>2617</v>
      </c>
      <c r="J1281">
        <v>2643</v>
      </c>
      <c r="K1281">
        <v>2670</v>
      </c>
      <c r="L1281">
        <v>2697</v>
      </c>
      <c r="M1281">
        <v>2724</v>
      </c>
      <c r="N1281" t="s">
        <v>988</v>
      </c>
    </row>
    <row r="1282" spans="1:14" x14ac:dyDescent="0.3">
      <c r="A1282">
        <v>1533</v>
      </c>
      <c r="B1282" t="s">
        <v>1679</v>
      </c>
      <c r="C1282" t="s">
        <v>2256</v>
      </c>
      <c r="D1282" t="s">
        <v>159</v>
      </c>
      <c r="E1282" t="s">
        <v>159</v>
      </c>
      <c r="F1282">
        <v>8052</v>
      </c>
      <c r="G1282" t="s">
        <v>698</v>
      </c>
      <c r="H1282" t="s">
        <v>1680</v>
      </c>
      <c r="I1282">
        <v>894</v>
      </c>
      <c r="J1282">
        <v>1053</v>
      </c>
      <c r="K1282">
        <v>1211</v>
      </c>
      <c r="L1282">
        <v>1369</v>
      </c>
      <c r="N1282" t="s">
        <v>988</v>
      </c>
    </row>
    <row r="1283" spans="1:14" x14ac:dyDescent="0.3">
      <c r="A1283">
        <v>1533</v>
      </c>
      <c r="B1283" t="s">
        <v>1679</v>
      </c>
      <c r="C1283" t="s">
        <v>2256</v>
      </c>
      <c r="D1283" t="s">
        <v>159</v>
      </c>
      <c r="E1283" t="s">
        <v>159</v>
      </c>
      <c r="F1283">
        <v>8052</v>
      </c>
      <c r="G1283" t="s">
        <v>702</v>
      </c>
      <c r="H1283" t="s">
        <v>1663</v>
      </c>
      <c r="I1283">
        <v>236</v>
      </c>
      <c r="J1283">
        <v>164</v>
      </c>
      <c r="K1283">
        <v>177</v>
      </c>
      <c r="L1283">
        <v>189</v>
      </c>
      <c r="N1283" t="s">
        <v>988</v>
      </c>
    </row>
    <row r="1284" spans="1:14" x14ac:dyDescent="0.3">
      <c r="A1284">
        <v>1533</v>
      </c>
      <c r="B1284" t="s">
        <v>1679</v>
      </c>
      <c r="C1284" t="s">
        <v>2256</v>
      </c>
      <c r="D1284" t="s">
        <v>159</v>
      </c>
      <c r="E1284" t="s">
        <v>159</v>
      </c>
      <c r="F1284">
        <v>8052</v>
      </c>
      <c r="G1284" t="s">
        <v>692</v>
      </c>
      <c r="H1284" t="s">
        <v>2365</v>
      </c>
      <c r="I1284">
        <v>67</v>
      </c>
      <c r="J1284">
        <v>67</v>
      </c>
      <c r="K1284">
        <v>67</v>
      </c>
      <c r="L1284">
        <v>67</v>
      </c>
      <c r="N1284" t="s">
        <v>988</v>
      </c>
    </row>
    <row r="1285" spans="1:14" x14ac:dyDescent="0.3">
      <c r="A1285">
        <v>1533</v>
      </c>
      <c r="B1285" t="s">
        <v>1679</v>
      </c>
      <c r="C1285" t="s">
        <v>2256</v>
      </c>
      <c r="D1285" t="s">
        <v>159</v>
      </c>
      <c r="E1285" t="s">
        <v>159</v>
      </c>
      <c r="F1285">
        <v>8052</v>
      </c>
      <c r="G1285" t="s">
        <v>686</v>
      </c>
      <c r="I1285">
        <v>191</v>
      </c>
      <c r="J1285">
        <v>215</v>
      </c>
      <c r="K1285">
        <v>245</v>
      </c>
      <c r="L1285">
        <v>276</v>
      </c>
      <c r="N1285" t="s">
        <v>988</v>
      </c>
    </row>
    <row r="1286" spans="1:14" x14ac:dyDescent="0.3">
      <c r="A1286">
        <v>1533</v>
      </c>
      <c r="B1286" t="s">
        <v>1679</v>
      </c>
      <c r="C1286" t="s">
        <v>2256</v>
      </c>
      <c r="D1286" t="s">
        <v>159</v>
      </c>
      <c r="E1286" t="s">
        <v>159</v>
      </c>
      <c r="F1286">
        <v>8052</v>
      </c>
      <c r="G1286" t="s">
        <v>700</v>
      </c>
      <c r="H1286" t="s">
        <v>1681</v>
      </c>
      <c r="I1286">
        <v>381</v>
      </c>
      <c r="J1286">
        <v>458</v>
      </c>
      <c r="K1286">
        <v>536</v>
      </c>
      <c r="L1286">
        <v>613</v>
      </c>
      <c r="N1286" t="s">
        <v>988</v>
      </c>
    </row>
    <row r="1287" spans="1:14" x14ac:dyDescent="0.3">
      <c r="A1287">
        <v>1533</v>
      </c>
      <c r="B1287" t="s">
        <v>1679</v>
      </c>
      <c r="C1287" t="s">
        <v>2256</v>
      </c>
      <c r="D1287" t="s">
        <v>159</v>
      </c>
      <c r="E1287" t="s">
        <v>159</v>
      </c>
      <c r="F1287">
        <v>8052</v>
      </c>
      <c r="G1287" t="s">
        <v>703</v>
      </c>
      <c r="H1287" t="s">
        <v>1682</v>
      </c>
      <c r="I1287">
        <v>128</v>
      </c>
      <c r="J1287">
        <v>202</v>
      </c>
      <c r="K1287">
        <v>275</v>
      </c>
      <c r="L1287">
        <v>348</v>
      </c>
      <c r="N1287" t="s">
        <v>988</v>
      </c>
    </row>
    <row r="1288" spans="1:14" x14ac:dyDescent="0.3">
      <c r="A1288">
        <v>1533</v>
      </c>
      <c r="B1288" t="s">
        <v>1679</v>
      </c>
      <c r="C1288" t="s">
        <v>2256</v>
      </c>
      <c r="D1288" t="s">
        <v>159</v>
      </c>
      <c r="E1288" t="s">
        <v>159</v>
      </c>
      <c r="F1288">
        <v>8052</v>
      </c>
      <c r="G1288" t="s">
        <v>696</v>
      </c>
      <c r="I1288">
        <v>487</v>
      </c>
      <c r="J1288">
        <v>507</v>
      </c>
      <c r="K1288">
        <v>527</v>
      </c>
      <c r="L1288">
        <v>547</v>
      </c>
      <c r="N1288" t="s">
        <v>988</v>
      </c>
    </row>
    <row r="1289" spans="1:14" x14ac:dyDescent="0.3">
      <c r="A1289">
        <v>1536</v>
      </c>
      <c r="B1289" t="s">
        <v>1684</v>
      </c>
      <c r="C1289" t="s">
        <v>2256</v>
      </c>
      <c r="D1289" t="s">
        <v>1203</v>
      </c>
      <c r="E1289" t="s">
        <v>1204</v>
      </c>
      <c r="F1289">
        <v>5518</v>
      </c>
      <c r="G1289" t="s">
        <v>696</v>
      </c>
      <c r="I1289">
        <v>3443</v>
      </c>
      <c r="J1289">
        <v>3494</v>
      </c>
      <c r="K1289">
        <v>3544</v>
      </c>
      <c r="L1289">
        <v>3595</v>
      </c>
      <c r="M1289">
        <v>3637</v>
      </c>
      <c r="N1289" t="s">
        <v>988</v>
      </c>
    </row>
    <row r="1290" spans="1:14" x14ac:dyDescent="0.3">
      <c r="A1290">
        <v>1536</v>
      </c>
      <c r="B1290" t="s">
        <v>1684</v>
      </c>
      <c r="C1290" t="s">
        <v>2256</v>
      </c>
      <c r="D1290" t="s">
        <v>1203</v>
      </c>
      <c r="E1290" t="s">
        <v>1204</v>
      </c>
      <c r="F1290">
        <v>5518</v>
      </c>
      <c r="G1290" t="s">
        <v>698</v>
      </c>
      <c r="I1290">
        <v>373</v>
      </c>
      <c r="J1290">
        <v>378</v>
      </c>
      <c r="K1290">
        <v>384</v>
      </c>
      <c r="L1290">
        <v>389</v>
      </c>
      <c r="M1290">
        <v>394</v>
      </c>
      <c r="N1290" t="s">
        <v>988</v>
      </c>
    </row>
    <row r="1291" spans="1:14" x14ac:dyDescent="0.3">
      <c r="A1291">
        <v>1536</v>
      </c>
      <c r="B1291" t="s">
        <v>1684</v>
      </c>
      <c r="C1291" t="s">
        <v>2256</v>
      </c>
      <c r="D1291" t="s">
        <v>1203</v>
      </c>
      <c r="E1291" t="s">
        <v>1204</v>
      </c>
      <c r="F1291">
        <v>5518</v>
      </c>
      <c r="G1291" t="s">
        <v>700</v>
      </c>
      <c r="I1291">
        <v>658</v>
      </c>
      <c r="J1291">
        <v>667</v>
      </c>
      <c r="K1291">
        <v>677</v>
      </c>
      <c r="L1291">
        <v>686</v>
      </c>
      <c r="M1291">
        <v>694</v>
      </c>
      <c r="N1291" t="s">
        <v>988</v>
      </c>
    </row>
    <row r="1292" spans="1:14" x14ac:dyDescent="0.3">
      <c r="A1292">
        <v>1536</v>
      </c>
      <c r="B1292" t="s">
        <v>1684</v>
      </c>
      <c r="C1292" t="s">
        <v>2256</v>
      </c>
      <c r="D1292" t="s">
        <v>1203</v>
      </c>
      <c r="E1292" t="s">
        <v>1204</v>
      </c>
      <c r="F1292">
        <v>5518</v>
      </c>
      <c r="G1292" t="s">
        <v>701</v>
      </c>
      <c r="I1292">
        <v>257</v>
      </c>
      <c r="J1292">
        <v>261</v>
      </c>
      <c r="K1292">
        <v>264</v>
      </c>
      <c r="L1292">
        <v>268</v>
      </c>
      <c r="M1292">
        <v>271</v>
      </c>
      <c r="N1292" t="s">
        <v>988</v>
      </c>
    </row>
    <row r="1293" spans="1:14" x14ac:dyDescent="0.3">
      <c r="A1293">
        <v>1536</v>
      </c>
      <c r="B1293" t="s">
        <v>1684</v>
      </c>
      <c r="C1293" t="s">
        <v>2256</v>
      </c>
      <c r="D1293" t="s">
        <v>1203</v>
      </c>
      <c r="E1293" t="s">
        <v>1204</v>
      </c>
      <c r="F1293">
        <v>5518</v>
      </c>
      <c r="G1293" t="s">
        <v>702</v>
      </c>
      <c r="I1293">
        <v>215</v>
      </c>
      <c r="J1293">
        <v>218</v>
      </c>
      <c r="K1293">
        <v>222</v>
      </c>
      <c r="L1293">
        <v>225</v>
      </c>
      <c r="M1293">
        <v>227</v>
      </c>
      <c r="N1293" t="s">
        <v>988</v>
      </c>
    </row>
    <row r="1294" spans="1:14" x14ac:dyDescent="0.3">
      <c r="A1294">
        <v>1536</v>
      </c>
      <c r="B1294" t="s">
        <v>1684</v>
      </c>
      <c r="C1294" t="s">
        <v>2256</v>
      </c>
      <c r="D1294" t="s">
        <v>1203</v>
      </c>
      <c r="E1294" t="s">
        <v>1204</v>
      </c>
      <c r="F1294">
        <v>5518</v>
      </c>
      <c r="G1294" t="s">
        <v>686</v>
      </c>
      <c r="I1294">
        <v>229</v>
      </c>
      <c r="J1294">
        <v>232</v>
      </c>
      <c r="K1294">
        <v>235</v>
      </c>
      <c r="L1294">
        <v>239</v>
      </c>
      <c r="M1294">
        <v>242</v>
      </c>
      <c r="N1294" t="s">
        <v>988</v>
      </c>
    </row>
    <row r="1295" spans="1:14" x14ac:dyDescent="0.3">
      <c r="A1295">
        <v>1546</v>
      </c>
      <c r="B1295" t="s">
        <v>1686</v>
      </c>
      <c r="C1295" t="s">
        <v>2256</v>
      </c>
      <c r="D1295" t="s">
        <v>159</v>
      </c>
      <c r="E1295" t="s">
        <v>159</v>
      </c>
      <c r="F1295">
        <v>8065</v>
      </c>
      <c r="G1295" t="s">
        <v>698</v>
      </c>
      <c r="I1295">
        <v>2998</v>
      </c>
      <c r="J1295">
        <v>2846</v>
      </c>
      <c r="K1295">
        <v>2715.41</v>
      </c>
      <c r="L1295">
        <v>2628.45</v>
      </c>
      <c r="M1295">
        <v>2568.1</v>
      </c>
      <c r="N1295" t="s">
        <v>988</v>
      </c>
    </row>
    <row r="1296" spans="1:14" x14ac:dyDescent="0.3">
      <c r="A1296">
        <v>1546</v>
      </c>
      <c r="B1296" t="s">
        <v>1686</v>
      </c>
      <c r="C1296" t="s">
        <v>2256</v>
      </c>
      <c r="D1296" t="s">
        <v>159</v>
      </c>
      <c r="E1296" t="s">
        <v>159</v>
      </c>
      <c r="F1296">
        <v>8065</v>
      </c>
      <c r="G1296" t="s">
        <v>700</v>
      </c>
      <c r="H1296" t="s">
        <v>2366</v>
      </c>
      <c r="I1296">
        <v>2813</v>
      </c>
      <c r="J1296">
        <v>2812</v>
      </c>
      <c r="K1296">
        <v>2796.75</v>
      </c>
      <c r="L1296">
        <v>2769.72</v>
      </c>
      <c r="M1296">
        <v>2747.54</v>
      </c>
      <c r="N1296" t="s">
        <v>988</v>
      </c>
    </row>
    <row r="1297" spans="1:14" x14ac:dyDescent="0.3">
      <c r="A1297">
        <v>1546</v>
      </c>
      <c r="B1297" t="s">
        <v>1686</v>
      </c>
      <c r="C1297" t="s">
        <v>2256</v>
      </c>
      <c r="D1297" t="s">
        <v>159</v>
      </c>
      <c r="E1297" t="s">
        <v>159</v>
      </c>
      <c r="F1297">
        <v>8065</v>
      </c>
      <c r="G1297" t="s">
        <v>703</v>
      </c>
      <c r="I1297">
        <v>1568</v>
      </c>
      <c r="J1297">
        <v>1570</v>
      </c>
      <c r="K1297">
        <v>1563.09</v>
      </c>
      <c r="L1297">
        <v>1549.43</v>
      </c>
      <c r="M1297">
        <v>1538.28</v>
      </c>
      <c r="N1297" t="s">
        <v>988</v>
      </c>
    </row>
    <row r="1298" spans="1:14" x14ac:dyDescent="0.3">
      <c r="A1298">
        <v>1546</v>
      </c>
      <c r="B1298" t="s">
        <v>1686</v>
      </c>
      <c r="C1298" t="s">
        <v>2256</v>
      </c>
      <c r="D1298" t="s">
        <v>159</v>
      </c>
      <c r="E1298" t="s">
        <v>159</v>
      </c>
      <c r="F1298">
        <v>8065</v>
      </c>
      <c r="G1298" t="s">
        <v>702</v>
      </c>
      <c r="I1298">
        <v>1659</v>
      </c>
      <c r="J1298">
        <v>1686</v>
      </c>
      <c r="K1298">
        <v>1699.79</v>
      </c>
      <c r="L1298">
        <v>1703.63</v>
      </c>
      <c r="M1298">
        <v>1707.46</v>
      </c>
      <c r="N1298" t="s">
        <v>988</v>
      </c>
    </row>
    <row r="1299" spans="1:14" x14ac:dyDescent="0.3">
      <c r="A1299">
        <v>1546</v>
      </c>
      <c r="B1299" t="s">
        <v>1686</v>
      </c>
      <c r="C1299" t="s">
        <v>2256</v>
      </c>
      <c r="D1299" t="s">
        <v>159</v>
      </c>
      <c r="E1299" t="s">
        <v>159</v>
      </c>
      <c r="F1299">
        <v>8065</v>
      </c>
      <c r="G1299" t="s">
        <v>691</v>
      </c>
      <c r="H1299" t="s">
        <v>2367</v>
      </c>
      <c r="I1299">
        <v>49</v>
      </c>
      <c r="J1299">
        <v>50</v>
      </c>
      <c r="K1299">
        <v>50.52</v>
      </c>
      <c r="L1299">
        <v>50.64</v>
      </c>
      <c r="M1299">
        <v>50.75</v>
      </c>
      <c r="N1299" t="s">
        <v>988</v>
      </c>
    </row>
    <row r="1300" spans="1:14" x14ac:dyDescent="0.3">
      <c r="A1300">
        <v>1546</v>
      </c>
      <c r="B1300" t="s">
        <v>1686</v>
      </c>
      <c r="C1300" t="s">
        <v>2256</v>
      </c>
      <c r="D1300" t="s">
        <v>159</v>
      </c>
      <c r="E1300" t="s">
        <v>159</v>
      </c>
      <c r="F1300">
        <v>8065</v>
      </c>
      <c r="G1300" t="s">
        <v>686</v>
      </c>
      <c r="H1300" t="s">
        <v>1346</v>
      </c>
      <c r="I1300">
        <v>2758</v>
      </c>
      <c r="J1300">
        <v>2760</v>
      </c>
      <c r="K1300">
        <v>2752.71</v>
      </c>
      <c r="L1300">
        <v>2760.63</v>
      </c>
      <c r="M1300">
        <v>2776.82</v>
      </c>
      <c r="N1300" t="s">
        <v>988</v>
      </c>
    </row>
    <row r="1301" spans="1:14" x14ac:dyDescent="0.3">
      <c r="A1301">
        <v>1546</v>
      </c>
      <c r="B1301" t="s">
        <v>1686</v>
      </c>
      <c r="C1301" t="s">
        <v>2256</v>
      </c>
      <c r="D1301" t="s">
        <v>159</v>
      </c>
      <c r="E1301" t="s">
        <v>159</v>
      </c>
      <c r="F1301">
        <v>8065</v>
      </c>
      <c r="G1301" t="s">
        <v>692</v>
      </c>
      <c r="H1301" t="s">
        <v>2368</v>
      </c>
      <c r="I1301">
        <v>171</v>
      </c>
      <c r="J1301">
        <v>174</v>
      </c>
      <c r="K1301">
        <v>175.7</v>
      </c>
      <c r="L1301">
        <v>176.09</v>
      </c>
      <c r="M1301">
        <v>176.49</v>
      </c>
      <c r="N1301" t="s">
        <v>988</v>
      </c>
    </row>
    <row r="1302" spans="1:14" x14ac:dyDescent="0.3">
      <c r="A1302">
        <v>1546</v>
      </c>
      <c r="B1302" t="s">
        <v>1686</v>
      </c>
      <c r="C1302" t="s">
        <v>2256</v>
      </c>
      <c r="D1302" t="s">
        <v>159</v>
      </c>
      <c r="E1302" t="s">
        <v>159</v>
      </c>
      <c r="F1302">
        <v>8065</v>
      </c>
      <c r="G1302" t="s">
        <v>694</v>
      </c>
      <c r="H1302" t="s">
        <v>1687</v>
      </c>
      <c r="I1302">
        <v>10543</v>
      </c>
      <c r="J1302">
        <v>10543</v>
      </c>
      <c r="K1302">
        <v>10542.98</v>
      </c>
      <c r="L1302">
        <v>10542.98</v>
      </c>
      <c r="M1302">
        <v>10542.98</v>
      </c>
      <c r="N1302" t="s">
        <v>988</v>
      </c>
    </row>
    <row r="1303" spans="1:14" x14ac:dyDescent="0.3">
      <c r="A1303">
        <v>1546</v>
      </c>
      <c r="B1303" t="s">
        <v>1686</v>
      </c>
      <c r="C1303" t="s">
        <v>2256</v>
      </c>
      <c r="D1303" t="s">
        <v>159</v>
      </c>
      <c r="E1303" t="s">
        <v>159</v>
      </c>
      <c r="F1303">
        <v>8065</v>
      </c>
      <c r="G1303" t="s">
        <v>696</v>
      </c>
      <c r="I1303">
        <v>14710</v>
      </c>
      <c r="J1303">
        <v>14855</v>
      </c>
      <c r="K1303">
        <v>14927.62</v>
      </c>
      <c r="L1303">
        <v>15119.64</v>
      </c>
      <c r="M1303">
        <v>15349.14</v>
      </c>
      <c r="N1303" t="s">
        <v>988</v>
      </c>
    </row>
    <row r="1304" spans="1:14" x14ac:dyDescent="0.3">
      <c r="A1304">
        <v>1547</v>
      </c>
      <c r="B1304" t="s">
        <v>1693</v>
      </c>
      <c r="C1304" t="s">
        <v>2256</v>
      </c>
      <c r="D1304" t="s">
        <v>159</v>
      </c>
      <c r="E1304" t="s">
        <v>159</v>
      </c>
      <c r="F1304">
        <v>5782</v>
      </c>
      <c r="G1304" t="s">
        <v>686</v>
      </c>
      <c r="I1304">
        <v>374</v>
      </c>
      <c r="J1304">
        <v>380</v>
      </c>
      <c r="K1304">
        <v>380</v>
      </c>
      <c r="L1304">
        <v>380</v>
      </c>
      <c r="N1304" t="s">
        <v>988</v>
      </c>
    </row>
    <row r="1305" spans="1:14" x14ac:dyDescent="0.3">
      <c r="A1305">
        <v>1547</v>
      </c>
      <c r="B1305" t="s">
        <v>1693</v>
      </c>
      <c r="C1305" t="s">
        <v>2256</v>
      </c>
      <c r="D1305" t="s">
        <v>159</v>
      </c>
      <c r="E1305" t="s">
        <v>159</v>
      </c>
      <c r="F1305">
        <v>5782</v>
      </c>
      <c r="G1305" t="s">
        <v>702</v>
      </c>
      <c r="I1305">
        <v>556</v>
      </c>
      <c r="J1305">
        <v>306</v>
      </c>
      <c r="K1305">
        <v>172</v>
      </c>
      <c r="L1305">
        <v>68</v>
      </c>
      <c r="N1305" t="s">
        <v>988</v>
      </c>
    </row>
    <row r="1306" spans="1:14" x14ac:dyDescent="0.3">
      <c r="A1306">
        <v>1547</v>
      </c>
      <c r="B1306" t="s">
        <v>1693</v>
      </c>
      <c r="C1306" t="s">
        <v>2256</v>
      </c>
      <c r="D1306" t="s">
        <v>159</v>
      </c>
      <c r="E1306" t="s">
        <v>159</v>
      </c>
      <c r="F1306">
        <v>5782</v>
      </c>
      <c r="G1306" t="s">
        <v>701</v>
      </c>
      <c r="I1306">
        <v>68</v>
      </c>
      <c r="J1306">
        <v>254</v>
      </c>
      <c r="K1306">
        <v>263</v>
      </c>
      <c r="L1306">
        <v>272</v>
      </c>
      <c r="N1306" t="s">
        <v>988</v>
      </c>
    </row>
    <row r="1307" spans="1:14" x14ac:dyDescent="0.3">
      <c r="A1307">
        <v>1547</v>
      </c>
      <c r="B1307" t="s">
        <v>1693</v>
      </c>
      <c r="C1307" t="s">
        <v>2256</v>
      </c>
      <c r="D1307" t="s">
        <v>159</v>
      </c>
      <c r="E1307" t="s">
        <v>159</v>
      </c>
      <c r="F1307">
        <v>5782</v>
      </c>
      <c r="G1307" t="s">
        <v>696</v>
      </c>
      <c r="I1307">
        <v>2214</v>
      </c>
      <c r="J1307">
        <v>2650</v>
      </c>
      <c r="K1307">
        <v>2923</v>
      </c>
      <c r="L1307">
        <v>3173</v>
      </c>
      <c r="N1307" t="s">
        <v>988</v>
      </c>
    </row>
    <row r="1308" spans="1:14" x14ac:dyDescent="0.3">
      <c r="A1308">
        <v>1547</v>
      </c>
      <c r="B1308" t="s">
        <v>1693</v>
      </c>
      <c r="C1308" t="s">
        <v>2256</v>
      </c>
      <c r="D1308" t="s">
        <v>159</v>
      </c>
      <c r="E1308" t="s">
        <v>159</v>
      </c>
      <c r="F1308">
        <v>5782</v>
      </c>
      <c r="G1308" t="s">
        <v>703</v>
      </c>
      <c r="I1308">
        <v>230</v>
      </c>
      <c r="J1308">
        <v>268</v>
      </c>
      <c r="K1308">
        <v>291</v>
      </c>
      <c r="L1308">
        <v>302</v>
      </c>
      <c r="N1308" t="s">
        <v>988</v>
      </c>
    </row>
    <row r="1309" spans="1:14" x14ac:dyDescent="0.3">
      <c r="A1309">
        <v>1547</v>
      </c>
      <c r="B1309" t="s">
        <v>1693</v>
      </c>
      <c r="C1309" t="s">
        <v>2256</v>
      </c>
      <c r="D1309" t="s">
        <v>159</v>
      </c>
      <c r="E1309" t="s">
        <v>159</v>
      </c>
      <c r="F1309">
        <v>5782</v>
      </c>
      <c r="G1309" t="s">
        <v>700</v>
      </c>
      <c r="I1309">
        <v>1009</v>
      </c>
      <c r="J1309">
        <v>1764</v>
      </c>
      <c r="K1309">
        <v>2095</v>
      </c>
      <c r="L1309">
        <v>2235</v>
      </c>
      <c r="N1309" t="s">
        <v>988</v>
      </c>
    </row>
    <row r="1310" spans="1:14" x14ac:dyDescent="0.3">
      <c r="A1310">
        <v>1547</v>
      </c>
      <c r="B1310" t="s">
        <v>1693</v>
      </c>
      <c r="C1310" t="s">
        <v>2256</v>
      </c>
      <c r="D1310" t="s">
        <v>159</v>
      </c>
      <c r="E1310" t="s">
        <v>159</v>
      </c>
      <c r="F1310">
        <v>5782</v>
      </c>
      <c r="G1310" t="s">
        <v>698</v>
      </c>
      <c r="I1310">
        <v>1401</v>
      </c>
      <c r="J1310">
        <v>1676</v>
      </c>
      <c r="K1310">
        <v>2064</v>
      </c>
      <c r="L1310">
        <v>2332</v>
      </c>
      <c r="N1310" t="s">
        <v>988</v>
      </c>
    </row>
    <row r="1311" spans="1:14" x14ac:dyDescent="0.3">
      <c r="A1311">
        <v>1554</v>
      </c>
      <c r="B1311" t="s">
        <v>1694</v>
      </c>
      <c r="C1311" t="s">
        <v>2256</v>
      </c>
      <c r="D1311" t="s">
        <v>1203</v>
      </c>
      <c r="E1311" t="s">
        <v>1204</v>
      </c>
      <c r="F1311">
        <v>5469</v>
      </c>
      <c r="G1311" t="s">
        <v>696</v>
      </c>
      <c r="I1311">
        <v>2034</v>
      </c>
      <c r="J1311">
        <v>2032</v>
      </c>
      <c r="K1311">
        <v>2015</v>
      </c>
      <c r="L1311">
        <v>2019</v>
      </c>
      <c r="M1311">
        <v>2070</v>
      </c>
      <c r="N1311" t="s">
        <v>988</v>
      </c>
    </row>
    <row r="1312" spans="1:14" x14ac:dyDescent="0.3">
      <c r="A1312">
        <v>1554</v>
      </c>
      <c r="B1312" t="s">
        <v>1694</v>
      </c>
      <c r="C1312" t="s">
        <v>2256</v>
      </c>
      <c r="D1312" t="s">
        <v>1203</v>
      </c>
      <c r="E1312" t="s">
        <v>1204</v>
      </c>
      <c r="F1312">
        <v>5469</v>
      </c>
      <c r="G1312" t="s">
        <v>698</v>
      </c>
      <c r="I1312">
        <v>364</v>
      </c>
      <c r="J1312">
        <v>364</v>
      </c>
      <c r="K1312">
        <v>361</v>
      </c>
      <c r="L1312">
        <v>362</v>
      </c>
      <c r="M1312">
        <v>371</v>
      </c>
      <c r="N1312" t="s">
        <v>988</v>
      </c>
    </row>
    <row r="1313" spans="1:14" x14ac:dyDescent="0.3">
      <c r="A1313">
        <v>1554</v>
      </c>
      <c r="B1313" t="s">
        <v>1694</v>
      </c>
      <c r="C1313" t="s">
        <v>2256</v>
      </c>
      <c r="D1313" t="s">
        <v>1203</v>
      </c>
      <c r="E1313" t="s">
        <v>1204</v>
      </c>
      <c r="F1313">
        <v>5469</v>
      </c>
      <c r="G1313" t="s">
        <v>701</v>
      </c>
      <c r="I1313">
        <v>145</v>
      </c>
      <c r="J1313">
        <v>146</v>
      </c>
      <c r="K1313">
        <v>148</v>
      </c>
      <c r="L1313">
        <v>150</v>
      </c>
      <c r="M1313">
        <v>150</v>
      </c>
      <c r="N1313" t="s">
        <v>988</v>
      </c>
    </row>
    <row r="1314" spans="1:14" x14ac:dyDescent="0.3">
      <c r="A1314">
        <v>1554</v>
      </c>
      <c r="B1314" t="s">
        <v>1694</v>
      </c>
      <c r="C1314" t="s">
        <v>2256</v>
      </c>
      <c r="D1314" t="s">
        <v>1203</v>
      </c>
      <c r="E1314" t="s">
        <v>1204</v>
      </c>
      <c r="F1314">
        <v>5469</v>
      </c>
      <c r="G1314" t="s">
        <v>702</v>
      </c>
      <c r="I1314">
        <v>254</v>
      </c>
      <c r="J1314">
        <v>254</v>
      </c>
      <c r="K1314">
        <v>254</v>
      </c>
      <c r="L1314">
        <v>254</v>
      </c>
      <c r="M1314">
        <v>254</v>
      </c>
      <c r="N1314" t="s">
        <v>988</v>
      </c>
    </row>
    <row r="1315" spans="1:14" x14ac:dyDescent="0.3">
      <c r="A1315">
        <v>1554</v>
      </c>
      <c r="B1315" t="s">
        <v>1694</v>
      </c>
      <c r="C1315" t="s">
        <v>2256</v>
      </c>
      <c r="D1315" t="s">
        <v>1203</v>
      </c>
      <c r="E1315" t="s">
        <v>1204</v>
      </c>
      <c r="F1315">
        <v>5469</v>
      </c>
      <c r="G1315" t="s">
        <v>686</v>
      </c>
      <c r="I1315">
        <v>948</v>
      </c>
      <c r="J1315">
        <v>747</v>
      </c>
      <c r="K1315">
        <v>560</v>
      </c>
      <c r="L1315">
        <v>392</v>
      </c>
      <c r="M1315">
        <v>398</v>
      </c>
      <c r="N1315" t="s">
        <v>988</v>
      </c>
    </row>
    <row r="1316" spans="1:14" x14ac:dyDescent="0.3">
      <c r="A1316">
        <v>1554</v>
      </c>
      <c r="B1316" t="s">
        <v>1694</v>
      </c>
      <c r="C1316" t="s">
        <v>2256</v>
      </c>
      <c r="D1316" t="s">
        <v>1203</v>
      </c>
      <c r="E1316" t="s">
        <v>1204</v>
      </c>
      <c r="F1316">
        <v>5469</v>
      </c>
      <c r="G1316" t="s">
        <v>700</v>
      </c>
      <c r="H1316" t="s">
        <v>1264</v>
      </c>
      <c r="I1316">
        <v>715</v>
      </c>
      <c r="J1316">
        <v>723</v>
      </c>
      <c r="K1316">
        <v>732</v>
      </c>
      <c r="L1316">
        <v>741</v>
      </c>
      <c r="M1316">
        <v>741</v>
      </c>
      <c r="N1316" t="s">
        <v>988</v>
      </c>
    </row>
    <row r="1317" spans="1:14" x14ac:dyDescent="0.3">
      <c r="A1317">
        <v>3056</v>
      </c>
      <c r="B1317" t="s">
        <v>1695</v>
      </c>
      <c r="C1317" t="s">
        <v>2256</v>
      </c>
      <c r="D1317" t="s">
        <v>1203</v>
      </c>
      <c r="E1317" t="s">
        <v>1204</v>
      </c>
      <c r="F1317">
        <v>8088</v>
      </c>
      <c r="G1317" t="s">
        <v>691</v>
      </c>
      <c r="H1317" t="s">
        <v>1264</v>
      </c>
      <c r="I1317">
        <v>75</v>
      </c>
      <c r="J1317">
        <v>84</v>
      </c>
      <c r="K1317">
        <v>94</v>
      </c>
      <c r="L1317">
        <v>105</v>
      </c>
      <c r="N1317" t="s">
        <v>987</v>
      </c>
    </row>
    <row r="1318" spans="1:14" x14ac:dyDescent="0.3">
      <c r="A1318">
        <v>3056</v>
      </c>
      <c r="B1318" t="s">
        <v>1695</v>
      </c>
      <c r="C1318" t="s">
        <v>2256</v>
      </c>
      <c r="D1318" t="s">
        <v>1203</v>
      </c>
      <c r="E1318" t="s">
        <v>1204</v>
      </c>
      <c r="F1318">
        <v>8088</v>
      </c>
      <c r="G1318" t="s">
        <v>686</v>
      </c>
      <c r="H1318" t="s">
        <v>1269</v>
      </c>
      <c r="I1318">
        <v>19</v>
      </c>
      <c r="J1318">
        <v>22</v>
      </c>
      <c r="K1318">
        <v>25</v>
      </c>
      <c r="L1318">
        <v>27</v>
      </c>
      <c r="N1318" t="s">
        <v>987</v>
      </c>
    </row>
    <row r="1319" spans="1:14" x14ac:dyDescent="0.3">
      <c r="A1319">
        <v>3056</v>
      </c>
      <c r="B1319" t="s">
        <v>1695</v>
      </c>
      <c r="C1319" t="s">
        <v>2256</v>
      </c>
      <c r="D1319" t="s">
        <v>1203</v>
      </c>
      <c r="E1319" t="s">
        <v>1204</v>
      </c>
      <c r="F1319">
        <v>8088</v>
      </c>
      <c r="G1319" t="s">
        <v>691</v>
      </c>
      <c r="H1319" t="s">
        <v>1496</v>
      </c>
      <c r="I1319">
        <v>462</v>
      </c>
      <c r="J1319">
        <v>520</v>
      </c>
      <c r="K1319">
        <v>588</v>
      </c>
      <c r="L1319">
        <v>642</v>
      </c>
      <c r="N1319" t="s">
        <v>987</v>
      </c>
    </row>
    <row r="1320" spans="1:14" x14ac:dyDescent="0.3">
      <c r="A1320">
        <v>1570</v>
      </c>
      <c r="B1320" t="s">
        <v>1697</v>
      </c>
      <c r="C1320" t="s">
        <v>2256</v>
      </c>
      <c r="D1320" t="s">
        <v>159</v>
      </c>
      <c r="E1320" t="s">
        <v>159</v>
      </c>
      <c r="F1320">
        <v>6877</v>
      </c>
      <c r="G1320" t="s">
        <v>703</v>
      </c>
      <c r="I1320">
        <v>16</v>
      </c>
      <c r="J1320">
        <v>17</v>
      </c>
      <c r="K1320">
        <v>18</v>
      </c>
      <c r="L1320">
        <v>18</v>
      </c>
      <c r="N1320" t="s">
        <v>987</v>
      </c>
    </row>
    <row r="1321" spans="1:14" x14ac:dyDescent="0.3">
      <c r="A1321">
        <v>1570</v>
      </c>
      <c r="B1321" t="s">
        <v>1697</v>
      </c>
      <c r="C1321" t="s">
        <v>2256</v>
      </c>
      <c r="D1321" t="s">
        <v>159</v>
      </c>
      <c r="E1321" t="s">
        <v>159</v>
      </c>
      <c r="F1321">
        <v>6877</v>
      </c>
      <c r="G1321" t="s">
        <v>700</v>
      </c>
      <c r="I1321">
        <v>40</v>
      </c>
      <c r="J1321">
        <v>41</v>
      </c>
      <c r="K1321">
        <v>42</v>
      </c>
      <c r="L1321">
        <v>43</v>
      </c>
      <c r="N1321" t="s">
        <v>987</v>
      </c>
    </row>
    <row r="1322" spans="1:14" x14ac:dyDescent="0.3">
      <c r="A1322">
        <v>1570</v>
      </c>
      <c r="B1322" t="s">
        <v>1697</v>
      </c>
      <c r="C1322" t="s">
        <v>2256</v>
      </c>
      <c r="D1322" t="s">
        <v>159</v>
      </c>
      <c r="E1322" t="s">
        <v>159</v>
      </c>
      <c r="F1322">
        <v>6877</v>
      </c>
      <c r="G1322" t="s">
        <v>698</v>
      </c>
      <c r="I1322">
        <v>90</v>
      </c>
      <c r="J1322">
        <v>100</v>
      </c>
      <c r="K1322">
        <v>112</v>
      </c>
      <c r="L1322">
        <v>125</v>
      </c>
      <c r="N1322" t="s">
        <v>987</v>
      </c>
    </row>
    <row r="1323" spans="1:14" x14ac:dyDescent="0.3">
      <c r="A1323">
        <v>1570</v>
      </c>
      <c r="B1323" t="s">
        <v>1697</v>
      </c>
      <c r="C1323" t="s">
        <v>2256</v>
      </c>
      <c r="D1323" t="s">
        <v>159</v>
      </c>
      <c r="E1323" t="s">
        <v>159</v>
      </c>
      <c r="F1323">
        <v>6877</v>
      </c>
      <c r="G1323" t="s">
        <v>696</v>
      </c>
      <c r="I1323">
        <v>307</v>
      </c>
      <c r="J1323">
        <v>317</v>
      </c>
      <c r="K1323">
        <v>327</v>
      </c>
      <c r="L1323">
        <v>337</v>
      </c>
      <c r="N1323" t="s">
        <v>987</v>
      </c>
    </row>
    <row r="1324" spans="1:14" x14ac:dyDescent="0.3">
      <c r="A1324">
        <v>1570</v>
      </c>
      <c r="B1324" t="s">
        <v>1697</v>
      </c>
      <c r="C1324" t="s">
        <v>2256</v>
      </c>
      <c r="D1324" t="s">
        <v>159</v>
      </c>
      <c r="E1324" t="s">
        <v>159</v>
      </c>
      <c r="F1324">
        <v>6877</v>
      </c>
      <c r="G1324" t="s">
        <v>691</v>
      </c>
      <c r="H1324" t="s">
        <v>1698</v>
      </c>
      <c r="I1324">
        <v>4</v>
      </c>
      <c r="J1324">
        <v>5</v>
      </c>
      <c r="K1324">
        <v>6</v>
      </c>
      <c r="L1324">
        <v>7</v>
      </c>
      <c r="N1324" t="s">
        <v>987</v>
      </c>
    </row>
    <row r="1325" spans="1:14" x14ac:dyDescent="0.3">
      <c r="A1325">
        <v>1570</v>
      </c>
      <c r="B1325" t="s">
        <v>1697</v>
      </c>
      <c r="C1325" t="s">
        <v>2256</v>
      </c>
      <c r="D1325" t="s">
        <v>159</v>
      </c>
      <c r="E1325" t="s">
        <v>159</v>
      </c>
      <c r="F1325">
        <v>6877</v>
      </c>
      <c r="G1325" t="s">
        <v>702</v>
      </c>
      <c r="I1325">
        <v>4</v>
      </c>
      <c r="J1325">
        <v>4</v>
      </c>
      <c r="K1325">
        <v>4</v>
      </c>
      <c r="L1325">
        <v>4</v>
      </c>
      <c r="N1325" t="s">
        <v>987</v>
      </c>
    </row>
    <row r="1326" spans="1:14" x14ac:dyDescent="0.3">
      <c r="A1326">
        <v>1570</v>
      </c>
      <c r="B1326" t="s">
        <v>1697</v>
      </c>
      <c r="C1326" t="s">
        <v>2256</v>
      </c>
      <c r="D1326" t="s">
        <v>159</v>
      </c>
      <c r="E1326" t="s">
        <v>159</v>
      </c>
      <c r="F1326">
        <v>6877</v>
      </c>
      <c r="G1326" t="s">
        <v>705</v>
      </c>
      <c r="I1326">
        <v>8</v>
      </c>
      <c r="J1326">
        <v>8</v>
      </c>
      <c r="K1326">
        <v>9</v>
      </c>
      <c r="L1326">
        <v>9</v>
      </c>
      <c r="N1326" t="s">
        <v>987</v>
      </c>
    </row>
    <row r="1327" spans="1:14" x14ac:dyDescent="0.3">
      <c r="A1327">
        <v>1587</v>
      </c>
      <c r="B1327" t="s">
        <v>1699</v>
      </c>
      <c r="C1327" t="s">
        <v>2256</v>
      </c>
      <c r="D1327" t="s">
        <v>159</v>
      </c>
      <c r="E1327" t="s">
        <v>159</v>
      </c>
      <c r="F1327">
        <v>7799</v>
      </c>
      <c r="G1327" t="s">
        <v>687</v>
      </c>
      <c r="H1327" t="s">
        <v>1702</v>
      </c>
      <c r="I1327">
        <v>1</v>
      </c>
      <c r="J1327">
        <v>1</v>
      </c>
      <c r="K1327">
        <v>1</v>
      </c>
      <c r="L1327">
        <v>2</v>
      </c>
      <c r="N1327" t="s">
        <v>987</v>
      </c>
    </row>
    <row r="1328" spans="1:14" x14ac:dyDescent="0.3">
      <c r="A1328">
        <v>1587</v>
      </c>
      <c r="B1328" t="s">
        <v>1699</v>
      </c>
      <c r="C1328" t="s">
        <v>2256</v>
      </c>
      <c r="D1328" t="s">
        <v>159</v>
      </c>
      <c r="E1328" t="s">
        <v>159</v>
      </c>
      <c r="F1328">
        <v>7799</v>
      </c>
      <c r="G1328" t="s">
        <v>696</v>
      </c>
      <c r="I1328">
        <v>306</v>
      </c>
      <c r="J1328">
        <v>299</v>
      </c>
      <c r="K1328">
        <v>293</v>
      </c>
      <c r="L1328">
        <v>288.02999999999997</v>
      </c>
      <c r="N1328" t="s">
        <v>987</v>
      </c>
    </row>
    <row r="1329" spans="1:14" x14ac:dyDescent="0.3">
      <c r="A1329">
        <v>1587</v>
      </c>
      <c r="B1329" t="s">
        <v>1699</v>
      </c>
      <c r="C1329" t="s">
        <v>2256</v>
      </c>
      <c r="D1329" t="s">
        <v>159</v>
      </c>
      <c r="E1329" t="s">
        <v>159</v>
      </c>
      <c r="F1329">
        <v>7799</v>
      </c>
      <c r="G1329" t="s">
        <v>686</v>
      </c>
      <c r="I1329">
        <v>110</v>
      </c>
      <c r="J1329">
        <v>116</v>
      </c>
      <c r="K1329">
        <v>122</v>
      </c>
      <c r="L1329">
        <v>128</v>
      </c>
      <c r="N1329" t="s">
        <v>987</v>
      </c>
    </row>
    <row r="1330" spans="1:14" x14ac:dyDescent="0.3">
      <c r="A1330">
        <v>1587</v>
      </c>
      <c r="B1330" t="s">
        <v>1699</v>
      </c>
      <c r="C1330" t="s">
        <v>2256</v>
      </c>
      <c r="D1330" t="s">
        <v>159</v>
      </c>
      <c r="E1330" t="s">
        <v>159</v>
      </c>
      <c r="F1330">
        <v>7799</v>
      </c>
      <c r="G1330" t="s">
        <v>702</v>
      </c>
      <c r="H1330" t="s">
        <v>1701</v>
      </c>
      <c r="I1330">
        <v>95</v>
      </c>
      <c r="J1330">
        <v>61</v>
      </c>
      <c r="K1330">
        <v>71</v>
      </c>
      <c r="L1330">
        <v>85</v>
      </c>
      <c r="N1330" t="s">
        <v>987</v>
      </c>
    </row>
    <row r="1331" spans="1:14" x14ac:dyDescent="0.3">
      <c r="A1331">
        <v>1587</v>
      </c>
      <c r="B1331" t="s">
        <v>1699</v>
      </c>
      <c r="C1331" t="s">
        <v>2256</v>
      </c>
      <c r="D1331" t="s">
        <v>159</v>
      </c>
      <c r="E1331" t="s">
        <v>159</v>
      </c>
      <c r="F1331">
        <v>7799</v>
      </c>
      <c r="G1331" t="s">
        <v>703</v>
      </c>
      <c r="I1331">
        <v>98</v>
      </c>
      <c r="J1331">
        <v>105</v>
      </c>
      <c r="K1331">
        <v>115</v>
      </c>
      <c r="L1331">
        <v>126</v>
      </c>
      <c r="N1331" t="s">
        <v>987</v>
      </c>
    </row>
    <row r="1332" spans="1:14" x14ac:dyDescent="0.3">
      <c r="A1332">
        <v>1587</v>
      </c>
      <c r="B1332" t="s">
        <v>1699</v>
      </c>
      <c r="C1332" t="s">
        <v>2256</v>
      </c>
      <c r="D1332" t="s">
        <v>159</v>
      </c>
      <c r="E1332" t="s">
        <v>159</v>
      </c>
      <c r="F1332">
        <v>7799</v>
      </c>
      <c r="G1332" t="s">
        <v>701</v>
      </c>
      <c r="I1332">
        <v>134</v>
      </c>
      <c r="J1332">
        <v>122</v>
      </c>
      <c r="K1332">
        <v>112</v>
      </c>
      <c r="L1332">
        <v>102.47</v>
      </c>
      <c r="N1332" t="s">
        <v>988</v>
      </c>
    </row>
    <row r="1333" spans="1:14" x14ac:dyDescent="0.3">
      <c r="A1333">
        <v>1587</v>
      </c>
      <c r="B1333" t="s">
        <v>1699</v>
      </c>
      <c r="C1333" t="s">
        <v>2256</v>
      </c>
      <c r="D1333" t="s">
        <v>159</v>
      </c>
      <c r="E1333" t="s">
        <v>159</v>
      </c>
      <c r="F1333">
        <v>7799</v>
      </c>
      <c r="G1333" t="s">
        <v>700</v>
      </c>
      <c r="I1333">
        <v>346</v>
      </c>
      <c r="J1333">
        <v>345</v>
      </c>
      <c r="K1333">
        <v>373</v>
      </c>
      <c r="L1333">
        <v>401.5</v>
      </c>
      <c r="N1333" t="s">
        <v>988</v>
      </c>
    </row>
    <row r="1334" spans="1:14" x14ac:dyDescent="0.3">
      <c r="A1334">
        <v>1587</v>
      </c>
      <c r="B1334" t="s">
        <v>1699</v>
      </c>
      <c r="C1334" t="s">
        <v>2256</v>
      </c>
      <c r="D1334" t="s">
        <v>159</v>
      </c>
      <c r="E1334" t="s">
        <v>159</v>
      </c>
      <c r="F1334">
        <v>7799</v>
      </c>
      <c r="G1334" t="s">
        <v>698</v>
      </c>
      <c r="I1334">
        <v>158</v>
      </c>
      <c r="J1334">
        <v>176</v>
      </c>
      <c r="K1334">
        <v>203</v>
      </c>
      <c r="L1334">
        <v>230.28</v>
      </c>
      <c r="N1334" t="s">
        <v>988</v>
      </c>
    </row>
    <row r="1335" spans="1:14" x14ac:dyDescent="0.3">
      <c r="A1335">
        <v>1589</v>
      </c>
      <c r="B1335" t="s">
        <v>1703</v>
      </c>
      <c r="C1335" t="s">
        <v>2256</v>
      </c>
      <c r="D1335" t="s">
        <v>1203</v>
      </c>
      <c r="E1335" t="s">
        <v>1204</v>
      </c>
      <c r="F1335">
        <v>5456</v>
      </c>
      <c r="G1335" t="s">
        <v>698</v>
      </c>
      <c r="I1335">
        <v>3961</v>
      </c>
      <c r="J1335">
        <v>4340</v>
      </c>
      <c r="K1335">
        <v>4704</v>
      </c>
      <c r="L1335">
        <v>5163</v>
      </c>
      <c r="N1335" t="s">
        <v>988</v>
      </c>
    </row>
    <row r="1336" spans="1:14" x14ac:dyDescent="0.3">
      <c r="A1336">
        <v>1589</v>
      </c>
      <c r="B1336" t="s">
        <v>1703</v>
      </c>
      <c r="C1336" t="s">
        <v>2256</v>
      </c>
      <c r="D1336" t="s">
        <v>1203</v>
      </c>
      <c r="E1336" t="s">
        <v>1204</v>
      </c>
      <c r="F1336">
        <v>5456</v>
      </c>
      <c r="G1336" t="s">
        <v>696</v>
      </c>
      <c r="I1336">
        <v>12531</v>
      </c>
      <c r="J1336">
        <v>13729</v>
      </c>
      <c r="K1336">
        <v>14880</v>
      </c>
      <c r="L1336">
        <v>16333</v>
      </c>
      <c r="N1336" t="s">
        <v>988</v>
      </c>
    </row>
    <row r="1337" spans="1:14" x14ac:dyDescent="0.3">
      <c r="A1337">
        <v>1589</v>
      </c>
      <c r="B1337" t="s">
        <v>1703</v>
      </c>
      <c r="C1337" t="s">
        <v>2256</v>
      </c>
      <c r="D1337" t="s">
        <v>1203</v>
      </c>
      <c r="E1337" t="s">
        <v>1204</v>
      </c>
      <c r="F1337">
        <v>5456</v>
      </c>
      <c r="G1337" t="s">
        <v>700</v>
      </c>
      <c r="I1337">
        <v>3699</v>
      </c>
      <c r="J1337">
        <v>4052</v>
      </c>
      <c r="K1337">
        <v>4392</v>
      </c>
      <c r="L1337">
        <v>4821</v>
      </c>
      <c r="N1337" t="s">
        <v>988</v>
      </c>
    </row>
    <row r="1338" spans="1:14" x14ac:dyDescent="0.3">
      <c r="A1338">
        <v>1589</v>
      </c>
      <c r="B1338" t="s">
        <v>1703</v>
      </c>
      <c r="C1338" t="s">
        <v>2256</v>
      </c>
      <c r="D1338" t="s">
        <v>1203</v>
      </c>
      <c r="E1338" t="s">
        <v>1204</v>
      </c>
      <c r="F1338">
        <v>5456</v>
      </c>
      <c r="G1338" t="s">
        <v>701</v>
      </c>
      <c r="I1338">
        <v>500</v>
      </c>
      <c r="J1338">
        <v>548</v>
      </c>
      <c r="K1338">
        <v>594</v>
      </c>
      <c r="L1338">
        <v>651</v>
      </c>
      <c r="N1338" t="s">
        <v>988</v>
      </c>
    </row>
    <row r="1339" spans="1:14" x14ac:dyDescent="0.3">
      <c r="A1339">
        <v>1589</v>
      </c>
      <c r="B1339" t="s">
        <v>1703</v>
      </c>
      <c r="C1339" t="s">
        <v>2256</v>
      </c>
      <c r="D1339" t="s">
        <v>1203</v>
      </c>
      <c r="E1339" t="s">
        <v>1204</v>
      </c>
      <c r="F1339">
        <v>5456</v>
      </c>
      <c r="G1339" t="s">
        <v>702</v>
      </c>
      <c r="I1339">
        <v>2024</v>
      </c>
      <c r="J1339">
        <v>2217</v>
      </c>
      <c r="K1339">
        <v>2403</v>
      </c>
      <c r="L1339">
        <v>2638</v>
      </c>
      <c r="N1339" t="s">
        <v>988</v>
      </c>
    </row>
    <row r="1340" spans="1:14" x14ac:dyDescent="0.3">
      <c r="A1340">
        <v>1589</v>
      </c>
      <c r="B1340" t="s">
        <v>1703</v>
      </c>
      <c r="C1340" t="s">
        <v>2256</v>
      </c>
      <c r="D1340" t="s">
        <v>1203</v>
      </c>
      <c r="E1340" t="s">
        <v>1204</v>
      </c>
      <c r="F1340">
        <v>5456</v>
      </c>
      <c r="G1340" t="s">
        <v>686</v>
      </c>
      <c r="I1340">
        <v>1703</v>
      </c>
      <c r="J1340">
        <v>1865</v>
      </c>
      <c r="K1340">
        <v>2022</v>
      </c>
      <c r="L1340">
        <v>2219</v>
      </c>
      <c r="N1340" t="s">
        <v>988</v>
      </c>
    </row>
    <row r="1341" spans="1:14" x14ac:dyDescent="0.3">
      <c r="A1341">
        <v>1596</v>
      </c>
      <c r="B1341" t="s">
        <v>1704</v>
      </c>
      <c r="C1341" t="s">
        <v>2256</v>
      </c>
      <c r="D1341" t="s">
        <v>159</v>
      </c>
      <c r="E1341" t="s">
        <v>159</v>
      </c>
      <c r="F1341">
        <v>8071</v>
      </c>
      <c r="G1341" t="s">
        <v>696</v>
      </c>
      <c r="I1341">
        <v>5154.3999999999996</v>
      </c>
      <c r="J1341">
        <v>5554</v>
      </c>
      <c r="K1341">
        <v>5854</v>
      </c>
      <c r="L1341">
        <v>5953</v>
      </c>
      <c r="M1341">
        <v>6084</v>
      </c>
      <c r="N1341" t="s">
        <v>988</v>
      </c>
    </row>
    <row r="1342" spans="1:14" x14ac:dyDescent="0.3">
      <c r="A1342">
        <v>1596</v>
      </c>
      <c r="B1342" t="s">
        <v>1704</v>
      </c>
      <c r="C1342" t="s">
        <v>2256</v>
      </c>
      <c r="D1342" t="s">
        <v>159</v>
      </c>
      <c r="E1342" t="s">
        <v>159</v>
      </c>
      <c r="F1342">
        <v>8071</v>
      </c>
      <c r="G1342" t="s">
        <v>698</v>
      </c>
      <c r="I1342">
        <v>5139.3999999999996</v>
      </c>
      <c r="J1342">
        <v>5648</v>
      </c>
      <c r="K1342">
        <v>6061.4</v>
      </c>
      <c r="L1342">
        <v>6301</v>
      </c>
      <c r="M1342">
        <v>6645</v>
      </c>
      <c r="N1342" t="s">
        <v>988</v>
      </c>
    </row>
    <row r="1343" spans="1:14" x14ac:dyDescent="0.3">
      <c r="A1343">
        <v>1596</v>
      </c>
      <c r="B1343" t="s">
        <v>1704</v>
      </c>
      <c r="C1343" t="s">
        <v>2256</v>
      </c>
      <c r="D1343" t="s">
        <v>159</v>
      </c>
      <c r="E1343" t="s">
        <v>159</v>
      </c>
      <c r="F1343">
        <v>8071</v>
      </c>
      <c r="G1343" t="s">
        <v>703</v>
      </c>
      <c r="I1343">
        <v>871</v>
      </c>
      <c r="J1343">
        <v>1027</v>
      </c>
      <c r="K1343">
        <v>1073.9000000000001</v>
      </c>
      <c r="L1343">
        <v>1084</v>
      </c>
      <c r="M1343">
        <v>1064</v>
      </c>
      <c r="N1343" t="s">
        <v>988</v>
      </c>
    </row>
    <row r="1344" spans="1:14" x14ac:dyDescent="0.3">
      <c r="A1344">
        <v>1596</v>
      </c>
      <c r="B1344" t="s">
        <v>1704</v>
      </c>
      <c r="C1344" t="s">
        <v>2256</v>
      </c>
      <c r="D1344" t="s">
        <v>159</v>
      </c>
      <c r="E1344" t="s">
        <v>159</v>
      </c>
      <c r="F1344">
        <v>8071</v>
      </c>
      <c r="G1344" t="s">
        <v>700</v>
      </c>
      <c r="I1344">
        <v>2632</v>
      </c>
      <c r="J1344">
        <v>3102</v>
      </c>
      <c r="K1344">
        <v>3244</v>
      </c>
      <c r="L1344">
        <v>3275</v>
      </c>
      <c r="M1344">
        <v>3213</v>
      </c>
      <c r="N1344" t="s">
        <v>988</v>
      </c>
    </row>
    <row r="1345" spans="1:14" x14ac:dyDescent="0.3">
      <c r="A1345">
        <v>1596</v>
      </c>
      <c r="B1345" t="s">
        <v>1704</v>
      </c>
      <c r="C1345" t="s">
        <v>2256</v>
      </c>
      <c r="D1345" t="s">
        <v>159</v>
      </c>
      <c r="E1345" t="s">
        <v>159</v>
      </c>
      <c r="F1345">
        <v>8071</v>
      </c>
      <c r="G1345" t="s">
        <v>701</v>
      </c>
      <c r="I1345">
        <v>248</v>
      </c>
      <c r="J1345">
        <v>292</v>
      </c>
      <c r="K1345">
        <v>305</v>
      </c>
      <c r="L1345">
        <v>308</v>
      </c>
      <c r="M1345">
        <v>303</v>
      </c>
      <c r="N1345" t="s">
        <v>987</v>
      </c>
    </row>
    <row r="1346" spans="1:14" x14ac:dyDescent="0.3">
      <c r="A1346">
        <v>1596</v>
      </c>
      <c r="B1346" t="s">
        <v>1704</v>
      </c>
      <c r="C1346" t="s">
        <v>2256</v>
      </c>
      <c r="D1346" t="s">
        <v>159</v>
      </c>
      <c r="E1346" t="s">
        <v>159</v>
      </c>
      <c r="F1346">
        <v>8071</v>
      </c>
      <c r="G1346" t="s">
        <v>702</v>
      </c>
      <c r="I1346">
        <v>1563</v>
      </c>
      <c r="J1346">
        <v>1564</v>
      </c>
      <c r="K1346">
        <v>1595.4</v>
      </c>
      <c r="L1346">
        <v>1571</v>
      </c>
      <c r="M1346">
        <v>1541</v>
      </c>
      <c r="N1346" t="s">
        <v>987</v>
      </c>
    </row>
    <row r="1347" spans="1:14" x14ac:dyDescent="0.3">
      <c r="A1347">
        <v>1596</v>
      </c>
      <c r="B1347" t="s">
        <v>1704</v>
      </c>
      <c r="C1347" t="s">
        <v>2256</v>
      </c>
      <c r="D1347" t="s">
        <v>159</v>
      </c>
      <c r="E1347" t="s">
        <v>159</v>
      </c>
      <c r="F1347">
        <v>8071</v>
      </c>
      <c r="G1347" t="s">
        <v>686</v>
      </c>
      <c r="H1347" t="s">
        <v>1289</v>
      </c>
      <c r="I1347">
        <v>746</v>
      </c>
      <c r="J1347">
        <v>822</v>
      </c>
      <c r="K1347">
        <v>867</v>
      </c>
      <c r="L1347">
        <v>884</v>
      </c>
      <c r="M1347">
        <v>901</v>
      </c>
      <c r="N1347" t="s">
        <v>987</v>
      </c>
    </row>
    <row r="1348" spans="1:14" x14ac:dyDescent="0.3">
      <c r="A1348">
        <v>1605</v>
      </c>
      <c r="B1348" t="s">
        <v>1706</v>
      </c>
      <c r="C1348" t="s">
        <v>2256</v>
      </c>
      <c r="D1348" t="s">
        <v>1203</v>
      </c>
      <c r="E1348" t="s">
        <v>1204</v>
      </c>
      <c r="F1348">
        <v>6395</v>
      </c>
      <c r="G1348" t="s">
        <v>686</v>
      </c>
      <c r="H1348" t="s">
        <v>2369</v>
      </c>
      <c r="I1348">
        <v>61</v>
      </c>
      <c r="J1348">
        <v>61</v>
      </c>
      <c r="K1348">
        <v>61</v>
      </c>
      <c r="L1348">
        <v>60</v>
      </c>
      <c r="M1348">
        <v>64</v>
      </c>
      <c r="N1348" t="s">
        <v>987</v>
      </c>
    </row>
    <row r="1349" spans="1:14" x14ac:dyDescent="0.3">
      <c r="A1349">
        <v>1605</v>
      </c>
      <c r="B1349" t="s">
        <v>1706</v>
      </c>
      <c r="C1349" t="s">
        <v>2256</v>
      </c>
      <c r="D1349" t="s">
        <v>1203</v>
      </c>
      <c r="E1349" t="s">
        <v>1204</v>
      </c>
      <c r="F1349">
        <v>6395</v>
      </c>
      <c r="G1349" t="s">
        <v>702</v>
      </c>
      <c r="H1349" t="s">
        <v>2369</v>
      </c>
      <c r="I1349">
        <v>76</v>
      </c>
      <c r="J1349">
        <v>79</v>
      </c>
      <c r="K1349">
        <v>84</v>
      </c>
      <c r="L1349">
        <v>84</v>
      </c>
      <c r="M1349">
        <v>90</v>
      </c>
      <c r="N1349" t="s">
        <v>987</v>
      </c>
    </row>
    <row r="1350" spans="1:14" x14ac:dyDescent="0.3">
      <c r="A1350">
        <v>1605</v>
      </c>
      <c r="B1350" t="s">
        <v>1706</v>
      </c>
      <c r="C1350" t="s">
        <v>2256</v>
      </c>
      <c r="D1350" t="s">
        <v>1203</v>
      </c>
      <c r="E1350" t="s">
        <v>1204</v>
      </c>
      <c r="F1350">
        <v>6395</v>
      </c>
      <c r="G1350" t="s">
        <v>703</v>
      </c>
      <c r="H1350" t="s">
        <v>2369</v>
      </c>
      <c r="I1350">
        <v>34</v>
      </c>
      <c r="J1350">
        <v>34</v>
      </c>
      <c r="K1350">
        <v>36</v>
      </c>
      <c r="L1350">
        <v>37</v>
      </c>
      <c r="M1350">
        <v>38</v>
      </c>
      <c r="N1350" t="s">
        <v>987</v>
      </c>
    </row>
    <row r="1351" spans="1:14" x14ac:dyDescent="0.3">
      <c r="A1351">
        <v>1605</v>
      </c>
      <c r="B1351" t="s">
        <v>1706</v>
      </c>
      <c r="C1351" t="s">
        <v>2256</v>
      </c>
      <c r="D1351" t="s">
        <v>1203</v>
      </c>
      <c r="E1351" t="s">
        <v>1204</v>
      </c>
      <c r="F1351">
        <v>6395</v>
      </c>
      <c r="G1351" t="s">
        <v>701</v>
      </c>
      <c r="H1351" t="s">
        <v>2369</v>
      </c>
      <c r="I1351">
        <v>35</v>
      </c>
      <c r="J1351">
        <v>32</v>
      </c>
      <c r="K1351">
        <v>29</v>
      </c>
      <c r="L1351">
        <v>27</v>
      </c>
      <c r="M1351">
        <v>25</v>
      </c>
      <c r="N1351" t="s">
        <v>987</v>
      </c>
    </row>
    <row r="1352" spans="1:14" x14ac:dyDescent="0.3">
      <c r="A1352">
        <v>1605</v>
      </c>
      <c r="B1352" t="s">
        <v>1706</v>
      </c>
      <c r="C1352" t="s">
        <v>2256</v>
      </c>
      <c r="D1352" t="s">
        <v>1203</v>
      </c>
      <c r="E1352" t="s">
        <v>1204</v>
      </c>
      <c r="F1352">
        <v>6395</v>
      </c>
      <c r="G1352" t="s">
        <v>700</v>
      </c>
      <c r="H1352" t="s">
        <v>2369</v>
      </c>
      <c r="I1352">
        <v>137</v>
      </c>
      <c r="J1352">
        <v>146</v>
      </c>
      <c r="K1352">
        <v>153</v>
      </c>
      <c r="L1352">
        <v>151</v>
      </c>
      <c r="M1352">
        <v>150</v>
      </c>
      <c r="N1352" t="s">
        <v>987</v>
      </c>
    </row>
    <row r="1353" spans="1:14" x14ac:dyDescent="0.3">
      <c r="A1353">
        <v>1605</v>
      </c>
      <c r="B1353" t="s">
        <v>1706</v>
      </c>
      <c r="C1353" t="s">
        <v>2256</v>
      </c>
      <c r="D1353" t="s">
        <v>1203</v>
      </c>
      <c r="E1353" t="s">
        <v>1204</v>
      </c>
      <c r="F1353">
        <v>6395</v>
      </c>
      <c r="G1353" t="s">
        <v>698</v>
      </c>
      <c r="H1353" t="s">
        <v>2369</v>
      </c>
      <c r="I1353">
        <v>147</v>
      </c>
      <c r="J1353">
        <v>143</v>
      </c>
      <c r="K1353">
        <v>143</v>
      </c>
      <c r="L1353">
        <v>143</v>
      </c>
      <c r="M1353">
        <v>144</v>
      </c>
      <c r="N1353" t="s">
        <v>987</v>
      </c>
    </row>
    <row r="1354" spans="1:14" x14ac:dyDescent="0.3">
      <c r="A1354">
        <v>1605</v>
      </c>
      <c r="B1354" t="s">
        <v>1706</v>
      </c>
      <c r="C1354" t="s">
        <v>2256</v>
      </c>
      <c r="D1354" t="s">
        <v>1203</v>
      </c>
      <c r="E1354" t="s">
        <v>1204</v>
      </c>
      <c r="F1354">
        <v>6395</v>
      </c>
      <c r="G1354" t="s">
        <v>696</v>
      </c>
      <c r="H1354" t="s">
        <v>2369</v>
      </c>
      <c r="I1354">
        <v>553</v>
      </c>
      <c r="J1354">
        <v>542</v>
      </c>
      <c r="K1354">
        <v>546</v>
      </c>
      <c r="L1354">
        <v>552</v>
      </c>
      <c r="M1354">
        <v>559</v>
      </c>
      <c r="N1354" t="s">
        <v>987</v>
      </c>
    </row>
    <row r="1355" spans="1:14" x14ac:dyDescent="0.3">
      <c r="A1355">
        <v>1613</v>
      </c>
      <c r="B1355" t="s">
        <v>1707</v>
      </c>
      <c r="C1355" t="s">
        <v>2256</v>
      </c>
      <c r="D1355" t="s">
        <v>159</v>
      </c>
      <c r="E1355" t="s">
        <v>159</v>
      </c>
      <c r="F1355">
        <v>7976</v>
      </c>
      <c r="G1355" t="s">
        <v>686</v>
      </c>
      <c r="H1355" t="s">
        <v>2370</v>
      </c>
      <c r="I1355">
        <v>106</v>
      </c>
      <c r="J1355">
        <v>117</v>
      </c>
      <c r="K1355">
        <v>114</v>
      </c>
      <c r="L1355">
        <v>127</v>
      </c>
      <c r="M1355">
        <v>145</v>
      </c>
      <c r="N1355" t="s">
        <v>987</v>
      </c>
    </row>
    <row r="1356" spans="1:14" x14ac:dyDescent="0.3">
      <c r="A1356">
        <v>1613</v>
      </c>
      <c r="B1356" t="s">
        <v>1707</v>
      </c>
      <c r="C1356" t="s">
        <v>2256</v>
      </c>
      <c r="D1356" t="s">
        <v>159</v>
      </c>
      <c r="E1356" t="s">
        <v>159</v>
      </c>
      <c r="F1356">
        <v>7976</v>
      </c>
      <c r="G1356" t="s">
        <v>702</v>
      </c>
      <c r="H1356" t="s">
        <v>2371</v>
      </c>
      <c r="I1356">
        <v>54.750650824193698</v>
      </c>
      <c r="J1356">
        <v>51.728182380281503</v>
      </c>
      <c r="K1356">
        <v>51.755775901308397</v>
      </c>
      <c r="L1356">
        <v>89.767397308316404</v>
      </c>
      <c r="M1356">
        <v>130.388933729158</v>
      </c>
      <c r="N1356" t="s">
        <v>987</v>
      </c>
    </row>
    <row r="1357" spans="1:14" x14ac:dyDescent="0.3">
      <c r="A1357">
        <v>1613</v>
      </c>
      <c r="B1357" t="s">
        <v>1707</v>
      </c>
      <c r="C1357" t="s">
        <v>2256</v>
      </c>
      <c r="D1357" t="s">
        <v>159</v>
      </c>
      <c r="E1357" t="s">
        <v>159</v>
      </c>
      <c r="F1357">
        <v>7976</v>
      </c>
      <c r="G1357" t="s">
        <v>703</v>
      </c>
      <c r="H1357" t="s">
        <v>2372</v>
      </c>
      <c r="I1357">
        <v>32.3503559627447</v>
      </c>
      <c r="J1357">
        <v>37.9379990767981</v>
      </c>
      <c r="K1357">
        <v>37.823932305388503</v>
      </c>
      <c r="L1357">
        <v>38.425696627590703</v>
      </c>
      <c r="M1357">
        <v>39.027315737505397</v>
      </c>
      <c r="N1357" t="s">
        <v>987</v>
      </c>
    </row>
    <row r="1358" spans="1:14" x14ac:dyDescent="0.3">
      <c r="A1358">
        <v>1613</v>
      </c>
      <c r="B1358" t="s">
        <v>1707</v>
      </c>
      <c r="C1358" t="s">
        <v>2256</v>
      </c>
      <c r="D1358" t="s">
        <v>159</v>
      </c>
      <c r="E1358" t="s">
        <v>159</v>
      </c>
      <c r="F1358">
        <v>7976</v>
      </c>
      <c r="G1358" t="s">
        <v>701</v>
      </c>
      <c r="I1358">
        <v>0</v>
      </c>
      <c r="J1358">
        <v>0</v>
      </c>
      <c r="K1358">
        <v>0</v>
      </c>
      <c r="L1358">
        <v>0</v>
      </c>
      <c r="M1358">
        <v>0</v>
      </c>
      <c r="N1358" t="s">
        <v>987</v>
      </c>
    </row>
    <row r="1359" spans="1:14" x14ac:dyDescent="0.3">
      <c r="A1359">
        <v>1613</v>
      </c>
      <c r="B1359" t="s">
        <v>1707</v>
      </c>
      <c r="C1359" t="s">
        <v>2256</v>
      </c>
      <c r="D1359" t="s">
        <v>159</v>
      </c>
      <c r="E1359" t="s">
        <v>159</v>
      </c>
      <c r="F1359">
        <v>7976</v>
      </c>
      <c r="G1359" t="s">
        <v>700</v>
      </c>
      <c r="H1359" t="s">
        <v>2373</v>
      </c>
      <c r="I1359">
        <v>135.909857173859</v>
      </c>
      <c r="J1359">
        <v>132.97974540151901</v>
      </c>
      <c r="K1359">
        <v>131.72882766661201</v>
      </c>
      <c r="L1359">
        <v>212.53102153956601</v>
      </c>
      <c r="M1359">
        <v>293.27709322584798</v>
      </c>
      <c r="N1359" t="s">
        <v>987</v>
      </c>
    </row>
    <row r="1360" spans="1:14" x14ac:dyDescent="0.3">
      <c r="A1360">
        <v>1613</v>
      </c>
      <c r="B1360" t="s">
        <v>1707</v>
      </c>
      <c r="C1360" t="s">
        <v>2256</v>
      </c>
      <c r="D1360" t="s">
        <v>159</v>
      </c>
      <c r="E1360" t="s">
        <v>159</v>
      </c>
      <c r="F1360">
        <v>7976</v>
      </c>
      <c r="G1360" t="s">
        <v>698</v>
      </c>
      <c r="H1360" t="s">
        <v>1711</v>
      </c>
      <c r="I1360">
        <v>128.07174667448999</v>
      </c>
      <c r="J1360">
        <v>142.59660183540299</v>
      </c>
      <c r="K1360">
        <v>138.490235095229</v>
      </c>
      <c r="L1360">
        <v>137.42371071643601</v>
      </c>
      <c r="M1360">
        <v>136.69285981487499</v>
      </c>
      <c r="N1360" t="s">
        <v>987</v>
      </c>
    </row>
    <row r="1361" spans="1:14" x14ac:dyDescent="0.3">
      <c r="A1361">
        <v>1613</v>
      </c>
      <c r="B1361" t="s">
        <v>1707</v>
      </c>
      <c r="C1361" t="s">
        <v>2256</v>
      </c>
      <c r="D1361" t="s">
        <v>159</v>
      </c>
      <c r="E1361" t="s">
        <v>159</v>
      </c>
      <c r="F1361">
        <v>7976</v>
      </c>
      <c r="G1361" t="s">
        <v>687</v>
      </c>
      <c r="H1361" t="s">
        <v>2374</v>
      </c>
      <c r="I1361">
        <v>0.89356095554389803</v>
      </c>
      <c r="J1361">
        <v>0.88498775841264399</v>
      </c>
      <c r="K1361">
        <v>0.88498775841264399</v>
      </c>
      <c r="L1361">
        <v>1.46874454489531</v>
      </c>
      <c r="M1361">
        <v>2.0525013313779801</v>
      </c>
      <c r="N1361" t="s">
        <v>987</v>
      </c>
    </row>
    <row r="1362" spans="1:14" x14ac:dyDescent="0.3">
      <c r="A1362">
        <v>1613</v>
      </c>
      <c r="B1362" t="s">
        <v>1707</v>
      </c>
      <c r="C1362" t="s">
        <v>2256</v>
      </c>
      <c r="D1362" t="s">
        <v>159</v>
      </c>
      <c r="E1362" t="s">
        <v>159</v>
      </c>
      <c r="F1362">
        <v>7976</v>
      </c>
      <c r="G1362" t="s">
        <v>696</v>
      </c>
      <c r="I1362">
        <v>377.29384735730201</v>
      </c>
      <c r="J1362">
        <v>429.95238051561398</v>
      </c>
      <c r="K1362">
        <v>421.80000361623797</v>
      </c>
      <c r="L1362">
        <v>422.26148968294001</v>
      </c>
      <c r="M1362">
        <v>423.13316354691301</v>
      </c>
      <c r="N1362" t="s">
        <v>987</v>
      </c>
    </row>
    <row r="1363" spans="1:14" x14ac:dyDescent="0.3">
      <c r="A1363">
        <v>1619</v>
      </c>
      <c r="B1363" t="s">
        <v>1713</v>
      </c>
      <c r="C1363" t="s">
        <v>2256</v>
      </c>
      <c r="D1363" t="s">
        <v>1203</v>
      </c>
      <c r="E1363" t="s">
        <v>1204</v>
      </c>
      <c r="F1363">
        <v>5467</v>
      </c>
      <c r="G1363" t="s">
        <v>696</v>
      </c>
      <c r="I1363">
        <v>1110</v>
      </c>
      <c r="J1363">
        <v>1100</v>
      </c>
      <c r="K1363">
        <v>1080</v>
      </c>
      <c r="L1363">
        <v>1070</v>
      </c>
      <c r="M1363">
        <v>1070</v>
      </c>
      <c r="N1363" t="s">
        <v>987</v>
      </c>
    </row>
    <row r="1364" spans="1:14" x14ac:dyDescent="0.3">
      <c r="A1364">
        <v>1619</v>
      </c>
      <c r="B1364" t="s">
        <v>1713</v>
      </c>
      <c r="C1364" t="s">
        <v>2256</v>
      </c>
      <c r="D1364" t="s">
        <v>1203</v>
      </c>
      <c r="E1364" t="s">
        <v>1204</v>
      </c>
      <c r="F1364">
        <v>5467</v>
      </c>
      <c r="G1364" t="s">
        <v>698</v>
      </c>
      <c r="H1364" t="s">
        <v>1714</v>
      </c>
      <c r="I1364">
        <v>810</v>
      </c>
      <c r="J1364">
        <v>900</v>
      </c>
      <c r="K1364">
        <v>1000</v>
      </c>
      <c r="L1364">
        <v>1090</v>
      </c>
      <c r="M1364">
        <v>1170</v>
      </c>
      <c r="N1364" t="s">
        <v>987</v>
      </c>
    </row>
    <row r="1365" spans="1:14" x14ac:dyDescent="0.3">
      <c r="A1365">
        <v>1619</v>
      </c>
      <c r="B1365" t="s">
        <v>1713</v>
      </c>
      <c r="C1365" t="s">
        <v>2256</v>
      </c>
      <c r="D1365" t="s">
        <v>1203</v>
      </c>
      <c r="E1365" t="s">
        <v>1204</v>
      </c>
      <c r="F1365">
        <v>5467</v>
      </c>
      <c r="G1365" t="s">
        <v>700</v>
      </c>
      <c r="I1365">
        <v>530</v>
      </c>
      <c r="J1365">
        <v>540</v>
      </c>
      <c r="K1365">
        <v>540</v>
      </c>
      <c r="L1365">
        <v>550</v>
      </c>
      <c r="M1365">
        <v>560</v>
      </c>
      <c r="N1365" t="s">
        <v>987</v>
      </c>
    </row>
    <row r="1366" spans="1:14" x14ac:dyDescent="0.3">
      <c r="A1366">
        <v>1619</v>
      </c>
      <c r="B1366" t="s">
        <v>1713</v>
      </c>
      <c r="C1366" t="s">
        <v>2256</v>
      </c>
      <c r="D1366" t="s">
        <v>1203</v>
      </c>
      <c r="E1366" t="s">
        <v>1204</v>
      </c>
      <c r="F1366">
        <v>5467</v>
      </c>
      <c r="G1366" t="s">
        <v>701</v>
      </c>
      <c r="I1366">
        <v>450</v>
      </c>
      <c r="J1366">
        <v>460</v>
      </c>
      <c r="K1366">
        <v>460</v>
      </c>
      <c r="L1366">
        <v>470</v>
      </c>
      <c r="M1366">
        <v>480</v>
      </c>
      <c r="N1366" t="s">
        <v>987</v>
      </c>
    </row>
    <row r="1367" spans="1:14" x14ac:dyDescent="0.3">
      <c r="A1367">
        <v>1619</v>
      </c>
      <c r="B1367" t="s">
        <v>1713</v>
      </c>
      <c r="C1367" t="s">
        <v>2256</v>
      </c>
      <c r="D1367" t="s">
        <v>1203</v>
      </c>
      <c r="E1367" t="s">
        <v>1204</v>
      </c>
      <c r="F1367">
        <v>5467</v>
      </c>
      <c r="G1367" t="s">
        <v>703</v>
      </c>
      <c r="H1367" t="s">
        <v>1715</v>
      </c>
      <c r="I1367">
        <v>210</v>
      </c>
      <c r="J1367">
        <v>230</v>
      </c>
      <c r="K1367">
        <v>250</v>
      </c>
      <c r="L1367">
        <v>270</v>
      </c>
      <c r="M1367">
        <v>280</v>
      </c>
      <c r="N1367" t="s">
        <v>987</v>
      </c>
    </row>
    <row r="1368" spans="1:14" x14ac:dyDescent="0.3">
      <c r="A1368">
        <v>1619</v>
      </c>
      <c r="B1368" t="s">
        <v>1713</v>
      </c>
      <c r="C1368" t="s">
        <v>2256</v>
      </c>
      <c r="D1368" t="s">
        <v>1203</v>
      </c>
      <c r="E1368" t="s">
        <v>1204</v>
      </c>
      <c r="F1368">
        <v>5467</v>
      </c>
      <c r="G1368" t="s">
        <v>702</v>
      </c>
      <c r="I1368">
        <v>390</v>
      </c>
      <c r="J1368">
        <v>400</v>
      </c>
      <c r="K1368">
        <v>430</v>
      </c>
      <c r="L1368">
        <v>440</v>
      </c>
      <c r="M1368">
        <v>460</v>
      </c>
      <c r="N1368" t="s">
        <v>988</v>
      </c>
    </row>
    <row r="1369" spans="1:14" x14ac:dyDescent="0.3">
      <c r="A1369">
        <v>1619</v>
      </c>
      <c r="B1369" t="s">
        <v>1713</v>
      </c>
      <c r="C1369" t="s">
        <v>2256</v>
      </c>
      <c r="D1369" t="s">
        <v>1203</v>
      </c>
      <c r="E1369" t="s">
        <v>1204</v>
      </c>
      <c r="F1369">
        <v>5467</v>
      </c>
      <c r="G1369" t="s">
        <v>687</v>
      </c>
      <c r="H1369" t="s">
        <v>1410</v>
      </c>
      <c r="I1369">
        <v>5</v>
      </c>
      <c r="J1369">
        <v>5</v>
      </c>
      <c r="K1369">
        <v>6</v>
      </c>
      <c r="L1369">
        <v>6</v>
      </c>
      <c r="M1369">
        <v>7</v>
      </c>
      <c r="N1369" t="s">
        <v>988</v>
      </c>
    </row>
    <row r="1370" spans="1:14" x14ac:dyDescent="0.3">
      <c r="A1370">
        <v>1619</v>
      </c>
      <c r="B1370" t="s">
        <v>1713</v>
      </c>
      <c r="C1370" t="s">
        <v>2256</v>
      </c>
      <c r="D1370" t="s">
        <v>1203</v>
      </c>
      <c r="E1370" t="s">
        <v>1204</v>
      </c>
      <c r="F1370">
        <v>5467</v>
      </c>
      <c r="G1370" t="s">
        <v>686</v>
      </c>
      <c r="I1370">
        <v>420</v>
      </c>
      <c r="J1370">
        <v>440</v>
      </c>
      <c r="K1370">
        <v>460</v>
      </c>
      <c r="L1370">
        <v>480</v>
      </c>
      <c r="M1370">
        <v>490</v>
      </c>
      <c r="N1370" t="s">
        <v>988</v>
      </c>
    </row>
    <row r="1371" spans="1:14" x14ac:dyDescent="0.3">
      <c r="A1371">
        <v>1626</v>
      </c>
      <c r="B1371" t="s">
        <v>1716</v>
      </c>
      <c r="C1371" t="s">
        <v>2256</v>
      </c>
      <c r="D1371" t="s">
        <v>1203</v>
      </c>
      <c r="E1371" t="s">
        <v>1204</v>
      </c>
      <c r="F1371">
        <v>5700</v>
      </c>
      <c r="G1371" t="s">
        <v>700</v>
      </c>
      <c r="I1371">
        <v>459</v>
      </c>
      <c r="J1371">
        <v>498</v>
      </c>
      <c r="K1371">
        <v>537</v>
      </c>
      <c r="L1371">
        <v>587</v>
      </c>
      <c r="M1371">
        <v>638</v>
      </c>
      <c r="N1371" t="s">
        <v>988</v>
      </c>
    </row>
    <row r="1372" spans="1:14" x14ac:dyDescent="0.3">
      <c r="A1372">
        <v>1626</v>
      </c>
      <c r="B1372" t="s">
        <v>1716</v>
      </c>
      <c r="C1372" t="s">
        <v>2256</v>
      </c>
      <c r="D1372" t="s">
        <v>1203</v>
      </c>
      <c r="E1372" t="s">
        <v>1204</v>
      </c>
      <c r="F1372">
        <v>5700</v>
      </c>
      <c r="G1372" t="s">
        <v>701</v>
      </c>
      <c r="I1372">
        <v>298</v>
      </c>
      <c r="J1372">
        <v>323</v>
      </c>
      <c r="K1372">
        <v>348</v>
      </c>
      <c r="L1372">
        <v>381</v>
      </c>
      <c r="M1372">
        <v>413</v>
      </c>
      <c r="N1372" t="s">
        <v>988</v>
      </c>
    </row>
    <row r="1373" spans="1:14" x14ac:dyDescent="0.3">
      <c r="A1373">
        <v>1626</v>
      </c>
      <c r="B1373" t="s">
        <v>1716</v>
      </c>
      <c r="C1373" t="s">
        <v>2256</v>
      </c>
      <c r="D1373" t="s">
        <v>1203</v>
      </c>
      <c r="E1373" t="s">
        <v>1204</v>
      </c>
      <c r="F1373">
        <v>5700</v>
      </c>
      <c r="G1373" t="s">
        <v>703</v>
      </c>
      <c r="I1373">
        <v>179</v>
      </c>
      <c r="J1373">
        <v>194</v>
      </c>
      <c r="K1373">
        <v>209</v>
      </c>
      <c r="L1373">
        <v>229</v>
      </c>
      <c r="M1373">
        <v>249</v>
      </c>
      <c r="N1373" t="s">
        <v>988</v>
      </c>
    </row>
    <row r="1374" spans="1:14" x14ac:dyDescent="0.3">
      <c r="A1374">
        <v>1626</v>
      </c>
      <c r="B1374" t="s">
        <v>1716</v>
      </c>
      <c r="C1374" t="s">
        <v>2256</v>
      </c>
      <c r="D1374" t="s">
        <v>1203</v>
      </c>
      <c r="E1374" t="s">
        <v>1204</v>
      </c>
      <c r="F1374">
        <v>5700</v>
      </c>
      <c r="G1374" t="s">
        <v>702</v>
      </c>
      <c r="I1374">
        <v>984</v>
      </c>
      <c r="J1374">
        <v>1067</v>
      </c>
      <c r="K1374">
        <v>1150</v>
      </c>
      <c r="L1374">
        <v>1258</v>
      </c>
      <c r="M1374">
        <v>1366</v>
      </c>
      <c r="N1374" t="s">
        <v>988</v>
      </c>
    </row>
    <row r="1375" spans="1:14" x14ac:dyDescent="0.3">
      <c r="A1375">
        <v>1626</v>
      </c>
      <c r="B1375" t="s">
        <v>1716</v>
      </c>
      <c r="C1375" t="s">
        <v>2256</v>
      </c>
      <c r="D1375" t="s">
        <v>1203</v>
      </c>
      <c r="E1375" t="s">
        <v>1204</v>
      </c>
      <c r="F1375">
        <v>5700</v>
      </c>
      <c r="G1375" t="s">
        <v>687</v>
      </c>
      <c r="I1375">
        <v>1017</v>
      </c>
      <c r="J1375">
        <v>1102</v>
      </c>
      <c r="K1375">
        <v>1188</v>
      </c>
      <c r="L1375">
        <v>1300</v>
      </c>
      <c r="M1375">
        <v>1412</v>
      </c>
      <c r="N1375" t="s">
        <v>988</v>
      </c>
    </row>
    <row r="1376" spans="1:14" x14ac:dyDescent="0.3">
      <c r="A1376">
        <v>1626</v>
      </c>
      <c r="B1376" t="s">
        <v>1716</v>
      </c>
      <c r="C1376" t="s">
        <v>2256</v>
      </c>
      <c r="D1376" t="s">
        <v>1203</v>
      </c>
      <c r="E1376" t="s">
        <v>1204</v>
      </c>
      <c r="F1376">
        <v>5700</v>
      </c>
      <c r="G1376" t="s">
        <v>696</v>
      </c>
      <c r="I1376">
        <v>4743</v>
      </c>
      <c r="J1376">
        <v>5143</v>
      </c>
      <c r="K1376">
        <v>5543</v>
      </c>
      <c r="L1376">
        <v>6066</v>
      </c>
      <c r="M1376">
        <v>6588</v>
      </c>
      <c r="N1376" t="s">
        <v>988</v>
      </c>
    </row>
    <row r="1377" spans="1:14" x14ac:dyDescent="0.3">
      <c r="A1377">
        <v>1626</v>
      </c>
      <c r="B1377" t="s">
        <v>1716</v>
      </c>
      <c r="C1377" t="s">
        <v>2256</v>
      </c>
      <c r="D1377" t="s">
        <v>1203</v>
      </c>
      <c r="E1377" t="s">
        <v>1204</v>
      </c>
      <c r="F1377">
        <v>5700</v>
      </c>
      <c r="G1377" t="s">
        <v>698</v>
      </c>
      <c r="I1377">
        <v>1316</v>
      </c>
      <c r="J1377">
        <v>1427</v>
      </c>
      <c r="K1377">
        <v>1538</v>
      </c>
      <c r="L1377">
        <v>1683</v>
      </c>
      <c r="M1377">
        <v>1828</v>
      </c>
      <c r="N1377" t="s">
        <v>988</v>
      </c>
    </row>
    <row r="1378" spans="1:14" x14ac:dyDescent="0.3">
      <c r="A1378">
        <v>1631</v>
      </c>
      <c r="B1378" t="s">
        <v>1717</v>
      </c>
      <c r="C1378" t="s">
        <v>2256</v>
      </c>
      <c r="D1378" t="s">
        <v>159</v>
      </c>
      <c r="E1378" t="s">
        <v>159</v>
      </c>
      <c r="F1378">
        <v>6740</v>
      </c>
      <c r="G1378" t="s">
        <v>696</v>
      </c>
      <c r="I1378">
        <v>33204</v>
      </c>
      <c r="J1378">
        <v>35614</v>
      </c>
      <c r="K1378">
        <v>38025</v>
      </c>
      <c r="L1378">
        <v>40436</v>
      </c>
      <c r="M1378">
        <v>42846</v>
      </c>
      <c r="N1378" t="s">
        <v>988</v>
      </c>
    </row>
    <row r="1379" spans="1:14" x14ac:dyDescent="0.3">
      <c r="A1379">
        <v>1631</v>
      </c>
      <c r="B1379" t="s">
        <v>1717</v>
      </c>
      <c r="C1379" t="s">
        <v>2256</v>
      </c>
      <c r="D1379" t="s">
        <v>159</v>
      </c>
      <c r="E1379" t="s">
        <v>159</v>
      </c>
      <c r="F1379">
        <v>6740</v>
      </c>
      <c r="G1379" t="s">
        <v>698</v>
      </c>
      <c r="I1379">
        <v>6498</v>
      </c>
      <c r="J1379">
        <v>6970</v>
      </c>
      <c r="K1379">
        <v>7442</v>
      </c>
      <c r="L1379">
        <v>7913</v>
      </c>
      <c r="M1379">
        <v>8385</v>
      </c>
      <c r="N1379" t="s">
        <v>988</v>
      </c>
    </row>
    <row r="1380" spans="1:14" x14ac:dyDescent="0.3">
      <c r="A1380">
        <v>1631</v>
      </c>
      <c r="B1380" t="s">
        <v>1717</v>
      </c>
      <c r="C1380" t="s">
        <v>2256</v>
      </c>
      <c r="D1380" t="s">
        <v>159</v>
      </c>
      <c r="E1380" t="s">
        <v>159</v>
      </c>
      <c r="F1380">
        <v>6740</v>
      </c>
      <c r="G1380" t="s">
        <v>700</v>
      </c>
      <c r="I1380">
        <v>9723</v>
      </c>
      <c r="J1380">
        <v>10429</v>
      </c>
      <c r="K1380">
        <v>11135</v>
      </c>
      <c r="L1380">
        <v>11841</v>
      </c>
      <c r="M1380">
        <v>12546</v>
      </c>
      <c r="N1380" t="s">
        <v>988</v>
      </c>
    </row>
    <row r="1381" spans="1:14" x14ac:dyDescent="0.3">
      <c r="A1381">
        <v>1631</v>
      </c>
      <c r="B1381" t="s">
        <v>1717</v>
      </c>
      <c r="C1381" t="s">
        <v>2256</v>
      </c>
      <c r="D1381" t="s">
        <v>159</v>
      </c>
      <c r="E1381" t="s">
        <v>159</v>
      </c>
      <c r="F1381">
        <v>6740</v>
      </c>
      <c r="G1381" t="s">
        <v>701</v>
      </c>
      <c r="I1381">
        <v>2536</v>
      </c>
      <c r="J1381">
        <v>2720</v>
      </c>
      <c r="K1381">
        <v>2904</v>
      </c>
      <c r="L1381">
        <v>3088</v>
      </c>
      <c r="M1381">
        <v>3273</v>
      </c>
      <c r="N1381" t="s">
        <v>988</v>
      </c>
    </row>
    <row r="1382" spans="1:14" x14ac:dyDescent="0.3">
      <c r="A1382">
        <v>1631</v>
      </c>
      <c r="B1382" t="s">
        <v>1717</v>
      </c>
      <c r="C1382" t="s">
        <v>2256</v>
      </c>
      <c r="D1382" t="s">
        <v>159</v>
      </c>
      <c r="E1382" t="s">
        <v>159</v>
      </c>
      <c r="F1382">
        <v>6740</v>
      </c>
      <c r="G1382" t="s">
        <v>703</v>
      </c>
      <c r="I1382">
        <v>2318</v>
      </c>
      <c r="J1382">
        <v>2486</v>
      </c>
      <c r="K1382">
        <v>2654</v>
      </c>
      <c r="L1382">
        <v>2822</v>
      </c>
      <c r="M1382">
        <v>2991</v>
      </c>
      <c r="N1382" t="s">
        <v>988</v>
      </c>
    </row>
    <row r="1383" spans="1:14" x14ac:dyDescent="0.3">
      <c r="A1383">
        <v>1631</v>
      </c>
      <c r="B1383" t="s">
        <v>1717</v>
      </c>
      <c r="C1383" t="s">
        <v>2256</v>
      </c>
      <c r="D1383" t="s">
        <v>159</v>
      </c>
      <c r="E1383" t="s">
        <v>159</v>
      </c>
      <c r="F1383">
        <v>6740</v>
      </c>
      <c r="G1383" t="s">
        <v>686</v>
      </c>
      <c r="I1383">
        <v>6367</v>
      </c>
      <c r="J1383">
        <v>6829</v>
      </c>
      <c r="K1383">
        <v>7291</v>
      </c>
      <c r="L1383">
        <v>7753</v>
      </c>
      <c r="M1383">
        <v>8216</v>
      </c>
      <c r="N1383" t="s">
        <v>988</v>
      </c>
    </row>
    <row r="1384" spans="1:14" x14ac:dyDescent="0.3">
      <c r="A1384">
        <v>1631</v>
      </c>
      <c r="B1384" t="s">
        <v>1717</v>
      </c>
      <c r="C1384" t="s">
        <v>2256</v>
      </c>
      <c r="D1384" t="s">
        <v>159</v>
      </c>
      <c r="E1384" t="s">
        <v>159</v>
      </c>
      <c r="F1384">
        <v>6740</v>
      </c>
      <c r="G1384" t="s">
        <v>702</v>
      </c>
      <c r="I1384">
        <v>3021</v>
      </c>
      <c r="J1384">
        <v>3241</v>
      </c>
      <c r="K1384">
        <v>3460</v>
      </c>
      <c r="L1384">
        <v>3679</v>
      </c>
      <c r="M1384">
        <v>3899</v>
      </c>
      <c r="N1384" t="s">
        <v>988</v>
      </c>
    </row>
    <row r="1385" spans="1:14" x14ac:dyDescent="0.3">
      <c r="A1385">
        <v>1639</v>
      </c>
      <c r="B1385" t="s">
        <v>1719</v>
      </c>
      <c r="C1385" t="s">
        <v>2256</v>
      </c>
      <c r="D1385" t="s">
        <v>1203</v>
      </c>
      <c r="E1385" t="s">
        <v>1204</v>
      </c>
      <c r="F1385">
        <v>5507</v>
      </c>
      <c r="G1385" t="s">
        <v>698</v>
      </c>
      <c r="I1385">
        <v>2004</v>
      </c>
      <c r="J1385">
        <v>2107</v>
      </c>
      <c r="K1385">
        <v>2145</v>
      </c>
      <c r="L1385">
        <v>2183</v>
      </c>
      <c r="M1385">
        <v>2222</v>
      </c>
      <c r="N1385" t="s">
        <v>988</v>
      </c>
    </row>
    <row r="1386" spans="1:14" x14ac:dyDescent="0.3">
      <c r="A1386">
        <v>1639</v>
      </c>
      <c r="B1386" t="s">
        <v>1719</v>
      </c>
      <c r="C1386" t="s">
        <v>2256</v>
      </c>
      <c r="D1386" t="s">
        <v>1203</v>
      </c>
      <c r="E1386" t="s">
        <v>1204</v>
      </c>
      <c r="F1386">
        <v>5507</v>
      </c>
      <c r="G1386" t="s">
        <v>700</v>
      </c>
      <c r="I1386">
        <v>866</v>
      </c>
      <c r="J1386">
        <v>911</v>
      </c>
      <c r="K1386">
        <v>928</v>
      </c>
      <c r="L1386">
        <v>944</v>
      </c>
      <c r="M1386">
        <v>961</v>
      </c>
      <c r="N1386" t="s">
        <v>988</v>
      </c>
    </row>
    <row r="1387" spans="1:14" x14ac:dyDescent="0.3">
      <c r="A1387">
        <v>1639</v>
      </c>
      <c r="B1387" t="s">
        <v>1719</v>
      </c>
      <c r="C1387" t="s">
        <v>2256</v>
      </c>
      <c r="D1387" t="s">
        <v>1203</v>
      </c>
      <c r="E1387" t="s">
        <v>1204</v>
      </c>
      <c r="F1387">
        <v>5507</v>
      </c>
      <c r="G1387" t="s">
        <v>701</v>
      </c>
      <c r="I1387">
        <v>20</v>
      </c>
      <c r="J1387">
        <v>22</v>
      </c>
      <c r="K1387">
        <v>22</v>
      </c>
      <c r="L1387">
        <v>22</v>
      </c>
      <c r="M1387">
        <v>23</v>
      </c>
      <c r="N1387" t="s">
        <v>988</v>
      </c>
    </row>
    <row r="1388" spans="1:14" x14ac:dyDescent="0.3">
      <c r="A1388">
        <v>1639</v>
      </c>
      <c r="B1388" t="s">
        <v>1719</v>
      </c>
      <c r="C1388" t="s">
        <v>2256</v>
      </c>
      <c r="D1388" t="s">
        <v>1203</v>
      </c>
      <c r="E1388" t="s">
        <v>1204</v>
      </c>
      <c r="F1388">
        <v>5507</v>
      </c>
      <c r="G1388" t="s">
        <v>696</v>
      </c>
      <c r="I1388">
        <v>3793</v>
      </c>
      <c r="J1388">
        <v>3988</v>
      </c>
      <c r="K1388">
        <v>4059</v>
      </c>
      <c r="L1388">
        <v>4132</v>
      </c>
      <c r="M1388">
        <v>4204</v>
      </c>
      <c r="N1388" t="s">
        <v>988</v>
      </c>
    </row>
    <row r="1389" spans="1:14" x14ac:dyDescent="0.3">
      <c r="A1389">
        <v>1639</v>
      </c>
      <c r="B1389" t="s">
        <v>1719</v>
      </c>
      <c r="C1389" t="s">
        <v>2256</v>
      </c>
      <c r="D1389" t="s">
        <v>1203</v>
      </c>
      <c r="E1389" t="s">
        <v>1204</v>
      </c>
      <c r="F1389">
        <v>5507</v>
      </c>
      <c r="G1389" t="s">
        <v>686</v>
      </c>
      <c r="I1389">
        <v>374</v>
      </c>
      <c r="J1389">
        <v>393</v>
      </c>
      <c r="K1389">
        <v>400</v>
      </c>
      <c r="L1389">
        <v>407</v>
      </c>
      <c r="M1389">
        <v>415</v>
      </c>
      <c r="N1389" t="s">
        <v>988</v>
      </c>
    </row>
    <row r="1390" spans="1:14" x14ac:dyDescent="0.3">
      <c r="A1390">
        <v>1639</v>
      </c>
      <c r="B1390" t="s">
        <v>1719</v>
      </c>
      <c r="C1390" t="s">
        <v>2256</v>
      </c>
      <c r="D1390" t="s">
        <v>1203</v>
      </c>
      <c r="E1390" t="s">
        <v>1204</v>
      </c>
      <c r="F1390">
        <v>5507</v>
      </c>
      <c r="G1390" t="s">
        <v>702</v>
      </c>
      <c r="I1390">
        <v>412</v>
      </c>
      <c r="J1390">
        <v>434</v>
      </c>
      <c r="K1390">
        <v>441</v>
      </c>
      <c r="L1390">
        <v>449</v>
      </c>
      <c r="M1390">
        <v>457</v>
      </c>
      <c r="N1390" t="s">
        <v>988</v>
      </c>
    </row>
    <row r="1391" spans="1:14" x14ac:dyDescent="0.3">
      <c r="A1391">
        <v>1642</v>
      </c>
      <c r="B1391" t="s">
        <v>1720</v>
      </c>
      <c r="C1391" t="s">
        <v>2256</v>
      </c>
      <c r="D1391" t="s">
        <v>1203</v>
      </c>
      <c r="E1391" t="s">
        <v>1204</v>
      </c>
      <c r="F1391">
        <v>5531</v>
      </c>
      <c r="G1391" t="s">
        <v>686</v>
      </c>
      <c r="I1391">
        <v>975</v>
      </c>
      <c r="J1391">
        <v>1000</v>
      </c>
      <c r="K1391">
        <v>1045</v>
      </c>
      <c r="L1391">
        <v>1065</v>
      </c>
      <c r="M1391">
        <v>1085</v>
      </c>
      <c r="N1391" t="s">
        <v>988</v>
      </c>
    </row>
    <row r="1392" spans="1:14" x14ac:dyDescent="0.3">
      <c r="A1392">
        <v>1642</v>
      </c>
      <c r="B1392" t="s">
        <v>1720</v>
      </c>
      <c r="C1392" t="s">
        <v>2256</v>
      </c>
      <c r="D1392" t="s">
        <v>1203</v>
      </c>
      <c r="E1392" t="s">
        <v>1204</v>
      </c>
      <c r="F1392">
        <v>5531</v>
      </c>
      <c r="G1392" t="s">
        <v>690</v>
      </c>
      <c r="I1392">
        <v>2654</v>
      </c>
      <c r="J1392">
        <v>2721</v>
      </c>
      <c r="K1392">
        <v>2845</v>
      </c>
      <c r="L1392">
        <v>2898</v>
      </c>
      <c r="M1392">
        <v>2952</v>
      </c>
      <c r="N1392" t="s">
        <v>988</v>
      </c>
    </row>
    <row r="1393" spans="1:14" x14ac:dyDescent="0.3">
      <c r="A1393">
        <v>1642</v>
      </c>
      <c r="B1393" t="s">
        <v>1720</v>
      </c>
      <c r="C1393" t="s">
        <v>2256</v>
      </c>
      <c r="D1393" t="s">
        <v>1203</v>
      </c>
      <c r="E1393" t="s">
        <v>1204</v>
      </c>
      <c r="F1393">
        <v>5531</v>
      </c>
      <c r="G1393" t="s">
        <v>702</v>
      </c>
      <c r="I1393">
        <v>776</v>
      </c>
      <c r="J1393">
        <v>796</v>
      </c>
      <c r="K1393">
        <v>832</v>
      </c>
      <c r="L1393">
        <v>847</v>
      </c>
      <c r="M1393">
        <v>863</v>
      </c>
      <c r="N1393" t="s">
        <v>988</v>
      </c>
    </row>
    <row r="1394" spans="1:14" x14ac:dyDescent="0.3">
      <c r="A1394">
        <v>1642</v>
      </c>
      <c r="B1394" t="s">
        <v>1720</v>
      </c>
      <c r="C1394" t="s">
        <v>2256</v>
      </c>
      <c r="D1394" t="s">
        <v>1203</v>
      </c>
      <c r="E1394" t="s">
        <v>1204</v>
      </c>
      <c r="F1394">
        <v>5531</v>
      </c>
      <c r="G1394" t="s">
        <v>703</v>
      </c>
      <c r="I1394">
        <v>270</v>
      </c>
      <c r="J1394">
        <v>277</v>
      </c>
      <c r="K1394">
        <v>289</v>
      </c>
      <c r="L1394">
        <v>295</v>
      </c>
      <c r="M1394">
        <v>300</v>
      </c>
      <c r="N1394" t="s">
        <v>988</v>
      </c>
    </row>
    <row r="1395" spans="1:14" x14ac:dyDescent="0.3">
      <c r="A1395">
        <v>1642</v>
      </c>
      <c r="B1395" t="s">
        <v>1720</v>
      </c>
      <c r="C1395" t="s">
        <v>2256</v>
      </c>
      <c r="D1395" t="s">
        <v>1203</v>
      </c>
      <c r="E1395" t="s">
        <v>1204</v>
      </c>
      <c r="F1395">
        <v>5531</v>
      </c>
      <c r="G1395" t="s">
        <v>684</v>
      </c>
      <c r="I1395">
        <v>290</v>
      </c>
      <c r="J1395">
        <v>297</v>
      </c>
      <c r="K1395">
        <v>310</v>
      </c>
      <c r="L1395">
        <v>316</v>
      </c>
      <c r="M1395">
        <v>322</v>
      </c>
      <c r="N1395" t="s">
        <v>988</v>
      </c>
    </row>
    <row r="1396" spans="1:14" x14ac:dyDescent="0.3">
      <c r="A1396">
        <v>1642</v>
      </c>
      <c r="B1396" t="s">
        <v>1720</v>
      </c>
      <c r="C1396" t="s">
        <v>2256</v>
      </c>
      <c r="D1396" t="s">
        <v>1203</v>
      </c>
      <c r="E1396" t="s">
        <v>1204</v>
      </c>
      <c r="F1396">
        <v>5531</v>
      </c>
      <c r="G1396" t="s">
        <v>700</v>
      </c>
      <c r="I1396">
        <v>1547</v>
      </c>
      <c r="J1396">
        <v>1586</v>
      </c>
      <c r="K1396">
        <v>1658</v>
      </c>
      <c r="L1396">
        <v>1689</v>
      </c>
      <c r="M1396">
        <v>1721</v>
      </c>
      <c r="N1396" t="s">
        <v>988</v>
      </c>
    </row>
    <row r="1397" spans="1:14" x14ac:dyDescent="0.3">
      <c r="A1397">
        <v>1642</v>
      </c>
      <c r="B1397" t="s">
        <v>1720</v>
      </c>
      <c r="C1397" t="s">
        <v>2256</v>
      </c>
      <c r="D1397" t="s">
        <v>1203</v>
      </c>
      <c r="E1397" t="s">
        <v>1204</v>
      </c>
      <c r="F1397">
        <v>5531</v>
      </c>
      <c r="G1397" t="s">
        <v>698</v>
      </c>
      <c r="I1397">
        <v>1689</v>
      </c>
      <c r="J1397">
        <v>1732</v>
      </c>
      <c r="K1397">
        <v>1811</v>
      </c>
      <c r="L1397">
        <v>1844</v>
      </c>
      <c r="M1397">
        <v>1879</v>
      </c>
      <c r="N1397" t="s">
        <v>988</v>
      </c>
    </row>
    <row r="1398" spans="1:14" x14ac:dyDescent="0.3">
      <c r="A1398">
        <v>1642</v>
      </c>
      <c r="B1398" t="s">
        <v>1720</v>
      </c>
      <c r="C1398" t="s">
        <v>2256</v>
      </c>
      <c r="D1398" t="s">
        <v>1203</v>
      </c>
      <c r="E1398" t="s">
        <v>1204</v>
      </c>
      <c r="F1398">
        <v>5531</v>
      </c>
      <c r="G1398" t="s">
        <v>696</v>
      </c>
      <c r="I1398">
        <v>4911</v>
      </c>
      <c r="J1398">
        <v>5035</v>
      </c>
      <c r="K1398">
        <v>5264</v>
      </c>
      <c r="L1398">
        <v>5362</v>
      </c>
      <c r="M1398">
        <v>5462</v>
      </c>
      <c r="N1398" t="s">
        <v>988</v>
      </c>
    </row>
    <row r="1399" spans="1:14" x14ac:dyDescent="0.3">
      <c r="A1399">
        <v>1642</v>
      </c>
      <c r="B1399" t="s">
        <v>1720</v>
      </c>
      <c r="C1399" t="s">
        <v>2256</v>
      </c>
      <c r="D1399" t="s">
        <v>1203</v>
      </c>
      <c r="E1399" t="s">
        <v>1204</v>
      </c>
      <c r="F1399">
        <v>5531</v>
      </c>
      <c r="G1399" t="s">
        <v>701</v>
      </c>
      <c r="I1399">
        <v>20</v>
      </c>
      <c r="J1399">
        <v>20</v>
      </c>
      <c r="K1399">
        <v>21</v>
      </c>
      <c r="L1399">
        <v>21</v>
      </c>
      <c r="M1399">
        <v>22</v>
      </c>
      <c r="N1399" t="s">
        <v>988</v>
      </c>
    </row>
    <row r="1400" spans="1:14" x14ac:dyDescent="0.3">
      <c r="A1400">
        <v>1644</v>
      </c>
      <c r="B1400" t="s">
        <v>1721</v>
      </c>
      <c r="C1400" t="s">
        <v>2256</v>
      </c>
      <c r="D1400" t="s">
        <v>1203</v>
      </c>
      <c r="E1400" t="s">
        <v>1204</v>
      </c>
      <c r="F1400">
        <v>5943</v>
      </c>
      <c r="G1400" t="s">
        <v>696</v>
      </c>
      <c r="I1400">
        <v>703.5</v>
      </c>
      <c r="J1400">
        <v>703.5</v>
      </c>
      <c r="K1400">
        <v>703.5</v>
      </c>
      <c r="L1400">
        <v>703.5</v>
      </c>
      <c r="M1400">
        <v>703.5</v>
      </c>
      <c r="N1400" t="s">
        <v>988</v>
      </c>
    </row>
    <row r="1401" spans="1:14" x14ac:dyDescent="0.3">
      <c r="A1401">
        <v>1644</v>
      </c>
      <c r="B1401" t="s">
        <v>1721</v>
      </c>
      <c r="C1401" t="s">
        <v>2256</v>
      </c>
      <c r="D1401" t="s">
        <v>1203</v>
      </c>
      <c r="E1401" t="s">
        <v>1204</v>
      </c>
      <c r="F1401">
        <v>5943</v>
      </c>
      <c r="G1401" t="s">
        <v>698</v>
      </c>
      <c r="I1401">
        <v>1023</v>
      </c>
      <c r="J1401">
        <v>1050</v>
      </c>
      <c r="K1401">
        <v>1076</v>
      </c>
      <c r="L1401">
        <v>1102</v>
      </c>
      <c r="M1401">
        <v>1129</v>
      </c>
      <c r="N1401" t="s">
        <v>988</v>
      </c>
    </row>
    <row r="1402" spans="1:14" x14ac:dyDescent="0.3">
      <c r="A1402">
        <v>1644</v>
      </c>
      <c r="B1402" t="s">
        <v>1721</v>
      </c>
      <c r="C1402" t="s">
        <v>2256</v>
      </c>
      <c r="D1402" t="s">
        <v>1203</v>
      </c>
      <c r="E1402" t="s">
        <v>1204</v>
      </c>
      <c r="F1402">
        <v>5943</v>
      </c>
      <c r="G1402" t="s">
        <v>700</v>
      </c>
      <c r="I1402">
        <v>439</v>
      </c>
      <c r="J1402">
        <v>439</v>
      </c>
      <c r="K1402">
        <v>439</v>
      </c>
      <c r="L1402">
        <v>439</v>
      </c>
      <c r="M1402">
        <v>439</v>
      </c>
      <c r="N1402" t="s">
        <v>988</v>
      </c>
    </row>
    <row r="1403" spans="1:14" x14ac:dyDescent="0.3">
      <c r="A1403">
        <v>1644</v>
      </c>
      <c r="B1403" t="s">
        <v>1721</v>
      </c>
      <c r="C1403" t="s">
        <v>2256</v>
      </c>
      <c r="D1403" t="s">
        <v>1203</v>
      </c>
      <c r="E1403" t="s">
        <v>1204</v>
      </c>
      <c r="F1403">
        <v>5943</v>
      </c>
      <c r="G1403" t="s">
        <v>701</v>
      </c>
      <c r="I1403">
        <v>378</v>
      </c>
      <c r="J1403">
        <v>378</v>
      </c>
      <c r="K1403">
        <v>378</v>
      </c>
      <c r="L1403">
        <v>378</v>
      </c>
      <c r="M1403">
        <v>378</v>
      </c>
      <c r="N1403" t="s">
        <v>988</v>
      </c>
    </row>
    <row r="1404" spans="1:14" x14ac:dyDescent="0.3">
      <c r="A1404">
        <v>1644</v>
      </c>
      <c r="B1404" t="s">
        <v>1721</v>
      </c>
      <c r="C1404" t="s">
        <v>2256</v>
      </c>
      <c r="D1404" t="s">
        <v>1203</v>
      </c>
      <c r="E1404" t="s">
        <v>1204</v>
      </c>
      <c r="F1404">
        <v>5943</v>
      </c>
      <c r="G1404" t="s">
        <v>686</v>
      </c>
      <c r="I1404">
        <v>323</v>
      </c>
      <c r="J1404">
        <v>326</v>
      </c>
      <c r="K1404">
        <v>330</v>
      </c>
      <c r="L1404">
        <v>333</v>
      </c>
      <c r="M1404">
        <v>336</v>
      </c>
      <c r="N1404" t="s">
        <v>988</v>
      </c>
    </row>
    <row r="1405" spans="1:14" x14ac:dyDescent="0.3">
      <c r="A1405">
        <v>1644</v>
      </c>
      <c r="B1405" t="s">
        <v>1721</v>
      </c>
      <c r="C1405" t="s">
        <v>2256</v>
      </c>
      <c r="D1405" t="s">
        <v>1203</v>
      </c>
      <c r="E1405" t="s">
        <v>1204</v>
      </c>
      <c r="F1405">
        <v>5943</v>
      </c>
      <c r="G1405" t="s">
        <v>703</v>
      </c>
      <c r="I1405">
        <v>102</v>
      </c>
      <c r="J1405">
        <v>102</v>
      </c>
      <c r="K1405">
        <v>102</v>
      </c>
      <c r="L1405">
        <v>102</v>
      </c>
      <c r="M1405">
        <v>102</v>
      </c>
      <c r="N1405" t="s">
        <v>988</v>
      </c>
    </row>
    <row r="1406" spans="1:14" x14ac:dyDescent="0.3">
      <c r="A1406">
        <v>1645</v>
      </c>
      <c r="B1406" t="s">
        <v>1722</v>
      </c>
      <c r="C1406" t="s">
        <v>2256</v>
      </c>
      <c r="D1406" t="s">
        <v>159</v>
      </c>
      <c r="E1406" t="s">
        <v>159</v>
      </c>
      <c r="F1406">
        <v>7917</v>
      </c>
      <c r="G1406" t="s">
        <v>692</v>
      </c>
      <c r="H1406" t="s">
        <v>1723</v>
      </c>
      <c r="I1406">
        <v>150</v>
      </c>
      <c r="J1406">
        <v>150</v>
      </c>
      <c r="K1406">
        <v>150</v>
      </c>
      <c r="L1406">
        <v>150</v>
      </c>
      <c r="N1406" t="s">
        <v>988</v>
      </c>
    </row>
    <row r="1407" spans="1:14" x14ac:dyDescent="0.3">
      <c r="A1407">
        <v>1645</v>
      </c>
      <c r="B1407" t="s">
        <v>1722</v>
      </c>
      <c r="C1407" t="s">
        <v>2256</v>
      </c>
      <c r="D1407" t="s">
        <v>159</v>
      </c>
      <c r="E1407" t="s">
        <v>159</v>
      </c>
      <c r="F1407">
        <v>7917</v>
      </c>
      <c r="G1407" t="s">
        <v>686</v>
      </c>
      <c r="I1407">
        <v>336.41</v>
      </c>
      <c r="J1407">
        <v>346.14</v>
      </c>
      <c r="K1407">
        <v>354.02</v>
      </c>
      <c r="L1407">
        <v>363.75</v>
      </c>
      <c r="N1407" t="s">
        <v>988</v>
      </c>
    </row>
    <row r="1408" spans="1:14" x14ac:dyDescent="0.3">
      <c r="A1408">
        <v>1645</v>
      </c>
      <c r="B1408" t="s">
        <v>1722</v>
      </c>
      <c r="C1408" t="s">
        <v>2256</v>
      </c>
      <c r="D1408" t="s">
        <v>159</v>
      </c>
      <c r="E1408" t="s">
        <v>159</v>
      </c>
      <c r="F1408">
        <v>7917</v>
      </c>
      <c r="G1408" t="s">
        <v>684</v>
      </c>
      <c r="I1408">
        <v>315.25</v>
      </c>
      <c r="J1408">
        <v>333.5</v>
      </c>
      <c r="K1408">
        <v>333.5</v>
      </c>
      <c r="L1408">
        <v>351.75</v>
      </c>
      <c r="N1408" t="s">
        <v>988</v>
      </c>
    </row>
    <row r="1409" spans="1:14" x14ac:dyDescent="0.3">
      <c r="A1409">
        <v>1645</v>
      </c>
      <c r="B1409" t="s">
        <v>1722</v>
      </c>
      <c r="C1409" t="s">
        <v>2256</v>
      </c>
      <c r="D1409" t="s">
        <v>159</v>
      </c>
      <c r="E1409" t="s">
        <v>159</v>
      </c>
      <c r="F1409">
        <v>7917</v>
      </c>
      <c r="G1409" t="s">
        <v>703</v>
      </c>
      <c r="I1409">
        <v>222</v>
      </c>
      <c r="J1409">
        <v>222</v>
      </c>
      <c r="K1409">
        <v>222</v>
      </c>
      <c r="L1409">
        <v>222</v>
      </c>
      <c r="N1409" t="s">
        <v>988</v>
      </c>
    </row>
    <row r="1410" spans="1:14" x14ac:dyDescent="0.3">
      <c r="A1410">
        <v>1645</v>
      </c>
      <c r="B1410" t="s">
        <v>1722</v>
      </c>
      <c r="C1410" t="s">
        <v>2256</v>
      </c>
      <c r="D1410" t="s">
        <v>159</v>
      </c>
      <c r="E1410" t="s">
        <v>159</v>
      </c>
      <c r="F1410">
        <v>7917</v>
      </c>
      <c r="G1410" t="s">
        <v>700</v>
      </c>
      <c r="I1410">
        <v>238.5</v>
      </c>
      <c r="J1410">
        <v>243</v>
      </c>
      <c r="K1410">
        <v>243</v>
      </c>
      <c r="L1410">
        <v>247.5</v>
      </c>
      <c r="N1410" t="s">
        <v>988</v>
      </c>
    </row>
    <row r="1411" spans="1:14" x14ac:dyDescent="0.3">
      <c r="A1411">
        <v>1645</v>
      </c>
      <c r="B1411" t="s">
        <v>1722</v>
      </c>
      <c r="C1411" t="s">
        <v>2256</v>
      </c>
      <c r="D1411" t="s">
        <v>159</v>
      </c>
      <c r="E1411" t="s">
        <v>159</v>
      </c>
      <c r="F1411">
        <v>7917</v>
      </c>
      <c r="G1411" t="s">
        <v>698</v>
      </c>
      <c r="I1411">
        <v>105.6</v>
      </c>
      <c r="J1411">
        <v>112.8</v>
      </c>
      <c r="K1411">
        <v>120</v>
      </c>
      <c r="L1411">
        <v>127.2</v>
      </c>
      <c r="N1411" t="s">
        <v>988</v>
      </c>
    </row>
    <row r="1412" spans="1:14" x14ac:dyDescent="0.3">
      <c r="A1412">
        <v>1645</v>
      </c>
      <c r="B1412" t="s">
        <v>1722</v>
      </c>
      <c r="C1412" t="s">
        <v>2256</v>
      </c>
      <c r="D1412" t="s">
        <v>159</v>
      </c>
      <c r="E1412" t="s">
        <v>159</v>
      </c>
      <c r="F1412">
        <v>7917</v>
      </c>
      <c r="G1412" t="s">
        <v>696</v>
      </c>
      <c r="I1412">
        <v>3266.75</v>
      </c>
      <c r="J1412">
        <v>3356.75</v>
      </c>
      <c r="K1412">
        <v>3446.75</v>
      </c>
      <c r="L1412">
        <v>3536.75</v>
      </c>
      <c r="N1412" t="s">
        <v>988</v>
      </c>
    </row>
    <row r="1413" spans="1:14" x14ac:dyDescent="0.3">
      <c r="A1413">
        <v>1650</v>
      </c>
      <c r="B1413" t="s">
        <v>1724</v>
      </c>
      <c r="C1413" t="s">
        <v>2256</v>
      </c>
      <c r="D1413" t="s">
        <v>1203</v>
      </c>
      <c r="E1413" t="s">
        <v>1204</v>
      </c>
      <c r="F1413">
        <v>5505</v>
      </c>
      <c r="G1413" t="s">
        <v>686</v>
      </c>
      <c r="I1413">
        <v>875</v>
      </c>
      <c r="J1413">
        <v>885</v>
      </c>
      <c r="K1413">
        <v>895</v>
      </c>
      <c r="L1413">
        <v>905</v>
      </c>
      <c r="M1413">
        <v>915</v>
      </c>
      <c r="N1413" t="s">
        <v>988</v>
      </c>
    </row>
    <row r="1414" spans="1:14" x14ac:dyDescent="0.3">
      <c r="A1414">
        <v>1650</v>
      </c>
      <c r="B1414" t="s">
        <v>1724</v>
      </c>
      <c r="C1414" t="s">
        <v>2256</v>
      </c>
      <c r="D1414" t="s">
        <v>1203</v>
      </c>
      <c r="E1414" t="s">
        <v>1204</v>
      </c>
      <c r="F1414">
        <v>5505</v>
      </c>
      <c r="G1414" t="s">
        <v>702</v>
      </c>
      <c r="I1414">
        <v>198</v>
      </c>
      <c r="J1414">
        <v>200</v>
      </c>
      <c r="K1414">
        <v>202</v>
      </c>
      <c r="L1414">
        <v>205</v>
      </c>
      <c r="M1414">
        <v>207</v>
      </c>
      <c r="N1414" t="s">
        <v>988</v>
      </c>
    </row>
    <row r="1415" spans="1:14" x14ac:dyDescent="0.3">
      <c r="A1415">
        <v>1650</v>
      </c>
      <c r="B1415" t="s">
        <v>1724</v>
      </c>
      <c r="C1415" t="s">
        <v>2256</v>
      </c>
      <c r="D1415" t="s">
        <v>1203</v>
      </c>
      <c r="E1415" t="s">
        <v>1204</v>
      </c>
      <c r="F1415">
        <v>5505</v>
      </c>
      <c r="G1415" t="s">
        <v>703</v>
      </c>
      <c r="I1415">
        <v>164</v>
      </c>
      <c r="J1415">
        <v>166</v>
      </c>
      <c r="K1415">
        <v>168</v>
      </c>
      <c r="L1415">
        <v>169</v>
      </c>
      <c r="M1415">
        <v>171</v>
      </c>
      <c r="N1415" t="s">
        <v>988</v>
      </c>
    </row>
    <row r="1416" spans="1:14" x14ac:dyDescent="0.3">
      <c r="A1416">
        <v>1650</v>
      </c>
      <c r="B1416" t="s">
        <v>1724</v>
      </c>
      <c r="C1416" t="s">
        <v>2256</v>
      </c>
      <c r="D1416" t="s">
        <v>1203</v>
      </c>
      <c r="E1416" t="s">
        <v>1204</v>
      </c>
      <c r="F1416">
        <v>5505</v>
      </c>
      <c r="G1416" t="s">
        <v>701</v>
      </c>
      <c r="I1416">
        <v>26</v>
      </c>
      <c r="J1416">
        <v>26</v>
      </c>
      <c r="K1416">
        <v>27</v>
      </c>
      <c r="L1416">
        <v>27</v>
      </c>
      <c r="M1416">
        <v>27</v>
      </c>
      <c r="N1416" t="s">
        <v>988</v>
      </c>
    </row>
    <row r="1417" spans="1:14" x14ac:dyDescent="0.3">
      <c r="A1417">
        <v>1650</v>
      </c>
      <c r="B1417" t="s">
        <v>1724</v>
      </c>
      <c r="C1417" t="s">
        <v>2256</v>
      </c>
      <c r="D1417" t="s">
        <v>1203</v>
      </c>
      <c r="E1417" t="s">
        <v>1204</v>
      </c>
      <c r="F1417">
        <v>5505</v>
      </c>
      <c r="G1417" t="s">
        <v>698</v>
      </c>
      <c r="I1417">
        <v>2432</v>
      </c>
      <c r="J1417">
        <v>2459</v>
      </c>
      <c r="K1417">
        <v>2487</v>
      </c>
      <c r="L1417">
        <v>2514</v>
      </c>
      <c r="M1417">
        <v>2543</v>
      </c>
      <c r="N1417" t="s">
        <v>988</v>
      </c>
    </row>
    <row r="1418" spans="1:14" x14ac:dyDescent="0.3">
      <c r="A1418">
        <v>1650</v>
      </c>
      <c r="B1418" t="s">
        <v>1724</v>
      </c>
      <c r="C1418" t="s">
        <v>2256</v>
      </c>
      <c r="D1418" t="s">
        <v>1203</v>
      </c>
      <c r="E1418" t="s">
        <v>1204</v>
      </c>
      <c r="F1418">
        <v>5505</v>
      </c>
      <c r="G1418" t="s">
        <v>696</v>
      </c>
      <c r="I1418">
        <v>2954</v>
      </c>
      <c r="J1418">
        <v>2987</v>
      </c>
      <c r="K1418">
        <v>3021</v>
      </c>
      <c r="L1418">
        <v>3054</v>
      </c>
      <c r="M1418">
        <v>3089</v>
      </c>
      <c r="N1418" t="s">
        <v>988</v>
      </c>
    </row>
    <row r="1419" spans="1:14" x14ac:dyDescent="0.3">
      <c r="A1419">
        <v>1650</v>
      </c>
      <c r="B1419" t="s">
        <v>1724</v>
      </c>
      <c r="C1419" t="s">
        <v>2256</v>
      </c>
      <c r="D1419" t="s">
        <v>1203</v>
      </c>
      <c r="E1419" t="s">
        <v>1204</v>
      </c>
      <c r="F1419">
        <v>5505</v>
      </c>
      <c r="G1419" t="s">
        <v>700</v>
      </c>
      <c r="I1419">
        <v>1772</v>
      </c>
      <c r="J1419">
        <v>1791</v>
      </c>
      <c r="K1419">
        <v>1811</v>
      </c>
      <c r="L1419">
        <v>1832</v>
      </c>
      <c r="M1419">
        <v>1852</v>
      </c>
      <c r="N1419" t="s">
        <v>988</v>
      </c>
    </row>
    <row r="1420" spans="1:14" x14ac:dyDescent="0.3">
      <c r="A1420">
        <v>1656</v>
      </c>
      <c r="B1420" t="s">
        <v>1725</v>
      </c>
      <c r="C1420" t="s">
        <v>2256</v>
      </c>
      <c r="D1420" t="s">
        <v>1203</v>
      </c>
      <c r="E1420" t="s">
        <v>1204</v>
      </c>
      <c r="F1420">
        <v>6765</v>
      </c>
      <c r="G1420" t="s">
        <v>698</v>
      </c>
      <c r="I1420">
        <v>1348</v>
      </c>
      <c r="J1420">
        <v>1474</v>
      </c>
      <c r="K1420">
        <v>1574</v>
      </c>
      <c r="L1420">
        <v>1681</v>
      </c>
      <c r="M1420">
        <v>1784</v>
      </c>
      <c r="N1420" t="s">
        <v>988</v>
      </c>
    </row>
    <row r="1421" spans="1:14" x14ac:dyDescent="0.3">
      <c r="A1421">
        <v>1656</v>
      </c>
      <c r="B1421" t="s">
        <v>1725</v>
      </c>
      <c r="C1421" t="s">
        <v>2256</v>
      </c>
      <c r="D1421" t="s">
        <v>1203</v>
      </c>
      <c r="E1421" t="s">
        <v>1204</v>
      </c>
      <c r="F1421">
        <v>6765</v>
      </c>
      <c r="G1421" t="s">
        <v>700</v>
      </c>
      <c r="H1421" t="s">
        <v>1726</v>
      </c>
      <c r="I1421">
        <v>811</v>
      </c>
      <c r="J1421">
        <v>887</v>
      </c>
      <c r="K1421">
        <v>947</v>
      </c>
      <c r="L1421">
        <v>1011</v>
      </c>
      <c r="M1421">
        <v>1073</v>
      </c>
      <c r="N1421" t="s">
        <v>988</v>
      </c>
    </row>
    <row r="1422" spans="1:14" x14ac:dyDescent="0.3">
      <c r="A1422">
        <v>1656</v>
      </c>
      <c r="B1422" t="s">
        <v>1725</v>
      </c>
      <c r="C1422" t="s">
        <v>2256</v>
      </c>
      <c r="D1422" t="s">
        <v>1203</v>
      </c>
      <c r="E1422" t="s">
        <v>1204</v>
      </c>
      <c r="F1422">
        <v>6765</v>
      </c>
      <c r="G1422" t="s">
        <v>702</v>
      </c>
      <c r="I1422">
        <v>1394</v>
      </c>
      <c r="J1422">
        <v>1524</v>
      </c>
      <c r="K1422">
        <v>1627</v>
      </c>
      <c r="L1422">
        <v>1737</v>
      </c>
      <c r="M1422">
        <v>1844</v>
      </c>
      <c r="N1422" t="s">
        <v>988</v>
      </c>
    </row>
    <row r="1423" spans="1:14" x14ac:dyDescent="0.3">
      <c r="A1423">
        <v>1656</v>
      </c>
      <c r="B1423" t="s">
        <v>1725</v>
      </c>
      <c r="C1423" t="s">
        <v>2256</v>
      </c>
      <c r="D1423" t="s">
        <v>1203</v>
      </c>
      <c r="E1423" t="s">
        <v>1204</v>
      </c>
      <c r="F1423">
        <v>6765</v>
      </c>
      <c r="G1423" t="s">
        <v>691</v>
      </c>
      <c r="I1423">
        <v>50</v>
      </c>
      <c r="J1423">
        <v>55</v>
      </c>
      <c r="K1423">
        <v>58</v>
      </c>
      <c r="L1423">
        <v>62</v>
      </c>
      <c r="M1423">
        <v>66</v>
      </c>
      <c r="N1423" t="s">
        <v>988</v>
      </c>
    </row>
    <row r="1424" spans="1:14" x14ac:dyDescent="0.3">
      <c r="A1424">
        <v>1656</v>
      </c>
      <c r="B1424" t="s">
        <v>1725</v>
      </c>
      <c r="C1424" t="s">
        <v>2256</v>
      </c>
      <c r="D1424" t="s">
        <v>1203</v>
      </c>
      <c r="E1424" t="s">
        <v>1204</v>
      </c>
      <c r="F1424">
        <v>6765</v>
      </c>
      <c r="G1424" t="s">
        <v>686</v>
      </c>
      <c r="H1424" t="s">
        <v>1227</v>
      </c>
      <c r="I1424">
        <v>919</v>
      </c>
      <c r="J1424">
        <v>1005</v>
      </c>
      <c r="K1424">
        <v>1073</v>
      </c>
      <c r="L1424">
        <v>1145</v>
      </c>
      <c r="M1424">
        <v>1216</v>
      </c>
      <c r="N1424" t="s">
        <v>988</v>
      </c>
    </row>
    <row r="1425" spans="1:14" x14ac:dyDescent="0.3">
      <c r="A1425">
        <v>1656</v>
      </c>
      <c r="B1425" t="s">
        <v>1725</v>
      </c>
      <c r="C1425" t="s">
        <v>2256</v>
      </c>
      <c r="D1425" t="s">
        <v>1203</v>
      </c>
      <c r="E1425" t="s">
        <v>1204</v>
      </c>
      <c r="F1425">
        <v>6765</v>
      </c>
      <c r="G1425" t="s">
        <v>696</v>
      </c>
      <c r="I1425">
        <v>4149</v>
      </c>
      <c r="J1425">
        <v>4537</v>
      </c>
      <c r="K1425">
        <v>4844</v>
      </c>
      <c r="L1425">
        <v>5172</v>
      </c>
      <c r="M1425">
        <v>5490</v>
      </c>
      <c r="N1425" t="s">
        <v>988</v>
      </c>
    </row>
    <row r="1426" spans="1:14" x14ac:dyDescent="0.3">
      <c r="A1426">
        <v>1660</v>
      </c>
      <c r="B1426" t="s">
        <v>1727</v>
      </c>
      <c r="C1426" t="s">
        <v>2256</v>
      </c>
      <c r="D1426" t="s">
        <v>1203</v>
      </c>
      <c r="E1426" t="s">
        <v>1204</v>
      </c>
      <c r="F1426">
        <v>5935</v>
      </c>
      <c r="G1426" t="s">
        <v>702</v>
      </c>
      <c r="I1426">
        <v>22</v>
      </c>
      <c r="J1426">
        <v>23</v>
      </c>
      <c r="K1426">
        <v>23</v>
      </c>
      <c r="L1426">
        <v>24</v>
      </c>
      <c r="M1426">
        <v>24</v>
      </c>
      <c r="N1426" t="s">
        <v>988</v>
      </c>
    </row>
    <row r="1427" spans="1:14" x14ac:dyDescent="0.3">
      <c r="A1427">
        <v>1660</v>
      </c>
      <c r="B1427" t="s">
        <v>1727</v>
      </c>
      <c r="C1427" t="s">
        <v>2256</v>
      </c>
      <c r="D1427" t="s">
        <v>1203</v>
      </c>
      <c r="E1427" t="s">
        <v>1204</v>
      </c>
      <c r="F1427">
        <v>5935</v>
      </c>
      <c r="G1427" t="s">
        <v>703</v>
      </c>
      <c r="I1427">
        <v>65</v>
      </c>
      <c r="J1427">
        <v>67</v>
      </c>
      <c r="K1427">
        <v>68</v>
      </c>
      <c r="L1427">
        <v>71</v>
      </c>
      <c r="M1427">
        <v>71</v>
      </c>
      <c r="N1427" t="s">
        <v>988</v>
      </c>
    </row>
    <row r="1428" spans="1:14" x14ac:dyDescent="0.3">
      <c r="A1428">
        <v>1660</v>
      </c>
      <c r="B1428" t="s">
        <v>1727</v>
      </c>
      <c r="C1428" t="s">
        <v>2256</v>
      </c>
      <c r="D1428" t="s">
        <v>1203</v>
      </c>
      <c r="E1428" t="s">
        <v>1204</v>
      </c>
      <c r="F1428">
        <v>5935</v>
      </c>
      <c r="G1428" t="s">
        <v>700</v>
      </c>
      <c r="I1428">
        <v>303</v>
      </c>
      <c r="J1428">
        <v>311</v>
      </c>
      <c r="K1428">
        <v>319</v>
      </c>
      <c r="L1428">
        <v>329</v>
      </c>
      <c r="M1428">
        <v>329</v>
      </c>
      <c r="N1428" t="s">
        <v>988</v>
      </c>
    </row>
    <row r="1429" spans="1:14" x14ac:dyDescent="0.3">
      <c r="A1429">
        <v>1660</v>
      </c>
      <c r="B1429" t="s">
        <v>1727</v>
      </c>
      <c r="C1429" t="s">
        <v>2256</v>
      </c>
      <c r="D1429" t="s">
        <v>1203</v>
      </c>
      <c r="E1429" t="s">
        <v>1204</v>
      </c>
      <c r="F1429">
        <v>5935</v>
      </c>
      <c r="G1429" t="s">
        <v>698</v>
      </c>
      <c r="I1429">
        <v>163</v>
      </c>
      <c r="J1429">
        <v>167</v>
      </c>
      <c r="K1429">
        <v>171</v>
      </c>
      <c r="L1429">
        <v>176</v>
      </c>
      <c r="M1429">
        <v>176</v>
      </c>
      <c r="N1429" t="s">
        <v>988</v>
      </c>
    </row>
    <row r="1430" spans="1:14" x14ac:dyDescent="0.3">
      <c r="A1430">
        <v>1660</v>
      </c>
      <c r="B1430" t="s">
        <v>1727</v>
      </c>
      <c r="C1430" t="s">
        <v>2256</v>
      </c>
      <c r="D1430" t="s">
        <v>1203</v>
      </c>
      <c r="E1430" t="s">
        <v>1204</v>
      </c>
      <c r="F1430">
        <v>5935</v>
      </c>
      <c r="G1430" t="s">
        <v>696</v>
      </c>
      <c r="I1430">
        <v>687</v>
      </c>
      <c r="J1430">
        <v>704</v>
      </c>
      <c r="K1430">
        <v>722</v>
      </c>
      <c r="L1430">
        <v>745</v>
      </c>
      <c r="M1430">
        <v>745</v>
      </c>
      <c r="N1430" t="s">
        <v>988</v>
      </c>
    </row>
    <row r="1431" spans="1:14" x14ac:dyDescent="0.3">
      <c r="A1431">
        <v>1660</v>
      </c>
      <c r="B1431" t="s">
        <v>1727</v>
      </c>
      <c r="C1431" t="s">
        <v>2256</v>
      </c>
      <c r="D1431" t="s">
        <v>1203</v>
      </c>
      <c r="E1431" t="s">
        <v>1204</v>
      </c>
      <c r="F1431">
        <v>5935</v>
      </c>
      <c r="G1431" t="s">
        <v>686</v>
      </c>
      <c r="I1431">
        <v>92</v>
      </c>
      <c r="J1431">
        <v>95</v>
      </c>
      <c r="K1431">
        <v>97</v>
      </c>
      <c r="L1431">
        <v>100</v>
      </c>
      <c r="M1431">
        <v>100</v>
      </c>
      <c r="N1431" t="s">
        <v>988</v>
      </c>
    </row>
    <row r="1432" spans="1:14" x14ac:dyDescent="0.3">
      <c r="A1432">
        <v>1663</v>
      </c>
      <c r="B1432" t="s">
        <v>1728</v>
      </c>
      <c r="C1432" t="s">
        <v>2256</v>
      </c>
      <c r="D1432" t="s">
        <v>159</v>
      </c>
      <c r="E1432" t="s">
        <v>159</v>
      </c>
      <c r="F1432">
        <v>7831</v>
      </c>
      <c r="G1432" t="s">
        <v>698</v>
      </c>
      <c r="I1432">
        <v>1988</v>
      </c>
      <c r="J1432">
        <v>1972</v>
      </c>
      <c r="K1432">
        <v>1965</v>
      </c>
      <c r="L1432">
        <v>1960</v>
      </c>
      <c r="M1432">
        <v>1954</v>
      </c>
      <c r="N1432" t="s">
        <v>988</v>
      </c>
    </row>
    <row r="1433" spans="1:14" x14ac:dyDescent="0.3">
      <c r="A1433">
        <v>1663</v>
      </c>
      <c r="B1433" t="s">
        <v>1728</v>
      </c>
      <c r="C1433" t="s">
        <v>2256</v>
      </c>
      <c r="D1433" t="s">
        <v>159</v>
      </c>
      <c r="E1433" t="s">
        <v>159</v>
      </c>
      <c r="F1433">
        <v>7831</v>
      </c>
      <c r="G1433" t="s">
        <v>700</v>
      </c>
      <c r="H1433" t="s">
        <v>1272</v>
      </c>
      <c r="I1433">
        <v>2803</v>
      </c>
      <c r="J1433">
        <v>2780</v>
      </c>
      <c r="K1433">
        <v>2772</v>
      </c>
      <c r="L1433">
        <v>2766</v>
      </c>
      <c r="M1433">
        <v>2755</v>
      </c>
      <c r="N1433" t="s">
        <v>988</v>
      </c>
    </row>
    <row r="1434" spans="1:14" x14ac:dyDescent="0.3">
      <c r="A1434">
        <v>1663</v>
      </c>
      <c r="B1434" t="s">
        <v>1728</v>
      </c>
      <c r="C1434" t="s">
        <v>2256</v>
      </c>
      <c r="D1434" t="s">
        <v>159</v>
      </c>
      <c r="E1434" t="s">
        <v>159</v>
      </c>
      <c r="F1434">
        <v>7831</v>
      </c>
      <c r="G1434" t="s">
        <v>702</v>
      </c>
      <c r="I1434">
        <v>3350</v>
      </c>
      <c r="J1434">
        <v>3323</v>
      </c>
      <c r="K1434">
        <v>3312</v>
      </c>
      <c r="L1434">
        <v>3305</v>
      </c>
      <c r="M1434">
        <v>3292</v>
      </c>
      <c r="N1434" t="s">
        <v>988</v>
      </c>
    </row>
    <row r="1435" spans="1:14" x14ac:dyDescent="0.3">
      <c r="A1435">
        <v>1663</v>
      </c>
      <c r="B1435" t="s">
        <v>1728</v>
      </c>
      <c r="C1435" t="s">
        <v>2256</v>
      </c>
      <c r="D1435" t="s">
        <v>159</v>
      </c>
      <c r="E1435" t="s">
        <v>159</v>
      </c>
      <c r="F1435">
        <v>7831</v>
      </c>
      <c r="G1435" t="s">
        <v>686</v>
      </c>
      <c r="I1435">
        <v>1906</v>
      </c>
      <c r="J1435">
        <v>1841</v>
      </c>
      <c r="K1435">
        <v>1768</v>
      </c>
      <c r="L1435">
        <v>1694</v>
      </c>
      <c r="M1435">
        <v>1614</v>
      </c>
      <c r="N1435" t="s">
        <v>988</v>
      </c>
    </row>
    <row r="1436" spans="1:14" x14ac:dyDescent="0.3">
      <c r="A1436">
        <v>1663</v>
      </c>
      <c r="B1436" t="s">
        <v>1728</v>
      </c>
      <c r="C1436" t="s">
        <v>2256</v>
      </c>
      <c r="D1436" t="s">
        <v>159</v>
      </c>
      <c r="E1436" t="s">
        <v>159</v>
      </c>
      <c r="F1436">
        <v>7831</v>
      </c>
      <c r="G1436" t="s">
        <v>691</v>
      </c>
      <c r="H1436" t="s">
        <v>2375</v>
      </c>
      <c r="I1436">
        <v>14</v>
      </c>
      <c r="J1436">
        <v>14</v>
      </c>
      <c r="K1436">
        <v>14</v>
      </c>
      <c r="L1436">
        <v>14</v>
      </c>
      <c r="M1436">
        <v>14</v>
      </c>
      <c r="N1436" t="s">
        <v>988</v>
      </c>
    </row>
    <row r="1437" spans="1:14" x14ac:dyDescent="0.3">
      <c r="A1437">
        <v>1663</v>
      </c>
      <c r="B1437" t="s">
        <v>1728</v>
      </c>
      <c r="C1437" t="s">
        <v>2256</v>
      </c>
      <c r="D1437" t="s">
        <v>159</v>
      </c>
      <c r="E1437" t="s">
        <v>159</v>
      </c>
      <c r="F1437">
        <v>7831</v>
      </c>
      <c r="G1437" t="s">
        <v>696</v>
      </c>
      <c r="I1437">
        <v>15634</v>
      </c>
      <c r="J1437">
        <v>15506</v>
      </c>
      <c r="K1437">
        <v>15455</v>
      </c>
      <c r="L1437">
        <v>15422</v>
      </c>
      <c r="M1437">
        <v>15363</v>
      </c>
      <c r="N1437" t="s">
        <v>988</v>
      </c>
    </row>
    <row r="1438" spans="1:14" x14ac:dyDescent="0.3">
      <c r="A1438">
        <v>4231</v>
      </c>
      <c r="B1438" t="s">
        <v>1730</v>
      </c>
      <c r="C1438" t="s">
        <v>2256</v>
      </c>
      <c r="D1438" t="s">
        <v>1203</v>
      </c>
      <c r="E1438" t="s">
        <v>1204</v>
      </c>
      <c r="F1438">
        <v>5492</v>
      </c>
      <c r="G1438" t="s">
        <v>698</v>
      </c>
      <c r="H1438" t="s">
        <v>2376</v>
      </c>
      <c r="I1438">
        <v>194.35900000000001</v>
      </c>
      <c r="J1438">
        <v>388.71699999999998</v>
      </c>
      <c r="K1438">
        <v>583.07600000000002</v>
      </c>
      <c r="L1438">
        <v>777.43499999999995</v>
      </c>
      <c r="M1438">
        <v>777.43499999999995</v>
      </c>
      <c r="N1438" t="s">
        <v>988</v>
      </c>
    </row>
    <row r="1439" spans="1:14" x14ac:dyDescent="0.3">
      <c r="A1439">
        <v>4231</v>
      </c>
      <c r="B1439" t="s">
        <v>1730</v>
      </c>
      <c r="C1439" t="s">
        <v>2256</v>
      </c>
      <c r="D1439" t="s">
        <v>1203</v>
      </c>
      <c r="E1439" t="s">
        <v>1204</v>
      </c>
      <c r="F1439">
        <v>5492</v>
      </c>
      <c r="G1439" t="s">
        <v>696</v>
      </c>
      <c r="H1439" t="s">
        <v>2377</v>
      </c>
      <c r="I1439">
        <v>3498.4769999999999</v>
      </c>
      <c r="J1439">
        <v>3912.9319999999998</v>
      </c>
      <c r="K1439">
        <v>4327.3869999999997</v>
      </c>
      <c r="L1439">
        <v>4741.8419999999996</v>
      </c>
      <c r="M1439">
        <v>4741.8419999999996</v>
      </c>
      <c r="N1439" t="s">
        <v>988</v>
      </c>
    </row>
    <row r="1440" spans="1:14" x14ac:dyDescent="0.3">
      <c r="A1440">
        <v>4231</v>
      </c>
      <c r="B1440" t="s">
        <v>1730</v>
      </c>
      <c r="C1440" t="s">
        <v>2256</v>
      </c>
      <c r="D1440" t="s">
        <v>1203</v>
      </c>
      <c r="E1440" t="s">
        <v>1204</v>
      </c>
      <c r="F1440">
        <v>5492</v>
      </c>
      <c r="G1440" t="s">
        <v>700</v>
      </c>
      <c r="H1440" t="s">
        <v>1732</v>
      </c>
      <c r="I1440">
        <v>455.053</v>
      </c>
      <c r="J1440">
        <v>574.04200000000003</v>
      </c>
      <c r="K1440">
        <v>693.03</v>
      </c>
      <c r="L1440">
        <v>812.01900000000001</v>
      </c>
      <c r="M1440">
        <v>812.01900000000001</v>
      </c>
      <c r="N1440" t="s">
        <v>988</v>
      </c>
    </row>
    <row r="1441" spans="1:14" x14ac:dyDescent="0.3">
      <c r="A1441">
        <v>4231</v>
      </c>
      <c r="B1441" t="s">
        <v>1730</v>
      </c>
      <c r="C1441" t="s">
        <v>2256</v>
      </c>
      <c r="D1441" t="s">
        <v>1203</v>
      </c>
      <c r="E1441" t="s">
        <v>1204</v>
      </c>
      <c r="F1441">
        <v>5492</v>
      </c>
      <c r="G1441" t="s">
        <v>703</v>
      </c>
      <c r="H1441" t="s">
        <v>1733</v>
      </c>
      <c r="I1441">
        <v>464.98099999999999</v>
      </c>
      <c r="J1441">
        <v>540.60500000000002</v>
      </c>
      <c r="K1441">
        <v>616.23</v>
      </c>
      <c r="L1441">
        <v>691.85500000000002</v>
      </c>
      <c r="M1441">
        <v>691.85500000000002</v>
      </c>
      <c r="N1441" t="s">
        <v>988</v>
      </c>
    </row>
    <row r="1442" spans="1:14" x14ac:dyDescent="0.3">
      <c r="A1442">
        <v>4231</v>
      </c>
      <c r="B1442" t="s">
        <v>1730</v>
      </c>
      <c r="C1442" t="s">
        <v>2256</v>
      </c>
      <c r="D1442" t="s">
        <v>1203</v>
      </c>
      <c r="E1442" t="s">
        <v>1204</v>
      </c>
      <c r="F1442">
        <v>5492</v>
      </c>
      <c r="G1442" t="s">
        <v>701</v>
      </c>
      <c r="I1442">
        <v>155.34899999999999</v>
      </c>
      <c r="J1442">
        <v>310.697</v>
      </c>
      <c r="K1442">
        <v>466.04599999999999</v>
      </c>
      <c r="L1442">
        <v>621.39499999999998</v>
      </c>
      <c r="M1442">
        <v>621.39499999999998</v>
      </c>
      <c r="N1442" t="s">
        <v>988</v>
      </c>
    </row>
    <row r="1443" spans="1:14" x14ac:dyDescent="0.3">
      <c r="A1443">
        <v>4231</v>
      </c>
      <c r="B1443" t="s">
        <v>1730</v>
      </c>
      <c r="C1443" t="s">
        <v>2256</v>
      </c>
      <c r="D1443" t="s">
        <v>1203</v>
      </c>
      <c r="E1443" t="s">
        <v>1204</v>
      </c>
      <c r="F1443">
        <v>5492</v>
      </c>
      <c r="G1443" t="s">
        <v>702</v>
      </c>
      <c r="H1443" t="s">
        <v>1734</v>
      </c>
      <c r="I1443">
        <v>427.17700000000002</v>
      </c>
      <c r="J1443">
        <v>532.33600000000001</v>
      </c>
      <c r="K1443">
        <v>637.495</v>
      </c>
      <c r="L1443">
        <v>742.65499999999997</v>
      </c>
      <c r="M1443">
        <v>742.65499999999997</v>
      </c>
      <c r="N1443" t="s">
        <v>988</v>
      </c>
    </row>
    <row r="1444" spans="1:14" x14ac:dyDescent="0.3">
      <c r="A1444">
        <v>4231</v>
      </c>
      <c r="B1444" t="s">
        <v>1730</v>
      </c>
      <c r="C1444" t="s">
        <v>2256</v>
      </c>
      <c r="D1444" t="s">
        <v>1203</v>
      </c>
      <c r="E1444" t="s">
        <v>1204</v>
      </c>
      <c r="F1444">
        <v>5492</v>
      </c>
      <c r="G1444" t="s">
        <v>692</v>
      </c>
      <c r="H1444" t="s">
        <v>1735</v>
      </c>
      <c r="I1444">
        <v>83.95</v>
      </c>
      <c r="J1444">
        <v>167.9</v>
      </c>
      <c r="K1444">
        <v>251.84899999999999</v>
      </c>
      <c r="L1444">
        <v>335.79899999999998</v>
      </c>
      <c r="M1444">
        <v>335.79899999999998</v>
      </c>
      <c r="N1444" t="s">
        <v>988</v>
      </c>
    </row>
    <row r="1445" spans="1:14" x14ac:dyDescent="0.3">
      <c r="A1445">
        <v>4231</v>
      </c>
      <c r="B1445" t="s">
        <v>1730</v>
      </c>
      <c r="C1445" t="s">
        <v>2256</v>
      </c>
      <c r="D1445" t="s">
        <v>1203</v>
      </c>
      <c r="E1445" t="s">
        <v>1204</v>
      </c>
      <c r="F1445">
        <v>5492</v>
      </c>
      <c r="G1445" t="s">
        <v>686</v>
      </c>
      <c r="I1445">
        <v>623.66</v>
      </c>
      <c r="J1445">
        <v>706.54</v>
      </c>
      <c r="K1445">
        <v>789.42</v>
      </c>
      <c r="L1445">
        <v>872.3</v>
      </c>
      <c r="M1445">
        <v>872.3</v>
      </c>
      <c r="N1445" t="s">
        <v>988</v>
      </c>
    </row>
    <row r="1446" spans="1:14" x14ac:dyDescent="0.3">
      <c r="A1446">
        <v>1671</v>
      </c>
      <c r="B1446" t="s">
        <v>1736</v>
      </c>
      <c r="C1446" t="s">
        <v>2256</v>
      </c>
      <c r="D1446" t="s">
        <v>1203</v>
      </c>
      <c r="E1446" t="s">
        <v>1204</v>
      </c>
      <c r="F1446">
        <v>5775</v>
      </c>
      <c r="G1446" t="s">
        <v>687</v>
      </c>
      <c r="H1446" t="s">
        <v>1260</v>
      </c>
      <c r="I1446">
        <v>12</v>
      </c>
      <c r="J1446">
        <v>13</v>
      </c>
      <c r="K1446">
        <v>14</v>
      </c>
      <c r="L1446">
        <v>15</v>
      </c>
      <c r="M1446">
        <v>16</v>
      </c>
      <c r="N1446" t="s">
        <v>988</v>
      </c>
    </row>
    <row r="1447" spans="1:14" x14ac:dyDescent="0.3">
      <c r="A1447">
        <v>1671</v>
      </c>
      <c r="B1447" t="s">
        <v>1736</v>
      </c>
      <c r="C1447" t="s">
        <v>2256</v>
      </c>
      <c r="D1447" t="s">
        <v>1203</v>
      </c>
      <c r="E1447" t="s">
        <v>1204</v>
      </c>
      <c r="F1447">
        <v>5775</v>
      </c>
      <c r="G1447" t="s">
        <v>686</v>
      </c>
      <c r="I1447">
        <v>800</v>
      </c>
      <c r="J1447">
        <v>835</v>
      </c>
      <c r="K1447">
        <v>868</v>
      </c>
      <c r="L1447">
        <v>903</v>
      </c>
      <c r="M1447">
        <v>938</v>
      </c>
      <c r="N1447" t="s">
        <v>988</v>
      </c>
    </row>
    <row r="1448" spans="1:14" x14ac:dyDescent="0.3">
      <c r="A1448">
        <v>1671</v>
      </c>
      <c r="B1448" t="s">
        <v>1736</v>
      </c>
      <c r="C1448" t="s">
        <v>2256</v>
      </c>
      <c r="D1448" t="s">
        <v>1203</v>
      </c>
      <c r="E1448" t="s">
        <v>1204</v>
      </c>
      <c r="F1448">
        <v>5775</v>
      </c>
      <c r="G1448" t="s">
        <v>702</v>
      </c>
      <c r="I1448">
        <v>2468</v>
      </c>
      <c r="J1448">
        <v>2614</v>
      </c>
      <c r="K1448">
        <v>2759</v>
      </c>
      <c r="L1448">
        <v>2905</v>
      </c>
      <c r="M1448">
        <v>3051</v>
      </c>
      <c r="N1448" t="s">
        <v>988</v>
      </c>
    </row>
    <row r="1449" spans="1:14" x14ac:dyDescent="0.3">
      <c r="A1449">
        <v>1671</v>
      </c>
      <c r="B1449" t="s">
        <v>1736</v>
      </c>
      <c r="C1449" t="s">
        <v>2256</v>
      </c>
      <c r="D1449" t="s">
        <v>1203</v>
      </c>
      <c r="E1449" t="s">
        <v>1204</v>
      </c>
      <c r="F1449">
        <v>5775</v>
      </c>
      <c r="G1449" t="s">
        <v>701</v>
      </c>
      <c r="I1449">
        <v>457</v>
      </c>
      <c r="J1449">
        <v>473</v>
      </c>
      <c r="K1449">
        <v>490</v>
      </c>
      <c r="L1449">
        <v>508</v>
      </c>
      <c r="M1449">
        <v>526</v>
      </c>
      <c r="N1449" t="s">
        <v>988</v>
      </c>
    </row>
    <row r="1450" spans="1:14" x14ac:dyDescent="0.3">
      <c r="A1450">
        <v>1671</v>
      </c>
      <c r="B1450" t="s">
        <v>1736</v>
      </c>
      <c r="C1450" t="s">
        <v>2256</v>
      </c>
      <c r="D1450" t="s">
        <v>1203</v>
      </c>
      <c r="E1450" t="s">
        <v>1204</v>
      </c>
      <c r="F1450">
        <v>5775</v>
      </c>
      <c r="G1450" t="s">
        <v>700</v>
      </c>
      <c r="I1450">
        <v>1672</v>
      </c>
      <c r="J1450">
        <v>1719</v>
      </c>
      <c r="K1450">
        <v>1771</v>
      </c>
      <c r="L1450">
        <v>1826</v>
      </c>
      <c r="M1450">
        <v>1885</v>
      </c>
      <c r="N1450" t="s">
        <v>988</v>
      </c>
    </row>
    <row r="1451" spans="1:14" x14ac:dyDescent="0.3">
      <c r="A1451">
        <v>1671</v>
      </c>
      <c r="B1451" t="s">
        <v>1736</v>
      </c>
      <c r="C1451" t="s">
        <v>2256</v>
      </c>
      <c r="D1451" t="s">
        <v>1203</v>
      </c>
      <c r="E1451" t="s">
        <v>1204</v>
      </c>
      <c r="F1451">
        <v>5775</v>
      </c>
      <c r="G1451" t="s">
        <v>698</v>
      </c>
      <c r="I1451">
        <v>3569</v>
      </c>
      <c r="J1451">
        <v>3873</v>
      </c>
      <c r="K1451">
        <v>4191</v>
      </c>
      <c r="L1451">
        <v>4520</v>
      </c>
      <c r="M1451">
        <v>4854</v>
      </c>
      <c r="N1451" t="s">
        <v>988</v>
      </c>
    </row>
    <row r="1452" spans="1:14" x14ac:dyDescent="0.3">
      <c r="A1452">
        <v>1671</v>
      </c>
      <c r="B1452" t="s">
        <v>1736</v>
      </c>
      <c r="C1452" t="s">
        <v>2256</v>
      </c>
      <c r="D1452" t="s">
        <v>1203</v>
      </c>
      <c r="E1452" t="s">
        <v>1204</v>
      </c>
      <c r="F1452">
        <v>5775</v>
      </c>
      <c r="G1452" t="s">
        <v>696</v>
      </c>
      <c r="I1452">
        <v>2632</v>
      </c>
      <c r="J1452">
        <v>2573</v>
      </c>
      <c r="K1452">
        <v>2523</v>
      </c>
      <c r="L1452">
        <v>2482</v>
      </c>
      <c r="M1452">
        <v>2445</v>
      </c>
      <c r="N1452" t="s">
        <v>988</v>
      </c>
    </row>
    <row r="1453" spans="1:14" x14ac:dyDescent="0.3">
      <c r="A1453">
        <v>1697</v>
      </c>
      <c r="B1453" t="s">
        <v>1737</v>
      </c>
      <c r="C1453" t="s">
        <v>2256</v>
      </c>
      <c r="D1453" t="s">
        <v>1203</v>
      </c>
      <c r="E1453" t="s">
        <v>1204</v>
      </c>
      <c r="F1453">
        <v>5833</v>
      </c>
      <c r="G1453" t="s">
        <v>696</v>
      </c>
      <c r="I1453">
        <v>2716</v>
      </c>
      <c r="J1453">
        <v>2817</v>
      </c>
      <c r="K1453">
        <v>2918</v>
      </c>
      <c r="L1453">
        <v>2939</v>
      </c>
      <c r="M1453">
        <v>2961</v>
      </c>
      <c r="N1453" t="s">
        <v>988</v>
      </c>
    </row>
    <row r="1454" spans="1:14" x14ac:dyDescent="0.3">
      <c r="A1454">
        <v>1697</v>
      </c>
      <c r="B1454" t="s">
        <v>1737</v>
      </c>
      <c r="C1454" t="s">
        <v>2256</v>
      </c>
      <c r="D1454" t="s">
        <v>1203</v>
      </c>
      <c r="E1454" t="s">
        <v>1204</v>
      </c>
      <c r="F1454">
        <v>5833</v>
      </c>
      <c r="G1454" t="s">
        <v>686</v>
      </c>
      <c r="I1454">
        <v>457</v>
      </c>
      <c r="J1454">
        <v>474</v>
      </c>
      <c r="K1454">
        <v>491</v>
      </c>
      <c r="L1454">
        <v>494</v>
      </c>
      <c r="M1454">
        <v>498</v>
      </c>
      <c r="N1454" t="s">
        <v>988</v>
      </c>
    </row>
    <row r="1455" spans="1:14" x14ac:dyDescent="0.3">
      <c r="A1455">
        <v>1697</v>
      </c>
      <c r="B1455" t="s">
        <v>1737</v>
      </c>
      <c r="C1455" t="s">
        <v>2256</v>
      </c>
      <c r="D1455" t="s">
        <v>1203</v>
      </c>
      <c r="E1455" t="s">
        <v>1204</v>
      </c>
      <c r="F1455">
        <v>5833</v>
      </c>
      <c r="G1455" t="s">
        <v>698</v>
      </c>
      <c r="I1455">
        <v>348</v>
      </c>
      <c r="J1455">
        <v>361</v>
      </c>
      <c r="K1455">
        <v>374</v>
      </c>
      <c r="L1455">
        <v>377</v>
      </c>
      <c r="M1455">
        <v>380</v>
      </c>
      <c r="N1455" t="s">
        <v>988</v>
      </c>
    </row>
    <row r="1456" spans="1:14" x14ac:dyDescent="0.3">
      <c r="A1456">
        <v>1697</v>
      </c>
      <c r="B1456" t="s">
        <v>1737</v>
      </c>
      <c r="C1456" t="s">
        <v>2256</v>
      </c>
      <c r="D1456" t="s">
        <v>1203</v>
      </c>
      <c r="E1456" t="s">
        <v>1204</v>
      </c>
      <c r="F1456">
        <v>5833</v>
      </c>
      <c r="G1456" t="s">
        <v>702</v>
      </c>
      <c r="I1456">
        <v>300</v>
      </c>
      <c r="J1456">
        <v>312</v>
      </c>
      <c r="K1456">
        <v>323</v>
      </c>
      <c r="L1456">
        <v>325</v>
      </c>
      <c r="M1456">
        <v>327</v>
      </c>
      <c r="N1456" t="s">
        <v>988</v>
      </c>
    </row>
    <row r="1457" spans="1:14" x14ac:dyDescent="0.3">
      <c r="A1457">
        <v>1697</v>
      </c>
      <c r="B1457" t="s">
        <v>1737</v>
      </c>
      <c r="C1457" t="s">
        <v>2256</v>
      </c>
      <c r="D1457" t="s">
        <v>1203</v>
      </c>
      <c r="E1457" t="s">
        <v>1204</v>
      </c>
      <c r="F1457">
        <v>5833</v>
      </c>
      <c r="G1457" t="s">
        <v>700</v>
      </c>
      <c r="H1457" t="s">
        <v>1457</v>
      </c>
      <c r="I1457">
        <v>410</v>
      </c>
      <c r="J1457">
        <v>426</v>
      </c>
      <c r="K1457">
        <v>441</v>
      </c>
      <c r="L1457">
        <v>444</v>
      </c>
      <c r="M1457">
        <v>447</v>
      </c>
      <c r="N1457" t="s">
        <v>988</v>
      </c>
    </row>
    <row r="1458" spans="1:14" x14ac:dyDescent="0.3">
      <c r="A1458">
        <v>1697</v>
      </c>
      <c r="B1458" t="s">
        <v>1737</v>
      </c>
      <c r="C1458" t="s">
        <v>2256</v>
      </c>
      <c r="D1458" t="s">
        <v>1203</v>
      </c>
      <c r="E1458" t="s">
        <v>1204</v>
      </c>
      <c r="F1458">
        <v>5833</v>
      </c>
      <c r="G1458" t="s">
        <v>687</v>
      </c>
      <c r="I1458">
        <v>145</v>
      </c>
      <c r="J1458">
        <v>150</v>
      </c>
      <c r="K1458">
        <v>156</v>
      </c>
      <c r="L1458">
        <v>157</v>
      </c>
      <c r="M1458">
        <v>158</v>
      </c>
      <c r="N1458" t="s">
        <v>988</v>
      </c>
    </row>
    <row r="1459" spans="1:14" x14ac:dyDescent="0.3">
      <c r="A1459">
        <v>1701</v>
      </c>
      <c r="B1459" t="s">
        <v>1739</v>
      </c>
      <c r="C1459" t="s">
        <v>2256</v>
      </c>
      <c r="D1459" t="s">
        <v>1203</v>
      </c>
      <c r="E1459" t="s">
        <v>1204</v>
      </c>
      <c r="F1459">
        <v>5884</v>
      </c>
      <c r="G1459" t="s">
        <v>686</v>
      </c>
      <c r="H1459" t="s">
        <v>2080</v>
      </c>
      <c r="I1459">
        <v>800</v>
      </c>
      <c r="J1459">
        <v>700</v>
      </c>
      <c r="K1459">
        <v>600</v>
      </c>
      <c r="L1459">
        <v>600</v>
      </c>
      <c r="M1459">
        <v>500</v>
      </c>
      <c r="N1459" t="s">
        <v>988</v>
      </c>
    </row>
    <row r="1460" spans="1:14" x14ac:dyDescent="0.3">
      <c r="A1460">
        <v>1701</v>
      </c>
      <c r="B1460" t="s">
        <v>1739</v>
      </c>
      <c r="C1460" t="s">
        <v>2256</v>
      </c>
      <c r="D1460" t="s">
        <v>1203</v>
      </c>
      <c r="E1460" t="s">
        <v>1204</v>
      </c>
      <c r="F1460">
        <v>5884</v>
      </c>
      <c r="G1460" t="s">
        <v>687</v>
      </c>
      <c r="H1460" t="s">
        <v>1740</v>
      </c>
      <c r="I1460">
        <v>30</v>
      </c>
      <c r="J1460">
        <v>30</v>
      </c>
      <c r="K1460">
        <v>30</v>
      </c>
      <c r="L1460">
        <v>30</v>
      </c>
      <c r="M1460">
        <v>30</v>
      </c>
      <c r="N1460" t="s">
        <v>988</v>
      </c>
    </row>
    <row r="1461" spans="1:14" x14ac:dyDescent="0.3">
      <c r="A1461">
        <v>1701</v>
      </c>
      <c r="B1461" t="s">
        <v>1739</v>
      </c>
      <c r="C1461" t="s">
        <v>2256</v>
      </c>
      <c r="D1461" t="s">
        <v>1203</v>
      </c>
      <c r="E1461" t="s">
        <v>1204</v>
      </c>
      <c r="F1461">
        <v>5884</v>
      </c>
      <c r="G1461" t="s">
        <v>705</v>
      </c>
      <c r="H1461" t="s">
        <v>1742</v>
      </c>
      <c r="I1461">
        <v>600</v>
      </c>
      <c r="J1461">
        <v>600</v>
      </c>
      <c r="K1461">
        <v>600</v>
      </c>
      <c r="L1461">
        <v>600</v>
      </c>
      <c r="M1461">
        <v>600</v>
      </c>
      <c r="N1461" t="s">
        <v>988</v>
      </c>
    </row>
    <row r="1462" spans="1:14" x14ac:dyDescent="0.3">
      <c r="A1462">
        <v>1701</v>
      </c>
      <c r="B1462" t="s">
        <v>1739</v>
      </c>
      <c r="C1462" t="s">
        <v>2256</v>
      </c>
      <c r="D1462" t="s">
        <v>1203</v>
      </c>
      <c r="E1462" t="s">
        <v>1204</v>
      </c>
      <c r="F1462">
        <v>5884</v>
      </c>
      <c r="G1462" t="s">
        <v>684</v>
      </c>
      <c r="H1462" t="s">
        <v>1743</v>
      </c>
      <c r="I1462">
        <v>200</v>
      </c>
      <c r="J1462">
        <v>225</v>
      </c>
      <c r="K1462">
        <v>225</v>
      </c>
      <c r="L1462">
        <v>250</v>
      </c>
      <c r="M1462">
        <v>250</v>
      </c>
      <c r="N1462" t="s">
        <v>988</v>
      </c>
    </row>
    <row r="1463" spans="1:14" x14ac:dyDescent="0.3">
      <c r="A1463">
        <v>1701</v>
      </c>
      <c r="B1463" t="s">
        <v>1739</v>
      </c>
      <c r="C1463" t="s">
        <v>2256</v>
      </c>
      <c r="D1463" t="s">
        <v>1203</v>
      </c>
      <c r="E1463" t="s">
        <v>1204</v>
      </c>
      <c r="F1463">
        <v>5884</v>
      </c>
      <c r="G1463" t="s">
        <v>700</v>
      </c>
      <c r="H1463" t="s">
        <v>1744</v>
      </c>
      <c r="I1463">
        <v>3100</v>
      </c>
      <c r="J1463">
        <v>3200</v>
      </c>
      <c r="K1463">
        <v>3400</v>
      </c>
      <c r="L1463">
        <v>3500</v>
      </c>
      <c r="M1463">
        <v>3675</v>
      </c>
      <c r="N1463" t="s">
        <v>988</v>
      </c>
    </row>
    <row r="1464" spans="1:14" x14ac:dyDescent="0.3">
      <c r="A1464">
        <v>1701</v>
      </c>
      <c r="B1464" t="s">
        <v>1739</v>
      </c>
      <c r="C1464" t="s">
        <v>2256</v>
      </c>
      <c r="D1464" t="s">
        <v>1203</v>
      </c>
      <c r="E1464" t="s">
        <v>1204</v>
      </c>
      <c r="F1464">
        <v>5884</v>
      </c>
      <c r="G1464" t="s">
        <v>703</v>
      </c>
      <c r="H1464" t="s">
        <v>1745</v>
      </c>
      <c r="I1464">
        <v>200</v>
      </c>
      <c r="J1464">
        <v>200</v>
      </c>
      <c r="K1464">
        <v>200</v>
      </c>
      <c r="L1464">
        <v>200</v>
      </c>
      <c r="M1464">
        <v>200</v>
      </c>
      <c r="N1464" t="s">
        <v>988</v>
      </c>
    </row>
    <row r="1465" spans="1:14" x14ac:dyDescent="0.3">
      <c r="A1465">
        <v>1701</v>
      </c>
      <c r="B1465" t="s">
        <v>1739</v>
      </c>
      <c r="C1465" t="s">
        <v>2256</v>
      </c>
      <c r="D1465" t="s">
        <v>1203</v>
      </c>
      <c r="E1465" t="s">
        <v>1204</v>
      </c>
      <c r="F1465">
        <v>5884</v>
      </c>
      <c r="G1465" t="s">
        <v>696</v>
      </c>
      <c r="I1465">
        <v>6500</v>
      </c>
      <c r="J1465">
        <v>6800</v>
      </c>
      <c r="K1465">
        <v>6900</v>
      </c>
      <c r="L1465">
        <v>6950</v>
      </c>
      <c r="M1465">
        <v>7000</v>
      </c>
      <c r="N1465" t="s">
        <v>988</v>
      </c>
    </row>
    <row r="1466" spans="1:14" x14ac:dyDescent="0.3">
      <c r="A1466">
        <v>1701</v>
      </c>
      <c r="B1466" t="s">
        <v>1739</v>
      </c>
      <c r="C1466" t="s">
        <v>2256</v>
      </c>
      <c r="D1466" t="s">
        <v>1203</v>
      </c>
      <c r="E1466" t="s">
        <v>1204</v>
      </c>
      <c r="F1466">
        <v>5884</v>
      </c>
      <c r="G1466" t="s">
        <v>698</v>
      </c>
      <c r="I1466">
        <v>1900</v>
      </c>
      <c r="J1466">
        <v>2000</v>
      </c>
      <c r="K1466">
        <v>2100</v>
      </c>
      <c r="L1466">
        <v>2200</v>
      </c>
      <c r="M1466">
        <v>2300</v>
      </c>
      <c r="N1466" t="s">
        <v>988</v>
      </c>
    </row>
    <row r="1467" spans="1:14" x14ac:dyDescent="0.3">
      <c r="A1467">
        <v>1701</v>
      </c>
      <c r="B1467" t="s">
        <v>1739</v>
      </c>
      <c r="C1467" t="s">
        <v>2256</v>
      </c>
      <c r="D1467" t="s">
        <v>1203</v>
      </c>
      <c r="E1467" t="s">
        <v>1204</v>
      </c>
      <c r="F1467">
        <v>5884</v>
      </c>
      <c r="G1467" t="s">
        <v>702</v>
      </c>
      <c r="H1467" t="s">
        <v>1746</v>
      </c>
      <c r="I1467">
        <v>900</v>
      </c>
      <c r="J1467">
        <v>900</v>
      </c>
      <c r="K1467">
        <v>950</v>
      </c>
      <c r="L1467">
        <v>1000</v>
      </c>
      <c r="M1467">
        <v>1000</v>
      </c>
      <c r="N1467" t="s">
        <v>988</v>
      </c>
    </row>
    <row r="1468" spans="1:14" x14ac:dyDescent="0.3">
      <c r="A1468">
        <v>1718</v>
      </c>
      <c r="B1468" t="s">
        <v>1747</v>
      </c>
      <c r="C1468" t="s">
        <v>2256</v>
      </c>
      <c r="D1468" t="s">
        <v>1203</v>
      </c>
      <c r="E1468" t="s">
        <v>1204</v>
      </c>
      <c r="F1468">
        <v>5882</v>
      </c>
      <c r="G1468" t="s">
        <v>700</v>
      </c>
      <c r="N1468" t="s">
        <v>988</v>
      </c>
    </row>
    <row r="1469" spans="1:14" x14ac:dyDescent="0.3">
      <c r="A1469">
        <v>1718</v>
      </c>
      <c r="B1469" t="s">
        <v>1747</v>
      </c>
      <c r="C1469" t="s">
        <v>2256</v>
      </c>
      <c r="D1469" t="s">
        <v>1203</v>
      </c>
      <c r="E1469" t="s">
        <v>1204</v>
      </c>
      <c r="F1469">
        <v>5882</v>
      </c>
      <c r="G1469" t="s">
        <v>698</v>
      </c>
      <c r="N1469" t="s">
        <v>987</v>
      </c>
    </row>
    <row r="1470" spans="1:14" x14ac:dyDescent="0.3">
      <c r="A1470">
        <v>1718</v>
      </c>
      <c r="B1470" t="s">
        <v>1747</v>
      </c>
      <c r="C1470" t="s">
        <v>2256</v>
      </c>
      <c r="D1470" t="s">
        <v>1203</v>
      </c>
      <c r="E1470" t="s">
        <v>1204</v>
      </c>
      <c r="F1470">
        <v>5882</v>
      </c>
      <c r="G1470" t="s">
        <v>701</v>
      </c>
      <c r="N1470" t="s">
        <v>987</v>
      </c>
    </row>
    <row r="1471" spans="1:14" x14ac:dyDescent="0.3">
      <c r="A1471">
        <v>1718</v>
      </c>
      <c r="B1471" t="s">
        <v>1747</v>
      </c>
      <c r="C1471" t="s">
        <v>2256</v>
      </c>
      <c r="D1471" t="s">
        <v>1203</v>
      </c>
      <c r="E1471" t="s">
        <v>1204</v>
      </c>
      <c r="F1471">
        <v>5882</v>
      </c>
      <c r="G1471" t="s">
        <v>703</v>
      </c>
      <c r="N1471" t="s">
        <v>987</v>
      </c>
    </row>
    <row r="1472" spans="1:14" x14ac:dyDescent="0.3">
      <c r="A1472">
        <v>1718</v>
      </c>
      <c r="B1472" t="s">
        <v>1747</v>
      </c>
      <c r="C1472" t="s">
        <v>2256</v>
      </c>
      <c r="D1472" t="s">
        <v>1203</v>
      </c>
      <c r="E1472" t="s">
        <v>1204</v>
      </c>
      <c r="F1472">
        <v>5882</v>
      </c>
      <c r="G1472" t="s">
        <v>702</v>
      </c>
      <c r="N1472" t="s">
        <v>987</v>
      </c>
    </row>
    <row r="1473" spans="1:14" x14ac:dyDescent="0.3">
      <c r="A1473">
        <v>1718</v>
      </c>
      <c r="B1473" t="s">
        <v>1747</v>
      </c>
      <c r="C1473" t="s">
        <v>2256</v>
      </c>
      <c r="D1473" t="s">
        <v>1203</v>
      </c>
      <c r="E1473" t="s">
        <v>1204</v>
      </c>
      <c r="F1473">
        <v>5882</v>
      </c>
      <c r="G1473" t="s">
        <v>687</v>
      </c>
      <c r="N1473" t="s">
        <v>987</v>
      </c>
    </row>
    <row r="1474" spans="1:14" x14ac:dyDescent="0.3">
      <c r="A1474">
        <v>1718</v>
      </c>
      <c r="B1474" t="s">
        <v>1747</v>
      </c>
      <c r="C1474" t="s">
        <v>2256</v>
      </c>
      <c r="D1474" t="s">
        <v>1203</v>
      </c>
      <c r="E1474" t="s">
        <v>1204</v>
      </c>
      <c r="F1474">
        <v>5882</v>
      </c>
      <c r="G1474" t="s">
        <v>687</v>
      </c>
      <c r="H1474" t="s">
        <v>1748</v>
      </c>
      <c r="N1474" t="s">
        <v>987</v>
      </c>
    </row>
    <row r="1475" spans="1:14" x14ac:dyDescent="0.3">
      <c r="A1475">
        <v>1718</v>
      </c>
      <c r="B1475" t="s">
        <v>1747</v>
      </c>
      <c r="C1475" t="s">
        <v>2256</v>
      </c>
      <c r="D1475" t="s">
        <v>1203</v>
      </c>
      <c r="E1475" t="s">
        <v>1204</v>
      </c>
      <c r="F1475">
        <v>5882</v>
      </c>
      <c r="G1475" t="s">
        <v>705</v>
      </c>
      <c r="H1475" t="s">
        <v>2312</v>
      </c>
      <c r="N1475" t="s">
        <v>988</v>
      </c>
    </row>
    <row r="1476" spans="1:14" x14ac:dyDescent="0.3">
      <c r="A1476">
        <v>1718</v>
      </c>
      <c r="B1476" t="s">
        <v>1747</v>
      </c>
      <c r="C1476" t="s">
        <v>2256</v>
      </c>
      <c r="D1476" t="s">
        <v>1203</v>
      </c>
      <c r="E1476" t="s">
        <v>1204</v>
      </c>
      <c r="F1476">
        <v>5882</v>
      </c>
      <c r="G1476" t="s">
        <v>696</v>
      </c>
      <c r="N1476" t="s">
        <v>988</v>
      </c>
    </row>
    <row r="1477" spans="1:14" x14ac:dyDescent="0.3">
      <c r="A1477">
        <v>1718</v>
      </c>
      <c r="B1477" t="s">
        <v>1747</v>
      </c>
      <c r="C1477" t="s">
        <v>2256</v>
      </c>
      <c r="D1477" t="s">
        <v>1203</v>
      </c>
      <c r="E1477" t="s">
        <v>1204</v>
      </c>
      <c r="F1477">
        <v>5882</v>
      </c>
      <c r="G1477" t="s">
        <v>705</v>
      </c>
      <c r="H1477" t="s">
        <v>1210</v>
      </c>
      <c r="N1477" t="s">
        <v>988</v>
      </c>
    </row>
    <row r="1478" spans="1:14" x14ac:dyDescent="0.3">
      <c r="A1478">
        <v>1718</v>
      </c>
      <c r="B1478" t="s">
        <v>1747</v>
      </c>
      <c r="C1478" t="s">
        <v>2256</v>
      </c>
      <c r="D1478" t="s">
        <v>1203</v>
      </c>
      <c r="E1478" t="s">
        <v>1204</v>
      </c>
      <c r="F1478">
        <v>5882</v>
      </c>
      <c r="G1478" t="s">
        <v>687</v>
      </c>
      <c r="H1478" t="s">
        <v>1749</v>
      </c>
      <c r="N1478" t="s">
        <v>988</v>
      </c>
    </row>
    <row r="1479" spans="1:14" x14ac:dyDescent="0.3">
      <c r="A1479">
        <v>1718</v>
      </c>
      <c r="B1479" t="s">
        <v>1747</v>
      </c>
      <c r="C1479" t="s">
        <v>2256</v>
      </c>
      <c r="D1479" t="s">
        <v>1203</v>
      </c>
      <c r="E1479" t="s">
        <v>1204</v>
      </c>
      <c r="F1479">
        <v>5882</v>
      </c>
      <c r="G1479" t="s">
        <v>686</v>
      </c>
      <c r="N1479" t="s">
        <v>988</v>
      </c>
    </row>
    <row r="1480" spans="1:14" x14ac:dyDescent="0.3">
      <c r="A1480">
        <v>1729</v>
      </c>
      <c r="B1480" t="s">
        <v>1751</v>
      </c>
      <c r="C1480" t="s">
        <v>2256</v>
      </c>
      <c r="D1480" t="s">
        <v>1203</v>
      </c>
      <c r="E1480" t="s">
        <v>1204</v>
      </c>
      <c r="F1480">
        <v>6758</v>
      </c>
      <c r="G1480" t="s">
        <v>686</v>
      </c>
      <c r="I1480">
        <v>80</v>
      </c>
      <c r="J1480">
        <v>80</v>
      </c>
      <c r="K1480">
        <v>80</v>
      </c>
      <c r="L1480">
        <v>80</v>
      </c>
      <c r="M1480">
        <v>80</v>
      </c>
      <c r="N1480" t="s">
        <v>988</v>
      </c>
    </row>
    <row r="1481" spans="1:14" x14ac:dyDescent="0.3">
      <c r="A1481">
        <v>1729</v>
      </c>
      <c r="B1481" t="s">
        <v>1751</v>
      </c>
      <c r="C1481" t="s">
        <v>2256</v>
      </c>
      <c r="D1481" t="s">
        <v>1203</v>
      </c>
      <c r="E1481" t="s">
        <v>1204</v>
      </c>
      <c r="F1481">
        <v>6758</v>
      </c>
      <c r="G1481" t="s">
        <v>702</v>
      </c>
      <c r="I1481">
        <v>59.23</v>
      </c>
      <c r="J1481">
        <v>65.099999999999994</v>
      </c>
      <c r="K1481">
        <v>71.56</v>
      </c>
      <c r="L1481">
        <v>78.650000000000006</v>
      </c>
      <c r="M1481">
        <v>86.44</v>
      </c>
      <c r="N1481" t="s">
        <v>988</v>
      </c>
    </row>
    <row r="1482" spans="1:14" x14ac:dyDescent="0.3">
      <c r="A1482">
        <v>1729</v>
      </c>
      <c r="B1482" t="s">
        <v>1751</v>
      </c>
      <c r="C1482" t="s">
        <v>2256</v>
      </c>
      <c r="D1482" t="s">
        <v>1203</v>
      </c>
      <c r="E1482" t="s">
        <v>1204</v>
      </c>
      <c r="F1482">
        <v>6758</v>
      </c>
      <c r="G1482" t="s">
        <v>701</v>
      </c>
      <c r="I1482">
        <v>84.07</v>
      </c>
      <c r="J1482">
        <v>92.4</v>
      </c>
      <c r="K1482">
        <v>101.56</v>
      </c>
      <c r="L1482">
        <v>111.63</v>
      </c>
      <c r="M1482">
        <v>122.69</v>
      </c>
      <c r="N1482" t="s">
        <v>988</v>
      </c>
    </row>
    <row r="1483" spans="1:14" x14ac:dyDescent="0.3">
      <c r="A1483">
        <v>1729</v>
      </c>
      <c r="B1483" t="s">
        <v>1751</v>
      </c>
      <c r="C1483" t="s">
        <v>2256</v>
      </c>
      <c r="D1483" t="s">
        <v>1203</v>
      </c>
      <c r="E1483" t="s">
        <v>1204</v>
      </c>
      <c r="F1483">
        <v>6758</v>
      </c>
      <c r="G1483" t="s">
        <v>700</v>
      </c>
      <c r="I1483">
        <v>85.77</v>
      </c>
      <c r="J1483">
        <v>94.27</v>
      </c>
      <c r="K1483">
        <v>103.62</v>
      </c>
      <c r="L1483">
        <v>113.88</v>
      </c>
      <c r="M1483">
        <v>125.17</v>
      </c>
      <c r="N1483" t="s">
        <v>988</v>
      </c>
    </row>
    <row r="1484" spans="1:14" x14ac:dyDescent="0.3">
      <c r="A1484">
        <v>1729</v>
      </c>
      <c r="B1484" t="s">
        <v>1751</v>
      </c>
      <c r="C1484" t="s">
        <v>2256</v>
      </c>
      <c r="D1484" t="s">
        <v>1203</v>
      </c>
      <c r="E1484" t="s">
        <v>1204</v>
      </c>
      <c r="F1484">
        <v>6758</v>
      </c>
      <c r="G1484" t="s">
        <v>698</v>
      </c>
      <c r="I1484">
        <v>30.17</v>
      </c>
      <c r="J1484">
        <v>33.159999999999997</v>
      </c>
      <c r="K1484">
        <v>36.44</v>
      </c>
      <c r="L1484">
        <v>40.06</v>
      </c>
      <c r="M1484">
        <v>44.03</v>
      </c>
      <c r="N1484" t="s">
        <v>988</v>
      </c>
    </row>
    <row r="1485" spans="1:14" x14ac:dyDescent="0.3">
      <c r="A1485">
        <v>1729</v>
      </c>
      <c r="B1485" t="s">
        <v>1751</v>
      </c>
      <c r="C1485" t="s">
        <v>2256</v>
      </c>
      <c r="D1485" t="s">
        <v>1203</v>
      </c>
      <c r="E1485" t="s">
        <v>1204</v>
      </c>
      <c r="F1485">
        <v>6758</v>
      </c>
      <c r="G1485" t="s">
        <v>696</v>
      </c>
      <c r="I1485">
        <v>499.34</v>
      </c>
      <c r="J1485">
        <v>548.83000000000004</v>
      </c>
      <c r="K1485">
        <v>603.22</v>
      </c>
      <c r="L1485">
        <v>663.01</v>
      </c>
      <c r="M1485">
        <v>728.72</v>
      </c>
      <c r="N1485" t="s">
        <v>988</v>
      </c>
    </row>
    <row r="1486" spans="1:14" x14ac:dyDescent="0.3">
      <c r="A1486">
        <v>1730</v>
      </c>
      <c r="B1486" t="s">
        <v>1757</v>
      </c>
      <c r="C1486" t="s">
        <v>2256</v>
      </c>
      <c r="D1486" t="s">
        <v>159</v>
      </c>
      <c r="E1486" t="s">
        <v>159</v>
      </c>
      <c r="F1486">
        <v>7710</v>
      </c>
      <c r="G1486" t="s">
        <v>698</v>
      </c>
      <c r="I1486">
        <v>1729</v>
      </c>
      <c r="J1486">
        <v>1690.5</v>
      </c>
      <c r="K1486">
        <v>1653.49</v>
      </c>
      <c r="L1486">
        <v>1615</v>
      </c>
      <c r="M1486">
        <v>1614</v>
      </c>
      <c r="N1486" t="s">
        <v>988</v>
      </c>
    </row>
    <row r="1487" spans="1:14" x14ac:dyDescent="0.3">
      <c r="A1487">
        <v>1730</v>
      </c>
      <c r="B1487" t="s">
        <v>1757</v>
      </c>
      <c r="C1487" t="s">
        <v>2256</v>
      </c>
      <c r="D1487" t="s">
        <v>159</v>
      </c>
      <c r="E1487" t="s">
        <v>159</v>
      </c>
      <c r="F1487">
        <v>7710</v>
      </c>
      <c r="G1487" t="s">
        <v>696</v>
      </c>
      <c r="I1487">
        <v>6385</v>
      </c>
      <c r="J1487">
        <v>6293.5</v>
      </c>
      <c r="K1487">
        <v>6202.4</v>
      </c>
      <c r="L1487">
        <v>6111</v>
      </c>
      <c r="M1487">
        <v>6077</v>
      </c>
      <c r="N1487" t="s">
        <v>988</v>
      </c>
    </row>
    <row r="1488" spans="1:14" x14ac:dyDescent="0.3">
      <c r="A1488">
        <v>1730</v>
      </c>
      <c r="B1488" t="s">
        <v>1757</v>
      </c>
      <c r="C1488" t="s">
        <v>2256</v>
      </c>
      <c r="D1488" t="s">
        <v>159</v>
      </c>
      <c r="E1488" t="s">
        <v>159</v>
      </c>
      <c r="F1488">
        <v>7710</v>
      </c>
      <c r="G1488" t="s">
        <v>703</v>
      </c>
      <c r="I1488">
        <v>194</v>
      </c>
      <c r="J1488">
        <v>234</v>
      </c>
      <c r="K1488">
        <v>251.49</v>
      </c>
      <c r="L1488">
        <v>270</v>
      </c>
      <c r="M1488">
        <v>270</v>
      </c>
      <c r="N1488" t="s">
        <v>988</v>
      </c>
    </row>
    <row r="1489" spans="1:14" x14ac:dyDescent="0.3">
      <c r="A1489">
        <v>1730</v>
      </c>
      <c r="B1489" t="s">
        <v>1757</v>
      </c>
      <c r="C1489" t="s">
        <v>2256</v>
      </c>
      <c r="D1489" t="s">
        <v>159</v>
      </c>
      <c r="E1489" t="s">
        <v>159</v>
      </c>
      <c r="F1489">
        <v>7710</v>
      </c>
      <c r="G1489" t="s">
        <v>700</v>
      </c>
      <c r="I1489">
        <v>2762</v>
      </c>
      <c r="J1489">
        <v>3334</v>
      </c>
      <c r="K1489">
        <v>3584</v>
      </c>
      <c r="L1489">
        <v>3853</v>
      </c>
      <c r="M1489">
        <v>3853</v>
      </c>
      <c r="N1489" t="s">
        <v>988</v>
      </c>
    </row>
    <row r="1490" spans="1:14" x14ac:dyDescent="0.3">
      <c r="A1490">
        <v>1730</v>
      </c>
      <c r="B1490" t="s">
        <v>1757</v>
      </c>
      <c r="C1490" t="s">
        <v>2256</v>
      </c>
      <c r="D1490" t="s">
        <v>159</v>
      </c>
      <c r="E1490" t="s">
        <v>159</v>
      </c>
      <c r="F1490">
        <v>7710</v>
      </c>
      <c r="G1490" t="s">
        <v>702</v>
      </c>
      <c r="H1490" t="s">
        <v>2378</v>
      </c>
      <c r="I1490">
        <v>2616</v>
      </c>
      <c r="J1490">
        <v>2616</v>
      </c>
      <c r="K1490">
        <v>2616.4</v>
      </c>
      <c r="L1490">
        <v>2616</v>
      </c>
      <c r="M1490">
        <v>2616</v>
      </c>
      <c r="N1490" t="s">
        <v>988</v>
      </c>
    </row>
    <row r="1491" spans="1:14" x14ac:dyDescent="0.3">
      <c r="A1491">
        <v>1730</v>
      </c>
      <c r="B1491" t="s">
        <v>1757</v>
      </c>
      <c r="C1491" t="s">
        <v>2256</v>
      </c>
      <c r="D1491" t="s">
        <v>159</v>
      </c>
      <c r="E1491" t="s">
        <v>159</v>
      </c>
      <c r="F1491">
        <v>7710</v>
      </c>
      <c r="G1491" t="s">
        <v>686</v>
      </c>
      <c r="H1491" t="s">
        <v>1269</v>
      </c>
      <c r="I1491">
        <v>638</v>
      </c>
      <c r="J1491">
        <v>661</v>
      </c>
      <c r="K1491">
        <v>667</v>
      </c>
      <c r="L1491">
        <v>675</v>
      </c>
      <c r="M1491">
        <v>673</v>
      </c>
      <c r="N1491" t="s">
        <v>988</v>
      </c>
    </row>
    <row r="1492" spans="1:14" x14ac:dyDescent="0.3">
      <c r="A1492">
        <v>1731</v>
      </c>
      <c r="B1492" t="s">
        <v>1758</v>
      </c>
      <c r="C1492" t="s">
        <v>2256</v>
      </c>
      <c r="D1492" t="s">
        <v>1203</v>
      </c>
      <c r="E1492" t="s">
        <v>1204</v>
      </c>
      <c r="F1492">
        <v>6882</v>
      </c>
      <c r="G1492" t="s">
        <v>706</v>
      </c>
      <c r="I1492">
        <v>18</v>
      </c>
      <c r="J1492">
        <v>18</v>
      </c>
      <c r="K1492">
        <v>19</v>
      </c>
      <c r="L1492">
        <v>20</v>
      </c>
      <c r="M1492">
        <v>20</v>
      </c>
      <c r="N1492" t="s">
        <v>988</v>
      </c>
    </row>
    <row r="1493" spans="1:14" x14ac:dyDescent="0.3">
      <c r="A1493">
        <v>1731</v>
      </c>
      <c r="B1493" t="s">
        <v>1758</v>
      </c>
      <c r="C1493" t="s">
        <v>2256</v>
      </c>
      <c r="D1493" t="s">
        <v>1203</v>
      </c>
      <c r="E1493" t="s">
        <v>1204</v>
      </c>
      <c r="F1493">
        <v>6882</v>
      </c>
      <c r="G1493" t="s">
        <v>687</v>
      </c>
      <c r="I1493">
        <v>7</v>
      </c>
      <c r="J1493">
        <v>7</v>
      </c>
      <c r="K1493">
        <v>7</v>
      </c>
      <c r="L1493">
        <v>7</v>
      </c>
      <c r="M1493">
        <v>8</v>
      </c>
      <c r="N1493" t="s">
        <v>988</v>
      </c>
    </row>
    <row r="1494" spans="1:14" x14ac:dyDescent="0.3">
      <c r="A1494">
        <v>1731</v>
      </c>
      <c r="B1494" t="s">
        <v>1758</v>
      </c>
      <c r="C1494" t="s">
        <v>2256</v>
      </c>
      <c r="D1494" t="s">
        <v>1203</v>
      </c>
      <c r="E1494" t="s">
        <v>1204</v>
      </c>
      <c r="F1494">
        <v>6882</v>
      </c>
      <c r="G1494" t="s">
        <v>702</v>
      </c>
      <c r="I1494">
        <v>265</v>
      </c>
      <c r="J1494">
        <v>273</v>
      </c>
      <c r="K1494">
        <v>282</v>
      </c>
      <c r="L1494">
        <v>290</v>
      </c>
      <c r="M1494">
        <v>299</v>
      </c>
      <c r="N1494" t="s">
        <v>988</v>
      </c>
    </row>
    <row r="1495" spans="1:14" x14ac:dyDescent="0.3">
      <c r="A1495">
        <v>1731</v>
      </c>
      <c r="B1495" t="s">
        <v>1758</v>
      </c>
      <c r="C1495" t="s">
        <v>2256</v>
      </c>
      <c r="D1495" t="s">
        <v>1203</v>
      </c>
      <c r="E1495" t="s">
        <v>1204</v>
      </c>
      <c r="F1495">
        <v>6882</v>
      </c>
      <c r="G1495" t="s">
        <v>700</v>
      </c>
      <c r="I1495">
        <v>97</v>
      </c>
      <c r="J1495">
        <v>100</v>
      </c>
      <c r="K1495">
        <v>104</v>
      </c>
      <c r="L1495">
        <v>107</v>
      </c>
      <c r="M1495">
        <v>110</v>
      </c>
      <c r="N1495" t="s">
        <v>988</v>
      </c>
    </row>
    <row r="1496" spans="1:14" x14ac:dyDescent="0.3">
      <c r="A1496">
        <v>1731</v>
      </c>
      <c r="B1496" t="s">
        <v>1758</v>
      </c>
      <c r="C1496" t="s">
        <v>2256</v>
      </c>
      <c r="D1496" t="s">
        <v>1203</v>
      </c>
      <c r="E1496" t="s">
        <v>1204</v>
      </c>
      <c r="F1496">
        <v>6882</v>
      </c>
      <c r="G1496" t="s">
        <v>705</v>
      </c>
      <c r="I1496">
        <v>833</v>
      </c>
      <c r="J1496">
        <v>833</v>
      </c>
      <c r="K1496">
        <v>833</v>
      </c>
      <c r="L1496">
        <v>833</v>
      </c>
      <c r="M1496">
        <v>833</v>
      </c>
      <c r="N1496" t="s">
        <v>988</v>
      </c>
    </row>
    <row r="1497" spans="1:14" x14ac:dyDescent="0.3">
      <c r="A1497">
        <v>1731</v>
      </c>
      <c r="B1497" t="s">
        <v>1758</v>
      </c>
      <c r="C1497" t="s">
        <v>2256</v>
      </c>
      <c r="D1497" t="s">
        <v>1203</v>
      </c>
      <c r="E1497" t="s">
        <v>1204</v>
      </c>
      <c r="F1497">
        <v>6882</v>
      </c>
      <c r="G1497" t="s">
        <v>696</v>
      </c>
      <c r="I1497">
        <v>1406</v>
      </c>
      <c r="J1497">
        <v>1450</v>
      </c>
      <c r="K1497">
        <v>1495</v>
      </c>
      <c r="L1497">
        <v>1540</v>
      </c>
      <c r="M1497">
        <v>1584</v>
      </c>
      <c r="N1497" t="s">
        <v>987</v>
      </c>
    </row>
    <row r="1498" spans="1:14" x14ac:dyDescent="0.3">
      <c r="A1498">
        <v>1731</v>
      </c>
      <c r="B1498" t="s">
        <v>1758</v>
      </c>
      <c r="C1498" t="s">
        <v>2256</v>
      </c>
      <c r="D1498" t="s">
        <v>1203</v>
      </c>
      <c r="E1498" t="s">
        <v>1204</v>
      </c>
      <c r="F1498">
        <v>6882</v>
      </c>
      <c r="G1498" t="s">
        <v>687</v>
      </c>
      <c r="I1498">
        <v>176</v>
      </c>
      <c r="J1498">
        <v>352</v>
      </c>
      <c r="K1498">
        <v>352</v>
      </c>
      <c r="L1498">
        <v>352</v>
      </c>
      <c r="M1498">
        <v>352</v>
      </c>
      <c r="N1498" t="s">
        <v>987</v>
      </c>
    </row>
    <row r="1499" spans="1:14" x14ac:dyDescent="0.3">
      <c r="A1499">
        <v>1731</v>
      </c>
      <c r="B1499" t="s">
        <v>1758</v>
      </c>
      <c r="C1499" t="s">
        <v>2256</v>
      </c>
      <c r="D1499" t="s">
        <v>1203</v>
      </c>
      <c r="E1499" t="s">
        <v>1204</v>
      </c>
      <c r="F1499">
        <v>6882</v>
      </c>
      <c r="G1499" t="s">
        <v>686</v>
      </c>
      <c r="I1499">
        <v>190</v>
      </c>
      <c r="J1499">
        <v>196</v>
      </c>
      <c r="K1499">
        <v>202</v>
      </c>
      <c r="L1499">
        <v>208</v>
      </c>
      <c r="M1499">
        <v>214</v>
      </c>
      <c r="N1499" t="s">
        <v>987</v>
      </c>
    </row>
    <row r="1500" spans="1:14" x14ac:dyDescent="0.3">
      <c r="A1500">
        <v>1731</v>
      </c>
      <c r="B1500" t="s">
        <v>1758</v>
      </c>
      <c r="C1500" t="s">
        <v>2256</v>
      </c>
      <c r="D1500" t="s">
        <v>1203</v>
      </c>
      <c r="E1500" t="s">
        <v>1204</v>
      </c>
      <c r="F1500">
        <v>6882</v>
      </c>
      <c r="G1500" t="s">
        <v>698</v>
      </c>
      <c r="I1500">
        <v>136</v>
      </c>
      <c r="J1500">
        <v>140</v>
      </c>
      <c r="K1500">
        <v>144</v>
      </c>
      <c r="L1500">
        <v>149</v>
      </c>
      <c r="M1500">
        <v>153</v>
      </c>
      <c r="N1500" t="s">
        <v>987</v>
      </c>
    </row>
    <row r="1501" spans="1:14" x14ac:dyDescent="0.3">
      <c r="A1501">
        <v>1732</v>
      </c>
      <c r="B1501" t="s">
        <v>1759</v>
      </c>
      <c r="C1501" t="s">
        <v>2256</v>
      </c>
      <c r="D1501" t="s">
        <v>1203</v>
      </c>
      <c r="E1501" t="s">
        <v>1204</v>
      </c>
      <c r="F1501">
        <v>5722</v>
      </c>
      <c r="G1501" t="s">
        <v>696</v>
      </c>
      <c r="I1501">
        <v>3275</v>
      </c>
      <c r="J1501">
        <v>3450</v>
      </c>
      <c r="K1501">
        <v>3525</v>
      </c>
      <c r="L1501">
        <v>3700</v>
      </c>
      <c r="M1501">
        <v>3675</v>
      </c>
      <c r="N1501" t="s">
        <v>987</v>
      </c>
    </row>
    <row r="1502" spans="1:14" x14ac:dyDescent="0.3">
      <c r="A1502">
        <v>1732</v>
      </c>
      <c r="B1502" t="s">
        <v>1759</v>
      </c>
      <c r="C1502" t="s">
        <v>2256</v>
      </c>
      <c r="D1502" t="s">
        <v>1203</v>
      </c>
      <c r="E1502" t="s">
        <v>1204</v>
      </c>
      <c r="F1502">
        <v>5722</v>
      </c>
      <c r="G1502" t="s">
        <v>698</v>
      </c>
      <c r="I1502">
        <v>85</v>
      </c>
      <c r="J1502">
        <v>87</v>
      </c>
      <c r="K1502">
        <v>89</v>
      </c>
      <c r="L1502">
        <v>91</v>
      </c>
      <c r="M1502">
        <v>96</v>
      </c>
      <c r="N1502" t="s">
        <v>987</v>
      </c>
    </row>
    <row r="1503" spans="1:14" x14ac:dyDescent="0.3">
      <c r="A1503">
        <v>1732</v>
      </c>
      <c r="B1503" t="s">
        <v>1759</v>
      </c>
      <c r="C1503" t="s">
        <v>2256</v>
      </c>
      <c r="D1503" t="s">
        <v>1203</v>
      </c>
      <c r="E1503" t="s">
        <v>1204</v>
      </c>
      <c r="F1503">
        <v>5722</v>
      </c>
      <c r="G1503" t="s">
        <v>686</v>
      </c>
      <c r="I1503">
        <v>600</v>
      </c>
      <c r="J1503">
        <v>600</v>
      </c>
      <c r="K1503">
        <v>600</v>
      </c>
      <c r="L1503">
        <v>600</v>
      </c>
      <c r="M1503">
        <v>600</v>
      </c>
      <c r="N1503" t="s">
        <v>987</v>
      </c>
    </row>
    <row r="1504" spans="1:14" x14ac:dyDescent="0.3">
      <c r="A1504">
        <v>1732</v>
      </c>
      <c r="B1504" t="s">
        <v>1759</v>
      </c>
      <c r="C1504" t="s">
        <v>2256</v>
      </c>
      <c r="D1504" t="s">
        <v>1203</v>
      </c>
      <c r="E1504" t="s">
        <v>1204</v>
      </c>
      <c r="F1504">
        <v>5722</v>
      </c>
      <c r="G1504" t="s">
        <v>702</v>
      </c>
      <c r="I1504">
        <v>790</v>
      </c>
      <c r="J1504">
        <v>820</v>
      </c>
      <c r="K1504">
        <v>850</v>
      </c>
      <c r="L1504">
        <v>875</v>
      </c>
      <c r="M1504">
        <v>900</v>
      </c>
      <c r="N1504" t="s">
        <v>987</v>
      </c>
    </row>
    <row r="1505" spans="1:14" x14ac:dyDescent="0.3">
      <c r="A1505">
        <v>1732</v>
      </c>
      <c r="B1505" t="s">
        <v>1759</v>
      </c>
      <c r="C1505" t="s">
        <v>2256</v>
      </c>
      <c r="D1505" t="s">
        <v>1203</v>
      </c>
      <c r="E1505" t="s">
        <v>1204</v>
      </c>
      <c r="F1505">
        <v>5722</v>
      </c>
      <c r="G1505" t="s">
        <v>703</v>
      </c>
      <c r="I1505">
        <v>1225</v>
      </c>
      <c r="J1505">
        <v>1250</v>
      </c>
      <c r="K1505">
        <v>1275</v>
      </c>
      <c r="L1505">
        <v>1300</v>
      </c>
      <c r="M1505">
        <v>1325</v>
      </c>
      <c r="N1505" t="s">
        <v>988</v>
      </c>
    </row>
    <row r="1506" spans="1:14" x14ac:dyDescent="0.3">
      <c r="A1506">
        <v>1732</v>
      </c>
      <c r="B1506" t="s">
        <v>1759</v>
      </c>
      <c r="C1506" t="s">
        <v>2256</v>
      </c>
      <c r="D1506" t="s">
        <v>1203</v>
      </c>
      <c r="E1506" t="s">
        <v>1204</v>
      </c>
      <c r="F1506">
        <v>5722</v>
      </c>
      <c r="G1506" t="s">
        <v>700</v>
      </c>
      <c r="I1506">
        <v>1300</v>
      </c>
      <c r="J1506">
        <v>1350</v>
      </c>
      <c r="K1506">
        <v>1400</v>
      </c>
      <c r="L1506">
        <v>1450</v>
      </c>
      <c r="M1506">
        <v>1500</v>
      </c>
      <c r="N1506" t="s">
        <v>988</v>
      </c>
    </row>
    <row r="1507" spans="1:14" x14ac:dyDescent="0.3">
      <c r="A1507">
        <v>1732</v>
      </c>
      <c r="B1507" t="s">
        <v>1759</v>
      </c>
      <c r="C1507" t="s">
        <v>2256</v>
      </c>
      <c r="D1507" t="s">
        <v>1203</v>
      </c>
      <c r="E1507" t="s">
        <v>1204</v>
      </c>
      <c r="F1507">
        <v>5722</v>
      </c>
      <c r="G1507" t="s">
        <v>701</v>
      </c>
      <c r="I1507">
        <v>150</v>
      </c>
      <c r="J1507">
        <v>150</v>
      </c>
      <c r="K1507">
        <v>150</v>
      </c>
      <c r="L1507">
        <v>150</v>
      </c>
      <c r="M1507">
        <v>150</v>
      </c>
      <c r="N1507" t="s">
        <v>988</v>
      </c>
    </row>
    <row r="1508" spans="1:14" x14ac:dyDescent="0.3">
      <c r="A1508">
        <v>1739</v>
      </c>
      <c r="B1508" t="s">
        <v>1760</v>
      </c>
      <c r="C1508" t="s">
        <v>2256</v>
      </c>
      <c r="D1508" t="s">
        <v>159</v>
      </c>
      <c r="E1508" t="s">
        <v>159</v>
      </c>
      <c r="F1508">
        <v>8064</v>
      </c>
      <c r="G1508" t="s">
        <v>686</v>
      </c>
      <c r="I1508">
        <v>83.842792017413004</v>
      </c>
      <c r="J1508">
        <v>79.066121715147702</v>
      </c>
      <c r="K1508">
        <v>77.218045738781797</v>
      </c>
      <c r="L1508">
        <v>76.964345641780596</v>
      </c>
      <c r="M1508">
        <v>76.784640442519702</v>
      </c>
      <c r="N1508" t="s">
        <v>988</v>
      </c>
    </row>
    <row r="1509" spans="1:14" x14ac:dyDescent="0.3">
      <c r="A1509">
        <v>1739</v>
      </c>
      <c r="B1509" t="s">
        <v>1760</v>
      </c>
      <c r="C1509" t="s">
        <v>2256</v>
      </c>
      <c r="D1509" t="s">
        <v>159</v>
      </c>
      <c r="E1509" t="s">
        <v>159</v>
      </c>
      <c r="F1509">
        <v>8064</v>
      </c>
      <c r="G1509" t="s">
        <v>691</v>
      </c>
      <c r="H1509" t="s">
        <v>2379</v>
      </c>
      <c r="I1509">
        <v>1.21347916837347</v>
      </c>
      <c r="J1509">
        <v>1.2319363147859601</v>
      </c>
      <c r="K1509">
        <v>1.23881864056688</v>
      </c>
      <c r="L1509">
        <v>1.26728644266072</v>
      </c>
      <c r="M1509">
        <v>1.2929387478441701</v>
      </c>
      <c r="N1509" t="s">
        <v>988</v>
      </c>
    </row>
    <row r="1510" spans="1:14" x14ac:dyDescent="0.3">
      <c r="A1510">
        <v>1739</v>
      </c>
      <c r="B1510" t="s">
        <v>1760</v>
      </c>
      <c r="C1510" t="s">
        <v>2256</v>
      </c>
      <c r="D1510" t="s">
        <v>159</v>
      </c>
      <c r="E1510" t="s">
        <v>159</v>
      </c>
      <c r="F1510">
        <v>8064</v>
      </c>
      <c r="G1510" t="s">
        <v>705</v>
      </c>
      <c r="H1510" t="s">
        <v>1763</v>
      </c>
      <c r="I1510">
        <v>9.8702490099963995</v>
      </c>
      <c r="J1510">
        <v>9.5864535378841609</v>
      </c>
      <c r="K1510">
        <v>9.3004584103172796</v>
      </c>
      <c r="L1510">
        <v>9.22665997411268</v>
      </c>
      <c r="M1510">
        <v>9.1710360380550497</v>
      </c>
      <c r="N1510" t="s">
        <v>988</v>
      </c>
    </row>
    <row r="1511" spans="1:14" x14ac:dyDescent="0.3">
      <c r="A1511">
        <v>1739</v>
      </c>
      <c r="B1511" t="s">
        <v>1760</v>
      </c>
      <c r="C1511" t="s">
        <v>2256</v>
      </c>
      <c r="D1511" t="s">
        <v>159</v>
      </c>
      <c r="E1511" t="s">
        <v>159</v>
      </c>
      <c r="F1511">
        <v>8064</v>
      </c>
      <c r="G1511" t="s">
        <v>703</v>
      </c>
      <c r="I1511">
        <v>33.061158284215303</v>
      </c>
      <c r="J1511">
        <v>33.997944999008197</v>
      </c>
      <c r="K1511">
        <v>34.527428386557702</v>
      </c>
      <c r="L1511">
        <v>35.608382807235998</v>
      </c>
      <c r="M1511">
        <v>36.571553894137999</v>
      </c>
      <c r="N1511" t="s">
        <v>988</v>
      </c>
    </row>
    <row r="1512" spans="1:14" x14ac:dyDescent="0.3">
      <c r="A1512">
        <v>1739</v>
      </c>
      <c r="B1512" t="s">
        <v>1760</v>
      </c>
      <c r="C1512" t="s">
        <v>2256</v>
      </c>
      <c r="D1512" t="s">
        <v>159</v>
      </c>
      <c r="E1512" t="s">
        <v>159</v>
      </c>
      <c r="F1512">
        <v>8064</v>
      </c>
      <c r="G1512" t="s">
        <v>702</v>
      </c>
      <c r="I1512">
        <v>26.986391099490199</v>
      </c>
      <c r="J1512">
        <v>25.7059341019451</v>
      </c>
      <c r="K1512">
        <v>26.267611434815901</v>
      </c>
      <c r="L1512">
        <v>27.261025990857298</v>
      </c>
      <c r="M1512">
        <v>29.85790459359</v>
      </c>
      <c r="N1512" t="s">
        <v>988</v>
      </c>
    </row>
    <row r="1513" spans="1:14" x14ac:dyDescent="0.3">
      <c r="A1513">
        <v>1739</v>
      </c>
      <c r="B1513" t="s">
        <v>1760</v>
      </c>
      <c r="C1513" t="s">
        <v>2256</v>
      </c>
      <c r="D1513" t="s">
        <v>159</v>
      </c>
      <c r="E1513" t="s">
        <v>159</v>
      </c>
      <c r="F1513">
        <v>8064</v>
      </c>
      <c r="G1513" t="s">
        <v>696</v>
      </c>
      <c r="I1513">
        <v>499.98500100336503</v>
      </c>
      <c r="J1513">
        <v>492.54291595918301</v>
      </c>
      <c r="K1513">
        <v>485.27716094345601</v>
      </c>
      <c r="L1513">
        <v>483.34772102915503</v>
      </c>
      <c r="M1513">
        <v>481.79152971732901</v>
      </c>
      <c r="N1513" t="s">
        <v>987</v>
      </c>
    </row>
    <row r="1514" spans="1:14" x14ac:dyDescent="0.3">
      <c r="A1514">
        <v>1739</v>
      </c>
      <c r="B1514" t="s">
        <v>1760</v>
      </c>
      <c r="C1514" t="s">
        <v>2256</v>
      </c>
      <c r="D1514" t="s">
        <v>159</v>
      </c>
      <c r="E1514" t="s">
        <v>159</v>
      </c>
      <c r="F1514">
        <v>8064</v>
      </c>
      <c r="G1514" t="s">
        <v>700</v>
      </c>
      <c r="I1514">
        <v>76.811895360151695</v>
      </c>
      <c r="J1514">
        <v>76.0651629253381</v>
      </c>
      <c r="K1514">
        <v>76.126406808554506</v>
      </c>
      <c r="L1514">
        <v>76.480745175604696</v>
      </c>
      <c r="M1514">
        <v>77.002539568550702</v>
      </c>
      <c r="N1514" t="s">
        <v>987</v>
      </c>
    </row>
    <row r="1515" spans="1:14" x14ac:dyDescent="0.3">
      <c r="A1515">
        <v>1739</v>
      </c>
      <c r="B1515" t="s">
        <v>1760</v>
      </c>
      <c r="C1515" t="s">
        <v>2256</v>
      </c>
      <c r="D1515" t="s">
        <v>159</v>
      </c>
      <c r="E1515" t="s">
        <v>159</v>
      </c>
      <c r="F1515">
        <v>8064</v>
      </c>
      <c r="G1515" t="s">
        <v>698</v>
      </c>
      <c r="I1515">
        <v>114.670670960693</v>
      </c>
      <c r="J1515">
        <v>111.373589279192</v>
      </c>
      <c r="K1515">
        <v>108.050952420044</v>
      </c>
      <c r="L1515">
        <v>107.193576259943</v>
      </c>
      <c r="M1515">
        <v>106.54734797707501</v>
      </c>
      <c r="N1515" t="s">
        <v>987</v>
      </c>
    </row>
    <row r="1516" spans="1:14" x14ac:dyDescent="0.3">
      <c r="A1516">
        <v>1748</v>
      </c>
      <c r="B1516" t="s">
        <v>1764</v>
      </c>
      <c r="C1516" t="s">
        <v>2256</v>
      </c>
      <c r="D1516" t="s">
        <v>159</v>
      </c>
      <c r="E1516" t="s">
        <v>159</v>
      </c>
      <c r="F1516">
        <v>8066</v>
      </c>
      <c r="G1516" t="s">
        <v>698</v>
      </c>
      <c r="H1516" t="s">
        <v>2380</v>
      </c>
      <c r="I1516">
        <v>1278.48</v>
      </c>
      <c r="J1516">
        <v>1262.72</v>
      </c>
      <c r="K1516">
        <v>1264.1300000000001</v>
      </c>
      <c r="L1516">
        <v>1243.4000000000001</v>
      </c>
      <c r="M1516">
        <v>1229.6500000000001</v>
      </c>
      <c r="N1516" t="s">
        <v>987</v>
      </c>
    </row>
    <row r="1517" spans="1:14" x14ac:dyDescent="0.3">
      <c r="A1517">
        <v>1748</v>
      </c>
      <c r="B1517" t="s">
        <v>1764</v>
      </c>
      <c r="C1517" t="s">
        <v>2256</v>
      </c>
      <c r="D1517" t="s">
        <v>159</v>
      </c>
      <c r="E1517" t="s">
        <v>159</v>
      </c>
      <c r="F1517">
        <v>8066</v>
      </c>
      <c r="G1517" t="s">
        <v>696</v>
      </c>
      <c r="I1517">
        <v>5927.91</v>
      </c>
      <c r="J1517">
        <v>6072.3</v>
      </c>
      <c r="K1517">
        <v>6270.5</v>
      </c>
      <c r="L1517">
        <v>6307.59</v>
      </c>
      <c r="M1517">
        <v>6355.5</v>
      </c>
      <c r="N1517" t="s">
        <v>987</v>
      </c>
    </row>
    <row r="1518" spans="1:14" x14ac:dyDescent="0.3">
      <c r="A1518">
        <v>1748</v>
      </c>
      <c r="B1518" t="s">
        <v>1764</v>
      </c>
      <c r="C1518" t="s">
        <v>2256</v>
      </c>
      <c r="D1518" t="s">
        <v>159</v>
      </c>
      <c r="E1518" t="s">
        <v>159</v>
      </c>
      <c r="F1518">
        <v>8066</v>
      </c>
      <c r="G1518" t="s">
        <v>692</v>
      </c>
      <c r="H1518" t="s">
        <v>2381</v>
      </c>
      <c r="I1518">
        <v>218</v>
      </c>
      <c r="J1518">
        <v>218</v>
      </c>
      <c r="K1518">
        <v>218</v>
      </c>
      <c r="L1518">
        <v>218</v>
      </c>
      <c r="M1518">
        <v>218</v>
      </c>
      <c r="N1518" t="s">
        <v>987</v>
      </c>
    </row>
    <row r="1519" spans="1:14" x14ac:dyDescent="0.3">
      <c r="A1519">
        <v>1748</v>
      </c>
      <c r="B1519" t="s">
        <v>1764</v>
      </c>
      <c r="C1519" t="s">
        <v>2256</v>
      </c>
      <c r="D1519" t="s">
        <v>159</v>
      </c>
      <c r="E1519" t="s">
        <v>159</v>
      </c>
      <c r="F1519">
        <v>8066</v>
      </c>
      <c r="G1519" t="s">
        <v>686</v>
      </c>
      <c r="H1519" t="s">
        <v>1344</v>
      </c>
      <c r="I1519">
        <v>300.67</v>
      </c>
      <c r="J1519">
        <v>310.98</v>
      </c>
      <c r="K1519">
        <v>321.94</v>
      </c>
      <c r="L1519">
        <v>325.47000000000003</v>
      </c>
      <c r="M1519">
        <v>329.03</v>
      </c>
      <c r="N1519" t="s">
        <v>988</v>
      </c>
    </row>
    <row r="1520" spans="1:14" x14ac:dyDescent="0.3">
      <c r="A1520">
        <v>1748</v>
      </c>
      <c r="B1520" t="s">
        <v>1764</v>
      </c>
      <c r="C1520" t="s">
        <v>2256</v>
      </c>
      <c r="D1520" t="s">
        <v>159</v>
      </c>
      <c r="E1520" t="s">
        <v>159</v>
      </c>
      <c r="F1520">
        <v>8066</v>
      </c>
      <c r="G1520" t="s">
        <v>691</v>
      </c>
      <c r="H1520" t="s">
        <v>1768</v>
      </c>
      <c r="I1520">
        <v>128.97</v>
      </c>
      <c r="J1520">
        <v>132.72</v>
      </c>
      <c r="K1520">
        <v>136.44</v>
      </c>
      <c r="L1520">
        <v>137.61000000000001</v>
      </c>
      <c r="M1520">
        <v>138.79</v>
      </c>
      <c r="N1520" t="s">
        <v>988</v>
      </c>
    </row>
    <row r="1521" spans="1:14" x14ac:dyDescent="0.3">
      <c r="A1521">
        <v>1748</v>
      </c>
      <c r="B1521" t="s">
        <v>1764</v>
      </c>
      <c r="C1521" t="s">
        <v>2256</v>
      </c>
      <c r="D1521" t="s">
        <v>159</v>
      </c>
      <c r="E1521" t="s">
        <v>159</v>
      </c>
      <c r="F1521">
        <v>8066</v>
      </c>
      <c r="G1521" t="s">
        <v>702</v>
      </c>
      <c r="I1521">
        <v>1000.88</v>
      </c>
      <c r="J1521">
        <v>1023.8</v>
      </c>
      <c r="K1521">
        <v>1035.17</v>
      </c>
      <c r="L1521">
        <v>1037.55</v>
      </c>
      <c r="M1521">
        <v>1039.94</v>
      </c>
      <c r="N1521" t="s">
        <v>988</v>
      </c>
    </row>
    <row r="1522" spans="1:14" x14ac:dyDescent="0.3">
      <c r="A1522">
        <v>1748</v>
      </c>
      <c r="B1522" t="s">
        <v>1764</v>
      </c>
      <c r="C1522" t="s">
        <v>2256</v>
      </c>
      <c r="D1522" t="s">
        <v>159</v>
      </c>
      <c r="E1522" t="s">
        <v>159</v>
      </c>
      <c r="F1522">
        <v>8066</v>
      </c>
      <c r="G1522" t="s">
        <v>703</v>
      </c>
      <c r="I1522">
        <v>296.58</v>
      </c>
      <c r="J1522">
        <v>299.07</v>
      </c>
      <c r="K1522">
        <v>298.52999999999997</v>
      </c>
      <c r="L1522">
        <v>296.58999999999997</v>
      </c>
      <c r="M1522">
        <v>295.07</v>
      </c>
      <c r="N1522" t="s">
        <v>988</v>
      </c>
    </row>
    <row r="1523" spans="1:14" x14ac:dyDescent="0.3">
      <c r="A1523">
        <v>1748</v>
      </c>
      <c r="B1523" t="s">
        <v>1764</v>
      </c>
      <c r="C1523" t="s">
        <v>2256</v>
      </c>
      <c r="D1523" t="s">
        <v>159</v>
      </c>
      <c r="E1523" t="s">
        <v>159</v>
      </c>
      <c r="F1523">
        <v>8066</v>
      </c>
      <c r="G1523" t="s">
        <v>700</v>
      </c>
      <c r="I1523">
        <v>932.44</v>
      </c>
      <c r="J1523">
        <v>929.74</v>
      </c>
      <c r="K1523">
        <v>918.52</v>
      </c>
      <c r="L1523">
        <v>905.97</v>
      </c>
      <c r="M1523">
        <v>895.74</v>
      </c>
      <c r="N1523" t="s">
        <v>988</v>
      </c>
    </row>
    <row r="1524" spans="1:14" x14ac:dyDescent="0.3">
      <c r="A1524">
        <v>1752</v>
      </c>
      <c r="B1524" t="s">
        <v>1769</v>
      </c>
      <c r="C1524" t="s">
        <v>2256</v>
      </c>
      <c r="D1524" t="s">
        <v>159</v>
      </c>
      <c r="E1524" t="s">
        <v>159</v>
      </c>
      <c r="F1524">
        <v>5545</v>
      </c>
      <c r="G1524" t="s">
        <v>698</v>
      </c>
      <c r="I1524">
        <v>57</v>
      </c>
      <c r="J1524">
        <v>58</v>
      </c>
      <c r="K1524">
        <v>60</v>
      </c>
      <c r="L1524">
        <v>62</v>
      </c>
      <c r="M1524">
        <v>63</v>
      </c>
      <c r="N1524" t="s">
        <v>988</v>
      </c>
    </row>
    <row r="1525" spans="1:14" x14ac:dyDescent="0.3">
      <c r="A1525">
        <v>1752</v>
      </c>
      <c r="B1525" t="s">
        <v>1769</v>
      </c>
      <c r="C1525" t="s">
        <v>2256</v>
      </c>
      <c r="D1525" t="s">
        <v>159</v>
      </c>
      <c r="E1525" t="s">
        <v>159</v>
      </c>
      <c r="F1525">
        <v>5545</v>
      </c>
      <c r="G1525" t="s">
        <v>700</v>
      </c>
      <c r="I1525">
        <v>58</v>
      </c>
      <c r="J1525">
        <v>60</v>
      </c>
      <c r="K1525">
        <v>62</v>
      </c>
      <c r="L1525">
        <v>63</v>
      </c>
      <c r="M1525">
        <v>65</v>
      </c>
      <c r="N1525" t="s">
        <v>988</v>
      </c>
    </row>
    <row r="1526" spans="1:14" x14ac:dyDescent="0.3">
      <c r="A1526">
        <v>1752</v>
      </c>
      <c r="B1526" t="s">
        <v>1769</v>
      </c>
      <c r="C1526" t="s">
        <v>2256</v>
      </c>
      <c r="D1526" t="s">
        <v>159</v>
      </c>
      <c r="E1526" t="s">
        <v>159</v>
      </c>
      <c r="F1526">
        <v>5545</v>
      </c>
      <c r="G1526" t="s">
        <v>702</v>
      </c>
      <c r="I1526">
        <v>20</v>
      </c>
      <c r="J1526">
        <v>21</v>
      </c>
      <c r="K1526">
        <v>21</v>
      </c>
      <c r="L1526">
        <v>22</v>
      </c>
      <c r="M1526">
        <v>23</v>
      </c>
      <c r="N1526" t="s">
        <v>988</v>
      </c>
    </row>
    <row r="1527" spans="1:14" x14ac:dyDescent="0.3">
      <c r="A1527">
        <v>1752</v>
      </c>
      <c r="B1527" t="s">
        <v>1769</v>
      </c>
      <c r="C1527" t="s">
        <v>2256</v>
      </c>
      <c r="D1527" t="s">
        <v>159</v>
      </c>
      <c r="E1527" t="s">
        <v>159</v>
      </c>
      <c r="F1527">
        <v>5545</v>
      </c>
      <c r="G1527" t="s">
        <v>691</v>
      </c>
      <c r="I1527">
        <v>1</v>
      </c>
      <c r="J1527">
        <v>1</v>
      </c>
      <c r="K1527">
        <v>1</v>
      </c>
      <c r="L1527">
        <v>1</v>
      </c>
      <c r="M1527">
        <v>1</v>
      </c>
      <c r="N1527" t="s">
        <v>988</v>
      </c>
    </row>
    <row r="1528" spans="1:14" x14ac:dyDescent="0.3">
      <c r="A1528">
        <v>1752</v>
      </c>
      <c r="B1528" t="s">
        <v>1769</v>
      </c>
      <c r="C1528" t="s">
        <v>2256</v>
      </c>
      <c r="D1528" t="s">
        <v>159</v>
      </c>
      <c r="E1528" t="s">
        <v>159</v>
      </c>
      <c r="F1528">
        <v>5545</v>
      </c>
      <c r="G1528" t="s">
        <v>686</v>
      </c>
      <c r="I1528">
        <v>64</v>
      </c>
      <c r="J1528">
        <v>62</v>
      </c>
      <c r="K1528">
        <v>60</v>
      </c>
      <c r="L1528">
        <v>58</v>
      </c>
      <c r="M1528">
        <v>58</v>
      </c>
      <c r="N1528" t="s">
        <v>988</v>
      </c>
    </row>
    <row r="1529" spans="1:14" x14ac:dyDescent="0.3">
      <c r="A1529">
        <v>1752</v>
      </c>
      <c r="B1529" t="s">
        <v>1769</v>
      </c>
      <c r="C1529" t="s">
        <v>2256</v>
      </c>
      <c r="D1529" t="s">
        <v>159</v>
      </c>
      <c r="E1529" t="s">
        <v>159</v>
      </c>
      <c r="F1529">
        <v>5545</v>
      </c>
      <c r="G1529" t="s">
        <v>696</v>
      </c>
      <c r="I1529">
        <v>179</v>
      </c>
      <c r="J1529">
        <v>184</v>
      </c>
      <c r="K1529">
        <v>189</v>
      </c>
      <c r="L1529">
        <v>194</v>
      </c>
      <c r="M1529">
        <v>200</v>
      </c>
      <c r="N1529" t="s">
        <v>988</v>
      </c>
    </row>
    <row r="1530" spans="1:14" x14ac:dyDescent="0.3">
      <c r="A1530">
        <v>1756</v>
      </c>
      <c r="B1530" t="s">
        <v>1771</v>
      </c>
      <c r="C1530" t="s">
        <v>2256</v>
      </c>
      <c r="D1530" t="s">
        <v>1203</v>
      </c>
      <c r="E1530" t="s">
        <v>1204</v>
      </c>
      <c r="F1530">
        <v>5685</v>
      </c>
      <c r="G1530" t="s">
        <v>700</v>
      </c>
      <c r="I1530">
        <v>240.47</v>
      </c>
      <c r="J1530">
        <v>241.13</v>
      </c>
      <c r="K1530">
        <v>241.79</v>
      </c>
      <c r="L1530">
        <v>242.45</v>
      </c>
      <c r="M1530">
        <v>243.12</v>
      </c>
      <c r="N1530" t="s">
        <v>988</v>
      </c>
    </row>
    <row r="1531" spans="1:14" x14ac:dyDescent="0.3">
      <c r="A1531">
        <v>1756</v>
      </c>
      <c r="B1531" t="s">
        <v>1771</v>
      </c>
      <c r="C1531" t="s">
        <v>2256</v>
      </c>
      <c r="D1531" t="s">
        <v>1203</v>
      </c>
      <c r="E1531" t="s">
        <v>1204</v>
      </c>
      <c r="F1531">
        <v>5685</v>
      </c>
      <c r="G1531" t="s">
        <v>701</v>
      </c>
      <c r="I1531">
        <v>38.07</v>
      </c>
      <c r="J1531">
        <v>38.18</v>
      </c>
      <c r="K1531">
        <v>38.28</v>
      </c>
      <c r="L1531">
        <v>38.39</v>
      </c>
      <c r="M1531">
        <v>38.49</v>
      </c>
      <c r="N1531" t="s">
        <v>988</v>
      </c>
    </row>
    <row r="1532" spans="1:14" x14ac:dyDescent="0.3">
      <c r="A1532">
        <v>1756</v>
      </c>
      <c r="B1532" t="s">
        <v>1771</v>
      </c>
      <c r="C1532" t="s">
        <v>2256</v>
      </c>
      <c r="D1532" t="s">
        <v>1203</v>
      </c>
      <c r="E1532" t="s">
        <v>1204</v>
      </c>
      <c r="F1532">
        <v>5685</v>
      </c>
      <c r="G1532" t="s">
        <v>702</v>
      </c>
      <c r="I1532">
        <v>53.1</v>
      </c>
      <c r="J1532">
        <v>53.25</v>
      </c>
      <c r="K1532">
        <v>53.4</v>
      </c>
      <c r="L1532">
        <v>53.54</v>
      </c>
      <c r="M1532">
        <v>53.69</v>
      </c>
      <c r="N1532" t="s">
        <v>988</v>
      </c>
    </row>
    <row r="1533" spans="1:14" x14ac:dyDescent="0.3">
      <c r="A1533">
        <v>1756</v>
      </c>
      <c r="B1533" t="s">
        <v>1771</v>
      </c>
      <c r="C1533" t="s">
        <v>2256</v>
      </c>
      <c r="D1533" t="s">
        <v>1203</v>
      </c>
      <c r="E1533" t="s">
        <v>1204</v>
      </c>
      <c r="F1533">
        <v>5685</v>
      </c>
      <c r="G1533" t="s">
        <v>691</v>
      </c>
      <c r="I1533">
        <v>26.05</v>
      </c>
      <c r="J1533">
        <v>26.12</v>
      </c>
      <c r="K1533">
        <v>26.19</v>
      </c>
      <c r="L1533">
        <v>26.27</v>
      </c>
      <c r="M1533">
        <v>26.34</v>
      </c>
      <c r="N1533" t="s">
        <v>988</v>
      </c>
    </row>
    <row r="1534" spans="1:14" x14ac:dyDescent="0.3">
      <c r="A1534">
        <v>1756</v>
      </c>
      <c r="B1534" t="s">
        <v>1771</v>
      </c>
      <c r="C1534" t="s">
        <v>2256</v>
      </c>
      <c r="D1534" t="s">
        <v>1203</v>
      </c>
      <c r="E1534" t="s">
        <v>1204</v>
      </c>
      <c r="F1534">
        <v>5685</v>
      </c>
      <c r="G1534" t="s">
        <v>686</v>
      </c>
      <c r="H1534" t="s">
        <v>1570</v>
      </c>
      <c r="I1534">
        <v>102.32</v>
      </c>
      <c r="J1534">
        <v>102.6</v>
      </c>
      <c r="K1534">
        <v>102.88</v>
      </c>
      <c r="L1534">
        <v>103.16</v>
      </c>
      <c r="M1534">
        <v>103.44</v>
      </c>
      <c r="N1534" t="s">
        <v>988</v>
      </c>
    </row>
    <row r="1535" spans="1:14" x14ac:dyDescent="0.3">
      <c r="A1535">
        <v>1756</v>
      </c>
      <c r="B1535" t="s">
        <v>1771</v>
      </c>
      <c r="C1535" t="s">
        <v>2256</v>
      </c>
      <c r="D1535" t="s">
        <v>1203</v>
      </c>
      <c r="E1535" t="s">
        <v>1204</v>
      </c>
      <c r="F1535">
        <v>5685</v>
      </c>
      <c r="G1535" t="s">
        <v>696</v>
      </c>
      <c r="I1535">
        <v>1251.44</v>
      </c>
      <c r="J1535">
        <v>1254.8699999999999</v>
      </c>
      <c r="K1535">
        <v>1258.31</v>
      </c>
      <c r="L1535">
        <v>1261.76</v>
      </c>
      <c r="M1535">
        <v>1265.21</v>
      </c>
      <c r="N1535" t="s">
        <v>988</v>
      </c>
    </row>
    <row r="1536" spans="1:14" x14ac:dyDescent="0.3">
      <c r="A1536">
        <v>1756</v>
      </c>
      <c r="B1536" t="s">
        <v>1771</v>
      </c>
      <c r="C1536" t="s">
        <v>2256</v>
      </c>
      <c r="D1536" t="s">
        <v>1203</v>
      </c>
      <c r="E1536" t="s">
        <v>1204</v>
      </c>
      <c r="F1536">
        <v>5685</v>
      </c>
      <c r="G1536" t="s">
        <v>698</v>
      </c>
      <c r="I1536">
        <v>356.7</v>
      </c>
      <c r="J1536">
        <v>357.67</v>
      </c>
      <c r="K1536">
        <v>358.65</v>
      </c>
      <c r="L1536">
        <v>359.64</v>
      </c>
      <c r="M1536">
        <v>360.62</v>
      </c>
      <c r="N1536" t="s">
        <v>988</v>
      </c>
    </row>
    <row r="1537" spans="1:14" x14ac:dyDescent="0.3">
      <c r="A1537">
        <v>1765</v>
      </c>
      <c r="B1537" t="s">
        <v>1772</v>
      </c>
      <c r="C1537" t="s">
        <v>2256</v>
      </c>
      <c r="D1537" t="s">
        <v>1203</v>
      </c>
      <c r="E1537" t="s">
        <v>1204</v>
      </c>
      <c r="F1537">
        <v>7136</v>
      </c>
      <c r="G1537" t="s">
        <v>696</v>
      </c>
      <c r="I1537">
        <v>2840.45</v>
      </c>
      <c r="J1537">
        <v>2987.1</v>
      </c>
      <c r="K1537">
        <v>3141.32</v>
      </c>
      <c r="L1537">
        <v>3303.51</v>
      </c>
      <c r="N1537" t="s">
        <v>988</v>
      </c>
    </row>
    <row r="1538" spans="1:14" x14ac:dyDescent="0.3">
      <c r="A1538">
        <v>1765</v>
      </c>
      <c r="B1538" t="s">
        <v>1772</v>
      </c>
      <c r="C1538" t="s">
        <v>2256</v>
      </c>
      <c r="D1538" t="s">
        <v>1203</v>
      </c>
      <c r="E1538" t="s">
        <v>1204</v>
      </c>
      <c r="F1538">
        <v>7136</v>
      </c>
      <c r="G1538" t="s">
        <v>698</v>
      </c>
      <c r="I1538">
        <v>269.52</v>
      </c>
      <c r="J1538">
        <v>283.43</v>
      </c>
      <c r="K1538">
        <v>298.06</v>
      </c>
      <c r="L1538">
        <v>313.45</v>
      </c>
      <c r="N1538" t="s">
        <v>988</v>
      </c>
    </row>
    <row r="1539" spans="1:14" x14ac:dyDescent="0.3">
      <c r="A1539">
        <v>1765</v>
      </c>
      <c r="B1539" t="s">
        <v>1772</v>
      </c>
      <c r="C1539" t="s">
        <v>2256</v>
      </c>
      <c r="D1539" t="s">
        <v>1203</v>
      </c>
      <c r="E1539" t="s">
        <v>1204</v>
      </c>
      <c r="F1539">
        <v>7136</v>
      </c>
      <c r="G1539" t="s">
        <v>700</v>
      </c>
      <c r="I1539">
        <v>309.38</v>
      </c>
      <c r="J1539">
        <v>325.36</v>
      </c>
      <c r="K1539">
        <v>342.16</v>
      </c>
      <c r="L1539">
        <v>359.82</v>
      </c>
      <c r="N1539" t="s">
        <v>987</v>
      </c>
    </row>
    <row r="1540" spans="1:14" x14ac:dyDescent="0.3">
      <c r="A1540">
        <v>1765</v>
      </c>
      <c r="B1540" t="s">
        <v>1772</v>
      </c>
      <c r="C1540" t="s">
        <v>2256</v>
      </c>
      <c r="D1540" t="s">
        <v>1203</v>
      </c>
      <c r="E1540" t="s">
        <v>1204</v>
      </c>
      <c r="F1540">
        <v>7136</v>
      </c>
      <c r="G1540" t="s">
        <v>703</v>
      </c>
      <c r="I1540">
        <v>313.24</v>
      </c>
      <c r="J1540">
        <v>329.41</v>
      </c>
      <c r="K1540">
        <v>346.42</v>
      </c>
      <c r="L1540">
        <v>364.31</v>
      </c>
      <c r="N1540" t="s">
        <v>987</v>
      </c>
    </row>
    <row r="1541" spans="1:14" x14ac:dyDescent="0.3">
      <c r="A1541">
        <v>1765</v>
      </c>
      <c r="B1541" t="s">
        <v>1772</v>
      </c>
      <c r="C1541" t="s">
        <v>2256</v>
      </c>
      <c r="D1541" t="s">
        <v>1203</v>
      </c>
      <c r="E1541" t="s">
        <v>1204</v>
      </c>
      <c r="F1541">
        <v>7136</v>
      </c>
      <c r="G1541" t="s">
        <v>702</v>
      </c>
      <c r="I1541">
        <v>798.93</v>
      </c>
      <c r="J1541">
        <v>840.18</v>
      </c>
      <c r="K1541">
        <v>883.56</v>
      </c>
      <c r="L1541">
        <v>929.17</v>
      </c>
      <c r="N1541" t="s">
        <v>987</v>
      </c>
    </row>
    <row r="1542" spans="1:14" x14ac:dyDescent="0.3">
      <c r="A1542">
        <v>1765</v>
      </c>
      <c r="B1542" t="s">
        <v>1772</v>
      </c>
      <c r="C1542" t="s">
        <v>2256</v>
      </c>
      <c r="D1542" t="s">
        <v>1203</v>
      </c>
      <c r="E1542" t="s">
        <v>1204</v>
      </c>
      <c r="F1542">
        <v>7136</v>
      </c>
      <c r="G1542" t="s">
        <v>686</v>
      </c>
      <c r="I1542">
        <v>379.46</v>
      </c>
      <c r="J1542">
        <v>399.05</v>
      </c>
      <c r="K1542">
        <v>419.66</v>
      </c>
      <c r="L1542">
        <v>441.32</v>
      </c>
      <c r="N1542" t="s">
        <v>987</v>
      </c>
    </row>
    <row r="1543" spans="1:14" x14ac:dyDescent="0.3">
      <c r="A1543">
        <v>1777</v>
      </c>
      <c r="B1543" t="s">
        <v>1773</v>
      </c>
      <c r="C1543" t="s">
        <v>2256</v>
      </c>
      <c r="D1543" t="s">
        <v>159</v>
      </c>
      <c r="E1543" t="s">
        <v>159</v>
      </c>
      <c r="F1543">
        <v>5661</v>
      </c>
      <c r="G1543" t="s">
        <v>698</v>
      </c>
      <c r="H1543" t="s">
        <v>1779</v>
      </c>
      <c r="I1543">
        <v>4298</v>
      </c>
      <c r="J1543">
        <v>4316</v>
      </c>
      <c r="K1543">
        <v>4377</v>
      </c>
      <c r="L1543">
        <v>4379</v>
      </c>
      <c r="M1543">
        <v>4431</v>
      </c>
      <c r="N1543" t="s">
        <v>987</v>
      </c>
    </row>
    <row r="1544" spans="1:14" x14ac:dyDescent="0.3">
      <c r="A1544">
        <v>1777</v>
      </c>
      <c r="B1544" t="s">
        <v>1773</v>
      </c>
      <c r="C1544" t="s">
        <v>2256</v>
      </c>
      <c r="D1544" t="s">
        <v>159</v>
      </c>
      <c r="E1544" t="s">
        <v>159</v>
      </c>
      <c r="F1544">
        <v>5661</v>
      </c>
      <c r="G1544" t="s">
        <v>700</v>
      </c>
      <c r="H1544" t="s">
        <v>1780</v>
      </c>
      <c r="I1544">
        <v>1819</v>
      </c>
      <c r="J1544">
        <v>1788</v>
      </c>
      <c r="K1544">
        <v>1837</v>
      </c>
      <c r="L1544">
        <v>1870</v>
      </c>
      <c r="M1544">
        <v>1898</v>
      </c>
      <c r="N1544" t="s">
        <v>987</v>
      </c>
    </row>
    <row r="1545" spans="1:14" x14ac:dyDescent="0.3">
      <c r="A1545">
        <v>1777</v>
      </c>
      <c r="B1545" t="s">
        <v>1773</v>
      </c>
      <c r="C1545" t="s">
        <v>2256</v>
      </c>
      <c r="D1545" t="s">
        <v>159</v>
      </c>
      <c r="E1545" t="s">
        <v>159</v>
      </c>
      <c r="F1545">
        <v>5661</v>
      </c>
      <c r="G1545" t="s">
        <v>701</v>
      </c>
      <c r="H1545" t="s">
        <v>1777</v>
      </c>
      <c r="I1545">
        <v>932</v>
      </c>
      <c r="J1545">
        <v>1001</v>
      </c>
      <c r="K1545">
        <v>1040</v>
      </c>
      <c r="L1545">
        <v>1069</v>
      </c>
      <c r="M1545">
        <v>1092</v>
      </c>
      <c r="N1545" t="s">
        <v>987</v>
      </c>
    </row>
    <row r="1546" spans="1:14" x14ac:dyDescent="0.3">
      <c r="A1546">
        <v>1777</v>
      </c>
      <c r="B1546" t="s">
        <v>1773</v>
      </c>
      <c r="C1546" t="s">
        <v>2256</v>
      </c>
      <c r="D1546" t="s">
        <v>159</v>
      </c>
      <c r="E1546" t="s">
        <v>159</v>
      </c>
      <c r="F1546">
        <v>5661</v>
      </c>
      <c r="G1546" t="s">
        <v>702</v>
      </c>
      <c r="H1546" t="s">
        <v>1776</v>
      </c>
      <c r="I1546">
        <v>2119</v>
      </c>
      <c r="J1546">
        <v>574</v>
      </c>
      <c r="K1546">
        <v>645</v>
      </c>
      <c r="L1546">
        <v>675</v>
      </c>
      <c r="M1546">
        <v>733</v>
      </c>
      <c r="N1546" t="s">
        <v>988</v>
      </c>
    </row>
    <row r="1547" spans="1:14" x14ac:dyDescent="0.3">
      <c r="A1547">
        <v>1777</v>
      </c>
      <c r="B1547" t="s">
        <v>1773</v>
      </c>
      <c r="C1547" t="s">
        <v>2256</v>
      </c>
      <c r="D1547" t="s">
        <v>159</v>
      </c>
      <c r="E1547" t="s">
        <v>159</v>
      </c>
      <c r="F1547">
        <v>5661</v>
      </c>
      <c r="G1547" t="s">
        <v>684</v>
      </c>
      <c r="H1547" t="s">
        <v>1775</v>
      </c>
      <c r="I1547">
        <v>557</v>
      </c>
      <c r="J1547">
        <v>232</v>
      </c>
      <c r="K1547">
        <v>232</v>
      </c>
      <c r="L1547">
        <v>232</v>
      </c>
      <c r="M1547">
        <v>233</v>
      </c>
      <c r="N1547" t="s">
        <v>988</v>
      </c>
    </row>
    <row r="1548" spans="1:14" x14ac:dyDescent="0.3">
      <c r="A1548">
        <v>1777</v>
      </c>
      <c r="B1548" t="s">
        <v>1773</v>
      </c>
      <c r="C1548" t="s">
        <v>2256</v>
      </c>
      <c r="D1548" t="s">
        <v>159</v>
      </c>
      <c r="E1548" t="s">
        <v>159</v>
      </c>
      <c r="F1548">
        <v>5661</v>
      </c>
      <c r="G1548" t="s">
        <v>696</v>
      </c>
      <c r="H1548" t="s">
        <v>2382</v>
      </c>
      <c r="I1548">
        <v>9872</v>
      </c>
      <c r="J1548">
        <v>9740</v>
      </c>
      <c r="K1548">
        <v>9692</v>
      </c>
      <c r="L1548">
        <v>9655</v>
      </c>
      <c r="M1548">
        <v>9660</v>
      </c>
      <c r="N1548" t="s">
        <v>988</v>
      </c>
    </row>
    <row r="1549" spans="1:14" x14ac:dyDescent="0.3">
      <c r="A1549">
        <v>1777</v>
      </c>
      <c r="B1549" t="s">
        <v>1773</v>
      </c>
      <c r="C1549" t="s">
        <v>2256</v>
      </c>
      <c r="D1549" t="s">
        <v>159</v>
      </c>
      <c r="E1549" t="s">
        <v>159</v>
      </c>
      <c r="F1549">
        <v>5661</v>
      </c>
      <c r="G1549" t="s">
        <v>686</v>
      </c>
      <c r="I1549">
        <v>1444</v>
      </c>
      <c r="J1549">
        <v>1447</v>
      </c>
      <c r="K1549">
        <v>1448</v>
      </c>
      <c r="L1549">
        <v>1447</v>
      </c>
      <c r="M1549">
        <v>1453</v>
      </c>
      <c r="N1549" t="s">
        <v>988</v>
      </c>
    </row>
    <row r="1550" spans="1:14" x14ac:dyDescent="0.3">
      <c r="A1550">
        <v>1792</v>
      </c>
      <c r="B1550" t="s">
        <v>1781</v>
      </c>
      <c r="C1550" t="s">
        <v>2256</v>
      </c>
      <c r="D1550" t="s">
        <v>1203</v>
      </c>
      <c r="E1550" t="s">
        <v>1204</v>
      </c>
      <c r="F1550">
        <v>6604</v>
      </c>
      <c r="G1550" t="s">
        <v>701</v>
      </c>
      <c r="I1550">
        <v>13</v>
      </c>
      <c r="J1550">
        <v>15</v>
      </c>
      <c r="K1550">
        <v>17</v>
      </c>
      <c r="L1550">
        <v>18</v>
      </c>
      <c r="M1550">
        <v>19</v>
      </c>
      <c r="N1550" t="s">
        <v>988</v>
      </c>
    </row>
    <row r="1551" spans="1:14" x14ac:dyDescent="0.3">
      <c r="A1551">
        <v>1792</v>
      </c>
      <c r="B1551" t="s">
        <v>1781</v>
      </c>
      <c r="C1551" t="s">
        <v>2256</v>
      </c>
      <c r="D1551" t="s">
        <v>1203</v>
      </c>
      <c r="E1551" t="s">
        <v>1204</v>
      </c>
      <c r="F1551">
        <v>6604</v>
      </c>
      <c r="G1551" t="s">
        <v>700</v>
      </c>
      <c r="H1551" t="s">
        <v>1782</v>
      </c>
      <c r="I1551">
        <v>123</v>
      </c>
      <c r="J1551">
        <v>150</v>
      </c>
      <c r="K1551">
        <v>163</v>
      </c>
      <c r="L1551">
        <v>176</v>
      </c>
      <c r="M1551">
        <v>189</v>
      </c>
      <c r="N1551" t="s">
        <v>988</v>
      </c>
    </row>
    <row r="1552" spans="1:14" x14ac:dyDescent="0.3">
      <c r="A1552">
        <v>1792</v>
      </c>
      <c r="B1552" t="s">
        <v>1781</v>
      </c>
      <c r="C1552" t="s">
        <v>2256</v>
      </c>
      <c r="D1552" t="s">
        <v>1203</v>
      </c>
      <c r="E1552" t="s">
        <v>1204</v>
      </c>
      <c r="F1552">
        <v>6604</v>
      </c>
      <c r="G1552" t="s">
        <v>698</v>
      </c>
      <c r="I1552">
        <v>58</v>
      </c>
      <c r="J1552">
        <v>71</v>
      </c>
      <c r="K1552">
        <v>77</v>
      </c>
      <c r="L1552">
        <v>83</v>
      </c>
      <c r="M1552">
        <v>90</v>
      </c>
      <c r="N1552" t="s">
        <v>988</v>
      </c>
    </row>
    <row r="1553" spans="1:14" x14ac:dyDescent="0.3">
      <c r="A1553">
        <v>1792</v>
      </c>
      <c r="B1553" t="s">
        <v>1781</v>
      </c>
      <c r="C1553" t="s">
        <v>2256</v>
      </c>
      <c r="D1553" t="s">
        <v>1203</v>
      </c>
      <c r="E1553" t="s">
        <v>1204</v>
      </c>
      <c r="F1553">
        <v>6604</v>
      </c>
      <c r="G1553" t="s">
        <v>696</v>
      </c>
      <c r="I1553">
        <v>1270</v>
      </c>
      <c r="J1553">
        <v>1542</v>
      </c>
      <c r="K1553">
        <v>1678</v>
      </c>
      <c r="L1553">
        <v>1814</v>
      </c>
      <c r="M1553">
        <v>1950</v>
      </c>
      <c r="N1553" t="s">
        <v>988</v>
      </c>
    </row>
    <row r="1554" spans="1:14" x14ac:dyDescent="0.3">
      <c r="A1554">
        <v>1792</v>
      </c>
      <c r="B1554" t="s">
        <v>1781</v>
      </c>
      <c r="C1554" t="s">
        <v>2256</v>
      </c>
      <c r="D1554" t="s">
        <v>1203</v>
      </c>
      <c r="E1554" t="s">
        <v>1204</v>
      </c>
      <c r="F1554">
        <v>6604</v>
      </c>
      <c r="G1554" t="s">
        <v>686</v>
      </c>
      <c r="I1554">
        <v>181</v>
      </c>
      <c r="J1554">
        <v>219</v>
      </c>
      <c r="K1554">
        <v>239</v>
      </c>
      <c r="L1554">
        <v>258</v>
      </c>
      <c r="M1554">
        <v>277</v>
      </c>
      <c r="N1554" t="s">
        <v>988</v>
      </c>
    </row>
    <row r="1555" spans="1:14" x14ac:dyDescent="0.3">
      <c r="A1555">
        <v>1792</v>
      </c>
      <c r="B1555" t="s">
        <v>1781</v>
      </c>
      <c r="C1555" t="s">
        <v>2256</v>
      </c>
      <c r="D1555" t="s">
        <v>1203</v>
      </c>
      <c r="E1555" t="s">
        <v>1204</v>
      </c>
      <c r="F1555">
        <v>6604</v>
      </c>
      <c r="G1555" t="s">
        <v>687</v>
      </c>
      <c r="H1555" t="s">
        <v>1784</v>
      </c>
      <c r="I1555">
        <v>4</v>
      </c>
      <c r="J1555">
        <v>5</v>
      </c>
      <c r="K1555">
        <v>5</v>
      </c>
      <c r="L1555">
        <v>5</v>
      </c>
      <c r="M1555">
        <v>6</v>
      </c>
      <c r="N1555" t="s">
        <v>988</v>
      </c>
    </row>
    <row r="1556" spans="1:14" x14ac:dyDescent="0.3">
      <c r="A1556">
        <v>1792</v>
      </c>
      <c r="B1556" t="s">
        <v>1781</v>
      </c>
      <c r="C1556" t="s">
        <v>2256</v>
      </c>
      <c r="D1556" t="s">
        <v>1203</v>
      </c>
      <c r="E1556" t="s">
        <v>1204</v>
      </c>
      <c r="F1556">
        <v>6604</v>
      </c>
      <c r="G1556" t="s">
        <v>702</v>
      </c>
      <c r="I1556">
        <v>105</v>
      </c>
      <c r="J1556">
        <v>128</v>
      </c>
      <c r="K1556">
        <v>139</v>
      </c>
      <c r="L1556">
        <v>151</v>
      </c>
      <c r="M1556">
        <v>162</v>
      </c>
      <c r="N1556" t="s">
        <v>988</v>
      </c>
    </row>
    <row r="1557" spans="1:14" x14ac:dyDescent="0.3">
      <c r="A1557">
        <v>1793</v>
      </c>
      <c r="B1557" t="s">
        <v>1785</v>
      </c>
      <c r="C1557" t="s">
        <v>2256</v>
      </c>
      <c r="D1557" t="s">
        <v>159</v>
      </c>
      <c r="E1557" t="s">
        <v>159</v>
      </c>
      <c r="F1557">
        <v>8027</v>
      </c>
      <c r="G1557" t="s">
        <v>706</v>
      </c>
      <c r="I1557">
        <v>0</v>
      </c>
      <c r="J1557">
        <v>0</v>
      </c>
      <c r="K1557">
        <v>0</v>
      </c>
      <c r="L1557">
        <v>0</v>
      </c>
      <c r="N1557" t="s">
        <v>988</v>
      </c>
    </row>
    <row r="1558" spans="1:14" x14ac:dyDescent="0.3">
      <c r="A1558">
        <v>1793</v>
      </c>
      <c r="B1558" t="s">
        <v>1785</v>
      </c>
      <c r="C1558" t="s">
        <v>2256</v>
      </c>
      <c r="D1558" t="s">
        <v>159</v>
      </c>
      <c r="E1558" t="s">
        <v>159</v>
      </c>
      <c r="F1558">
        <v>8027</v>
      </c>
      <c r="G1558" t="s">
        <v>703</v>
      </c>
      <c r="H1558" t="s">
        <v>2383</v>
      </c>
      <c r="I1558">
        <v>0</v>
      </c>
      <c r="J1558">
        <v>0</v>
      </c>
      <c r="K1558">
        <v>0</v>
      </c>
      <c r="L1558">
        <v>0</v>
      </c>
      <c r="N1558" t="s">
        <v>988</v>
      </c>
    </row>
    <row r="1559" spans="1:14" x14ac:dyDescent="0.3">
      <c r="A1559">
        <v>1793</v>
      </c>
      <c r="B1559" t="s">
        <v>1785</v>
      </c>
      <c r="C1559" t="s">
        <v>2256</v>
      </c>
      <c r="D1559" t="s">
        <v>159</v>
      </c>
      <c r="E1559" t="s">
        <v>159</v>
      </c>
      <c r="F1559">
        <v>8027</v>
      </c>
      <c r="G1559" t="s">
        <v>694</v>
      </c>
      <c r="I1559">
        <v>0</v>
      </c>
      <c r="J1559">
        <v>0</v>
      </c>
      <c r="K1559">
        <v>0</v>
      </c>
      <c r="L1559">
        <v>0</v>
      </c>
      <c r="N1559" t="s">
        <v>988</v>
      </c>
    </row>
    <row r="1560" spans="1:14" x14ac:dyDescent="0.3">
      <c r="A1560">
        <v>1793</v>
      </c>
      <c r="B1560" t="s">
        <v>1785</v>
      </c>
      <c r="C1560" t="s">
        <v>2256</v>
      </c>
      <c r="D1560" t="s">
        <v>159</v>
      </c>
      <c r="E1560" t="s">
        <v>159</v>
      </c>
      <c r="F1560">
        <v>8027</v>
      </c>
      <c r="G1560" t="s">
        <v>690</v>
      </c>
      <c r="I1560">
        <v>0</v>
      </c>
      <c r="J1560">
        <v>0</v>
      </c>
      <c r="K1560">
        <v>0</v>
      </c>
      <c r="L1560">
        <v>0</v>
      </c>
      <c r="N1560" t="s">
        <v>988</v>
      </c>
    </row>
    <row r="1561" spans="1:14" x14ac:dyDescent="0.3">
      <c r="A1561">
        <v>1793</v>
      </c>
      <c r="B1561" t="s">
        <v>1785</v>
      </c>
      <c r="C1561" t="s">
        <v>2256</v>
      </c>
      <c r="D1561" t="s">
        <v>159</v>
      </c>
      <c r="E1561" t="s">
        <v>159</v>
      </c>
      <c r="F1561">
        <v>8027</v>
      </c>
      <c r="G1561" t="s">
        <v>702</v>
      </c>
      <c r="I1561">
        <v>2190</v>
      </c>
      <c r="J1561">
        <v>2120</v>
      </c>
      <c r="K1561">
        <v>2090</v>
      </c>
      <c r="L1561">
        <v>2070</v>
      </c>
      <c r="N1561" t="s">
        <v>988</v>
      </c>
    </row>
    <row r="1562" spans="1:14" x14ac:dyDescent="0.3">
      <c r="A1562">
        <v>1793</v>
      </c>
      <c r="B1562" t="s">
        <v>1785</v>
      </c>
      <c r="C1562" t="s">
        <v>2256</v>
      </c>
      <c r="D1562" t="s">
        <v>159</v>
      </c>
      <c r="E1562" t="s">
        <v>159</v>
      </c>
      <c r="F1562">
        <v>8027</v>
      </c>
      <c r="G1562" t="s">
        <v>705</v>
      </c>
      <c r="I1562">
        <v>0</v>
      </c>
      <c r="J1562">
        <v>0</v>
      </c>
      <c r="K1562">
        <v>0</v>
      </c>
      <c r="L1562">
        <v>0</v>
      </c>
      <c r="N1562" t="s">
        <v>988</v>
      </c>
    </row>
    <row r="1563" spans="1:14" x14ac:dyDescent="0.3">
      <c r="A1563">
        <v>1793</v>
      </c>
      <c r="B1563" t="s">
        <v>1785</v>
      </c>
      <c r="C1563" t="s">
        <v>2256</v>
      </c>
      <c r="D1563" t="s">
        <v>159</v>
      </c>
      <c r="E1563" t="s">
        <v>159</v>
      </c>
      <c r="F1563">
        <v>8027</v>
      </c>
      <c r="G1563" t="s">
        <v>684</v>
      </c>
      <c r="I1563">
        <v>570</v>
      </c>
      <c r="J1563">
        <v>540</v>
      </c>
      <c r="K1563">
        <v>510</v>
      </c>
      <c r="L1563">
        <v>480</v>
      </c>
      <c r="N1563" t="s">
        <v>988</v>
      </c>
    </row>
    <row r="1564" spans="1:14" x14ac:dyDescent="0.3">
      <c r="A1564">
        <v>1793</v>
      </c>
      <c r="B1564" t="s">
        <v>1785</v>
      </c>
      <c r="C1564" t="s">
        <v>2256</v>
      </c>
      <c r="D1564" t="s">
        <v>159</v>
      </c>
      <c r="E1564" t="s">
        <v>159</v>
      </c>
      <c r="F1564">
        <v>8027</v>
      </c>
      <c r="G1564" t="s">
        <v>701</v>
      </c>
      <c r="H1564" t="s">
        <v>2383</v>
      </c>
      <c r="I1564">
        <v>0</v>
      </c>
      <c r="J1564">
        <v>0</v>
      </c>
      <c r="K1564">
        <v>0</v>
      </c>
      <c r="L1564">
        <v>0</v>
      </c>
      <c r="N1564" t="s">
        <v>988</v>
      </c>
    </row>
    <row r="1565" spans="1:14" x14ac:dyDescent="0.3">
      <c r="A1565">
        <v>1793</v>
      </c>
      <c r="B1565" t="s">
        <v>1785</v>
      </c>
      <c r="C1565" t="s">
        <v>2256</v>
      </c>
      <c r="D1565" t="s">
        <v>159</v>
      </c>
      <c r="E1565" t="s">
        <v>159</v>
      </c>
      <c r="F1565">
        <v>8027</v>
      </c>
      <c r="G1565" t="s">
        <v>700</v>
      </c>
      <c r="I1565">
        <v>750</v>
      </c>
      <c r="J1565">
        <v>750</v>
      </c>
      <c r="K1565">
        <v>750</v>
      </c>
      <c r="L1565">
        <v>740</v>
      </c>
      <c r="N1565" t="s">
        <v>988</v>
      </c>
    </row>
    <row r="1566" spans="1:14" x14ac:dyDescent="0.3">
      <c r="A1566">
        <v>1793</v>
      </c>
      <c r="B1566" t="s">
        <v>1785</v>
      </c>
      <c r="C1566" t="s">
        <v>2256</v>
      </c>
      <c r="D1566" t="s">
        <v>159</v>
      </c>
      <c r="E1566" t="s">
        <v>159</v>
      </c>
      <c r="F1566">
        <v>8027</v>
      </c>
      <c r="G1566" t="s">
        <v>698</v>
      </c>
      <c r="I1566">
        <v>640</v>
      </c>
      <c r="J1566">
        <v>620</v>
      </c>
      <c r="K1566">
        <v>610</v>
      </c>
      <c r="L1566">
        <v>600</v>
      </c>
      <c r="N1566" t="s">
        <v>988</v>
      </c>
    </row>
    <row r="1567" spans="1:14" x14ac:dyDescent="0.3">
      <c r="A1567">
        <v>1793</v>
      </c>
      <c r="B1567" t="s">
        <v>1785</v>
      </c>
      <c r="C1567" t="s">
        <v>2256</v>
      </c>
      <c r="D1567" t="s">
        <v>159</v>
      </c>
      <c r="E1567" t="s">
        <v>159</v>
      </c>
      <c r="F1567">
        <v>8027</v>
      </c>
      <c r="G1567" t="s">
        <v>696</v>
      </c>
      <c r="I1567">
        <v>12230</v>
      </c>
      <c r="J1567">
        <v>11950</v>
      </c>
      <c r="K1567">
        <v>11720</v>
      </c>
      <c r="L1567">
        <v>11480</v>
      </c>
      <c r="N1567" t="s">
        <v>988</v>
      </c>
    </row>
    <row r="1568" spans="1:14" x14ac:dyDescent="0.3">
      <c r="A1568">
        <v>1793</v>
      </c>
      <c r="B1568" t="s">
        <v>1785</v>
      </c>
      <c r="C1568" t="s">
        <v>2256</v>
      </c>
      <c r="D1568" t="s">
        <v>159</v>
      </c>
      <c r="E1568" t="s">
        <v>159</v>
      </c>
      <c r="F1568">
        <v>8027</v>
      </c>
      <c r="G1568" t="s">
        <v>686</v>
      </c>
      <c r="H1568" t="s">
        <v>1786</v>
      </c>
      <c r="I1568">
        <v>990</v>
      </c>
      <c r="J1568">
        <v>960</v>
      </c>
      <c r="K1568">
        <v>940</v>
      </c>
      <c r="L1568">
        <v>920</v>
      </c>
      <c r="N1568" t="s">
        <v>988</v>
      </c>
    </row>
    <row r="1569" spans="1:14" x14ac:dyDescent="0.3">
      <c r="A1569">
        <v>1793</v>
      </c>
      <c r="B1569" t="s">
        <v>1785</v>
      </c>
      <c r="C1569" t="s">
        <v>2256</v>
      </c>
      <c r="D1569" t="s">
        <v>159</v>
      </c>
      <c r="E1569" t="s">
        <v>159</v>
      </c>
      <c r="F1569">
        <v>8027</v>
      </c>
      <c r="G1569" t="s">
        <v>692</v>
      </c>
      <c r="H1569" t="s">
        <v>2384</v>
      </c>
      <c r="I1569">
        <v>0</v>
      </c>
      <c r="J1569">
        <v>0</v>
      </c>
      <c r="K1569">
        <v>0</v>
      </c>
      <c r="L1569">
        <v>0</v>
      </c>
      <c r="N1569" t="s">
        <v>988</v>
      </c>
    </row>
    <row r="1570" spans="1:14" x14ac:dyDescent="0.3">
      <c r="A1570">
        <v>1793</v>
      </c>
      <c r="B1570" t="s">
        <v>1785</v>
      </c>
      <c r="C1570" t="s">
        <v>2256</v>
      </c>
      <c r="D1570" t="s">
        <v>159</v>
      </c>
      <c r="E1570" t="s">
        <v>159</v>
      </c>
      <c r="F1570">
        <v>8027</v>
      </c>
      <c r="G1570" t="s">
        <v>691</v>
      </c>
      <c r="H1570" t="s">
        <v>2094</v>
      </c>
      <c r="I1570">
        <v>40</v>
      </c>
      <c r="J1570">
        <v>20</v>
      </c>
      <c r="K1570">
        <v>20</v>
      </c>
      <c r="L1570">
        <v>20</v>
      </c>
      <c r="N1570" t="s">
        <v>988</v>
      </c>
    </row>
    <row r="1571" spans="1:14" x14ac:dyDescent="0.3">
      <c r="A1571">
        <v>1795</v>
      </c>
      <c r="B1571" t="s">
        <v>1787</v>
      </c>
      <c r="C1571" t="s">
        <v>2256</v>
      </c>
      <c r="D1571" t="s">
        <v>159</v>
      </c>
      <c r="E1571" t="s">
        <v>159</v>
      </c>
      <c r="F1571">
        <v>5536</v>
      </c>
      <c r="G1571" t="s">
        <v>696</v>
      </c>
      <c r="I1571">
        <v>15723</v>
      </c>
      <c r="J1571">
        <v>17540</v>
      </c>
      <c r="K1571">
        <v>19109</v>
      </c>
      <c r="L1571">
        <v>22431</v>
      </c>
      <c r="M1571">
        <v>22431</v>
      </c>
      <c r="N1571" t="s">
        <v>988</v>
      </c>
    </row>
    <row r="1572" spans="1:14" x14ac:dyDescent="0.3">
      <c r="A1572">
        <v>1795</v>
      </c>
      <c r="B1572" t="s">
        <v>1787</v>
      </c>
      <c r="C1572" t="s">
        <v>2256</v>
      </c>
      <c r="D1572" t="s">
        <v>159</v>
      </c>
      <c r="E1572" t="s">
        <v>159</v>
      </c>
      <c r="F1572">
        <v>5536</v>
      </c>
      <c r="G1572" t="s">
        <v>698</v>
      </c>
      <c r="I1572">
        <v>6374</v>
      </c>
      <c r="J1572">
        <v>7110</v>
      </c>
      <c r="K1572">
        <v>7746</v>
      </c>
      <c r="L1572">
        <v>9093</v>
      </c>
      <c r="M1572">
        <v>9093</v>
      </c>
      <c r="N1572" t="s">
        <v>988</v>
      </c>
    </row>
    <row r="1573" spans="1:14" x14ac:dyDescent="0.3">
      <c r="A1573">
        <v>1795</v>
      </c>
      <c r="B1573" t="s">
        <v>1787</v>
      </c>
      <c r="C1573" t="s">
        <v>2256</v>
      </c>
      <c r="D1573" t="s">
        <v>159</v>
      </c>
      <c r="E1573" t="s">
        <v>159</v>
      </c>
      <c r="F1573">
        <v>5536</v>
      </c>
      <c r="G1573" t="s">
        <v>700</v>
      </c>
      <c r="I1573">
        <v>6740</v>
      </c>
      <c r="J1573">
        <v>7519</v>
      </c>
      <c r="K1573">
        <v>8191</v>
      </c>
      <c r="L1573">
        <v>9615</v>
      </c>
      <c r="M1573">
        <v>9615</v>
      </c>
      <c r="N1573" t="s">
        <v>988</v>
      </c>
    </row>
    <row r="1574" spans="1:14" x14ac:dyDescent="0.3">
      <c r="A1574">
        <v>1795</v>
      </c>
      <c r="B1574" t="s">
        <v>1787</v>
      </c>
      <c r="C1574" t="s">
        <v>2256</v>
      </c>
      <c r="D1574" t="s">
        <v>159</v>
      </c>
      <c r="E1574" t="s">
        <v>159</v>
      </c>
      <c r="F1574">
        <v>5536</v>
      </c>
      <c r="G1574" t="s">
        <v>701</v>
      </c>
      <c r="I1574">
        <v>2613</v>
      </c>
      <c r="J1574">
        <v>2915</v>
      </c>
      <c r="K1574">
        <v>3176</v>
      </c>
      <c r="L1574">
        <v>3728</v>
      </c>
      <c r="M1574">
        <v>3728</v>
      </c>
      <c r="N1574" t="s">
        <v>988</v>
      </c>
    </row>
    <row r="1575" spans="1:14" x14ac:dyDescent="0.3">
      <c r="A1575">
        <v>1795</v>
      </c>
      <c r="B1575" t="s">
        <v>1787</v>
      </c>
      <c r="C1575" t="s">
        <v>2256</v>
      </c>
      <c r="D1575" t="s">
        <v>159</v>
      </c>
      <c r="E1575" t="s">
        <v>159</v>
      </c>
      <c r="F1575">
        <v>5536</v>
      </c>
      <c r="G1575" t="s">
        <v>703</v>
      </c>
      <c r="I1575">
        <v>677</v>
      </c>
      <c r="J1575">
        <v>755</v>
      </c>
      <c r="K1575">
        <v>822</v>
      </c>
      <c r="L1575">
        <v>965</v>
      </c>
      <c r="M1575">
        <v>965</v>
      </c>
      <c r="N1575" t="s">
        <v>988</v>
      </c>
    </row>
    <row r="1576" spans="1:14" x14ac:dyDescent="0.3">
      <c r="A1576">
        <v>1795</v>
      </c>
      <c r="B1576" t="s">
        <v>1787</v>
      </c>
      <c r="C1576" t="s">
        <v>2256</v>
      </c>
      <c r="D1576" t="s">
        <v>159</v>
      </c>
      <c r="E1576" t="s">
        <v>159</v>
      </c>
      <c r="F1576">
        <v>5536</v>
      </c>
      <c r="G1576" t="s">
        <v>702</v>
      </c>
      <c r="I1576">
        <v>5824</v>
      </c>
      <c r="J1576">
        <v>6497</v>
      </c>
      <c r="K1576">
        <v>7078</v>
      </c>
      <c r="L1576">
        <v>8309</v>
      </c>
      <c r="M1576">
        <v>8309</v>
      </c>
      <c r="N1576" t="s">
        <v>988</v>
      </c>
    </row>
    <row r="1577" spans="1:14" x14ac:dyDescent="0.3">
      <c r="A1577">
        <v>1795</v>
      </c>
      <c r="B1577" t="s">
        <v>1787</v>
      </c>
      <c r="C1577" t="s">
        <v>2256</v>
      </c>
      <c r="D1577" t="s">
        <v>159</v>
      </c>
      <c r="E1577" t="s">
        <v>159</v>
      </c>
      <c r="F1577">
        <v>5536</v>
      </c>
      <c r="G1577" t="s">
        <v>686</v>
      </c>
      <c r="I1577">
        <v>1968</v>
      </c>
      <c r="J1577">
        <v>2196</v>
      </c>
      <c r="K1577">
        <v>2392</v>
      </c>
      <c r="L1577">
        <v>2808</v>
      </c>
      <c r="M1577">
        <v>2808</v>
      </c>
      <c r="N1577" t="s">
        <v>988</v>
      </c>
    </row>
    <row r="1578" spans="1:14" x14ac:dyDescent="0.3">
      <c r="A1578">
        <v>1795</v>
      </c>
      <c r="B1578" t="s">
        <v>1787</v>
      </c>
      <c r="C1578" t="s">
        <v>2256</v>
      </c>
      <c r="D1578" t="s">
        <v>159</v>
      </c>
      <c r="E1578" t="s">
        <v>159</v>
      </c>
      <c r="F1578">
        <v>5536</v>
      </c>
      <c r="G1578" t="s">
        <v>687</v>
      </c>
      <c r="I1578">
        <v>463</v>
      </c>
      <c r="J1578">
        <v>516</v>
      </c>
      <c r="K1578">
        <v>562</v>
      </c>
      <c r="L1578">
        <v>660</v>
      </c>
      <c r="M1578">
        <v>660</v>
      </c>
      <c r="N1578" t="s">
        <v>988</v>
      </c>
    </row>
    <row r="1579" spans="1:14" x14ac:dyDescent="0.3">
      <c r="A1579">
        <v>1797</v>
      </c>
      <c r="B1579" t="s">
        <v>1788</v>
      </c>
      <c r="C1579" t="s">
        <v>2256</v>
      </c>
      <c r="D1579" t="s">
        <v>1203</v>
      </c>
      <c r="E1579" t="s">
        <v>1204</v>
      </c>
      <c r="F1579">
        <v>6744</v>
      </c>
      <c r="G1579" t="s">
        <v>698</v>
      </c>
      <c r="I1579">
        <v>4789.5</v>
      </c>
      <c r="J1579">
        <v>4699.3999999999996</v>
      </c>
      <c r="K1579">
        <v>4653.5</v>
      </c>
      <c r="L1579">
        <v>4559.3999999999996</v>
      </c>
      <c r="M1579">
        <v>4567</v>
      </c>
      <c r="N1579" t="s">
        <v>988</v>
      </c>
    </row>
    <row r="1580" spans="1:14" x14ac:dyDescent="0.3">
      <c r="A1580">
        <v>1797</v>
      </c>
      <c r="B1580" t="s">
        <v>1788</v>
      </c>
      <c r="C1580" t="s">
        <v>2256</v>
      </c>
      <c r="D1580" t="s">
        <v>1203</v>
      </c>
      <c r="E1580" t="s">
        <v>1204</v>
      </c>
      <c r="F1580">
        <v>6744</v>
      </c>
      <c r="G1580" t="s">
        <v>700</v>
      </c>
      <c r="I1580">
        <v>7879</v>
      </c>
      <c r="J1580">
        <v>8913</v>
      </c>
      <c r="K1580">
        <v>9135.5</v>
      </c>
      <c r="L1580">
        <v>9364</v>
      </c>
      <c r="M1580">
        <v>9364</v>
      </c>
      <c r="N1580" t="s">
        <v>988</v>
      </c>
    </row>
    <row r="1581" spans="1:14" x14ac:dyDescent="0.3">
      <c r="A1581">
        <v>1797</v>
      </c>
      <c r="B1581" t="s">
        <v>1788</v>
      </c>
      <c r="C1581" t="s">
        <v>2256</v>
      </c>
      <c r="D1581" t="s">
        <v>1203</v>
      </c>
      <c r="E1581" t="s">
        <v>1204</v>
      </c>
      <c r="F1581">
        <v>6744</v>
      </c>
      <c r="G1581" t="s">
        <v>703</v>
      </c>
      <c r="I1581">
        <v>509</v>
      </c>
      <c r="J1581">
        <v>575.4</v>
      </c>
      <c r="K1581">
        <v>590</v>
      </c>
      <c r="L1581">
        <v>604</v>
      </c>
      <c r="M1581">
        <v>604</v>
      </c>
      <c r="N1581" t="s">
        <v>988</v>
      </c>
    </row>
    <row r="1582" spans="1:14" x14ac:dyDescent="0.3">
      <c r="A1582">
        <v>1797</v>
      </c>
      <c r="B1582" t="s">
        <v>1788</v>
      </c>
      <c r="C1582" t="s">
        <v>2256</v>
      </c>
      <c r="D1582" t="s">
        <v>1203</v>
      </c>
      <c r="E1582" t="s">
        <v>1204</v>
      </c>
      <c r="F1582">
        <v>6744</v>
      </c>
      <c r="G1582" t="s">
        <v>702</v>
      </c>
      <c r="I1582">
        <v>190</v>
      </c>
      <c r="J1582">
        <v>190</v>
      </c>
      <c r="K1582">
        <v>190</v>
      </c>
      <c r="L1582">
        <v>190</v>
      </c>
      <c r="M1582">
        <v>190</v>
      </c>
      <c r="N1582" t="s">
        <v>988</v>
      </c>
    </row>
    <row r="1583" spans="1:14" x14ac:dyDescent="0.3">
      <c r="A1583">
        <v>1797</v>
      </c>
      <c r="B1583" t="s">
        <v>1788</v>
      </c>
      <c r="C1583" t="s">
        <v>2256</v>
      </c>
      <c r="D1583" t="s">
        <v>1203</v>
      </c>
      <c r="E1583" t="s">
        <v>1204</v>
      </c>
      <c r="F1583">
        <v>6744</v>
      </c>
      <c r="G1583" t="s">
        <v>696</v>
      </c>
      <c r="I1583">
        <v>11780.5</v>
      </c>
      <c r="J1583">
        <v>11602</v>
      </c>
      <c r="K1583">
        <v>11427</v>
      </c>
      <c r="L1583">
        <v>11259.4</v>
      </c>
      <c r="M1583">
        <v>11203</v>
      </c>
      <c r="N1583" t="s">
        <v>988</v>
      </c>
    </row>
    <row r="1584" spans="1:14" x14ac:dyDescent="0.3">
      <c r="A1584">
        <v>1797</v>
      </c>
      <c r="B1584" t="s">
        <v>1788</v>
      </c>
      <c r="C1584" t="s">
        <v>2256</v>
      </c>
      <c r="D1584" t="s">
        <v>1203</v>
      </c>
      <c r="E1584" t="s">
        <v>1204</v>
      </c>
      <c r="F1584">
        <v>6744</v>
      </c>
      <c r="G1584" t="s">
        <v>686</v>
      </c>
      <c r="H1584" t="s">
        <v>1227</v>
      </c>
      <c r="I1584">
        <v>2085</v>
      </c>
      <c r="J1584">
        <v>2153</v>
      </c>
      <c r="K1584">
        <v>2155</v>
      </c>
      <c r="L1584">
        <v>2153</v>
      </c>
      <c r="M1584">
        <v>2149</v>
      </c>
      <c r="N1584" t="s">
        <v>988</v>
      </c>
    </row>
    <row r="1585" spans="1:14" x14ac:dyDescent="0.3">
      <c r="A1585">
        <v>1803</v>
      </c>
      <c r="B1585" t="s">
        <v>1789</v>
      </c>
      <c r="C1585" t="s">
        <v>2256</v>
      </c>
      <c r="D1585" t="s">
        <v>1203</v>
      </c>
      <c r="E1585" t="s">
        <v>1204</v>
      </c>
      <c r="F1585">
        <v>5880</v>
      </c>
      <c r="G1585" t="s">
        <v>700</v>
      </c>
      <c r="H1585" t="s">
        <v>1790</v>
      </c>
      <c r="I1585">
        <v>168</v>
      </c>
      <c r="J1585">
        <v>171</v>
      </c>
      <c r="K1585">
        <v>178</v>
      </c>
      <c r="L1585">
        <v>178</v>
      </c>
      <c r="N1585" t="s">
        <v>988</v>
      </c>
    </row>
    <row r="1586" spans="1:14" x14ac:dyDescent="0.3">
      <c r="A1586">
        <v>1803</v>
      </c>
      <c r="B1586" t="s">
        <v>1789</v>
      </c>
      <c r="C1586" t="s">
        <v>2256</v>
      </c>
      <c r="D1586" t="s">
        <v>1203</v>
      </c>
      <c r="E1586" t="s">
        <v>1204</v>
      </c>
      <c r="F1586">
        <v>5880</v>
      </c>
      <c r="G1586" t="s">
        <v>698</v>
      </c>
      <c r="I1586">
        <v>298</v>
      </c>
      <c r="J1586">
        <v>302</v>
      </c>
      <c r="K1586">
        <v>313</v>
      </c>
      <c r="L1586">
        <v>317</v>
      </c>
      <c r="N1586" t="s">
        <v>988</v>
      </c>
    </row>
    <row r="1587" spans="1:14" x14ac:dyDescent="0.3">
      <c r="A1587">
        <v>1803</v>
      </c>
      <c r="B1587" t="s">
        <v>1789</v>
      </c>
      <c r="C1587" t="s">
        <v>2256</v>
      </c>
      <c r="D1587" t="s">
        <v>1203</v>
      </c>
      <c r="E1587" t="s">
        <v>1204</v>
      </c>
      <c r="F1587">
        <v>5880</v>
      </c>
      <c r="G1587" t="s">
        <v>701</v>
      </c>
      <c r="I1587">
        <v>180</v>
      </c>
      <c r="J1587">
        <v>180</v>
      </c>
      <c r="K1587">
        <v>180</v>
      </c>
      <c r="L1587">
        <v>180</v>
      </c>
      <c r="N1587" t="s">
        <v>988</v>
      </c>
    </row>
    <row r="1588" spans="1:14" x14ac:dyDescent="0.3">
      <c r="A1588">
        <v>1803</v>
      </c>
      <c r="B1588" t="s">
        <v>1789</v>
      </c>
      <c r="C1588" t="s">
        <v>2256</v>
      </c>
      <c r="D1588" t="s">
        <v>1203</v>
      </c>
      <c r="E1588" t="s">
        <v>1204</v>
      </c>
      <c r="F1588">
        <v>5880</v>
      </c>
      <c r="G1588" t="s">
        <v>702</v>
      </c>
      <c r="I1588">
        <v>43</v>
      </c>
      <c r="J1588">
        <v>51</v>
      </c>
      <c r="K1588">
        <v>60</v>
      </c>
      <c r="L1588">
        <v>60</v>
      </c>
      <c r="N1588" t="s">
        <v>988</v>
      </c>
    </row>
    <row r="1589" spans="1:14" x14ac:dyDescent="0.3">
      <c r="A1589">
        <v>1803</v>
      </c>
      <c r="B1589" t="s">
        <v>1789</v>
      </c>
      <c r="C1589" t="s">
        <v>2256</v>
      </c>
      <c r="D1589" t="s">
        <v>1203</v>
      </c>
      <c r="E1589" t="s">
        <v>1204</v>
      </c>
      <c r="F1589">
        <v>5880</v>
      </c>
      <c r="G1589" t="s">
        <v>696</v>
      </c>
      <c r="I1589">
        <v>2755</v>
      </c>
      <c r="J1589">
        <v>2791</v>
      </c>
      <c r="K1589">
        <v>2756</v>
      </c>
      <c r="L1589">
        <v>2828</v>
      </c>
      <c r="N1589" t="s">
        <v>988</v>
      </c>
    </row>
    <row r="1590" spans="1:14" x14ac:dyDescent="0.3">
      <c r="A1590">
        <v>1803</v>
      </c>
      <c r="B1590" t="s">
        <v>1789</v>
      </c>
      <c r="C1590" t="s">
        <v>2256</v>
      </c>
      <c r="D1590" t="s">
        <v>1203</v>
      </c>
      <c r="E1590" t="s">
        <v>1204</v>
      </c>
      <c r="F1590">
        <v>5880</v>
      </c>
      <c r="G1590" t="s">
        <v>687</v>
      </c>
      <c r="H1590" t="s">
        <v>1227</v>
      </c>
      <c r="I1590">
        <v>178</v>
      </c>
      <c r="J1590">
        <v>182</v>
      </c>
      <c r="K1590">
        <v>183</v>
      </c>
      <c r="L1590">
        <v>188</v>
      </c>
      <c r="N1590" t="s">
        <v>988</v>
      </c>
    </row>
    <row r="1591" spans="1:14" x14ac:dyDescent="0.3">
      <c r="A1591">
        <v>1803</v>
      </c>
      <c r="B1591" t="s">
        <v>1789</v>
      </c>
      <c r="C1591" t="s">
        <v>2256</v>
      </c>
      <c r="D1591" t="s">
        <v>1203</v>
      </c>
      <c r="E1591" t="s">
        <v>1204</v>
      </c>
      <c r="F1591">
        <v>5880</v>
      </c>
      <c r="G1591" t="s">
        <v>684</v>
      </c>
      <c r="I1591">
        <v>101</v>
      </c>
      <c r="J1591">
        <v>101</v>
      </c>
      <c r="K1591">
        <v>101</v>
      </c>
      <c r="L1591">
        <v>101</v>
      </c>
      <c r="N1591" t="s">
        <v>988</v>
      </c>
    </row>
    <row r="1592" spans="1:14" x14ac:dyDescent="0.3">
      <c r="A1592">
        <v>1804</v>
      </c>
      <c r="B1592" t="s">
        <v>1791</v>
      </c>
      <c r="C1592" t="s">
        <v>2256</v>
      </c>
      <c r="D1592" t="s">
        <v>159</v>
      </c>
      <c r="E1592" t="s">
        <v>159</v>
      </c>
      <c r="F1592">
        <v>7865</v>
      </c>
      <c r="G1592" t="s">
        <v>700</v>
      </c>
      <c r="I1592">
        <v>226</v>
      </c>
      <c r="J1592">
        <v>228</v>
      </c>
      <c r="K1592">
        <v>231</v>
      </c>
      <c r="L1592">
        <v>234</v>
      </c>
      <c r="N1592" t="s">
        <v>988</v>
      </c>
    </row>
    <row r="1593" spans="1:14" x14ac:dyDescent="0.3">
      <c r="A1593">
        <v>1804</v>
      </c>
      <c r="B1593" t="s">
        <v>1791</v>
      </c>
      <c r="C1593" t="s">
        <v>2256</v>
      </c>
      <c r="D1593" t="s">
        <v>159</v>
      </c>
      <c r="E1593" t="s">
        <v>159</v>
      </c>
      <c r="F1593">
        <v>7865</v>
      </c>
      <c r="G1593" t="s">
        <v>686</v>
      </c>
      <c r="I1593">
        <v>171</v>
      </c>
      <c r="J1593">
        <v>173</v>
      </c>
      <c r="K1593">
        <v>175</v>
      </c>
      <c r="L1593">
        <v>177</v>
      </c>
      <c r="N1593" t="s">
        <v>988</v>
      </c>
    </row>
    <row r="1594" spans="1:14" x14ac:dyDescent="0.3">
      <c r="A1594">
        <v>1804</v>
      </c>
      <c r="B1594" t="s">
        <v>1791</v>
      </c>
      <c r="C1594" t="s">
        <v>2256</v>
      </c>
      <c r="D1594" t="s">
        <v>159</v>
      </c>
      <c r="E1594" t="s">
        <v>159</v>
      </c>
      <c r="F1594">
        <v>7865</v>
      </c>
      <c r="G1594" t="s">
        <v>696</v>
      </c>
      <c r="I1594">
        <v>1596</v>
      </c>
      <c r="J1594">
        <v>1616</v>
      </c>
      <c r="K1594">
        <v>1636</v>
      </c>
      <c r="L1594">
        <v>1656</v>
      </c>
      <c r="N1594" t="s">
        <v>988</v>
      </c>
    </row>
    <row r="1595" spans="1:14" x14ac:dyDescent="0.3">
      <c r="A1595">
        <v>1821</v>
      </c>
      <c r="B1595" t="s">
        <v>1792</v>
      </c>
      <c r="C1595" t="s">
        <v>2256</v>
      </c>
      <c r="D1595" t="s">
        <v>159</v>
      </c>
      <c r="E1595" t="s">
        <v>159</v>
      </c>
      <c r="F1595">
        <v>7982</v>
      </c>
      <c r="G1595" t="s">
        <v>686</v>
      </c>
      <c r="I1595">
        <v>1589</v>
      </c>
      <c r="J1595">
        <v>1722</v>
      </c>
      <c r="K1595">
        <v>1907</v>
      </c>
      <c r="L1595">
        <v>1788</v>
      </c>
      <c r="M1595">
        <v>1987</v>
      </c>
      <c r="N1595" t="s">
        <v>988</v>
      </c>
    </row>
    <row r="1596" spans="1:14" x14ac:dyDescent="0.3">
      <c r="A1596">
        <v>1821</v>
      </c>
      <c r="B1596" t="s">
        <v>1792</v>
      </c>
      <c r="C1596" t="s">
        <v>2256</v>
      </c>
      <c r="D1596" t="s">
        <v>159</v>
      </c>
      <c r="E1596" t="s">
        <v>159</v>
      </c>
      <c r="F1596">
        <v>7982</v>
      </c>
      <c r="G1596" t="s">
        <v>691</v>
      </c>
      <c r="H1596" t="s">
        <v>2385</v>
      </c>
      <c r="I1596">
        <v>1788</v>
      </c>
      <c r="J1596">
        <v>1788</v>
      </c>
      <c r="K1596">
        <v>1788</v>
      </c>
      <c r="L1596">
        <v>1788</v>
      </c>
      <c r="M1596">
        <v>1788</v>
      </c>
      <c r="N1596" t="s">
        <v>988</v>
      </c>
    </row>
    <row r="1597" spans="1:14" x14ac:dyDescent="0.3">
      <c r="A1597">
        <v>1821</v>
      </c>
      <c r="B1597" t="s">
        <v>1792</v>
      </c>
      <c r="C1597" t="s">
        <v>2256</v>
      </c>
      <c r="D1597" t="s">
        <v>159</v>
      </c>
      <c r="E1597" t="s">
        <v>159</v>
      </c>
      <c r="F1597">
        <v>7982</v>
      </c>
      <c r="G1597" t="s">
        <v>691</v>
      </c>
      <c r="H1597" t="s">
        <v>1303</v>
      </c>
      <c r="I1597">
        <v>311</v>
      </c>
      <c r="J1597">
        <v>351</v>
      </c>
      <c r="K1597">
        <v>418</v>
      </c>
      <c r="L1597">
        <v>485</v>
      </c>
      <c r="M1597">
        <v>521</v>
      </c>
      <c r="N1597" t="s">
        <v>988</v>
      </c>
    </row>
    <row r="1598" spans="1:14" x14ac:dyDescent="0.3">
      <c r="A1598">
        <v>1821</v>
      </c>
      <c r="B1598" t="s">
        <v>1792</v>
      </c>
      <c r="C1598" t="s">
        <v>2256</v>
      </c>
      <c r="D1598" t="s">
        <v>159</v>
      </c>
      <c r="E1598" t="s">
        <v>159</v>
      </c>
      <c r="F1598">
        <v>7982</v>
      </c>
      <c r="G1598" t="s">
        <v>698</v>
      </c>
      <c r="I1598">
        <v>4101</v>
      </c>
      <c r="J1598">
        <v>4853</v>
      </c>
      <c r="K1598">
        <v>5189</v>
      </c>
      <c r="L1598">
        <v>6010</v>
      </c>
      <c r="M1598">
        <v>7618</v>
      </c>
      <c r="N1598" t="s">
        <v>988</v>
      </c>
    </row>
    <row r="1599" spans="1:14" x14ac:dyDescent="0.3">
      <c r="A1599">
        <v>1821</v>
      </c>
      <c r="B1599" t="s">
        <v>1792</v>
      </c>
      <c r="C1599" t="s">
        <v>2256</v>
      </c>
      <c r="D1599" t="s">
        <v>159</v>
      </c>
      <c r="E1599" t="s">
        <v>159</v>
      </c>
      <c r="F1599">
        <v>7982</v>
      </c>
      <c r="G1599" t="s">
        <v>700</v>
      </c>
      <c r="H1599" t="s">
        <v>2386</v>
      </c>
      <c r="I1599">
        <v>5129</v>
      </c>
      <c r="J1599">
        <v>5803</v>
      </c>
      <c r="K1599">
        <v>6892</v>
      </c>
      <c r="L1599">
        <v>7990</v>
      </c>
      <c r="M1599">
        <v>8608</v>
      </c>
      <c r="N1599" t="s">
        <v>988</v>
      </c>
    </row>
    <row r="1600" spans="1:14" x14ac:dyDescent="0.3">
      <c r="A1600">
        <v>1821</v>
      </c>
      <c r="B1600" t="s">
        <v>1792</v>
      </c>
      <c r="C1600" t="s">
        <v>2256</v>
      </c>
      <c r="D1600" t="s">
        <v>159</v>
      </c>
      <c r="E1600" t="s">
        <v>159</v>
      </c>
      <c r="F1600">
        <v>7982</v>
      </c>
      <c r="G1600" t="s">
        <v>696</v>
      </c>
      <c r="I1600">
        <v>16482</v>
      </c>
      <c r="J1600">
        <v>16619</v>
      </c>
      <c r="K1600">
        <v>16879</v>
      </c>
      <c r="L1600">
        <v>17373</v>
      </c>
      <c r="M1600">
        <v>17920</v>
      </c>
      <c r="N1600" t="s">
        <v>988</v>
      </c>
    </row>
    <row r="1601" spans="1:14" x14ac:dyDescent="0.3">
      <c r="A1601">
        <v>1821</v>
      </c>
      <c r="B1601" t="s">
        <v>1792</v>
      </c>
      <c r="C1601" t="s">
        <v>2256</v>
      </c>
      <c r="D1601" t="s">
        <v>159</v>
      </c>
      <c r="E1601" t="s">
        <v>159</v>
      </c>
      <c r="F1601">
        <v>7982</v>
      </c>
      <c r="G1601" t="s">
        <v>702</v>
      </c>
      <c r="I1601">
        <v>4065</v>
      </c>
      <c r="J1601">
        <v>4600</v>
      </c>
      <c r="K1601">
        <v>5463</v>
      </c>
      <c r="L1601">
        <v>6333</v>
      </c>
      <c r="M1601">
        <v>6823</v>
      </c>
      <c r="N1601" t="s">
        <v>988</v>
      </c>
    </row>
    <row r="1602" spans="1:14" x14ac:dyDescent="0.3">
      <c r="A1602">
        <v>1827</v>
      </c>
      <c r="B1602" t="s">
        <v>1794</v>
      </c>
      <c r="C1602" t="s">
        <v>2256</v>
      </c>
      <c r="D1602" t="s">
        <v>1203</v>
      </c>
      <c r="E1602" t="s">
        <v>1204</v>
      </c>
      <c r="F1602">
        <v>5837</v>
      </c>
      <c r="G1602" t="s">
        <v>1497</v>
      </c>
      <c r="H1602" t="s">
        <v>1795</v>
      </c>
      <c r="I1602">
        <v>917</v>
      </c>
      <c r="J1602">
        <v>1857</v>
      </c>
      <c r="K1602">
        <v>2704</v>
      </c>
      <c r="L1602">
        <v>3581</v>
      </c>
      <c r="M1602">
        <v>3581</v>
      </c>
      <c r="N1602" t="s">
        <v>988</v>
      </c>
    </row>
    <row r="1603" spans="1:14" x14ac:dyDescent="0.3">
      <c r="A1603">
        <v>1827</v>
      </c>
      <c r="B1603" t="s">
        <v>1794</v>
      </c>
      <c r="C1603" t="s">
        <v>2256</v>
      </c>
      <c r="D1603" t="s">
        <v>1203</v>
      </c>
      <c r="E1603" t="s">
        <v>1204</v>
      </c>
      <c r="F1603">
        <v>5837</v>
      </c>
      <c r="G1603" t="s">
        <v>686</v>
      </c>
      <c r="I1603">
        <v>2636</v>
      </c>
      <c r="J1603">
        <v>2676</v>
      </c>
      <c r="K1603">
        <v>2723</v>
      </c>
      <c r="L1603">
        <v>2768</v>
      </c>
      <c r="M1603">
        <v>2813</v>
      </c>
      <c r="N1603" t="s">
        <v>988</v>
      </c>
    </row>
    <row r="1604" spans="1:14" x14ac:dyDescent="0.3">
      <c r="A1604">
        <v>1827</v>
      </c>
      <c r="B1604" t="s">
        <v>1794</v>
      </c>
      <c r="C1604" t="s">
        <v>2256</v>
      </c>
      <c r="D1604" t="s">
        <v>1203</v>
      </c>
      <c r="E1604" t="s">
        <v>1204</v>
      </c>
      <c r="F1604">
        <v>5837</v>
      </c>
      <c r="G1604" t="s">
        <v>687</v>
      </c>
      <c r="H1604" t="s">
        <v>1796</v>
      </c>
      <c r="I1604">
        <v>35</v>
      </c>
      <c r="J1604">
        <v>35</v>
      </c>
      <c r="K1604">
        <v>36</v>
      </c>
      <c r="L1604">
        <v>37</v>
      </c>
      <c r="M1604">
        <v>37</v>
      </c>
      <c r="N1604" t="s">
        <v>988</v>
      </c>
    </row>
    <row r="1605" spans="1:14" x14ac:dyDescent="0.3">
      <c r="A1605">
        <v>1827</v>
      </c>
      <c r="B1605" t="s">
        <v>1794</v>
      </c>
      <c r="C1605" t="s">
        <v>2256</v>
      </c>
      <c r="D1605" t="s">
        <v>1203</v>
      </c>
      <c r="E1605" t="s">
        <v>1204</v>
      </c>
      <c r="F1605">
        <v>5837</v>
      </c>
      <c r="G1605" t="s">
        <v>684</v>
      </c>
      <c r="I1605">
        <v>1221</v>
      </c>
      <c r="J1605">
        <v>1239</v>
      </c>
      <c r="K1605">
        <v>1261</v>
      </c>
      <c r="L1605">
        <v>1281</v>
      </c>
      <c r="M1605">
        <v>1302</v>
      </c>
      <c r="N1605" t="s">
        <v>988</v>
      </c>
    </row>
    <row r="1606" spans="1:14" x14ac:dyDescent="0.3">
      <c r="A1606">
        <v>1827</v>
      </c>
      <c r="B1606" t="s">
        <v>1794</v>
      </c>
      <c r="C1606" t="s">
        <v>2256</v>
      </c>
      <c r="D1606" t="s">
        <v>1203</v>
      </c>
      <c r="E1606" t="s">
        <v>1204</v>
      </c>
      <c r="F1606">
        <v>5837</v>
      </c>
      <c r="G1606" t="s">
        <v>696</v>
      </c>
      <c r="I1606">
        <v>9939</v>
      </c>
      <c r="J1606">
        <v>10091</v>
      </c>
      <c r="K1606">
        <v>10266</v>
      </c>
      <c r="L1606">
        <v>10436</v>
      </c>
      <c r="M1606">
        <v>10604</v>
      </c>
      <c r="N1606" t="s">
        <v>988</v>
      </c>
    </row>
    <row r="1607" spans="1:14" x14ac:dyDescent="0.3">
      <c r="A1607">
        <v>1827</v>
      </c>
      <c r="B1607" t="s">
        <v>1794</v>
      </c>
      <c r="C1607" t="s">
        <v>2256</v>
      </c>
      <c r="D1607" t="s">
        <v>1203</v>
      </c>
      <c r="E1607" t="s">
        <v>1204</v>
      </c>
      <c r="F1607">
        <v>5837</v>
      </c>
      <c r="G1607" t="s">
        <v>700</v>
      </c>
      <c r="I1607">
        <v>4215</v>
      </c>
      <c r="J1607">
        <v>4279</v>
      </c>
      <c r="K1607">
        <v>4354</v>
      </c>
      <c r="L1607">
        <v>4425</v>
      </c>
      <c r="M1607">
        <v>4497</v>
      </c>
      <c r="N1607" t="s">
        <v>988</v>
      </c>
    </row>
    <row r="1608" spans="1:14" x14ac:dyDescent="0.3">
      <c r="A1608">
        <v>1827</v>
      </c>
      <c r="B1608" t="s">
        <v>1794</v>
      </c>
      <c r="C1608" t="s">
        <v>2256</v>
      </c>
      <c r="D1608" t="s">
        <v>1203</v>
      </c>
      <c r="E1608" t="s">
        <v>1204</v>
      </c>
      <c r="F1608">
        <v>5837</v>
      </c>
      <c r="G1608" t="s">
        <v>701</v>
      </c>
      <c r="I1608">
        <v>2507</v>
      </c>
      <c r="J1608">
        <v>2545</v>
      </c>
      <c r="K1608">
        <v>2590</v>
      </c>
      <c r="L1608">
        <v>2632</v>
      </c>
      <c r="M1608">
        <v>2675</v>
      </c>
      <c r="N1608" t="s">
        <v>988</v>
      </c>
    </row>
    <row r="1609" spans="1:14" x14ac:dyDescent="0.3">
      <c r="A1609">
        <v>1827</v>
      </c>
      <c r="B1609" t="s">
        <v>1794</v>
      </c>
      <c r="C1609" t="s">
        <v>2256</v>
      </c>
      <c r="D1609" t="s">
        <v>1203</v>
      </c>
      <c r="E1609" t="s">
        <v>1204</v>
      </c>
      <c r="F1609">
        <v>5837</v>
      </c>
      <c r="G1609" t="s">
        <v>702</v>
      </c>
      <c r="I1609">
        <v>3282</v>
      </c>
      <c r="J1609">
        <v>3331</v>
      </c>
      <c r="K1609">
        <v>3390</v>
      </c>
      <c r="L1609">
        <v>3445</v>
      </c>
      <c r="M1609">
        <v>3501</v>
      </c>
      <c r="N1609" t="s">
        <v>988</v>
      </c>
    </row>
    <row r="1610" spans="1:14" x14ac:dyDescent="0.3">
      <c r="A1610">
        <v>1827</v>
      </c>
      <c r="B1610" t="s">
        <v>1794</v>
      </c>
      <c r="C1610" t="s">
        <v>2256</v>
      </c>
      <c r="D1610" t="s">
        <v>1203</v>
      </c>
      <c r="E1610" t="s">
        <v>1204</v>
      </c>
      <c r="F1610">
        <v>5837</v>
      </c>
      <c r="G1610" t="s">
        <v>698</v>
      </c>
      <c r="I1610">
        <v>4067</v>
      </c>
      <c r="J1610">
        <v>4128</v>
      </c>
      <c r="K1610">
        <v>4200</v>
      </c>
      <c r="L1610">
        <v>4269</v>
      </c>
      <c r="M1610">
        <v>4339</v>
      </c>
      <c r="N1610" t="s">
        <v>988</v>
      </c>
    </row>
    <row r="1611" spans="1:14" x14ac:dyDescent="0.3">
      <c r="A1611">
        <v>1838</v>
      </c>
      <c r="B1611" t="s">
        <v>1797</v>
      </c>
      <c r="C1611" t="s">
        <v>2256</v>
      </c>
      <c r="D1611" t="s">
        <v>1203</v>
      </c>
      <c r="E1611" t="s">
        <v>1204</v>
      </c>
      <c r="F1611">
        <v>5805</v>
      </c>
      <c r="G1611" t="s">
        <v>703</v>
      </c>
      <c r="I1611">
        <v>188</v>
      </c>
      <c r="J1611">
        <v>190.91338348211099</v>
      </c>
      <c r="K1611">
        <v>194</v>
      </c>
      <c r="L1611">
        <v>196.29137198255199</v>
      </c>
      <c r="M1611">
        <v>199</v>
      </c>
      <c r="N1611" t="s">
        <v>988</v>
      </c>
    </row>
    <row r="1612" spans="1:14" x14ac:dyDescent="0.3">
      <c r="A1612">
        <v>1838</v>
      </c>
      <c r="B1612" t="s">
        <v>1797</v>
      </c>
      <c r="C1612" t="s">
        <v>2256</v>
      </c>
      <c r="D1612" t="s">
        <v>1203</v>
      </c>
      <c r="E1612" t="s">
        <v>1204</v>
      </c>
      <c r="F1612">
        <v>5805</v>
      </c>
      <c r="G1612" t="s">
        <v>702</v>
      </c>
      <c r="I1612">
        <v>357</v>
      </c>
      <c r="J1612">
        <v>578.50431675667198</v>
      </c>
      <c r="K1612">
        <v>730</v>
      </c>
      <c r="L1612">
        <v>817</v>
      </c>
      <c r="M1612">
        <v>822</v>
      </c>
      <c r="N1612" t="s">
        <v>988</v>
      </c>
    </row>
    <row r="1613" spans="1:14" x14ac:dyDescent="0.3">
      <c r="A1613">
        <v>1838</v>
      </c>
      <c r="B1613" t="s">
        <v>1797</v>
      </c>
      <c r="C1613" t="s">
        <v>2256</v>
      </c>
      <c r="D1613" t="s">
        <v>1203</v>
      </c>
      <c r="E1613" t="s">
        <v>1204</v>
      </c>
      <c r="F1613">
        <v>5805</v>
      </c>
      <c r="G1613" t="s">
        <v>700</v>
      </c>
      <c r="I1613">
        <v>1398</v>
      </c>
      <c r="J1613">
        <v>1465.06963652789</v>
      </c>
      <c r="K1613">
        <v>1525</v>
      </c>
      <c r="L1613">
        <v>1585.35552020927</v>
      </c>
      <c r="M1613">
        <v>1644.52238204996</v>
      </c>
      <c r="N1613" t="s">
        <v>988</v>
      </c>
    </row>
    <row r="1614" spans="1:14" x14ac:dyDescent="0.3">
      <c r="A1614">
        <v>1838</v>
      </c>
      <c r="B1614" t="s">
        <v>1797</v>
      </c>
      <c r="C1614" t="s">
        <v>2256</v>
      </c>
      <c r="D1614" t="s">
        <v>1203</v>
      </c>
      <c r="E1614" t="s">
        <v>1204</v>
      </c>
      <c r="F1614">
        <v>5805</v>
      </c>
      <c r="G1614" t="s">
        <v>687</v>
      </c>
      <c r="H1614" t="s">
        <v>1393</v>
      </c>
      <c r="I1614">
        <v>7438</v>
      </c>
      <c r="J1614">
        <v>8216.5268921013503</v>
      </c>
      <c r="K1614">
        <v>9004</v>
      </c>
      <c r="L1614">
        <v>9683.0382897092695</v>
      </c>
      <c r="M1614">
        <v>10069.558788513201</v>
      </c>
      <c r="N1614" t="s">
        <v>988</v>
      </c>
    </row>
    <row r="1615" spans="1:14" x14ac:dyDescent="0.3">
      <c r="A1615">
        <v>1838</v>
      </c>
      <c r="B1615" t="s">
        <v>1797</v>
      </c>
      <c r="C1615" t="s">
        <v>2256</v>
      </c>
      <c r="D1615" t="s">
        <v>1203</v>
      </c>
      <c r="E1615" t="s">
        <v>1204</v>
      </c>
      <c r="F1615">
        <v>5805</v>
      </c>
      <c r="G1615" t="s">
        <v>686</v>
      </c>
      <c r="I1615">
        <v>442</v>
      </c>
      <c r="J1615">
        <v>449</v>
      </c>
      <c r="K1615">
        <v>455</v>
      </c>
      <c r="L1615">
        <v>461</v>
      </c>
      <c r="M1615">
        <v>468</v>
      </c>
      <c r="N1615" t="s">
        <v>988</v>
      </c>
    </row>
    <row r="1616" spans="1:14" x14ac:dyDescent="0.3">
      <c r="A1616">
        <v>1838</v>
      </c>
      <c r="B1616" t="s">
        <v>1797</v>
      </c>
      <c r="C1616" t="s">
        <v>2256</v>
      </c>
      <c r="D1616" t="s">
        <v>1203</v>
      </c>
      <c r="E1616" t="s">
        <v>1204</v>
      </c>
      <c r="F1616">
        <v>5805</v>
      </c>
      <c r="G1616" t="s">
        <v>691</v>
      </c>
      <c r="H1616" t="s">
        <v>2387</v>
      </c>
      <c r="I1616">
        <v>2388</v>
      </c>
      <c r="J1616">
        <v>2388</v>
      </c>
      <c r="K1616">
        <v>2388</v>
      </c>
      <c r="L1616">
        <v>2388</v>
      </c>
      <c r="M1616">
        <v>2388</v>
      </c>
      <c r="N1616" t="s">
        <v>988</v>
      </c>
    </row>
    <row r="1617" spans="1:14" x14ac:dyDescent="0.3">
      <c r="A1617">
        <v>1838</v>
      </c>
      <c r="B1617" t="s">
        <v>1797</v>
      </c>
      <c r="C1617" t="s">
        <v>2256</v>
      </c>
      <c r="D1617" t="s">
        <v>1203</v>
      </c>
      <c r="E1617" t="s">
        <v>1204</v>
      </c>
      <c r="F1617">
        <v>5805</v>
      </c>
      <c r="G1617" t="s">
        <v>691</v>
      </c>
      <c r="H1617" t="s">
        <v>2388</v>
      </c>
      <c r="I1617">
        <v>127</v>
      </c>
      <c r="J1617">
        <v>137</v>
      </c>
      <c r="K1617">
        <v>146</v>
      </c>
      <c r="L1617">
        <v>156</v>
      </c>
      <c r="M1617">
        <v>166</v>
      </c>
      <c r="N1617" t="s">
        <v>988</v>
      </c>
    </row>
    <row r="1618" spans="1:14" x14ac:dyDescent="0.3">
      <c r="A1618">
        <v>1838</v>
      </c>
      <c r="B1618" t="s">
        <v>1797</v>
      </c>
      <c r="C1618" t="s">
        <v>2256</v>
      </c>
      <c r="D1618" t="s">
        <v>1203</v>
      </c>
      <c r="E1618" t="s">
        <v>1204</v>
      </c>
      <c r="F1618">
        <v>5805</v>
      </c>
      <c r="G1618" t="s">
        <v>684</v>
      </c>
      <c r="I1618">
        <v>104</v>
      </c>
      <c r="J1618">
        <v>161</v>
      </c>
      <c r="K1618">
        <v>181</v>
      </c>
      <c r="L1618">
        <v>186</v>
      </c>
      <c r="M1618">
        <v>187</v>
      </c>
      <c r="N1618" t="s">
        <v>988</v>
      </c>
    </row>
    <row r="1619" spans="1:14" x14ac:dyDescent="0.3">
      <c r="A1619">
        <v>1849</v>
      </c>
      <c r="B1619" t="s">
        <v>960</v>
      </c>
      <c r="C1619" t="s">
        <v>2256</v>
      </c>
      <c r="D1619" t="s">
        <v>1203</v>
      </c>
      <c r="E1619" t="s">
        <v>1204</v>
      </c>
      <c r="F1619">
        <v>5733</v>
      </c>
      <c r="G1619" t="s">
        <v>698</v>
      </c>
      <c r="I1619">
        <v>1450</v>
      </c>
      <c r="J1619">
        <v>1480</v>
      </c>
      <c r="K1619">
        <v>1560</v>
      </c>
      <c r="L1619">
        <v>1640</v>
      </c>
      <c r="M1619">
        <v>1730</v>
      </c>
      <c r="N1619" t="s">
        <v>988</v>
      </c>
    </row>
    <row r="1620" spans="1:14" x14ac:dyDescent="0.3">
      <c r="A1620">
        <v>1849</v>
      </c>
      <c r="B1620" t="s">
        <v>960</v>
      </c>
      <c r="C1620" t="s">
        <v>2256</v>
      </c>
      <c r="D1620" t="s">
        <v>1203</v>
      </c>
      <c r="E1620" t="s">
        <v>1204</v>
      </c>
      <c r="F1620">
        <v>5733</v>
      </c>
      <c r="G1620" t="s">
        <v>687</v>
      </c>
      <c r="H1620" t="s">
        <v>1346</v>
      </c>
      <c r="I1620">
        <v>40</v>
      </c>
      <c r="J1620">
        <v>40</v>
      </c>
      <c r="K1620">
        <v>40</v>
      </c>
      <c r="L1620">
        <v>40</v>
      </c>
      <c r="M1620">
        <v>40</v>
      </c>
      <c r="N1620" t="s">
        <v>988</v>
      </c>
    </row>
    <row r="1621" spans="1:14" x14ac:dyDescent="0.3">
      <c r="A1621">
        <v>1849</v>
      </c>
      <c r="B1621" t="s">
        <v>960</v>
      </c>
      <c r="C1621" t="s">
        <v>2256</v>
      </c>
      <c r="D1621" t="s">
        <v>1203</v>
      </c>
      <c r="E1621" t="s">
        <v>1204</v>
      </c>
      <c r="F1621">
        <v>5733</v>
      </c>
      <c r="G1621" t="s">
        <v>696</v>
      </c>
      <c r="I1621">
        <v>11460</v>
      </c>
      <c r="J1621">
        <v>11730</v>
      </c>
      <c r="K1621">
        <v>12310</v>
      </c>
      <c r="L1621">
        <v>12970</v>
      </c>
      <c r="M1621">
        <v>13660</v>
      </c>
      <c r="N1621" t="s">
        <v>988</v>
      </c>
    </row>
    <row r="1622" spans="1:14" x14ac:dyDescent="0.3">
      <c r="A1622">
        <v>1849</v>
      </c>
      <c r="B1622" t="s">
        <v>960</v>
      </c>
      <c r="C1622" t="s">
        <v>2256</v>
      </c>
      <c r="D1622" t="s">
        <v>1203</v>
      </c>
      <c r="E1622" t="s">
        <v>1204</v>
      </c>
      <c r="F1622">
        <v>5733</v>
      </c>
      <c r="G1622" t="s">
        <v>705</v>
      </c>
      <c r="I1622">
        <v>1300</v>
      </c>
      <c r="J1622">
        <v>1300</v>
      </c>
      <c r="K1622">
        <v>1300</v>
      </c>
      <c r="L1622">
        <v>1300</v>
      </c>
      <c r="M1622">
        <v>1300</v>
      </c>
      <c r="N1622" t="s">
        <v>988</v>
      </c>
    </row>
    <row r="1623" spans="1:14" x14ac:dyDescent="0.3">
      <c r="A1623">
        <v>1849</v>
      </c>
      <c r="B1623" t="s">
        <v>960</v>
      </c>
      <c r="C1623" t="s">
        <v>2256</v>
      </c>
      <c r="D1623" t="s">
        <v>1203</v>
      </c>
      <c r="E1623" t="s">
        <v>1204</v>
      </c>
      <c r="F1623">
        <v>5733</v>
      </c>
      <c r="G1623" t="s">
        <v>702</v>
      </c>
      <c r="I1623">
        <v>1050</v>
      </c>
      <c r="J1623">
        <v>1130</v>
      </c>
      <c r="K1623">
        <v>1300</v>
      </c>
      <c r="L1623">
        <v>1490</v>
      </c>
      <c r="M1623">
        <v>1690</v>
      </c>
      <c r="N1623" t="s">
        <v>988</v>
      </c>
    </row>
    <row r="1624" spans="1:14" x14ac:dyDescent="0.3">
      <c r="A1624">
        <v>1849</v>
      </c>
      <c r="B1624" t="s">
        <v>960</v>
      </c>
      <c r="C1624" t="s">
        <v>2256</v>
      </c>
      <c r="D1624" t="s">
        <v>1203</v>
      </c>
      <c r="E1624" t="s">
        <v>1204</v>
      </c>
      <c r="F1624">
        <v>5733</v>
      </c>
      <c r="G1624" t="s">
        <v>701</v>
      </c>
      <c r="I1624">
        <v>1350</v>
      </c>
      <c r="J1624">
        <v>1390</v>
      </c>
      <c r="K1624">
        <v>1480</v>
      </c>
      <c r="L1624">
        <v>1590</v>
      </c>
      <c r="M1624">
        <v>1700</v>
      </c>
      <c r="N1624" t="s">
        <v>988</v>
      </c>
    </row>
    <row r="1625" spans="1:14" x14ac:dyDescent="0.3">
      <c r="A1625">
        <v>1849</v>
      </c>
      <c r="B1625" t="s">
        <v>960</v>
      </c>
      <c r="C1625" t="s">
        <v>2256</v>
      </c>
      <c r="D1625" t="s">
        <v>1203</v>
      </c>
      <c r="E1625" t="s">
        <v>1204</v>
      </c>
      <c r="F1625">
        <v>5733</v>
      </c>
      <c r="G1625" t="s">
        <v>700</v>
      </c>
      <c r="H1625" t="s">
        <v>2032</v>
      </c>
      <c r="I1625">
        <v>1170</v>
      </c>
      <c r="J1625">
        <v>1240</v>
      </c>
      <c r="K1625">
        <v>1390</v>
      </c>
      <c r="L1625">
        <v>1550</v>
      </c>
      <c r="M1625">
        <v>1730</v>
      </c>
      <c r="N1625" t="s">
        <v>988</v>
      </c>
    </row>
    <row r="1626" spans="1:14" x14ac:dyDescent="0.3">
      <c r="A1626">
        <v>1849</v>
      </c>
      <c r="B1626" t="s">
        <v>960</v>
      </c>
      <c r="C1626" t="s">
        <v>2256</v>
      </c>
      <c r="D1626" t="s">
        <v>1203</v>
      </c>
      <c r="E1626" t="s">
        <v>1204</v>
      </c>
      <c r="F1626">
        <v>5733</v>
      </c>
      <c r="G1626" t="s">
        <v>686</v>
      </c>
      <c r="H1626" t="s">
        <v>1344</v>
      </c>
      <c r="I1626">
        <v>1900</v>
      </c>
      <c r="J1626">
        <v>2000</v>
      </c>
      <c r="K1626">
        <v>2100</v>
      </c>
      <c r="L1626">
        <v>2200</v>
      </c>
      <c r="M1626">
        <v>2400</v>
      </c>
      <c r="N1626" t="s">
        <v>988</v>
      </c>
    </row>
    <row r="1627" spans="1:14" x14ac:dyDescent="0.3">
      <c r="A1627">
        <v>1851</v>
      </c>
      <c r="B1627" t="s">
        <v>1800</v>
      </c>
      <c r="C1627" t="s">
        <v>2256</v>
      </c>
      <c r="D1627" t="s">
        <v>159</v>
      </c>
      <c r="E1627" t="s">
        <v>159</v>
      </c>
      <c r="F1627">
        <v>7787</v>
      </c>
      <c r="G1627" t="s">
        <v>686</v>
      </c>
      <c r="I1627">
        <v>790</v>
      </c>
      <c r="J1627">
        <v>798</v>
      </c>
      <c r="K1627">
        <v>808</v>
      </c>
      <c r="L1627">
        <v>826</v>
      </c>
      <c r="M1627">
        <v>848</v>
      </c>
      <c r="N1627" t="s">
        <v>988</v>
      </c>
    </row>
    <row r="1628" spans="1:14" x14ac:dyDescent="0.3">
      <c r="A1628">
        <v>1851</v>
      </c>
      <c r="B1628" t="s">
        <v>1800</v>
      </c>
      <c r="C1628" t="s">
        <v>2256</v>
      </c>
      <c r="D1628" t="s">
        <v>159</v>
      </c>
      <c r="E1628" t="s">
        <v>159</v>
      </c>
      <c r="F1628">
        <v>7787</v>
      </c>
      <c r="G1628" t="s">
        <v>696</v>
      </c>
      <c r="I1628">
        <v>4796</v>
      </c>
      <c r="J1628">
        <v>4905</v>
      </c>
      <c r="K1628">
        <v>5019</v>
      </c>
      <c r="L1628">
        <v>5163</v>
      </c>
      <c r="M1628">
        <v>5308</v>
      </c>
      <c r="N1628" t="s">
        <v>988</v>
      </c>
    </row>
    <row r="1629" spans="1:14" x14ac:dyDescent="0.3">
      <c r="A1629">
        <v>1851</v>
      </c>
      <c r="B1629" t="s">
        <v>1800</v>
      </c>
      <c r="C1629" t="s">
        <v>2256</v>
      </c>
      <c r="D1629" t="s">
        <v>159</v>
      </c>
      <c r="E1629" t="s">
        <v>159</v>
      </c>
      <c r="F1629">
        <v>7787</v>
      </c>
      <c r="G1629" t="s">
        <v>698</v>
      </c>
      <c r="I1629">
        <v>1837</v>
      </c>
      <c r="J1629">
        <v>1852</v>
      </c>
      <c r="K1629">
        <v>1876</v>
      </c>
      <c r="L1629">
        <v>1913</v>
      </c>
      <c r="M1629">
        <v>1954</v>
      </c>
      <c r="N1629" t="s">
        <v>988</v>
      </c>
    </row>
    <row r="1630" spans="1:14" x14ac:dyDescent="0.3">
      <c r="A1630">
        <v>1851</v>
      </c>
      <c r="B1630" t="s">
        <v>1800</v>
      </c>
      <c r="C1630" t="s">
        <v>2256</v>
      </c>
      <c r="D1630" t="s">
        <v>159</v>
      </c>
      <c r="E1630" t="s">
        <v>159</v>
      </c>
      <c r="F1630">
        <v>7787</v>
      </c>
      <c r="G1630" t="s">
        <v>700</v>
      </c>
      <c r="I1630">
        <v>1763</v>
      </c>
      <c r="J1630">
        <v>1753</v>
      </c>
      <c r="K1630">
        <v>1750</v>
      </c>
      <c r="L1630">
        <v>1753</v>
      </c>
      <c r="M1630">
        <v>1760</v>
      </c>
      <c r="N1630" t="s">
        <v>988</v>
      </c>
    </row>
    <row r="1631" spans="1:14" x14ac:dyDescent="0.3">
      <c r="A1631">
        <v>1851</v>
      </c>
      <c r="B1631" t="s">
        <v>1800</v>
      </c>
      <c r="C1631" t="s">
        <v>2256</v>
      </c>
      <c r="D1631" t="s">
        <v>159</v>
      </c>
      <c r="E1631" t="s">
        <v>159</v>
      </c>
      <c r="F1631">
        <v>7787</v>
      </c>
      <c r="G1631" t="s">
        <v>701</v>
      </c>
      <c r="I1631">
        <v>313</v>
      </c>
      <c r="J1631">
        <v>321</v>
      </c>
      <c r="K1631">
        <v>328</v>
      </c>
      <c r="L1631">
        <v>336</v>
      </c>
      <c r="M1631">
        <v>343</v>
      </c>
      <c r="N1631" t="s">
        <v>988</v>
      </c>
    </row>
    <row r="1632" spans="1:14" x14ac:dyDescent="0.3">
      <c r="A1632">
        <v>1851</v>
      </c>
      <c r="B1632" t="s">
        <v>1800</v>
      </c>
      <c r="C1632" t="s">
        <v>2256</v>
      </c>
      <c r="D1632" t="s">
        <v>159</v>
      </c>
      <c r="E1632" t="s">
        <v>159</v>
      </c>
      <c r="F1632">
        <v>7787</v>
      </c>
      <c r="G1632" t="s">
        <v>703</v>
      </c>
      <c r="I1632">
        <v>717</v>
      </c>
      <c r="J1632">
        <v>748</v>
      </c>
      <c r="K1632">
        <v>779</v>
      </c>
      <c r="L1632">
        <v>812</v>
      </c>
      <c r="M1632">
        <v>843</v>
      </c>
      <c r="N1632" t="s">
        <v>988</v>
      </c>
    </row>
    <row r="1633" spans="1:14" x14ac:dyDescent="0.3">
      <c r="A1633">
        <v>1851</v>
      </c>
      <c r="B1633" t="s">
        <v>1800</v>
      </c>
      <c r="C1633" t="s">
        <v>2256</v>
      </c>
      <c r="D1633" t="s">
        <v>159</v>
      </c>
      <c r="E1633" t="s">
        <v>159</v>
      </c>
      <c r="F1633">
        <v>7787</v>
      </c>
      <c r="G1633" t="s">
        <v>702</v>
      </c>
      <c r="I1633">
        <v>1252</v>
      </c>
      <c r="J1633">
        <v>1282</v>
      </c>
      <c r="K1633">
        <v>1313</v>
      </c>
      <c r="L1633">
        <v>1343</v>
      </c>
      <c r="M1633">
        <v>1374</v>
      </c>
      <c r="N1633" t="s">
        <v>988</v>
      </c>
    </row>
    <row r="1634" spans="1:14" x14ac:dyDescent="0.3">
      <c r="A1634">
        <v>1851</v>
      </c>
      <c r="B1634" t="s">
        <v>1800</v>
      </c>
      <c r="C1634" t="s">
        <v>2256</v>
      </c>
      <c r="D1634" t="s">
        <v>159</v>
      </c>
      <c r="E1634" t="s">
        <v>159</v>
      </c>
      <c r="F1634">
        <v>7787</v>
      </c>
      <c r="G1634" t="s">
        <v>691</v>
      </c>
      <c r="I1634">
        <v>2</v>
      </c>
      <c r="J1634">
        <v>2</v>
      </c>
      <c r="K1634">
        <v>2</v>
      </c>
      <c r="L1634">
        <v>2</v>
      </c>
      <c r="M1634">
        <v>2</v>
      </c>
      <c r="N1634" t="s">
        <v>988</v>
      </c>
    </row>
    <row r="1635" spans="1:14" x14ac:dyDescent="0.3">
      <c r="A1635">
        <v>1859</v>
      </c>
      <c r="B1635" t="s">
        <v>1801</v>
      </c>
      <c r="C1635" t="s">
        <v>2256</v>
      </c>
      <c r="D1635" t="s">
        <v>1203</v>
      </c>
      <c r="E1635" t="s">
        <v>1204</v>
      </c>
      <c r="F1635">
        <v>5801</v>
      </c>
      <c r="G1635" t="s">
        <v>702</v>
      </c>
      <c r="H1635" t="s">
        <v>1205</v>
      </c>
      <c r="I1635">
        <v>31</v>
      </c>
      <c r="J1635">
        <v>42</v>
      </c>
      <c r="K1635">
        <v>53</v>
      </c>
      <c r="L1635">
        <v>58</v>
      </c>
      <c r="M1635">
        <v>58</v>
      </c>
      <c r="N1635" t="s">
        <v>988</v>
      </c>
    </row>
    <row r="1636" spans="1:14" x14ac:dyDescent="0.3">
      <c r="A1636">
        <v>1859</v>
      </c>
      <c r="B1636" t="s">
        <v>1801</v>
      </c>
      <c r="C1636" t="s">
        <v>2256</v>
      </c>
      <c r="D1636" t="s">
        <v>1203</v>
      </c>
      <c r="E1636" t="s">
        <v>1204</v>
      </c>
      <c r="F1636">
        <v>5801</v>
      </c>
      <c r="G1636" t="s">
        <v>705</v>
      </c>
      <c r="H1636" t="s">
        <v>1205</v>
      </c>
      <c r="I1636">
        <v>300</v>
      </c>
      <c r="J1636">
        <v>300</v>
      </c>
      <c r="K1636">
        <v>300</v>
      </c>
      <c r="L1636">
        <v>300</v>
      </c>
      <c r="M1636">
        <v>300</v>
      </c>
      <c r="N1636" t="s">
        <v>988</v>
      </c>
    </row>
    <row r="1637" spans="1:14" x14ac:dyDescent="0.3">
      <c r="A1637">
        <v>1859</v>
      </c>
      <c r="B1637" t="s">
        <v>1801</v>
      </c>
      <c r="C1637" t="s">
        <v>2256</v>
      </c>
      <c r="D1637" t="s">
        <v>1203</v>
      </c>
      <c r="E1637" t="s">
        <v>1204</v>
      </c>
      <c r="F1637">
        <v>5801</v>
      </c>
      <c r="G1637" t="s">
        <v>703</v>
      </c>
      <c r="H1637" t="s">
        <v>1205</v>
      </c>
      <c r="I1637">
        <v>112</v>
      </c>
      <c r="J1637">
        <v>152</v>
      </c>
      <c r="K1637">
        <v>192</v>
      </c>
      <c r="L1637">
        <v>210</v>
      </c>
      <c r="M1637">
        <v>210</v>
      </c>
      <c r="N1637" t="s">
        <v>988</v>
      </c>
    </row>
    <row r="1638" spans="1:14" x14ac:dyDescent="0.3">
      <c r="A1638">
        <v>1859</v>
      </c>
      <c r="B1638" t="s">
        <v>1801</v>
      </c>
      <c r="C1638" t="s">
        <v>2256</v>
      </c>
      <c r="D1638" t="s">
        <v>1203</v>
      </c>
      <c r="E1638" t="s">
        <v>1204</v>
      </c>
      <c r="F1638">
        <v>5801</v>
      </c>
      <c r="G1638" t="s">
        <v>684</v>
      </c>
      <c r="H1638" t="s">
        <v>1205</v>
      </c>
      <c r="I1638">
        <v>50</v>
      </c>
      <c r="J1638">
        <v>67</v>
      </c>
      <c r="K1638">
        <v>85</v>
      </c>
      <c r="L1638">
        <v>93</v>
      </c>
      <c r="M1638">
        <v>93</v>
      </c>
      <c r="N1638" t="s">
        <v>988</v>
      </c>
    </row>
    <row r="1639" spans="1:14" x14ac:dyDescent="0.3">
      <c r="A1639">
        <v>1859</v>
      </c>
      <c r="B1639" t="s">
        <v>1801</v>
      </c>
      <c r="C1639" t="s">
        <v>2256</v>
      </c>
      <c r="D1639" t="s">
        <v>1203</v>
      </c>
      <c r="E1639" t="s">
        <v>1204</v>
      </c>
      <c r="F1639">
        <v>5801</v>
      </c>
      <c r="G1639" t="s">
        <v>698</v>
      </c>
      <c r="H1639" t="s">
        <v>1205</v>
      </c>
      <c r="I1639">
        <v>261</v>
      </c>
      <c r="J1639">
        <v>355</v>
      </c>
      <c r="K1639">
        <v>448</v>
      </c>
      <c r="L1639">
        <v>491</v>
      </c>
      <c r="M1639">
        <v>491</v>
      </c>
      <c r="N1639" t="s">
        <v>988</v>
      </c>
    </row>
    <row r="1640" spans="1:14" x14ac:dyDescent="0.3">
      <c r="A1640">
        <v>1859</v>
      </c>
      <c r="B1640" t="s">
        <v>1801</v>
      </c>
      <c r="C1640" t="s">
        <v>2256</v>
      </c>
      <c r="D1640" t="s">
        <v>1203</v>
      </c>
      <c r="E1640" t="s">
        <v>1204</v>
      </c>
      <c r="F1640">
        <v>5801</v>
      </c>
      <c r="G1640" t="s">
        <v>700</v>
      </c>
      <c r="H1640" t="s">
        <v>1205</v>
      </c>
      <c r="I1640">
        <v>184</v>
      </c>
      <c r="J1640">
        <v>250</v>
      </c>
      <c r="K1640">
        <v>315</v>
      </c>
      <c r="L1640">
        <v>345</v>
      </c>
      <c r="M1640">
        <v>345</v>
      </c>
      <c r="N1640" t="s">
        <v>988</v>
      </c>
    </row>
    <row r="1641" spans="1:14" x14ac:dyDescent="0.3">
      <c r="A1641">
        <v>1859</v>
      </c>
      <c r="B1641" t="s">
        <v>1801</v>
      </c>
      <c r="C1641" t="s">
        <v>2256</v>
      </c>
      <c r="D1641" t="s">
        <v>1203</v>
      </c>
      <c r="E1641" t="s">
        <v>1204</v>
      </c>
      <c r="F1641">
        <v>5801</v>
      </c>
      <c r="G1641" t="s">
        <v>686</v>
      </c>
      <c r="H1641" t="s">
        <v>1205</v>
      </c>
      <c r="I1641">
        <v>935</v>
      </c>
      <c r="J1641">
        <v>701</v>
      </c>
      <c r="K1641">
        <v>526</v>
      </c>
      <c r="L1641">
        <v>394</v>
      </c>
      <c r="M1641">
        <v>394</v>
      </c>
      <c r="N1641" t="s">
        <v>988</v>
      </c>
    </row>
    <row r="1642" spans="1:14" x14ac:dyDescent="0.3">
      <c r="A1642">
        <v>1859</v>
      </c>
      <c r="B1642" t="s">
        <v>1801</v>
      </c>
      <c r="C1642" t="s">
        <v>2256</v>
      </c>
      <c r="D1642" t="s">
        <v>1203</v>
      </c>
      <c r="E1642" t="s">
        <v>1204</v>
      </c>
      <c r="F1642">
        <v>5801</v>
      </c>
      <c r="G1642" t="s">
        <v>686</v>
      </c>
      <c r="H1642" t="s">
        <v>1216</v>
      </c>
      <c r="I1642">
        <v>399</v>
      </c>
      <c r="J1642">
        <v>199</v>
      </c>
      <c r="K1642">
        <v>100</v>
      </c>
      <c r="L1642">
        <v>50</v>
      </c>
      <c r="M1642">
        <v>25</v>
      </c>
      <c r="N1642" t="s">
        <v>988</v>
      </c>
    </row>
    <row r="1643" spans="1:14" x14ac:dyDescent="0.3">
      <c r="A1643">
        <v>1859</v>
      </c>
      <c r="B1643" t="s">
        <v>1801</v>
      </c>
      <c r="C1643" t="s">
        <v>2256</v>
      </c>
      <c r="D1643" t="s">
        <v>1203</v>
      </c>
      <c r="E1643" t="s">
        <v>1204</v>
      </c>
      <c r="F1643">
        <v>5801</v>
      </c>
      <c r="G1643" t="s">
        <v>696</v>
      </c>
      <c r="H1643" t="s">
        <v>1205</v>
      </c>
      <c r="I1643">
        <v>1686</v>
      </c>
      <c r="J1643">
        <v>2290</v>
      </c>
      <c r="K1643">
        <v>2894</v>
      </c>
      <c r="L1643">
        <v>3168</v>
      </c>
      <c r="M1643">
        <v>3168</v>
      </c>
      <c r="N1643" t="s">
        <v>988</v>
      </c>
    </row>
    <row r="1644" spans="1:14" x14ac:dyDescent="0.3">
      <c r="A1644">
        <v>1866</v>
      </c>
      <c r="B1644" t="s">
        <v>1805</v>
      </c>
      <c r="C1644" t="s">
        <v>2256</v>
      </c>
      <c r="D1644" t="s">
        <v>159</v>
      </c>
      <c r="E1644" t="s">
        <v>159</v>
      </c>
      <c r="F1644">
        <v>5596</v>
      </c>
      <c r="G1644" t="s">
        <v>702</v>
      </c>
      <c r="I1644">
        <v>678</v>
      </c>
      <c r="J1644">
        <v>692</v>
      </c>
      <c r="K1644">
        <v>705</v>
      </c>
      <c r="L1644">
        <v>720</v>
      </c>
      <c r="M1644">
        <v>734</v>
      </c>
      <c r="N1644" t="s">
        <v>988</v>
      </c>
    </row>
    <row r="1645" spans="1:14" x14ac:dyDescent="0.3">
      <c r="A1645">
        <v>1866</v>
      </c>
      <c r="B1645" t="s">
        <v>1805</v>
      </c>
      <c r="C1645" t="s">
        <v>2256</v>
      </c>
      <c r="D1645" t="s">
        <v>159</v>
      </c>
      <c r="E1645" t="s">
        <v>159</v>
      </c>
      <c r="F1645">
        <v>5596</v>
      </c>
      <c r="G1645" t="s">
        <v>698</v>
      </c>
      <c r="I1645">
        <v>2115</v>
      </c>
      <c r="J1645">
        <v>2157</v>
      </c>
      <c r="K1645">
        <v>2200</v>
      </c>
      <c r="L1645">
        <v>2244</v>
      </c>
      <c r="M1645">
        <v>2289</v>
      </c>
      <c r="N1645" t="s">
        <v>988</v>
      </c>
    </row>
    <row r="1646" spans="1:14" x14ac:dyDescent="0.3">
      <c r="A1646">
        <v>1866</v>
      </c>
      <c r="B1646" t="s">
        <v>1805</v>
      </c>
      <c r="C1646" t="s">
        <v>2256</v>
      </c>
      <c r="D1646" t="s">
        <v>159</v>
      </c>
      <c r="E1646" t="s">
        <v>159</v>
      </c>
      <c r="F1646">
        <v>5596</v>
      </c>
      <c r="G1646" t="s">
        <v>700</v>
      </c>
      <c r="H1646" t="s">
        <v>2389</v>
      </c>
      <c r="I1646">
        <v>636</v>
      </c>
      <c r="J1646">
        <v>648</v>
      </c>
      <c r="K1646">
        <v>661</v>
      </c>
      <c r="L1646">
        <v>675</v>
      </c>
      <c r="M1646">
        <v>688</v>
      </c>
      <c r="N1646" t="s">
        <v>988</v>
      </c>
    </row>
    <row r="1647" spans="1:14" x14ac:dyDescent="0.3">
      <c r="A1647">
        <v>1866</v>
      </c>
      <c r="B1647" t="s">
        <v>1805</v>
      </c>
      <c r="C1647" t="s">
        <v>2256</v>
      </c>
      <c r="D1647" t="s">
        <v>159</v>
      </c>
      <c r="E1647" t="s">
        <v>159</v>
      </c>
      <c r="F1647">
        <v>5596</v>
      </c>
      <c r="G1647" t="s">
        <v>701</v>
      </c>
      <c r="I1647">
        <v>680</v>
      </c>
      <c r="J1647">
        <v>693</v>
      </c>
      <c r="K1647">
        <v>707</v>
      </c>
      <c r="L1647">
        <v>721</v>
      </c>
      <c r="M1647">
        <v>736</v>
      </c>
      <c r="N1647" t="s">
        <v>988</v>
      </c>
    </row>
    <row r="1648" spans="1:14" x14ac:dyDescent="0.3">
      <c r="A1648">
        <v>1866</v>
      </c>
      <c r="B1648" t="s">
        <v>1805</v>
      </c>
      <c r="C1648" t="s">
        <v>2256</v>
      </c>
      <c r="D1648" t="s">
        <v>159</v>
      </c>
      <c r="E1648" t="s">
        <v>159</v>
      </c>
      <c r="F1648">
        <v>5596</v>
      </c>
      <c r="G1648" t="s">
        <v>686</v>
      </c>
      <c r="H1648" t="s">
        <v>2390</v>
      </c>
      <c r="I1648">
        <v>418</v>
      </c>
      <c r="J1648">
        <v>427</v>
      </c>
      <c r="K1648">
        <v>435</v>
      </c>
      <c r="L1648">
        <v>444</v>
      </c>
      <c r="M1648">
        <v>453</v>
      </c>
      <c r="N1648" t="s">
        <v>988</v>
      </c>
    </row>
    <row r="1649" spans="1:14" x14ac:dyDescent="0.3">
      <c r="A1649">
        <v>1866</v>
      </c>
      <c r="B1649" t="s">
        <v>1805</v>
      </c>
      <c r="C1649" t="s">
        <v>2256</v>
      </c>
      <c r="D1649" t="s">
        <v>159</v>
      </c>
      <c r="E1649" t="s">
        <v>159</v>
      </c>
      <c r="F1649">
        <v>5596</v>
      </c>
      <c r="G1649" t="s">
        <v>696</v>
      </c>
      <c r="I1649">
        <v>1428</v>
      </c>
      <c r="J1649">
        <v>1457</v>
      </c>
      <c r="K1649">
        <v>1486</v>
      </c>
      <c r="L1649">
        <v>1516</v>
      </c>
      <c r="M1649">
        <v>1546</v>
      </c>
      <c r="N1649" t="s">
        <v>988</v>
      </c>
    </row>
    <row r="1650" spans="1:14" x14ac:dyDescent="0.3">
      <c r="A1650">
        <v>1873</v>
      </c>
      <c r="B1650" t="s">
        <v>1806</v>
      </c>
      <c r="C1650" t="s">
        <v>2256</v>
      </c>
      <c r="D1650" t="s">
        <v>159</v>
      </c>
      <c r="E1650" t="s">
        <v>159</v>
      </c>
      <c r="F1650">
        <v>7209</v>
      </c>
      <c r="G1650" t="s">
        <v>696</v>
      </c>
      <c r="I1650">
        <v>12800</v>
      </c>
      <c r="J1650">
        <v>12000</v>
      </c>
      <c r="K1650">
        <v>11900</v>
      </c>
      <c r="L1650">
        <v>11800</v>
      </c>
      <c r="N1650" t="s">
        <v>988</v>
      </c>
    </row>
    <row r="1651" spans="1:14" x14ac:dyDescent="0.3">
      <c r="A1651">
        <v>1873</v>
      </c>
      <c r="B1651" t="s">
        <v>1806</v>
      </c>
      <c r="C1651" t="s">
        <v>2256</v>
      </c>
      <c r="D1651" t="s">
        <v>159</v>
      </c>
      <c r="E1651" t="s">
        <v>159</v>
      </c>
      <c r="F1651">
        <v>7209</v>
      </c>
      <c r="G1651" t="s">
        <v>700</v>
      </c>
      <c r="I1651">
        <v>6500</v>
      </c>
      <c r="J1651">
        <v>5900</v>
      </c>
      <c r="K1651">
        <v>5850</v>
      </c>
      <c r="L1651">
        <v>6000</v>
      </c>
      <c r="N1651" t="s">
        <v>988</v>
      </c>
    </row>
    <row r="1652" spans="1:14" x14ac:dyDescent="0.3">
      <c r="A1652">
        <v>1873</v>
      </c>
      <c r="B1652" t="s">
        <v>1806</v>
      </c>
      <c r="C1652" t="s">
        <v>2256</v>
      </c>
      <c r="D1652" t="s">
        <v>159</v>
      </c>
      <c r="E1652" t="s">
        <v>159</v>
      </c>
      <c r="F1652">
        <v>7209</v>
      </c>
      <c r="G1652" t="s">
        <v>698</v>
      </c>
      <c r="I1652">
        <v>4800</v>
      </c>
      <c r="J1652">
        <v>4550</v>
      </c>
      <c r="K1652">
        <v>5000</v>
      </c>
      <c r="L1652">
        <v>5250</v>
      </c>
      <c r="N1652" t="s">
        <v>988</v>
      </c>
    </row>
    <row r="1653" spans="1:14" x14ac:dyDescent="0.3">
      <c r="A1653">
        <v>1873</v>
      </c>
      <c r="B1653" t="s">
        <v>1806</v>
      </c>
      <c r="C1653" t="s">
        <v>2256</v>
      </c>
      <c r="D1653" t="s">
        <v>159</v>
      </c>
      <c r="E1653" t="s">
        <v>159</v>
      </c>
      <c r="F1653">
        <v>7209</v>
      </c>
      <c r="G1653" t="s">
        <v>687</v>
      </c>
      <c r="I1653">
        <v>100</v>
      </c>
      <c r="J1653">
        <v>100</v>
      </c>
      <c r="K1653">
        <v>150</v>
      </c>
      <c r="L1653">
        <v>180</v>
      </c>
      <c r="N1653" t="s">
        <v>988</v>
      </c>
    </row>
    <row r="1654" spans="1:14" x14ac:dyDescent="0.3">
      <c r="A1654">
        <v>1873</v>
      </c>
      <c r="B1654" t="s">
        <v>1806</v>
      </c>
      <c r="C1654" t="s">
        <v>2256</v>
      </c>
      <c r="D1654" t="s">
        <v>159</v>
      </c>
      <c r="E1654" t="s">
        <v>159</v>
      </c>
      <c r="F1654">
        <v>7209</v>
      </c>
      <c r="G1654" t="s">
        <v>686</v>
      </c>
      <c r="I1654">
        <v>1650</v>
      </c>
      <c r="J1654">
        <v>1600</v>
      </c>
      <c r="K1654">
        <v>1550</v>
      </c>
      <c r="L1654">
        <v>1500</v>
      </c>
      <c r="N1654" t="s">
        <v>988</v>
      </c>
    </row>
    <row r="1655" spans="1:14" x14ac:dyDescent="0.3">
      <c r="A1655">
        <v>1873</v>
      </c>
      <c r="B1655" t="s">
        <v>1806</v>
      </c>
      <c r="C1655" t="s">
        <v>2256</v>
      </c>
      <c r="D1655" t="s">
        <v>159</v>
      </c>
      <c r="E1655" t="s">
        <v>159</v>
      </c>
      <c r="F1655">
        <v>7209</v>
      </c>
      <c r="G1655" t="s">
        <v>703</v>
      </c>
      <c r="I1655">
        <v>900</v>
      </c>
      <c r="J1655">
        <v>850</v>
      </c>
      <c r="K1655">
        <v>870</v>
      </c>
      <c r="L1655">
        <v>900</v>
      </c>
      <c r="N1655" t="s">
        <v>988</v>
      </c>
    </row>
    <row r="1656" spans="1:14" x14ac:dyDescent="0.3">
      <c r="A1656">
        <v>1875</v>
      </c>
      <c r="B1656" t="s">
        <v>1811</v>
      </c>
      <c r="C1656" t="s">
        <v>2256</v>
      </c>
      <c r="D1656" t="s">
        <v>1203</v>
      </c>
      <c r="E1656" t="s">
        <v>1204</v>
      </c>
      <c r="F1656">
        <v>5876</v>
      </c>
      <c r="G1656" t="s">
        <v>686</v>
      </c>
      <c r="I1656">
        <v>455</v>
      </c>
      <c r="J1656">
        <v>495</v>
      </c>
      <c r="K1656">
        <v>536</v>
      </c>
      <c r="L1656">
        <v>577</v>
      </c>
      <c r="M1656">
        <v>618</v>
      </c>
      <c r="N1656" t="s">
        <v>988</v>
      </c>
    </row>
    <row r="1657" spans="1:14" x14ac:dyDescent="0.3">
      <c r="A1657">
        <v>1875</v>
      </c>
      <c r="B1657" t="s">
        <v>1811</v>
      </c>
      <c r="C1657" t="s">
        <v>2256</v>
      </c>
      <c r="D1657" t="s">
        <v>1203</v>
      </c>
      <c r="E1657" t="s">
        <v>1204</v>
      </c>
      <c r="F1657">
        <v>5876</v>
      </c>
      <c r="G1657" t="s">
        <v>687</v>
      </c>
      <c r="I1657">
        <v>53</v>
      </c>
      <c r="J1657">
        <v>68</v>
      </c>
      <c r="K1657">
        <v>82</v>
      </c>
      <c r="L1657">
        <v>97</v>
      </c>
      <c r="M1657">
        <v>111</v>
      </c>
      <c r="N1657" t="s">
        <v>988</v>
      </c>
    </row>
    <row r="1658" spans="1:14" x14ac:dyDescent="0.3">
      <c r="A1658">
        <v>1875</v>
      </c>
      <c r="B1658" t="s">
        <v>1811</v>
      </c>
      <c r="C1658" t="s">
        <v>2256</v>
      </c>
      <c r="D1658" t="s">
        <v>1203</v>
      </c>
      <c r="E1658" t="s">
        <v>1204</v>
      </c>
      <c r="F1658">
        <v>5876</v>
      </c>
      <c r="G1658" t="s">
        <v>698</v>
      </c>
      <c r="I1658">
        <v>807</v>
      </c>
      <c r="J1658">
        <v>932</v>
      </c>
      <c r="K1658">
        <v>1056</v>
      </c>
      <c r="L1658">
        <v>1181</v>
      </c>
      <c r="M1658">
        <v>1305</v>
      </c>
      <c r="N1658" t="s">
        <v>988</v>
      </c>
    </row>
    <row r="1659" spans="1:14" x14ac:dyDescent="0.3">
      <c r="A1659">
        <v>1875</v>
      </c>
      <c r="B1659" t="s">
        <v>1811</v>
      </c>
      <c r="C1659" t="s">
        <v>2256</v>
      </c>
      <c r="D1659" t="s">
        <v>1203</v>
      </c>
      <c r="E1659" t="s">
        <v>1204</v>
      </c>
      <c r="F1659">
        <v>5876</v>
      </c>
      <c r="G1659" t="s">
        <v>696</v>
      </c>
      <c r="I1659">
        <v>2820</v>
      </c>
      <c r="J1659">
        <v>2914</v>
      </c>
      <c r="K1659">
        <v>3007</v>
      </c>
      <c r="L1659">
        <v>3100</v>
      </c>
      <c r="M1659">
        <v>3194</v>
      </c>
      <c r="N1659" t="s">
        <v>988</v>
      </c>
    </row>
    <row r="1660" spans="1:14" x14ac:dyDescent="0.3">
      <c r="A1660">
        <v>1875</v>
      </c>
      <c r="B1660" t="s">
        <v>1811</v>
      </c>
      <c r="C1660" t="s">
        <v>2256</v>
      </c>
      <c r="D1660" t="s">
        <v>1203</v>
      </c>
      <c r="E1660" t="s">
        <v>1204</v>
      </c>
      <c r="F1660">
        <v>5876</v>
      </c>
      <c r="G1660" t="s">
        <v>700</v>
      </c>
      <c r="I1660">
        <v>673</v>
      </c>
      <c r="J1660">
        <v>766</v>
      </c>
      <c r="K1660">
        <v>859</v>
      </c>
      <c r="L1660">
        <v>952</v>
      </c>
      <c r="M1660">
        <v>1044</v>
      </c>
      <c r="N1660" t="s">
        <v>988</v>
      </c>
    </row>
    <row r="1661" spans="1:14" x14ac:dyDescent="0.3">
      <c r="A1661">
        <v>1875</v>
      </c>
      <c r="B1661" t="s">
        <v>1811</v>
      </c>
      <c r="C1661" t="s">
        <v>2256</v>
      </c>
      <c r="D1661" t="s">
        <v>1203</v>
      </c>
      <c r="E1661" t="s">
        <v>1204</v>
      </c>
      <c r="F1661">
        <v>5876</v>
      </c>
      <c r="G1661" t="s">
        <v>701</v>
      </c>
      <c r="I1661">
        <v>646</v>
      </c>
      <c r="J1661">
        <v>784</v>
      </c>
      <c r="K1661">
        <v>923</v>
      </c>
      <c r="L1661">
        <v>1061</v>
      </c>
      <c r="M1661">
        <v>1199</v>
      </c>
      <c r="N1661" t="s">
        <v>988</v>
      </c>
    </row>
    <row r="1662" spans="1:14" x14ac:dyDescent="0.3">
      <c r="A1662">
        <v>1875</v>
      </c>
      <c r="B1662" t="s">
        <v>1811</v>
      </c>
      <c r="C1662" t="s">
        <v>2256</v>
      </c>
      <c r="D1662" t="s">
        <v>1203</v>
      </c>
      <c r="E1662" t="s">
        <v>1204</v>
      </c>
      <c r="F1662">
        <v>5876</v>
      </c>
      <c r="G1662" t="s">
        <v>703</v>
      </c>
      <c r="I1662">
        <v>324</v>
      </c>
      <c r="J1662">
        <v>359</v>
      </c>
      <c r="K1662">
        <v>395</v>
      </c>
      <c r="L1662">
        <v>431</v>
      </c>
      <c r="M1662">
        <v>467</v>
      </c>
      <c r="N1662" t="s">
        <v>988</v>
      </c>
    </row>
    <row r="1663" spans="1:14" x14ac:dyDescent="0.3">
      <c r="A1663">
        <v>1875</v>
      </c>
      <c r="B1663" t="s">
        <v>1811</v>
      </c>
      <c r="C1663" t="s">
        <v>2256</v>
      </c>
      <c r="D1663" t="s">
        <v>1203</v>
      </c>
      <c r="E1663" t="s">
        <v>1204</v>
      </c>
      <c r="F1663">
        <v>5876</v>
      </c>
      <c r="G1663" t="s">
        <v>702</v>
      </c>
      <c r="H1663" t="s">
        <v>2391</v>
      </c>
      <c r="I1663">
        <v>737</v>
      </c>
      <c r="J1663">
        <v>604</v>
      </c>
      <c r="K1663">
        <v>581</v>
      </c>
      <c r="L1663">
        <v>568</v>
      </c>
      <c r="M1663">
        <v>545</v>
      </c>
      <c r="N1663" t="s">
        <v>988</v>
      </c>
    </row>
    <row r="1664" spans="1:14" x14ac:dyDescent="0.3">
      <c r="A1664">
        <v>1877</v>
      </c>
      <c r="B1664" t="s">
        <v>1812</v>
      </c>
      <c r="C1664" t="s">
        <v>2256</v>
      </c>
      <c r="D1664" t="s">
        <v>1203</v>
      </c>
      <c r="E1664" t="s">
        <v>1204</v>
      </c>
      <c r="F1664">
        <v>5751</v>
      </c>
      <c r="G1664" t="s">
        <v>696</v>
      </c>
      <c r="I1664">
        <v>2933</v>
      </c>
      <c r="J1664">
        <v>3284</v>
      </c>
      <c r="K1664">
        <v>3676</v>
      </c>
      <c r="L1664">
        <v>4116</v>
      </c>
      <c r="M1664">
        <v>4609</v>
      </c>
      <c r="N1664" t="s">
        <v>988</v>
      </c>
    </row>
    <row r="1665" spans="1:14" x14ac:dyDescent="0.3">
      <c r="A1665">
        <v>1877</v>
      </c>
      <c r="B1665" t="s">
        <v>1812</v>
      </c>
      <c r="C1665" t="s">
        <v>2256</v>
      </c>
      <c r="D1665" t="s">
        <v>1203</v>
      </c>
      <c r="E1665" t="s">
        <v>1204</v>
      </c>
      <c r="F1665">
        <v>5751</v>
      </c>
      <c r="G1665" t="s">
        <v>692</v>
      </c>
      <c r="H1665" t="s">
        <v>1275</v>
      </c>
      <c r="I1665">
        <v>587</v>
      </c>
      <c r="J1665">
        <v>656</v>
      </c>
      <c r="K1665">
        <v>736</v>
      </c>
      <c r="L1665">
        <v>824</v>
      </c>
      <c r="M1665">
        <v>922</v>
      </c>
      <c r="N1665" t="s">
        <v>988</v>
      </c>
    </row>
    <row r="1666" spans="1:14" x14ac:dyDescent="0.3">
      <c r="A1666">
        <v>1877</v>
      </c>
      <c r="B1666" t="s">
        <v>1812</v>
      </c>
      <c r="C1666" t="s">
        <v>2256</v>
      </c>
      <c r="D1666" t="s">
        <v>1203</v>
      </c>
      <c r="E1666" t="s">
        <v>1204</v>
      </c>
      <c r="F1666">
        <v>5751</v>
      </c>
      <c r="G1666" t="s">
        <v>686</v>
      </c>
      <c r="I1666">
        <v>440</v>
      </c>
      <c r="J1666">
        <v>493</v>
      </c>
      <c r="K1666">
        <v>551</v>
      </c>
      <c r="L1666">
        <v>617</v>
      </c>
      <c r="M1666">
        <v>691</v>
      </c>
      <c r="N1666" t="s">
        <v>988</v>
      </c>
    </row>
    <row r="1667" spans="1:14" x14ac:dyDescent="0.3">
      <c r="A1667">
        <v>1877</v>
      </c>
      <c r="B1667" t="s">
        <v>1812</v>
      </c>
      <c r="C1667" t="s">
        <v>2256</v>
      </c>
      <c r="D1667" t="s">
        <v>1203</v>
      </c>
      <c r="E1667" t="s">
        <v>1204</v>
      </c>
      <c r="F1667">
        <v>5751</v>
      </c>
      <c r="G1667" t="s">
        <v>702</v>
      </c>
      <c r="H1667" t="s">
        <v>1275</v>
      </c>
      <c r="I1667">
        <v>440</v>
      </c>
      <c r="J1667">
        <v>493</v>
      </c>
      <c r="K1667">
        <v>551</v>
      </c>
      <c r="L1667">
        <v>617</v>
      </c>
      <c r="M1667">
        <v>691</v>
      </c>
      <c r="N1667" t="s">
        <v>988</v>
      </c>
    </row>
    <row r="1668" spans="1:14" x14ac:dyDescent="0.3">
      <c r="A1668">
        <v>1877</v>
      </c>
      <c r="B1668" t="s">
        <v>1812</v>
      </c>
      <c r="C1668" t="s">
        <v>2256</v>
      </c>
      <c r="D1668" t="s">
        <v>1203</v>
      </c>
      <c r="E1668" t="s">
        <v>1204</v>
      </c>
      <c r="F1668">
        <v>5751</v>
      </c>
      <c r="G1668" t="s">
        <v>700</v>
      </c>
      <c r="I1668">
        <v>415</v>
      </c>
      <c r="J1668">
        <v>465</v>
      </c>
      <c r="K1668">
        <v>521</v>
      </c>
      <c r="L1668">
        <v>583</v>
      </c>
      <c r="M1668">
        <v>653</v>
      </c>
      <c r="N1668" t="s">
        <v>988</v>
      </c>
    </row>
    <row r="1669" spans="1:14" x14ac:dyDescent="0.3">
      <c r="A1669">
        <v>1877</v>
      </c>
      <c r="B1669" t="s">
        <v>1812</v>
      </c>
      <c r="C1669" t="s">
        <v>2256</v>
      </c>
      <c r="D1669" t="s">
        <v>1203</v>
      </c>
      <c r="E1669" t="s">
        <v>1204</v>
      </c>
      <c r="F1669">
        <v>5751</v>
      </c>
      <c r="G1669" t="s">
        <v>698</v>
      </c>
      <c r="I1669">
        <v>73</v>
      </c>
      <c r="J1669">
        <v>82</v>
      </c>
      <c r="K1669">
        <v>92</v>
      </c>
      <c r="L1669">
        <v>103</v>
      </c>
      <c r="M1669">
        <v>115</v>
      </c>
      <c r="N1669" t="s">
        <v>988</v>
      </c>
    </row>
    <row r="1670" spans="1:14" x14ac:dyDescent="0.3">
      <c r="A1670">
        <v>1894</v>
      </c>
      <c r="B1670" t="s">
        <v>1814</v>
      </c>
      <c r="C1670" t="s">
        <v>2256</v>
      </c>
      <c r="D1670" t="s">
        <v>159</v>
      </c>
      <c r="E1670" t="s">
        <v>159</v>
      </c>
      <c r="F1670">
        <v>7981</v>
      </c>
      <c r="G1670" t="s">
        <v>686</v>
      </c>
      <c r="H1670" t="s">
        <v>2392</v>
      </c>
      <c r="I1670">
        <v>749</v>
      </c>
      <c r="J1670">
        <v>775</v>
      </c>
      <c r="K1670">
        <v>794</v>
      </c>
      <c r="L1670">
        <v>826</v>
      </c>
      <c r="M1670">
        <v>861</v>
      </c>
      <c r="N1670" t="s">
        <v>988</v>
      </c>
    </row>
    <row r="1671" spans="1:14" x14ac:dyDescent="0.3">
      <c r="A1671">
        <v>1894</v>
      </c>
      <c r="B1671" t="s">
        <v>1814</v>
      </c>
      <c r="C1671" t="s">
        <v>2256</v>
      </c>
      <c r="D1671" t="s">
        <v>159</v>
      </c>
      <c r="E1671" t="s">
        <v>159</v>
      </c>
      <c r="F1671">
        <v>7981</v>
      </c>
      <c r="G1671" t="s">
        <v>702</v>
      </c>
      <c r="H1671" t="s">
        <v>2393</v>
      </c>
      <c r="I1671">
        <v>1009</v>
      </c>
      <c r="J1671">
        <v>1019</v>
      </c>
      <c r="K1671">
        <v>1039</v>
      </c>
      <c r="L1671">
        <v>1114</v>
      </c>
      <c r="M1671">
        <v>1203</v>
      </c>
      <c r="N1671" t="s">
        <v>988</v>
      </c>
    </row>
    <row r="1672" spans="1:14" x14ac:dyDescent="0.3">
      <c r="A1672">
        <v>1894</v>
      </c>
      <c r="B1672" t="s">
        <v>1814</v>
      </c>
      <c r="C1672" t="s">
        <v>2256</v>
      </c>
      <c r="D1672" t="s">
        <v>159</v>
      </c>
      <c r="E1672" t="s">
        <v>159</v>
      </c>
      <c r="F1672">
        <v>7981</v>
      </c>
      <c r="G1672" t="s">
        <v>703</v>
      </c>
      <c r="I1672">
        <v>351</v>
      </c>
      <c r="J1672">
        <v>339</v>
      </c>
      <c r="K1672">
        <v>334</v>
      </c>
      <c r="L1672">
        <v>351</v>
      </c>
      <c r="M1672">
        <v>373</v>
      </c>
      <c r="N1672" t="s">
        <v>988</v>
      </c>
    </row>
    <row r="1673" spans="1:14" x14ac:dyDescent="0.3">
      <c r="A1673">
        <v>1894</v>
      </c>
      <c r="B1673" t="s">
        <v>1814</v>
      </c>
      <c r="C1673" t="s">
        <v>2256</v>
      </c>
      <c r="D1673" t="s">
        <v>159</v>
      </c>
      <c r="E1673" t="s">
        <v>159</v>
      </c>
      <c r="F1673">
        <v>7981</v>
      </c>
      <c r="G1673" t="s">
        <v>696</v>
      </c>
      <c r="I1673">
        <v>4609</v>
      </c>
      <c r="J1673">
        <v>4682</v>
      </c>
      <c r="K1673">
        <v>4748</v>
      </c>
      <c r="L1673">
        <v>4835</v>
      </c>
      <c r="M1673">
        <v>4926</v>
      </c>
      <c r="N1673" t="s">
        <v>988</v>
      </c>
    </row>
    <row r="1674" spans="1:14" x14ac:dyDescent="0.3">
      <c r="A1674">
        <v>1894</v>
      </c>
      <c r="B1674" t="s">
        <v>1814</v>
      </c>
      <c r="C1674" t="s">
        <v>2256</v>
      </c>
      <c r="D1674" t="s">
        <v>159</v>
      </c>
      <c r="E1674" t="s">
        <v>159</v>
      </c>
      <c r="F1674">
        <v>7981</v>
      </c>
      <c r="G1674" t="s">
        <v>700</v>
      </c>
      <c r="I1674">
        <v>1034</v>
      </c>
      <c r="J1674">
        <v>1044</v>
      </c>
      <c r="K1674">
        <v>1066</v>
      </c>
      <c r="L1674">
        <v>1144</v>
      </c>
      <c r="M1674">
        <v>1231</v>
      </c>
      <c r="N1674" t="s">
        <v>988</v>
      </c>
    </row>
    <row r="1675" spans="1:14" x14ac:dyDescent="0.3">
      <c r="A1675">
        <v>1894</v>
      </c>
      <c r="B1675" t="s">
        <v>1814</v>
      </c>
      <c r="C1675" t="s">
        <v>2256</v>
      </c>
      <c r="D1675" t="s">
        <v>159</v>
      </c>
      <c r="E1675" t="s">
        <v>159</v>
      </c>
      <c r="F1675">
        <v>7981</v>
      </c>
      <c r="G1675" t="s">
        <v>698</v>
      </c>
      <c r="I1675">
        <v>490</v>
      </c>
      <c r="J1675">
        <v>573</v>
      </c>
      <c r="K1675">
        <v>575</v>
      </c>
      <c r="L1675">
        <v>584</v>
      </c>
      <c r="M1675">
        <v>596</v>
      </c>
      <c r="N1675" t="s">
        <v>988</v>
      </c>
    </row>
    <row r="1676" spans="1:14" x14ac:dyDescent="0.3">
      <c r="A1676">
        <v>1894</v>
      </c>
      <c r="B1676" t="s">
        <v>1814</v>
      </c>
      <c r="C1676" t="s">
        <v>2256</v>
      </c>
      <c r="D1676" t="s">
        <v>159</v>
      </c>
      <c r="E1676" t="s">
        <v>159</v>
      </c>
      <c r="F1676">
        <v>7981</v>
      </c>
      <c r="G1676" t="s">
        <v>701</v>
      </c>
      <c r="I1676">
        <v>463</v>
      </c>
      <c r="J1676">
        <v>438</v>
      </c>
      <c r="K1676">
        <v>418</v>
      </c>
      <c r="L1676">
        <v>401</v>
      </c>
      <c r="M1676">
        <v>387</v>
      </c>
      <c r="N1676" t="s">
        <v>988</v>
      </c>
    </row>
    <row r="1677" spans="1:14" x14ac:dyDescent="0.3">
      <c r="A1677">
        <v>1896</v>
      </c>
      <c r="B1677" t="s">
        <v>1816</v>
      </c>
      <c r="C1677" t="s">
        <v>2256</v>
      </c>
      <c r="D1677" t="s">
        <v>159</v>
      </c>
      <c r="E1677" t="s">
        <v>159</v>
      </c>
      <c r="F1677">
        <v>7991</v>
      </c>
      <c r="G1677" t="s">
        <v>686</v>
      </c>
      <c r="I1677">
        <v>434</v>
      </c>
      <c r="J1677">
        <v>438</v>
      </c>
      <c r="K1677">
        <v>439</v>
      </c>
      <c r="L1677">
        <v>440</v>
      </c>
      <c r="M1677">
        <v>445</v>
      </c>
      <c r="N1677" t="s">
        <v>988</v>
      </c>
    </row>
    <row r="1678" spans="1:14" x14ac:dyDescent="0.3">
      <c r="A1678">
        <v>1896</v>
      </c>
      <c r="B1678" t="s">
        <v>1816</v>
      </c>
      <c r="C1678" t="s">
        <v>2256</v>
      </c>
      <c r="D1678" t="s">
        <v>159</v>
      </c>
      <c r="E1678" t="s">
        <v>159</v>
      </c>
      <c r="F1678">
        <v>7991</v>
      </c>
      <c r="G1678" t="s">
        <v>687</v>
      </c>
      <c r="I1678">
        <v>251</v>
      </c>
      <c r="J1678">
        <v>252</v>
      </c>
      <c r="K1678">
        <v>253</v>
      </c>
      <c r="L1678">
        <v>254</v>
      </c>
      <c r="M1678">
        <v>256</v>
      </c>
      <c r="N1678" t="s">
        <v>988</v>
      </c>
    </row>
    <row r="1679" spans="1:14" x14ac:dyDescent="0.3">
      <c r="A1679">
        <v>1896</v>
      </c>
      <c r="B1679" t="s">
        <v>1816</v>
      </c>
      <c r="C1679" t="s">
        <v>2256</v>
      </c>
      <c r="D1679" t="s">
        <v>159</v>
      </c>
      <c r="E1679" t="s">
        <v>159</v>
      </c>
      <c r="F1679">
        <v>7991</v>
      </c>
      <c r="G1679" t="s">
        <v>696</v>
      </c>
      <c r="I1679">
        <v>2184</v>
      </c>
      <c r="J1679">
        <v>2199</v>
      </c>
      <c r="K1679">
        <v>2206</v>
      </c>
      <c r="L1679">
        <v>2213</v>
      </c>
      <c r="M1679">
        <v>2236</v>
      </c>
      <c r="N1679" t="s">
        <v>988</v>
      </c>
    </row>
    <row r="1680" spans="1:14" x14ac:dyDescent="0.3">
      <c r="A1680">
        <v>1896</v>
      </c>
      <c r="B1680" t="s">
        <v>1816</v>
      </c>
      <c r="C1680" t="s">
        <v>2256</v>
      </c>
      <c r="D1680" t="s">
        <v>159</v>
      </c>
      <c r="E1680" t="s">
        <v>159</v>
      </c>
      <c r="F1680">
        <v>7991</v>
      </c>
      <c r="G1680" t="s">
        <v>698</v>
      </c>
      <c r="I1680">
        <v>2</v>
      </c>
      <c r="J1680">
        <v>2</v>
      </c>
      <c r="K1680">
        <v>2</v>
      </c>
      <c r="L1680">
        <v>2</v>
      </c>
      <c r="M1680">
        <v>2</v>
      </c>
      <c r="N1680" t="s">
        <v>988</v>
      </c>
    </row>
    <row r="1681" spans="1:14" x14ac:dyDescent="0.3">
      <c r="A1681">
        <v>1896</v>
      </c>
      <c r="B1681" t="s">
        <v>1816</v>
      </c>
      <c r="C1681" t="s">
        <v>2256</v>
      </c>
      <c r="D1681" t="s">
        <v>159</v>
      </c>
      <c r="E1681" t="s">
        <v>159</v>
      </c>
      <c r="F1681">
        <v>7991</v>
      </c>
      <c r="G1681" t="s">
        <v>700</v>
      </c>
      <c r="I1681">
        <v>94</v>
      </c>
      <c r="J1681">
        <v>95</v>
      </c>
      <c r="K1681">
        <v>95</v>
      </c>
      <c r="L1681">
        <v>96</v>
      </c>
      <c r="M1681">
        <v>96</v>
      </c>
      <c r="N1681" t="s">
        <v>988</v>
      </c>
    </row>
    <row r="1682" spans="1:14" x14ac:dyDescent="0.3">
      <c r="A1682">
        <v>1899</v>
      </c>
      <c r="B1682" t="s">
        <v>1818</v>
      </c>
      <c r="C1682" t="s">
        <v>2256</v>
      </c>
      <c r="D1682" t="s">
        <v>1203</v>
      </c>
      <c r="E1682" t="s">
        <v>1204</v>
      </c>
      <c r="F1682">
        <v>5877</v>
      </c>
      <c r="G1682" t="s">
        <v>705</v>
      </c>
      <c r="H1682" t="s">
        <v>2394</v>
      </c>
      <c r="I1682">
        <v>1300</v>
      </c>
      <c r="J1682">
        <v>1300</v>
      </c>
      <c r="K1682">
        <v>1300</v>
      </c>
      <c r="L1682">
        <v>1300</v>
      </c>
      <c r="N1682" t="s">
        <v>988</v>
      </c>
    </row>
    <row r="1683" spans="1:14" x14ac:dyDescent="0.3">
      <c r="A1683">
        <v>1899</v>
      </c>
      <c r="B1683" t="s">
        <v>1818</v>
      </c>
      <c r="C1683" t="s">
        <v>2256</v>
      </c>
      <c r="D1683" t="s">
        <v>1203</v>
      </c>
      <c r="E1683" t="s">
        <v>1204</v>
      </c>
      <c r="F1683">
        <v>5877</v>
      </c>
      <c r="G1683" t="s">
        <v>700</v>
      </c>
      <c r="H1683" t="s">
        <v>2395</v>
      </c>
      <c r="I1683">
        <v>1237</v>
      </c>
      <c r="J1683">
        <v>1241</v>
      </c>
      <c r="K1683">
        <v>1244</v>
      </c>
      <c r="L1683">
        <v>1247</v>
      </c>
      <c r="N1683" t="s">
        <v>988</v>
      </c>
    </row>
    <row r="1684" spans="1:14" x14ac:dyDescent="0.3">
      <c r="A1684">
        <v>1899</v>
      </c>
      <c r="B1684" t="s">
        <v>1818</v>
      </c>
      <c r="C1684" t="s">
        <v>2256</v>
      </c>
      <c r="D1684" t="s">
        <v>1203</v>
      </c>
      <c r="E1684" t="s">
        <v>1204</v>
      </c>
      <c r="F1684">
        <v>5877</v>
      </c>
      <c r="G1684" t="s">
        <v>691</v>
      </c>
      <c r="H1684" t="s">
        <v>2395</v>
      </c>
      <c r="I1684">
        <v>2991</v>
      </c>
      <c r="J1684">
        <v>2999</v>
      </c>
      <c r="K1684">
        <v>3007</v>
      </c>
      <c r="L1684">
        <v>3014</v>
      </c>
      <c r="N1684" t="s">
        <v>988</v>
      </c>
    </row>
    <row r="1685" spans="1:14" x14ac:dyDescent="0.3">
      <c r="A1685">
        <v>1900</v>
      </c>
      <c r="B1685" t="s">
        <v>1822</v>
      </c>
      <c r="C1685" t="s">
        <v>2256</v>
      </c>
      <c r="D1685" t="s">
        <v>159</v>
      </c>
      <c r="E1685" t="s">
        <v>159</v>
      </c>
      <c r="F1685">
        <v>5519</v>
      </c>
      <c r="G1685" t="s">
        <v>686</v>
      </c>
      <c r="I1685">
        <v>120</v>
      </c>
      <c r="J1685">
        <v>121</v>
      </c>
      <c r="K1685">
        <v>123</v>
      </c>
      <c r="L1685">
        <v>124</v>
      </c>
      <c r="M1685">
        <v>125</v>
      </c>
      <c r="N1685" t="s">
        <v>988</v>
      </c>
    </row>
    <row r="1686" spans="1:14" x14ac:dyDescent="0.3">
      <c r="A1686">
        <v>1900</v>
      </c>
      <c r="B1686" t="s">
        <v>1822</v>
      </c>
      <c r="C1686" t="s">
        <v>2256</v>
      </c>
      <c r="D1686" t="s">
        <v>159</v>
      </c>
      <c r="E1686" t="s">
        <v>159</v>
      </c>
      <c r="F1686">
        <v>5519</v>
      </c>
      <c r="G1686" t="s">
        <v>701</v>
      </c>
      <c r="I1686">
        <v>1</v>
      </c>
      <c r="J1686">
        <v>1</v>
      </c>
      <c r="K1686">
        <v>1</v>
      </c>
      <c r="L1686">
        <v>1</v>
      </c>
      <c r="M1686">
        <v>1</v>
      </c>
      <c r="N1686" t="s">
        <v>988</v>
      </c>
    </row>
    <row r="1687" spans="1:14" x14ac:dyDescent="0.3">
      <c r="A1687">
        <v>1900</v>
      </c>
      <c r="B1687" t="s">
        <v>1822</v>
      </c>
      <c r="C1687" t="s">
        <v>2256</v>
      </c>
      <c r="D1687" t="s">
        <v>159</v>
      </c>
      <c r="E1687" t="s">
        <v>159</v>
      </c>
      <c r="F1687">
        <v>5519</v>
      </c>
      <c r="G1687" t="s">
        <v>698</v>
      </c>
      <c r="I1687">
        <v>433</v>
      </c>
      <c r="J1687">
        <v>438</v>
      </c>
      <c r="K1687">
        <v>442</v>
      </c>
      <c r="L1687">
        <v>447</v>
      </c>
      <c r="M1687">
        <v>451</v>
      </c>
      <c r="N1687" t="s">
        <v>988</v>
      </c>
    </row>
    <row r="1688" spans="1:14" x14ac:dyDescent="0.3">
      <c r="A1688">
        <v>1900</v>
      </c>
      <c r="B1688" t="s">
        <v>1822</v>
      </c>
      <c r="C1688" t="s">
        <v>2256</v>
      </c>
      <c r="D1688" t="s">
        <v>159</v>
      </c>
      <c r="E1688" t="s">
        <v>159</v>
      </c>
      <c r="F1688">
        <v>5519</v>
      </c>
      <c r="G1688" t="s">
        <v>696</v>
      </c>
      <c r="I1688">
        <v>1623</v>
      </c>
      <c r="J1688">
        <v>1640</v>
      </c>
      <c r="K1688">
        <v>1656</v>
      </c>
      <c r="L1688">
        <v>1673</v>
      </c>
      <c r="M1688">
        <v>1691</v>
      </c>
      <c r="N1688" t="s">
        <v>988</v>
      </c>
    </row>
    <row r="1689" spans="1:14" x14ac:dyDescent="0.3">
      <c r="A1689">
        <v>1900</v>
      </c>
      <c r="B1689" t="s">
        <v>1822</v>
      </c>
      <c r="C1689" t="s">
        <v>2256</v>
      </c>
      <c r="D1689" t="s">
        <v>159</v>
      </c>
      <c r="E1689" t="s">
        <v>159</v>
      </c>
      <c r="F1689">
        <v>5519</v>
      </c>
      <c r="G1689" t="s">
        <v>700</v>
      </c>
      <c r="I1689">
        <v>693</v>
      </c>
      <c r="J1689">
        <v>700</v>
      </c>
      <c r="K1689">
        <v>707</v>
      </c>
      <c r="L1689">
        <v>715</v>
      </c>
      <c r="M1689">
        <v>722</v>
      </c>
      <c r="N1689" t="s">
        <v>988</v>
      </c>
    </row>
    <row r="1690" spans="1:14" x14ac:dyDescent="0.3">
      <c r="A1690">
        <v>1923</v>
      </c>
      <c r="B1690" t="s">
        <v>1823</v>
      </c>
      <c r="C1690" t="s">
        <v>2256</v>
      </c>
      <c r="D1690" t="s">
        <v>1203</v>
      </c>
      <c r="E1690" t="s">
        <v>1204</v>
      </c>
      <c r="F1690">
        <v>5777</v>
      </c>
      <c r="G1690" t="s">
        <v>687</v>
      </c>
      <c r="I1690">
        <v>30</v>
      </c>
      <c r="J1690">
        <v>31</v>
      </c>
      <c r="K1690">
        <v>32</v>
      </c>
      <c r="L1690">
        <v>32</v>
      </c>
      <c r="M1690">
        <v>33</v>
      </c>
      <c r="N1690" t="s">
        <v>988</v>
      </c>
    </row>
    <row r="1691" spans="1:14" x14ac:dyDescent="0.3">
      <c r="A1691">
        <v>1923</v>
      </c>
      <c r="B1691" t="s">
        <v>1823</v>
      </c>
      <c r="C1691" t="s">
        <v>2256</v>
      </c>
      <c r="D1691" t="s">
        <v>1203</v>
      </c>
      <c r="E1691" t="s">
        <v>1204</v>
      </c>
      <c r="F1691">
        <v>5777</v>
      </c>
      <c r="G1691" t="s">
        <v>698</v>
      </c>
      <c r="I1691">
        <v>270</v>
      </c>
      <c r="J1691">
        <v>278</v>
      </c>
      <c r="K1691">
        <v>286</v>
      </c>
      <c r="L1691">
        <v>294</v>
      </c>
      <c r="M1691">
        <v>302</v>
      </c>
      <c r="N1691" t="s">
        <v>988</v>
      </c>
    </row>
    <row r="1692" spans="1:14" x14ac:dyDescent="0.3">
      <c r="A1692">
        <v>1923</v>
      </c>
      <c r="B1692" t="s">
        <v>1823</v>
      </c>
      <c r="C1692" t="s">
        <v>2256</v>
      </c>
      <c r="D1692" t="s">
        <v>1203</v>
      </c>
      <c r="E1692" t="s">
        <v>1204</v>
      </c>
      <c r="F1692">
        <v>5777</v>
      </c>
      <c r="G1692" t="s">
        <v>700</v>
      </c>
      <c r="I1692">
        <v>368</v>
      </c>
      <c r="J1692">
        <v>379</v>
      </c>
      <c r="K1692">
        <v>389</v>
      </c>
      <c r="L1692">
        <v>401</v>
      </c>
      <c r="M1692">
        <v>412</v>
      </c>
      <c r="N1692" t="s">
        <v>988</v>
      </c>
    </row>
    <row r="1693" spans="1:14" x14ac:dyDescent="0.3">
      <c r="A1693">
        <v>1923</v>
      </c>
      <c r="B1693" t="s">
        <v>1823</v>
      </c>
      <c r="C1693" t="s">
        <v>2256</v>
      </c>
      <c r="D1693" t="s">
        <v>1203</v>
      </c>
      <c r="E1693" t="s">
        <v>1204</v>
      </c>
      <c r="F1693">
        <v>5777</v>
      </c>
      <c r="G1693" t="s">
        <v>696</v>
      </c>
      <c r="I1693">
        <v>769</v>
      </c>
      <c r="J1693">
        <v>791</v>
      </c>
      <c r="K1693">
        <v>814</v>
      </c>
      <c r="L1693">
        <v>838</v>
      </c>
      <c r="M1693">
        <v>862</v>
      </c>
      <c r="N1693" t="s">
        <v>988</v>
      </c>
    </row>
    <row r="1694" spans="1:14" x14ac:dyDescent="0.3">
      <c r="A1694">
        <v>1923</v>
      </c>
      <c r="B1694" t="s">
        <v>1823</v>
      </c>
      <c r="C1694" t="s">
        <v>2256</v>
      </c>
      <c r="D1694" t="s">
        <v>1203</v>
      </c>
      <c r="E1694" t="s">
        <v>1204</v>
      </c>
      <c r="F1694">
        <v>5777</v>
      </c>
      <c r="G1694" t="s">
        <v>702</v>
      </c>
      <c r="I1694">
        <v>211</v>
      </c>
      <c r="J1694">
        <v>217</v>
      </c>
      <c r="K1694">
        <v>223</v>
      </c>
      <c r="L1694">
        <v>230</v>
      </c>
      <c r="M1694">
        <v>236</v>
      </c>
      <c r="N1694" t="s">
        <v>988</v>
      </c>
    </row>
    <row r="1695" spans="1:14" x14ac:dyDescent="0.3">
      <c r="A1695">
        <v>1925</v>
      </c>
      <c r="B1695" t="s">
        <v>1824</v>
      </c>
      <c r="C1695" t="s">
        <v>2256</v>
      </c>
      <c r="D1695" t="s">
        <v>1203</v>
      </c>
      <c r="E1695" t="s">
        <v>1204</v>
      </c>
      <c r="F1695">
        <v>6160</v>
      </c>
      <c r="G1695" t="s">
        <v>686</v>
      </c>
      <c r="I1695">
        <v>1424</v>
      </c>
      <c r="J1695">
        <v>1553</v>
      </c>
      <c r="K1695">
        <v>1673</v>
      </c>
      <c r="L1695">
        <v>1784</v>
      </c>
      <c r="M1695">
        <v>1903</v>
      </c>
      <c r="N1695" t="s">
        <v>988</v>
      </c>
    </row>
    <row r="1696" spans="1:14" x14ac:dyDescent="0.3">
      <c r="A1696">
        <v>1925</v>
      </c>
      <c r="B1696" t="s">
        <v>1824</v>
      </c>
      <c r="C1696" t="s">
        <v>2256</v>
      </c>
      <c r="D1696" t="s">
        <v>1203</v>
      </c>
      <c r="E1696" t="s">
        <v>1204</v>
      </c>
      <c r="F1696">
        <v>6160</v>
      </c>
      <c r="G1696" t="s">
        <v>698</v>
      </c>
      <c r="I1696">
        <v>1415</v>
      </c>
      <c r="J1696">
        <v>1543</v>
      </c>
      <c r="K1696">
        <v>1662</v>
      </c>
      <c r="L1696">
        <v>1773</v>
      </c>
      <c r="M1696">
        <v>1891</v>
      </c>
      <c r="N1696" t="s">
        <v>988</v>
      </c>
    </row>
    <row r="1697" spans="1:14" x14ac:dyDescent="0.3">
      <c r="A1697">
        <v>1925</v>
      </c>
      <c r="B1697" t="s">
        <v>1824</v>
      </c>
      <c r="C1697" t="s">
        <v>2256</v>
      </c>
      <c r="D1697" t="s">
        <v>1203</v>
      </c>
      <c r="E1697" t="s">
        <v>1204</v>
      </c>
      <c r="F1697">
        <v>6160</v>
      </c>
      <c r="G1697" t="s">
        <v>696</v>
      </c>
      <c r="I1697">
        <v>5256</v>
      </c>
      <c r="J1697">
        <v>5732</v>
      </c>
      <c r="K1697">
        <v>6175</v>
      </c>
      <c r="L1697">
        <v>6587</v>
      </c>
      <c r="M1697">
        <v>7026</v>
      </c>
      <c r="N1697" t="s">
        <v>988</v>
      </c>
    </row>
    <row r="1698" spans="1:14" x14ac:dyDescent="0.3">
      <c r="A1698">
        <v>1925</v>
      </c>
      <c r="B1698" t="s">
        <v>1824</v>
      </c>
      <c r="C1698" t="s">
        <v>2256</v>
      </c>
      <c r="D1698" t="s">
        <v>1203</v>
      </c>
      <c r="E1698" t="s">
        <v>1204</v>
      </c>
      <c r="F1698">
        <v>6160</v>
      </c>
      <c r="G1698" t="s">
        <v>700</v>
      </c>
      <c r="I1698">
        <v>572</v>
      </c>
      <c r="J1698">
        <v>624</v>
      </c>
      <c r="K1698">
        <v>672</v>
      </c>
      <c r="L1698">
        <v>717</v>
      </c>
      <c r="M1698">
        <v>765</v>
      </c>
      <c r="N1698" t="s">
        <v>988</v>
      </c>
    </row>
    <row r="1699" spans="1:14" x14ac:dyDescent="0.3">
      <c r="A1699">
        <v>1925</v>
      </c>
      <c r="B1699" t="s">
        <v>1824</v>
      </c>
      <c r="C1699" t="s">
        <v>2256</v>
      </c>
      <c r="D1699" t="s">
        <v>1203</v>
      </c>
      <c r="E1699" t="s">
        <v>1204</v>
      </c>
      <c r="F1699">
        <v>6160</v>
      </c>
      <c r="G1699" t="s">
        <v>701</v>
      </c>
      <c r="I1699">
        <v>1062</v>
      </c>
      <c r="J1699">
        <v>1158</v>
      </c>
      <c r="K1699">
        <v>1248</v>
      </c>
      <c r="L1699">
        <v>1331</v>
      </c>
      <c r="M1699">
        <v>1420</v>
      </c>
      <c r="N1699" t="s">
        <v>988</v>
      </c>
    </row>
    <row r="1700" spans="1:14" x14ac:dyDescent="0.3">
      <c r="A1700">
        <v>1925</v>
      </c>
      <c r="B1700" t="s">
        <v>1824</v>
      </c>
      <c r="C1700" t="s">
        <v>2256</v>
      </c>
      <c r="D1700" t="s">
        <v>1203</v>
      </c>
      <c r="E1700" t="s">
        <v>1204</v>
      </c>
      <c r="F1700">
        <v>6160</v>
      </c>
      <c r="G1700" t="s">
        <v>703</v>
      </c>
      <c r="I1700">
        <v>181</v>
      </c>
      <c r="J1700">
        <v>198</v>
      </c>
      <c r="K1700">
        <v>213</v>
      </c>
      <c r="L1700">
        <v>227</v>
      </c>
      <c r="M1700">
        <v>242</v>
      </c>
      <c r="N1700" t="s">
        <v>988</v>
      </c>
    </row>
    <row r="1701" spans="1:14" x14ac:dyDescent="0.3">
      <c r="A1701">
        <v>1925</v>
      </c>
      <c r="B1701" t="s">
        <v>1824</v>
      </c>
      <c r="C1701" t="s">
        <v>2256</v>
      </c>
      <c r="D1701" t="s">
        <v>1203</v>
      </c>
      <c r="E1701" t="s">
        <v>1204</v>
      </c>
      <c r="F1701">
        <v>6160</v>
      </c>
      <c r="G1701" t="s">
        <v>687</v>
      </c>
      <c r="H1701" t="s">
        <v>1826</v>
      </c>
      <c r="I1701">
        <v>28</v>
      </c>
      <c r="J1701">
        <v>30</v>
      </c>
      <c r="K1701">
        <v>33</v>
      </c>
      <c r="L1701">
        <v>35</v>
      </c>
      <c r="M1701">
        <v>37</v>
      </c>
      <c r="N1701" t="s">
        <v>988</v>
      </c>
    </row>
    <row r="1702" spans="1:14" x14ac:dyDescent="0.3">
      <c r="A1702">
        <v>1925</v>
      </c>
      <c r="B1702" t="s">
        <v>1824</v>
      </c>
      <c r="C1702" t="s">
        <v>2256</v>
      </c>
      <c r="D1702" t="s">
        <v>1203</v>
      </c>
      <c r="E1702" t="s">
        <v>1204</v>
      </c>
      <c r="F1702">
        <v>6160</v>
      </c>
      <c r="G1702" t="s">
        <v>702</v>
      </c>
      <c r="I1702">
        <v>1093</v>
      </c>
      <c r="J1702">
        <v>1192</v>
      </c>
      <c r="K1702">
        <v>1284</v>
      </c>
      <c r="L1702">
        <v>1370</v>
      </c>
      <c r="M1702">
        <v>1461</v>
      </c>
      <c r="N1702" t="s">
        <v>988</v>
      </c>
    </row>
    <row r="1703" spans="1:14" x14ac:dyDescent="0.3">
      <c r="A1703">
        <v>1927</v>
      </c>
      <c r="B1703" t="s">
        <v>771</v>
      </c>
      <c r="C1703" t="s">
        <v>2256</v>
      </c>
      <c r="D1703" t="s">
        <v>1203</v>
      </c>
      <c r="E1703" t="s">
        <v>1204</v>
      </c>
      <c r="F1703">
        <v>6885</v>
      </c>
      <c r="G1703" t="s">
        <v>687</v>
      </c>
      <c r="H1703" t="s">
        <v>1827</v>
      </c>
      <c r="I1703">
        <v>71208</v>
      </c>
      <c r="J1703">
        <v>69298</v>
      </c>
      <c r="K1703">
        <v>67681</v>
      </c>
      <c r="L1703">
        <v>66313</v>
      </c>
      <c r="N1703" t="s">
        <v>988</v>
      </c>
    </row>
    <row r="1704" spans="1:14" x14ac:dyDescent="0.3">
      <c r="A1704">
        <v>1927</v>
      </c>
      <c r="B1704" t="s">
        <v>771</v>
      </c>
      <c r="C1704" t="s">
        <v>2256</v>
      </c>
      <c r="D1704" t="s">
        <v>1203</v>
      </c>
      <c r="E1704" t="s">
        <v>1204</v>
      </c>
      <c r="F1704">
        <v>6885</v>
      </c>
      <c r="G1704" t="s">
        <v>687</v>
      </c>
      <c r="H1704" t="s">
        <v>2396</v>
      </c>
      <c r="I1704">
        <v>0</v>
      </c>
      <c r="J1704">
        <v>0</v>
      </c>
      <c r="K1704">
        <v>0</v>
      </c>
      <c r="L1704">
        <v>2000</v>
      </c>
      <c r="N1704" t="s">
        <v>988</v>
      </c>
    </row>
    <row r="1705" spans="1:14" x14ac:dyDescent="0.3">
      <c r="A1705">
        <v>1927</v>
      </c>
      <c r="B1705" t="s">
        <v>771</v>
      </c>
      <c r="C1705" t="s">
        <v>2256</v>
      </c>
      <c r="D1705" t="s">
        <v>1203</v>
      </c>
      <c r="E1705" t="s">
        <v>1204</v>
      </c>
      <c r="F1705">
        <v>6885</v>
      </c>
      <c r="G1705" t="s">
        <v>686</v>
      </c>
      <c r="I1705">
        <v>2520</v>
      </c>
      <c r="J1705">
        <v>2138</v>
      </c>
      <c r="K1705">
        <v>2478</v>
      </c>
      <c r="L1705">
        <v>2866</v>
      </c>
      <c r="N1705" t="s">
        <v>988</v>
      </c>
    </row>
    <row r="1706" spans="1:14" x14ac:dyDescent="0.3">
      <c r="A1706">
        <v>1927</v>
      </c>
      <c r="B1706" t="s">
        <v>771</v>
      </c>
      <c r="C1706" t="s">
        <v>2256</v>
      </c>
      <c r="D1706" t="s">
        <v>1203</v>
      </c>
      <c r="E1706" t="s">
        <v>1204</v>
      </c>
      <c r="F1706">
        <v>6885</v>
      </c>
      <c r="G1706" t="s">
        <v>702</v>
      </c>
      <c r="I1706">
        <v>3296</v>
      </c>
      <c r="J1706">
        <v>3801</v>
      </c>
      <c r="K1706">
        <v>4384</v>
      </c>
      <c r="L1706">
        <v>5057</v>
      </c>
      <c r="N1706" t="s">
        <v>988</v>
      </c>
    </row>
    <row r="1707" spans="1:14" x14ac:dyDescent="0.3">
      <c r="A1707">
        <v>1927</v>
      </c>
      <c r="B1707" t="s">
        <v>771</v>
      </c>
      <c r="C1707" t="s">
        <v>2256</v>
      </c>
      <c r="D1707" t="s">
        <v>1203</v>
      </c>
      <c r="E1707" t="s">
        <v>1204</v>
      </c>
      <c r="F1707">
        <v>6885</v>
      </c>
      <c r="G1707" t="s">
        <v>703</v>
      </c>
      <c r="H1707" t="s">
        <v>1414</v>
      </c>
      <c r="I1707">
        <v>1067</v>
      </c>
      <c r="J1707">
        <v>1227</v>
      </c>
      <c r="K1707">
        <v>1410</v>
      </c>
      <c r="L1707">
        <v>1622</v>
      </c>
      <c r="N1707" t="s">
        <v>988</v>
      </c>
    </row>
    <row r="1708" spans="1:14" x14ac:dyDescent="0.3">
      <c r="A1708">
        <v>1927</v>
      </c>
      <c r="B1708" t="s">
        <v>771</v>
      </c>
      <c r="C1708" t="s">
        <v>2256</v>
      </c>
      <c r="D1708" t="s">
        <v>1203</v>
      </c>
      <c r="E1708" t="s">
        <v>1204</v>
      </c>
      <c r="F1708">
        <v>6885</v>
      </c>
      <c r="G1708" t="s">
        <v>701</v>
      </c>
      <c r="I1708">
        <v>898</v>
      </c>
      <c r="J1708">
        <v>1347</v>
      </c>
      <c r="K1708">
        <v>1796</v>
      </c>
      <c r="L1708">
        <v>2245</v>
      </c>
      <c r="N1708" t="s">
        <v>988</v>
      </c>
    </row>
    <row r="1709" spans="1:14" x14ac:dyDescent="0.3">
      <c r="A1709">
        <v>1927</v>
      </c>
      <c r="B1709" t="s">
        <v>771</v>
      </c>
      <c r="C1709" t="s">
        <v>2256</v>
      </c>
      <c r="D1709" t="s">
        <v>1203</v>
      </c>
      <c r="E1709" t="s">
        <v>1204</v>
      </c>
      <c r="F1709">
        <v>6885</v>
      </c>
      <c r="G1709" t="s">
        <v>700</v>
      </c>
      <c r="I1709">
        <v>3271</v>
      </c>
      <c r="J1709">
        <v>3766</v>
      </c>
      <c r="K1709">
        <v>4337</v>
      </c>
      <c r="L1709">
        <v>4996</v>
      </c>
      <c r="N1709" t="s">
        <v>988</v>
      </c>
    </row>
    <row r="1710" spans="1:14" x14ac:dyDescent="0.3">
      <c r="A1710">
        <v>1927</v>
      </c>
      <c r="B1710" t="s">
        <v>771</v>
      </c>
      <c r="C1710" t="s">
        <v>2256</v>
      </c>
      <c r="D1710" t="s">
        <v>1203</v>
      </c>
      <c r="E1710" t="s">
        <v>1204</v>
      </c>
      <c r="F1710">
        <v>6885</v>
      </c>
      <c r="G1710" t="s">
        <v>698</v>
      </c>
      <c r="I1710">
        <v>2521</v>
      </c>
      <c r="J1710">
        <v>2877</v>
      </c>
      <c r="K1710">
        <v>3285</v>
      </c>
      <c r="L1710">
        <v>3755</v>
      </c>
      <c r="N1710" t="s">
        <v>988</v>
      </c>
    </row>
    <row r="1711" spans="1:14" x14ac:dyDescent="0.3">
      <c r="A1711">
        <v>1927</v>
      </c>
      <c r="B1711" t="s">
        <v>771</v>
      </c>
      <c r="C1711" t="s">
        <v>2256</v>
      </c>
      <c r="D1711" t="s">
        <v>1203</v>
      </c>
      <c r="E1711" t="s">
        <v>1204</v>
      </c>
      <c r="F1711">
        <v>6885</v>
      </c>
      <c r="G1711" t="s">
        <v>696</v>
      </c>
      <c r="I1711">
        <v>19159</v>
      </c>
      <c r="J1711">
        <v>22100</v>
      </c>
      <c r="K1711">
        <v>25493</v>
      </c>
      <c r="L1711">
        <v>29408</v>
      </c>
      <c r="N1711" t="s">
        <v>988</v>
      </c>
    </row>
    <row r="1712" spans="1:14" x14ac:dyDescent="0.3">
      <c r="A1712">
        <v>1927</v>
      </c>
      <c r="B1712" t="s">
        <v>771</v>
      </c>
      <c r="C1712" t="s">
        <v>2256</v>
      </c>
      <c r="D1712" t="s">
        <v>1203</v>
      </c>
      <c r="E1712" t="s">
        <v>1204</v>
      </c>
      <c r="F1712">
        <v>6885</v>
      </c>
      <c r="G1712" t="s">
        <v>687</v>
      </c>
      <c r="H1712" t="s">
        <v>1525</v>
      </c>
      <c r="I1712">
        <v>448</v>
      </c>
      <c r="J1712">
        <v>517</v>
      </c>
      <c r="K1712">
        <v>596</v>
      </c>
      <c r="L1712">
        <v>688</v>
      </c>
      <c r="N1712" t="s">
        <v>988</v>
      </c>
    </row>
    <row r="1713" spans="1:14" x14ac:dyDescent="0.3">
      <c r="A1713">
        <v>1940</v>
      </c>
      <c r="B1713" t="s">
        <v>1828</v>
      </c>
      <c r="C1713" t="s">
        <v>2256</v>
      </c>
      <c r="D1713" t="s">
        <v>159</v>
      </c>
      <c r="E1713" t="s">
        <v>159</v>
      </c>
      <c r="F1713">
        <v>7213</v>
      </c>
      <c r="G1713" t="s">
        <v>696</v>
      </c>
      <c r="I1713">
        <v>8952</v>
      </c>
      <c r="J1713">
        <v>9219</v>
      </c>
      <c r="K1713">
        <v>9485</v>
      </c>
      <c r="L1713">
        <v>9752</v>
      </c>
      <c r="M1713">
        <v>9752</v>
      </c>
      <c r="N1713" t="s">
        <v>988</v>
      </c>
    </row>
    <row r="1714" spans="1:14" x14ac:dyDescent="0.3">
      <c r="A1714">
        <v>1940</v>
      </c>
      <c r="B1714" t="s">
        <v>1828</v>
      </c>
      <c r="C1714" t="s">
        <v>2256</v>
      </c>
      <c r="D1714" t="s">
        <v>159</v>
      </c>
      <c r="E1714" t="s">
        <v>159</v>
      </c>
      <c r="F1714">
        <v>7213</v>
      </c>
      <c r="G1714" t="s">
        <v>698</v>
      </c>
      <c r="I1714">
        <v>1472</v>
      </c>
      <c r="J1714">
        <v>1515</v>
      </c>
      <c r="K1714">
        <v>1559</v>
      </c>
      <c r="L1714">
        <v>1603</v>
      </c>
      <c r="M1714">
        <v>1603</v>
      </c>
      <c r="N1714" t="s">
        <v>988</v>
      </c>
    </row>
    <row r="1715" spans="1:14" x14ac:dyDescent="0.3">
      <c r="A1715">
        <v>1940</v>
      </c>
      <c r="B1715" t="s">
        <v>1828</v>
      </c>
      <c r="C1715" t="s">
        <v>2256</v>
      </c>
      <c r="D1715" t="s">
        <v>159</v>
      </c>
      <c r="E1715" t="s">
        <v>159</v>
      </c>
      <c r="F1715">
        <v>7213</v>
      </c>
      <c r="G1715" t="s">
        <v>701</v>
      </c>
      <c r="I1715">
        <v>66</v>
      </c>
      <c r="J1715">
        <v>68</v>
      </c>
      <c r="K1715">
        <v>70</v>
      </c>
      <c r="L1715">
        <v>72</v>
      </c>
      <c r="M1715">
        <v>72</v>
      </c>
      <c r="N1715" t="s">
        <v>988</v>
      </c>
    </row>
    <row r="1716" spans="1:14" x14ac:dyDescent="0.3">
      <c r="A1716">
        <v>1940</v>
      </c>
      <c r="B1716" t="s">
        <v>1828</v>
      </c>
      <c r="C1716" t="s">
        <v>2256</v>
      </c>
      <c r="D1716" t="s">
        <v>159</v>
      </c>
      <c r="E1716" t="s">
        <v>159</v>
      </c>
      <c r="F1716">
        <v>7213</v>
      </c>
      <c r="G1716" t="s">
        <v>700</v>
      </c>
      <c r="I1716">
        <v>1376</v>
      </c>
      <c r="J1716">
        <v>1417</v>
      </c>
      <c r="K1716">
        <v>1458</v>
      </c>
      <c r="L1716">
        <v>1499</v>
      </c>
      <c r="M1716">
        <v>1499</v>
      </c>
      <c r="N1716" t="s">
        <v>988</v>
      </c>
    </row>
    <row r="1717" spans="1:14" x14ac:dyDescent="0.3">
      <c r="A1717">
        <v>1940</v>
      </c>
      <c r="B1717" t="s">
        <v>1828</v>
      </c>
      <c r="C1717" t="s">
        <v>2256</v>
      </c>
      <c r="D1717" t="s">
        <v>159</v>
      </c>
      <c r="E1717" t="s">
        <v>159</v>
      </c>
      <c r="F1717">
        <v>7213</v>
      </c>
      <c r="G1717" t="s">
        <v>702</v>
      </c>
      <c r="I1717">
        <v>3393</v>
      </c>
      <c r="J1717">
        <v>3494</v>
      </c>
      <c r="K1717">
        <v>3595</v>
      </c>
      <c r="L1717">
        <v>3696</v>
      </c>
      <c r="M1717">
        <v>3696</v>
      </c>
      <c r="N1717" t="s">
        <v>988</v>
      </c>
    </row>
    <row r="1718" spans="1:14" x14ac:dyDescent="0.3">
      <c r="A1718">
        <v>1940</v>
      </c>
      <c r="B1718" t="s">
        <v>1828</v>
      </c>
      <c r="C1718" t="s">
        <v>2256</v>
      </c>
      <c r="D1718" t="s">
        <v>159</v>
      </c>
      <c r="E1718" t="s">
        <v>159</v>
      </c>
      <c r="F1718">
        <v>7213</v>
      </c>
      <c r="G1718" t="s">
        <v>686</v>
      </c>
      <c r="I1718">
        <v>1482</v>
      </c>
      <c r="J1718">
        <v>1526</v>
      </c>
      <c r="K1718">
        <v>1570</v>
      </c>
      <c r="L1718">
        <v>1614</v>
      </c>
      <c r="M1718">
        <v>1614</v>
      </c>
      <c r="N1718" t="s">
        <v>988</v>
      </c>
    </row>
    <row r="1719" spans="1:14" x14ac:dyDescent="0.3">
      <c r="A1719">
        <v>1945</v>
      </c>
      <c r="B1719" t="s">
        <v>1829</v>
      </c>
      <c r="C1719" t="s">
        <v>2256</v>
      </c>
      <c r="D1719" t="s">
        <v>159</v>
      </c>
      <c r="E1719" t="s">
        <v>159</v>
      </c>
      <c r="F1719">
        <v>5546</v>
      </c>
      <c r="G1719" t="s">
        <v>696</v>
      </c>
      <c r="I1719">
        <v>10423</v>
      </c>
      <c r="J1719">
        <v>10808</v>
      </c>
      <c r="K1719">
        <v>11208</v>
      </c>
      <c r="L1719">
        <v>11597</v>
      </c>
      <c r="M1719">
        <v>11999</v>
      </c>
      <c r="N1719" t="s">
        <v>988</v>
      </c>
    </row>
    <row r="1720" spans="1:14" x14ac:dyDescent="0.3">
      <c r="A1720">
        <v>1945</v>
      </c>
      <c r="B1720" t="s">
        <v>1829</v>
      </c>
      <c r="C1720" t="s">
        <v>2256</v>
      </c>
      <c r="D1720" t="s">
        <v>159</v>
      </c>
      <c r="E1720" t="s">
        <v>159</v>
      </c>
      <c r="F1720">
        <v>5546</v>
      </c>
      <c r="G1720" t="s">
        <v>698</v>
      </c>
      <c r="I1720">
        <v>4214</v>
      </c>
      <c r="J1720">
        <v>4370</v>
      </c>
      <c r="K1720">
        <v>4532</v>
      </c>
      <c r="L1720">
        <v>4689</v>
      </c>
      <c r="M1720">
        <v>4851</v>
      </c>
      <c r="N1720" t="s">
        <v>987</v>
      </c>
    </row>
    <row r="1721" spans="1:14" x14ac:dyDescent="0.3">
      <c r="A1721">
        <v>1945</v>
      </c>
      <c r="B1721" t="s">
        <v>1829</v>
      </c>
      <c r="C1721" t="s">
        <v>2256</v>
      </c>
      <c r="D1721" t="s">
        <v>159</v>
      </c>
      <c r="E1721" t="s">
        <v>159</v>
      </c>
      <c r="F1721">
        <v>5546</v>
      </c>
      <c r="G1721" t="s">
        <v>700</v>
      </c>
      <c r="I1721">
        <v>3606</v>
      </c>
      <c r="J1721">
        <v>3739</v>
      </c>
      <c r="K1721">
        <v>3877</v>
      </c>
      <c r="L1721">
        <v>4012</v>
      </c>
      <c r="M1721">
        <v>4151</v>
      </c>
      <c r="N1721" t="s">
        <v>987</v>
      </c>
    </row>
    <row r="1722" spans="1:14" x14ac:dyDescent="0.3">
      <c r="A1722">
        <v>1945</v>
      </c>
      <c r="B1722" t="s">
        <v>1829</v>
      </c>
      <c r="C1722" t="s">
        <v>2256</v>
      </c>
      <c r="D1722" t="s">
        <v>159</v>
      </c>
      <c r="E1722" t="s">
        <v>159</v>
      </c>
      <c r="F1722">
        <v>5546</v>
      </c>
      <c r="G1722" t="s">
        <v>702</v>
      </c>
      <c r="I1722">
        <v>1196</v>
      </c>
      <c r="J1722">
        <v>1241</v>
      </c>
      <c r="K1722">
        <v>1287</v>
      </c>
      <c r="L1722">
        <v>1331</v>
      </c>
      <c r="M1722">
        <v>1377</v>
      </c>
      <c r="N1722" t="s">
        <v>987</v>
      </c>
    </row>
    <row r="1723" spans="1:14" x14ac:dyDescent="0.3">
      <c r="A1723">
        <v>1945</v>
      </c>
      <c r="B1723" t="s">
        <v>1829</v>
      </c>
      <c r="C1723" t="s">
        <v>2256</v>
      </c>
      <c r="D1723" t="s">
        <v>159</v>
      </c>
      <c r="E1723" t="s">
        <v>159</v>
      </c>
      <c r="F1723">
        <v>5546</v>
      </c>
      <c r="G1723" t="s">
        <v>686</v>
      </c>
      <c r="I1723">
        <v>1171</v>
      </c>
      <c r="J1723">
        <v>1215</v>
      </c>
      <c r="K1723">
        <v>1260</v>
      </c>
      <c r="L1723">
        <v>1303</v>
      </c>
      <c r="M1723">
        <v>1348</v>
      </c>
      <c r="N1723" t="s">
        <v>987</v>
      </c>
    </row>
    <row r="1724" spans="1:14" x14ac:dyDescent="0.3">
      <c r="A1724">
        <v>1945</v>
      </c>
      <c r="B1724" t="s">
        <v>1829</v>
      </c>
      <c r="C1724" t="s">
        <v>2256</v>
      </c>
      <c r="D1724" t="s">
        <v>159</v>
      </c>
      <c r="E1724" t="s">
        <v>159</v>
      </c>
      <c r="F1724">
        <v>5546</v>
      </c>
      <c r="G1724" t="s">
        <v>703</v>
      </c>
      <c r="I1724">
        <v>1748</v>
      </c>
      <c r="J1724">
        <v>1812</v>
      </c>
      <c r="K1724">
        <v>1879</v>
      </c>
      <c r="L1724">
        <v>1944</v>
      </c>
      <c r="M1724">
        <v>2012</v>
      </c>
      <c r="N1724" t="s">
        <v>987</v>
      </c>
    </row>
    <row r="1725" spans="1:14" x14ac:dyDescent="0.3">
      <c r="A1725">
        <v>1953</v>
      </c>
      <c r="B1725" t="s">
        <v>1830</v>
      </c>
      <c r="C1725" t="s">
        <v>2256</v>
      </c>
      <c r="D1725" t="s">
        <v>159</v>
      </c>
      <c r="E1725" t="s">
        <v>159</v>
      </c>
      <c r="F1725">
        <v>5730</v>
      </c>
      <c r="G1725" t="s">
        <v>698</v>
      </c>
      <c r="I1725">
        <v>383</v>
      </c>
      <c r="J1725">
        <v>395</v>
      </c>
      <c r="K1725">
        <v>407</v>
      </c>
      <c r="L1725">
        <v>419</v>
      </c>
      <c r="M1725">
        <v>421</v>
      </c>
      <c r="N1725" t="s">
        <v>987</v>
      </c>
    </row>
    <row r="1726" spans="1:14" x14ac:dyDescent="0.3">
      <c r="A1726">
        <v>1953</v>
      </c>
      <c r="B1726" t="s">
        <v>1830</v>
      </c>
      <c r="C1726" t="s">
        <v>2256</v>
      </c>
      <c r="D1726" t="s">
        <v>159</v>
      </c>
      <c r="E1726" t="s">
        <v>159</v>
      </c>
      <c r="F1726">
        <v>5730</v>
      </c>
      <c r="G1726" t="s">
        <v>700</v>
      </c>
      <c r="I1726">
        <v>159</v>
      </c>
      <c r="J1726">
        <v>163</v>
      </c>
      <c r="K1726">
        <v>168</v>
      </c>
      <c r="L1726">
        <v>174</v>
      </c>
      <c r="M1726">
        <v>174</v>
      </c>
      <c r="N1726" t="s">
        <v>987</v>
      </c>
    </row>
    <row r="1727" spans="1:14" x14ac:dyDescent="0.3">
      <c r="A1727">
        <v>1953</v>
      </c>
      <c r="B1727" t="s">
        <v>1830</v>
      </c>
      <c r="C1727" t="s">
        <v>2256</v>
      </c>
      <c r="D1727" t="s">
        <v>159</v>
      </c>
      <c r="E1727" t="s">
        <v>159</v>
      </c>
      <c r="F1727">
        <v>5730</v>
      </c>
      <c r="G1727" t="s">
        <v>701</v>
      </c>
      <c r="I1727">
        <v>14</v>
      </c>
      <c r="J1727">
        <v>15</v>
      </c>
      <c r="K1727">
        <v>15</v>
      </c>
      <c r="L1727">
        <v>16</v>
      </c>
      <c r="M1727">
        <v>16</v>
      </c>
      <c r="N1727" t="s">
        <v>987</v>
      </c>
    </row>
    <row r="1728" spans="1:14" x14ac:dyDescent="0.3">
      <c r="A1728">
        <v>1953</v>
      </c>
      <c r="B1728" t="s">
        <v>1830</v>
      </c>
      <c r="C1728" t="s">
        <v>2256</v>
      </c>
      <c r="D1728" t="s">
        <v>159</v>
      </c>
      <c r="E1728" t="s">
        <v>159</v>
      </c>
      <c r="F1728">
        <v>5730</v>
      </c>
      <c r="G1728" t="s">
        <v>684</v>
      </c>
      <c r="I1728">
        <v>362</v>
      </c>
      <c r="J1728">
        <v>373</v>
      </c>
      <c r="K1728">
        <v>384</v>
      </c>
      <c r="L1728">
        <v>396</v>
      </c>
      <c r="M1728">
        <v>397</v>
      </c>
      <c r="N1728" t="s">
        <v>988</v>
      </c>
    </row>
    <row r="1729" spans="1:14" x14ac:dyDescent="0.3">
      <c r="A1729">
        <v>1953</v>
      </c>
      <c r="B1729" t="s">
        <v>1830</v>
      </c>
      <c r="C1729" t="s">
        <v>2256</v>
      </c>
      <c r="D1729" t="s">
        <v>159</v>
      </c>
      <c r="E1729" t="s">
        <v>159</v>
      </c>
      <c r="F1729">
        <v>5730</v>
      </c>
      <c r="G1729" t="s">
        <v>686</v>
      </c>
      <c r="I1729">
        <v>58</v>
      </c>
      <c r="J1729">
        <v>59</v>
      </c>
      <c r="K1729">
        <v>61</v>
      </c>
      <c r="L1729">
        <v>63</v>
      </c>
      <c r="M1729">
        <v>63</v>
      </c>
      <c r="N1729" t="s">
        <v>988</v>
      </c>
    </row>
    <row r="1730" spans="1:14" x14ac:dyDescent="0.3">
      <c r="A1730">
        <v>1953</v>
      </c>
      <c r="B1730" t="s">
        <v>1830</v>
      </c>
      <c r="C1730" t="s">
        <v>2256</v>
      </c>
      <c r="D1730" t="s">
        <v>159</v>
      </c>
      <c r="E1730" t="s">
        <v>159</v>
      </c>
      <c r="F1730">
        <v>5730</v>
      </c>
      <c r="G1730" t="s">
        <v>696</v>
      </c>
      <c r="I1730">
        <v>982</v>
      </c>
      <c r="J1730">
        <v>1012</v>
      </c>
      <c r="K1730">
        <v>1042</v>
      </c>
      <c r="L1730">
        <v>1074</v>
      </c>
      <c r="M1730">
        <v>1078</v>
      </c>
      <c r="N1730" t="s">
        <v>988</v>
      </c>
    </row>
    <row r="1731" spans="1:14" x14ac:dyDescent="0.3">
      <c r="A1731">
        <v>1956</v>
      </c>
      <c r="B1731" t="s">
        <v>1831</v>
      </c>
      <c r="C1731" t="s">
        <v>2256</v>
      </c>
      <c r="D1731" t="s">
        <v>1203</v>
      </c>
      <c r="E1731" t="s">
        <v>1204</v>
      </c>
      <c r="F1731">
        <v>8024</v>
      </c>
      <c r="G1731" t="s">
        <v>684</v>
      </c>
      <c r="I1731">
        <v>0</v>
      </c>
      <c r="J1731">
        <v>0</v>
      </c>
      <c r="K1731">
        <v>0</v>
      </c>
      <c r="L1731">
        <v>0</v>
      </c>
      <c r="N1731" t="s">
        <v>988</v>
      </c>
    </row>
    <row r="1732" spans="1:14" x14ac:dyDescent="0.3">
      <c r="A1732">
        <v>1956</v>
      </c>
      <c r="B1732" t="s">
        <v>1831</v>
      </c>
      <c r="C1732" t="s">
        <v>2256</v>
      </c>
      <c r="D1732" t="s">
        <v>1203</v>
      </c>
      <c r="E1732" t="s">
        <v>1204</v>
      </c>
      <c r="F1732">
        <v>8024</v>
      </c>
      <c r="G1732" t="s">
        <v>686</v>
      </c>
      <c r="I1732">
        <v>634</v>
      </c>
      <c r="J1732">
        <v>718.502072973694</v>
      </c>
      <c r="K1732">
        <v>811.39752338125197</v>
      </c>
      <c r="L1732">
        <v>920.32849796630501</v>
      </c>
      <c r="N1732" t="s">
        <v>988</v>
      </c>
    </row>
    <row r="1733" spans="1:14" x14ac:dyDescent="0.3">
      <c r="A1733">
        <v>1956</v>
      </c>
      <c r="B1733" t="s">
        <v>1831</v>
      </c>
      <c r="C1733" t="s">
        <v>2256</v>
      </c>
      <c r="D1733" t="s">
        <v>1203</v>
      </c>
      <c r="E1733" t="s">
        <v>1204</v>
      </c>
      <c r="F1733">
        <v>8024</v>
      </c>
      <c r="G1733" t="s">
        <v>691</v>
      </c>
      <c r="I1733">
        <v>232</v>
      </c>
      <c r="J1733">
        <v>263.04872973409903</v>
      </c>
      <c r="K1733">
        <v>297.05841620118298</v>
      </c>
      <c r="L1733">
        <v>336.93882235603701</v>
      </c>
      <c r="N1733" t="s">
        <v>988</v>
      </c>
    </row>
    <row r="1734" spans="1:14" x14ac:dyDescent="0.3">
      <c r="A1734">
        <v>1956</v>
      </c>
      <c r="B1734" t="s">
        <v>1831</v>
      </c>
      <c r="C1734" t="s">
        <v>2256</v>
      </c>
      <c r="D1734" t="s">
        <v>1203</v>
      </c>
      <c r="E1734" t="s">
        <v>1204</v>
      </c>
      <c r="F1734">
        <v>8024</v>
      </c>
      <c r="G1734" t="s">
        <v>702</v>
      </c>
      <c r="I1734">
        <v>351</v>
      </c>
      <c r="J1734">
        <v>397.55351662672399</v>
      </c>
      <c r="K1734">
        <v>448.95338640761503</v>
      </c>
      <c r="L1734">
        <v>509.22585275782598</v>
      </c>
      <c r="N1734" t="s">
        <v>988</v>
      </c>
    </row>
    <row r="1735" spans="1:14" x14ac:dyDescent="0.3">
      <c r="A1735">
        <v>1956</v>
      </c>
      <c r="B1735" t="s">
        <v>1831</v>
      </c>
      <c r="C1735" t="s">
        <v>2256</v>
      </c>
      <c r="D1735" t="s">
        <v>1203</v>
      </c>
      <c r="E1735" t="s">
        <v>1204</v>
      </c>
      <c r="F1735">
        <v>8024</v>
      </c>
      <c r="G1735" t="s">
        <v>701</v>
      </c>
      <c r="I1735">
        <v>16</v>
      </c>
      <c r="J1735">
        <v>18.146392453502099</v>
      </c>
      <c r="K1735">
        <v>20.492547549845298</v>
      </c>
      <c r="L1735">
        <v>23.2436937044858</v>
      </c>
      <c r="N1735" t="s">
        <v>988</v>
      </c>
    </row>
    <row r="1736" spans="1:14" x14ac:dyDescent="0.3">
      <c r="A1736">
        <v>1956</v>
      </c>
      <c r="B1736" t="s">
        <v>1831</v>
      </c>
      <c r="C1736" t="s">
        <v>2256</v>
      </c>
      <c r="D1736" t="s">
        <v>1203</v>
      </c>
      <c r="E1736" t="s">
        <v>1204</v>
      </c>
      <c r="F1736">
        <v>8024</v>
      </c>
      <c r="G1736" t="s">
        <v>696</v>
      </c>
      <c r="I1736">
        <v>3182</v>
      </c>
      <c r="J1736">
        <v>3607.29413024617</v>
      </c>
      <c r="K1736">
        <v>4073.6827818402598</v>
      </c>
      <c r="L1736">
        <v>4620.57899829285</v>
      </c>
      <c r="N1736" t="s">
        <v>988</v>
      </c>
    </row>
    <row r="1737" spans="1:14" x14ac:dyDescent="0.3">
      <c r="A1737">
        <v>1956</v>
      </c>
      <c r="B1737" t="s">
        <v>1831</v>
      </c>
      <c r="C1737" t="s">
        <v>2256</v>
      </c>
      <c r="D1737" t="s">
        <v>1203</v>
      </c>
      <c r="E1737" t="s">
        <v>1204</v>
      </c>
      <c r="F1737">
        <v>8024</v>
      </c>
      <c r="G1737" t="s">
        <v>698</v>
      </c>
      <c r="I1737">
        <v>612</v>
      </c>
      <c r="J1737">
        <v>694.381695278454</v>
      </c>
      <c r="K1737">
        <v>784.15861139880201</v>
      </c>
      <c r="L1737">
        <v>889.43273327801899</v>
      </c>
      <c r="N1737" t="s">
        <v>988</v>
      </c>
    </row>
    <row r="1738" spans="1:14" x14ac:dyDescent="0.3">
      <c r="A1738">
        <v>1956</v>
      </c>
      <c r="B1738" t="s">
        <v>1831</v>
      </c>
      <c r="C1738" t="s">
        <v>2256</v>
      </c>
      <c r="D1738" t="s">
        <v>1203</v>
      </c>
      <c r="E1738" t="s">
        <v>1204</v>
      </c>
      <c r="F1738">
        <v>8024</v>
      </c>
      <c r="G1738" t="s">
        <v>700</v>
      </c>
      <c r="H1738" t="s">
        <v>2397</v>
      </c>
      <c r="I1738">
        <v>704</v>
      </c>
      <c r="J1738">
        <v>798.07346268735398</v>
      </c>
      <c r="K1738">
        <v>901.25673322104296</v>
      </c>
      <c r="L1738">
        <v>1022.25140164448</v>
      </c>
      <c r="N1738" t="s">
        <v>988</v>
      </c>
    </row>
    <row r="1739" spans="1:14" x14ac:dyDescent="0.3">
      <c r="A1739">
        <v>1964</v>
      </c>
      <c r="B1739" t="s">
        <v>1832</v>
      </c>
      <c r="C1739" t="s">
        <v>2256</v>
      </c>
      <c r="D1739" t="s">
        <v>1203</v>
      </c>
      <c r="E1739" t="s">
        <v>1204</v>
      </c>
      <c r="F1739">
        <v>8095</v>
      </c>
      <c r="G1739" t="s">
        <v>686</v>
      </c>
      <c r="I1739">
        <v>676</v>
      </c>
      <c r="J1739">
        <v>693</v>
      </c>
      <c r="K1739">
        <v>709</v>
      </c>
      <c r="L1739">
        <v>718</v>
      </c>
      <c r="M1739">
        <v>740</v>
      </c>
      <c r="N1739" t="s">
        <v>988</v>
      </c>
    </row>
    <row r="1740" spans="1:14" x14ac:dyDescent="0.3">
      <c r="A1740">
        <v>1964</v>
      </c>
      <c r="B1740" t="s">
        <v>1832</v>
      </c>
      <c r="C1740" t="s">
        <v>2256</v>
      </c>
      <c r="D1740" t="s">
        <v>1203</v>
      </c>
      <c r="E1740" t="s">
        <v>1204</v>
      </c>
      <c r="F1740">
        <v>8095</v>
      </c>
      <c r="G1740" t="s">
        <v>705</v>
      </c>
      <c r="H1740" t="s">
        <v>1833</v>
      </c>
      <c r="I1740">
        <v>186</v>
      </c>
      <c r="J1740">
        <v>186</v>
      </c>
      <c r="K1740">
        <v>186</v>
      </c>
      <c r="L1740">
        <v>186</v>
      </c>
      <c r="M1740">
        <v>186</v>
      </c>
      <c r="N1740" t="s">
        <v>988</v>
      </c>
    </row>
    <row r="1741" spans="1:14" x14ac:dyDescent="0.3">
      <c r="A1741">
        <v>1964</v>
      </c>
      <c r="B1741" t="s">
        <v>1832</v>
      </c>
      <c r="C1741" t="s">
        <v>2256</v>
      </c>
      <c r="D1741" t="s">
        <v>1203</v>
      </c>
      <c r="E1741" t="s">
        <v>1204</v>
      </c>
      <c r="F1741">
        <v>8095</v>
      </c>
      <c r="G1741" t="s">
        <v>702</v>
      </c>
      <c r="H1741" t="s">
        <v>1834</v>
      </c>
      <c r="I1741">
        <v>469</v>
      </c>
      <c r="J1741">
        <v>482</v>
      </c>
      <c r="K1741">
        <v>493</v>
      </c>
      <c r="L1741">
        <v>499</v>
      </c>
      <c r="M1741">
        <v>515</v>
      </c>
      <c r="N1741" t="s">
        <v>988</v>
      </c>
    </row>
    <row r="1742" spans="1:14" x14ac:dyDescent="0.3">
      <c r="A1742">
        <v>1964</v>
      </c>
      <c r="B1742" t="s">
        <v>1832</v>
      </c>
      <c r="C1742" t="s">
        <v>2256</v>
      </c>
      <c r="D1742" t="s">
        <v>1203</v>
      </c>
      <c r="E1742" t="s">
        <v>1204</v>
      </c>
      <c r="F1742">
        <v>8095</v>
      </c>
      <c r="G1742" t="s">
        <v>702</v>
      </c>
      <c r="I1742">
        <v>447</v>
      </c>
      <c r="J1742">
        <v>459</v>
      </c>
      <c r="K1742">
        <v>470</v>
      </c>
      <c r="L1742">
        <v>476</v>
      </c>
      <c r="M1742">
        <v>491</v>
      </c>
      <c r="N1742" t="s">
        <v>988</v>
      </c>
    </row>
    <row r="1743" spans="1:14" x14ac:dyDescent="0.3">
      <c r="A1743">
        <v>1964</v>
      </c>
      <c r="B1743" t="s">
        <v>1832</v>
      </c>
      <c r="C1743" t="s">
        <v>2256</v>
      </c>
      <c r="D1743" t="s">
        <v>1203</v>
      </c>
      <c r="E1743" t="s">
        <v>1204</v>
      </c>
      <c r="F1743">
        <v>8095</v>
      </c>
      <c r="G1743" t="s">
        <v>684</v>
      </c>
      <c r="I1743">
        <v>42</v>
      </c>
      <c r="J1743">
        <v>41</v>
      </c>
      <c r="K1743">
        <v>40</v>
      </c>
      <c r="L1743">
        <v>40</v>
      </c>
      <c r="M1743">
        <v>40</v>
      </c>
      <c r="N1743" t="s">
        <v>988</v>
      </c>
    </row>
    <row r="1744" spans="1:14" x14ac:dyDescent="0.3">
      <c r="A1744">
        <v>1964</v>
      </c>
      <c r="B1744" t="s">
        <v>1832</v>
      </c>
      <c r="C1744" t="s">
        <v>2256</v>
      </c>
      <c r="D1744" t="s">
        <v>1203</v>
      </c>
      <c r="E1744" t="s">
        <v>1204</v>
      </c>
      <c r="F1744">
        <v>8095</v>
      </c>
      <c r="G1744" t="s">
        <v>700</v>
      </c>
      <c r="I1744">
        <v>1084</v>
      </c>
      <c r="J1744">
        <v>1112</v>
      </c>
      <c r="K1744">
        <v>1139</v>
      </c>
      <c r="L1744">
        <v>1153</v>
      </c>
      <c r="M1744">
        <v>1189</v>
      </c>
      <c r="N1744" t="s">
        <v>988</v>
      </c>
    </row>
    <row r="1745" spans="1:14" x14ac:dyDescent="0.3">
      <c r="A1745">
        <v>1964</v>
      </c>
      <c r="B1745" t="s">
        <v>1832</v>
      </c>
      <c r="C1745" t="s">
        <v>2256</v>
      </c>
      <c r="D1745" t="s">
        <v>1203</v>
      </c>
      <c r="E1745" t="s">
        <v>1204</v>
      </c>
      <c r="F1745">
        <v>8095</v>
      </c>
      <c r="G1745" t="s">
        <v>698</v>
      </c>
      <c r="I1745">
        <v>474</v>
      </c>
      <c r="J1745">
        <v>487</v>
      </c>
      <c r="K1745">
        <v>499</v>
      </c>
      <c r="L1745">
        <v>505</v>
      </c>
      <c r="M1745">
        <v>521</v>
      </c>
      <c r="N1745" t="s">
        <v>988</v>
      </c>
    </row>
    <row r="1746" spans="1:14" x14ac:dyDescent="0.3">
      <c r="A1746">
        <v>1964</v>
      </c>
      <c r="B1746" t="s">
        <v>1832</v>
      </c>
      <c r="C1746" t="s">
        <v>2256</v>
      </c>
      <c r="D1746" t="s">
        <v>1203</v>
      </c>
      <c r="E1746" t="s">
        <v>1204</v>
      </c>
      <c r="F1746">
        <v>8095</v>
      </c>
      <c r="G1746" t="s">
        <v>696</v>
      </c>
      <c r="I1746">
        <v>6597</v>
      </c>
      <c r="J1746">
        <v>6769</v>
      </c>
      <c r="K1746">
        <v>6935</v>
      </c>
      <c r="L1746">
        <v>7021</v>
      </c>
      <c r="M1746">
        <v>7241</v>
      </c>
      <c r="N1746" t="s">
        <v>988</v>
      </c>
    </row>
    <row r="1747" spans="1:14" x14ac:dyDescent="0.3">
      <c r="A1747">
        <v>1964</v>
      </c>
      <c r="B1747" t="s">
        <v>1832</v>
      </c>
      <c r="C1747" t="s">
        <v>2256</v>
      </c>
      <c r="D1747" t="s">
        <v>1203</v>
      </c>
      <c r="E1747" t="s">
        <v>1204</v>
      </c>
      <c r="F1747">
        <v>8095</v>
      </c>
      <c r="G1747" t="s">
        <v>701</v>
      </c>
      <c r="I1747">
        <v>112</v>
      </c>
      <c r="J1747">
        <v>115</v>
      </c>
      <c r="K1747">
        <v>118</v>
      </c>
      <c r="L1747">
        <v>119</v>
      </c>
      <c r="M1747">
        <v>123</v>
      </c>
      <c r="N1747" t="s">
        <v>988</v>
      </c>
    </row>
    <row r="1748" spans="1:14" x14ac:dyDescent="0.3">
      <c r="A1748">
        <v>1983</v>
      </c>
      <c r="B1748" t="s">
        <v>1835</v>
      </c>
      <c r="C1748" t="s">
        <v>2256</v>
      </c>
      <c r="D1748" t="s">
        <v>1203</v>
      </c>
      <c r="E1748" t="s">
        <v>1204</v>
      </c>
      <c r="F1748">
        <v>5745</v>
      </c>
      <c r="G1748" t="s">
        <v>686</v>
      </c>
      <c r="I1748">
        <v>284</v>
      </c>
      <c r="J1748">
        <v>293</v>
      </c>
      <c r="K1748">
        <v>302</v>
      </c>
      <c r="L1748">
        <v>311</v>
      </c>
      <c r="M1748">
        <v>321</v>
      </c>
      <c r="N1748" t="s">
        <v>988</v>
      </c>
    </row>
    <row r="1749" spans="1:14" x14ac:dyDescent="0.3">
      <c r="A1749">
        <v>1983</v>
      </c>
      <c r="B1749" t="s">
        <v>1835</v>
      </c>
      <c r="C1749" t="s">
        <v>2256</v>
      </c>
      <c r="D1749" t="s">
        <v>1203</v>
      </c>
      <c r="E1749" t="s">
        <v>1204</v>
      </c>
      <c r="F1749">
        <v>5745</v>
      </c>
      <c r="G1749" t="s">
        <v>702</v>
      </c>
      <c r="I1749">
        <v>209</v>
      </c>
      <c r="J1749">
        <v>215</v>
      </c>
      <c r="K1749">
        <v>222</v>
      </c>
      <c r="L1749">
        <v>229</v>
      </c>
      <c r="M1749">
        <v>236</v>
      </c>
      <c r="N1749" t="s">
        <v>988</v>
      </c>
    </row>
    <row r="1750" spans="1:14" x14ac:dyDescent="0.3">
      <c r="A1750">
        <v>1983</v>
      </c>
      <c r="B1750" t="s">
        <v>1835</v>
      </c>
      <c r="C1750" t="s">
        <v>2256</v>
      </c>
      <c r="D1750" t="s">
        <v>1203</v>
      </c>
      <c r="E1750" t="s">
        <v>1204</v>
      </c>
      <c r="F1750">
        <v>5745</v>
      </c>
      <c r="G1750" t="s">
        <v>696</v>
      </c>
      <c r="I1750">
        <v>3379</v>
      </c>
      <c r="J1750">
        <v>3484</v>
      </c>
      <c r="K1750">
        <v>3591</v>
      </c>
      <c r="L1750">
        <v>3702</v>
      </c>
      <c r="M1750">
        <v>3816</v>
      </c>
      <c r="N1750" t="s">
        <v>988</v>
      </c>
    </row>
    <row r="1751" spans="1:14" x14ac:dyDescent="0.3">
      <c r="A1751">
        <v>1983</v>
      </c>
      <c r="B1751" t="s">
        <v>1835</v>
      </c>
      <c r="C1751" t="s">
        <v>2256</v>
      </c>
      <c r="D1751" t="s">
        <v>1203</v>
      </c>
      <c r="E1751" t="s">
        <v>1204</v>
      </c>
      <c r="F1751">
        <v>5745</v>
      </c>
      <c r="G1751" t="s">
        <v>698</v>
      </c>
      <c r="I1751">
        <v>240.1</v>
      </c>
      <c r="J1751">
        <v>248</v>
      </c>
      <c r="K1751">
        <v>255</v>
      </c>
      <c r="L1751">
        <v>263</v>
      </c>
      <c r="M1751">
        <v>271</v>
      </c>
      <c r="N1751" t="s">
        <v>988</v>
      </c>
    </row>
    <row r="1752" spans="1:14" x14ac:dyDescent="0.3">
      <c r="A1752">
        <v>1983</v>
      </c>
      <c r="B1752" t="s">
        <v>1835</v>
      </c>
      <c r="C1752" t="s">
        <v>2256</v>
      </c>
      <c r="D1752" t="s">
        <v>1203</v>
      </c>
      <c r="E1752" t="s">
        <v>1204</v>
      </c>
      <c r="F1752">
        <v>5745</v>
      </c>
      <c r="G1752" t="s">
        <v>700</v>
      </c>
      <c r="I1752">
        <v>130</v>
      </c>
      <c r="J1752">
        <v>134</v>
      </c>
      <c r="K1752">
        <v>138</v>
      </c>
      <c r="L1752">
        <v>142</v>
      </c>
      <c r="M1752">
        <v>146</v>
      </c>
      <c r="N1752" t="s">
        <v>988</v>
      </c>
    </row>
    <row r="1753" spans="1:14" x14ac:dyDescent="0.3">
      <c r="A1753">
        <v>1990</v>
      </c>
      <c r="B1753" t="s">
        <v>1836</v>
      </c>
      <c r="C1753" t="s">
        <v>2256</v>
      </c>
      <c r="D1753" t="s">
        <v>159</v>
      </c>
      <c r="E1753" t="s">
        <v>159</v>
      </c>
      <c r="F1753">
        <v>7651</v>
      </c>
      <c r="G1753" t="s">
        <v>700</v>
      </c>
      <c r="I1753">
        <v>717</v>
      </c>
      <c r="J1753">
        <v>688</v>
      </c>
      <c r="K1753">
        <v>660</v>
      </c>
      <c r="L1753">
        <v>634</v>
      </c>
      <c r="M1753">
        <v>608</v>
      </c>
      <c r="N1753" t="s">
        <v>988</v>
      </c>
    </row>
    <row r="1754" spans="1:14" x14ac:dyDescent="0.3">
      <c r="A1754">
        <v>1990</v>
      </c>
      <c r="B1754" t="s">
        <v>1836</v>
      </c>
      <c r="C1754" t="s">
        <v>2256</v>
      </c>
      <c r="D1754" t="s">
        <v>159</v>
      </c>
      <c r="E1754" t="s">
        <v>159</v>
      </c>
      <c r="F1754">
        <v>7651</v>
      </c>
      <c r="G1754" t="s">
        <v>703</v>
      </c>
      <c r="I1754">
        <v>41</v>
      </c>
      <c r="J1754">
        <v>40</v>
      </c>
      <c r="K1754">
        <v>38</v>
      </c>
      <c r="L1754">
        <v>37</v>
      </c>
      <c r="M1754">
        <v>35</v>
      </c>
      <c r="N1754" t="s">
        <v>988</v>
      </c>
    </row>
    <row r="1755" spans="1:14" x14ac:dyDescent="0.3">
      <c r="A1755">
        <v>1990</v>
      </c>
      <c r="B1755" t="s">
        <v>1836</v>
      </c>
      <c r="C1755" t="s">
        <v>2256</v>
      </c>
      <c r="D1755" t="s">
        <v>159</v>
      </c>
      <c r="E1755" t="s">
        <v>159</v>
      </c>
      <c r="F1755">
        <v>7651</v>
      </c>
      <c r="G1755" t="s">
        <v>696</v>
      </c>
      <c r="I1755">
        <v>3141</v>
      </c>
      <c r="J1755">
        <v>3015</v>
      </c>
      <c r="K1755">
        <v>2895</v>
      </c>
      <c r="L1755">
        <v>2779</v>
      </c>
      <c r="M1755">
        <v>2668</v>
      </c>
      <c r="N1755" t="s">
        <v>988</v>
      </c>
    </row>
    <row r="1756" spans="1:14" x14ac:dyDescent="0.3">
      <c r="A1756">
        <v>1990</v>
      </c>
      <c r="B1756" t="s">
        <v>1836</v>
      </c>
      <c r="C1756" t="s">
        <v>2256</v>
      </c>
      <c r="D1756" t="s">
        <v>159</v>
      </c>
      <c r="E1756" t="s">
        <v>159</v>
      </c>
      <c r="F1756">
        <v>7651</v>
      </c>
      <c r="G1756" t="s">
        <v>684</v>
      </c>
      <c r="I1756">
        <v>8537</v>
      </c>
      <c r="J1756">
        <v>8195</v>
      </c>
      <c r="K1756">
        <v>7867</v>
      </c>
      <c r="L1756">
        <v>7552</v>
      </c>
      <c r="M1756">
        <v>7251</v>
      </c>
      <c r="N1756" t="s">
        <v>988</v>
      </c>
    </row>
    <row r="1757" spans="1:14" x14ac:dyDescent="0.3">
      <c r="A1757">
        <v>1990</v>
      </c>
      <c r="B1757" t="s">
        <v>1836</v>
      </c>
      <c r="C1757" t="s">
        <v>2256</v>
      </c>
      <c r="D1757" t="s">
        <v>159</v>
      </c>
      <c r="E1757" t="s">
        <v>159</v>
      </c>
      <c r="F1757">
        <v>7651</v>
      </c>
      <c r="G1757" t="s">
        <v>686</v>
      </c>
      <c r="H1757" t="s">
        <v>2398</v>
      </c>
      <c r="I1757">
        <v>1045</v>
      </c>
      <c r="J1757">
        <v>1004</v>
      </c>
      <c r="K1757">
        <v>964</v>
      </c>
      <c r="L1757">
        <v>925</v>
      </c>
      <c r="M1757">
        <v>888</v>
      </c>
      <c r="N1757" t="s">
        <v>988</v>
      </c>
    </row>
    <row r="1758" spans="1:14" x14ac:dyDescent="0.3">
      <c r="A1758">
        <v>1990</v>
      </c>
      <c r="B1758" t="s">
        <v>1836</v>
      </c>
      <c r="C1758" t="s">
        <v>2256</v>
      </c>
      <c r="D1758" t="s">
        <v>159</v>
      </c>
      <c r="E1758" t="s">
        <v>159</v>
      </c>
      <c r="F1758">
        <v>7651</v>
      </c>
      <c r="G1758" t="s">
        <v>698</v>
      </c>
      <c r="I1758">
        <v>269</v>
      </c>
      <c r="J1758">
        <v>258</v>
      </c>
      <c r="K1758">
        <v>248</v>
      </c>
      <c r="L1758">
        <v>238</v>
      </c>
      <c r="M1758">
        <v>229</v>
      </c>
      <c r="N1758" t="s">
        <v>988</v>
      </c>
    </row>
    <row r="1759" spans="1:14" x14ac:dyDescent="0.3">
      <c r="A1759">
        <v>1996</v>
      </c>
      <c r="B1759" t="s">
        <v>1838</v>
      </c>
      <c r="C1759" t="s">
        <v>2256</v>
      </c>
      <c r="D1759" t="s">
        <v>1203</v>
      </c>
      <c r="E1759" t="s">
        <v>1204</v>
      </c>
      <c r="F1759">
        <v>5798</v>
      </c>
      <c r="G1759" t="s">
        <v>684</v>
      </c>
      <c r="H1759" t="s">
        <v>1210</v>
      </c>
      <c r="I1759">
        <v>300</v>
      </c>
      <c r="J1759">
        <v>300</v>
      </c>
      <c r="K1759">
        <v>300</v>
      </c>
      <c r="L1759">
        <v>300</v>
      </c>
      <c r="N1759" t="s">
        <v>988</v>
      </c>
    </row>
    <row r="1760" spans="1:14" x14ac:dyDescent="0.3">
      <c r="A1760">
        <v>1996</v>
      </c>
      <c r="B1760" t="s">
        <v>1838</v>
      </c>
      <c r="C1760" t="s">
        <v>2256</v>
      </c>
      <c r="D1760" t="s">
        <v>1203</v>
      </c>
      <c r="E1760" t="s">
        <v>1204</v>
      </c>
      <c r="F1760">
        <v>5798</v>
      </c>
      <c r="G1760" t="s">
        <v>684</v>
      </c>
      <c r="I1760">
        <v>576</v>
      </c>
      <c r="J1760">
        <v>602</v>
      </c>
      <c r="K1760">
        <v>630</v>
      </c>
      <c r="L1760">
        <v>658</v>
      </c>
      <c r="N1760" t="s">
        <v>988</v>
      </c>
    </row>
    <row r="1761" spans="1:14" x14ac:dyDescent="0.3">
      <c r="A1761">
        <v>1996</v>
      </c>
      <c r="B1761" t="s">
        <v>1838</v>
      </c>
      <c r="C1761" t="s">
        <v>2256</v>
      </c>
      <c r="D1761" t="s">
        <v>1203</v>
      </c>
      <c r="E1761" t="s">
        <v>1204</v>
      </c>
      <c r="F1761">
        <v>5798</v>
      </c>
      <c r="G1761" t="s">
        <v>700</v>
      </c>
      <c r="I1761">
        <v>278</v>
      </c>
      <c r="J1761">
        <v>286</v>
      </c>
      <c r="K1761">
        <v>295</v>
      </c>
      <c r="L1761">
        <v>304</v>
      </c>
      <c r="N1761" t="s">
        <v>988</v>
      </c>
    </row>
    <row r="1762" spans="1:14" x14ac:dyDescent="0.3">
      <c r="A1762">
        <v>1996</v>
      </c>
      <c r="B1762" t="s">
        <v>1838</v>
      </c>
      <c r="C1762" t="s">
        <v>2256</v>
      </c>
      <c r="D1762" t="s">
        <v>1203</v>
      </c>
      <c r="E1762" t="s">
        <v>1204</v>
      </c>
      <c r="F1762">
        <v>5798</v>
      </c>
      <c r="G1762" t="s">
        <v>691</v>
      </c>
      <c r="H1762" t="s">
        <v>1260</v>
      </c>
      <c r="I1762">
        <v>17</v>
      </c>
      <c r="J1762">
        <v>18</v>
      </c>
      <c r="K1762">
        <v>18</v>
      </c>
      <c r="L1762">
        <v>19</v>
      </c>
      <c r="N1762" t="s">
        <v>988</v>
      </c>
    </row>
    <row r="1763" spans="1:14" x14ac:dyDescent="0.3">
      <c r="A1763">
        <v>1996</v>
      </c>
      <c r="B1763" t="s">
        <v>1838</v>
      </c>
      <c r="C1763" t="s">
        <v>2256</v>
      </c>
      <c r="D1763" t="s">
        <v>1203</v>
      </c>
      <c r="E1763" t="s">
        <v>1204</v>
      </c>
      <c r="F1763">
        <v>5798</v>
      </c>
      <c r="G1763" t="s">
        <v>686</v>
      </c>
      <c r="I1763">
        <v>263</v>
      </c>
      <c r="J1763">
        <v>263</v>
      </c>
      <c r="K1763">
        <v>263</v>
      </c>
      <c r="L1763">
        <v>263</v>
      </c>
      <c r="N1763" t="s">
        <v>988</v>
      </c>
    </row>
    <row r="1764" spans="1:14" x14ac:dyDescent="0.3">
      <c r="A1764">
        <v>1996</v>
      </c>
      <c r="B1764" t="s">
        <v>1838</v>
      </c>
      <c r="C1764" t="s">
        <v>2256</v>
      </c>
      <c r="D1764" t="s">
        <v>1203</v>
      </c>
      <c r="E1764" t="s">
        <v>1204</v>
      </c>
      <c r="F1764">
        <v>5798</v>
      </c>
      <c r="G1764" t="s">
        <v>696</v>
      </c>
      <c r="I1764">
        <v>2678</v>
      </c>
      <c r="J1764">
        <v>2759</v>
      </c>
      <c r="K1764">
        <v>2843</v>
      </c>
      <c r="L1764">
        <v>2929</v>
      </c>
      <c r="N1764" t="s">
        <v>988</v>
      </c>
    </row>
    <row r="1765" spans="1:14" x14ac:dyDescent="0.3">
      <c r="A1765">
        <v>1996</v>
      </c>
      <c r="B1765" t="s">
        <v>1838</v>
      </c>
      <c r="C1765" t="s">
        <v>2256</v>
      </c>
      <c r="D1765" t="s">
        <v>1203</v>
      </c>
      <c r="E1765" t="s">
        <v>1204</v>
      </c>
      <c r="F1765">
        <v>5798</v>
      </c>
      <c r="G1765" t="s">
        <v>703</v>
      </c>
      <c r="I1765">
        <v>229</v>
      </c>
      <c r="J1765">
        <v>236</v>
      </c>
      <c r="K1765">
        <v>243</v>
      </c>
      <c r="L1765">
        <v>250</v>
      </c>
      <c r="N1765" t="s">
        <v>988</v>
      </c>
    </row>
    <row r="1766" spans="1:14" x14ac:dyDescent="0.3">
      <c r="A1766">
        <v>1996</v>
      </c>
      <c r="B1766" t="s">
        <v>1838</v>
      </c>
      <c r="C1766" t="s">
        <v>2256</v>
      </c>
      <c r="D1766" t="s">
        <v>1203</v>
      </c>
      <c r="E1766" t="s">
        <v>1204</v>
      </c>
      <c r="F1766">
        <v>5798</v>
      </c>
      <c r="G1766" t="s">
        <v>698</v>
      </c>
      <c r="I1766">
        <v>498</v>
      </c>
      <c r="J1766">
        <v>513</v>
      </c>
      <c r="K1766">
        <v>528</v>
      </c>
      <c r="L1766">
        <v>544</v>
      </c>
      <c r="N1766" t="s">
        <v>988</v>
      </c>
    </row>
    <row r="1767" spans="1:14" x14ac:dyDescent="0.3">
      <c r="A1767">
        <v>2000</v>
      </c>
      <c r="B1767" t="s">
        <v>1839</v>
      </c>
      <c r="C1767" t="s">
        <v>2256</v>
      </c>
      <c r="D1767" t="s">
        <v>159</v>
      </c>
      <c r="E1767" t="s">
        <v>159</v>
      </c>
      <c r="F1767">
        <v>7709</v>
      </c>
      <c r="G1767" t="s">
        <v>702</v>
      </c>
      <c r="I1767">
        <v>5074</v>
      </c>
      <c r="J1767">
        <v>5322</v>
      </c>
      <c r="K1767">
        <v>5448</v>
      </c>
      <c r="L1767">
        <v>5610</v>
      </c>
      <c r="M1767">
        <v>5777</v>
      </c>
      <c r="N1767" t="s">
        <v>988</v>
      </c>
    </row>
    <row r="1768" spans="1:14" x14ac:dyDescent="0.3">
      <c r="A1768">
        <v>2000</v>
      </c>
      <c r="B1768" t="s">
        <v>1839</v>
      </c>
      <c r="C1768" t="s">
        <v>2256</v>
      </c>
      <c r="D1768" t="s">
        <v>159</v>
      </c>
      <c r="E1768" t="s">
        <v>159</v>
      </c>
      <c r="F1768">
        <v>7709</v>
      </c>
      <c r="G1768" t="s">
        <v>703</v>
      </c>
      <c r="I1768">
        <v>334</v>
      </c>
      <c r="J1768">
        <v>350</v>
      </c>
      <c r="K1768">
        <v>358</v>
      </c>
      <c r="L1768">
        <v>369</v>
      </c>
      <c r="M1768">
        <v>380</v>
      </c>
      <c r="N1768" t="s">
        <v>987</v>
      </c>
    </row>
    <row r="1769" spans="1:14" x14ac:dyDescent="0.3">
      <c r="A1769">
        <v>2000</v>
      </c>
      <c r="B1769" t="s">
        <v>1839</v>
      </c>
      <c r="C1769" t="s">
        <v>2256</v>
      </c>
      <c r="D1769" t="s">
        <v>159</v>
      </c>
      <c r="E1769" t="s">
        <v>159</v>
      </c>
      <c r="F1769">
        <v>7709</v>
      </c>
      <c r="G1769" t="s">
        <v>700</v>
      </c>
      <c r="I1769">
        <v>3507</v>
      </c>
      <c r="J1769">
        <v>3678</v>
      </c>
      <c r="K1769">
        <v>3765</v>
      </c>
      <c r="L1769">
        <v>3877</v>
      </c>
      <c r="M1769">
        <v>3993</v>
      </c>
      <c r="N1769" t="s">
        <v>987</v>
      </c>
    </row>
    <row r="1770" spans="1:14" x14ac:dyDescent="0.3">
      <c r="A1770">
        <v>2000</v>
      </c>
      <c r="B1770" t="s">
        <v>1839</v>
      </c>
      <c r="C1770" t="s">
        <v>2256</v>
      </c>
      <c r="D1770" t="s">
        <v>159</v>
      </c>
      <c r="E1770" t="s">
        <v>159</v>
      </c>
      <c r="F1770">
        <v>7709</v>
      </c>
      <c r="G1770" t="s">
        <v>691</v>
      </c>
      <c r="H1770" t="s">
        <v>2399</v>
      </c>
      <c r="I1770">
        <v>4000</v>
      </c>
      <c r="J1770">
        <v>4000</v>
      </c>
      <c r="K1770">
        <v>4000</v>
      </c>
      <c r="L1770">
        <v>4000</v>
      </c>
      <c r="M1770">
        <v>4000</v>
      </c>
      <c r="N1770" t="s">
        <v>987</v>
      </c>
    </row>
    <row r="1771" spans="1:14" x14ac:dyDescent="0.3">
      <c r="A1771">
        <v>2000</v>
      </c>
      <c r="B1771" t="s">
        <v>1839</v>
      </c>
      <c r="C1771" t="s">
        <v>2256</v>
      </c>
      <c r="D1771" t="s">
        <v>159</v>
      </c>
      <c r="E1771" t="s">
        <v>159</v>
      </c>
      <c r="F1771">
        <v>7709</v>
      </c>
      <c r="G1771" t="s">
        <v>705</v>
      </c>
      <c r="I1771">
        <v>0</v>
      </c>
      <c r="J1771">
        <v>0</v>
      </c>
      <c r="K1771">
        <v>0</v>
      </c>
      <c r="L1771">
        <v>0</v>
      </c>
      <c r="M1771">
        <v>0</v>
      </c>
      <c r="N1771" t="s">
        <v>987</v>
      </c>
    </row>
    <row r="1772" spans="1:14" x14ac:dyDescent="0.3">
      <c r="A1772">
        <v>2000</v>
      </c>
      <c r="B1772" t="s">
        <v>1839</v>
      </c>
      <c r="C1772" t="s">
        <v>2256</v>
      </c>
      <c r="D1772" t="s">
        <v>159</v>
      </c>
      <c r="E1772" t="s">
        <v>159</v>
      </c>
      <c r="F1772">
        <v>7709</v>
      </c>
      <c r="G1772" t="s">
        <v>702</v>
      </c>
      <c r="H1772" t="s">
        <v>2400</v>
      </c>
      <c r="I1772">
        <v>4175</v>
      </c>
      <c r="J1772">
        <v>4354</v>
      </c>
      <c r="K1772">
        <v>4528</v>
      </c>
      <c r="L1772">
        <v>4702</v>
      </c>
      <c r="M1772">
        <v>4874</v>
      </c>
      <c r="N1772" t="s">
        <v>987</v>
      </c>
    </row>
    <row r="1773" spans="1:14" x14ac:dyDescent="0.3">
      <c r="A1773">
        <v>2000</v>
      </c>
      <c r="B1773" t="s">
        <v>1839</v>
      </c>
      <c r="C1773" t="s">
        <v>2256</v>
      </c>
      <c r="D1773" t="s">
        <v>159</v>
      </c>
      <c r="E1773" t="s">
        <v>159</v>
      </c>
      <c r="F1773">
        <v>7709</v>
      </c>
      <c r="G1773" t="s">
        <v>691</v>
      </c>
      <c r="H1773" t="s">
        <v>2401</v>
      </c>
      <c r="I1773">
        <v>5278</v>
      </c>
      <c r="J1773">
        <v>5278</v>
      </c>
      <c r="K1773">
        <v>5278</v>
      </c>
      <c r="L1773">
        <v>5278</v>
      </c>
      <c r="M1773">
        <v>5278</v>
      </c>
      <c r="N1773" t="s">
        <v>987</v>
      </c>
    </row>
    <row r="1774" spans="1:14" x14ac:dyDescent="0.3">
      <c r="A1774">
        <v>2000</v>
      </c>
      <c r="B1774" t="s">
        <v>1839</v>
      </c>
      <c r="C1774" t="s">
        <v>2256</v>
      </c>
      <c r="D1774" t="s">
        <v>159</v>
      </c>
      <c r="E1774" t="s">
        <v>159</v>
      </c>
      <c r="F1774">
        <v>7709</v>
      </c>
      <c r="G1774" t="s">
        <v>684</v>
      </c>
      <c r="I1774">
        <v>13846</v>
      </c>
      <c r="J1774">
        <v>14524</v>
      </c>
      <c r="K1774">
        <v>14868</v>
      </c>
      <c r="L1774">
        <v>15309</v>
      </c>
      <c r="M1774">
        <v>15765</v>
      </c>
      <c r="N1774" t="s">
        <v>988</v>
      </c>
    </row>
    <row r="1775" spans="1:14" x14ac:dyDescent="0.3">
      <c r="A1775">
        <v>2000</v>
      </c>
      <c r="B1775" t="s">
        <v>1839</v>
      </c>
      <c r="C1775" t="s">
        <v>2256</v>
      </c>
      <c r="D1775" t="s">
        <v>159</v>
      </c>
      <c r="E1775" t="s">
        <v>159</v>
      </c>
      <c r="F1775">
        <v>7709</v>
      </c>
      <c r="G1775" t="s">
        <v>698</v>
      </c>
      <c r="I1775">
        <v>2561</v>
      </c>
      <c r="J1775">
        <v>2686</v>
      </c>
      <c r="K1775">
        <v>2750</v>
      </c>
      <c r="L1775">
        <v>2832</v>
      </c>
      <c r="M1775">
        <v>2916</v>
      </c>
      <c r="N1775" t="s">
        <v>988</v>
      </c>
    </row>
    <row r="1776" spans="1:14" x14ac:dyDescent="0.3">
      <c r="A1776">
        <v>2000</v>
      </c>
      <c r="B1776" t="s">
        <v>1839</v>
      </c>
      <c r="C1776" t="s">
        <v>2256</v>
      </c>
      <c r="D1776" t="s">
        <v>159</v>
      </c>
      <c r="E1776" t="s">
        <v>159</v>
      </c>
      <c r="F1776">
        <v>7709</v>
      </c>
      <c r="G1776" t="s">
        <v>696</v>
      </c>
      <c r="I1776">
        <v>32683</v>
      </c>
      <c r="J1776">
        <v>34283</v>
      </c>
      <c r="K1776">
        <v>35095</v>
      </c>
      <c r="L1776">
        <v>36136</v>
      </c>
      <c r="M1776">
        <v>37213</v>
      </c>
      <c r="N1776" t="s">
        <v>988</v>
      </c>
    </row>
    <row r="1777" spans="1:14" x14ac:dyDescent="0.3">
      <c r="A1777">
        <v>2000</v>
      </c>
      <c r="B1777" t="s">
        <v>1839</v>
      </c>
      <c r="C1777" t="s">
        <v>2256</v>
      </c>
      <c r="D1777" t="s">
        <v>159</v>
      </c>
      <c r="E1777" t="s">
        <v>159</v>
      </c>
      <c r="F1777">
        <v>7709</v>
      </c>
      <c r="G1777" t="s">
        <v>686</v>
      </c>
      <c r="I1777">
        <v>3175</v>
      </c>
      <c r="J1777">
        <v>3308</v>
      </c>
      <c r="K1777">
        <v>3375</v>
      </c>
      <c r="L1777">
        <v>3462</v>
      </c>
      <c r="M1777">
        <v>3552</v>
      </c>
      <c r="N1777" t="s">
        <v>988</v>
      </c>
    </row>
    <row r="1778" spans="1:14" x14ac:dyDescent="0.3">
      <c r="A1778">
        <v>2000</v>
      </c>
      <c r="B1778" t="s">
        <v>1839</v>
      </c>
      <c r="C1778" t="s">
        <v>2256</v>
      </c>
      <c r="D1778" t="s">
        <v>159</v>
      </c>
      <c r="E1778" t="s">
        <v>159</v>
      </c>
      <c r="F1778">
        <v>7709</v>
      </c>
      <c r="G1778" t="s">
        <v>691</v>
      </c>
      <c r="H1778" t="s">
        <v>1841</v>
      </c>
      <c r="I1778">
        <v>409</v>
      </c>
      <c r="J1778">
        <v>409</v>
      </c>
      <c r="K1778">
        <v>409</v>
      </c>
      <c r="L1778">
        <v>409</v>
      </c>
      <c r="M1778">
        <v>409</v>
      </c>
      <c r="N1778" t="s">
        <v>988</v>
      </c>
    </row>
    <row r="1779" spans="1:14" x14ac:dyDescent="0.3">
      <c r="A1779">
        <v>2033</v>
      </c>
      <c r="B1779" t="s">
        <v>865</v>
      </c>
      <c r="C1779" t="s">
        <v>2256</v>
      </c>
      <c r="D1779" t="s">
        <v>1203</v>
      </c>
      <c r="E1779" t="s">
        <v>1204</v>
      </c>
      <c r="F1779">
        <v>5479</v>
      </c>
      <c r="G1779" t="s">
        <v>703</v>
      </c>
      <c r="I1779">
        <v>376</v>
      </c>
      <c r="J1779">
        <v>384</v>
      </c>
      <c r="K1779">
        <v>392</v>
      </c>
      <c r="L1779">
        <v>400</v>
      </c>
      <c r="M1779">
        <v>409</v>
      </c>
      <c r="N1779" t="s">
        <v>988</v>
      </c>
    </row>
    <row r="1780" spans="1:14" x14ac:dyDescent="0.3">
      <c r="A1780">
        <v>2033</v>
      </c>
      <c r="B1780" t="s">
        <v>865</v>
      </c>
      <c r="C1780" t="s">
        <v>2256</v>
      </c>
      <c r="D1780" t="s">
        <v>1203</v>
      </c>
      <c r="E1780" t="s">
        <v>1204</v>
      </c>
      <c r="F1780">
        <v>5479</v>
      </c>
      <c r="G1780" t="s">
        <v>705</v>
      </c>
      <c r="I1780">
        <v>27</v>
      </c>
      <c r="J1780">
        <v>32</v>
      </c>
      <c r="K1780">
        <v>39</v>
      </c>
      <c r="L1780">
        <v>47</v>
      </c>
      <c r="M1780">
        <v>57</v>
      </c>
      <c r="N1780" t="s">
        <v>988</v>
      </c>
    </row>
    <row r="1781" spans="1:14" x14ac:dyDescent="0.3">
      <c r="A1781">
        <v>2033</v>
      </c>
      <c r="B1781" t="s">
        <v>865</v>
      </c>
      <c r="C1781" t="s">
        <v>2256</v>
      </c>
      <c r="D1781" t="s">
        <v>1203</v>
      </c>
      <c r="E1781" t="s">
        <v>1204</v>
      </c>
      <c r="F1781">
        <v>5479</v>
      </c>
      <c r="G1781" t="s">
        <v>686</v>
      </c>
      <c r="I1781">
        <v>912</v>
      </c>
      <c r="J1781">
        <v>931</v>
      </c>
      <c r="K1781">
        <v>951</v>
      </c>
      <c r="L1781">
        <v>971</v>
      </c>
      <c r="M1781">
        <v>991</v>
      </c>
      <c r="N1781" t="s">
        <v>988</v>
      </c>
    </row>
    <row r="1782" spans="1:14" x14ac:dyDescent="0.3">
      <c r="A1782">
        <v>2033</v>
      </c>
      <c r="B1782" t="s">
        <v>865</v>
      </c>
      <c r="C1782" t="s">
        <v>2256</v>
      </c>
      <c r="D1782" t="s">
        <v>1203</v>
      </c>
      <c r="E1782" t="s">
        <v>1204</v>
      </c>
      <c r="F1782">
        <v>5479</v>
      </c>
      <c r="G1782" t="s">
        <v>700</v>
      </c>
      <c r="H1782" t="s">
        <v>1264</v>
      </c>
      <c r="I1782">
        <v>1855</v>
      </c>
      <c r="J1782">
        <v>1894</v>
      </c>
      <c r="K1782">
        <v>1934</v>
      </c>
      <c r="L1782">
        <v>1974</v>
      </c>
      <c r="M1782">
        <v>2016</v>
      </c>
      <c r="N1782" t="s">
        <v>988</v>
      </c>
    </row>
    <row r="1783" spans="1:14" x14ac:dyDescent="0.3">
      <c r="A1783">
        <v>2033</v>
      </c>
      <c r="B1783" t="s">
        <v>865</v>
      </c>
      <c r="C1783" t="s">
        <v>2256</v>
      </c>
      <c r="D1783" t="s">
        <v>1203</v>
      </c>
      <c r="E1783" t="s">
        <v>1204</v>
      </c>
      <c r="F1783">
        <v>5479</v>
      </c>
      <c r="G1783" t="s">
        <v>696</v>
      </c>
      <c r="I1783">
        <v>4803</v>
      </c>
      <c r="J1783">
        <v>4904</v>
      </c>
      <c r="K1783">
        <v>5007</v>
      </c>
      <c r="L1783">
        <v>5112</v>
      </c>
      <c r="M1783">
        <v>5219</v>
      </c>
      <c r="N1783" t="s">
        <v>988</v>
      </c>
    </row>
    <row r="1784" spans="1:14" x14ac:dyDescent="0.3">
      <c r="A1784">
        <v>2033</v>
      </c>
      <c r="B1784" t="s">
        <v>865</v>
      </c>
      <c r="C1784" t="s">
        <v>2256</v>
      </c>
      <c r="D1784" t="s">
        <v>1203</v>
      </c>
      <c r="E1784" t="s">
        <v>1204</v>
      </c>
      <c r="F1784">
        <v>5479</v>
      </c>
      <c r="G1784" t="s">
        <v>698</v>
      </c>
      <c r="I1784">
        <v>824</v>
      </c>
      <c r="J1784">
        <v>841</v>
      </c>
      <c r="K1784">
        <v>859</v>
      </c>
      <c r="L1784">
        <v>877</v>
      </c>
      <c r="M1784">
        <v>895</v>
      </c>
      <c r="N1784" t="s">
        <v>988</v>
      </c>
    </row>
    <row r="1785" spans="1:14" x14ac:dyDescent="0.3">
      <c r="A1785">
        <v>2035</v>
      </c>
      <c r="B1785" t="s">
        <v>1843</v>
      </c>
      <c r="C1785" t="s">
        <v>2256</v>
      </c>
      <c r="D1785" t="s">
        <v>1203</v>
      </c>
      <c r="E1785" t="s">
        <v>1204</v>
      </c>
      <c r="F1785">
        <v>5747</v>
      </c>
      <c r="G1785" t="s">
        <v>684</v>
      </c>
      <c r="H1785" t="s">
        <v>1844</v>
      </c>
      <c r="I1785">
        <v>206</v>
      </c>
      <c r="J1785">
        <v>206</v>
      </c>
      <c r="K1785">
        <v>206</v>
      </c>
      <c r="L1785">
        <v>206</v>
      </c>
      <c r="M1785">
        <v>206</v>
      </c>
      <c r="N1785" t="s">
        <v>988</v>
      </c>
    </row>
    <row r="1786" spans="1:14" x14ac:dyDescent="0.3">
      <c r="A1786">
        <v>2035</v>
      </c>
      <c r="B1786" t="s">
        <v>1843</v>
      </c>
      <c r="C1786" t="s">
        <v>2256</v>
      </c>
      <c r="D1786" t="s">
        <v>1203</v>
      </c>
      <c r="E1786" t="s">
        <v>1204</v>
      </c>
      <c r="F1786">
        <v>5747</v>
      </c>
      <c r="G1786" t="s">
        <v>702</v>
      </c>
      <c r="H1786" t="s">
        <v>702</v>
      </c>
      <c r="I1786">
        <v>2292</v>
      </c>
      <c r="J1786">
        <v>2385</v>
      </c>
      <c r="K1786">
        <v>2478</v>
      </c>
      <c r="L1786">
        <v>2560</v>
      </c>
      <c r="M1786">
        <v>2643</v>
      </c>
      <c r="N1786" t="s">
        <v>988</v>
      </c>
    </row>
    <row r="1787" spans="1:14" x14ac:dyDescent="0.3">
      <c r="A1787">
        <v>2035</v>
      </c>
      <c r="B1787" t="s">
        <v>1843</v>
      </c>
      <c r="C1787" t="s">
        <v>2256</v>
      </c>
      <c r="D1787" t="s">
        <v>1203</v>
      </c>
      <c r="E1787" t="s">
        <v>1204</v>
      </c>
      <c r="F1787">
        <v>5747</v>
      </c>
      <c r="G1787" t="s">
        <v>698</v>
      </c>
      <c r="H1787" t="s">
        <v>698</v>
      </c>
      <c r="I1787">
        <v>3036</v>
      </c>
      <c r="J1787">
        <v>3160</v>
      </c>
      <c r="K1787">
        <v>3284</v>
      </c>
      <c r="L1787">
        <v>3393</v>
      </c>
      <c r="M1787">
        <v>3501</v>
      </c>
      <c r="N1787" t="s">
        <v>988</v>
      </c>
    </row>
    <row r="1788" spans="1:14" x14ac:dyDescent="0.3">
      <c r="A1788">
        <v>2035</v>
      </c>
      <c r="B1788" t="s">
        <v>1843</v>
      </c>
      <c r="C1788" t="s">
        <v>2256</v>
      </c>
      <c r="D1788" t="s">
        <v>1203</v>
      </c>
      <c r="E1788" t="s">
        <v>1204</v>
      </c>
      <c r="F1788">
        <v>5747</v>
      </c>
      <c r="G1788" t="s">
        <v>687</v>
      </c>
      <c r="H1788" t="s">
        <v>687</v>
      </c>
      <c r="I1788">
        <v>206</v>
      </c>
      <c r="J1788">
        <v>214</v>
      </c>
      <c r="K1788">
        <v>223</v>
      </c>
      <c r="L1788">
        <v>230</v>
      </c>
      <c r="M1788">
        <v>238</v>
      </c>
      <c r="N1788" t="s">
        <v>988</v>
      </c>
    </row>
    <row r="1789" spans="1:14" x14ac:dyDescent="0.3">
      <c r="A1789">
        <v>2035</v>
      </c>
      <c r="B1789" t="s">
        <v>1843</v>
      </c>
      <c r="C1789" t="s">
        <v>2256</v>
      </c>
      <c r="D1789" t="s">
        <v>1203</v>
      </c>
      <c r="E1789" t="s">
        <v>1204</v>
      </c>
      <c r="F1789">
        <v>5747</v>
      </c>
      <c r="G1789" t="s">
        <v>700</v>
      </c>
      <c r="H1789" t="s">
        <v>1404</v>
      </c>
      <c r="I1789">
        <v>248</v>
      </c>
      <c r="J1789">
        <v>319</v>
      </c>
      <c r="K1789">
        <v>391</v>
      </c>
      <c r="L1789">
        <v>454</v>
      </c>
      <c r="M1789">
        <v>517</v>
      </c>
      <c r="N1789" t="s">
        <v>988</v>
      </c>
    </row>
    <row r="1790" spans="1:14" x14ac:dyDescent="0.3">
      <c r="A1790">
        <v>2035</v>
      </c>
      <c r="B1790" t="s">
        <v>1843</v>
      </c>
      <c r="C1790" t="s">
        <v>2256</v>
      </c>
      <c r="D1790" t="s">
        <v>1203</v>
      </c>
      <c r="E1790" t="s">
        <v>1204</v>
      </c>
      <c r="F1790">
        <v>5747</v>
      </c>
      <c r="G1790" t="s">
        <v>702</v>
      </c>
      <c r="H1790" t="s">
        <v>702</v>
      </c>
      <c r="I1790">
        <v>1451</v>
      </c>
      <c r="J1790">
        <v>1510</v>
      </c>
      <c r="K1790">
        <v>1569</v>
      </c>
      <c r="L1790">
        <v>1621</v>
      </c>
      <c r="M1790">
        <v>1673</v>
      </c>
      <c r="N1790" t="s">
        <v>988</v>
      </c>
    </row>
    <row r="1791" spans="1:14" x14ac:dyDescent="0.3">
      <c r="A1791">
        <v>2035</v>
      </c>
      <c r="B1791" t="s">
        <v>1843</v>
      </c>
      <c r="C1791" t="s">
        <v>2256</v>
      </c>
      <c r="D1791" t="s">
        <v>1203</v>
      </c>
      <c r="E1791" t="s">
        <v>1204</v>
      </c>
      <c r="F1791">
        <v>5747</v>
      </c>
      <c r="G1791" t="s">
        <v>696</v>
      </c>
      <c r="H1791" t="s">
        <v>696</v>
      </c>
      <c r="I1791">
        <v>12943</v>
      </c>
      <c r="J1791">
        <v>13470</v>
      </c>
      <c r="K1791">
        <v>13997</v>
      </c>
      <c r="L1791">
        <v>14461</v>
      </c>
      <c r="M1791">
        <v>14925</v>
      </c>
      <c r="N1791" t="s">
        <v>988</v>
      </c>
    </row>
    <row r="1792" spans="1:14" x14ac:dyDescent="0.3">
      <c r="A1792">
        <v>2035</v>
      </c>
      <c r="B1792" t="s">
        <v>1843</v>
      </c>
      <c r="C1792" t="s">
        <v>2256</v>
      </c>
      <c r="D1792" t="s">
        <v>1203</v>
      </c>
      <c r="E1792" t="s">
        <v>1204</v>
      </c>
      <c r="F1792">
        <v>5747</v>
      </c>
      <c r="G1792" t="s">
        <v>700</v>
      </c>
      <c r="H1792" t="s">
        <v>1404</v>
      </c>
      <c r="I1792">
        <v>3081</v>
      </c>
      <c r="J1792">
        <v>3145</v>
      </c>
      <c r="K1792">
        <v>3209</v>
      </c>
      <c r="L1792">
        <v>3265</v>
      </c>
      <c r="M1792">
        <v>3321</v>
      </c>
      <c r="N1792" t="s">
        <v>988</v>
      </c>
    </row>
    <row r="1793" spans="1:14" x14ac:dyDescent="0.3">
      <c r="A1793">
        <v>2035</v>
      </c>
      <c r="B1793" t="s">
        <v>1843</v>
      </c>
      <c r="C1793" t="s">
        <v>2256</v>
      </c>
      <c r="D1793" t="s">
        <v>1203</v>
      </c>
      <c r="E1793" t="s">
        <v>1204</v>
      </c>
      <c r="F1793">
        <v>5747</v>
      </c>
      <c r="G1793" t="s">
        <v>684</v>
      </c>
      <c r="H1793" t="s">
        <v>1844</v>
      </c>
      <c r="I1793">
        <v>9</v>
      </c>
      <c r="J1793">
        <v>9</v>
      </c>
      <c r="K1793">
        <v>9</v>
      </c>
      <c r="L1793">
        <v>9</v>
      </c>
      <c r="M1793">
        <v>9</v>
      </c>
      <c r="N1793" t="s">
        <v>987</v>
      </c>
    </row>
    <row r="1794" spans="1:14" x14ac:dyDescent="0.3">
      <c r="A1794">
        <v>2035</v>
      </c>
      <c r="B1794" t="s">
        <v>1843</v>
      </c>
      <c r="C1794" t="s">
        <v>2256</v>
      </c>
      <c r="D1794" t="s">
        <v>1203</v>
      </c>
      <c r="E1794" t="s">
        <v>1204</v>
      </c>
      <c r="F1794">
        <v>5747</v>
      </c>
      <c r="G1794" t="s">
        <v>686</v>
      </c>
      <c r="H1794" t="s">
        <v>1482</v>
      </c>
      <c r="I1794">
        <v>2347</v>
      </c>
      <c r="J1794">
        <v>2442</v>
      </c>
      <c r="K1794">
        <v>2537</v>
      </c>
      <c r="L1794">
        <v>2620</v>
      </c>
      <c r="M1794">
        <v>2703</v>
      </c>
      <c r="N1794" t="s">
        <v>987</v>
      </c>
    </row>
    <row r="1795" spans="1:14" x14ac:dyDescent="0.3">
      <c r="A1795">
        <v>2037</v>
      </c>
      <c r="B1795" t="s">
        <v>1845</v>
      </c>
      <c r="C1795" t="s">
        <v>2256</v>
      </c>
      <c r="D1795" t="s">
        <v>159</v>
      </c>
      <c r="E1795" t="s">
        <v>159</v>
      </c>
      <c r="F1795">
        <v>5619</v>
      </c>
      <c r="G1795" t="s">
        <v>702</v>
      </c>
      <c r="I1795">
        <v>764</v>
      </c>
      <c r="J1795">
        <v>778</v>
      </c>
      <c r="K1795">
        <v>813</v>
      </c>
      <c r="L1795">
        <v>836</v>
      </c>
      <c r="M1795">
        <v>884</v>
      </c>
      <c r="N1795" t="s">
        <v>987</v>
      </c>
    </row>
    <row r="1796" spans="1:14" x14ac:dyDescent="0.3">
      <c r="A1796">
        <v>2037</v>
      </c>
      <c r="B1796" t="s">
        <v>1845</v>
      </c>
      <c r="C1796" t="s">
        <v>2256</v>
      </c>
      <c r="D1796" t="s">
        <v>159</v>
      </c>
      <c r="E1796" t="s">
        <v>159</v>
      </c>
      <c r="F1796">
        <v>5619</v>
      </c>
      <c r="G1796" t="s">
        <v>686</v>
      </c>
      <c r="I1796">
        <v>785.96</v>
      </c>
      <c r="J1796">
        <v>757.07</v>
      </c>
      <c r="K1796">
        <v>773.42</v>
      </c>
      <c r="L1796">
        <v>783.84</v>
      </c>
      <c r="M1796">
        <v>794.81</v>
      </c>
      <c r="N1796" t="s">
        <v>987</v>
      </c>
    </row>
    <row r="1797" spans="1:14" x14ac:dyDescent="0.3">
      <c r="A1797">
        <v>2037</v>
      </c>
      <c r="B1797" t="s">
        <v>1845</v>
      </c>
      <c r="C1797" t="s">
        <v>2256</v>
      </c>
      <c r="D1797" t="s">
        <v>159</v>
      </c>
      <c r="E1797" t="s">
        <v>159</v>
      </c>
      <c r="F1797">
        <v>5619</v>
      </c>
      <c r="G1797" t="s">
        <v>691</v>
      </c>
      <c r="I1797">
        <v>168.22</v>
      </c>
      <c r="J1797">
        <v>174.25</v>
      </c>
      <c r="K1797">
        <v>180.5</v>
      </c>
      <c r="L1797">
        <v>187.02</v>
      </c>
      <c r="M1797">
        <v>193.66</v>
      </c>
      <c r="N1797" t="s">
        <v>987</v>
      </c>
    </row>
    <row r="1798" spans="1:14" x14ac:dyDescent="0.3">
      <c r="A1798">
        <v>2037</v>
      </c>
      <c r="B1798" t="s">
        <v>1845</v>
      </c>
      <c r="C1798" t="s">
        <v>2256</v>
      </c>
      <c r="D1798" t="s">
        <v>159</v>
      </c>
      <c r="E1798" t="s">
        <v>159</v>
      </c>
      <c r="F1798">
        <v>5619</v>
      </c>
      <c r="G1798" t="s">
        <v>687</v>
      </c>
      <c r="H1798" t="s">
        <v>1302</v>
      </c>
      <c r="I1798">
        <v>5</v>
      </c>
      <c r="J1798">
        <v>5</v>
      </c>
      <c r="K1798">
        <v>5</v>
      </c>
      <c r="L1798">
        <v>5</v>
      </c>
      <c r="M1798">
        <v>5</v>
      </c>
      <c r="N1798" t="s">
        <v>987</v>
      </c>
    </row>
    <row r="1799" spans="1:14" x14ac:dyDescent="0.3">
      <c r="A1799">
        <v>2037</v>
      </c>
      <c r="B1799" t="s">
        <v>1845</v>
      </c>
      <c r="C1799" t="s">
        <v>2256</v>
      </c>
      <c r="D1799" t="s">
        <v>159</v>
      </c>
      <c r="E1799" t="s">
        <v>159</v>
      </c>
      <c r="F1799">
        <v>5619</v>
      </c>
      <c r="G1799" t="s">
        <v>696</v>
      </c>
      <c r="I1799">
        <v>4209.37</v>
      </c>
      <c r="J1799">
        <v>4197.29</v>
      </c>
      <c r="K1799">
        <v>4217.9799999999996</v>
      </c>
      <c r="L1799">
        <v>4278.45</v>
      </c>
      <c r="M1799">
        <v>4361.5200000000004</v>
      </c>
      <c r="N1799" t="s">
        <v>988</v>
      </c>
    </row>
    <row r="1800" spans="1:14" x14ac:dyDescent="0.3">
      <c r="A1800">
        <v>2037</v>
      </c>
      <c r="B1800" t="s">
        <v>1845</v>
      </c>
      <c r="C1800" t="s">
        <v>2256</v>
      </c>
      <c r="D1800" t="s">
        <v>159</v>
      </c>
      <c r="E1800" t="s">
        <v>159</v>
      </c>
      <c r="F1800">
        <v>5619</v>
      </c>
      <c r="G1800" t="s">
        <v>698</v>
      </c>
      <c r="I1800">
        <v>1751.98</v>
      </c>
      <c r="J1800">
        <v>1778.1</v>
      </c>
      <c r="K1800">
        <v>1803.49</v>
      </c>
      <c r="L1800">
        <v>1810.23</v>
      </c>
      <c r="M1800">
        <v>1860.8</v>
      </c>
      <c r="N1800" t="s">
        <v>988</v>
      </c>
    </row>
    <row r="1801" spans="1:14" x14ac:dyDescent="0.3">
      <c r="A1801">
        <v>2037</v>
      </c>
      <c r="B1801" t="s">
        <v>1845</v>
      </c>
      <c r="C1801" t="s">
        <v>2256</v>
      </c>
      <c r="D1801" t="s">
        <v>159</v>
      </c>
      <c r="E1801" t="s">
        <v>159</v>
      </c>
      <c r="F1801">
        <v>5619</v>
      </c>
      <c r="G1801" t="s">
        <v>700</v>
      </c>
      <c r="I1801">
        <v>1659.73</v>
      </c>
      <c r="J1801">
        <v>1743.56</v>
      </c>
      <c r="K1801">
        <v>1882.22</v>
      </c>
      <c r="L1801">
        <v>1886.86</v>
      </c>
      <c r="M1801">
        <v>1894.96</v>
      </c>
      <c r="N1801" t="s">
        <v>988</v>
      </c>
    </row>
    <row r="1802" spans="1:14" x14ac:dyDescent="0.3">
      <c r="A1802">
        <v>2037</v>
      </c>
      <c r="B1802" t="s">
        <v>1845</v>
      </c>
      <c r="C1802" t="s">
        <v>2256</v>
      </c>
      <c r="D1802" t="s">
        <v>159</v>
      </c>
      <c r="E1802" t="s">
        <v>159</v>
      </c>
      <c r="F1802">
        <v>5619</v>
      </c>
      <c r="G1802" t="s">
        <v>703</v>
      </c>
      <c r="I1802">
        <v>38.880000000000003</v>
      </c>
      <c r="J1802">
        <v>41.98</v>
      </c>
      <c r="K1802">
        <v>45.13</v>
      </c>
      <c r="L1802">
        <v>46.05</v>
      </c>
      <c r="M1802">
        <v>46.98</v>
      </c>
      <c r="N1802" t="s">
        <v>988</v>
      </c>
    </row>
    <row r="1803" spans="1:14" x14ac:dyDescent="0.3">
      <c r="A1803">
        <v>2037</v>
      </c>
      <c r="B1803" t="s">
        <v>1845</v>
      </c>
      <c r="C1803" t="s">
        <v>2256</v>
      </c>
      <c r="D1803" t="s">
        <v>159</v>
      </c>
      <c r="E1803" t="s">
        <v>159</v>
      </c>
      <c r="F1803">
        <v>5619</v>
      </c>
      <c r="G1803" t="s">
        <v>701</v>
      </c>
      <c r="I1803">
        <v>136.72999999999999</v>
      </c>
      <c r="J1803">
        <v>147.79</v>
      </c>
      <c r="K1803">
        <v>159.12</v>
      </c>
      <c r="L1803">
        <v>162.01</v>
      </c>
      <c r="M1803">
        <v>164.9</v>
      </c>
      <c r="N1803" t="s">
        <v>988</v>
      </c>
    </row>
    <row r="1804" spans="1:14" x14ac:dyDescent="0.3">
      <c r="A1804">
        <v>2042</v>
      </c>
      <c r="B1804" t="s">
        <v>1848</v>
      </c>
      <c r="C1804" t="s">
        <v>2256</v>
      </c>
      <c r="D1804" t="s">
        <v>1203</v>
      </c>
      <c r="E1804" t="s">
        <v>1204</v>
      </c>
      <c r="F1804">
        <v>7759</v>
      </c>
      <c r="G1804" t="s">
        <v>698</v>
      </c>
      <c r="I1804">
        <v>144</v>
      </c>
      <c r="J1804">
        <v>164</v>
      </c>
      <c r="K1804">
        <v>185</v>
      </c>
      <c r="L1804">
        <v>205</v>
      </c>
      <c r="M1804">
        <v>225</v>
      </c>
      <c r="N1804" t="s">
        <v>988</v>
      </c>
    </row>
    <row r="1805" spans="1:14" x14ac:dyDescent="0.3">
      <c r="A1805">
        <v>2042</v>
      </c>
      <c r="B1805" t="s">
        <v>1848</v>
      </c>
      <c r="C1805" t="s">
        <v>2256</v>
      </c>
      <c r="D1805" t="s">
        <v>1203</v>
      </c>
      <c r="E1805" t="s">
        <v>1204</v>
      </c>
      <c r="F1805">
        <v>7759</v>
      </c>
      <c r="G1805" t="s">
        <v>700</v>
      </c>
      <c r="I1805">
        <v>233</v>
      </c>
      <c r="J1805">
        <v>267</v>
      </c>
      <c r="K1805">
        <v>300</v>
      </c>
      <c r="L1805">
        <v>333</v>
      </c>
      <c r="M1805">
        <v>366</v>
      </c>
      <c r="N1805" t="s">
        <v>988</v>
      </c>
    </row>
    <row r="1806" spans="1:14" x14ac:dyDescent="0.3">
      <c r="A1806">
        <v>2042</v>
      </c>
      <c r="B1806" t="s">
        <v>1848</v>
      </c>
      <c r="C1806" t="s">
        <v>2256</v>
      </c>
      <c r="D1806" t="s">
        <v>1203</v>
      </c>
      <c r="E1806" t="s">
        <v>1204</v>
      </c>
      <c r="F1806">
        <v>7759</v>
      </c>
      <c r="G1806" t="s">
        <v>701</v>
      </c>
      <c r="I1806">
        <v>90</v>
      </c>
      <c r="J1806">
        <v>103</v>
      </c>
      <c r="K1806">
        <v>115</v>
      </c>
      <c r="L1806">
        <v>128</v>
      </c>
      <c r="M1806">
        <v>141</v>
      </c>
      <c r="N1806" t="s">
        <v>988</v>
      </c>
    </row>
    <row r="1807" spans="1:14" x14ac:dyDescent="0.3">
      <c r="A1807">
        <v>2042</v>
      </c>
      <c r="B1807" t="s">
        <v>1848</v>
      </c>
      <c r="C1807" t="s">
        <v>2256</v>
      </c>
      <c r="D1807" t="s">
        <v>1203</v>
      </c>
      <c r="E1807" t="s">
        <v>1204</v>
      </c>
      <c r="F1807">
        <v>7759</v>
      </c>
      <c r="G1807" t="s">
        <v>702</v>
      </c>
      <c r="I1807">
        <v>72</v>
      </c>
      <c r="J1807">
        <v>82</v>
      </c>
      <c r="K1807">
        <v>92</v>
      </c>
      <c r="L1807">
        <v>102</v>
      </c>
      <c r="M1807">
        <v>113</v>
      </c>
      <c r="N1807" t="s">
        <v>988</v>
      </c>
    </row>
    <row r="1808" spans="1:14" x14ac:dyDescent="0.3">
      <c r="A1808">
        <v>2042</v>
      </c>
      <c r="B1808" t="s">
        <v>1848</v>
      </c>
      <c r="C1808" t="s">
        <v>2256</v>
      </c>
      <c r="D1808" t="s">
        <v>1203</v>
      </c>
      <c r="E1808" t="s">
        <v>1204</v>
      </c>
      <c r="F1808">
        <v>7759</v>
      </c>
      <c r="G1808" t="s">
        <v>686</v>
      </c>
      <c r="I1808">
        <v>628</v>
      </c>
      <c r="J1808">
        <v>718</v>
      </c>
      <c r="K1808">
        <v>807</v>
      </c>
      <c r="L1808">
        <v>897</v>
      </c>
      <c r="M1808">
        <v>986</v>
      </c>
      <c r="N1808" t="s">
        <v>988</v>
      </c>
    </row>
    <row r="1809" spans="1:14" x14ac:dyDescent="0.3">
      <c r="A1809">
        <v>2042</v>
      </c>
      <c r="B1809" t="s">
        <v>1848</v>
      </c>
      <c r="C1809" t="s">
        <v>2256</v>
      </c>
      <c r="D1809" t="s">
        <v>1203</v>
      </c>
      <c r="E1809" t="s">
        <v>1204</v>
      </c>
      <c r="F1809">
        <v>7759</v>
      </c>
      <c r="G1809" t="s">
        <v>696</v>
      </c>
      <c r="I1809">
        <v>628</v>
      </c>
      <c r="J1809">
        <v>718</v>
      </c>
      <c r="K1809">
        <v>807</v>
      </c>
      <c r="L1809">
        <v>897</v>
      </c>
      <c r="M1809">
        <v>986</v>
      </c>
      <c r="N1809" t="s">
        <v>988</v>
      </c>
    </row>
    <row r="1810" spans="1:14" x14ac:dyDescent="0.3">
      <c r="A1810">
        <v>2049</v>
      </c>
      <c r="B1810" t="s">
        <v>1849</v>
      </c>
      <c r="C1810" t="s">
        <v>2256</v>
      </c>
      <c r="D1810" t="s">
        <v>1203</v>
      </c>
      <c r="E1810" t="s">
        <v>1204</v>
      </c>
      <c r="F1810">
        <v>5727</v>
      </c>
      <c r="G1810" t="s">
        <v>686</v>
      </c>
      <c r="H1810" t="s">
        <v>1415</v>
      </c>
      <c r="I1810">
        <v>711</v>
      </c>
      <c r="J1810">
        <v>756</v>
      </c>
      <c r="K1810">
        <v>801</v>
      </c>
      <c r="L1810">
        <v>830</v>
      </c>
      <c r="M1810">
        <v>860</v>
      </c>
      <c r="N1810" t="s">
        <v>988</v>
      </c>
    </row>
    <row r="1811" spans="1:14" x14ac:dyDescent="0.3">
      <c r="A1811">
        <v>2049</v>
      </c>
      <c r="B1811" t="s">
        <v>1849</v>
      </c>
      <c r="C1811" t="s">
        <v>2256</v>
      </c>
      <c r="D1811" t="s">
        <v>1203</v>
      </c>
      <c r="E1811" t="s">
        <v>1204</v>
      </c>
      <c r="F1811">
        <v>5727</v>
      </c>
      <c r="G1811" t="s">
        <v>703</v>
      </c>
      <c r="H1811" t="s">
        <v>1850</v>
      </c>
      <c r="I1811">
        <v>776</v>
      </c>
      <c r="J1811">
        <v>826</v>
      </c>
      <c r="K1811">
        <v>876</v>
      </c>
      <c r="L1811">
        <v>907</v>
      </c>
      <c r="M1811">
        <v>939</v>
      </c>
      <c r="N1811" t="s">
        <v>988</v>
      </c>
    </row>
    <row r="1812" spans="1:14" x14ac:dyDescent="0.3">
      <c r="A1812">
        <v>2049</v>
      </c>
      <c r="B1812" t="s">
        <v>1849</v>
      </c>
      <c r="C1812" t="s">
        <v>2256</v>
      </c>
      <c r="D1812" t="s">
        <v>1203</v>
      </c>
      <c r="E1812" t="s">
        <v>1204</v>
      </c>
      <c r="F1812">
        <v>5727</v>
      </c>
      <c r="G1812" t="s">
        <v>700</v>
      </c>
      <c r="H1812" t="s">
        <v>700</v>
      </c>
      <c r="I1812">
        <v>1577</v>
      </c>
      <c r="J1812">
        <v>1678</v>
      </c>
      <c r="K1812">
        <v>1779</v>
      </c>
      <c r="L1812">
        <v>1843</v>
      </c>
      <c r="M1812">
        <v>1908</v>
      </c>
      <c r="N1812" t="s">
        <v>988</v>
      </c>
    </row>
    <row r="1813" spans="1:14" x14ac:dyDescent="0.3">
      <c r="A1813">
        <v>2049</v>
      </c>
      <c r="B1813" t="s">
        <v>1849</v>
      </c>
      <c r="C1813" t="s">
        <v>2256</v>
      </c>
      <c r="D1813" t="s">
        <v>1203</v>
      </c>
      <c r="E1813" t="s">
        <v>1204</v>
      </c>
      <c r="F1813">
        <v>5727</v>
      </c>
      <c r="G1813" t="s">
        <v>696</v>
      </c>
      <c r="H1813" t="s">
        <v>1393</v>
      </c>
      <c r="I1813">
        <v>6528</v>
      </c>
      <c r="J1813">
        <v>6945</v>
      </c>
      <c r="K1813">
        <v>7362</v>
      </c>
      <c r="L1813">
        <v>7629</v>
      </c>
      <c r="M1813">
        <v>7897</v>
      </c>
      <c r="N1813" t="s">
        <v>988</v>
      </c>
    </row>
    <row r="1814" spans="1:14" x14ac:dyDescent="0.3">
      <c r="A1814">
        <v>2057</v>
      </c>
      <c r="B1814" t="s">
        <v>1851</v>
      </c>
      <c r="C1814" t="s">
        <v>2256</v>
      </c>
      <c r="D1814" t="s">
        <v>159</v>
      </c>
      <c r="E1814" t="s">
        <v>159</v>
      </c>
      <c r="F1814">
        <v>5680</v>
      </c>
      <c r="G1814" t="s">
        <v>700</v>
      </c>
      <c r="I1814">
        <v>691</v>
      </c>
      <c r="J1814">
        <v>760</v>
      </c>
      <c r="K1814">
        <v>836</v>
      </c>
      <c r="L1814">
        <v>919</v>
      </c>
      <c r="M1814">
        <v>1011</v>
      </c>
      <c r="N1814" t="s">
        <v>988</v>
      </c>
    </row>
    <row r="1815" spans="1:14" x14ac:dyDescent="0.3">
      <c r="A1815">
        <v>2057</v>
      </c>
      <c r="B1815" t="s">
        <v>1851</v>
      </c>
      <c r="C1815" t="s">
        <v>2256</v>
      </c>
      <c r="D1815" t="s">
        <v>159</v>
      </c>
      <c r="E1815" t="s">
        <v>159</v>
      </c>
      <c r="F1815">
        <v>5680</v>
      </c>
      <c r="G1815" t="s">
        <v>698</v>
      </c>
      <c r="I1815">
        <v>1568</v>
      </c>
      <c r="J1815">
        <v>1691</v>
      </c>
      <c r="K1815">
        <v>1711</v>
      </c>
      <c r="L1815">
        <v>1707</v>
      </c>
      <c r="M1815">
        <v>1721</v>
      </c>
      <c r="N1815" t="s">
        <v>988</v>
      </c>
    </row>
    <row r="1816" spans="1:14" x14ac:dyDescent="0.3">
      <c r="A1816">
        <v>2057</v>
      </c>
      <c r="B1816" t="s">
        <v>1851</v>
      </c>
      <c r="C1816" t="s">
        <v>2256</v>
      </c>
      <c r="D1816" t="s">
        <v>159</v>
      </c>
      <c r="E1816" t="s">
        <v>159</v>
      </c>
      <c r="F1816">
        <v>5680</v>
      </c>
      <c r="G1816" t="s">
        <v>701</v>
      </c>
      <c r="I1816">
        <v>150</v>
      </c>
      <c r="J1816">
        <v>150</v>
      </c>
      <c r="K1816">
        <v>150</v>
      </c>
      <c r="L1816">
        <v>150</v>
      </c>
      <c r="M1816">
        <v>150</v>
      </c>
      <c r="N1816" t="s">
        <v>988</v>
      </c>
    </row>
    <row r="1817" spans="1:14" x14ac:dyDescent="0.3">
      <c r="A1817">
        <v>2057</v>
      </c>
      <c r="B1817" t="s">
        <v>1851</v>
      </c>
      <c r="C1817" t="s">
        <v>2256</v>
      </c>
      <c r="D1817" t="s">
        <v>159</v>
      </c>
      <c r="E1817" t="s">
        <v>159</v>
      </c>
      <c r="F1817">
        <v>5680</v>
      </c>
      <c r="G1817" t="s">
        <v>703</v>
      </c>
      <c r="I1817">
        <v>200</v>
      </c>
      <c r="J1817">
        <v>220</v>
      </c>
      <c r="K1817">
        <v>242</v>
      </c>
      <c r="L1817">
        <v>266</v>
      </c>
      <c r="M1817">
        <v>293</v>
      </c>
      <c r="N1817" t="s">
        <v>988</v>
      </c>
    </row>
    <row r="1818" spans="1:14" x14ac:dyDescent="0.3">
      <c r="A1818">
        <v>2057</v>
      </c>
      <c r="B1818" t="s">
        <v>1851</v>
      </c>
      <c r="C1818" t="s">
        <v>2256</v>
      </c>
      <c r="D1818" t="s">
        <v>159</v>
      </c>
      <c r="E1818" t="s">
        <v>159</v>
      </c>
      <c r="F1818">
        <v>5680</v>
      </c>
      <c r="G1818" t="s">
        <v>702</v>
      </c>
      <c r="I1818">
        <v>350</v>
      </c>
      <c r="J1818">
        <v>333</v>
      </c>
      <c r="K1818">
        <v>316</v>
      </c>
      <c r="L1818">
        <v>300</v>
      </c>
      <c r="M1818">
        <v>285</v>
      </c>
      <c r="N1818" t="s">
        <v>988</v>
      </c>
    </row>
    <row r="1819" spans="1:14" x14ac:dyDescent="0.3">
      <c r="A1819">
        <v>2057</v>
      </c>
      <c r="B1819" t="s">
        <v>1851</v>
      </c>
      <c r="C1819" t="s">
        <v>2256</v>
      </c>
      <c r="D1819" t="s">
        <v>159</v>
      </c>
      <c r="E1819" t="s">
        <v>159</v>
      </c>
      <c r="F1819">
        <v>5680</v>
      </c>
      <c r="G1819" t="s">
        <v>684</v>
      </c>
      <c r="I1819">
        <v>31</v>
      </c>
      <c r="J1819">
        <v>29</v>
      </c>
      <c r="K1819">
        <v>28</v>
      </c>
      <c r="L1819">
        <v>28</v>
      </c>
      <c r="M1819">
        <v>28</v>
      </c>
      <c r="N1819" t="s">
        <v>988</v>
      </c>
    </row>
    <row r="1820" spans="1:14" x14ac:dyDescent="0.3">
      <c r="A1820">
        <v>2057</v>
      </c>
      <c r="B1820" t="s">
        <v>1851</v>
      </c>
      <c r="C1820" t="s">
        <v>2256</v>
      </c>
      <c r="D1820" t="s">
        <v>159</v>
      </c>
      <c r="E1820" t="s">
        <v>159</v>
      </c>
      <c r="F1820">
        <v>5680</v>
      </c>
      <c r="G1820" t="s">
        <v>696</v>
      </c>
      <c r="I1820">
        <v>3658</v>
      </c>
      <c r="J1820">
        <v>3946</v>
      </c>
      <c r="K1820">
        <v>3993</v>
      </c>
      <c r="L1820">
        <v>3985</v>
      </c>
      <c r="M1820">
        <v>4015</v>
      </c>
      <c r="N1820" t="s">
        <v>988</v>
      </c>
    </row>
    <row r="1821" spans="1:14" x14ac:dyDescent="0.3">
      <c r="A1821">
        <v>2057</v>
      </c>
      <c r="B1821" t="s">
        <v>1851</v>
      </c>
      <c r="C1821" t="s">
        <v>2256</v>
      </c>
      <c r="D1821" t="s">
        <v>159</v>
      </c>
      <c r="E1821" t="s">
        <v>159</v>
      </c>
      <c r="F1821">
        <v>5680</v>
      </c>
      <c r="G1821" t="s">
        <v>687</v>
      </c>
      <c r="H1821" t="s">
        <v>2402</v>
      </c>
      <c r="I1821">
        <v>24</v>
      </c>
      <c r="J1821">
        <v>24</v>
      </c>
      <c r="K1821">
        <v>24</v>
      </c>
      <c r="L1821">
        <v>24</v>
      </c>
      <c r="M1821">
        <v>24</v>
      </c>
      <c r="N1821" t="s">
        <v>988</v>
      </c>
    </row>
    <row r="1822" spans="1:14" x14ac:dyDescent="0.3">
      <c r="A1822">
        <v>2063</v>
      </c>
      <c r="B1822" t="s">
        <v>1852</v>
      </c>
      <c r="C1822" t="s">
        <v>2256</v>
      </c>
      <c r="D1822" t="s">
        <v>159</v>
      </c>
      <c r="E1822" t="s">
        <v>159</v>
      </c>
      <c r="F1822">
        <v>8043</v>
      </c>
      <c r="G1822" t="s">
        <v>696</v>
      </c>
      <c r="I1822">
        <v>1671</v>
      </c>
      <c r="J1822">
        <v>1839</v>
      </c>
      <c r="K1822">
        <v>2023</v>
      </c>
      <c r="L1822">
        <v>2225</v>
      </c>
      <c r="M1822">
        <v>2256</v>
      </c>
      <c r="N1822" t="s">
        <v>988</v>
      </c>
    </row>
    <row r="1823" spans="1:14" x14ac:dyDescent="0.3">
      <c r="A1823">
        <v>2063</v>
      </c>
      <c r="B1823" t="s">
        <v>1852</v>
      </c>
      <c r="C1823" t="s">
        <v>2256</v>
      </c>
      <c r="D1823" t="s">
        <v>159</v>
      </c>
      <c r="E1823" t="s">
        <v>159</v>
      </c>
      <c r="F1823">
        <v>8043</v>
      </c>
      <c r="G1823" t="s">
        <v>700</v>
      </c>
      <c r="I1823">
        <v>478</v>
      </c>
      <c r="J1823">
        <v>525</v>
      </c>
      <c r="K1823">
        <v>578</v>
      </c>
      <c r="L1823">
        <v>636</v>
      </c>
      <c r="M1823">
        <v>645</v>
      </c>
      <c r="N1823" t="s">
        <v>988</v>
      </c>
    </row>
    <row r="1824" spans="1:14" x14ac:dyDescent="0.3">
      <c r="A1824">
        <v>2063</v>
      </c>
      <c r="B1824" t="s">
        <v>1852</v>
      </c>
      <c r="C1824" t="s">
        <v>2256</v>
      </c>
      <c r="D1824" t="s">
        <v>159</v>
      </c>
      <c r="E1824" t="s">
        <v>159</v>
      </c>
      <c r="F1824">
        <v>8043</v>
      </c>
      <c r="G1824" t="s">
        <v>698</v>
      </c>
      <c r="I1824">
        <v>103</v>
      </c>
      <c r="J1824">
        <v>113</v>
      </c>
      <c r="K1824">
        <v>124</v>
      </c>
      <c r="L1824">
        <v>137</v>
      </c>
      <c r="M1824">
        <v>139</v>
      </c>
      <c r="N1824" t="s">
        <v>988</v>
      </c>
    </row>
    <row r="1825" spans="1:14" x14ac:dyDescent="0.3">
      <c r="A1825">
        <v>2063</v>
      </c>
      <c r="B1825" t="s">
        <v>1852</v>
      </c>
      <c r="C1825" t="s">
        <v>2256</v>
      </c>
      <c r="D1825" t="s">
        <v>159</v>
      </c>
      <c r="E1825" t="s">
        <v>159</v>
      </c>
      <c r="F1825">
        <v>8043</v>
      </c>
      <c r="G1825" t="s">
        <v>701</v>
      </c>
      <c r="I1825">
        <v>5</v>
      </c>
      <c r="J1825">
        <v>5</v>
      </c>
      <c r="K1825">
        <v>6</v>
      </c>
      <c r="L1825">
        <v>6</v>
      </c>
      <c r="M1825">
        <v>6</v>
      </c>
      <c r="N1825" t="s">
        <v>988</v>
      </c>
    </row>
    <row r="1826" spans="1:14" x14ac:dyDescent="0.3">
      <c r="A1826">
        <v>2063</v>
      </c>
      <c r="B1826" t="s">
        <v>1852</v>
      </c>
      <c r="C1826" t="s">
        <v>2256</v>
      </c>
      <c r="D1826" t="s">
        <v>159</v>
      </c>
      <c r="E1826" t="s">
        <v>159</v>
      </c>
      <c r="F1826">
        <v>8043</v>
      </c>
      <c r="G1826" t="s">
        <v>702</v>
      </c>
      <c r="I1826">
        <v>48</v>
      </c>
      <c r="J1826">
        <v>53</v>
      </c>
      <c r="K1826">
        <v>58</v>
      </c>
      <c r="L1826">
        <v>64</v>
      </c>
      <c r="M1826">
        <v>64</v>
      </c>
      <c r="N1826" t="s">
        <v>988</v>
      </c>
    </row>
    <row r="1827" spans="1:14" x14ac:dyDescent="0.3">
      <c r="A1827">
        <v>2063</v>
      </c>
      <c r="B1827" t="s">
        <v>1852</v>
      </c>
      <c r="C1827" t="s">
        <v>2256</v>
      </c>
      <c r="D1827" t="s">
        <v>159</v>
      </c>
      <c r="E1827" t="s">
        <v>159</v>
      </c>
      <c r="F1827">
        <v>8043</v>
      </c>
      <c r="G1827" t="s">
        <v>686</v>
      </c>
      <c r="I1827">
        <v>83</v>
      </c>
      <c r="J1827">
        <v>92</v>
      </c>
      <c r="K1827">
        <v>101</v>
      </c>
      <c r="L1827">
        <v>111</v>
      </c>
      <c r="M1827">
        <v>113</v>
      </c>
      <c r="N1827" t="s">
        <v>988</v>
      </c>
    </row>
    <row r="1828" spans="1:14" x14ac:dyDescent="0.3">
      <c r="A1828">
        <v>2074</v>
      </c>
      <c r="B1828" t="s">
        <v>1853</v>
      </c>
      <c r="C1828" t="s">
        <v>2256</v>
      </c>
      <c r="D1828" t="s">
        <v>1203</v>
      </c>
      <c r="E1828" t="s">
        <v>1204</v>
      </c>
      <c r="F1828">
        <v>6341</v>
      </c>
      <c r="G1828" t="s">
        <v>696</v>
      </c>
      <c r="I1828">
        <v>3760.5</v>
      </c>
      <c r="J1828">
        <v>3939.5</v>
      </c>
      <c r="K1828">
        <v>4118.6000000000004</v>
      </c>
      <c r="L1828">
        <v>4297.7</v>
      </c>
      <c r="N1828" t="s">
        <v>988</v>
      </c>
    </row>
    <row r="1829" spans="1:14" x14ac:dyDescent="0.3">
      <c r="A1829">
        <v>2074</v>
      </c>
      <c r="B1829" t="s">
        <v>1853</v>
      </c>
      <c r="C1829" t="s">
        <v>2256</v>
      </c>
      <c r="D1829" t="s">
        <v>1203</v>
      </c>
      <c r="E1829" t="s">
        <v>1204</v>
      </c>
      <c r="F1829">
        <v>6341</v>
      </c>
      <c r="G1829" t="s">
        <v>700</v>
      </c>
      <c r="I1829">
        <v>235</v>
      </c>
      <c r="J1829">
        <v>246.2</v>
      </c>
      <c r="K1829">
        <v>257.39999999999998</v>
      </c>
      <c r="L1829">
        <v>268.60000000000002</v>
      </c>
      <c r="N1829" t="s">
        <v>988</v>
      </c>
    </row>
    <row r="1830" spans="1:14" x14ac:dyDescent="0.3">
      <c r="A1830">
        <v>2074</v>
      </c>
      <c r="B1830" t="s">
        <v>1853</v>
      </c>
      <c r="C1830" t="s">
        <v>2256</v>
      </c>
      <c r="D1830" t="s">
        <v>1203</v>
      </c>
      <c r="E1830" t="s">
        <v>1204</v>
      </c>
      <c r="F1830">
        <v>6341</v>
      </c>
      <c r="G1830" t="s">
        <v>703</v>
      </c>
      <c r="I1830">
        <v>9.5</v>
      </c>
      <c r="J1830">
        <v>9.9</v>
      </c>
      <c r="K1830">
        <v>10.4</v>
      </c>
      <c r="L1830">
        <v>10.8</v>
      </c>
      <c r="N1830" t="s">
        <v>988</v>
      </c>
    </row>
    <row r="1831" spans="1:14" x14ac:dyDescent="0.3">
      <c r="A1831">
        <v>2074</v>
      </c>
      <c r="B1831" t="s">
        <v>1853</v>
      </c>
      <c r="C1831" t="s">
        <v>2256</v>
      </c>
      <c r="D1831" t="s">
        <v>1203</v>
      </c>
      <c r="E1831" t="s">
        <v>1204</v>
      </c>
      <c r="F1831">
        <v>6341</v>
      </c>
      <c r="G1831" t="s">
        <v>701</v>
      </c>
      <c r="I1831">
        <v>123.3</v>
      </c>
      <c r="J1831">
        <v>129.19999999999999</v>
      </c>
      <c r="K1831">
        <v>135</v>
      </c>
      <c r="L1831">
        <v>140.9</v>
      </c>
      <c r="N1831" t="s">
        <v>988</v>
      </c>
    </row>
    <row r="1832" spans="1:14" x14ac:dyDescent="0.3">
      <c r="A1832">
        <v>2074</v>
      </c>
      <c r="B1832" t="s">
        <v>1853</v>
      </c>
      <c r="C1832" t="s">
        <v>2256</v>
      </c>
      <c r="D1832" t="s">
        <v>1203</v>
      </c>
      <c r="E1832" t="s">
        <v>1204</v>
      </c>
      <c r="F1832">
        <v>6341</v>
      </c>
      <c r="G1832" t="s">
        <v>686</v>
      </c>
      <c r="I1832">
        <v>517.5</v>
      </c>
      <c r="J1832">
        <v>542.20000000000005</v>
      </c>
      <c r="K1832">
        <v>566.79999999999995</v>
      </c>
      <c r="L1832">
        <v>591.4</v>
      </c>
      <c r="N1832" t="s">
        <v>988</v>
      </c>
    </row>
    <row r="1833" spans="1:14" x14ac:dyDescent="0.3">
      <c r="A1833">
        <v>2083</v>
      </c>
      <c r="B1833" t="s">
        <v>1854</v>
      </c>
      <c r="C1833" t="s">
        <v>2256</v>
      </c>
      <c r="D1833" t="s">
        <v>159</v>
      </c>
      <c r="E1833" t="s">
        <v>159</v>
      </c>
      <c r="F1833">
        <v>5706</v>
      </c>
      <c r="G1833" t="s">
        <v>684</v>
      </c>
      <c r="I1833">
        <v>1427</v>
      </c>
      <c r="J1833">
        <v>1479</v>
      </c>
      <c r="K1833">
        <v>1533</v>
      </c>
      <c r="L1833">
        <v>1589</v>
      </c>
      <c r="M1833">
        <v>1648</v>
      </c>
      <c r="N1833" t="s">
        <v>988</v>
      </c>
    </row>
    <row r="1834" spans="1:14" x14ac:dyDescent="0.3">
      <c r="A1834">
        <v>2083</v>
      </c>
      <c r="B1834" t="s">
        <v>1854</v>
      </c>
      <c r="C1834" t="s">
        <v>2256</v>
      </c>
      <c r="D1834" t="s">
        <v>159</v>
      </c>
      <c r="E1834" t="s">
        <v>159</v>
      </c>
      <c r="F1834">
        <v>5706</v>
      </c>
      <c r="G1834" t="s">
        <v>702</v>
      </c>
      <c r="I1834">
        <v>4266</v>
      </c>
      <c r="J1834">
        <v>4421</v>
      </c>
      <c r="K1834">
        <v>4583</v>
      </c>
      <c r="L1834">
        <v>4750</v>
      </c>
      <c r="M1834">
        <v>4924</v>
      </c>
      <c r="N1834" t="s">
        <v>988</v>
      </c>
    </row>
    <row r="1835" spans="1:14" x14ac:dyDescent="0.3">
      <c r="A1835">
        <v>2083</v>
      </c>
      <c r="B1835" t="s">
        <v>1854</v>
      </c>
      <c r="C1835" t="s">
        <v>2256</v>
      </c>
      <c r="D1835" t="s">
        <v>159</v>
      </c>
      <c r="E1835" t="s">
        <v>159</v>
      </c>
      <c r="F1835">
        <v>5706</v>
      </c>
      <c r="G1835" t="s">
        <v>700</v>
      </c>
      <c r="I1835">
        <v>12355</v>
      </c>
      <c r="J1835">
        <v>12807</v>
      </c>
      <c r="K1835">
        <v>13274</v>
      </c>
      <c r="L1835">
        <v>13759</v>
      </c>
      <c r="M1835">
        <v>14262</v>
      </c>
      <c r="N1835" t="s">
        <v>988</v>
      </c>
    </row>
    <row r="1836" spans="1:14" x14ac:dyDescent="0.3">
      <c r="A1836">
        <v>2083</v>
      </c>
      <c r="B1836" t="s">
        <v>1854</v>
      </c>
      <c r="C1836" t="s">
        <v>2256</v>
      </c>
      <c r="D1836" t="s">
        <v>159</v>
      </c>
      <c r="E1836" t="s">
        <v>159</v>
      </c>
      <c r="F1836">
        <v>5706</v>
      </c>
      <c r="G1836" t="s">
        <v>698</v>
      </c>
      <c r="I1836">
        <v>6306</v>
      </c>
      <c r="J1836">
        <v>6537</v>
      </c>
      <c r="K1836">
        <v>6775</v>
      </c>
      <c r="L1836">
        <v>7023</v>
      </c>
      <c r="M1836">
        <v>7279</v>
      </c>
      <c r="N1836" t="s">
        <v>988</v>
      </c>
    </row>
    <row r="1837" spans="1:14" x14ac:dyDescent="0.3">
      <c r="A1837">
        <v>2083</v>
      </c>
      <c r="B1837" t="s">
        <v>1854</v>
      </c>
      <c r="C1837" t="s">
        <v>2256</v>
      </c>
      <c r="D1837" t="s">
        <v>159</v>
      </c>
      <c r="E1837" t="s">
        <v>159</v>
      </c>
      <c r="F1837">
        <v>5706</v>
      </c>
      <c r="G1837" t="s">
        <v>696</v>
      </c>
      <c r="I1837">
        <v>35069</v>
      </c>
      <c r="J1837">
        <v>36349</v>
      </c>
      <c r="K1837">
        <v>37677</v>
      </c>
      <c r="L1837">
        <v>39053</v>
      </c>
      <c r="M1837">
        <v>40479</v>
      </c>
      <c r="N1837" t="s">
        <v>988</v>
      </c>
    </row>
    <row r="1838" spans="1:14" x14ac:dyDescent="0.3">
      <c r="A1838">
        <v>2083</v>
      </c>
      <c r="B1838" t="s">
        <v>1854</v>
      </c>
      <c r="C1838" t="s">
        <v>2256</v>
      </c>
      <c r="D1838" t="s">
        <v>159</v>
      </c>
      <c r="E1838" t="s">
        <v>159</v>
      </c>
      <c r="F1838">
        <v>5706</v>
      </c>
      <c r="G1838" t="s">
        <v>692</v>
      </c>
      <c r="H1838" t="s">
        <v>1859</v>
      </c>
      <c r="I1838">
        <v>600</v>
      </c>
      <c r="J1838">
        <v>600</v>
      </c>
      <c r="K1838">
        <v>600</v>
      </c>
      <c r="L1838">
        <v>600</v>
      </c>
      <c r="M1838">
        <v>600</v>
      </c>
      <c r="N1838" t="s">
        <v>988</v>
      </c>
    </row>
    <row r="1839" spans="1:14" x14ac:dyDescent="0.3">
      <c r="A1839">
        <v>2083</v>
      </c>
      <c r="B1839" t="s">
        <v>1854</v>
      </c>
      <c r="C1839" t="s">
        <v>2256</v>
      </c>
      <c r="D1839" t="s">
        <v>159</v>
      </c>
      <c r="E1839" t="s">
        <v>159</v>
      </c>
      <c r="F1839">
        <v>5706</v>
      </c>
      <c r="G1839" t="s">
        <v>692</v>
      </c>
      <c r="H1839" t="s">
        <v>1858</v>
      </c>
      <c r="I1839">
        <v>2000</v>
      </c>
      <c r="J1839">
        <v>2000</v>
      </c>
      <c r="K1839">
        <v>2000</v>
      </c>
      <c r="L1839">
        <v>2000</v>
      </c>
      <c r="M1839">
        <v>2000</v>
      </c>
      <c r="N1839" t="s">
        <v>988</v>
      </c>
    </row>
    <row r="1840" spans="1:14" x14ac:dyDescent="0.3">
      <c r="A1840">
        <v>2083</v>
      </c>
      <c r="B1840" t="s">
        <v>1854</v>
      </c>
      <c r="C1840" t="s">
        <v>2256</v>
      </c>
      <c r="D1840" t="s">
        <v>159</v>
      </c>
      <c r="E1840" t="s">
        <v>159</v>
      </c>
      <c r="F1840">
        <v>5706</v>
      </c>
      <c r="G1840" t="s">
        <v>692</v>
      </c>
      <c r="H1840" t="s">
        <v>1857</v>
      </c>
      <c r="I1840">
        <v>1000</v>
      </c>
      <c r="J1840">
        <v>1000</v>
      </c>
      <c r="K1840">
        <v>1000</v>
      </c>
      <c r="L1840">
        <v>1000</v>
      </c>
      <c r="M1840">
        <v>1000</v>
      </c>
      <c r="N1840" t="s">
        <v>988</v>
      </c>
    </row>
    <row r="1841" spans="1:14" x14ac:dyDescent="0.3">
      <c r="A1841">
        <v>2083</v>
      </c>
      <c r="B1841" t="s">
        <v>1854</v>
      </c>
      <c r="C1841" t="s">
        <v>2256</v>
      </c>
      <c r="D1841" t="s">
        <v>159</v>
      </c>
      <c r="E1841" t="s">
        <v>159</v>
      </c>
      <c r="F1841">
        <v>5706</v>
      </c>
      <c r="G1841" t="s">
        <v>692</v>
      </c>
      <c r="H1841" t="s">
        <v>2403</v>
      </c>
      <c r="I1841">
        <v>13500</v>
      </c>
      <c r="J1841">
        <v>13500</v>
      </c>
      <c r="K1841">
        <v>13500</v>
      </c>
      <c r="L1841">
        <v>13500</v>
      </c>
      <c r="M1841">
        <v>13500</v>
      </c>
      <c r="N1841" t="s">
        <v>988</v>
      </c>
    </row>
    <row r="1842" spans="1:14" x14ac:dyDescent="0.3">
      <c r="A1842">
        <v>2083</v>
      </c>
      <c r="B1842" t="s">
        <v>1854</v>
      </c>
      <c r="C1842" t="s">
        <v>2256</v>
      </c>
      <c r="D1842" t="s">
        <v>159</v>
      </c>
      <c r="E1842" t="s">
        <v>159</v>
      </c>
      <c r="F1842">
        <v>5706</v>
      </c>
      <c r="G1842" t="s">
        <v>687</v>
      </c>
      <c r="H1842" t="s">
        <v>1612</v>
      </c>
      <c r="I1842">
        <v>5193</v>
      </c>
      <c r="J1842">
        <v>5383</v>
      </c>
      <c r="K1842">
        <v>5579</v>
      </c>
      <c r="L1842">
        <v>5783</v>
      </c>
      <c r="M1842">
        <v>5994</v>
      </c>
      <c r="N1842" t="s">
        <v>988</v>
      </c>
    </row>
    <row r="1843" spans="1:14" x14ac:dyDescent="0.3">
      <c r="A1843">
        <v>2083</v>
      </c>
      <c r="B1843" t="s">
        <v>1854</v>
      </c>
      <c r="C1843" t="s">
        <v>2256</v>
      </c>
      <c r="D1843" t="s">
        <v>159</v>
      </c>
      <c r="E1843" t="s">
        <v>159</v>
      </c>
      <c r="F1843">
        <v>5706</v>
      </c>
      <c r="G1843" t="s">
        <v>687</v>
      </c>
      <c r="H1843" t="s">
        <v>1855</v>
      </c>
      <c r="I1843">
        <v>296</v>
      </c>
      <c r="J1843">
        <v>307</v>
      </c>
      <c r="K1843">
        <v>318</v>
      </c>
      <c r="L1843">
        <v>330</v>
      </c>
      <c r="M1843">
        <v>342</v>
      </c>
      <c r="N1843" t="s">
        <v>988</v>
      </c>
    </row>
    <row r="1844" spans="1:14" x14ac:dyDescent="0.3">
      <c r="A1844">
        <v>2087</v>
      </c>
      <c r="B1844" t="s">
        <v>1860</v>
      </c>
      <c r="C1844" t="s">
        <v>2256</v>
      </c>
      <c r="D1844" t="s">
        <v>1203</v>
      </c>
      <c r="E1844" t="s">
        <v>1204</v>
      </c>
      <c r="F1844">
        <v>5755</v>
      </c>
      <c r="G1844" t="s">
        <v>686</v>
      </c>
      <c r="H1844" t="s">
        <v>1482</v>
      </c>
      <c r="I1844">
        <v>257</v>
      </c>
      <c r="J1844">
        <v>268</v>
      </c>
      <c r="K1844">
        <v>279</v>
      </c>
      <c r="L1844">
        <v>285</v>
      </c>
      <c r="M1844">
        <v>290</v>
      </c>
      <c r="N1844" t="s">
        <v>988</v>
      </c>
    </row>
    <row r="1845" spans="1:14" x14ac:dyDescent="0.3">
      <c r="A1845">
        <v>2087</v>
      </c>
      <c r="B1845" t="s">
        <v>1860</v>
      </c>
      <c r="C1845" t="s">
        <v>2256</v>
      </c>
      <c r="D1845" t="s">
        <v>1203</v>
      </c>
      <c r="E1845" t="s">
        <v>1204</v>
      </c>
      <c r="F1845">
        <v>5755</v>
      </c>
      <c r="G1845" t="s">
        <v>687</v>
      </c>
      <c r="H1845" t="s">
        <v>687</v>
      </c>
      <c r="I1845">
        <v>5</v>
      </c>
      <c r="J1845">
        <v>5</v>
      </c>
      <c r="K1845">
        <v>5</v>
      </c>
      <c r="L1845">
        <v>6</v>
      </c>
      <c r="M1845">
        <v>6</v>
      </c>
      <c r="N1845" t="s">
        <v>988</v>
      </c>
    </row>
    <row r="1846" spans="1:14" x14ac:dyDescent="0.3">
      <c r="A1846">
        <v>2087</v>
      </c>
      <c r="B1846" t="s">
        <v>1860</v>
      </c>
      <c r="C1846" t="s">
        <v>2256</v>
      </c>
      <c r="D1846" t="s">
        <v>1203</v>
      </c>
      <c r="E1846" t="s">
        <v>1204</v>
      </c>
      <c r="F1846">
        <v>5755</v>
      </c>
      <c r="G1846" t="s">
        <v>702</v>
      </c>
      <c r="H1846" t="s">
        <v>702</v>
      </c>
      <c r="I1846">
        <v>576</v>
      </c>
      <c r="J1846">
        <v>620</v>
      </c>
      <c r="K1846">
        <v>665</v>
      </c>
      <c r="L1846">
        <v>688</v>
      </c>
      <c r="M1846">
        <v>710</v>
      </c>
      <c r="N1846" t="s">
        <v>988</v>
      </c>
    </row>
    <row r="1847" spans="1:14" x14ac:dyDescent="0.3">
      <c r="A1847">
        <v>2087</v>
      </c>
      <c r="B1847" t="s">
        <v>1860</v>
      </c>
      <c r="C1847" t="s">
        <v>2256</v>
      </c>
      <c r="D1847" t="s">
        <v>1203</v>
      </c>
      <c r="E1847" t="s">
        <v>1204</v>
      </c>
      <c r="F1847">
        <v>5755</v>
      </c>
      <c r="G1847" t="s">
        <v>684</v>
      </c>
      <c r="H1847" t="s">
        <v>1844</v>
      </c>
      <c r="I1847">
        <v>65</v>
      </c>
      <c r="J1847">
        <v>67</v>
      </c>
      <c r="K1847">
        <v>70</v>
      </c>
      <c r="L1847">
        <v>71</v>
      </c>
      <c r="M1847">
        <v>72</v>
      </c>
      <c r="N1847" t="s">
        <v>988</v>
      </c>
    </row>
    <row r="1848" spans="1:14" x14ac:dyDescent="0.3">
      <c r="A1848">
        <v>2087</v>
      </c>
      <c r="B1848" t="s">
        <v>1860</v>
      </c>
      <c r="C1848" t="s">
        <v>2256</v>
      </c>
      <c r="D1848" t="s">
        <v>1203</v>
      </c>
      <c r="E1848" t="s">
        <v>1204</v>
      </c>
      <c r="F1848">
        <v>5755</v>
      </c>
      <c r="G1848" t="s">
        <v>701</v>
      </c>
      <c r="H1848" t="s">
        <v>701</v>
      </c>
      <c r="I1848">
        <v>30</v>
      </c>
      <c r="J1848">
        <v>31</v>
      </c>
      <c r="K1848">
        <v>32</v>
      </c>
      <c r="L1848">
        <v>33</v>
      </c>
      <c r="M1848">
        <v>34</v>
      </c>
      <c r="N1848" t="s">
        <v>988</v>
      </c>
    </row>
    <row r="1849" spans="1:14" x14ac:dyDescent="0.3">
      <c r="A1849">
        <v>2087</v>
      </c>
      <c r="B1849" t="s">
        <v>1860</v>
      </c>
      <c r="C1849" t="s">
        <v>2256</v>
      </c>
      <c r="D1849" t="s">
        <v>1203</v>
      </c>
      <c r="E1849" t="s">
        <v>1204</v>
      </c>
      <c r="F1849">
        <v>5755</v>
      </c>
      <c r="G1849" t="s">
        <v>700</v>
      </c>
      <c r="H1849" t="s">
        <v>1861</v>
      </c>
      <c r="I1849">
        <v>160</v>
      </c>
      <c r="J1849">
        <v>167</v>
      </c>
      <c r="K1849">
        <v>173</v>
      </c>
      <c r="L1849">
        <v>176</v>
      </c>
      <c r="M1849">
        <v>180</v>
      </c>
      <c r="N1849" t="s">
        <v>988</v>
      </c>
    </row>
    <row r="1850" spans="1:14" x14ac:dyDescent="0.3">
      <c r="A1850">
        <v>2087</v>
      </c>
      <c r="B1850" t="s">
        <v>1860</v>
      </c>
      <c r="C1850" t="s">
        <v>2256</v>
      </c>
      <c r="D1850" t="s">
        <v>1203</v>
      </c>
      <c r="E1850" t="s">
        <v>1204</v>
      </c>
      <c r="F1850">
        <v>5755</v>
      </c>
      <c r="G1850" t="s">
        <v>698</v>
      </c>
      <c r="H1850" t="s">
        <v>699</v>
      </c>
      <c r="I1850">
        <v>241</v>
      </c>
      <c r="J1850">
        <v>251</v>
      </c>
      <c r="K1850">
        <v>261</v>
      </c>
      <c r="L1850">
        <v>266</v>
      </c>
      <c r="M1850">
        <v>271</v>
      </c>
      <c r="N1850" t="s">
        <v>988</v>
      </c>
    </row>
    <row r="1851" spans="1:14" x14ac:dyDescent="0.3">
      <c r="A1851">
        <v>2087</v>
      </c>
      <c r="B1851" t="s">
        <v>1860</v>
      </c>
      <c r="C1851" t="s">
        <v>2256</v>
      </c>
      <c r="D1851" t="s">
        <v>1203</v>
      </c>
      <c r="E1851" t="s">
        <v>1204</v>
      </c>
      <c r="F1851">
        <v>5755</v>
      </c>
      <c r="G1851" t="s">
        <v>696</v>
      </c>
      <c r="H1851" t="s">
        <v>1662</v>
      </c>
      <c r="I1851">
        <v>3211</v>
      </c>
      <c r="J1851">
        <v>3329</v>
      </c>
      <c r="K1851">
        <v>3447</v>
      </c>
      <c r="L1851">
        <v>3507</v>
      </c>
      <c r="M1851">
        <v>3568</v>
      </c>
      <c r="N1851" t="s">
        <v>988</v>
      </c>
    </row>
    <row r="1852" spans="1:14" x14ac:dyDescent="0.3">
      <c r="A1852">
        <v>2103</v>
      </c>
      <c r="B1852" t="s">
        <v>1862</v>
      </c>
      <c r="C1852" t="s">
        <v>2256</v>
      </c>
      <c r="D1852" t="s">
        <v>1203</v>
      </c>
      <c r="E1852" t="s">
        <v>1204</v>
      </c>
      <c r="F1852">
        <v>6641</v>
      </c>
      <c r="G1852" t="s">
        <v>702</v>
      </c>
      <c r="H1852" t="s">
        <v>2404</v>
      </c>
      <c r="I1852">
        <v>442</v>
      </c>
      <c r="J1852">
        <v>448</v>
      </c>
      <c r="K1852">
        <v>454</v>
      </c>
      <c r="L1852">
        <v>460</v>
      </c>
      <c r="M1852">
        <v>467</v>
      </c>
      <c r="N1852" t="s">
        <v>988</v>
      </c>
    </row>
    <row r="1853" spans="1:14" x14ac:dyDescent="0.3">
      <c r="A1853">
        <v>2103</v>
      </c>
      <c r="B1853" t="s">
        <v>1862</v>
      </c>
      <c r="C1853" t="s">
        <v>2256</v>
      </c>
      <c r="D1853" t="s">
        <v>1203</v>
      </c>
      <c r="E1853" t="s">
        <v>1204</v>
      </c>
      <c r="F1853">
        <v>6641</v>
      </c>
      <c r="G1853" t="s">
        <v>696</v>
      </c>
      <c r="I1853">
        <v>2142</v>
      </c>
      <c r="J1853">
        <v>2248</v>
      </c>
      <c r="K1853">
        <v>2298</v>
      </c>
      <c r="L1853">
        <v>2390</v>
      </c>
      <c r="M1853">
        <v>2486</v>
      </c>
      <c r="N1853" t="s">
        <v>988</v>
      </c>
    </row>
    <row r="1854" spans="1:14" x14ac:dyDescent="0.3">
      <c r="A1854">
        <v>2103</v>
      </c>
      <c r="B1854" t="s">
        <v>1862</v>
      </c>
      <c r="C1854" t="s">
        <v>2256</v>
      </c>
      <c r="D1854" t="s">
        <v>1203</v>
      </c>
      <c r="E1854" t="s">
        <v>1204</v>
      </c>
      <c r="F1854">
        <v>6641</v>
      </c>
      <c r="G1854" t="s">
        <v>698</v>
      </c>
      <c r="I1854">
        <v>1640</v>
      </c>
      <c r="J1854">
        <v>1722</v>
      </c>
      <c r="K1854">
        <v>1760</v>
      </c>
      <c r="L1854">
        <v>1830</v>
      </c>
      <c r="M1854">
        <v>1904</v>
      </c>
      <c r="N1854" t="s">
        <v>988</v>
      </c>
    </row>
    <row r="1855" spans="1:14" x14ac:dyDescent="0.3">
      <c r="A1855">
        <v>2103</v>
      </c>
      <c r="B1855" t="s">
        <v>1862</v>
      </c>
      <c r="C1855" t="s">
        <v>2256</v>
      </c>
      <c r="D1855" t="s">
        <v>1203</v>
      </c>
      <c r="E1855" t="s">
        <v>1204</v>
      </c>
      <c r="F1855">
        <v>6641</v>
      </c>
      <c r="G1855" t="s">
        <v>700</v>
      </c>
      <c r="H1855" t="s">
        <v>1863</v>
      </c>
      <c r="I1855">
        <v>1045</v>
      </c>
      <c r="J1855">
        <v>1059</v>
      </c>
      <c r="K1855">
        <v>1073</v>
      </c>
      <c r="L1855">
        <v>1088</v>
      </c>
      <c r="M1855">
        <v>1103</v>
      </c>
      <c r="N1855" t="s">
        <v>988</v>
      </c>
    </row>
    <row r="1856" spans="1:14" x14ac:dyDescent="0.3">
      <c r="A1856">
        <v>2103</v>
      </c>
      <c r="B1856" t="s">
        <v>1862</v>
      </c>
      <c r="C1856" t="s">
        <v>2256</v>
      </c>
      <c r="D1856" t="s">
        <v>1203</v>
      </c>
      <c r="E1856" t="s">
        <v>1204</v>
      </c>
      <c r="F1856">
        <v>6641</v>
      </c>
      <c r="G1856" t="s">
        <v>686</v>
      </c>
      <c r="H1856" t="s">
        <v>2405</v>
      </c>
      <c r="I1856">
        <v>491</v>
      </c>
      <c r="J1856">
        <v>510</v>
      </c>
      <c r="K1856">
        <v>520</v>
      </c>
      <c r="L1856">
        <v>537</v>
      </c>
      <c r="M1856">
        <v>555</v>
      </c>
      <c r="N1856" t="s">
        <v>988</v>
      </c>
    </row>
    <row r="1857" spans="1:14" x14ac:dyDescent="0.3">
      <c r="A1857">
        <v>2111</v>
      </c>
      <c r="B1857" t="s">
        <v>868</v>
      </c>
      <c r="C1857" t="s">
        <v>2256</v>
      </c>
      <c r="D1857" t="s">
        <v>1203</v>
      </c>
      <c r="E1857" t="s">
        <v>1204</v>
      </c>
      <c r="F1857">
        <v>5659</v>
      </c>
      <c r="G1857" t="s">
        <v>705</v>
      </c>
      <c r="H1857" t="s">
        <v>2406</v>
      </c>
      <c r="I1857">
        <v>404</v>
      </c>
      <c r="J1857">
        <v>404</v>
      </c>
      <c r="K1857">
        <v>404</v>
      </c>
      <c r="L1857">
        <v>404</v>
      </c>
      <c r="M1857">
        <v>404</v>
      </c>
      <c r="N1857" t="s">
        <v>988</v>
      </c>
    </row>
    <row r="1858" spans="1:14" x14ac:dyDescent="0.3">
      <c r="A1858">
        <v>2111</v>
      </c>
      <c r="B1858" t="s">
        <v>868</v>
      </c>
      <c r="C1858" t="s">
        <v>2256</v>
      </c>
      <c r="D1858" t="s">
        <v>1203</v>
      </c>
      <c r="E1858" t="s">
        <v>1204</v>
      </c>
      <c r="F1858">
        <v>5659</v>
      </c>
      <c r="G1858" t="s">
        <v>690</v>
      </c>
      <c r="H1858" t="s">
        <v>1286</v>
      </c>
      <c r="I1858">
        <v>1560</v>
      </c>
      <c r="J1858">
        <v>2720</v>
      </c>
      <c r="K1858">
        <v>3350</v>
      </c>
      <c r="L1858">
        <v>3350</v>
      </c>
      <c r="M1858">
        <v>3350</v>
      </c>
      <c r="N1858" t="s">
        <v>988</v>
      </c>
    </row>
    <row r="1859" spans="1:14" x14ac:dyDescent="0.3">
      <c r="A1859">
        <v>2111</v>
      </c>
      <c r="B1859" t="s">
        <v>868</v>
      </c>
      <c r="C1859" t="s">
        <v>2256</v>
      </c>
      <c r="D1859" t="s">
        <v>1203</v>
      </c>
      <c r="E1859" t="s">
        <v>1204</v>
      </c>
      <c r="F1859">
        <v>5659</v>
      </c>
      <c r="G1859" t="s">
        <v>703</v>
      </c>
      <c r="H1859" t="s">
        <v>2407</v>
      </c>
      <c r="I1859">
        <v>8904</v>
      </c>
      <c r="J1859">
        <v>9494</v>
      </c>
      <c r="K1859">
        <v>10321</v>
      </c>
      <c r="L1859">
        <v>10321</v>
      </c>
      <c r="M1859">
        <v>10321</v>
      </c>
      <c r="N1859" t="s">
        <v>988</v>
      </c>
    </row>
    <row r="1860" spans="1:14" x14ac:dyDescent="0.3">
      <c r="A1860">
        <v>2111</v>
      </c>
      <c r="B1860" t="s">
        <v>868</v>
      </c>
      <c r="C1860" t="s">
        <v>2256</v>
      </c>
      <c r="D1860" t="s">
        <v>1203</v>
      </c>
      <c r="E1860" t="s">
        <v>1204</v>
      </c>
      <c r="F1860">
        <v>5659</v>
      </c>
      <c r="G1860" t="s">
        <v>698</v>
      </c>
      <c r="H1860" t="s">
        <v>2407</v>
      </c>
      <c r="I1860">
        <v>1752</v>
      </c>
      <c r="J1860">
        <v>2029</v>
      </c>
      <c r="K1860">
        <v>2725</v>
      </c>
      <c r="L1860">
        <v>2725</v>
      </c>
      <c r="M1860">
        <v>2725</v>
      </c>
      <c r="N1860" t="s">
        <v>988</v>
      </c>
    </row>
    <row r="1861" spans="1:14" x14ac:dyDescent="0.3">
      <c r="A1861">
        <v>2111</v>
      </c>
      <c r="B1861" t="s">
        <v>868</v>
      </c>
      <c r="C1861" t="s">
        <v>2256</v>
      </c>
      <c r="D1861" t="s">
        <v>1203</v>
      </c>
      <c r="E1861" t="s">
        <v>1204</v>
      </c>
      <c r="F1861">
        <v>5659</v>
      </c>
      <c r="G1861" t="s">
        <v>701</v>
      </c>
      <c r="H1861" t="s">
        <v>2407</v>
      </c>
      <c r="I1861">
        <v>4175</v>
      </c>
      <c r="J1861">
        <v>4726</v>
      </c>
      <c r="K1861">
        <v>5123</v>
      </c>
      <c r="L1861">
        <v>5123</v>
      </c>
      <c r="M1861">
        <v>5123</v>
      </c>
      <c r="N1861" t="s">
        <v>988</v>
      </c>
    </row>
    <row r="1862" spans="1:14" x14ac:dyDescent="0.3">
      <c r="A1862">
        <v>2111</v>
      </c>
      <c r="B1862" t="s">
        <v>868</v>
      </c>
      <c r="C1862" t="s">
        <v>2256</v>
      </c>
      <c r="D1862" t="s">
        <v>1203</v>
      </c>
      <c r="E1862" t="s">
        <v>1204</v>
      </c>
      <c r="F1862">
        <v>5659</v>
      </c>
      <c r="G1862" t="s">
        <v>686</v>
      </c>
      <c r="H1862" t="s">
        <v>1286</v>
      </c>
      <c r="I1862">
        <v>1429</v>
      </c>
      <c r="J1862">
        <v>1401</v>
      </c>
      <c r="K1862">
        <v>1587</v>
      </c>
      <c r="L1862">
        <v>1587</v>
      </c>
      <c r="M1862">
        <v>1587</v>
      </c>
      <c r="N1862" t="s">
        <v>988</v>
      </c>
    </row>
    <row r="1863" spans="1:14" x14ac:dyDescent="0.3">
      <c r="A1863">
        <v>2111</v>
      </c>
      <c r="B1863" t="s">
        <v>868</v>
      </c>
      <c r="C1863" t="s">
        <v>2256</v>
      </c>
      <c r="D1863" t="s">
        <v>1203</v>
      </c>
      <c r="E1863" t="s">
        <v>1204</v>
      </c>
      <c r="F1863">
        <v>5659</v>
      </c>
      <c r="G1863" t="s">
        <v>705</v>
      </c>
      <c r="H1863" t="s">
        <v>2407</v>
      </c>
      <c r="I1863">
        <v>0</v>
      </c>
      <c r="J1863">
        <v>0</v>
      </c>
      <c r="K1863">
        <v>0</v>
      </c>
      <c r="L1863">
        <v>0</v>
      </c>
      <c r="M1863">
        <v>0</v>
      </c>
      <c r="N1863" t="s">
        <v>988</v>
      </c>
    </row>
    <row r="1864" spans="1:14" x14ac:dyDescent="0.3">
      <c r="A1864">
        <v>2111</v>
      </c>
      <c r="B1864" t="s">
        <v>868</v>
      </c>
      <c r="C1864" t="s">
        <v>2256</v>
      </c>
      <c r="D1864" t="s">
        <v>1203</v>
      </c>
      <c r="E1864" t="s">
        <v>1204</v>
      </c>
      <c r="F1864">
        <v>5659</v>
      </c>
      <c r="G1864" t="s">
        <v>702</v>
      </c>
      <c r="H1864" t="s">
        <v>2407</v>
      </c>
      <c r="I1864">
        <v>644</v>
      </c>
      <c r="J1864">
        <v>765</v>
      </c>
      <c r="K1864">
        <v>805</v>
      </c>
      <c r="L1864">
        <v>805</v>
      </c>
      <c r="M1864">
        <v>805</v>
      </c>
      <c r="N1864" t="s">
        <v>988</v>
      </c>
    </row>
    <row r="1865" spans="1:14" x14ac:dyDescent="0.3">
      <c r="A1865">
        <v>2111</v>
      </c>
      <c r="B1865" t="s">
        <v>868</v>
      </c>
      <c r="C1865" t="s">
        <v>2256</v>
      </c>
      <c r="D1865" t="s">
        <v>1203</v>
      </c>
      <c r="E1865" t="s">
        <v>1204</v>
      </c>
      <c r="F1865">
        <v>5659</v>
      </c>
      <c r="G1865" t="s">
        <v>700</v>
      </c>
      <c r="H1865" t="s">
        <v>2407</v>
      </c>
      <c r="I1865">
        <v>6135</v>
      </c>
      <c r="J1865">
        <v>6508</v>
      </c>
      <c r="K1865">
        <v>7017</v>
      </c>
      <c r="L1865">
        <v>7017</v>
      </c>
      <c r="M1865">
        <v>7017</v>
      </c>
      <c r="N1865" t="s">
        <v>988</v>
      </c>
    </row>
    <row r="1866" spans="1:14" x14ac:dyDescent="0.3">
      <c r="A1866">
        <v>2111</v>
      </c>
      <c r="B1866" t="s">
        <v>868</v>
      </c>
      <c r="C1866" t="s">
        <v>2256</v>
      </c>
      <c r="D1866" t="s">
        <v>1203</v>
      </c>
      <c r="E1866" t="s">
        <v>1204</v>
      </c>
      <c r="F1866">
        <v>5659</v>
      </c>
      <c r="G1866" t="s">
        <v>696</v>
      </c>
      <c r="H1866" t="s">
        <v>2407</v>
      </c>
      <c r="I1866">
        <v>22564</v>
      </c>
      <c r="J1866">
        <v>24508</v>
      </c>
      <c r="K1866">
        <v>26281</v>
      </c>
      <c r="L1866">
        <v>26281</v>
      </c>
      <c r="M1866">
        <v>26281</v>
      </c>
      <c r="N1866" t="s">
        <v>988</v>
      </c>
    </row>
    <row r="1867" spans="1:14" x14ac:dyDescent="0.3">
      <c r="A1867">
        <v>2115</v>
      </c>
      <c r="B1867" t="s">
        <v>1867</v>
      </c>
      <c r="C1867" t="s">
        <v>2256</v>
      </c>
      <c r="D1867" t="s">
        <v>159</v>
      </c>
      <c r="E1867" t="s">
        <v>159</v>
      </c>
      <c r="F1867">
        <v>5512</v>
      </c>
      <c r="G1867" t="s">
        <v>696</v>
      </c>
      <c r="I1867">
        <v>4591</v>
      </c>
      <c r="J1867">
        <v>4597</v>
      </c>
      <c r="K1867">
        <v>4604</v>
      </c>
      <c r="L1867">
        <v>4607</v>
      </c>
      <c r="M1867">
        <v>4611</v>
      </c>
      <c r="N1867" t="s">
        <v>988</v>
      </c>
    </row>
    <row r="1868" spans="1:14" x14ac:dyDescent="0.3">
      <c r="A1868">
        <v>2115</v>
      </c>
      <c r="B1868" t="s">
        <v>1867</v>
      </c>
      <c r="C1868" t="s">
        <v>2256</v>
      </c>
      <c r="D1868" t="s">
        <v>159</v>
      </c>
      <c r="E1868" t="s">
        <v>159</v>
      </c>
      <c r="F1868">
        <v>5512</v>
      </c>
      <c r="G1868" t="s">
        <v>700</v>
      </c>
      <c r="I1868">
        <v>4956</v>
      </c>
      <c r="J1868">
        <v>4963</v>
      </c>
      <c r="K1868">
        <v>4970</v>
      </c>
      <c r="L1868">
        <v>4974</v>
      </c>
      <c r="M1868">
        <v>4977</v>
      </c>
      <c r="N1868" t="s">
        <v>988</v>
      </c>
    </row>
    <row r="1869" spans="1:14" x14ac:dyDescent="0.3">
      <c r="A1869">
        <v>2115</v>
      </c>
      <c r="B1869" t="s">
        <v>1867</v>
      </c>
      <c r="C1869" t="s">
        <v>2256</v>
      </c>
      <c r="D1869" t="s">
        <v>159</v>
      </c>
      <c r="E1869" t="s">
        <v>159</v>
      </c>
      <c r="F1869">
        <v>5512</v>
      </c>
      <c r="G1869" t="s">
        <v>686</v>
      </c>
      <c r="I1869">
        <v>644</v>
      </c>
      <c r="J1869">
        <v>645</v>
      </c>
      <c r="K1869">
        <v>646</v>
      </c>
      <c r="L1869">
        <v>647</v>
      </c>
      <c r="M1869">
        <v>647</v>
      </c>
      <c r="N1869" t="s">
        <v>988</v>
      </c>
    </row>
    <row r="1870" spans="1:14" x14ac:dyDescent="0.3">
      <c r="A1870">
        <v>2115</v>
      </c>
      <c r="B1870" t="s">
        <v>1867</v>
      </c>
      <c r="C1870" t="s">
        <v>2256</v>
      </c>
      <c r="D1870" t="s">
        <v>159</v>
      </c>
      <c r="E1870" t="s">
        <v>159</v>
      </c>
      <c r="F1870">
        <v>5512</v>
      </c>
      <c r="G1870" t="s">
        <v>687</v>
      </c>
      <c r="I1870">
        <v>24</v>
      </c>
      <c r="J1870">
        <v>24</v>
      </c>
      <c r="K1870">
        <v>24</v>
      </c>
      <c r="L1870">
        <v>24</v>
      </c>
      <c r="M1870">
        <v>24</v>
      </c>
      <c r="N1870" t="s">
        <v>988</v>
      </c>
    </row>
    <row r="1871" spans="1:14" x14ac:dyDescent="0.3">
      <c r="A1871">
        <v>2115</v>
      </c>
      <c r="B1871" t="s">
        <v>1867</v>
      </c>
      <c r="C1871" t="s">
        <v>2256</v>
      </c>
      <c r="D1871" t="s">
        <v>159</v>
      </c>
      <c r="E1871" t="s">
        <v>159</v>
      </c>
      <c r="F1871">
        <v>5512</v>
      </c>
      <c r="G1871" t="s">
        <v>698</v>
      </c>
      <c r="I1871">
        <v>1424</v>
      </c>
      <c r="J1871">
        <v>1426</v>
      </c>
      <c r="K1871">
        <v>1428</v>
      </c>
      <c r="L1871">
        <v>1429</v>
      </c>
      <c r="M1871">
        <v>1430</v>
      </c>
      <c r="N1871" t="s">
        <v>988</v>
      </c>
    </row>
    <row r="1872" spans="1:14" x14ac:dyDescent="0.3">
      <c r="A1872">
        <v>2118</v>
      </c>
      <c r="B1872" t="s">
        <v>1869</v>
      </c>
      <c r="C1872" t="s">
        <v>2256</v>
      </c>
      <c r="D1872" t="s">
        <v>159</v>
      </c>
      <c r="E1872" t="s">
        <v>159</v>
      </c>
      <c r="F1872">
        <v>7993</v>
      </c>
      <c r="G1872" t="s">
        <v>705</v>
      </c>
      <c r="H1872" t="s">
        <v>2408</v>
      </c>
      <c r="I1872">
        <v>2000</v>
      </c>
      <c r="J1872">
        <v>2000</v>
      </c>
      <c r="K1872">
        <v>2000</v>
      </c>
      <c r="L1872">
        <v>2000</v>
      </c>
      <c r="M1872">
        <v>2000</v>
      </c>
      <c r="N1872" t="s">
        <v>988</v>
      </c>
    </row>
    <row r="1873" spans="1:14" x14ac:dyDescent="0.3">
      <c r="A1873">
        <v>2118</v>
      </c>
      <c r="B1873" t="s">
        <v>1869</v>
      </c>
      <c r="C1873" t="s">
        <v>2256</v>
      </c>
      <c r="D1873" t="s">
        <v>159</v>
      </c>
      <c r="E1873" t="s">
        <v>159</v>
      </c>
      <c r="F1873">
        <v>7993</v>
      </c>
      <c r="G1873" t="s">
        <v>686</v>
      </c>
      <c r="H1873" t="s">
        <v>1612</v>
      </c>
      <c r="I1873">
        <v>109</v>
      </c>
      <c r="J1873">
        <v>161</v>
      </c>
      <c r="K1873">
        <v>174</v>
      </c>
      <c r="L1873">
        <v>187</v>
      </c>
      <c r="M1873">
        <v>200</v>
      </c>
      <c r="N1873" t="s">
        <v>988</v>
      </c>
    </row>
    <row r="1874" spans="1:14" x14ac:dyDescent="0.3">
      <c r="A1874">
        <v>2118</v>
      </c>
      <c r="B1874" t="s">
        <v>1869</v>
      </c>
      <c r="C1874" t="s">
        <v>2256</v>
      </c>
      <c r="D1874" t="s">
        <v>159</v>
      </c>
      <c r="E1874" t="s">
        <v>159</v>
      </c>
      <c r="F1874">
        <v>7993</v>
      </c>
      <c r="G1874" t="s">
        <v>691</v>
      </c>
      <c r="H1874" t="s">
        <v>1872</v>
      </c>
      <c r="I1874">
        <v>5</v>
      </c>
      <c r="J1874">
        <v>8</v>
      </c>
      <c r="K1874">
        <v>8</v>
      </c>
      <c r="L1874">
        <v>9</v>
      </c>
      <c r="M1874">
        <v>10</v>
      </c>
      <c r="N1874" t="s">
        <v>988</v>
      </c>
    </row>
    <row r="1875" spans="1:14" x14ac:dyDescent="0.3">
      <c r="A1875">
        <v>2118</v>
      </c>
      <c r="B1875" t="s">
        <v>1869</v>
      </c>
      <c r="C1875" t="s">
        <v>2256</v>
      </c>
      <c r="D1875" t="s">
        <v>159</v>
      </c>
      <c r="E1875" t="s">
        <v>159</v>
      </c>
      <c r="F1875">
        <v>7993</v>
      </c>
      <c r="G1875" t="s">
        <v>691</v>
      </c>
      <c r="H1875" t="s">
        <v>2409</v>
      </c>
      <c r="I1875">
        <v>100</v>
      </c>
      <c r="J1875">
        <v>147</v>
      </c>
      <c r="K1875">
        <v>159</v>
      </c>
      <c r="L1875">
        <v>171</v>
      </c>
      <c r="M1875">
        <v>184</v>
      </c>
      <c r="N1875" t="s">
        <v>988</v>
      </c>
    </row>
    <row r="1876" spans="1:14" x14ac:dyDescent="0.3">
      <c r="A1876">
        <v>2118</v>
      </c>
      <c r="B1876" t="s">
        <v>1869</v>
      </c>
      <c r="C1876" t="s">
        <v>2256</v>
      </c>
      <c r="D1876" t="s">
        <v>159</v>
      </c>
      <c r="E1876" t="s">
        <v>159</v>
      </c>
      <c r="F1876">
        <v>7993</v>
      </c>
      <c r="G1876" t="s">
        <v>692</v>
      </c>
      <c r="H1876" t="s">
        <v>2410</v>
      </c>
      <c r="I1876">
        <v>4</v>
      </c>
      <c r="J1876">
        <v>5</v>
      </c>
      <c r="K1876">
        <v>5</v>
      </c>
      <c r="L1876">
        <v>6</v>
      </c>
      <c r="M1876">
        <v>6</v>
      </c>
      <c r="N1876" t="s">
        <v>988</v>
      </c>
    </row>
    <row r="1877" spans="1:14" x14ac:dyDescent="0.3">
      <c r="A1877">
        <v>2118</v>
      </c>
      <c r="B1877" t="s">
        <v>1869</v>
      </c>
      <c r="C1877" t="s">
        <v>2256</v>
      </c>
      <c r="D1877" t="s">
        <v>159</v>
      </c>
      <c r="E1877" t="s">
        <v>159</v>
      </c>
      <c r="F1877">
        <v>7993</v>
      </c>
      <c r="G1877" t="s">
        <v>691</v>
      </c>
      <c r="H1877" t="s">
        <v>2411</v>
      </c>
      <c r="I1877">
        <v>4350</v>
      </c>
      <c r="J1877">
        <v>6394</v>
      </c>
      <c r="K1877">
        <v>6919</v>
      </c>
      <c r="L1877">
        <v>7444</v>
      </c>
      <c r="M1877">
        <v>7970</v>
      </c>
      <c r="N1877" t="s">
        <v>988</v>
      </c>
    </row>
    <row r="1878" spans="1:14" x14ac:dyDescent="0.3">
      <c r="A1878">
        <v>2118</v>
      </c>
      <c r="B1878" t="s">
        <v>1869</v>
      </c>
      <c r="C1878" t="s">
        <v>2256</v>
      </c>
      <c r="D1878" t="s">
        <v>159</v>
      </c>
      <c r="E1878" t="s">
        <v>159</v>
      </c>
      <c r="F1878">
        <v>7993</v>
      </c>
      <c r="G1878" t="s">
        <v>702</v>
      </c>
      <c r="H1878" t="s">
        <v>2412</v>
      </c>
      <c r="I1878">
        <v>416</v>
      </c>
      <c r="J1878">
        <v>452</v>
      </c>
      <c r="K1878">
        <v>492</v>
      </c>
      <c r="L1878">
        <v>535</v>
      </c>
      <c r="M1878">
        <v>582</v>
      </c>
      <c r="N1878" t="s">
        <v>988</v>
      </c>
    </row>
    <row r="1879" spans="1:14" x14ac:dyDescent="0.3">
      <c r="A1879">
        <v>2118</v>
      </c>
      <c r="B1879" t="s">
        <v>1869</v>
      </c>
      <c r="C1879" t="s">
        <v>2256</v>
      </c>
      <c r="D1879" t="s">
        <v>159</v>
      </c>
      <c r="E1879" t="s">
        <v>159</v>
      </c>
      <c r="F1879">
        <v>7993</v>
      </c>
      <c r="G1879" t="s">
        <v>686</v>
      </c>
      <c r="H1879" t="s">
        <v>1610</v>
      </c>
      <c r="I1879">
        <v>34</v>
      </c>
      <c r="J1879">
        <v>37</v>
      </c>
      <c r="K1879">
        <v>40</v>
      </c>
      <c r="L1879">
        <v>43</v>
      </c>
      <c r="M1879">
        <v>47</v>
      </c>
      <c r="N1879" t="s">
        <v>988</v>
      </c>
    </row>
    <row r="1880" spans="1:14" x14ac:dyDescent="0.3">
      <c r="A1880">
        <v>2118</v>
      </c>
      <c r="B1880" t="s">
        <v>1869</v>
      </c>
      <c r="C1880" t="s">
        <v>2256</v>
      </c>
      <c r="D1880" t="s">
        <v>159</v>
      </c>
      <c r="E1880" t="s">
        <v>159</v>
      </c>
      <c r="F1880">
        <v>7993</v>
      </c>
      <c r="G1880" t="s">
        <v>691</v>
      </c>
      <c r="H1880" t="s">
        <v>2413</v>
      </c>
      <c r="I1880">
        <v>1164</v>
      </c>
      <c r="J1880">
        <v>1711</v>
      </c>
      <c r="K1880">
        <v>1851</v>
      </c>
      <c r="L1880">
        <v>1992</v>
      </c>
      <c r="M1880">
        <v>2132</v>
      </c>
      <c r="N1880" t="s">
        <v>988</v>
      </c>
    </row>
    <row r="1881" spans="1:14" x14ac:dyDescent="0.3">
      <c r="A1881">
        <v>2119</v>
      </c>
      <c r="B1881" t="s">
        <v>1877</v>
      </c>
      <c r="C1881" t="s">
        <v>2256</v>
      </c>
      <c r="D1881" t="s">
        <v>1203</v>
      </c>
      <c r="E1881" t="s">
        <v>1204</v>
      </c>
      <c r="F1881">
        <v>5809</v>
      </c>
      <c r="G1881" t="s">
        <v>696</v>
      </c>
      <c r="I1881">
        <v>1496.76</v>
      </c>
      <c r="J1881">
        <v>1520.36</v>
      </c>
      <c r="K1881">
        <v>1544.34</v>
      </c>
      <c r="L1881">
        <v>1568.69</v>
      </c>
      <c r="M1881">
        <v>1593.42</v>
      </c>
      <c r="N1881" t="s">
        <v>988</v>
      </c>
    </row>
    <row r="1882" spans="1:14" x14ac:dyDescent="0.3">
      <c r="A1882">
        <v>2119</v>
      </c>
      <c r="B1882" t="s">
        <v>1877</v>
      </c>
      <c r="C1882" t="s">
        <v>2256</v>
      </c>
      <c r="D1882" t="s">
        <v>1203</v>
      </c>
      <c r="E1882" t="s">
        <v>1204</v>
      </c>
      <c r="F1882">
        <v>5809</v>
      </c>
      <c r="G1882" t="s">
        <v>686</v>
      </c>
      <c r="I1882">
        <v>114.3</v>
      </c>
      <c r="J1882">
        <v>116.1</v>
      </c>
      <c r="K1882">
        <v>117.93</v>
      </c>
      <c r="L1882">
        <v>119.79</v>
      </c>
      <c r="M1882">
        <v>121.68</v>
      </c>
      <c r="N1882" t="s">
        <v>988</v>
      </c>
    </row>
    <row r="1883" spans="1:14" x14ac:dyDescent="0.3">
      <c r="A1883">
        <v>2119</v>
      </c>
      <c r="B1883" t="s">
        <v>1877</v>
      </c>
      <c r="C1883" t="s">
        <v>2256</v>
      </c>
      <c r="D1883" t="s">
        <v>1203</v>
      </c>
      <c r="E1883" t="s">
        <v>1204</v>
      </c>
      <c r="F1883">
        <v>5809</v>
      </c>
      <c r="G1883" t="s">
        <v>702</v>
      </c>
      <c r="I1883">
        <v>20.77</v>
      </c>
      <c r="J1883">
        <v>21.1</v>
      </c>
      <c r="K1883">
        <v>21.43</v>
      </c>
      <c r="L1883">
        <v>21.77</v>
      </c>
      <c r="M1883">
        <v>22.12</v>
      </c>
      <c r="N1883" t="s">
        <v>988</v>
      </c>
    </row>
    <row r="1884" spans="1:14" x14ac:dyDescent="0.3">
      <c r="A1884">
        <v>2119</v>
      </c>
      <c r="B1884" t="s">
        <v>1877</v>
      </c>
      <c r="C1884" t="s">
        <v>2256</v>
      </c>
      <c r="D1884" t="s">
        <v>1203</v>
      </c>
      <c r="E1884" t="s">
        <v>1204</v>
      </c>
      <c r="F1884">
        <v>5809</v>
      </c>
      <c r="G1884" t="s">
        <v>700</v>
      </c>
      <c r="H1884" t="s">
        <v>1438</v>
      </c>
      <c r="I1884">
        <v>109.51</v>
      </c>
      <c r="J1884">
        <v>111.24</v>
      </c>
      <c r="K1884">
        <v>112.99</v>
      </c>
      <c r="L1884">
        <v>114.77</v>
      </c>
      <c r="M1884">
        <v>116.58</v>
      </c>
      <c r="N1884" t="s">
        <v>988</v>
      </c>
    </row>
    <row r="1885" spans="1:14" x14ac:dyDescent="0.3">
      <c r="A1885">
        <v>2119</v>
      </c>
      <c r="B1885" t="s">
        <v>1877</v>
      </c>
      <c r="C1885" t="s">
        <v>2256</v>
      </c>
      <c r="D1885" t="s">
        <v>1203</v>
      </c>
      <c r="E1885" t="s">
        <v>1204</v>
      </c>
      <c r="F1885">
        <v>5809</v>
      </c>
      <c r="G1885" t="s">
        <v>698</v>
      </c>
      <c r="I1885">
        <v>145.85</v>
      </c>
      <c r="J1885">
        <v>148.15</v>
      </c>
      <c r="K1885">
        <v>150.49</v>
      </c>
      <c r="L1885">
        <v>152.86000000000001</v>
      </c>
      <c r="M1885">
        <v>155.27000000000001</v>
      </c>
      <c r="N1885" t="s">
        <v>988</v>
      </c>
    </row>
    <row r="1886" spans="1:14" x14ac:dyDescent="0.3">
      <c r="A1886">
        <v>2122</v>
      </c>
      <c r="B1886" t="s">
        <v>1878</v>
      </c>
      <c r="C1886" t="s">
        <v>2256</v>
      </c>
      <c r="D1886" t="s">
        <v>1203</v>
      </c>
      <c r="E1886" t="s">
        <v>1204</v>
      </c>
      <c r="F1886">
        <v>7711</v>
      </c>
      <c r="G1886" t="s">
        <v>686</v>
      </c>
      <c r="I1886">
        <v>35</v>
      </c>
      <c r="J1886">
        <v>35</v>
      </c>
      <c r="K1886">
        <v>35</v>
      </c>
      <c r="L1886">
        <v>35</v>
      </c>
      <c r="M1886">
        <v>35</v>
      </c>
      <c r="N1886" t="s">
        <v>988</v>
      </c>
    </row>
    <row r="1887" spans="1:14" x14ac:dyDescent="0.3">
      <c r="A1887">
        <v>2122</v>
      </c>
      <c r="B1887" t="s">
        <v>1878</v>
      </c>
      <c r="C1887" t="s">
        <v>2256</v>
      </c>
      <c r="D1887" t="s">
        <v>1203</v>
      </c>
      <c r="E1887" t="s">
        <v>1204</v>
      </c>
      <c r="F1887">
        <v>7711</v>
      </c>
      <c r="G1887" t="s">
        <v>698</v>
      </c>
      <c r="I1887">
        <v>13</v>
      </c>
      <c r="J1887">
        <v>13</v>
      </c>
      <c r="K1887">
        <v>13</v>
      </c>
      <c r="L1887">
        <v>13</v>
      </c>
      <c r="M1887">
        <v>13</v>
      </c>
      <c r="N1887" t="s">
        <v>988</v>
      </c>
    </row>
    <row r="1888" spans="1:14" x14ac:dyDescent="0.3">
      <c r="A1888">
        <v>2122</v>
      </c>
      <c r="B1888" t="s">
        <v>1878</v>
      </c>
      <c r="C1888" t="s">
        <v>2256</v>
      </c>
      <c r="D1888" t="s">
        <v>1203</v>
      </c>
      <c r="E1888" t="s">
        <v>1204</v>
      </c>
      <c r="F1888">
        <v>7711</v>
      </c>
      <c r="G1888" t="s">
        <v>700</v>
      </c>
      <c r="H1888" t="s">
        <v>1404</v>
      </c>
      <c r="I1888">
        <v>38</v>
      </c>
      <c r="J1888">
        <v>38</v>
      </c>
      <c r="K1888">
        <v>38</v>
      </c>
      <c r="L1888">
        <v>38</v>
      </c>
      <c r="M1888">
        <v>38</v>
      </c>
      <c r="N1888" t="s">
        <v>988</v>
      </c>
    </row>
    <row r="1889" spans="1:14" x14ac:dyDescent="0.3">
      <c r="A1889">
        <v>2122</v>
      </c>
      <c r="B1889" t="s">
        <v>1878</v>
      </c>
      <c r="C1889" t="s">
        <v>2256</v>
      </c>
      <c r="D1889" t="s">
        <v>1203</v>
      </c>
      <c r="E1889" t="s">
        <v>1204</v>
      </c>
      <c r="F1889">
        <v>7711</v>
      </c>
      <c r="G1889" t="s">
        <v>702</v>
      </c>
      <c r="I1889">
        <v>12</v>
      </c>
      <c r="J1889">
        <v>12</v>
      </c>
      <c r="K1889">
        <v>12</v>
      </c>
      <c r="L1889">
        <v>12</v>
      </c>
      <c r="M1889">
        <v>12</v>
      </c>
      <c r="N1889" t="s">
        <v>988</v>
      </c>
    </row>
    <row r="1890" spans="1:14" x14ac:dyDescent="0.3">
      <c r="A1890">
        <v>2122</v>
      </c>
      <c r="B1890" t="s">
        <v>1878</v>
      </c>
      <c r="C1890" t="s">
        <v>2256</v>
      </c>
      <c r="D1890" t="s">
        <v>1203</v>
      </c>
      <c r="E1890" t="s">
        <v>1204</v>
      </c>
      <c r="F1890">
        <v>7711</v>
      </c>
      <c r="G1890" t="s">
        <v>705</v>
      </c>
      <c r="I1890">
        <v>1</v>
      </c>
      <c r="J1890">
        <v>1</v>
      </c>
      <c r="K1890">
        <v>1</v>
      </c>
      <c r="L1890">
        <v>1</v>
      </c>
      <c r="M1890">
        <v>1</v>
      </c>
      <c r="N1890" t="s">
        <v>988</v>
      </c>
    </row>
    <row r="1891" spans="1:14" x14ac:dyDescent="0.3">
      <c r="A1891">
        <v>2122</v>
      </c>
      <c r="B1891" t="s">
        <v>1878</v>
      </c>
      <c r="C1891" t="s">
        <v>2256</v>
      </c>
      <c r="D1891" t="s">
        <v>1203</v>
      </c>
      <c r="E1891" t="s">
        <v>1204</v>
      </c>
      <c r="F1891">
        <v>7711</v>
      </c>
      <c r="G1891" t="s">
        <v>696</v>
      </c>
      <c r="I1891">
        <v>325</v>
      </c>
      <c r="J1891">
        <v>325</v>
      </c>
      <c r="K1891">
        <v>325</v>
      </c>
      <c r="L1891">
        <v>325</v>
      </c>
      <c r="M1891">
        <v>325</v>
      </c>
      <c r="N1891" t="s">
        <v>988</v>
      </c>
    </row>
    <row r="1892" spans="1:14" x14ac:dyDescent="0.3">
      <c r="A1892">
        <v>2130</v>
      </c>
      <c r="B1892" t="s">
        <v>1879</v>
      </c>
      <c r="C1892" t="s">
        <v>2256</v>
      </c>
      <c r="D1892" t="s">
        <v>159</v>
      </c>
      <c r="E1892" t="s">
        <v>159</v>
      </c>
      <c r="F1892">
        <v>6776</v>
      </c>
      <c r="G1892" t="s">
        <v>686</v>
      </c>
      <c r="I1892">
        <v>13767</v>
      </c>
      <c r="J1892">
        <v>13767</v>
      </c>
      <c r="K1892">
        <v>13766</v>
      </c>
      <c r="L1892">
        <v>13766</v>
      </c>
      <c r="M1892">
        <v>14460</v>
      </c>
      <c r="N1892" t="s">
        <v>988</v>
      </c>
    </row>
    <row r="1893" spans="1:14" x14ac:dyDescent="0.3">
      <c r="A1893">
        <v>2130</v>
      </c>
      <c r="B1893" t="s">
        <v>1879</v>
      </c>
      <c r="C1893" t="s">
        <v>2256</v>
      </c>
      <c r="D1893" t="s">
        <v>159</v>
      </c>
      <c r="E1893" t="s">
        <v>159</v>
      </c>
      <c r="F1893">
        <v>6776</v>
      </c>
      <c r="G1893" t="s">
        <v>691</v>
      </c>
      <c r="I1893">
        <v>2366</v>
      </c>
      <c r="J1893">
        <v>4054</v>
      </c>
      <c r="K1893">
        <v>5742</v>
      </c>
      <c r="L1893">
        <v>7430</v>
      </c>
      <c r="M1893">
        <v>7804</v>
      </c>
      <c r="N1893" t="s">
        <v>988</v>
      </c>
    </row>
    <row r="1894" spans="1:14" x14ac:dyDescent="0.3">
      <c r="A1894">
        <v>2130</v>
      </c>
      <c r="B1894" t="s">
        <v>1879</v>
      </c>
      <c r="C1894" t="s">
        <v>2256</v>
      </c>
      <c r="D1894" t="s">
        <v>159</v>
      </c>
      <c r="E1894" t="s">
        <v>159</v>
      </c>
      <c r="F1894">
        <v>6776</v>
      </c>
      <c r="G1894" t="s">
        <v>702</v>
      </c>
      <c r="I1894">
        <v>5087</v>
      </c>
      <c r="J1894">
        <v>7144</v>
      </c>
      <c r="K1894">
        <v>9200</v>
      </c>
      <c r="L1894">
        <v>11257</v>
      </c>
      <c r="M1894">
        <v>11824</v>
      </c>
      <c r="N1894" t="s">
        <v>988</v>
      </c>
    </row>
    <row r="1895" spans="1:14" x14ac:dyDescent="0.3">
      <c r="A1895">
        <v>2130</v>
      </c>
      <c r="B1895" t="s">
        <v>1879</v>
      </c>
      <c r="C1895" t="s">
        <v>2256</v>
      </c>
      <c r="D1895" t="s">
        <v>159</v>
      </c>
      <c r="E1895" t="s">
        <v>159</v>
      </c>
      <c r="F1895">
        <v>6776</v>
      </c>
      <c r="G1895" t="s">
        <v>703</v>
      </c>
      <c r="I1895">
        <v>6094</v>
      </c>
      <c r="J1895">
        <v>6200</v>
      </c>
      <c r="K1895">
        <v>6306</v>
      </c>
      <c r="L1895">
        <v>6412</v>
      </c>
      <c r="M1895">
        <v>6736</v>
      </c>
      <c r="N1895" t="s">
        <v>988</v>
      </c>
    </row>
    <row r="1896" spans="1:14" x14ac:dyDescent="0.3">
      <c r="A1896">
        <v>2130</v>
      </c>
      <c r="B1896" t="s">
        <v>1879</v>
      </c>
      <c r="C1896" t="s">
        <v>2256</v>
      </c>
      <c r="D1896" t="s">
        <v>159</v>
      </c>
      <c r="E1896" t="s">
        <v>159</v>
      </c>
      <c r="F1896">
        <v>6776</v>
      </c>
      <c r="G1896" t="s">
        <v>700</v>
      </c>
      <c r="H1896" t="s">
        <v>1881</v>
      </c>
      <c r="I1896">
        <v>17871</v>
      </c>
      <c r="J1896">
        <v>19068</v>
      </c>
      <c r="K1896">
        <v>20266</v>
      </c>
      <c r="L1896">
        <v>21464</v>
      </c>
      <c r="M1896">
        <v>22545</v>
      </c>
      <c r="N1896" t="s">
        <v>988</v>
      </c>
    </row>
    <row r="1897" spans="1:14" x14ac:dyDescent="0.3">
      <c r="A1897">
        <v>2130</v>
      </c>
      <c r="B1897" t="s">
        <v>1879</v>
      </c>
      <c r="C1897" t="s">
        <v>2256</v>
      </c>
      <c r="D1897" t="s">
        <v>159</v>
      </c>
      <c r="E1897" t="s">
        <v>159</v>
      </c>
      <c r="F1897">
        <v>6776</v>
      </c>
      <c r="G1897" t="s">
        <v>698</v>
      </c>
      <c r="I1897">
        <v>15334</v>
      </c>
      <c r="J1897">
        <v>16085</v>
      </c>
      <c r="K1897">
        <v>16837</v>
      </c>
      <c r="L1897">
        <v>17588</v>
      </c>
      <c r="M1897">
        <v>18474</v>
      </c>
      <c r="N1897" t="s">
        <v>988</v>
      </c>
    </row>
    <row r="1898" spans="1:14" x14ac:dyDescent="0.3">
      <c r="A1898">
        <v>2130</v>
      </c>
      <c r="B1898" t="s">
        <v>1879</v>
      </c>
      <c r="C1898" t="s">
        <v>2256</v>
      </c>
      <c r="D1898" t="s">
        <v>159</v>
      </c>
      <c r="E1898" t="s">
        <v>159</v>
      </c>
      <c r="F1898">
        <v>6776</v>
      </c>
      <c r="G1898" t="s">
        <v>696</v>
      </c>
      <c r="I1898">
        <v>46913</v>
      </c>
      <c r="J1898">
        <v>47491</v>
      </c>
      <c r="K1898">
        <v>48069</v>
      </c>
      <c r="L1898">
        <v>48647</v>
      </c>
      <c r="M1898">
        <v>51098</v>
      </c>
      <c r="N1898" t="s">
        <v>988</v>
      </c>
    </row>
    <row r="1899" spans="1:14" x14ac:dyDescent="0.3">
      <c r="A1899">
        <v>2132</v>
      </c>
      <c r="B1899" t="s">
        <v>772</v>
      </c>
      <c r="C1899" t="s">
        <v>2256</v>
      </c>
      <c r="D1899" t="s">
        <v>1203</v>
      </c>
      <c r="E1899" t="s">
        <v>1204</v>
      </c>
      <c r="F1899">
        <v>5606</v>
      </c>
      <c r="G1899" t="s">
        <v>686</v>
      </c>
      <c r="I1899">
        <v>5940</v>
      </c>
      <c r="J1899">
        <v>6657</v>
      </c>
      <c r="K1899">
        <v>7297</v>
      </c>
      <c r="L1899">
        <v>7843</v>
      </c>
      <c r="M1899">
        <v>8400</v>
      </c>
      <c r="N1899" t="s">
        <v>988</v>
      </c>
    </row>
    <row r="1900" spans="1:14" x14ac:dyDescent="0.3">
      <c r="A1900">
        <v>2132</v>
      </c>
      <c r="B1900" t="s">
        <v>772</v>
      </c>
      <c r="C1900" t="s">
        <v>2256</v>
      </c>
      <c r="D1900" t="s">
        <v>1203</v>
      </c>
      <c r="E1900" t="s">
        <v>1204</v>
      </c>
      <c r="F1900">
        <v>5606</v>
      </c>
      <c r="G1900" t="s">
        <v>691</v>
      </c>
      <c r="H1900" t="s">
        <v>1882</v>
      </c>
      <c r="I1900">
        <v>5301</v>
      </c>
      <c r="J1900">
        <v>6280</v>
      </c>
      <c r="K1900">
        <v>7242</v>
      </c>
      <c r="L1900">
        <v>8204</v>
      </c>
      <c r="M1900">
        <v>9209</v>
      </c>
      <c r="N1900" t="s">
        <v>988</v>
      </c>
    </row>
    <row r="1901" spans="1:14" x14ac:dyDescent="0.3">
      <c r="A1901">
        <v>2132</v>
      </c>
      <c r="B1901" t="s">
        <v>772</v>
      </c>
      <c r="C1901" t="s">
        <v>2256</v>
      </c>
      <c r="D1901" t="s">
        <v>1203</v>
      </c>
      <c r="E1901" t="s">
        <v>1204</v>
      </c>
      <c r="F1901">
        <v>5606</v>
      </c>
      <c r="G1901" t="s">
        <v>691</v>
      </c>
      <c r="H1901" t="s">
        <v>1883</v>
      </c>
      <c r="I1901">
        <v>38547</v>
      </c>
      <c r="J1901">
        <v>38447</v>
      </c>
      <c r="K1901">
        <v>38347</v>
      </c>
      <c r="L1901">
        <v>38247</v>
      </c>
      <c r="M1901">
        <v>38043</v>
      </c>
      <c r="N1901" t="s">
        <v>988</v>
      </c>
    </row>
    <row r="1902" spans="1:14" x14ac:dyDescent="0.3">
      <c r="A1902">
        <v>2140</v>
      </c>
      <c r="B1902" t="s">
        <v>1885</v>
      </c>
      <c r="C1902" t="s">
        <v>2256</v>
      </c>
      <c r="D1902" t="s">
        <v>159</v>
      </c>
      <c r="E1902" t="s">
        <v>159</v>
      </c>
      <c r="F1902">
        <v>7526</v>
      </c>
      <c r="G1902" t="s">
        <v>702</v>
      </c>
      <c r="I1902">
        <v>1041</v>
      </c>
      <c r="J1902">
        <v>1048</v>
      </c>
      <c r="K1902">
        <v>1048</v>
      </c>
      <c r="L1902">
        <v>1048</v>
      </c>
      <c r="M1902">
        <v>1047</v>
      </c>
      <c r="N1902" t="s">
        <v>988</v>
      </c>
    </row>
    <row r="1903" spans="1:14" x14ac:dyDescent="0.3">
      <c r="A1903">
        <v>2140</v>
      </c>
      <c r="B1903" t="s">
        <v>1885</v>
      </c>
      <c r="C1903" t="s">
        <v>2256</v>
      </c>
      <c r="D1903" t="s">
        <v>159</v>
      </c>
      <c r="E1903" t="s">
        <v>159</v>
      </c>
      <c r="F1903">
        <v>7526</v>
      </c>
      <c r="G1903" t="s">
        <v>701</v>
      </c>
      <c r="I1903">
        <v>46</v>
      </c>
      <c r="J1903">
        <v>51</v>
      </c>
      <c r="K1903">
        <v>51</v>
      </c>
      <c r="L1903">
        <v>51</v>
      </c>
      <c r="M1903">
        <v>51</v>
      </c>
      <c r="N1903" t="s">
        <v>988</v>
      </c>
    </row>
    <row r="1904" spans="1:14" x14ac:dyDescent="0.3">
      <c r="A1904">
        <v>2140</v>
      </c>
      <c r="B1904" t="s">
        <v>1885</v>
      </c>
      <c r="C1904" t="s">
        <v>2256</v>
      </c>
      <c r="D1904" t="s">
        <v>159</v>
      </c>
      <c r="E1904" t="s">
        <v>159</v>
      </c>
      <c r="F1904">
        <v>7526</v>
      </c>
      <c r="G1904" t="s">
        <v>703</v>
      </c>
      <c r="I1904">
        <v>2376</v>
      </c>
      <c r="J1904">
        <v>2380</v>
      </c>
      <c r="K1904">
        <v>2380</v>
      </c>
      <c r="L1904">
        <v>2380</v>
      </c>
      <c r="M1904">
        <v>2377</v>
      </c>
      <c r="N1904" t="s">
        <v>988</v>
      </c>
    </row>
    <row r="1905" spans="1:14" x14ac:dyDescent="0.3">
      <c r="A1905">
        <v>2140</v>
      </c>
      <c r="B1905" t="s">
        <v>1885</v>
      </c>
      <c r="C1905" t="s">
        <v>2256</v>
      </c>
      <c r="D1905" t="s">
        <v>159</v>
      </c>
      <c r="E1905" t="s">
        <v>159</v>
      </c>
      <c r="F1905">
        <v>7526</v>
      </c>
      <c r="G1905" t="s">
        <v>700</v>
      </c>
      <c r="I1905">
        <v>4265</v>
      </c>
      <c r="J1905">
        <v>4468</v>
      </c>
      <c r="K1905">
        <v>4468</v>
      </c>
      <c r="L1905">
        <v>4467</v>
      </c>
      <c r="M1905">
        <v>4462</v>
      </c>
      <c r="N1905" t="s">
        <v>988</v>
      </c>
    </row>
    <row r="1906" spans="1:14" x14ac:dyDescent="0.3">
      <c r="A1906">
        <v>2140</v>
      </c>
      <c r="B1906" t="s">
        <v>1885</v>
      </c>
      <c r="C1906" t="s">
        <v>2256</v>
      </c>
      <c r="D1906" t="s">
        <v>159</v>
      </c>
      <c r="E1906" t="s">
        <v>159</v>
      </c>
      <c r="F1906">
        <v>7526</v>
      </c>
      <c r="G1906" t="s">
        <v>686</v>
      </c>
      <c r="H1906" t="s">
        <v>2414</v>
      </c>
      <c r="I1906">
        <v>3055</v>
      </c>
      <c r="J1906">
        <v>3089</v>
      </c>
      <c r="K1906">
        <v>3089</v>
      </c>
      <c r="L1906">
        <v>3086</v>
      </c>
      <c r="M1906">
        <v>3083</v>
      </c>
      <c r="N1906" t="s">
        <v>988</v>
      </c>
    </row>
    <row r="1907" spans="1:14" x14ac:dyDescent="0.3">
      <c r="A1907">
        <v>2140</v>
      </c>
      <c r="B1907" t="s">
        <v>1885</v>
      </c>
      <c r="C1907" t="s">
        <v>2256</v>
      </c>
      <c r="D1907" t="s">
        <v>159</v>
      </c>
      <c r="E1907" t="s">
        <v>159</v>
      </c>
      <c r="F1907">
        <v>7526</v>
      </c>
      <c r="G1907" t="s">
        <v>696</v>
      </c>
      <c r="I1907">
        <v>13609</v>
      </c>
      <c r="J1907">
        <v>13796</v>
      </c>
      <c r="K1907">
        <v>13802</v>
      </c>
      <c r="L1907">
        <v>13780</v>
      </c>
      <c r="M1907">
        <v>13764</v>
      </c>
      <c r="N1907" t="s">
        <v>988</v>
      </c>
    </row>
    <row r="1908" spans="1:14" x14ac:dyDescent="0.3">
      <c r="A1908">
        <v>2140</v>
      </c>
      <c r="B1908" t="s">
        <v>1885</v>
      </c>
      <c r="C1908" t="s">
        <v>2256</v>
      </c>
      <c r="D1908" t="s">
        <v>159</v>
      </c>
      <c r="E1908" t="s">
        <v>159</v>
      </c>
      <c r="F1908">
        <v>7526</v>
      </c>
      <c r="G1908" t="s">
        <v>705</v>
      </c>
      <c r="H1908" t="s">
        <v>2415</v>
      </c>
      <c r="I1908">
        <v>2000</v>
      </c>
      <c r="J1908">
        <v>2000</v>
      </c>
      <c r="K1908">
        <v>2000</v>
      </c>
      <c r="L1908">
        <v>2000</v>
      </c>
      <c r="M1908">
        <v>2000</v>
      </c>
      <c r="N1908" t="s">
        <v>988</v>
      </c>
    </row>
    <row r="1909" spans="1:14" x14ac:dyDescent="0.3">
      <c r="A1909">
        <v>2140</v>
      </c>
      <c r="B1909" t="s">
        <v>1885</v>
      </c>
      <c r="C1909" t="s">
        <v>2256</v>
      </c>
      <c r="D1909" t="s">
        <v>159</v>
      </c>
      <c r="E1909" t="s">
        <v>159</v>
      </c>
      <c r="F1909">
        <v>7526</v>
      </c>
      <c r="G1909" t="s">
        <v>705</v>
      </c>
      <c r="H1909" t="s">
        <v>2416</v>
      </c>
      <c r="I1909">
        <v>4000</v>
      </c>
      <c r="J1909">
        <v>4000</v>
      </c>
      <c r="K1909">
        <v>4000</v>
      </c>
      <c r="L1909">
        <v>4000</v>
      </c>
      <c r="M1909">
        <v>4000</v>
      </c>
      <c r="N1909" t="s">
        <v>988</v>
      </c>
    </row>
    <row r="1910" spans="1:14" x14ac:dyDescent="0.3">
      <c r="A1910">
        <v>2140</v>
      </c>
      <c r="B1910" t="s">
        <v>1885</v>
      </c>
      <c r="C1910" t="s">
        <v>2256</v>
      </c>
      <c r="D1910" t="s">
        <v>159</v>
      </c>
      <c r="E1910" t="s">
        <v>159</v>
      </c>
      <c r="F1910">
        <v>7526</v>
      </c>
      <c r="G1910" t="s">
        <v>698</v>
      </c>
      <c r="I1910">
        <v>7793</v>
      </c>
      <c r="J1910">
        <v>7783</v>
      </c>
      <c r="K1910">
        <v>7772</v>
      </c>
      <c r="L1910">
        <v>7762</v>
      </c>
      <c r="M1910">
        <v>7753</v>
      </c>
      <c r="N1910" t="s">
        <v>988</v>
      </c>
    </row>
    <row r="1911" spans="1:14" x14ac:dyDescent="0.3">
      <c r="A1911">
        <v>2150</v>
      </c>
      <c r="B1911" t="s">
        <v>1889</v>
      </c>
      <c r="C1911" t="s">
        <v>2256</v>
      </c>
      <c r="D1911" t="s">
        <v>1203</v>
      </c>
      <c r="E1911" t="s">
        <v>1204</v>
      </c>
      <c r="F1911">
        <v>5758</v>
      </c>
      <c r="G1911" t="s">
        <v>702</v>
      </c>
      <c r="H1911" t="s">
        <v>1663</v>
      </c>
      <c r="I1911">
        <v>6143</v>
      </c>
      <c r="J1911">
        <v>6323</v>
      </c>
      <c r="K1911">
        <v>6504</v>
      </c>
      <c r="L1911">
        <v>6649</v>
      </c>
      <c r="M1911">
        <v>6795</v>
      </c>
      <c r="N1911" t="s">
        <v>988</v>
      </c>
    </row>
    <row r="1912" spans="1:14" x14ac:dyDescent="0.3">
      <c r="A1912">
        <v>2150</v>
      </c>
      <c r="B1912" t="s">
        <v>1889</v>
      </c>
      <c r="C1912" t="s">
        <v>2256</v>
      </c>
      <c r="D1912" t="s">
        <v>1203</v>
      </c>
      <c r="E1912" t="s">
        <v>1204</v>
      </c>
      <c r="F1912">
        <v>5758</v>
      </c>
      <c r="G1912" t="s">
        <v>700</v>
      </c>
      <c r="H1912" t="s">
        <v>1891</v>
      </c>
      <c r="I1912">
        <v>6328</v>
      </c>
      <c r="J1912">
        <v>6514</v>
      </c>
      <c r="K1912">
        <v>6701</v>
      </c>
      <c r="L1912">
        <v>6850</v>
      </c>
      <c r="M1912">
        <v>7000</v>
      </c>
      <c r="N1912" t="s">
        <v>988</v>
      </c>
    </row>
    <row r="1913" spans="1:14" x14ac:dyDescent="0.3">
      <c r="A1913">
        <v>2150</v>
      </c>
      <c r="B1913" t="s">
        <v>1889</v>
      </c>
      <c r="C1913" t="s">
        <v>2256</v>
      </c>
      <c r="D1913" t="s">
        <v>1203</v>
      </c>
      <c r="E1913" t="s">
        <v>1204</v>
      </c>
      <c r="F1913">
        <v>5758</v>
      </c>
      <c r="G1913" t="s">
        <v>696</v>
      </c>
      <c r="H1913" t="s">
        <v>1890</v>
      </c>
      <c r="I1913">
        <v>18710</v>
      </c>
      <c r="J1913">
        <v>19260</v>
      </c>
      <c r="K1913">
        <v>19811</v>
      </c>
      <c r="L1913">
        <v>20253</v>
      </c>
      <c r="M1913">
        <v>20695</v>
      </c>
      <c r="N1913" t="s">
        <v>988</v>
      </c>
    </row>
    <row r="1914" spans="1:14" x14ac:dyDescent="0.3">
      <c r="A1914">
        <v>2150</v>
      </c>
      <c r="B1914" t="s">
        <v>1889</v>
      </c>
      <c r="C1914" t="s">
        <v>2256</v>
      </c>
      <c r="D1914" t="s">
        <v>1203</v>
      </c>
      <c r="E1914" t="s">
        <v>1204</v>
      </c>
      <c r="F1914">
        <v>5758</v>
      </c>
      <c r="G1914" t="s">
        <v>702</v>
      </c>
      <c r="H1914" t="s">
        <v>1893</v>
      </c>
      <c r="I1914">
        <v>0</v>
      </c>
      <c r="J1914">
        <v>0</v>
      </c>
      <c r="K1914">
        <v>0</v>
      </c>
      <c r="L1914">
        <v>0</v>
      </c>
      <c r="M1914">
        <v>0</v>
      </c>
      <c r="N1914" t="s">
        <v>988</v>
      </c>
    </row>
    <row r="1915" spans="1:14" x14ac:dyDescent="0.3">
      <c r="A1915">
        <v>2150</v>
      </c>
      <c r="B1915" t="s">
        <v>1889</v>
      </c>
      <c r="C1915" t="s">
        <v>2256</v>
      </c>
      <c r="D1915" t="s">
        <v>1203</v>
      </c>
      <c r="E1915" t="s">
        <v>1204</v>
      </c>
      <c r="F1915">
        <v>5758</v>
      </c>
      <c r="G1915" t="s">
        <v>686</v>
      </c>
      <c r="H1915" t="s">
        <v>1482</v>
      </c>
      <c r="I1915">
        <v>4074</v>
      </c>
      <c r="J1915">
        <v>4194</v>
      </c>
      <c r="K1915">
        <v>4314</v>
      </c>
      <c r="L1915">
        <v>4411</v>
      </c>
      <c r="M1915">
        <v>4507</v>
      </c>
      <c r="N1915" t="s">
        <v>988</v>
      </c>
    </row>
    <row r="1916" spans="1:14" x14ac:dyDescent="0.3">
      <c r="A1916">
        <v>2150</v>
      </c>
      <c r="B1916" t="s">
        <v>1889</v>
      </c>
      <c r="C1916" t="s">
        <v>2256</v>
      </c>
      <c r="D1916" t="s">
        <v>1203</v>
      </c>
      <c r="E1916" t="s">
        <v>1204</v>
      </c>
      <c r="F1916">
        <v>5758</v>
      </c>
      <c r="G1916" t="s">
        <v>687</v>
      </c>
      <c r="H1916" t="s">
        <v>1302</v>
      </c>
      <c r="I1916">
        <v>28</v>
      </c>
      <c r="J1916">
        <v>28</v>
      </c>
      <c r="K1916">
        <v>29</v>
      </c>
      <c r="L1916">
        <v>30</v>
      </c>
      <c r="M1916">
        <v>30</v>
      </c>
      <c r="N1916" t="s">
        <v>988</v>
      </c>
    </row>
    <row r="1917" spans="1:14" x14ac:dyDescent="0.3">
      <c r="A1917">
        <v>2150</v>
      </c>
      <c r="B1917" t="s">
        <v>1889</v>
      </c>
      <c r="C1917" t="s">
        <v>2256</v>
      </c>
      <c r="D1917" t="s">
        <v>1203</v>
      </c>
      <c r="E1917" t="s">
        <v>1204</v>
      </c>
      <c r="F1917">
        <v>5758</v>
      </c>
      <c r="G1917" t="s">
        <v>698</v>
      </c>
      <c r="H1917" t="s">
        <v>1892</v>
      </c>
      <c r="I1917">
        <v>5832</v>
      </c>
      <c r="J1917">
        <v>6004</v>
      </c>
      <c r="K1917">
        <v>6175</v>
      </c>
      <c r="L1917">
        <v>6313</v>
      </c>
      <c r="M1917">
        <v>6451</v>
      </c>
      <c r="N1917" t="s">
        <v>988</v>
      </c>
    </row>
    <row r="1918" spans="1:14" x14ac:dyDescent="0.3">
      <c r="A1918">
        <v>2154</v>
      </c>
      <c r="B1918" t="s">
        <v>1894</v>
      </c>
      <c r="C1918" t="s">
        <v>2256</v>
      </c>
      <c r="D1918" t="s">
        <v>1203</v>
      </c>
      <c r="E1918" t="s">
        <v>1204</v>
      </c>
      <c r="F1918">
        <v>5791</v>
      </c>
      <c r="G1918" t="s">
        <v>703</v>
      </c>
      <c r="I1918">
        <v>150.36000000000001</v>
      </c>
      <c r="J1918">
        <v>152.53</v>
      </c>
      <c r="K1918">
        <v>154.16</v>
      </c>
      <c r="L1918">
        <v>154.69999999999999</v>
      </c>
      <c r="M1918">
        <v>157.41</v>
      </c>
      <c r="N1918" t="s">
        <v>988</v>
      </c>
    </row>
    <row r="1919" spans="1:14" x14ac:dyDescent="0.3">
      <c r="A1919">
        <v>2154</v>
      </c>
      <c r="B1919" t="s">
        <v>1894</v>
      </c>
      <c r="C1919" t="s">
        <v>2256</v>
      </c>
      <c r="D1919" t="s">
        <v>1203</v>
      </c>
      <c r="E1919" t="s">
        <v>1204</v>
      </c>
      <c r="F1919">
        <v>5791</v>
      </c>
      <c r="G1919" t="s">
        <v>700</v>
      </c>
      <c r="I1919">
        <v>48.76</v>
      </c>
      <c r="J1919">
        <v>49.46</v>
      </c>
      <c r="K1919">
        <v>49.99</v>
      </c>
      <c r="L1919">
        <v>50.16</v>
      </c>
      <c r="M1919">
        <v>51.04</v>
      </c>
      <c r="N1919" t="s">
        <v>986</v>
      </c>
    </row>
    <row r="1920" spans="1:14" x14ac:dyDescent="0.3">
      <c r="A1920">
        <v>2154</v>
      </c>
      <c r="B1920" t="s">
        <v>1894</v>
      </c>
      <c r="C1920" t="s">
        <v>2256</v>
      </c>
      <c r="D1920" t="s">
        <v>1203</v>
      </c>
      <c r="E1920" t="s">
        <v>1204</v>
      </c>
      <c r="F1920">
        <v>5791</v>
      </c>
      <c r="G1920" t="s">
        <v>702</v>
      </c>
      <c r="I1920">
        <v>39.81</v>
      </c>
      <c r="J1920">
        <v>40.380000000000003</v>
      </c>
      <c r="K1920">
        <v>40.81</v>
      </c>
      <c r="L1920">
        <v>40.96</v>
      </c>
      <c r="M1920">
        <v>41.67</v>
      </c>
      <c r="N1920" t="s">
        <v>986</v>
      </c>
    </row>
    <row r="1921" spans="1:14" x14ac:dyDescent="0.3">
      <c r="A1921">
        <v>2154</v>
      </c>
      <c r="B1921" t="s">
        <v>1894</v>
      </c>
      <c r="C1921" t="s">
        <v>2256</v>
      </c>
      <c r="D1921" t="s">
        <v>1203</v>
      </c>
      <c r="E1921" t="s">
        <v>1204</v>
      </c>
      <c r="F1921">
        <v>5791</v>
      </c>
      <c r="G1921" t="s">
        <v>698</v>
      </c>
      <c r="I1921">
        <v>4.9400000000000004</v>
      </c>
      <c r="J1921">
        <v>5.0199999999999996</v>
      </c>
      <c r="K1921">
        <v>5.07</v>
      </c>
      <c r="L1921">
        <v>5.09</v>
      </c>
      <c r="M1921">
        <v>5.18</v>
      </c>
      <c r="N1921" t="s">
        <v>986</v>
      </c>
    </row>
    <row r="1922" spans="1:14" x14ac:dyDescent="0.3">
      <c r="A1922">
        <v>2154</v>
      </c>
      <c r="B1922" t="s">
        <v>1894</v>
      </c>
      <c r="C1922" t="s">
        <v>2256</v>
      </c>
      <c r="D1922" t="s">
        <v>1203</v>
      </c>
      <c r="E1922" t="s">
        <v>1204</v>
      </c>
      <c r="F1922">
        <v>5791</v>
      </c>
      <c r="G1922" t="s">
        <v>696</v>
      </c>
      <c r="I1922">
        <v>2099.6</v>
      </c>
      <c r="J1922">
        <v>2129.92</v>
      </c>
      <c r="K1922">
        <v>2152.66</v>
      </c>
      <c r="L1922">
        <v>2160.2399999999998</v>
      </c>
      <c r="M1922">
        <v>2198.14</v>
      </c>
      <c r="N1922" t="s">
        <v>986</v>
      </c>
    </row>
    <row r="1923" spans="1:14" x14ac:dyDescent="0.3">
      <c r="A1923">
        <v>2154</v>
      </c>
      <c r="B1923" t="s">
        <v>1894</v>
      </c>
      <c r="C1923" t="s">
        <v>2256</v>
      </c>
      <c r="D1923" t="s">
        <v>1203</v>
      </c>
      <c r="E1923" t="s">
        <v>1204</v>
      </c>
      <c r="F1923">
        <v>5791</v>
      </c>
      <c r="G1923" t="s">
        <v>687</v>
      </c>
      <c r="H1923" t="s">
        <v>2417</v>
      </c>
      <c r="I1923">
        <v>8.91</v>
      </c>
      <c r="J1923">
        <v>9.0399999999999991</v>
      </c>
      <c r="K1923">
        <v>9.1300000000000008</v>
      </c>
      <c r="L1923">
        <v>9.17</v>
      </c>
      <c r="M1923">
        <v>9.33</v>
      </c>
      <c r="N1923" t="s">
        <v>986</v>
      </c>
    </row>
    <row r="1924" spans="1:14" x14ac:dyDescent="0.3">
      <c r="A1924">
        <v>2154</v>
      </c>
      <c r="B1924" t="s">
        <v>1894</v>
      </c>
      <c r="C1924" t="s">
        <v>2256</v>
      </c>
      <c r="D1924" t="s">
        <v>1203</v>
      </c>
      <c r="E1924" t="s">
        <v>1204</v>
      </c>
      <c r="F1924">
        <v>5791</v>
      </c>
      <c r="G1924" t="s">
        <v>686</v>
      </c>
      <c r="I1924">
        <v>417.63</v>
      </c>
      <c r="J1924">
        <v>423.66</v>
      </c>
      <c r="K1924">
        <v>428.18</v>
      </c>
      <c r="L1924">
        <v>429.69</v>
      </c>
      <c r="M1924">
        <v>437.23</v>
      </c>
      <c r="N1924" t="s">
        <v>988</v>
      </c>
    </row>
    <row r="1925" spans="1:14" x14ac:dyDescent="0.3">
      <c r="A1925">
        <v>2891</v>
      </c>
      <c r="B1925" t="s">
        <v>1896</v>
      </c>
      <c r="C1925" t="s">
        <v>2256</v>
      </c>
      <c r="D1925" t="s">
        <v>1203</v>
      </c>
      <c r="E1925" t="s">
        <v>1204</v>
      </c>
      <c r="F1925">
        <v>5799</v>
      </c>
      <c r="G1925" t="s">
        <v>698</v>
      </c>
      <c r="I1925">
        <v>0.2</v>
      </c>
      <c r="J1925">
        <v>0.2</v>
      </c>
      <c r="K1925">
        <v>0.2</v>
      </c>
      <c r="L1925">
        <v>0.2</v>
      </c>
      <c r="M1925">
        <v>0.2</v>
      </c>
      <c r="N1925" t="s">
        <v>988</v>
      </c>
    </row>
    <row r="1926" spans="1:14" x14ac:dyDescent="0.3">
      <c r="A1926">
        <v>2891</v>
      </c>
      <c r="B1926" t="s">
        <v>1896</v>
      </c>
      <c r="C1926" t="s">
        <v>2256</v>
      </c>
      <c r="D1926" t="s">
        <v>1203</v>
      </c>
      <c r="E1926" t="s">
        <v>1204</v>
      </c>
      <c r="F1926">
        <v>5799</v>
      </c>
      <c r="G1926" t="s">
        <v>700</v>
      </c>
      <c r="I1926">
        <v>15.1</v>
      </c>
      <c r="J1926">
        <v>15.1</v>
      </c>
      <c r="K1926">
        <v>15.2</v>
      </c>
      <c r="L1926">
        <v>15.2</v>
      </c>
      <c r="M1926">
        <v>15.5</v>
      </c>
      <c r="N1926" t="s">
        <v>988</v>
      </c>
    </row>
    <row r="1927" spans="1:14" x14ac:dyDescent="0.3">
      <c r="A1927">
        <v>2891</v>
      </c>
      <c r="B1927" t="s">
        <v>1896</v>
      </c>
      <c r="C1927" t="s">
        <v>2256</v>
      </c>
      <c r="D1927" t="s">
        <v>1203</v>
      </c>
      <c r="E1927" t="s">
        <v>1204</v>
      </c>
      <c r="F1927">
        <v>5799</v>
      </c>
      <c r="G1927" t="s">
        <v>703</v>
      </c>
      <c r="I1927">
        <v>108</v>
      </c>
      <c r="J1927">
        <v>108.7</v>
      </c>
      <c r="K1927">
        <v>109.3</v>
      </c>
      <c r="L1927">
        <v>109.3</v>
      </c>
      <c r="M1927">
        <v>111.3</v>
      </c>
      <c r="N1927" t="s">
        <v>988</v>
      </c>
    </row>
    <row r="1928" spans="1:14" x14ac:dyDescent="0.3">
      <c r="A1928">
        <v>2891</v>
      </c>
      <c r="B1928" t="s">
        <v>1896</v>
      </c>
      <c r="C1928" t="s">
        <v>2256</v>
      </c>
      <c r="D1928" t="s">
        <v>1203</v>
      </c>
      <c r="E1928" t="s">
        <v>1204</v>
      </c>
      <c r="F1928">
        <v>5799</v>
      </c>
      <c r="G1928" t="s">
        <v>686</v>
      </c>
      <c r="I1928">
        <v>222</v>
      </c>
      <c r="J1928">
        <v>223.4</v>
      </c>
      <c r="K1928">
        <v>224.8</v>
      </c>
      <c r="L1928">
        <v>224.8</v>
      </c>
      <c r="M1928">
        <v>228.8</v>
      </c>
      <c r="N1928" t="s">
        <v>988</v>
      </c>
    </row>
    <row r="1929" spans="1:14" x14ac:dyDescent="0.3">
      <c r="A1929">
        <v>2891</v>
      </c>
      <c r="B1929" t="s">
        <v>1896</v>
      </c>
      <c r="C1929" t="s">
        <v>2256</v>
      </c>
      <c r="D1929" t="s">
        <v>1203</v>
      </c>
      <c r="E1929" t="s">
        <v>1204</v>
      </c>
      <c r="F1929">
        <v>5799</v>
      </c>
      <c r="G1929" t="s">
        <v>696</v>
      </c>
      <c r="I1929">
        <v>1284.7</v>
      </c>
      <c r="J1929">
        <v>1292.5999999999999</v>
      </c>
      <c r="K1929">
        <v>1300.5</v>
      </c>
      <c r="L1929">
        <v>1300.5</v>
      </c>
      <c r="M1929">
        <v>1324.1</v>
      </c>
      <c r="N1929" t="s">
        <v>988</v>
      </c>
    </row>
    <row r="1930" spans="1:14" x14ac:dyDescent="0.3">
      <c r="A1930">
        <v>2157</v>
      </c>
      <c r="B1930" t="s">
        <v>1897</v>
      </c>
      <c r="C1930" t="s">
        <v>2256</v>
      </c>
      <c r="D1930" t="s">
        <v>1203</v>
      </c>
      <c r="E1930" t="s">
        <v>1204</v>
      </c>
      <c r="F1930">
        <v>6643</v>
      </c>
      <c r="G1930" t="s">
        <v>703</v>
      </c>
      <c r="H1930" t="s">
        <v>1899</v>
      </c>
      <c r="I1930">
        <v>107607</v>
      </c>
      <c r="J1930">
        <v>128150</v>
      </c>
      <c r="K1930">
        <v>148693</v>
      </c>
      <c r="L1930">
        <v>169237</v>
      </c>
      <c r="M1930">
        <v>169237</v>
      </c>
      <c r="N1930" t="s">
        <v>988</v>
      </c>
    </row>
    <row r="1931" spans="1:14" x14ac:dyDescent="0.3">
      <c r="A1931">
        <v>2157</v>
      </c>
      <c r="B1931" t="s">
        <v>1897</v>
      </c>
      <c r="C1931" t="s">
        <v>2256</v>
      </c>
      <c r="D1931" t="s">
        <v>1203</v>
      </c>
      <c r="E1931" t="s">
        <v>1204</v>
      </c>
      <c r="F1931">
        <v>6643</v>
      </c>
      <c r="G1931" t="s">
        <v>700</v>
      </c>
      <c r="H1931" t="s">
        <v>1898</v>
      </c>
      <c r="I1931">
        <v>392901</v>
      </c>
      <c r="J1931">
        <v>488534</v>
      </c>
      <c r="K1931">
        <v>584167</v>
      </c>
      <c r="L1931">
        <v>679800</v>
      </c>
      <c r="M1931">
        <v>679800</v>
      </c>
      <c r="N1931" t="s">
        <v>988</v>
      </c>
    </row>
    <row r="1932" spans="1:14" x14ac:dyDescent="0.3">
      <c r="A1932">
        <v>2157</v>
      </c>
      <c r="B1932" t="s">
        <v>1897</v>
      </c>
      <c r="C1932" t="s">
        <v>2256</v>
      </c>
      <c r="D1932" t="s">
        <v>1203</v>
      </c>
      <c r="E1932" t="s">
        <v>1204</v>
      </c>
      <c r="F1932">
        <v>6643</v>
      </c>
      <c r="G1932" t="s">
        <v>698</v>
      </c>
      <c r="H1932" t="s">
        <v>1898</v>
      </c>
      <c r="I1932">
        <v>436917</v>
      </c>
      <c r="J1932">
        <v>500049</v>
      </c>
      <c r="K1932">
        <v>563182</v>
      </c>
      <c r="L1932">
        <v>626314</v>
      </c>
      <c r="M1932">
        <v>626314</v>
      </c>
      <c r="N1932" t="s">
        <v>988</v>
      </c>
    </row>
    <row r="1933" spans="1:14" x14ac:dyDescent="0.3">
      <c r="A1933">
        <v>2157</v>
      </c>
      <c r="B1933" t="s">
        <v>1897</v>
      </c>
      <c r="C1933" t="s">
        <v>2256</v>
      </c>
      <c r="D1933" t="s">
        <v>1203</v>
      </c>
      <c r="E1933" t="s">
        <v>1204</v>
      </c>
      <c r="F1933">
        <v>6643</v>
      </c>
      <c r="G1933" t="s">
        <v>696</v>
      </c>
      <c r="H1933" t="s">
        <v>1898</v>
      </c>
      <c r="I1933">
        <v>674545</v>
      </c>
      <c r="J1933">
        <v>683689</v>
      </c>
      <c r="K1933">
        <v>692832</v>
      </c>
      <c r="L1933">
        <v>701975</v>
      </c>
      <c r="M1933">
        <v>701975</v>
      </c>
      <c r="N1933" t="s">
        <v>988</v>
      </c>
    </row>
    <row r="1934" spans="1:14" x14ac:dyDescent="0.3">
      <c r="A1934">
        <v>2157</v>
      </c>
      <c r="B1934" t="s">
        <v>1897</v>
      </c>
      <c r="C1934" t="s">
        <v>2256</v>
      </c>
      <c r="D1934" t="s">
        <v>1203</v>
      </c>
      <c r="E1934" t="s">
        <v>1204</v>
      </c>
      <c r="F1934">
        <v>6643</v>
      </c>
      <c r="G1934" t="s">
        <v>686</v>
      </c>
      <c r="H1934" t="s">
        <v>1898</v>
      </c>
      <c r="I1934">
        <v>112378</v>
      </c>
      <c r="J1934">
        <v>128765</v>
      </c>
      <c r="K1934">
        <v>145153</v>
      </c>
      <c r="L1934">
        <v>156150</v>
      </c>
      <c r="M1934">
        <v>156150</v>
      </c>
      <c r="N1934" t="s">
        <v>988</v>
      </c>
    </row>
    <row r="1935" spans="1:14" x14ac:dyDescent="0.3">
      <c r="A1935">
        <v>2158</v>
      </c>
      <c r="B1935" t="s">
        <v>1900</v>
      </c>
      <c r="C1935" t="s">
        <v>2256</v>
      </c>
      <c r="D1935" t="s">
        <v>1203</v>
      </c>
      <c r="E1935" t="s">
        <v>1204</v>
      </c>
      <c r="F1935">
        <v>5792</v>
      </c>
      <c r="G1935" t="s">
        <v>698</v>
      </c>
      <c r="I1935">
        <v>3614</v>
      </c>
      <c r="J1935">
        <v>3712</v>
      </c>
      <c r="K1935">
        <v>3814</v>
      </c>
      <c r="L1935">
        <v>3918</v>
      </c>
      <c r="M1935">
        <v>4025</v>
      </c>
      <c r="N1935" t="s">
        <v>988</v>
      </c>
    </row>
    <row r="1936" spans="1:14" x14ac:dyDescent="0.3">
      <c r="A1936">
        <v>2158</v>
      </c>
      <c r="B1936" t="s">
        <v>1900</v>
      </c>
      <c r="C1936" t="s">
        <v>2256</v>
      </c>
      <c r="D1936" t="s">
        <v>1203</v>
      </c>
      <c r="E1936" t="s">
        <v>1204</v>
      </c>
      <c r="F1936">
        <v>5792</v>
      </c>
      <c r="G1936" t="s">
        <v>700</v>
      </c>
      <c r="I1936">
        <v>3378</v>
      </c>
      <c r="J1936">
        <v>3471</v>
      </c>
      <c r="K1936">
        <v>3565</v>
      </c>
      <c r="L1936">
        <v>3663</v>
      </c>
      <c r="M1936">
        <v>3763</v>
      </c>
      <c r="N1936" t="s">
        <v>988</v>
      </c>
    </row>
    <row r="1937" spans="1:14" x14ac:dyDescent="0.3">
      <c r="A1937">
        <v>2158</v>
      </c>
      <c r="B1937" t="s">
        <v>1900</v>
      </c>
      <c r="C1937" t="s">
        <v>2256</v>
      </c>
      <c r="D1937" t="s">
        <v>1203</v>
      </c>
      <c r="E1937" t="s">
        <v>1204</v>
      </c>
      <c r="F1937">
        <v>5792</v>
      </c>
      <c r="G1937" t="s">
        <v>702</v>
      </c>
      <c r="I1937">
        <v>399</v>
      </c>
      <c r="J1937">
        <v>410</v>
      </c>
      <c r="K1937">
        <v>421</v>
      </c>
      <c r="L1937">
        <v>432</v>
      </c>
      <c r="M1937">
        <v>444</v>
      </c>
      <c r="N1937" t="s">
        <v>988</v>
      </c>
    </row>
    <row r="1938" spans="1:14" x14ac:dyDescent="0.3">
      <c r="A1938">
        <v>2158</v>
      </c>
      <c r="B1938" t="s">
        <v>1900</v>
      </c>
      <c r="C1938" t="s">
        <v>2256</v>
      </c>
      <c r="D1938" t="s">
        <v>1203</v>
      </c>
      <c r="E1938" t="s">
        <v>1204</v>
      </c>
      <c r="F1938">
        <v>5792</v>
      </c>
      <c r="G1938" t="s">
        <v>691</v>
      </c>
      <c r="H1938" t="s">
        <v>2418</v>
      </c>
      <c r="I1938">
        <v>168</v>
      </c>
      <c r="J1938">
        <v>173</v>
      </c>
      <c r="K1938">
        <v>177</v>
      </c>
      <c r="L1938">
        <v>182</v>
      </c>
      <c r="M1938">
        <v>187</v>
      </c>
      <c r="N1938" t="s">
        <v>988</v>
      </c>
    </row>
    <row r="1939" spans="1:14" x14ac:dyDescent="0.3">
      <c r="A1939">
        <v>2158</v>
      </c>
      <c r="B1939" t="s">
        <v>1900</v>
      </c>
      <c r="C1939" t="s">
        <v>2256</v>
      </c>
      <c r="D1939" t="s">
        <v>1203</v>
      </c>
      <c r="E1939" t="s">
        <v>1204</v>
      </c>
      <c r="F1939">
        <v>5792</v>
      </c>
      <c r="G1939" t="s">
        <v>686</v>
      </c>
      <c r="H1939" t="s">
        <v>1570</v>
      </c>
      <c r="I1939">
        <v>908</v>
      </c>
      <c r="J1939">
        <v>933</v>
      </c>
      <c r="K1939">
        <v>958</v>
      </c>
      <c r="L1939">
        <v>984</v>
      </c>
      <c r="M1939">
        <v>1011</v>
      </c>
      <c r="N1939" t="s">
        <v>988</v>
      </c>
    </row>
    <row r="1940" spans="1:14" x14ac:dyDescent="0.3">
      <c r="A1940">
        <v>2158</v>
      </c>
      <c r="B1940" t="s">
        <v>1900</v>
      </c>
      <c r="C1940" t="s">
        <v>2256</v>
      </c>
      <c r="D1940" t="s">
        <v>1203</v>
      </c>
      <c r="E1940" t="s">
        <v>1204</v>
      </c>
      <c r="F1940">
        <v>5792</v>
      </c>
      <c r="G1940" t="s">
        <v>696</v>
      </c>
      <c r="I1940">
        <v>5761</v>
      </c>
      <c r="J1940">
        <v>5919</v>
      </c>
      <c r="K1940">
        <v>6080</v>
      </c>
      <c r="L1940">
        <v>6246</v>
      </c>
      <c r="M1940">
        <v>6416</v>
      </c>
      <c r="N1940" t="s">
        <v>988</v>
      </c>
    </row>
    <row r="1941" spans="1:14" x14ac:dyDescent="0.3">
      <c r="A1941">
        <v>2159</v>
      </c>
      <c r="B1941" t="s">
        <v>1902</v>
      </c>
      <c r="C1941" t="s">
        <v>2256</v>
      </c>
      <c r="D1941" t="s">
        <v>1203</v>
      </c>
      <c r="E1941" t="s">
        <v>1204</v>
      </c>
      <c r="F1941">
        <v>5472</v>
      </c>
      <c r="G1941" t="s">
        <v>696</v>
      </c>
      <c r="I1941">
        <v>4399</v>
      </c>
      <c r="J1941">
        <v>4381</v>
      </c>
      <c r="K1941">
        <v>4363</v>
      </c>
      <c r="L1941">
        <v>4318</v>
      </c>
      <c r="M1941">
        <v>4314</v>
      </c>
      <c r="N1941" t="s">
        <v>988</v>
      </c>
    </row>
    <row r="1942" spans="1:14" x14ac:dyDescent="0.3">
      <c r="A1942">
        <v>2159</v>
      </c>
      <c r="B1942" t="s">
        <v>1902</v>
      </c>
      <c r="C1942" t="s">
        <v>2256</v>
      </c>
      <c r="D1942" t="s">
        <v>1203</v>
      </c>
      <c r="E1942" t="s">
        <v>1204</v>
      </c>
      <c r="F1942">
        <v>5472</v>
      </c>
      <c r="G1942" t="s">
        <v>687</v>
      </c>
      <c r="H1942" t="s">
        <v>1903</v>
      </c>
      <c r="I1942">
        <v>25</v>
      </c>
      <c r="J1942">
        <v>25</v>
      </c>
      <c r="K1942">
        <v>25</v>
      </c>
      <c r="L1942">
        <v>24</v>
      </c>
      <c r="M1942">
        <v>24</v>
      </c>
      <c r="N1942" t="s">
        <v>988</v>
      </c>
    </row>
    <row r="1943" spans="1:14" x14ac:dyDescent="0.3">
      <c r="A1943">
        <v>2159</v>
      </c>
      <c r="B1943" t="s">
        <v>1902</v>
      </c>
      <c r="C1943" t="s">
        <v>2256</v>
      </c>
      <c r="D1943" t="s">
        <v>1203</v>
      </c>
      <c r="E1943" t="s">
        <v>1204</v>
      </c>
      <c r="F1943">
        <v>5472</v>
      </c>
      <c r="G1943" t="s">
        <v>686</v>
      </c>
      <c r="H1943" t="s">
        <v>1289</v>
      </c>
      <c r="I1943">
        <v>169</v>
      </c>
      <c r="J1943">
        <v>168</v>
      </c>
      <c r="K1943">
        <v>166</v>
      </c>
      <c r="L1943">
        <v>165</v>
      </c>
      <c r="M1943">
        <v>165</v>
      </c>
      <c r="N1943" t="s">
        <v>988</v>
      </c>
    </row>
    <row r="1944" spans="1:14" x14ac:dyDescent="0.3">
      <c r="A1944">
        <v>2159</v>
      </c>
      <c r="B1944" t="s">
        <v>1902</v>
      </c>
      <c r="C1944" t="s">
        <v>2256</v>
      </c>
      <c r="D1944" t="s">
        <v>1203</v>
      </c>
      <c r="E1944" t="s">
        <v>1204</v>
      </c>
      <c r="F1944">
        <v>5472</v>
      </c>
      <c r="G1944" t="s">
        <v>702</v>
      </c>
      <c r="I1944">
        <v>1026</v>
      </c>
      <c r="J1944">
        <v>1017</v>
      </c>
      <c r="K1944">
        <v>1009</v>
      </c>
      <c r="L1944">
        <v>1000</v>
      </c>
      <c r="M1944">
        <v>999</v>
      </c>
      <c r="N1944" t="s">
        <v>988</v>
      </c>
    </row>
    <row r="1945" spans="1:14" x14ac:dyDescent="0.3">
      <c r="A1945">
        <v>2159</v>
      </c>
      <c r="B1945" t="s">
        <v>1902</v>
      </c>
      <c r="C1945" t="s">
        <v>2256</v>
      </c>
      <c r="D1945" t="s">
        <v>1203</v>
      </c>
      <c r="E1945" t="s">
        <v>1204</v>
      </c>
      <c r="F1945">
        <v>5472</v>
      </c>
      <c r="G1945" t="s">
        <v>700</v>
      </c>
      <c r="H1945" t="s">
        <v>2419</v>
      </c>
      <c r="I1945">
        <v>700</v>
      </c>
      <c r="J1945">
        <v>675</v>
      </c>
      <c r="K1945">
        <v>650</v>
      </c>
      <c r="L1945">
        <v>649</v>
      </c>
      <c r="M1945">
        <v>649</v>
      </c>
      <c r="N1945" t="s">
        <v>988</v>
      </c>
    </row>
    <row r="1946" spans="1:14" x14ac:dyDescent="0.3">
      <c r="A1946">
        <v>2159</v>
      </c>
      <c r="B1946" t="s">
        <v>1902</v>
      </c>
      <c r="C1946" t="s">
        <v>2256</v>
      </c>
      <c r="D1946" t="s">
        <v>1203</v>
      </c>
      <c r="E1946" t="s">
        <v>1204</v>
      </c>
      <c r="F1946">
        <v>5472</v>
      </c>
      <c r="G1946" t="s">
        <v>698</v>
      </c>
      <c r="I1946">
        <v>1333</v>
      </c>
      <c r="J1946">
        <v>1322</v>
      </c>
      <c r="K1946">
        <v>1310</v>
      </c>
      <c r="L1946">
        <v>1298</v>
      </c>
      <c r="M1946">
        <v>1297</v>
      </c>
      <c r="N1946" t="s">
        <v>988</v>
      </c>
    </row>
    <row r="1947" spans="1:14" x14ac:dyDescent="0.3">
      <c r="A1947">
        <v>2160</v>
      </c>
      <c r="B1947" t="s">
        <v>1904</v>
      </c>
      <c r="C1947" t="s">
        <v>2256</v>
      </c>
      <c r="D1947" t="s">
        <v>1203</v>
      </c>
      <c r="E1947" t="s">
        <v>1204</v>
      </c>
      <c r="F1947">
        <v>5474</v>
      </c>
      <c r="G1947" t="s">
        <v>696</v>
      </c>
      <c r="I1947">
        <v>54814</v>
      </c>
      <c r="J1947">
        <v>54360</v>
      </c>
      <c r="K1947">
        <v>53794</v>
      </c>
      <c r="L1947">
        <v>54197</v>
      </c>
      <c r="M1947">
        <v>55159</v>
      </c>
      <c r="N1947" t="s">
        <v>988</v>
      </c>
    </row>
    <row r="1948" spans="1:14" x14ac:dyDescent="0.3">
      <c r="A1948">
        <v>2160</v>
      </c>
      <c r="B1948" t="s">
        <v>1904</v>
      </c>
      <c r="C1948" t="s">
        <v>2256</v>
      </c>
      <c r="D1948" t="s">
        <v>1203</v>
      </c>
      <c r="E1948" t="s">
        <v>1204</v>
      </c>
      <c r="F1948">
        <v>5474</v>
      </c>
      <c r="G1948" t="s">
        <v>698</v>
      </c>
      <c r="I1948">
        <v>40623</v>
      </c>
      <c r="J1948">
        <v>45491</v>
      </c>
      <c r="K1948">
        <v>49607</v>
      </c>
      <c r="L1948">
        <v>52854</v>
      </c>
      <c r="M1948">
        <v>54464</v>
      </c>
      <c r="N1948" t="s">
        <v>988</v>
      </c>
    </row>
    <row r="1949" spans="1:14" x14ac:dyDescent="0.3">
      <c r="A1949">
        <v>2160</v>
      </c>
      <c r="B1949" t="s">
        <v>1904</v>
      </c>
      <c r="C1949" t="s">
        <v>2256</v>
      </c>
      <c r="D1949" t="s">
        <v>1203</v>
      </c>
      <c r="E1949" t="s">
        <v>1204</v>
      </c>
      <c r="F1949">
        <v>5474</v>
      </c>
      <c r="G1949" t="s">
        <v>702</v>
      </c>
      <c r="H1949" t="s">
        <v>2420</v>
      </c>
      <c r="I1949">
        <v>17718</v>
      </c>
      <c r="J1949">
        <v>17606</v>
      </c>
      <c r="K1949">
        <v>17375</v>
      </c>
      <c r="L1949">
        <v>17133</v>
      </c>
      <c r="M1949">
        <v>16991</v>
      </c>
      <c r="N1949" t="s">
        <v>988</v>
      </c>
    </row>
    <row r="1950" spans="1:14" x14ac:dyDescent="0.3">
      <c r="A1950">
        <v>2160</v>
      </c>
      <c r="B1950" t="s">
        <v>1904</v>
      </c>
      <c r="C1950" t="s">
        <v>2256</v>
      </c>
      <c r="D1950" t="s">
        <v>1203</v>
      </c>
      <c r="E1950" t="s">
        <v>1204</v>
      </c>
      <c r="F1950">
        <v>5474</v>
      </c>
      <c r="G1950" t="s">
        <v>686</v>
      </c>
      <c r="H1950" t="s">
        <v>1227</v>
      </c>
      <c r="I1950">
        <v>15827</v>
      </c>
      <c r="J1950">
        <v>16470</v>
      </c>
      <c r="K1950">
        <v>17023</v>
      </c>
      <c r="L1950">
        <v>17562</v>
      </c>
      <c r="M1950">
        <v>17936</v>
      </c>
      <c r="N1950" t="s">
        <v>988</v>
      </c>
    </row>
    <row r="1951" spans="1:14" x14ac:dyDescent="0.3">
      <c r="A1951">
        <v>2160</v>
      </c>
      <c r="B1951" t="s">
        <v>1904</v>
      </c>
      <c r="C1951" t="s">
        <v>2256</v>
      </c>
      <c r="D1951" t="s">
        <v>1203</v>
      </c>
      <c r="E1951" t="s">
        <v>1204</v>
      </c>
      <c r="F1951">
        <v>5474</v>
      </c>
      <c r="G1951" t="s">
        <v>700</v>
      </c>
      <c r="H1951" t="s">
        <v>2421</v>
      </c>
      <c r="I1951">
        <v>47402</v>
      </c>
      <c r="J1951">
        <v>50090</v>
      </c>
      <c r="K1951">
        <v>52784</v>
      </c>
      <c r="L1951">
        <v>55239</v>
      </c>
      <c r="M1951">
        <v>56873</v>
      </c>
      <c r="N1951" t="s">
        <v>988</v>
      </c>
    </row>
    <row r="1952" spans="1:14" x14ac:dyDescent="0.3">
      <c r="A1952">
        <v>2162</v>
      </c>
      <c r="B1952" t="s">
        <v>1907</v>
      </c>
      <c r="C1952" t="s">
        <v>2256</v>
      </c>
      <c r="D1952" t="s">
        <v>159</v>
      </c>
      <c r="E1952" t="s">
        <v>159</v>
      </c>
      <c r="F1952">
        <v>7208</v>
      </c>
      <c r="G1952" t="s">
        <v>698</v>
      </c>
      <c r="I1952">
        <v>1173</v>
      </c>
      <c r="J1952">
        <v>1249</v>
      </c>
      <c r="K1952">
        <v>1267</v>
      </c>
      <c r="L1952">
        <v>1301</v>
      </c>
      <c r="M1952">
        <v>1345</v>
      </c>
      <c r="N1952" t="s">
        <v>988</v>
      </c>
    </row>
    <row r="1953" spans="1:14" x14ac:dyDescent="0.3">
      <c r="A1953">
        <v>2162</v>
      </c>
      <c r="B1953" t="s">
        <v>1907</v>
      </c>
      <c r="C1953" t="s">
        <v>2256</v>
      </c>
      <c r="D1953" t="s">
        <v>159</v>
      </c>
      <c r="E1953" t="s">
        <v>159</v>
      </c>
      <c r="F1953">
        <v>7208</v>
      </c>
      <c r="G1953" t="s">
        <v>700</v>
      </c>
      <c r="I1953">
        <v>536</v>
      </c>
      <c r="J1953">
        <v>571</v>
      </c>
      <c r="K1953">
        <v>579</v>
      </c>
      <c r="L1953">
        <v>595</v>
      </c>
      <c r="M1953">
        <v>615</v>
      </c>
      <c r="N1953" t="s">
        <v>988</v>
      </c>
    </row>
    <row r="1954" spans="1:14" x14ac:dyDescent="0.3">
      <c r="A1954">
        <v>2162</v>
      </c>
      <c r="B1954" t="s">
        <v>1907</v>
      </c>
      <c r="C1954" t="s">
        <v>2256</v>
      </c>
      <c r="D1954" t="s">
        <v>159</v>
      </c>
      <c r="E1954" t="s">
        <v>159</v>
      </c>
      <c r="F1954">
        <v>7208</v>
      </c>
      <c r="G1954" t="s">
        <v>702</v>
      </c>
      <c r="I1954">
        <v>167</v>
      </c>
      <c r="J1954">
        <v>178</v>
      </c>
      <c r="K1954">
        <v>181</v>
      </c>
      <c r="L1954">
        <v>186</v>
      </c>
      <c r="M1954">
        <v>192</v>
      </c>
      <c r="N1954" t="s">
        <v>988</v>
      </c>
    </row>
    <row r="1955" spans="1:14" x14ac:dyDescent="0.3">
      <c r="A1955">
        <v>2162</v>
      </c>
      <c r="B1955" t="s">
        <v>1907</v>
      </c>
      <c r="C1955" t="s">
        <v>2256</v>
      </c>
      <c r="D1955" t="s">
        <v>159</v>
      </c>
      <c r="E1955" t="s">
        <v>159</v>
      </c>
      <c r="F1955">
        <v>7208</v>
      </c>
      <c r="G1955" t="s">
        <v>703</v>
      </c>
      <c r="I1955">
        <v>390</v>
      </c>
      <c r="J1955">
        <v>416</v>
      </c>
      <c r="K1955">
        <v>422</v>
      </c>
      <c r="L1955">
        <v>433</v>
      </c>
      <c r="M1955">
        <v>447</v>
      </c>
      <c r="N1955" t="s">
        <v>988</v>
      </c>
    </row>
    <row r="1956" spans="1:14" x14ac:dyDescent="0.3">
      <c r="A1956">
        <v>2162</v>
      </c>
      <c r="B1956" t="s">
        <v>1907</v>
      </c>
      <c r="C1956" t="s">
        <v>2256</v>
      </c>
      <c r="D1956" t="s">
        <v>159</v>
      </c>
      <c r="E1956" t="s">
        <v>159</v>
      </c>
      <c r="F1956">
        <v>7208</v>
      </c>
      <c r="G1956" t="s">
        <v>684</v>
      </c>
      <c r="I1956">
        <v>201</v>
      </c>
      <c r="J1956">
        <v>201</v>
      </c>
      <c r="K1956">
        <v>201</v>
      </c>
      <c r="L1956">
        <v>201</v>
      </c>
      <c r="M1956">
        <v>201</v>
      </c>
      <c r="N1956" t="s">
        <v>988</v>
      </c>
    </row>
    <row r="1957" spans="1:14" x14ac:dyDescent="0.3">
      <c r="A1957">
        <v>2162</v>
      </c>
      <c r="B1957" t="s">
        <v>1907</v>
      </c>
      <c r="C1957" t="s">
        <v>2256</v>
      </c>
      <c r="D1957" t="s">
        <v>159</v>
      </c>
      <c r="E1957" t="s">
        <v>159</v>
      </c>
      <c r="F1957">
        <v>7208</v>
      </c>
      <c r="G1957" t="s">
        <v>686</v>
      </c>
      <c r="I1957">
        <v>204</v>
      </c>
      <c r="J1957">
        <v>217</v>
      </c>
      <c r="K1957">
        <v>220</v>
      </c>
      <c r="L1957">
        <v>226</v>
      </c>
      <c r="M1957">
        <v>233</v>
      </c>
      <c r="N1957" t="s">
        <v>988</v>
      </c>
    </row>
    <row r="1958" spans="1:14" x14ac:dyDescent="0.3">
      <c r="A1958">
        <v>2162</v>
      </c>
      <c r="B1958" t="s">
        <v>1907</v>
      </c>
      <c r="C1958" t="s">
        <v>2256</v>
      </c>
      <c r="D1958" t="s">
        <v>159</v>
      </c>
      <c r="E1958" t="s">
        <v>159</v>
      </c>
      <c r="F1958">
        <v>7208</v>
      </c>
      <c r="G1958" t="s">
        <v>696</v>
      </c>
      <c r="I1958">
        <v>3125</v>
      </c>
      <c r="J1958">
        <v>3324</v>
      </c>
      <c r="K1958">
        <v>3373</v>
      </c>
      <c r="L1958">
        <v>3462</v>
      </c>
      <c r="M1958">
        <v>3578</v>
      </c>
      <c r="N1958" t="s">
        <v>988</v>
      </c>
    </row>
    <row r="1959" spans="1:14" x14ac:dyDescent="0.3">
      <c r="A1959">
        <v>2163</v>
      </c>
      <c r="B1959" t="s">
        <v>1908</v>
      </c>
      <c r="C1959" t="s">
        <v>2256</v>
      </c>
      <c r="D1959" t="s">
        <v>159</v>
      </c>
      <c r="E1959" t="s">
        <v>159</v>
      </c>
      <c r="F1959">
        <v>6759</v>
      </c>
      <c r="G1959" t="s">
        <v>703</v>
      </c>
      <c r="I1959">
        <v>145.80000000000001</v>
      </c>
      <c r="J1959">
        <v>148.30000000000001</v>
      </c>
      <c r="K1959">
        <v>150.80000000000001</v>
      </c>
      <c r="L1959">
        <v>153.4</v>
      </c>
      <c r="M1959">
        <v>156</v>
      </c>
      <c r="N1959" t="s">
        <v>988</v>
      </c>
    </row>
    <row r="1960" spans="1:14" x14ac:dyDescent="0.3">
      <c r="A1960">
        <v>2163</v>
      </c>
      <c r="B1960" t="s">
        <v>1908</v>
      </c>
      <c r="C1960" t="s">
        <v>2256</v>
      </c>
      <c r="D1960" t="s">
        <v>159</v>
      </c>
      <c r="E1960" t="s">
        <v>159</v>
      </c>
      <c r="F1960">
        <v>6759</v>
      </c>
      <c r="G1960" t="s">
        <v>701</v>
      </c>
      <c r="I1960">
        <v>224</v>
      </c>
      <c r="J1960">
        <v>227.8</v>
      </c>
      <c r="K1960">
        <v>231.7</v>
      </c>
      <c r="L1960">
        <v>235.7</v>
      </c>
      <c r="M1960">
        <v>239.7</v>
      </c>
      <c r="N1960" t="s">
        <v>988</v>
      </c>
    </row>
    <row r="1961" spans="1:14" x14ac:dyDescent="0.3">
      <c r="A1961">
        <v>2163</v>
      </c>
      <c r="B1961" t="s">
        <v>1908</v>
      </c>
      <c r="C1961" t="s">
        <v>2256</v>
      </c>
      <c r="D1961" t="s">
        <v>159</v>
      </c>
      <c r="E1961" t="s">
        <v>159</v>
      </c>
      <c r="F1961">
        <v>6759</v>
      </c>
      <c r="G1961" t="s">
        <v>702</v>
      </c>
      <c r="I1961">
        <v>95.7</v>
      </c>
      <c r="J1961">
        <v>97.4</v>
      </c>
      <c r="K1961">
        <v>99</v>
      </c>
      <c r="L1961">
        <v>100.7</v>
      </c>
      <c r="M1961">
        <v>102.4</v>
      </c>
      <c r="N1961" t="s">
        <v>988</v>
      </c>
    </row>
    <row r="1962" spans="1:14" x14ac:dyDescent="0.3">
      <c r="A1962">
        <v>2163</v>
      </c>
      <c r="B1962" t="s">
        <v>1908</v>
      </c>
      <c r="C1962" t="s">
        <v>2256</v>
      </c>
      <c r="D1962" t="s">
        <v>159</v>
      </c>
      <c r="E1962" t="s">
        <v>159</v>
      </c>
      <c r="F1962">
        <v>6759</v>
      </c>
      <c r="G1962" t="s">
        <v>698</v>
      </c>
      <c r="I1962">
        <v>441.7</v>
      </c>
      <c r="J1962">
        <v>449.3</v>
      </c>
      <c r="K1962">
        <v>457</v>
      </c>
      <c r="L1962">
        <v>464.8</v>
      </c>
      <c r="M1962">
        <v>472.7</v>
      </c>
      <c r="N1962" t="s">
        <v>988</v>
      </c>
    </row>
    <row r="1963" spans="1:14" x14ac:dyDescent="0.3">
      <c r="A1963">
        <v>2163</v>
      </c>
      <c r="B1963" t="s">
        <v>1908</v>
      </c>
      <c r="C1963" t="s">
        <v>2256</v>
      </c>
      <c r="D1963" t="s">
        <v>159</v>
      </c>
      <c r="E1963" t="s">
        <v>159</v>
      </c>
      <c r="F1963">
        <v>6759</v>
      </c>
      <c r="G1963" t="s">
        <v>686</v>
      </c>
      <c r="H1963" t="s">
        <v>1570</v>
      </c>
      <c r="I1963">
        <v>239.8</v>
      </c>
      <c r="J1963">
        <v>243.8</v>
      </c>
      <c r="K1963">
        <v>248</v>
      </c>
      <c r="L1963">
        <v>252.2</v>
      </c>
      <c r="M1963">
        <v>256.60000000000002</v>
      </c>
      <c r="N1963" t="s">
        <v>988</v>
      </c>
    </row>
    <row r="1964" spans="1:14" x14ac:dyDescent="0.3">
      <c r="A1964">
        <v>2163</v>
      </c>
      <c r="B1964" t="s">
        <v>1908</v>
      </c>
      <c r="C1964" t="s">
        <v>2256</v>
      </c>
      <c r="D1964" t="s">
        <v>159</v>
      </c>
      <c r="E1964" t="s">
        <v>159</v>
      </c>
      <c r="F1964">
        <v>6759</v>
      </c>
      <c r="G1964" t="s">
        <v>696</v>
      </c>
      <c r="I1964">
        <v>1411.8</v>
      </c>
      <c r="J1964">
        <v>1435.9</v>
      </c>
      <c r="K1964">
        <v>1460.5</v>
      </c>
      <c r="L1964">
        <v>1485.4</v>
      </c>
      <c r="M1964">
        <v>1510.8</v>
      </c>
      <c r="N1964" t="s">
        <v>988</v>
      </c>
    </row>
    <row r="1965" spans="1:14" x14ac:dyDescent="0.3">
      <c r="A1965">
        <v>2163</v>
      </c>
      <c r="B1965" t="s">
        <v>1908</v>
      </c>
      <c r="C1965" t="s">
        <v>2256</v>
      </c>
      <c r="D1965" t="s">
        <v>159</v>
      </c>
      <c r="E1965" t="s">
        <v>159</v>
      </c>
      <c r="F1965">
        <v>6759</v>
      </c>
      <c r="G1965" t="s">
        <v>700</v>
      </c>
      <c r="I1965">
        <v>351.5</v>
      </c>
      <c r="J1965">
        <v>357.5</v>
      </c>
      <c r="K1965">
        <v>363.6</v>
      </c>
      <c r="L1965">
        <v>369.8</v>
      </c>
      <c r="M1965">
        <v>376.1</v>
      </c>
      <c r="N1965" t="s">
        <v>988</v>
      </c>
    </row>
    <row r="1966" spans="1:14" x14ac:dyDescent="0.3">
      <c r="A1966">
        <v>2164</v>
      </c>
      <c r="B1966" t="s">
        <v>1909</v>
      </c>
      <c r="C1966" t="s">
        <v>2256</v>
      </c>
      <c r="D1966" t="s">
        <v>159</v>
      </c>
      <c r="E1966" t="s">
        <v>159</v>
      </c>
      <c r="F1966">
        <v>6833</v>
      </c>
      <c r="G1966" t="s">
        <v>696</v>
      </c>
      <c r="I1966">
        <v>15460</v>
      </c>
      <c r="J1966">
        <v>15240</v>
      </c>
      <c r="K1966">
        <v>15120</v>
      </c>
      <c r="L1966">
        <v>15240</v>
      </c>
      <c r="M1966">
        <v>15230</v>
      </c>
      <c r="N1966" t="s">
        <v>988</v>
      </c>
    </row>
    <row r="1967" spans="1:14" x14ac:dyDescent="0.3">
      <c r="A1967">
        <v>2164</v>
      </c>
      <c r="B1967" t="s">
        <v>1909</v>
      </c>
      <c r="C1967" t="s">
        <v>2256</v>
      </c>
      <c r="D1967" t="s">
        <v>159</v>
      </c>
      <c r="E1967" t="s">
        <v>159</v>
      </c>
      <c r="F1967">
        <v>6833</v>
      </c>
      <c r="G1967" t="s">
        <v>686</v>
      </c>
      <c r="I1967">
        <v>6720</v>
      </c>
      <c r="J1967">
        <v>6720</v>
      </c>
      <c r="K1967">
        <v>6720</v>
      </c>
      <c r="L1967">
        <v>6720</v>
      </c>
      <c r="M1967">
        <v>6720</v>
      </c>
      <c r="N1967" t="s">
        <v>988</v>
      </c>
    </row>
    <row r="1968" spans="1:14" x14ac:dyDescent="0.3">
      <c r="A1968">
        <v>2164</v>
      </c>
      <c r="B1968" t="s">
        <v>1909</v>
      </c>
      <c r="C1968" t="s">
        <v>2256</v>
      </c>
      <c r="D1968" t="s">
        <v>159</v>
      </c>
      <c r="E1968" t="s">
        <v>159</v>
      </c>
      <c r="F1968">
        <v>6833</v>
      </c>
      <c r="G1968" t="s">
        <v>687</v>
      </c>
      <c r="H1968" t="s">
        <v>2422</v>
      </c>
      <c r="I1968">
        <v>27780</v>
      </c>
      <c r="J1968">
        <v>27330</v>
      </c>
      <c r="K1968">
        <v>27220</v>
      </c>
      <c r="L1968">
        <v>27670</v>
      </c>
      <c r="M1968">
        <v>28230</v>
      </c>
      <c r="N1968" t="s">
        <v>988</v>
      </c>
    </row>
    <row r="1969" spans="1:14" x14ac:dyDescent="0.3">
      <c r="A1969">
        <v>2164</v>
      </c>
      <c r="B1969" t="s">
        <v>1909</v>
      </c>
      <c r="C1969" t="s">
        <v>2256</v>
      </c>
      <c r="D1969" t="s">
        <v>159</v>
      </c>
      <c r="E1969" t="s">
        <v>159</v>
      </c>
      <c r="F1969">
        <v>6833</v>
      </c>
      <c r="G1969" t="s">
        <v>698</v>
      </c>
      <c r="I1969">
        <v>26550</v>
      </c>
      <c r="J1969">
        <v>28680</v>
      </c>
      <c r="K1969">
        <v>31260</v>
      </c>
      <c r="L1969">
        <v>33940</v>
      </c>
      <c r="M1969">
        <v>36970</v>
      </c>
      <c r="N1969" t="s">
        <v>988</v>
      </c>
    </row>
    <row r="1970" spans="1:14" x14ac:dyDescent="0.3">
      <c r="A1970">
        <v>2165</v>
      </c>
      <c r="B1970" t="s">
        <v>1912</v>
      </c>
      <c r="C1970" t="s">
        <v>2256</v>
      </c>
      <c r="D1970" t="s">
        <v>159</v>
      </c>
      <c r="E1970" t="s">
        <v>159</v>
      </c>
      <c r="F1970">
        <v>5523</v>
      </c>
      <c r="G1970" t="s">
        <v>700</v>
      </c>
      <c r="I1970">
        <v>1218</v>
      </c>
      <c r="J1970">
        <v>1243</v>
      </c>
      <c r="K1970">
        <v>1268</v>
      </c>
      <c r="L1970">
        <v>1294</v>
      </c>
      <c r="M1970">
        <v>1321</v>
      </c>
      <c r="N1970" t="s">
        <v>988</v>
      </c>
    </row>
    <row r="1971" spans="1:14" x14ac:dyDescent="0.3">
      <c r="A1971">
        <v>2165</v>
      </c>
      <c r="B1971" t="s">
        <v>1912</v>
      </c>
      <c r="C1971" t="s">
        <v>2256</v>
      </c>
      <c r="D1971" t="s">
        <v>159</v>
      </c>
      <c r="E1971" t="s">
        <v>159</v>
      </c>
      <c r="F1971">
        <v>5523</v>
      </c>
      <c r="G1971" t="s">
        <v>702</v>
      </c>
      <c r="I1971">
        <v>272</v>
      </c>
      <c r="J1971">
        <v>278</v>
      </c>
      <c r="K1971">
        <v>283</v>
      </c>
      <c r="L1971">
        <v>289</v>
      </c>
      <c r="M1971">
        <v>295</v>
      </c>
      <c r="N1971" t="s">
        <v>988</v>
      </c>
    </row>
    <row r="1972" spans="1:14" x14ac:dyDescent="0.3">
      <c r="A1972">
        <v>2165</v>
      </c>
      <c r="B1972" t="s">
        <v>1912</v>
      </c>
      <c r="C1972" t="s">
        <v>2256</v>
      </c>
      <c r="D1972" t="s">
        <v>159</v>
      </c>
      <c r="E1972" t="s">
        <v>159</v>
      </c>
      <c r="F1972">
        <v>5523</v>
      </c>
      <c r="G1972" t="s">
        <v>686</v>
      </c>
      <c r="I1972">
        <v>373</v>
      </c>
      <c r="J1972">
        <v>380</v>
      </c>
      <c r="K1972">
        <v>388</v>
      </c>
      <c r="L1972">
        <v>396</v>
      </c>
      <c r="M1972">
        <v>404</v>
      </c>
      <c r="N1972" t="s">
        <v>988</v>
      </c>
    </row>
    <row r="1973" spans="1:14" x14ac:dyDescent="0.3">
      <c r="A1973">
        <v>2165</v>
      </c>
      <c r="B1973" t="s">
        <v>1912</v>
      </c>
      <c r="C1973" t="s">
        <v>2256</v>
      </c>
      <c r="D1973" t="s">
        <v>159</v>
      </c>
      <c r="E1973" t="s">
        <v>159</v>
      </c>
      <c r="F1973">
        <v>5523</v>
      </c>
      <c r="G1973" t="s">
        <v>687</v>
      </c>
      <c r="I1973">
        <v>312</v>
      </c>
      <c r="J1973">
        <v>319</v>
      </c>
      <c r="K1973">
        <v>325</v>
      </c>
      <c r="L1973">
        <v>332</v>
      </c>
      <c r="M1973">
        <v>339</v>
      </c>
      <c r="N1973" t="s">
        <v>988</v>
      </c>
    </row>
    <row r="1974" spans="1:14" x14ac:dyDescent="0.3">
      <c r="A1974">
        <v>2165</v>
      </c>
      <c r="B1974" t="s">
        <v>1912</v>
      </c>
      <c r="C1974" t="s">
        <v>2256</v>
      </c>
      <c r="D1974" t="s">
        <v>159</v>
      </c>
      <c r="E1974" t="s">
        <v>159</v>
      </c>
      <c r="F1974">
        <v>5523</v>
      </c>
      <c r="G1974" t="s">
        <v>696</v>
      </c>
      <c r="I1974">
        <v>2904</v>
      </c>
      <c r="J1974">
        <v>2964</v>
      </c>
      <c r="K1974">
        <v>3025</v>
      </c>
      <c r="L1974">
        <v>3087</v>
      </c>
      <c r="M1974">
        <v>3150</v>
      </c>
      <c r="N1974" t="s">
        <v>988</v>
      </c>
    </row>
    <row r="1975" spans="1:14" x14ac:dyDescent="0.3">
      <c r="A1975">
        <v>2165</v>
      </c>
      <c r="B1975" t="s">
        <v>1912</v>
      </c>
      <c r="C1975" t="s">
        <v>2256</v>
      </c>
      <c r="D1975" t="s">
        <v>159</v>
      </c>
      <c r="E1975" t="s">
        <v>159</v>
      </c>
      <c r="F1975">
        <v>5523</v>
      </c>
      <c r="G1975" t="s">
        <v>698</v>
      </c>
      <c r="I1975">
        <v>993</v>
      </c>
      <c r="J1975">
        <v>1013</v>
      </c>
      <c r="K1975">
        <v>1034</v>
      </c>
      <c r="L1975">
        <v>1055</v>
      </c>
      <c r="M1975">
        <v>1077</v>
      </c>
      <c r="N1975" t="s">
        <v>988</v>
      </c>
    </row>
    <row r="1976" spans="1:14" x14ac:dyDescent="0.3">
      <c r="A1976">
        <v>2167</v>
      </c>
      <c r="B1976" t="s">
        <v>1914</v>
      </c>
      <c r="C1976" t="s">
        <v>2256</v>
      </c>
      <c r="D1976" t="s">
        <v>159</v>
      </c>
      <c r="E1976" t="s">
        <v>159</v>
      </c>
      <c r="F1976">
        <v>5516</v>
      </c>
      <c r="G1976" t="s">
        <v>701</v>
      </c>
      <c r="I1976">
        <v>1950</v>
      </c>
      <c r="J1976">
        <v>1960</v>
      </c>
      <c r="K1976">
        <v>1971</v>
      </c>
      <c r="L1976">
        <v>1976</v>
      </c>
      <c r="M1976">
        <v>1981</v>
      </c>
      <c r="N1976" t="s">
        <v>988</v>
      </c>
    </row>
    <row r="1977" spans="1:14" x14ac:dyDescent="0.3">
      <c r="A1977">
        <v>2167</v>
      </c>
      <c r="B1977" t="s">
        <v>1914</v>
      </c>
      <c r="C1977" t="s">
        <v>2256</v>
      </c>
      <c r="D1977" t="s">
        <v>159</v>
      </c>
      <c r="E1977" t="s">
        <v>159</v>
      </c>
      <c r="F1977">
        <v>5516</v>
      </c>
      <c r="G1977" t="s">
        <v>698</v>
      </c>
      <c r="I1977">
        <v>5958</v>
      </c>
      <c r="J1977">
        <v>5989</v>
      </c>
      <c r="K1977">
        <v>6021</v>
      </c>
      <c r="L1977">
        <v>6037</v>
      </c>
      <c r="M1977">
        <v>6053</v>
      </c>
      <c r="N1977" t="s">
        <v>988</v>
      </c>
    </row>
    <row r="1978" spans="1:14" x14ac:dyDescent="0.3">
      <c r="A1978">
        <v>2167</v>
      </c>
      <c r="B1978" t="s">
        <v>1914</v>
      </c>
      <c r="C1978" t="s">
        <v>2256</v>
      </c>
      <c r="D1978" t="s">
        <v>159</v>
      </c>
      <c r="E1978" t="s">
        <v>159</v>
      </c>
      <c r="F1978">
        <v>5516</v>
      </c>
      <c r="G1978" t="s">
        <v>696</v>
      </c>
      <c r="I1978">
        <v>15133</v>
      </c>
      <c r="J1978">
        <v>15214</v>
      </c>
      <c r="K1978">
        <v>15296</v>
      </c>
      <c r="L1978">
        <v>15336</v>
      </c>
      <c r="M1978">
        <v>15378</v>
      </c>
      <c r="N1978" t="s">
        <v>988</v>
      </c>
    </row>
    <row r="1979" spans="1:14" x14ac:dyDescent="0.3">
      <c r="A1979">
        <v>2167</v>
      </c>
      <c r="B1979" t="s">
        <v>1914</v>
      </c>
      <c r="C1979" t="s">
        <v>2256</v>
      </c>
      <c r="D1979" t="s">
        <v>159</v>
      </c>
      <c r="E1979" t="s">
        <v>159</v>
      </c>
      <c r="F1979">
        <v>5516</v>
      </c>
      <c r="G1979" t="s">
        <v>703</v>
      </c>
      <c r="I1979">
        <v>2443</v>
      </c>
      <c r="J1979">
        <v>2456</v>
      </c>
      <c r="K1979">
        <v>2469</v>
      </c>
      <c r="L1979">
        <v>2476</v>
      </c>
      <c r="M1979">
        <v>2482</v>
      </c>
      <c r="N1979" t="s">
        <v>988</v>
      </c>
    </row>
    <row r="1980" spans="1:14" x14ac:dyDescent="0.3">
      <c r="A1980">
        <v>2167</v>
      </c>
      <c r="B1980" t="s">
        <v>1914</v>
      </c>
      <c r="C1980" t="s">
        <v>2256</v>
      </c>
      <c r="D1980" t="s">
        <v>159</v>
      </c>
      <c r="E1980" t="s">
        <v>159</v>
      </c>
      <c r="F1980">
        <v>5516</v>
      </c>
      <c r="G1980" t="s">
        <v>702</v>
      </c>
      <c r="I1980">
        <v>551</v>
      </c>
      <c r="J1980">
        <v>554</v>
      </c>
      <c r="K1980">
        <v>557</v>
      </c>
      <c r="L1980">
        <v>558</v>
      </c>
      <c r="M1980">
        <v>560</v>
      </c>
      <c r="N1980" t="s">
        <v>988</v>
      </c>
    </row>
    <row r="1981" spans="1:14" x14ac:dyDescent="0.3">
      <c r="A1981">
        <v>2167</v>
      </c>
      <c r="B1981" t="s">
        <v>1914</v>
      </c>
      <c r="C1981" t="s">
        <v>2256</v>
      </c>
      <c r="D1981" t="s">
        <v>159</v>
      </c>
      <c r="E1981" t="s">
        <v>159</v>
      </c>
      <c r="F1981">
        <v>5516</v>
      </c>
      <c r="G1981" t="s">
        <v>686</v>
      </c>
      <c r="I1981">
        <v>2054</v>
      </c>
      <c r="J1981">
        <v>2065</v>
      </c>
      <c r="K1981">
        <v>2076</v>
      </c>
      <c r="L1981">
        <v>2081</v>
      </c>
      <c r="M1981">
        <v>2087</v>
      </c>
      <c r="N1981" t="s">
        <v>988</v>
      </c>
    </row>
    <row r="1982" spans="1:14" x14ac:dyDescent="0.3">
      <c r="A1982">
        <v>2167</v>
      </c>
      <c r="B1982" t="s">
        <v>1914</v>
      </c>
      <c r="C1982" t="s">
        <v>2256</v>
      </c>
      <c r="D1982" t="s">
        <v>159</v>
      </c>
      <c r="E1982" t="s">
        <v>159</v>
      </c>
      <c r="F1982">
        <v>5516</v>
      </c>
      <c r="G1982" t="s">
        <v>700</v>
      </c>
      <c r="I1982">
        <v>7046</v>
      </c>
      <c r="J1982">
        <v>7083</v>
      </c>
      <c r="K1982">
        <v>7121</v>
      </c>
      <c r="L1982">
        <v>7140</v>
      </c>
      <c r="M1982">
        <v>7159</v>
      </c>
      <c r="N1982" t="s">
        <v>988</v>
      </c>
    </row>
    <row r="1983" spans="1:14" x14ac:dyDescent="0.3">
      <c r="A1983">
        <v>2166</v>
      </c>
      <c r="B1983" t="s">
        <v>1915</v>
      </c>
      <c r="C1983" t="s">
        <v>2256</v>
      </c>
      <c r="D1983" t="s">
        <v>159</v>
      </c>
      <c r="E1983" t="s">
        <v>159</v>
      </c>
      <c r="F1983">
        <v>6634</v>
      </c>
      <c r="G1983" t="s">
        <v>696</v>
      </c>
      <c r="I1983">
        <v>23318</v>
      </c>
      <c r="J1983">
        <v>23744</v>
      </c>
      <c r="K1983">
        <v>24401</v>
      </c>
      <c r="L1983">
        <v>25069</v>
      </c>
      <c r="M1983">
        <v>25592</v>
      </c>
      <c r="N1983" t="s">
        <v>988</v>
      </c>
    </row>
    <row r="1984" spans="1:14" x14ac:dyDescent="0.3">
      <c r="A1984">
        <v>2166</v>
      </c>
      <c r="B1984" t="s">
        <v>1915</v>
      </c>
      <c r="C1984" t="s">
        <v>2256</v>
      </c>
      <c r="D1984" t="s">
        <v>159</v>
      </c>
      <c r="E1984" t="s">
        <v>159</v>
      </c>
      <c r="F1984">
        <v>6634</v>
      </c>
      <c r="G1984" t="s">
        <v>698</v>
      </c>
      <c r="H1984" t="s">
        <v>1917</v>
      </c>
      <c r="I1984">
        <v>4343</v>
      </c>
      <c r="J1984">
        <v>4423</v>
      </c>
      <c r="K1984">
        <v>4545</v>
      </c>
      <c r="L1984">
        <v>4669</v>
      </c>
      <c r="M1984">
        <v>4767</v>
      </c>
      <c r="N1984" t="s">
        <v>988</v>
      </c>
    </row>
    <row r="1985" spans="1:14" x14ac:dyDescent="0.3">
      <c r="A1985">
        <v>2166</v>
      </c>
      <c r="B1985" t="s">
        <v>1915</v>
      </c>
      <c r="C1985" t="s">
        <v>2256</v>
      </c>
      <c r="D1985" t="s">
        <v>159</v>
      </c>
      <c r="E1985" t="s">
        <v>159</v>
      </c>
      <c r="F1985">
        <v>6634</v>
      </c>
      <c r="G1985" t="s">
        <v>703</v>
      </c>
      <c r="H1985" t="s">
        <v>1230</v>
      </c>
      <c r="I1985">
        <v>1737</v>
      </c>
      <c r="J1985">
        <v>1768</v>
      </c>
      <c r="K1985">
        <v>1817</v>
      </c>
      <c r="L1985">
        <v>1867</v>
      </c>
      <c r="M1985">
        <v>1906</v>
      </c>
      <c r="N1985" t="s">
        <v>988</v>
      </c>
    </row>
    <row r="1986" spans="1:14" x14ac:dyDescent="0.3">
      <c r="A1986">
        <v>2166</v>
      </c>
      <c r="B1986" t="s">
        <v>1915</v>
      </c>
      <c r="C1986" t="s">
        <v>2256</v>
      </c>
      <c r="D1986" t="s">
        <v>159</v>
      </c>
      <c r="E1986" t="s">
        <v>159</v>
      </c>
      <c r="F1986">
        <v>6634</v>
      </c>
      <c r="G1986" t="s">
        <v>701</v>
      </c>
      <c r="I1986">
        <v>4010</v>
      </c>
      <c r="J1986">
        <v>4084</v>
      </c>
      <c r="K1986">
        <v>4197</v>
      </c>
      <c r="L1986">
        <v>4312</v>
      </c>
      <c r="M1986">
        <v>4402</v>
      </c>
      <c r="N1986" t="s">
        <v>988</v>
      </c>
    </row>
    <row r="1987" spans="1:14" x14ac:dyDescent="0.3">
      <c r="A1987">
        <v>2166</v>
      </c>
      <c r="B1987" t="s">
        <v>1915</v>
      </c>
      <c r="C1987" t="s">
        <v>2256</v>
      </c>
      <c r="D1987" t="s">
        <v>159</v>
      </c>
      <c r="E1987" t="s">
        <v>159</v>
      </c>
      <c r="F1987">
        <v>6634</v>
      </c>
      <c r="G1987" t="s">
        <v>700</v>
      </c>
      <c r="I1987">
        <v>5048</v>
      </c>
      <c r="J1987">
        <v>5140</v>
      </c>
      <c r="K1987">
        <v>5282</v>
      </c>
      <c r="L1987">
        <v>5427</v>
      </c>
      <c r="M1987">
        <v>5540</v>
      </c>
      <c r="N1987" t="s">
        <v>988</v>
      </c>
    </row>
    <row r="1988" spans="1:14" x14ac:dyDescent="0.3">
      <c r="A1988">
        <v>2166</v>
      </c>
      <c r="B1988" t="s">
        <v>1915</v>
      </c>
      <c r="C1988" t="s">
        <v>2256</v>
      </c>
      <c r="D1988" t="s">
        <v>159</v>
      </c>
      <c r="E1988" t="s">
        <v>159</v>
      </c>
      <c r="F1988">
        <v>6634</v>
      </c>
      <c r="G1988" t="s">
        <v>702</v>
      </c>
      <c r="H1988" t="s">
        <v>2423</v>
      </c>
      <c r="I1988">
        <v>5691</v>
      </c>
      <c r="J1988">
        <v>5795</v>
      </c>
      <c r="K1988">
        <v>5955</v>
      </c>
      <c r="L1988">
        <v>6118</v>
      </c>
      <c r="M1988">
        <v>6246</v>
      </c>
      <c r="N1988" t="s">
        <v>988</v>
      </c>
    </row>
    <row r="1989" spans="1:14" x14ac:dyDescent="0.3">
      <c r="A1989">
        <v>2166</v>
      </c>
      <c r="B1989" t="s">
        <v>1915</v>
      </c>
      <c r="C1989" t="s">
        <v>2256</v>
      </c>
      <c r="D1989" t="s">
        <v>159</v>
      </c>
      <c r="E1989" t="s">
        <v>159</v>
      </c>
      <c r="F1989">
        <v>6634</v>
      </c>
      <c r="G1989" t="s">
        <v>691</v>
      </c>
      <c r="H1989" t="s">
        <v>1410</v>
      </c>
      <c r="I1989">
        <v>0</v>
      </c>
      <c r="J1989">
        <v>0</v>
      </c>
      <c r="K1989">
        <v>0</v>
      </c>
      <c r="L1989">
        <v>0</v>
      </c>
      <c r="M1989">
        <v>0</v>
      </c>
      <c r="N1989" t="s">
        <v>988</v>
      </c>
    </row>
    <row r="1990" spans="1:14" x14ac:dyDescent="0.3">
      <c r="A1990">
        <v>2166</v>
      </c>
      <c r="B1990" t="s">
        <v>1915</v>
      </c>
      <c r="C1990" t="s">
        <v>2256</v>
      </c>
      <c r="D1990" t="s">
        <v>159</v>
      </c>
      <c r="E1990" t="s">
        <v>159</v>
      </c>
      <c r="F1990">
        <v>6634</v>
      </c>
      <c r="G1990" t="s">
        <v>691</v>
      </c>
      <c r="H1990" t="s">
        <v>1260</v>
      </c>
      <c r="I1990">
        <v>389</v>
      </c>
      <c r="J1990">
        <v>396</v>
      </c>
      <c r="K1990">
        <v>407</v>
      </c>
      <c r="L1990">
        <v>418</v>
      </c>
      <c r="M1990">
        <v>427</v>
      </c>
      <c r="N1990" t="s">
        <v>988</v>
      </c>
    </row>
    <row r="1991" spans="1:14" x14ac:dyDescent="0.3">
      <c r="A1991">
        <v>2166</v>
      </c>
      <c r="B1991" t="s">
        <v>1915</v>
      </c>
      <c r="C1991" t="s">
        <v>2256</v>
      </c>
      <c r="D1991" t="s">
        <v>159</v>
      </c>
      <c r="E1991" t="s">
        <v>159</v>
      </c>
      <c r="F1991">
        <v>6634</v>
      </c>
      <c r="G1991" t="s">
        <v>691</v>
      </c>
      <c r="H1991" t="s">
        <v>1916</v>
      </c>
      <c r="I1991">
        <v>58</v>
      </c>
      <c r="J1991">
        <v>59</v>
      </c>
      <c r="K1991">
        <v>61</v>
      </c>
      <c r="L1991">
        <v>62</v>
      </c>
      <c r="M1991">
        <v>63</v>
      </c>
      <c r="N1991" t="s">
        <v>988</v>
      </c>
    </row>
    <row r="1992" spans="1:14" x14ac:dyDescent="0.3">
      <c r="A1992">
        <v>2169</v>
      </c>
      <c r="B1992" t="s">
        <v>1919</v>
      </c>
      <c r="C1992" t="s">
        <v>2256</v>
      </c>
      <c r="D1992" t="s">
        <v>159</v>
      </c>
      <c r="E1992" t="s">
        <v>159</v>
      </c>
      <c r="F1992">
        <v>5514</v>
      </c>
      <c r="G1992" t="s">
        <v>696</v>
      </c>
      <c r="I1992">
        <v>1352</v>
      </c>
      <c r="J1992">
        <v>1460</v>
      </c>
      <c r="K1992">
        <v>1576</v>
      </c>
      <c r="L1992">
        <v>1702</v>
      </c>
      <c r="M1992">
        <v>1837</v>
      </c>
      <c r="N1992" t="s">
        <v>988</v>
      </c>
    </row>
    <row r="1993" spans="1:14" x14ac:dyDescent="0.3">
      <c r="A1993">
        <v>2169</v>
      </c>
      <c r="B1993" t="s">
        <v>1919</v>
      </c>
      <c r="C1993" t="s">
        <v>2256</v>
      </c>
      <c r="D1993" t="s">
        <v>159</v>
      </c>
      <c r="E1993" t="s">
        <v>159</v>
      </c>
      <c r="F1993">
        <v>5514</v>
      </c>
      <c r="G1993" t="s">
        <v>701</v>
      </c>
      <c r="I1993">
        <v>8</v>
      </c>
      <c r="J1993">
        <v>9</v>
      </c>
      <c r="K1993">
        <v>10</v>
      </c>
      <c r="L1993">
        <v>10</v>
      </c>
      <c r="M1993">
        <v>11</v>
      </c>
      <c r="N1993" t="s">
        <v>988</v>
      </c>
    </row>
    <row r="1994" spans="1:14" x14ac:dyDescent="0.3">
      <c r="A1994">
        <v>2169</v>
      </c>
      <c r="B1994" t="s">
        <v>1919</v>
      </c>
      <c r="C1994" t="s">
        <v>2256</v>
      </c>
      <c r="D1994" t="s">
        <v>159</v>
      </c>
      <c r="E1994" t="s">
        <v>159</v>
      </c>
      <c r="F1994">
        <v>5514</v>
      </c>
      <c r="G1994" t="s">
        <v>703</v>
      </c>
      <c r="I1994">
        <v>259</v>
      </c>
      <c r="J1994">
        <v>280</v>
      </c>
      <c r="K1994">
        <v>302</v>
      </c>
      <c r="L1994">
        <v>327</v>
      </c>
      <c r="M1994">
        <v>353</v>
      </c>
      <c r="N1994" t="s">
        <v>988</v>
      </c>
    </row>
    <row r="1995" spans="1:14" x14ac:dyDescent="0.3">
      <c r="A1995">
        <v>2169</v>
      </c>
      <c r="B1995" t="s">
        <v>1919</v>
      </c>
      <c r="C1995" t="s">
        <v>2256</v>
      </c>
      <c r="D1995" t="s">
        <v>159</v>
      </c>
      <c r="E1995" t="s">
        <v>159</v>
      </c>
      <c r="F1995">
        <v>5514</v>
      </c>
      <c r="G1995" t="s">
        <v>702</v>
      </c>
      <c r="I1995">
        <v>66</v>
      </c>
      <c r="J1995">
        <v>71</v>
      </c>
      <c r="K1995">
        <v>76</v>
      </c>
      <c r="L1995">
        <v>83</v>
      </c>
      <c r="M1995">
        <v>89</v>
      </c>
      <c r="N1995" t="s">
        <v>988</v>
      </c>
    </row>
    <row r="1996" spans="1:14" x14ac:dyDescent="0.3">
      <c r="A1996">
        <v>2169</v>
      </c>
      <c r="B1996" t="s">
        <v>1919</v>
      </c>
      <c r="C1996" t="s">
        <v>2256</v>
      </c>
      <c r="D1996" t="s">
        <v>159</v>
      </c>
      <c r="E1996" t="s">
        <v>159</v>
      </c>
      <c r="F1996">
        <v>5514</v>
      </c>
      <c r="G1996" t="s">
        <v>686</v>
      </c>
      <c r="I1996">
        <v>459</v>
      </c>
      <c r="J1996">
        <v>496</v>
      </c>
      <c r="K1996">
        <v>535</v>
      </c>
      <c r="L1996">
        <v>578</v>
      </c>
      <c r="M1996">
        <v>624</v>
      </c>
      <c r="N1996" t="s">
        <v>987</v>
      </c>
    </row>
    <row r="1997" spans="1:14" x14ac:dyDescent="0.3">
      <c r="A1997">
        <v>2169</v>
      </c>
      <c r="B1997" t="s">
        <v>1919</v>
      </c>
      <c r="C1997" t="s">
        <v>2256</v>
      </c>
      <c r="D1997" t="s">
        <v>159</v>
      </c>
      <c r="E1997" t="s">
        <v>159</v>
      </c>
      <c r="F1997">
        <v>5514</v>
      </c>
      <c r="G1997" t="s">
        <v>684</v>
      </c>
      <c r="I1997">
        <v>27</v>
      </c>
      <c r="J1997">
        <v>29</v>
      </c>
      <c r="K1997">
        <v>31</v>
      </c>
      <c r="L1997">
        <v>34</v>
      </c>
      <c r="M1997">
        <v>36</v>
      </c>
      <c r="N1997" t="s">
        <v>987</v>
      </c>
    </row>
    <row r="1998" spans="1:14" x14ac:dyDescent="0.3">
      <c r="A1998">
        <v>2169</v>
      </c>
      <c r="B1998" t="s">
        <v>1919</v>
      </c>
      <c r="C1998" t="s">
        <v>2256</v>
      </c>
      <c r="D1998" t="s">
        <v>159</v>
      </c>
      <c r="E1998" t="s">
        <v>159</v>
      </c>
      <c r="F1998">
        <v>5514</v>
      </c>
      <c r="G1998" t="s">
        <v>700</v>
      </c>
      <c r="I1998">
        <v>369</v>
      </c>
      <c r="J1998">
        <v>398</v>
      </c>
      <c r="K1998">
        <v>430</v>
      </c>
      <c r="L1998">
        <v>464</v>
      </c>
      <c r="M1998">
        <v>501</v>
      </c>
      <c r="N1998" t="s">
        <v>987</v>
      </c>
    </row>
    <row r="1999" spans="1:14" x14ac:dyDescent="0.3">
      <c r="A1999">
        <v>2169</v>
      </c>
      <c r="B1999" t="s">
        <v>1919</v>
      </c>
      <c r="C1999" t="s">
        <v>2256</v>
      </c>
      <c r="D1999" t="s">
        <v>159</v>
      </c>
      <c r="E1999" t="s">
        <v>159</v>
      </c>
      <c r="F1999">
        <v>5514</v>
      </c>
      <c r="G1999" t="s">
        <v>698</v>
      </c>
      <c r="I1999">
        <v>507</v>
      </c>
      <c r="J1999">
        <v>547</v>
      </c>
      <c r="K1999">
        <v>591</v>
      </c>
      <c r="L1999">
        <v>638</v>
      </c>
      <c r="M1999">
        <v>689</v>
      </c>
      <c r="N1999" t="s">
        <v>987</v>
      </c>
    </row>
    <row r="2000" spans="1:14" x14ac:dyDescent="0.3">
      <c r="A2000">
        <v>2174</v>
      </c>
      <c r="B2000" t="s">
        <v>1920</v>
      </c>
      <c r="C2000" t="s">
        <v>2256</v>
      </c>
      <c r="D2000" t="s">
        <v>159</v>
      </c>
      <c r="E2000" t="s">
        <v>159</v>
      </c>
      <c r="F2000">
        <v>7800</v>
      </c>
      <c r="G2000" t="s">
        <v>696</v>
      </c>
      <c r="I2000">
        <v>9107</v>
      </c>
      <c r="J2000">
        <v>10293</v>
      </c>
      <c r="K2000">
        <v>10917</v>
      </c>
      <c r="L2000">
        <v>12338</v>
      </c>
      <c r="M2000">
        <v>12621</v>
      </c>
      <c r="N2000" t="s">
        <v>987</v>
      </c>
    </row>
    <row r="2001" spans="1:14" x14ac:dyDescent="0.3">
      <c r="A2001">
        <v>2174</v>
      </c>
      <c r="B2001" t="s">
        <v>1920</v>
      </c>
      <c r="C2001" t="s">
        <v>2256</v>
      </c>
      <c r="D2001" t="s">
        <v>159</v>
      </c>
      <c r="E2001" t="s">
        <v>159</v>
      </c>
      <c r="F2001">
        <v>7800</v>
      </c>
      <c r="G2001" t="s">
        <v>698</v>
      </c>
      <c r="I2001">
        <v>2932</v>
      </c>
      <c r="J2001">
        <v>3171</v>
      </c>
      <c r="K2001">
        <v>3463</v>
      </c>
      <c r="L2001">
        <v>3763</v>
      </c>
      <c r="M2001">
        <v>3849</v>
      </c>
      <c r="N2001" t="s">
        <v>987</v>
      </c>
    </row>
    <row r="2002" spans="1:14" x14ac:dyDescent="0.3">
      <c r="A2002">
        <v>2174</v>
      </c>
      <c r="B2002" t="s">
        <v>1920</v>
      </c>
      <c r="C2002" t="s">
        <v>2256</v>
      </c>
      <c r="D2002" t="s">
        <v>159</v>
      </c>
      <c r="E2002" t="s">
        <v>159</v>
      </c>
      <c r="F2002">
        <v>7800</v>
      </c>
      <c r="G2002" t="s">
        <v>700</v>
      </c>
      <c r="I2002">
        <v>1642</v>
      </c>
      <c r="J2002">
        <v>1920</v>
      </c>
      <c r="K2002">
        <v>2436</v>
      </c>
      <c r="L2002">
        <v>3376</v>
      </c>
      <c r="M2002">
        <v>3446</v>
      </c>
      <c r="N2002" t="s">
        <v>987</v>
      </c>
    </row>
    <row r="2003" spans="1:14" x14ac:dyDescent="0.3">
      <c r="A2003">
        <v>2174</v>
      </c>
      <c r="B2003" t="s">
        <v>1920</v>
      </c>
      <c r="C2003" t="s">
        <v>2256</v>
      </c>
      <c r="D2003" t="s">
        <v>159</v>
      </c>
      <c r="E2003" t="s">
        <v>159</v>
      </c>
      <c r="F2003">
        <v>7800</v>
      </c>
      <c r="G2003" t="s">
        <v>701</v>
      </c>
      <c r="I2003">
        <v>2562</v>
      </c>
      <c r="J2003">
        <v>3197</v>
      </c>
      <c r="K2003">
        <v>4086</v>
      </c>
      <c r="L2003">
        <v>5546</v>
      </c>
      <c r="M2003">
        <v>5665</v>
      </c>
      <c r="N2003" t="s">
        <v>987</v>
      </c>
    </row>
    <row r="2004" spans="1:14" x14ac:dyDescent="0.3">
      <c r="A2004">
        <v>2174</v>
      </c>
      <c r="B2004" t="s">
        <v>1920</v>
      </c>
      <c r="C2004" t="s">
        <v>2256</v>
      </c>
      <c r="D2004" t="s">
        <v>159</v>
      </c>
      <c r="E2004" t="s">
        <v>159</v>
      </c>
      <c r="F2004">
        <v>7800</v>
      </c>
      <c r="G2004" t="s">
        <v>703</v>
      </c>
      <c r="I2004">
        <v>208</v>
      </c>
      <c r="J2004">
        <v>239</v>
      </c>
      <c r="K2004">
        <v>286</v>
      </c>
      <c r="L2004">
        <v>356</v>
      </c>
      <c r="M2004">
        <v>365</v>
      </c>
      <c r="N2004" t="s">
        <v>987</v>
      </c>
    </row>
    <row r="2005" spans="1:14" x14ac:dyDescent="0.3">
      <c r="A2005">
        <v>2174</v>
      </c>
      <c r="B2005" t="s">
        <v>1920</v>
      </c>
      <c r="C2005" t="s">
        <v>2256</v>
      </c>
      <c r="D2005" t="s">
        <v>159</v>
      </c>
      <c r="E2005" t="s">
        <v>159</v>
      </c>
      <c r="F2005">
        <v>7800</v>
      </c>
      <c r="G2005" t="s">
        <v>686</v>
      </c>
      <c r="I2005">
        <v>1228</v>
      </c>
      <c r="J2005">
        <v>1406</v>
      </c>
      <c r="K2005">
        <v>1569</v>
      </c>
      <c r="L2005">
        <v>1852</v>
      </c>
      <c r="M2005">
        <v>1894</v>
      </c>
      <c r="N2005" t="s">
        <v>987</v>
      </c>
    </row>
    <row r="2006" spans="1:14" x14ac:dyDescent="0.3">
      <c r="A2006">
        <v>2174</v>
      </c>
      <c r="B2006" t="s">
        <v>1920</v>
      </c>
      <c r="C2006" t="s">
        <v>2256</v>
      </c>
      <c r="D2006" t="s">
        <v>159</v>
      </c>
      <c r="E2006" t="s">
        <v>159</v>
      </c>
      <c r="F2006">
        <v>7800</v>
      </c>
      <c r="G2006" t="s">
        <v>702</v>
      </c>
      <c r="H2006" t="s">
        <v>1275</v>
      </c>
      <c r="I2006">
        <v>3401</v>
      </c>
      <c r="J2006">
        <v>3930</v>
      </c>
      <c r="K2006">
        <v>4586</v>
      </c>
      <c r="L2006">
        <v>5584</v>
      </c>
      <c r="M2006">
        <v>5712</v>
      </c>
      <c r="N2006" t="s">
        <v>987</v>
      </c>
    </row>
    <row r="2007" spans="1:14" x14ac:dyDescent="0.3">
      <c r="A2007">
        <v>2175</v>
      </c>
      <c r="B2007" t="s">
        <v>1921</v>
      </c>
      <c r="C2007" t="s">
        <v>2256</v>
      </c>
      <c r="D2007" t="s">
        <v>159</v>
      </c>
      <c r="E2007" t="s">
        <v>159</v>
      </c>
      <c r="F2007">
        <v>5725</v>
      </c>
      <c r="G2007" t="s">
        <v>705</v>
      </c>
      <c r="H2007" t="s">
        <v>2424</v>
      </c>
      <c r="I2007">
        <v>7</v>
      </c>
      <c r="J2007">
        <v>7</v>
      </c>
      <c r="K2007">
        <v>7</v>
      </c>
      <c r="L2007">
        <v>8</v>
      </c>
      <c r="M2007">
        <v>8</v>
      </c>
      <c r="N2007" t="s">
        <v>988</v>
      </c>
    </row>
    <row r="2008" spans="1:14" x14ac:dyDescent="0.3">
      <c r="A2008">
        <v>2175</v>
      </c>
      <c r="B2008" t="s">
        <v>1921</v>
      </c>
      <c r="C2008" t="s">
        <v>2256</v>
      </c>
      <c r="D2008" t="s">
        <v>159</v>
      </c>
      <c r="E2008" t="s">
        <v>159</v>
      </c>
      <c r="F2008">
        <v>5725</v>
      </c>
      <c r="G2008" t="s">
        <v>698</v>
      </c>
      <c r="I2008">
        <v>11519</v>
      </c>
      <c r="J2008">
        <v>11488</v>
      </c>
      <c r="K2008">
        <v>11505</v>
      </c>
      <c r="L2008">
        <v>11783</v>
      </c>
      <c r="M2008">
        <v>12043</v>
      </c>
      <c r="N2008" t="s">
        <v>988</v>
      </c>
    </row>
    <row r="2009" spans="1:14" x14ac:dyDescent="0.3">
      <c r="A2009">
        <v>2175</v>
      </c>
      <c r="B2009" t="s">
        <v>1921</v>
      </c>
      <c r="C2009" t="s">
        <v>2256</v>
      </c>
      <c r="D2009" t="s">
        <v>159</v>
      </c>
      <c r="E2009" t="s">
        <v>159</v>
      </c>
      <c r="F2009">
        <v>5725</v>
      </c>
      <c r="G2009" t="s">
        <v>696</v>
      </c>
      <c r="I2009">
        <v>17556</v>
      </c>
      <c r="J2009">
        <v>17556</v>
      </c>
      <c r="K2009">
        <v>17657</v>
      </c>
      <c r="L2009">
        <v>17730</v>
      </c>
      <c r="M2009">
        <v>17775</v>
      </c>
      <c r="N2009" t="s">
        <v>988</v>
      </c>
    </row>
    <row r="2010" spans="1:14" x14ac:dyDescent="0.3">
      <c r="A2010">
        <v>2175</v>
      </c>
      <c r="B2010" t="s">
        <v>1921</v>
      </c>
      <c r="C2010" t="s">
        <v>2256</v>
      </c>
      <c r="D2010" t="s">
        <v>159</v>
      </c>
      <c r="E2010" t="s">
        <v>159</v>
      </c>
      <c r="F2010">
        <v>5725</v>
      </c>
      <c r="G2010" t="s">
        <v>700</v>
      </c>
      <c r="I2010">
        <v>5895</v>
      </c>
      <c r="J2010">
        <v>5889</v>
      </c>
      <c r="K2010">
        <v>5913</v>
      </c>
      <c r="L2010">
        <v>5984</v>
      </c>
      <c r="M2010">
        <v>6045</v>
      </c>
      <c r="N2010" t="s">
        <v>988</v>
      </c>
    </row>
    <row r="2011" spans="1:14" x14ac:dyDescent="0.3">
      <c r="A2011">
        <v>2175</v>
      </c>
      <c r="B2011" t="s">
        <v>1921</v>
      </c>
      <c r="C2011" t="s">
        <v>2256</v>
      </c>
      <c r="D2011" t="s">
        <v>159</v>
      </c>
      <c r="E2011" t="s">
        <v>159</v>
      </c>
      <c r="F2011">
        <v>5725</v>
      </c>
      <c r="G2011" t="s">
        <v>701</v>
      </c>
      <c r="I2011">
        <v>234</v>
      </c>
      <c r="J2011">
        <v>234</v>
      </c>
      <c r="K2011">
        <v>235</v>
      </c>
      <c r="L2011">
        <v>238</v>
      </c>
      <c r="M2011">
        <v>240</v>
      </c>
      <c r="N2011" t="s">
        <v>988</v>
      </c>
    </row>
    <row r="2012" spans="1:14" x14ac:dyDescent="0.3">
      <c r="A2012">
        <v>2175</v>
      </c>
      <c r="B2012" t="s">
        <v>1921</v>
      </c>
      <c r="C2012" t="s">
        <v>2256</v>
      </c>
      <c r="D2012" t="s">
        <v>159</v>
      </c>
      <c r="E2012" t="s">
        <v>159</v>
      </c>
      <c r="F2012">
        <v>5725</v>
      </c>
      <c r="G2012" t="s">
        <v>703</v>
      </c>
      <c r="I2012">
        <v>2156</v>
      </c>
      <c r="J2012">
        <v>2153</v>
      </c>
      <c r="K2012">
        <v>2162</v>
      </c>
      <c r="L2012">
        <v>2188</v>
      </c>
      <c r="M2012">
        <v>2211</v>
      </c>
      <c r="N2012" t="s">
        <v>988</v>
      </c>
    </row>
    <row r="2013" spans="1:14" x14ac:dyDescent="0.3">
      <c r="A2013">
        <v>2175</v>
      </c>
      <c r="B2013" t="s">
        <v>1921</v>
      </c>
      <c r="C2013" t="s">
        <v>2256</v>
      </c>
      <c r="D2013" t="s">
        <v>159</v>
      </c>
      <c r="E2013" t="s">
        <v>159</v>
      </c>
      <c r="F2013">
        <v>5725</v>
      </c>
      <c r="G2013" t="s">
        <v>702</v>
      </c>
      <c r="I2013">
        <v>2598</v>
      </c>
      <c r="J2013">
        <v>2595</v>
      </c>
      <c r="K2013">
        <v>2605</v>
      </c>
      <c r="L2013">
        <v>2637</v>
      </c>
      <c r="M2013">
        <v>2664</v>
      </c>
      <c r="N2013" t="s">
        <v>988</v>
      </c>
    </row>
    <row r="2014" spans="1:14" x14ac:dyDescent="0.3">
      <c r="A2014">
        <v>2175</v>
      </c>
      <c r="B2014" t="s">
        <v>1921</v>
      </c>
      <c r="C2014" t="s">
        <v>2256</v>
      </c>
      <c r="D2014" t="s">
        <v>159</v>
      </c>
      <c r="E2014" t="s">
        <v>159</v>
      </c>
      <c r="F2014">
        <v>5725</v>
      </c>
      <c r="G2014" t="s">
        <v>705</v>
      </c>
      <c r="H2014" t="s">
        <v>1925</v>
      </c>
      <c r="I2014">
        <v>178</v>
      </c>
      <c r="J2014">
        <v>178</v>
      </c>
      <c r="K2014">
        <v>179</v>
      </c>
      <c r="L2014">
        <v>181</v>
      </c>
      <c r="M2014">
        <v>183</v>
      </c>
      <c r="N2014" t="s">
        <v>988</v>
      </c>
    </row>
    <row r="2015" spans="1:14" x14ac:dyDescent="0.3">
      <c r="A2015">
        <v>2175</v>
      </c>
      <c r="B2015" t="s">
        <v>1921</v>
      </c>
      <c r="C2015" t="s">
        <v>2256</v>
      </c>
      <c r="D2015" t="s">
        <v>159</v>
      </c>
      <c r="E2015" t="s">
        <v>159</v>
      </c>
      <c r="F2015">
        <v>5725</v>
      </c>
      <c r="G2015" t="s">
        <v>686</v>
      </c>
      <c r="I2015">
        <v>3032</v>
      </c>
      <c r="J2015">
        <v>3029</v>
      </c>
      <c r="K2015">
        <v>3041</v>
      </c>
      <c r="L2015">
        <v>3077</v>
      </c>
      <c r="M2015">
        <v>3109</v>
      </c>
      <c r="N2015" t="s">
        <v>988</v>
      </c>
    </row>
    <row r="2016" spans="1:14" x14ac:dyDescent="0.3">
      <c r="A2016">
        <v>2175</v>
      </c>
      <c r="B2016" t="s">
        <v>1921</v>
      </c>
      <c r="C2016" t="s">
        <v>2256</v>
      </c>
      <c r="D2016" t="s">
        <v>159</v>
      </c>
      <c r="E2016" t="s">
        <v>159</v>
      </c>
      <c r="F2016">
        <v>5725</v>
      </c>
      <c r="G2016" t="s">
        <v>691</v>
      </c>
      <c r="H2016" t="s">
        <v>2425</v>
      </c>
      <c r="I2016">
        <v>82</v>
      </c>
      <c r="J2016">
        <v>82</v>
      </c>
      <c r="K2016">
        <v>82</v>
      </c>
      <c r="L2016">
        <v>83</v>
      </c>
      <c r="M2016">
        <v>84</v>
      </c>
      <c r="N2016" t="s">
        <v>988</v>
      </c>
    </row>
    <row r="2017" spans="1:14" x14ac:dyDescent="0.3">
      <c r="A2017">
        <v>2175</v>
      </c>
      <c r="B2017" t="s">
        <v>1921</v>
      </c>
      <c r="C2017" t="s">
        <v>2256</v>
      </c>
      <c r="D2017" t="s">
        <v>159</v>
      </c>
      <c r="E2017" t="s">
        <v>159</v>
      </c>
      <c r="F2017">
        <v>5725</v>
      </c>
      <c r="G2017" t="s">
        <v>691</v>
      </c>
      <c r="H2017" t="s">
        <v>2426</v>
      </c>
      <c r="I2017">
        <v>54</v>
      </c>
      <c r="J2017">
        <v>54</v>
      </c>
      <c r="K2017">
        <v>54</v>
      </c>
      <c r="L2017">
        <v>54</v>
      </c>
      <c r="M2017">
        <v>54</v>
      </c>
      <c r="N2017" t="s">
        <v>988</v>
      </c>
    </row>
    <row r="2018" spans="1:14" x14ac:dyDescent="0.3">
      <c r="A2018">
        <v>2179</v>
      </c>
      <c r="B2018" t="s">
        <v>774</v>
      </c>
      <c r="C2018" t="s">
        <v>2256</v>
      </c>
      <c r="D2018" t="s">
        <v>1203</v>
      </c>
      <c r="E2018" t="s">
        <v>1204</v>
      </c>
      <c r="F2018">
        <v>5657</v>
      </c>
      <c r="G2018" t="s">
        <v>691</v>
      </c>
      <c r="H2018" t="s">
        <v>2427</v>
      </c>
      <c r="I2018">
        <v>11300</v>
      </c>
      <c r="J2018">
        <v>11400</v>
      </c>
      <c r="K2018">
        <v>11300</v>
      </c>
      <c r="L2018">
        <v>11400</v>
      </c>
      <c r="M2018">
        <v>11500</v>
      </c>
      <c r="N2018" t="s">
        <v>988</v>
      </c>
    </row>
    <row r="2019" spans="1:14" x14ac:dyDescent="0.3">
      <c r="A2019">
        <v>2180</v>
      </c>
      <c r="B2019" t="s">
        <v>1927</v>
      </c>
      <c r="C2019" t="s">
        <v>2256</v>
      </c>
      <c r="D2019" t="s">
        <v>1203</v>
      </c>
      <c r="E2019" t="s">
        <v>1204</v>
      </c>
      <c r="F2019">
        <v>5535</v>
      </c>
      <c r="G2019" t="s">
        <v>687</v>
      </c>
      <c r="H2019" t="s">
        <v>1129</v>
      </c>
      <c r="I2019">
        <v>6</v>
      </c>
      <c r="J2019">
        <v>6</v>
      </c>
      <c r="K2019">
        <v>6</v>
      </c>
      <c r="L2019">
        <v>6</v>
      </c>
      <c r="M2019">
        <v>6</v>
      </c>
      <c r="N2019" t="s">
        <v>988</v>
      </c>
    </row>
    <row r="2020" spans="1:14" x14ac:dyDescent="0.3">
      <c r="A2020">
        <v>2180</v>
      </c>
      <c r="B2020" t="s">
        <v>1927</v>
      </c>
      <c r="C2020" t="s">
        <v>2256</v>
      </c>
      <c r="D2020" t="s">
        <v>1203</v>
      </c>
      <c r="E2020" t="s">
        <v>1204</v>
      </c>
      <c r="F2020">
        <v>5535</v>
      </c>
      <c r="G2020" t="s">
        <v>702</v>
      </c>
      <c r="I2020">
        <v>9</v>
      </c>
      <c r="J2020">
        <v>9</v>
      </c>
      <c r="K2020">
        <v>9</v>
      </c>
      <c r="L2020">
        <v>9</v>
      </c>
      <c r="M2020">
        <v>9</v>
      </c>
      <c r="N2020" t="s">
        <v>987</v>
      </c>
    </row>
    <row r="2021" spans="1:14" x14ac:dyDescent="0.3">
      <c r="A2021">
        <v>2180</v>
      </c>
      <c r="B2021" t="s">
        <v>1927</v>
      </c>
      <c r="C2021" t="s">
        <v>2256</v>
      </c>
      <c r="D2021" t="s">
        <v>1203</v>
      </c>
      <c r="E2021" t="s">
        <v>1204</v>
      </c>
      <c r="F2021">
        <v>5535</v>
      </c>
      <c r="G2021" t="s">
        <v>687</v>
      </c>
      <c r="H2021" t="s">
        <v>1928</v>
      </c>
      <c r="I2021">
        <v>141</v>
      </c>
      <c r="J2021">
        <v>143</v>
      </c>
      <c r="K2021">
        <v>144</v>
      </c>
      <c r="L2021">
        <v>145</v>
      </c>
      <c r="M2021">
        <v>146</v>
      </c>
      <c r="N2021" t="s">
        <v>987</v>
      </c>
    </row>
    <row r="2022" spans="1:14" x14ac:dyDescent="0.3">
      <c r="A2022">
        <v>2180</v>
      </c>
      <c r="B2022" t="s">
        <v>1927</v>
      </c>
      <c r="C2022" t="s">
        <v>2256</v>
      </c>
      <c r="D2022" t="s">
        <v>1203</v>
      </c>
      <c r="E2022" t="s">
        <v>1204</v>
      </c>
      <c r="F2022">
        <v>5535</v>
      </c>
      <c r="G2022" t="s">
        <v>686</v>
      </c>
      <c r="I2022">
        <v>589</v>
      </c>
      <c r="J2022">
        <v>594</v>
      </c>
      <c r="K2022">
        <v>598</v>
      </c>
      <c r="L2022">
        <v>603</v>
      </c>
      <c r="M2022">
        <v>607</v>
      </c>
      <c r="N2022" t="s">
        <v>987</v>
      </c>
    </row>
    <row r="2023" spans="1:14" x14ac:dyDescent="0.3">
      <c r="A2023">
        <v>2180</v>
      </c>
      <c r="B2023" t="s">
        <v>1927</v>
      </c>
      <c r="C2023" t="s">
        <v>2256</v>
      </c>
      <c r="D2023" t="s">
        <v>1203</v>
      </c>
      <c r="E2023" t="s">
        <v>1204</v>
      </c>
      <c r="F2023">
        <v>5535</v>
      </c>
      <c r="G2023" t="s">
        <v>698</v>
      </c>
      <c r="I2023">
        <v>258</v>
      </c>
      <c r="J2023">
        <v>259</v>
      </c>
      <c r="K2023">
        <v>261</v>
      </c>
      <c r="L2023">
        <v>263</v>
      </c>
      <c r="M2023">
        <v>265</v>
      </c>
      <c r="N2023" t="s">
        <v>987</v>
      </c>
    </row>
    <row r="2024" spans="1:14" x14ac:dyDescent="0.3">
      <c r="A2024">
        <v>2180</v>
      </c>
      <c r="B2024" t="s">
        <v>1927</v>
      </c>
      <c r="C2024" t="s">
        <v>2256</v>
      </c>
      <c r="D2024" t="s">
        <v>1203</v>
      </c>
      <c r="E2024" t="s">
        <v>1204</v>
      </c>
      <c r="F2024">
        <v>5535</v>
      </c>
      <c r="G2024" t="s">
        <v>696</v>
      </c>
      <c r="I2024">
        <v>1207</v>
      </c>
      <c r="J2024">
        <v>1216</v>
      </c>
      <c r="K2024">
        <v>1225</v>
      </c>
      <c r="L2024">
        <v>1235</v>
      </c>
      <c r="M2024">
        <v>1244</v>
      </c>
      <c r="N2024" t="s">
        <v>987</v>
      </c>
    </row>
    <row r="2025" spans="1:14" x14ac:dyDescent="0.3">
      <c r="A2025">
        <v>2182</v>
      </c>
      <c r="B2025" t="s">
        <v>1929</v>
      </c>
      <c r="C2025" t="s">
        <v>2256</v>
      </c>
      <c r="D2025" t="s">
        <v>159</v>
      </c>
      <c r="E2025" t="s">
        <v>159</v>
      </c>
      <c r="F2025">
        <v>6091</v>
      </c>
      <c r="G2025" t="s">
        <v>687</v>
      </c>
      <c r="H2025" t="s">
        <v>1930</v>
      </c>
      <c r="I2025">
        <v>1278</v>
      </c>
      <c r="J2025">
        <v>1343</v>
      </c>
      <c r="K2025">
        <v>1424</v>
      </c>
      <c r="L2025">
        <v>1497</v>
      </c>
      <c r="N2025" t="s">
        <v>988</v>
      </c>
    </row>
    <row r="2026" spans="1:14" x14ac:dyDescent="0.3">
      <c r="A2026">
        <v>2182</v>
      </c>
      <c r="B2026" t="s">
        <v>1929</v>
      </c>
      <c r="C2026" t="s">
        <v>2256</v>
      </c>
      <c r="D2026" t="s">
        <v>159</v>
      </c>
      <c r="E2026" t="s">
        <v>159</v>
      </c>
      <c r="F2026">
        <v>6091</v>
      </c>
      <c r="G2026" t="s">
        <v>687</v>
      </c>
      <c r="H2026" t="s">
        <v>2428</v>
      </c>
      <c r="I2026">
        <v>7</v>
      </c>
      <c r="J2026">
        <v>7</v>
      </c>
      <c r="K2026">
        <v>8</v>
      </c>
      <c r="L2026">
        <v>8</v>
      </c>
      <c r="N2026" t="s">
        <v>988</v>
      </c>
    </row>
    <row r="2027" spans="1:14" x14ac:dyDescent="0.3">
      <c r="A2027">
        <v>2182</v>
      </c>
      <c r="B2027" t="s">
        <v>1929</v>
      </c>
      <c r="C2027" t="s">
        <v>2256</v>
      </c>
      <c r="D2027" t="s">
        <v>159</v>
      </c>
      <c r="E2027" t="s">
        <v>159</v>
      </c>
      <c r="F2027">
        <v>6091</v>
      </c>
      <c r="G2027" t="s">
        <v>702</v>
      </c>
      <c r="I2027">
        <v>538</v>
      </c>
      <c r="J2027">
        <v>565</v>
      </c>
      <c r="K2027">
        <v>600</v>
      </c>
      <c r="L2027">
        <v>630</v>
      </c>
      <c r="N2027" t="s">
        <v>988</v>
      </c>
    </row>
    <row r="2028" spans="1:14" x14ac:dyDescent="0.3">
      <c r="A2028">
        <v>2182</v>
      </c>
      <c r="B2028" t="s">
        <v>1929</v>
      </c>
      <c r="C2028" t="s">
        <v>2256</v>
      </c>
      <c r="D2028" t="s">
        <v>159</v>
      </c>
      <c r="E2028" t="s">
        <v>159</v>
      </c>
      <c r="F2028">
        <v>6091</v>
      </c>
      <c r="G2028" t="s">
        <v>686</v>
      </c>
      <c r="I2028">
        <v>666</v>
      </c>
      <c r="J2028">
        <v>700</v>
      </c>
      <c r="K2028">
        <v>742</v>
      </c>
      <c r="L2028">
        <v>780</v>
      </c>
      <c r="N2028" t="s">
        <v>988</v>
      </c>
    </row>
    <row r="2029" spans="1:14" x14ac:dyDescent="0.3">
      <c r="A2029">
        <v>2182</v>
      </c>
      <c r="B2029" t="s">
        <v>1929</v>
      </c>
      <c r="C2029" t="s">
        <v>2256</v>
      </c>
      <c r="D2029" t="s">
        <v>159</v>
      </c>
      <c r="E2029" t="s">
        <v>159</v>
      </c>
      <c r="F2029">
        <v>6091</v>
      </c>
      <c r="G2029" t="s">
        <v>698</v>
      </c>
      <c r="I2029">
        <v>1345</v>
      </c>
      <c r="J2029">
        <v>1414</v>
      </c>
      <c r="K2029">
        <v>1499</v>
      </c>
      <c r="L2029">
        <v>1576</v>
      </c>
      <c r="N2029" t="s">
        <v>988</v>
      </c>
    </row>
    <row r="2030" spans="1:14" x14ac:dyDescent="0.3">
      <c r="A2030">
        <v>2182</v>
      </c>
      <c r="B2030" t="s">
        <v>1929</v>
      </c>
      <c r="C2030" t="s">
        <v>2256</v>
      </c>
      <c r="D2030" t="s">
        <v>159</v>
      </c>
      <c r="E2030" t="s">
        <v>159</v>
      </c>
      <c r="F2030">
        <v>6091</v>
      </c>
      <c r="G2030" t="s">
        <v>696</v>
      </c>
      <c r="I2030">
        <v>2892</v>
      </c>
      <c r="J2030">
        <v>3039</v>
      </c>
      <c r="K2030">
        <v>3223</v>
      </c>
      <c r="L2030">
        <v>3388</v>
      </c>
      <c r="N2030" t="s">
        <v>988</v>
      </c>
    </row>
    <row r="2031" spans="1:14" x14ac:dyDescent="0.3">
      <c r="A2031">
        <v>2205</v>
      </c>
      <c r="B2031" t="s">
        <v>1931</v>
      </c>
      <c r="C2031" t="s">
        <v>2256</v>
      </c>
      <c r="D2031" t="s">
        <v>1203</v>
      </c>
      <c r="E2031" t="s">
        <v>1204</v>
      </c>
      <c r="F2031">
        <v>7516</v>
      </c>
      <c r="G2031" t="s">
        <v>686</v>
      </c>
      <c r="I2031">
        <v>196.51</v>
      </c>
      <c r="J2031">
        <v>196.51</v>
      </c>
      <c r="K2031">
        <v>196.51</v>
      </c>
      <c r="L2031">
        <v>196.51</v>
      </c>
      <c r="M2031">
        <v>196.51</v>
      </c>
      <c r="N2031" t="s">
        <v>988</v>
      </c>
    </row>
    <row r="2032" spans="1:14" x14ac:dyDescent="0.3">
      <c r="A2032">
        <v>2205</v>
      </c>
      <c r="B2032" t="s">
        <v>1931</v>
      </c>
      <c r="C2032" t="s">
        <v>2256</v>
      </c>
      <c r="D2032" t="s">
        <v>1203</v>
      </c>
      <c r="E2032" t="s">
        <v>1204</v>
      </c>
      <c r="F2032">
        <v>7516</v>
      </c>
      <c r="G2032" t="s">
        <v>701</v>
      </c>
      <c r="I2032">
        <v>408.45</v>
      </c>
      <c r="J2032">
        <v>444.77</v>
      </c>
      <c r="K2032">
        <v>484.32</v>
      </c>
      <c r="L2032">
        <v>527.39</v>
      </c>
      <c r="M2032">
        <v>574.29</v>
      </c>
      <c r="N2032" t="s">
        <v>988</v>
      </c>
    </row>
    <row r="2033" spans="1:14" x14ac:dyDescent="0.3">
      <c r="A2033">
        <v>2205</v>
      </c>
      <c r="B2033" t="s">
        <v>1931</v>
      </c>
      <c r="C2033" t="s">
        <v>2256</v>
      </c>
      <c r="D2033" t="s">
        <v>1203</v>
      </c>
      <c r="E2033" t="s">
        <v>1204</v>
      </c>
      <c r="F2033">
        <v>7516</v>
      </c>
      <c r="G2033" t="s">
        <v>696</v>
      </c>
      <c r="I2033">
        <v>1279.1600000000001</v>
      </c>
      <c r="J2033">
        <v>1392.9</v>
      </c>
      <c r="K2033">
        <v>1516.76</v>
      </c>
      <c r="L2033">
        <v>1651.63</v>
      </c>
      <c r="M2033">
        <v>1798.49</v>
      </c>
      <c r="N2033" t="s">
        <v>988</v>
      </c>
    </row>
    <row r="2034" spans="1:14" x14ac:dyDescent="0.3">
      <c r="A2034">
        <v>2205</v>
      </c>
      <c r="B2034" t="s">
        <v>1931</v>
      </c>
      <c r="C2034" t="s">
        <v>2256</v>
      </c>
      <c r="D2034" t="s">
        <v>1203</v>
      </c>
      <c r="E2034" t="s">
        <v>1204</v>
      </c>
      <c r="F2034">
        <v>7516</v>
      </c>
      <c r="G2034" t="s">
        <v>698</v>
      </c>
      <c r="I2034">
        <v>87.8</v>
      </c>
      <c r="J2034">
        <v>95.61</v>
      </c>
      <c r="K2034">
        <v>104.11</v>
      </c>
      <c r="L2034">
        <v>113.37</v>
      </c>
      <c r="M2034">
        <v>123.45</v>
      </c>
      <c r="N2034" t="s">
        <v>988</v>
      </c>
    </row>
    <row r="2035" spans="1:14" x14ac:dyDescent="0.3">
      <c r="A2035">
        <v>2205</v>
      </c>
      <c r="B2035" t="s">
        <v>1931</v>
      </c>
      <c r="C2035" t="s">
        <v>2256</v>
      </c>
      <c r="D2035" t="s">
        <v>1203</v>
      </c>
      <c r="E2035" t="s">
        <v>1204</v>
      </c>
      <c r="F2035">
        <v>7516</v>
      </c>
      <c r="G2035" t="s">
        <v>700</v>
      </c>
      <c r="I2035">
        <v>257.45</v>
      </c>
      <c r="J2035">
        <v>280.35000000000002</v>
      </c>
      <c r="K2035">
        <v>305.27999999999997</v>
      </c>
      <c r="L2035">
        <v>332.42</v>
      </c>
      <c r="M2035">
        <v>361.98</v>
      </c>
      <c r="N2035" t="s">
        <v>988</v>
      </c>
    </row>
    <row r="2036" spans="1:14" x14ac:dyDescent="0.3">
      <c r="A2036">
        <v>2207</v>
      </c>
      <c r="B2036" t="s">
        <v>1936</v>
      </c>
      <c r="C2036" t="s">
        <v>2256</v>
      </c>
      <c r="D2036" t="s">
        <v>159</v>
      </c>
      <c r="E2036" t="s">
        <v>159</v>
      </c>
      <c r="F2036">
        <v>7855</v>
      </c>
      <c r="G2036" t="s">
        <v>698</v>
      </c>
      <c r="I2036">
        <v>10648.4</v>
      </c>
      <c r="J2036">
        <v>10415</v>
      </c>
      <c r="K2036">
        <v>10211</v>
      </c>
      <c r="L2036">
        <v>9975.5</v>
      </c>
      <c r="M2036">
        <v>9967.4</v>
      </c>
      <c r="N2036" t="s">
        <v>988</v>
      </c>
    </row>
    <row r="2037" spans="1:14" x14ac:dyDescent="0.3">
      <c r="A2037">
        <v>2207</v>
      </c>
      <c r="B2037" t="s">
        <v>1936</v>
      </c>
      <c r="C2037" t="s">
        <v>2256</v>
      </c>
      <c r="D2037" t="s">
        <v>159</v>
      </c>
      <c r="E2037" t="s">
        <v>159</v>
      </c>
      <c r="F2037">
        <v>7855</v>
      </c>
      <c r="G2037" t="s">
        <v>700</v>
      </c>
      <c r="I2037">
        <v>5486.44</v>
      </c>
      <c r="J2037">
        <v>6155</v>
      </c>
      <c r="K2037">
        <v>6309</v>
      </c>
      <c r="L2037">
        <v>6466</v>
      </c>
      <c r="M2037">
        <v>6466.48</v>
      </c>
      <c r="N2037" t="s">
        <v>988</v>
      </c>
    </row>
    <row r="2038" spans="1:14" x14ac:dyDescent="0.3">
      <c r="A2038">
        <v>2207</v>
      </c>
      <c r="B2038" t="s">
        <v>1936</v>
      </c>
      <c r="C2038" t="s">
        <v>2256</v>
      </c>
      <c r="D2038" t="s">
        <v>159</v>
      </c>
      <c r="E2038" t="s">
        <v>159</v>
      </c>
      <c r="F2038">
        <v>7855</v>
      </c>
      <c r="G2038" t="s">
        <v>701</v>
      </c>
      <c r="I2038">
        <v>1009</v>
      </c>
      <c r="J2038">
        <v>1132</v>
      </c>
      <c r="K2038">
        <v>1161</v>
      </c>
      <c r="L2038">
        <v>1189.5</v>
      </c>
      <c r="M2038">
        <v>1190</v>
      </c>
      <c r="N2038" t="s">
        <v>988</v>
      </c>
    </row>
    <row r="2039" spans="1:14" x14ac:dyDescent="0.3">
      <c r="A2039">
        <v>2207</v>
      </c>
      <c r="B2039" t="s">
        <v>1936</v>
      </c>
      <c r="C2039" t="s">
        <v>2256</v>
      </c>
      <c r="D2039" t="s">
        <v>159</v>
      </c>
      <c r="E2039" t="s">
        <v>159</v>
      </c>
      <c r="F2039">
        <v>7855</v>
      </c>
      <c r="G2039" t="s">
        <v>703</v>
      </c>
      <c r="I2039">
        <v>1828.44</v>
      </c>
      <c r="J2039">
        <v>2051</v>
      </c>
      <c r="K2039">
        <v>2102</v>
      </c>
      <c r="L2039">
        <v>2155</v>
      </c>
      <c r="M2039">
        <v>2155</v>
      </c>
      <c r="N2039" t="s">
        <v>988</v>
      </c>
    </row>
    <row r="2040" spans="1:14" x14ac:dyDescent="0.3">
      <c r="A2040">
        <v>2207</v>
      </c>
      <c r="B2040" t="s">
        <v>1936</v>
      </c>
      <c r="C2040" t="s">
        <v>2256</v>
      </c>
      <c r="D2040" t="s">
        <v>159</v>
      </c>
      <c r="E2040" t="s">
        <v>159</v>
      </c>
      <c r="F2040">
        <v>7855</v>
      </c>
      <c r="G2040" t="s">
        <v>702</v>
      </c>
      <c r="I2040">
        <v>1501.44</v>
      </c>
      <c r="J2040">
        <v>1501</v>
      </c>
      <c r="K2040">
        <v>1501</v>
      </c>
      <c r="L2040">
        <v>1501</v>
      </c>
      <c r="M2040">
        <v>1501.44</v>
      </c>
      <c r="N2040" t="s">
        <v>988</v>
      </c>
    </row>
    <row r="2041" spans="1:14" x14ac:dyDescent="0.3">
      <c r="A2041">
        <v>2207</v>
      </c>
      <c r="B2041" t="s">
        <v>1936</v>
      </c>
      <c r="C2041" t="s">
        <v>2256</v>
      </c>
      <c r="D2041" t="s">
        <v>159</v>
      </c>
      <c r="E2041" t="s">
        <v>159</v>
      </c>
      <c r="F2041">
        <v>7855</v>
      </c>
      <c r="G2041" t="s">
        <v>686</v>
      </c>
      <c r="H2041" t="s">
        <v>1227</v>
      </c>
      <c r="I2041">
        <v>1198</v>
      </c>
      <c r="J2041">
        <v>1217</v>
      </c>
      <c r="K2041">
        <v>1207</v>
      </c>
      <c r="L2041">
        <v>1197</v>
      </c>
      <c r="M2041">
        <v>1196</v>
      </c>
      <c r="N2041" t="s">
        <v>988</v>
      </c>
    </row>
    <row r="2042" spans="1:14" x14ac:dyDescent="0.3">
      <c r="A2042">
        <v>2207</v>
      </c>
      <c r="B2042" t="s">
        <v>1936</v>
      </c>
      <c r="C2042" t="s">
        <v>2256</v>
      </c>
      <c r="D2042" t="s">
        <v>159</v>
      </c>
      <c r="E2042" t="s">
        <v>159</v>
      </c>
      <c r="F2042">
        <v>7855</v>
      </c>
      <c r="G2042" t="s">
        <v>696</v>
      </c>
      <c r="I2042">
        <v>11961</v>
      </c>
      <c r="J2042">
        <v>11675</v>
      </c>
      <c r="K2042">
        <v>11390</v>
      </c>
      <c r="L2042">
        <v>11105</v>
      </c>
      <c r="M2042">
        <v>11101.44</v>
      </c>
      <c r="N2042" t="s">
        <v>988</v>
      </c>
    </row>
    <row r="2043" spans="1:14" x14ac:dyDescent="0.3">
      <c r="A2043">
        <v>2209</v>
      </c>
      <c r="B2043" t="s">
        <v>1938</v>
      </c>
      <c r="C2043" t="s">
        <v>2256</v>
      </c>
      <c r="D2043" t="s">
        <v>1203</v>
      </c>
      <c r="E2043" t="s">
        <v>1204</v>
      </c>
      <c r="F2043">
        <v>5793</v>
      </c>
      <c r="G2043" t="s">
        <v>698</v>
      </c>
      <c r="I2043">
        <v>2778</v>
      </c>
      <c r="J2043">
        <v>2918</v>
      </c>
      <c r="K2043">
        <v>2885</v>
      </c>
      <c r="L2043">
        <v>2892</v>
      </c>
      <c r="M2043">
        <v>2919</v>
      </c>
      <c r="N2043" t="s">
        <v>988</v>
      </c>
    </row>
    <row r="2044" spans="1:14" x14ac:dyDescent="0.3">
      <c r="A2044">
        <v>2209</v>
      </c>
      <c r="B2044" t="s">
        <v>1938</v>
      </c>
      <c r="C2044" t="s">
        <v>2256</v>
      </c>
      <c r="D2044" t="s">
        <v>1203</v>
      </c>
      <c r="E2044" t="s">
        <v>1204</v>
      </c>
      <c r="F2044">
        <v>5793</v>
      </c>
      <c r="G2044" t="s">
        <v>700</v>
      </c>
      <c r="I2044">
        <v>2142</v>
      </c>
      <c r="J2044">
        <v>2366</v>
      </c>
      <c r="K2044">
        <v>2464</v>
      </c>
      <c r="L2044">
        <v>2605</v>
      </c>
      <c r="M2044">
        <v>2738</v>
      </c>
      <c r="N2044" t="s">
        <v>988</v>
      </c>
    </row>
    <row r="2045" spans="1:14" x14ac:dyDescent="0.3">
      <c r="A2045">
        <v>2209</v>
      </c>
      <c r="B2045" t="s">
        <v>1938</v>
      </c>
      <c r="C2045" t="s">
        <v>2256</v>
      </c>
      <c r="D2045" t="s">
        <v>1203</v>
      </c>
      <c r="E2045" t="s">
        <v>1204</v>
      </c>
      <c r="F2045">
        <v>5793</v>
      </c>
      <c r="G2045" t="s">
        <v>701</v>
      </c>
      <c r="I2045">
        <v>228</v>
      </c>
      <c r="J2045">
        <v>250</v>
      </c>
      <c r="K2045">
        <v>259</v>
      </c>
      <c r="L2045">
        <v>270</v>
      </c>
      <c r="M2045">
        <v>283</v>
      </c>
      <c r="N2045" t="s">
        <v>988</v>
      </c>
    </row>
    <row r="2046" spans="1:14" x14ac:dyDescent="0.3">
      <c r="A2046">
        <v>2209</v>
      </c>
      <c r="B2046" t="s">
        <v>1938</v>
      </c>
      <c r="C2046" t="s">
        <v>2256</v>
      </c>
      <c r="D2046" t="s">
        <v>1203</v>
      </c>
      <c r="E2046" t="s">
        <v>1204</v>
      </c>
      <c r="F2046">
        <v>5793</v>
      </c>
      <c r="G2046" t="s">
        <v>702</v>
      </c>
      <c r="I2046">
        <v>604</v>
      </c>
      <c r="J2046">
        <v>654</v>
      </c>
      <c r="K2046">
        <v>680</v>
      </c>
      <c r="L2046">
        <v>715</v>
      </c>
      <c r="M2046">
        <v>758</v>
      </c>
      <c r="N2046" t="s">
        <v>988</v>
      </c>
    </row>
    <row r="2047" spans="1:14" x14ac:dyDescent="0.3">
      <c r="A2047">
        <v>2209</v>
      </c>
      <c r="B2047" t="s">
        <v>1938</v>
      </c>
      <c r="C2047" t="s">
        <v>2256</v>
      </c>
      <c r="D2047" t="s">
        <v>1203</v>
      </c>
      <c r="E2047" t="s">
        <v>1204</v>
      </c>
      <c r="F2047">
        <v>5793</v>
      </c>
      <c r="G2047" t="s">
        <v>705</v>
      </c>
      <c r="H2047" t="s">
        <v>2429</v>
      </c>
      <c r="I2047">
        <v>1430</v>
      </c>
      <c r="J2047">
        <v>1430</v>
      </c>
      <c r="K2047">
        <v>1430</v>
      </c>
      <c r="L2047">
        <v>1430</v>
      </c>
      <c r="M2047">
        <v>1430</v>
      </c>
      <c r="N2047" t="s">
        <v>988</v>
      </c>
    </row>
    <row r="2048" spans="1:14" x14ac:dyDescent="0.3">
      <c r="A2048">
        <v>2209</v>
      </c>
      <c r="B2048" t="s">
        <v>1938</v>
      </c>
      <c r="C2048" t="s">
        <v>2256</v>
      </c>
      <c r="D2048" t="s">
        <v>1203</v>
      </c>
      <c r="E2048" t="s">
        <v>1204</v>
      </c>
      <c r="F2048">
        <v>5793</v>
      </c>
      <c r="G2048" t="s">
        <v>686</v>
      </c>
      <c r="I2048">
        <v>1058</v>
      </c>
      <c r="J2048">
        <v>1174</v>
      </c>
      <c r="K2048">
        <v>1178</v>
      </c>
      <c r="L2048">
        <v>1191</v>
      </c>
      <c r="M2048">
        <v>1210</v>
      </c>
      <c r="N2048" t="s">
        <v>988</v>
      </c>
    </row>
    <row r="2049" spans="1:14" x14ac:dyDescent="0.3">
      <c r="A2049">
        <v>2209</v>
      </c>
      <c r="B2049" t="s">
        <v>1938</v>
      </c>
      <c r="C2049" t="s">
        <v>2256</v>
      </c>
      <c r="D2049" t="s">
        <v>1203</v>
      </c>
      <c r="E2049" t="s">
        <v>1204</v>
      </c>
      <c r="F2049">
        <v>5793</v>
      </c>
      <c r="G2049" t="s">
        <v>696</v>
      </c>
      <c r="I2049">
        <v>4429</v>
      </c>
      <c r="J2049">
        <v>4584</v>
      </c>
      <c r="K2049">
        <v>4460</v>
      </c>
      <c r="L2049">
        <v>4395</v>
      </c>
      <c r="M2049">
        <v>4351</v>
      </c>
      <c r="N2049" t="s">
        <v>988</v>
      </c>
    </row>
    <row r="2050" spans="1:14" x14ac:dyDescent="0.3">
      <c r="A2050">
        <v>2210</v>
      </c>
      <c r="B2050" t="s">
        <v>1940</v>
      </c>
      <c r="C2050" t="s">
        <v>2256</v>
      </c>
      <c r="D2050" t="s">
        <v>159</v>
      </c>
      <c r="E2050" t="s">
        <v>159</v>
      </c>
      <c r="F2050">
        <v>5756</v>
      </c>
      <c r="G2050" t="s">
        <v>703</v>
      </c>
      <c r="H2050" t="s">
        <v>1941</v>
      </c>
      <c r="I2050">
        <v>672</v>
      </c>
      <c r="J2050">
        <v>702</v>
      </c>
      <c r="K2050">
        <v>729</v>
      </c>
      <c r="L2050">
        <v>747</v>
      </c>
      <c r="M2050">
        <v>766</v>
      </c>
      <c r="N2050" t="s">
        <v>988</v>
      </c>
    </row>
    <row r="2051" spans="1:14" x14ac:dyDescent="0.3">
      <c r="A2051">
        <v>2210</v>
      </c>
      <c r="B2051" t="s">
        <v>1940</v>
      </c>
      <c r="C2051" t="s">
        <v>2256</v>
      </c>
      <c r="D2051" t="s">
        <v>159</v>
      </c>
      <c r="E2051" t="s">
        <v>159</v>
      </c>
      <c r="F2051">
        <v>5756</v>
      </c>
      <c r="G2051" t="s">
        <v>701</v>
      </c>
      <c r="I2051">
        <v>1748</v>
      </c>
      <c r="J2051">
        <v>1826</v>
      </c>
      <c r="K2051">
        <v>1895</v>
      </c>
      <c r="L2051">
        <v>1943</v>
      </c>
      <c r="M2051">
        <v>1991</v>
      </c>
      <c r="N2051" t="s">
        <v>988</v>
      </c>
    </row>
    <row r="2052" spans="1:14" x14ac:dyDescent="0.3">
      <c r="A2052">
        <v>2210</v>
      </c>
      <c r="B2052" t="s">
        <v>1940</v>
      </c>
      <c r="C2052" t="s">
        <v>2256</v>
      </c>
      <c r="D2052" t="s">
        <v>159</v>
      </c>
      <c r="E2052" t="s">
        <v>159</v>
      </c>
      <c r="F2052">
        <v>5756</v>
      </c>
      <c r="G2052" t="s">
        <v>700</v>
      </c>
      <c r="I2052">
        <v>6184</v>
      </c>
      <c r="J2052">
        <v>6461</v>
      </c>
      <c r="K2052">
        <v>6704</v>
      </c>
      <c r="L2052">
        <v>6875</v>
      </c>
      <c r="M2052">
        <v>7046</v>
      </c>
      <c r="N2052" t="s">
        <v>988</v>
      </c>
    </row>
    <row r="2053" spans="1:14" x14ac:dyDescent="0.3">
      <c r="A2053">
        <v>2210</v>
      </c>
      <c r="B2053" t="s">
        <v>1940</v>
      </c>
      <c r="C2053" t="s">
        <v>2256</v>
      </c>
      <c r="D2053" t="s">
        <v>159</v>
      </c>
      <c r="E2053" t="s">
        <v>159</v>
      </c>
      <c r="F2053">
        <v>5756</v>
      </c>
      <c r="G2053" t="s">
        <v>698</v>
      </c>
      <c r="I2053">
        <v>4458</v>
      </c>
      <c r="J2053">
        <v>4659</v>
      </c>
      <c r="K2053">
        <v>4833</v>
      </c>
      <c r="L2053">
        <v>4957</v>
      </c>
      <c r="M2053">
        <v>5080</v>
      </c>
      <c r="N2053" t="s">
        <v>988</v>
      </c>
    </row>
    <row r="2054" spans="1:14" x14ac:dyDescent="0.3">
      <c r="A2054">
        <v>2210</v>
      </c>
      <c r="B2054" t="s">
        <v>1940</v>
      </c>
      <c r="C2054" t="s">
        <v>2256</v>
      </c>
      <c r="D2054" t="s">
        <v>159</v>
      </c>
      <c r="E2054" t="s">
        <v>159</v>
      </c>
      <c r="F2054">
        <v>5756</v>
      </c>
      <c r="G2054" t="s">
        <v>696</v>
      </c>
      <c r="I2054">
        <v>4683</v>
      </c>
      <c r="J2054">
        <v>4893</v>
      </c>
      <c r="K2054">
        <v>5076</v>
      </c>
      <c r="L2054">
        <v>5206</v>
      </c>
      <c r="M2054">
        <v>5336</v>
      </c>
      <c r="N2054" t="s">
        <v>988</v>
      </c>
    </row>
    <row r="2055" spans="1:14" x14ac:dyDescent="0.3">
      <c r="A2055">
        <v>2210</v>
      </c>
      <c r="B2055" t="s">
        <v>1940</v>
      </c>
      <c r="C2055" t="s">
        <v>2256</v>
      </c>
      <c r="D2055" t="s">
        <v>159</v>
      </c>
      <c r="E2055" t="s">
        <v>159</v>
      </c>
      <c r="F2055">
        <v>5756</v>
      </c>
      <c r="G2055" t="s">
        <v>686</v>
      </c>
      <c r="H2055" t="s">
        <v>2430</v>
      </c>
      <c r="I2055">
        <v>1168</v>
      </c>
      <c r="J2055">
        <v>1221</v>
      </c>
      <c r="K2055">
        <v>1267</v>
      </c>
      <c r="L2055">
        <v>1299</v>
      </c>
      <c r="M2055">
        <v>1331</v>
      </c>
      <c r="N2055" t="s">
        <v>988</v>
      </c>
    </row>
    <row r="2056" spans="1:14" x14ac:dyDescent="0.3">
      <c r="A2056">
        <v>2210</v>
      </c>
      <c r="B2056" t="s">
        <v>1940</v>
      </c>
      <c r="C2056" t="s">
        <v>2256</v>
      </c>
      <c r="D2056" t="s">
        <v>159</v>
      </c>
      <c r="E2056" t="s">
        <v>159</v>
      </c>
      <c r="F2056">
        <v>5756</v>
      </c>
      <c r="G2056" t="s">
        <v>703</v>
      </c>
      <c r="H2056" t="s">
        <v>1414</v>
      </c>
      <c r="I2056">
        <v>560</v>
      </c>
      <c r="J2056">
        <v>585</v>
      </c>
      <c r="K2056">
        <v>607</v>
      </c>
      <c r="L2056">
        <v>623</v>
      </c>
      <c r="M2056">
        <v>638</v>
      </c>
      <c r="N2056" t="s">
        <v>987</v>
      </c>
    </row>
    <row r="2057" spans="1:14" x14ac:dyDescent="0.3">
      <c r="A2057">
        <v>4993</v>
      </c>
      <c r="B2057" t="s">
        <v>944</v>
      </c>
      <c r="C2057" t="s">
        <v>2256</v>
      </c>
      <c r="D2057" t="s">
        <v>1203</v>
      </c>
      <c r="E2057" t="s">
        <v>1204</v>
      </c>
      <c r="F2057">
        <v>5631</v>
      </c>
      <c r="G2057" t="s">
        <v>705</v>
      </c>
      <c r="H2057" t="s">
        <v>1942</v>
      </c>
      <c r="I2057">
        <v>1300</v>
      </c>
      <c r="J2057">
        <v>1400</v>
      </c>
      <c r="K2057">
        <v>1600</v>
      </c>
      <c r="L2057">
        <v>1800</v>
      </c>
      <c r="M2057">
        <v>2000</v>
      </c>
      <c r="N2057" t="s">
        <v>987</v>
      </c>
    </row>
    <row r="2058" spans="1:14" x14ac:dyDescent="0.3">
      <c r="A2058">
        <v>4993</v>
      </c>
      <c r="B2058" t="s">
        <v>944</v>
      </c>
      <c r="C2058" t="s">
        <v>2256</v>
      </c>
      <c r="D2058" t="s">
        <v>1203</v>
      </c>
      <c r="E2058" t="s">
        <v>1204</v>
      </c>
      <c r="F2058">
        <v>5631</v>
      </c>
      <c r="G2058" t="s">
        <v>696</v>
      </c>
      <c r="I2058">
        <v>32700</v>
      </c>
      <c r="J2058">
        <v>34700</v>
      </c>
      <c r="K2058">
        <v>36200</v>
      </c>
      <c r="L2058">
        <v>37500</v>
      </c>
      <c r="M2058">
        <v>38400</v>
      </c>
      <c r="N2058" t="s">
        <v>987</v>
      </c>
    </row>
    <row r="2059" spans="1:14" x14ac:dyDescent="0.3">
      <c r="A2059">
        <v>4993</v>
      </c>
      <c r="B2059" t="s">
        <v>944</v>
      </c>
      <c r="C2059" t="s">
        <v>2256</v>
      </c>
      <c r="D2059" t="s">
        <v>1203</v>
      </c>
      <c r="E2059" t="s">
        <v>1204</v>
      </c>
      <c r="F2059">
        <v>5631</v>
      </c>
      <c r="G2059" t="s">
        <v>686</v>
      </c>
      <c r="H2059" t="s">
        <v>1227</v>
      </c>
      <c r="I2059">
        <v>6000</v>
      </c>
      <c r="J2059">
        <v>5800</v>
      </c>
      <c r="K2059">
        <v>6200</v>
      </c>
      <c r="L2059">
        <v>6600</v>
      </c>
      <c r="M2059">
        <v>7000</v>
      </c>
      <c r="N2059" t="s">
        <v>987</v>
      </c>
    </row>
    <row r="2060" spans="1:14" x14ac:dyDescent="0.3">
      <c r="A2060">
        <v>4993</v>
      </c>
      <c r="B2060" t="s">
        <v>944</v>
      </c>
      <c r="C2060" t="s">
        <v>2256</v>
      </c>
      <c r="D2060" t="s">
        <v>1203</v>
      </c>
      <c r="E2060" t="s">
        <v>1204</v>
      </c>
      <c r="F2060">
        <v>5631</v>
      </c>
      <c r="G2060" t="s">
        <v>691</v>
      </c>
      <c r="H2060" t="s">
        <v>2431</v>
      </c>
      <c r="I2060">
        <v>2300</v>
      </c>
      <c r="J2060">
        <v>2400</v>
      </c>
      <c r="K2060">
        <v>2900</v>
      </c>
      <c r="L2060">
        <v>2200</v>
      </c>
      <c r="M2060">
        <v>1500</v>
      </c>
      <c r="N2060" t="s">
        <v>987</v>
      </c>
    </row>
    <row r="2061" spans="1:14" x14ac:dyDescent="0.3">
      <c r="A2061">
        <v>4993</v>
      </c>
      <c r="B2061" t="s">
        <v>944</v>
      </c>
      <c r="C2061" t="s">
        <v>2256</v>
      </c>
      <c r="D2061" t="s">
        <v>1203</v>
      </c>
      <c r="E2061" t="s">
        <v>1204</v>
      </c>
      <c r="F2061">
        <v>5631</v>
      </c>
      <c r="G2061" t="s">
        <v>698</v>
      </c>
      <c r="I2061">
        <v>8300</v>
      </c>
      <c r="J2061">
        <v>8900</v>
      </c>
      <c r="K2061">
        <v>10500</v>
      </c>
      <c r="L2061">
        <v>11000</v>
      </c>
      <c r="M2061">
        <v>11200</v>
      </c>
      <c r="N2061" t="s">
        <v>987</v>
      </c>
    </row>
    <row r="2062" spans="1:14" x14ac:dyDescent="0.3">
      <c r="A2062">
        <v>4993</v>
      </c>
      <c r="B2062" t="s">
        <v>944</v>
      </c>
      <c r="C2062" t="s">
        <v>2256</v>
      </c>
      <c r="D2062" t="s">
        <v>1203</v>
      </c>
      <c r="E2062" t="s">
        <v>1204</v>
      </c>
      <c r="F2062">
        <v>5631</v>
      </c>
      <c r="G2062" t="s">
        <v>702</v>
      </c>
      <c r="I2062">
        <v>12800</v>
      </c>
      <c r="J2062">
        <v>12800</v>
      </c>
      <c r="K2062">
        <v>13400</v>
      </c>
      <c r="L2062">
        <v>13200</v>
      </c>
      <c r="M2062">
        <v>13100</v>
      </c>
      <c r="N2062" t="s">
        <v>987</v>
      </c>
    </row>
    <row r="2063" spans="1:14" x14ac:dyDescent="0.3">
      <c r="A2063">
        <v>4993</v>
      </c>
      <c r="B2063" t="s">
        <v>944</v>
      </c>
      <c r="C2063" t="s">
        <v>2256</v>
      </c>
      <c r="D2063" t="s">
        <v>1203</v>
      </c>
      <c r="E2063" t="s">
        <v>1204</v>
      </c>
      <c r="F2063">
        <v>5631</v>
      </c>
      <c r="G2063" t="s">
        <v>703</v>
      </c>
      <c r="I2063">
        <v>1800</v>
      </c>
      <c r="J2063">
        <v>2100</v>
      </c>
      <c r="K2063">
        <v>2100</v>
      </c>
      <c r="L2063">
        <v>2000</v>
      </c>
      <c r="M2063">
        <v>2000</v>
      </c>
      <c r="N2063" t="s">
        <v>987</v>
      </c>
    </row>
    <row r="2064" spans="1:14" x14ac:dyDescent="0.3">
      <c r="A2064">
        <v>4993</v>
      </c>
      <c r="B2064" t="s">
        <v>944</v>
      </c>
      <c r="C2064" t="s">
        <v>2256</v>
      </c>
      <c r="D2064" t="s">
        <v>1203</v>
      </c>
      <c r="E2064" t="s">
        <v>1204</v>
      </c>
      <c r="F2064">
        <v>5631</v>
      </c>
      <c r="G2064" t="s">
        <v>701</v>
      </c>
      <c r="I2064">
        <v>1800</v>
      </c>
      <c r="J2064">
        <v>1800</v>
      </c>
      <c r="K2064">
        <v>2100</v>
      </c>
      <c r="L2064">
        <v>2300</v>
      </c>
      <c r="M2064">
        <v>2500</v>
      </c>
      <c r="N2064" t="s">
        <v>987</v>
      </c>
    </row>
    <row r="2065" spans="1:14" x14ac:dyDescent="0.3">
      <c r="A2065">
        <v>4993</v>
      </c>
      <c r="B2065" t="s">
        <v>944</v>
      </c>
      <c r="C2065" t="s">
        <v>2256</v>
      </c>
      <c r="D2065" t="s">
        <v>1203</v>
      </c>
      <c r="E2065" t="s">
        <v>1204</v>
      </c>
      <c r="F2065">
        <v>5631</v>
      </c>
      <c r="G2065" t="s">
        <v>700</v>
      </c>
      <c r="I2065">
        <v>5100</v>
      </c>
      <c r="J2065">
        <v>5500</v>
      </c>
      <c r="K2065">
        <v>5800</v>
      </c>
      <c r="L2065">
        <v>6300</v>
      </c>
      <c r="M2065">
        <v>6800</v>
      </c>
      <c r="N2065" t="s">
        <v>987</v>
      </c>
    </row>
    <row r="2066" spans="1:14" x14ac:dyDescent="0.3">
      <c r="A2066">
        <v>4993</v>
      </c>
      <c r="B2066" t="s">
        <v>944</v>
      </c>
      <c r="C2066" t="s">
        <v>2256</v>
      </c>
      <c r="D2066" t="s">
        <v>1203</v>
      </c>
      <c r="E2066" t="s">
        <v>1204</v>
      </c>
      <c r="F2066">
        <v>5631</v>
      </c>
      <c r="G2066" t="s">
        <v>687</v>
      </c>
      <c r="H2066" t="s">
        <v>1943</v>
      </c>
      <c r="I2066">
        <v>2100</v>
      </c>
      <c r="J2066">
        <v>2100</v>
      </c>
      <c r="K2066">
        <v>2400</v>
      </c>
      <c r="L2066">
        <v>3700</v>
      </c>
      <c r="M2066">
        <v>5000</v>
      </c>
      <c r="N2066" t="s">
        <v>988</v>
      </c>
    </row>
    <row r="2067" spans="1:14" x14ac:dyDescent="0.3">
      <c r="A2067">
        <v>2213</v>
      </c>
      <c r="B2067" t="s">
        <v>1944</v>
      </c>
      <c r="C2067" t="s">
        <v>2256</v>
      </c>
      <c r="D2067" t="s">
        <v>1203</v>
      </c>
      <c r="E2067" t="s">
        <v>1204</v>
      </c>
      <c r="F2067">
        <v>6652</v>
      </c>
      <c r="G2067" t="s">
        <v>696</v>
      </c>
      <c r="H2067" t="s">
        <v>1952</v>
      </c>
      <c r="I2067">
        <v>954</v>
      </c>
      <c r="J2067">
        <v>952</v>
      </c>
      <c r="K2067">
        <v>958</v>
      </c>
      <c r="L2067">
        <v>966</v>
      </c>
      <c r="M2067">
        <v>974</v>
      </c>
      <c r="N2067" t="s">
        <v>988</v>
      </c>
    </row>
    <row r="2068" spans="1:14" x14ac:dyDescent="0.3">
      <c r="A2068">
        <v>2213</v>
      </c>
      <c r="B2068" t="s">
        <v>1944</v>
      </c>
      <c r="C2068" t="s">
        <v>2256</v>
      </c>
      <c r="D2068" t="s">
        <v>1203</v>
      </c>
      <c r="E2068" t="s">
        <v>1204</v>
      </c>
      <c r="F2068">
        <v>6652</v>
      </c>
      <c r="G2068" t="s">
        <v>698</v>
      </c>
      <c r="H2068" t="s">
        <v>1949</v>
      </c>
      <c r="I2068">
        <v>604</v>
      </c>
      <c r="J2068">
        <v>608</v>
      </c>
      <c r="K2068">
        <v>602</v>
      </c>
      <c r="L2068">
        <v>607</v>
      </c>
      <c r="M2068">
        <v>611</v>
      </c>
      <c r="N2068" t="s">
        <v>988</v>
      </c>
    </row>
    <row r="2069" spans="1:14" x14ac:dyDescent="0.3">
      <c r="A2069">
        <v>2213</v>
      </c>
      <c r="B2069" t="s">
        <v>1944</v>
      </c>
      <c r="C2069" t="s">
        <v>2256</v>
      </c>
      <c r="D2069" t="s">
        <v>1203</v>
      </c>
      <c r="E2069" t="s">
        <v>1204</v>
      </c>
      <c r="F2069">
        <v>6652</v>
      </c>
      <c r="G2069" t="s">
        <v>700</v>
      </c>
      <c r="H2069" t="s">
        <v>1563</v>
      </c>
      <c r="I2069">
        <v>504</v>
      </c>
      <c r="J2069">
        <v>488</v>
      </c>
      <c r="K2069">
        <v>464</v>
      </c>
      <c r="L2069">
        <v>458</v>
      </c>
      <c r="M2069">
        <v>462</v>
      </c>
      <c r="N2069" t="s">
        <v>988</v>
      </c>
    </row>
    <row r="2070" spans="1:14" x14ac:dyDescent="0.3">
      <c r="A2070">
        <v>2213</v>
      </c>
      <c r="B2070" t="s">
        <v>1944</v>
      </c>
      <c r="C2070" t="s">
        <v>2256</v>
      </c>
      <c r="D2070" t="s">
        <v>1203</v>
      </c>
      <c r="E2070" t="s">
        <v>1204</v>
      </c>
      <c r="F2070">
        <v>6652</v>
      </c>
      <c r="G2070" t="s">
        <v>701</v>
      </c>
      <c r="I2070">
        <v>37</v>
      </c>
      <c r="J2070">
        <v>37</v>
      </c>
      <c r="K2070">
        <v>37</v>
      </c>
      <c r="L2070">
        <v>37</v>
      </c>
      <c r="M2070">
        <v>37</v>
      </c>
      <c r="N2070" t="s">
        <v>988</v>
      </c>
    </row>
    <row r="2071" spans="1:14" x14ac:dyDescent="0.3">
      <c r="A2071">
        <v>2213</v>
      </c>
      <c r="B2071" t="s">
        <v>1944</v>
      </c>
      <c r="C2071" t="s">
        <v>2256</v>
      </c>
      <c r="D2071" t="s">
        <v>1203</v>
      </c>
      <c r="E2071" t="s">
        <v>1204</v>
      </c>
      <c r="F2071">
        <v>6652</v>
      </c>
      <c r="G2071" t="s">
        <v>703</v>
      </c>
      <c r="H2071" t="s">
        <v>1414</v>
      </c>
      <c r="I2071">
        <v>54</v>
      </c>
      <c r="J2071">
        <v>51</v>
      </c>
      <c r="K2071">
        <v>47</v>
      </c>
      <c r="L2071">
        <v>47</v>
      </c>
      <c r="M2071">
        <v>47</v>
      </c>
      <c r="N2071" t="s">
        <v>988</v>
      </c>
    </row>
    <row r="2072" spans="1:14" x14ac:dyDescent="0.3">
      <c r="A2072">
        <v>2213</v>
      </c>
      <c r="B2072" t="s">
        <v>1944</v>
      </c>
      <c r="C2072" t="s">
        <v>2256</v>
      </c>
      <c r="D2072" t="s">
        <v>1203</v>
      </c>
      <c r="E2072" t="s">
        <v>1204</v>
      </c>
      <c r="F2072">
        <v>6652</v>
      </c>
      <c r="G2072" t="s">
        <v>702</v>
      </c>
      <c r="H2072" t="s">
        <v>1948</v>
      </c>
      <c r="I2072">
        <v>77</v>
      </c>
      <c r="J2072">
        <v>69</v>
      </c>
      <c r="K2072">
        <v>59</v>
      </c>
      <c r="L2072">
        <v>58</v>
      </c>
      <c r="M2072">
        <v>59</v>
      </c>
      <c r="N2072" t="s">
        <v>988</v>
      </c>
    </row>
    <row r="2073" spans="1:14" x14ac:dyDescent="0.3">
      <c r="A2073">
        <v>2213</v>
      </c>
      <c r="B2073" t="s">
        <v>1944</v>
      </c>
      <c r="C2073" t="s">
        <v>2256</v>
      </c>
      <c r="D2073" t="s">
        <v>1203</v>
      </c>
      <c r="E2073" t="s">
        <v>1204</v>
      </c>
      <c r="F2073">
        <v>6652</v>
      </c>
      <c r="G2073" t="s">
        <v>686</v>
      </c>
      <c r="I2073">
        <v>197</v>
      </c>
      <c r="J2073">
        <v>199</v>
      </c>
      <c r="K2073">
        <v>200</v>
      </c>
      <c r="L2073">
        <v>204</v>
      </c>
      <c r="M2073">
        <v>206</v>
      </c>
      <c r="N2073" t="s">
        <v>988</v>
      </c>
    </row>
    <row r="2074" spans="1:14" x14ac:dyDescent="0.3">
      <c r="A2074">
        <v>2213</v>
      </c>
      <c r="B2074" t="s">
        <v>1944</v>
      </c>
      <c r="C2074" t="s">
        <v>2256</v>
      </c>
      <c r="D2074" t="s">
        <v>1203</v>
      </c>
      <c r="E2074" t="s">
        <v>1204</v>
      </c>
      <c r="F2074">
        <v>6652</v>
      </c>
      <c r="G2074" t="s">
        <v>702</v>
      </c>
      <c r="H2074" t="s">
        <v>1947</v>
      </c>
      <c r="I2074">
        <v>44</v>
      </c>
      <c r="J2074">
        <v>40</v>
      </c>
      <c r="K2074">
        <v>36</v>
      </c>
      <c r="L2074">
        <v>35</v>
      </c>
      <c r="M2074">
        <v>35</v>
      </c>
      <c r="N2074" t="s">
        <v>988</v>
      </c>
    </row>
    <row r="2075" spans="1:14" x14ac:dyDescent="0.3">
      <c r="A2075">
        <v>2213</v>
      </c>
      <c r="B2075" t="s">
        <v>1944</v>
      </c>
      <c r="C2075" t="s">
        <v>2256</v>
      </c>
      <c r="D2075" t="s">
        <v>1203</v>
      </c>
      <c r="E2075" t="s">
        <v>1204</v>
      </c>
      <c r="F2075">
        <v>6652</v>
      </c>
      <c r="G2075" t="s">
        <v>703</v>
      </c>
      <c r="H2075" t="s">
        <v>1950</v>
      </c>
      <c r="I2075">
        <v>10</v>
      </c>
      <c r="J2075">
        <v>15</v>
      </c>
      <c r="K2075">
        <v>21</v>
      </c>
      <c r="L2075">
        <v>26</v>
      </c>
      <c r="M2075">
        <v>26</v>
      </c>
      <c r="N2075" t="s">
        <v>988</v>
      </c>
    </row>
    <row r="2076" spans="1:14" x14ac:dyDescent="0.3">
      <c r="A2076">
        <v>2213</v>
      </c>
      <c r="B2076" t="s">
        <v>1944</v>
      </c>
      <c r="C2076" t="s">
        <v>2256</v>
      </c>
      <c r="D2076" t="s">
        <v>1203</v>
      </c>
      <c r="E2076" t="s">
        <v>1204</v>
      </c>
      <c r="F2076">
        <v>6652</v>
      </c>
      <c r="G2076" t="s">
        <v>703</v>
      </c>
      <c r="H2076" t="s">
        <v>1951</v>
      </c>
      <c r="I2076">
        <v>152</v>
      </c>
      <c r="J2076">
        <v>199</v>
      </c>
      <c r="K2076">
        <v>245</v>
      </c>
      <c r="L2076">
        <v>292</v>
      </c>
      <c r="M2076">
        <v>292</v>
      </c>
      <c r="N2076" t="s">
        <v>988</v>
      </c>
    </row>
    <row r="2077" spans="1:14" x14ac:dyDescent="0.3">
      <c r="A2077">
        <v>2214</v>
      </c>
      <c r="B2077" t="s">
        <v>1953</v>
      </c>
      <c r="C2077" t="s">
        <v>2256</v>
      </c>
      <c r="D2077" t="s">
        <v>1203</v>
      </c>
      <c r="E2077" t="s">
        <v>1204</v>
      </c>
      <c r="F2077">
        <v>5462</v>
      </c>
      <c r="G2077" t="s">
        <v>703</v>
      </c>
      <c r="I2077">
        <v>86</v>
      </c>
      <c r="J2077">
        <v>91</v>
      </c>
      <c r="K2077">
        <v>93</v>
      </c>
      <c r="L2077">
        <v>94</v>
      </c>
      <c r="M2077">
        <v>98</v>
      </c>
      <c r="N2077" t="s">
        <v>988</v>
      </c>
    </row>
    <row r="2078" spans="1:14" x14ac:dyDescent="0.3">
      <c r="A2078">
        <v>2214</v>
      </c>
      <c r="B2078" t="s">
        <v>1953</v>
      </c>
      <c r="C2078" t="s">
        <v>2256</v>
      </c>
      <c r="D2078" t="s">
        <v>1203</v>
      </c>
      <c r="E2078" t="s">
        <v>1204</v>
      </c>
      <c r="F2078">
        <v>5462</v>
      </c>
      <c r="G2078" t="s">
        <v>696</v>
      </c>
      <c r="I2078">
        <v>6546</v>
      </c>
      <c r="J2078">
        <v>6984</v>
      </c>
      <c r="K2078">
        <v>7118</v>
      </c>
      <c r="L2078">
        <v>7215</v>
      </c>
      <c r="M2078">
        <v>7517</v>
      </c>
      <c r="N2078" t="s">
        <v>988</v>
      </c>
    </row>
    <row r="2079" spans="1:14" x14ac:dyDescent="0.3">
      <c r="A2079">
        <v>2214</v>
      </c>
      <c r="B2079" t="s">
        <v>1953</v>
      </c>
      <c r="C2079" t="s">
        <v>2256</v>
      </c>
      <c r="D2079" t="s">
        <v>1203</v>
      </c>
      <c r="E2079" t="s">
        <v>1204</v>
      </c>
      <c r="F2079">
        <v>5462</v>
      </c>
      <c r="G2079" t="s">
        <v>698</v>
      </c>
      <c r="I2079">
        <v>567</v>
      </c>
      <c r="J2079">
        <v>605</v>
      </c>
      <c r="K2079">
        <v>617</v>
      </c>
      <c r="L2079">
        <v>625</v>
      </c>
      <c r="M2079">
        <v>652</v>
      </c>
      <c r="N2079" t="s">
        <v>988</v>
      </c>
    </row>
    <row r="2080" spans="1:14" x14ac:dyDescent="0.3">
      <c r="A2080">
        <v>2214</v>
      </c>
      <c r="B2080" t="s">
        <v>1953</v>
      </c>
      <c r="C2080" t="s">
        <v>2256</v>
      </c>
      <c r="D2080" t="s">
        <v>1203</v>
      </c>
      <c r="E2080" t="s">
        <v>1204</v>
      </c>
      <c r="F2080">
        <v>5462</v>
      </c>
      <c r="G2080" t="s">
        <v>700</v>
      </c>
      <c r="I2080">
        <v>447</v>
      </c>
      <c r="J2080">
        <v>477</v>
      </c>
      <c r="K2080">
        <v>486</v>
      </c>
      <c r="L2080">
        <v>492</v>
      </c>
      <c r="M2080">
        <v>513</v>
      </c>
      <c r="N2080" t="s">
        <v>988</v>
      </c>
    </row>
    <row r="2081" spans="1:14" x14ac:dyDescent="0.3">
      <c r="A2081">
        <v>2214</v>
      </c>
      <c r="B2081" t="s">
        <v>1953</v>
      </c>
      <c r="C2081" t="s">
        <v>2256</v>
      </c>
      <c r="D2081" t="s">
        <v>1203</v>
      </c>
      <c r="E2081" t="s">
        <v>1204</v>
      </c>
      <c r="F2081">
        <v>5462</v>
      </c>
      <c r="G2081" t="s">
        <v>702</v>
      </c>
      <c r="I2081">
        <v>514</v>
      </c>
      <c r="J2081">
        <v>548</v>
      </c>
      <c r="K2081">
        <v>558</v>
      </c>
      <c r="L2081">
        <v>566</v>
      </c>
      <c r="M2081">
        <v>590</v>
      </c>
      <c r="N2081" t="s">
        <v>988</v>
      </c>
    </row>
    <row r="2082" spans="1:14" x14ac:dyDescent="0.3">
      <c r="A2082">
        <v>2214</v>
      </c>
      <c r="B2082" t="s">
        <v>1953</v>
      </c>
      <c r="C2082" t="s">
        <v>2256</v>
      </c>
      <c r="D2082" t="s">
        <v>1203</v>
      </c>
      <c r="E2082" t="s">
        <v>1204</v>
      </c>
      <c r="F2082">
        <v>5462</v>
      </c>
      <c r="G2082" t="s">
        <v>684</v>
      </c>
      <c r="I2082">
        <v>110</v>
      </c>
      <c r="J2082">
        <v>110</v>
      </c>
      <c r="K2082">
        <v>110</v>
      </c>
      <c r="L2082">
        <v>110</v>
      </c>
      <c r="M2082">
        <v>110</v>
      </c>
      <c r="N2082" t="s">
        <v>988</v>
      </c>
    </row>
    <row r="2083" spans="1:14" x14ac:dyDescent="0.3">
      <c r="A2083">
        <v>2214</v>
      </c>
      <c r="B2083" t="s">
        <v>1953</v>
      </c>
      <c r="C2083" t="s">
        <v>2256</v>
      </c>
      <c r="D2083" t="s">
        <v>1203</v>
      </c>
      <c r="E2083" t="s">
        <v>1204</v>
      </c>
      <c r="F2083">
        <v>5462</v>
      </c>
      <c r="G2083" t="s">
        <v>705</v>
      </c>
      <c r="I2083">
        <v>68</v>
      </c>
      <c r="J2083">
        <v>73</v>
      </c>
      <c r="K2083">
        <v>74</v>
      </c>
      <c r="L2083">
        <v>75</v>
      </c>
      <c r="M2083">
        <v>79</v>
      </c>
      <c r="N2083" t="s">
        <v>988</v>
      </c>
    </row>
    <row r="2084" spans="1:14" x14ac:dyDescent="0.3">
      <c r="A2084">
        <v>2214</v>
      </c>
      <c r="B2084" t="s">
        <v>1953</v>
      </c>
      <c r="C2084" t="s">
        <v>2256</v>
      </c>
      <c r="D2084" t="s">
        <v>1203</v>
      </c>
      <c r="E2084" t="s">
        <v>1204</v>
      </c>
      <c r="F2084">
        <v>5462</v>
      </c>
      <c r="G2084" t="s">
        <v>687</v>
      </c>
      <c r="I2084">
        <v>34</v>
      </c>
      <c r="J2084">
        <v>36</v>
      </c>
      <c r="K2084">
        <v>37</v>
      </c>
      <c r="L2084">
        <v>37</v>
      </c>
      <c r="M2084">
        <v>39</v>
      </c>
      <c r="N2084" t="s">
        <v>988</v>
      </c>
    </row>
    <row r="2085" spans="1:14" x14ac:dyDescent="0.3">
      <c r="A2085">
        <v>2214</v>
      </c>
      <c r="B2085" t="s">
        <v>1953</v>
      </c>
      <c r="C2085" t="s">
        <v>2256</v>
      </c>
      <c r="D2085" t="s">
        <v>1203</v>
      </c>
      <c r="E2085" t="s">
        <v>1204</v>
      </c>
      <c r="F2085">
        <v>5462</v>
      </c>
      <c r="G2085" t="s">
        <v>686</v>
      </c>
      <c r="I2085">
        <v>534</v>
      </c>
      <c r="J2085">
        <v>570</v>
      </c>
      <c r="K2085">
        <v>580</v>
      </c>
      <c r="L2085">
        <v>588</v>
      </c>
      <c r="M2085">
        <v>578</v>
      </c>
      <c r="N2085" t="s">
        <v>988</v>
      </c>
    </row>
    <row r="2086" spans="1:14" x14ac:dyDescent="0.3">
      <c r="A2086">
        <v>2215</v>
      </c>
      <c r="B2086" t="s">
        <v>1954</v>
      </c>
      <c r="C2086" t="s">
        <v>2256</v>
      </c>
      <c r="D2086" t="s">
        <v>1203</v>
      </c>
      <c r="E2086" t="s">
        <v>1204</v>
      </c>
      <c r="F2086">
        <v>5515</v>
      </c>
      <c r="G2086" t="s">
        <v>700</v>
      </c>
      <c r="I2086">
        <v>3456</v>
      </c>
      <c r="J2086">
        <v>3548</v>
      </c>
      <c r="K2086">
        <v>3642</v>
      </c>
      <c r="L2086">
        <v>3739</v>
      </c>
      <c r="M2086">
        <v>3837</v>
      </c>
      <c r="N2086" t="s">
        <v>988</v>
      </c>
    </row>
    <row r="2087" spans="1:14" x14ac:dyDescent="0.3">
      <c r="A2087">
        <v>2215</v>
      </c>
      <c r="B2087" t="s">
        <v>1954</v>
      </c>
      <c r="C2087" t="s">
        <v>2256</v>
      </c>
      <c r="D2087" t="s">
        <v>1203</v>
      </c>
      <c r="E2087" t="s">
        <v>1204</v>
      </c>
      <c r="F2087">
        <v>5515</v>
      </c>
      <c r="G2087" t="s">
        <v>686</v>
      </c>
      <c r="I2087">
        <v>208</v>
      </c>
      <c r="J2087">
        <v>214</v>
      </c>
      <c r="K2087">
        <v>220</v>
      </c>
      <c r="L2087">
        <v>225</v>
      </c>
      <c r="M2087">
        <v>231</v>
      </c>
      <c r="N2087" t="s">
        <v>988</v>
      </c>
    </row>
    <row r="2088" spans="1:14" x14ac:dyDescent="0.3">
      <c r="A2088">
        <v>2215</v>
      </c>
      <c r="B2088" t="s">
        <v>1954</v>
      </c>
      <c r="C2088" t="s">
        <v>2256</v>
      </c>
      <c r="D2088" t="s">
        <v>1203</v>
      </c>
      <c r="E2088" t="s">
        <v>1204</v>
      </c>
      <c r="F2088">
        <v>5515</v>
      </c>
      <c r="G2088" t="s">
        <v>696</v>
      </c>
      <c r="H2088" t="s">
        <v>2432</v>
      </c>
      <c r="I2088">
        <v>1782</v>
      </c>
      <c r="J2088">
        <v>1830</v>
      </c>
      <c r="K2088">
        <v>1878</v>
      </c>
      <c r="L2088">
        <v>1928</v>
      </c>
      <c r="M2088">
        <v>1979</v>
      </c>
      <c r="N2088" t="s">
        <v>988</v>
      </c>
    </row>
    <row r="2089" spans="1:14" x14ac:dyDescent="0.3">
      <c r="A2089">
        <v>2217</v>
      </c>
      <c r="B2089" t="s">
        <v>1955</v>
      </c>
      <c r="C2089" t="s">
        <v>2256</v>
      </c>
      <c r="D2089" t="s">
        <v>159</v>
      </c>
      <c r="E2089" t="s">
        <v>159</v>
      </c>
      <c r="F2089">
        <v>5768</v>
      </c>
      <c r="G2089" t="s">
        <v>700</v>
      </c>
      <c r="H2089" t="s">
        <v>2433</v>
      </c>
      <c r="I2089">
        <v>1075</v>
      </c>
      <c r="J2089">
        <v>1269</v>
      </c>
      <c r="K2089">
        <v>1364</v>
      </c>
      <c r="L2089">
        <v>1466</v>
      </c>
      <c r="M2089">
        <v>1466</v>
      </c>
      <c r="N2089" t="s">
        <v>988</v>
      </c>
    </row>
    <row r="2090" spans="1:14" x14ac:dyDescent="0.3">
      <c r="A2090">
        <v>2217</v>
      </c>
      <c r="B2090" t="s">
        <v>1955</v>
      </c>
      <c r="C2090" t="s">
        <v>2256</v>
      </c>
      <c r="D2090" t="s">
        <v>159</v>
      </c>
      <c r="E2090" t="s">
        <v>159</v>
      </c>
      <c r="F2090">
        <v>5768</v>
      </c>
      <c r="G2090" t="s">
        <v>698</v>
      </c>
      <c r="I2090">
        <v>2674</v>
      </c>
      <c r="J2090">
        <v>2584</v>
      </c>
      <c r="K2090">
        <v>2553</v>
      </c>
      <c r="L2090">
        <v>2452</v>
      </c>
      <c r="M2090">
        <v>2436</v>
      </c>
      <c r="N2090" t="s">
        <v>988</v>
      </c>
    </row>
    <row r="2091" spans="1:14" x14ac:dyDescent="0.3">
      <c r="A2091">
        <v>2217</v>
      </c>
      <c r="B2091" t="s">
        <v>1955</v>
      </c>
      <c r="C2091" t="s">
        <v>2256</v>
      </c>
      <c r="D2091" t="s">
        <v>159</v>
      </c>
      <c r="E2091" t="s">
        <v>159</v>
      </c>
      <c r="F2091">
        <v>5768</v>
      </c>
      <c r="G2091" t="s">
        <v>686</v>
      </c>
      <c r="I2091">
        <v>1147</v>
      </c>
      <c r="J2091">
        <v>1142</v>
      </c>
      <c r="K2091">
        <v>1159</v>
      </c>
      <c r="L2091">
        <v>1132</v>
      </c>
      <c r="M2091">
        <v>1125</v>
      </c>
      <c r="N2091" t="s">
        <v>988</v>
      </c>
    </row>
    <row r="2092" spans="1:14" x14ac:dyDescent="0.3">
      <c r="A2092">
        <v>2217</v>
      </c>
      <c r="B2092" t="s">
        <v>1955</v>
      </c>
      <c r="C2092" t="s">
        <v>2256</v>
      </c>
      <c r="D2092" t="s">
        <v>159</v>
      </c>
      <c r="E2092" t="s">
        <v>159</v>
      </c>
      <c r="F2092">
        <v>5768</v>
      </c>
      <c r="G2092" t="s">
        <v>705</v>
      </c>
      <c r="H2092" t="s">
        <v>1958</v>
      </c>
      <c r="I2092">
        <v>150</v>
      </c>
      <c r="J2092">
        <v>150</v>
      </c>
      <c r="K2092">
        <v>150</v>
      </c>
      <c r="L2092">
        <v>150</v>
      </c>
      <c r="M2092">
        <v>150</v>
      </c>
      <c r="N2092" t="s">
        <v>988</v>
      </c>
    </row>
    <row r="2093" spans="1:14" x14ac:dyDescent="0.3">
      <c r="A2093">
        <v>2217</v>
      </c>
      <c r="B2093" t="s">
        <v>1955</v>
      </c>
      <c r="C2093" t="s">
        <v>2256</v>
      </c>
      <c r="D2093" t="s">
        <v>159</v>
      </c>
      <c r="E2093" t="s">
        <v>159</v>
      </c>
      <c r="F2093">
        <v>5768</v>
      </c>
      <c r="G2093" t="s">
        <v>702</v>
      </c>
      <c r="I2093">
        <v>3222</v>
      </c>
      <c r="J2093">
        <v>3122</v>
      </c>
      <c r="K2093">
        <v>3072</v>
      </c>
      <c r="L2093">
        <v>3047</v>
      </c>
      <c r="M2093">
        <v>3047</v>
      </c>
      <c r="N2093" t="s">
        <v>988</v>
      </c>
    </row>
    <row r="2094" spans="1:14" x14ac:dyDescent="0.3">
      <c r="A2094">
        <v>2217</v>
      </c>
      <c r="B2094" t="s">
        <v>1955</v>
      </c>
      <c r="C2094" t="s">
        <v>2256</v>
      </c>
      <c r="D2094" t="s">
        <v>159</v>
      </c>
      <c r="E2094" t="s">
        <v>159</v>
      </c>
      <c r="F2094">
        <v>5768</v>
      </c>
      <c r="G2094" t="s">
        <v>696</v>
      </c>
      <c r="I2094">
        <v>14517</v>
      </c>
      <c r="J2094">
        <v>14868</v>
      </c>
      <c r="K2094">
        <v>15601</v>
      </c>
      <c r="L2094">
        <v>15085</v>
      </c>
      <c r="M2094">
        <v>14935</v>
      </c>
      <c r="N2094" t="s">
        <v>988</v>
      </c>
    </row>
    <row r="2095" spans="1:14" x14ac:dyDescent="0.3">
      <c r="A2095">
        <v>2218</v>
      </c>
      <c r="B2095" t="s">
        <v>1959</v>
      </c>
      <c r="C2095" t="s">
        <v>2256</v>
      </c>
      <c r="D2095" t="s">
        <v>1203</v>
      </c>
      <c r="E2095" t="s">
        <v>1204</v>
      </c>
      <c r="F2095">
        <v>5796</v>
      </c>
      <c r="G2095" t="s">
        <v>701</v>
      </c>
      <c r="I2095">
        <v>786</v>
      </c>
      <c r="J2095">
        <v>823</v>
      </c>
      <c r="K2095">
        <v>860</v>
      </c>
      <c r="L2095">
        <v>897</v>
      </c>
      <c r="M2095">
        <v>911</v>
      </c>
      <c r="N2095" t="s">
        <v>988</v>
      </c>
    </row>
    <row r="2096" spans="1:14" x14ac:dyDescent="0.3">
      <c r="A2096">
        <v>2218</v>
      </c>
      <c r="B2096" t="s">
        <v>1959</v>
      </c>
      <c r="C2096" t="s">
        <v>2256</v>
      </c>
      <c r="D2096" t="s">
        <v>1203</v>
      </c>
      <c r="E2096" t="s">
        <v>1204</v>
      </c>
      <c r="F2096">
        <v>5796</v>
      </c>
      <c r="G2096" t="s">
        <v>705</v>
      </c>
      <c r="H2096" t="s">
        <v>2434</v>
      </c>
      <c r="I2096">
        <v>20</v>
      </c>
      <c r="J2096">
        <v>20</v>
      </c>
      <c r="K2096">
        <v>20</v>
      </c>
      <c r="L2096">
        <v>20</v>
      </c>
      <c r="M2096">
        <v>20</v>
      </c>
      <c r="N2096" t="s">
        <v>988</v>
      </c>
    </row>
    <row r="2097" spans="1:14" x14ac:dyDescent="0.3">
      <c r="A2097">
        <v>2218</v>
      </c>
      <c r="B2097" t="s">
        <v>1959</v>
      </c>
      <c r="C2097" t="s">
        <v>2256</v>
      </c>
      <c r="D2097" t="s">
        <v>1203</v>
      </c>
      <c r="E2097" t="s">
        <v>1204</v>
      </c>
      <c r="F2097">
        <v>5796</v>
      </c>
      <c r="G2097" t="s">
        <v>702</v>
      </c>
      <c r="I2097">
        <v>1557</v>
      </c>
      <c r="J2097">
        <v>1630</v>
      </c>
      <c r="K2097">
        <v>1704</v>
      </c>
      <c r="L2097">
        <v>1777</v>
      </c>
      <c r="M2097">
        <v>1804</v>
      </c>
      <c r="N2097" t="s">
        <v>988</v>
      </c>
    </row>
    <row r="2098" spans="1:14" x14ac:dyDescent="0.3">
      <c r="A2098">
        <v>2218</v>
      </c>
      <c r="B2098" t="s">
        <v>1959</v>
      </c>
      <c r="C2098" t="s">
        <v>2256</v>
      </c>
      <c r="D2098" t="s">
        <v>1203</v>
      </c>
      <c r="E2098" t="s">
        <v>1204</v>
      </c>
      <c r="F2098">
        <v>5796</v>
      </c>
      <c r="G2098" t="s">
        <v>705</v>
      </c>
      <c r="H2098" t="s">
        <v>2435</v>
      </c>
      <c r="I2098">
        <v>800</v>
      </c>
      <c r="J2098">
        <v>900</v>
      </c>
      <c r="K2098">
        <v>900</v>
      </c>
      <c r="L2098">
        <v>900</v>
      </c>
      <c r="M2098">
        <v>900</v>
      </c>
      <c r="N2098" t="s">
        <v>988</v>
      </c>
    </row>
    <row r="2099" spans="1:14" x14ac:dyDescent="0.3">
      <c r="A2099">
        <v>2218</v>
      </c>
      <c r="B2099" t="s">
        <v>1959</v>
      </c>
      <c r="C2099" t="s">
        <v>2256</v>
      </c>
      <c r="D2099" t="s">
        <v>1203</v>
      </c>
      <c r="E2099" t="s">
        <v>1204</v>
      </c>
      <c r="F2099">
        <v>5796</v>
      </c>
      <c r="G2099" t="s">
        <v>705</v>
      </c>
      <c r="H2099" t="s">
        <v>1960</v>
      </c>
      <c r="I2099">
        <v>1000</v>
      </c>
      <c r="J2099">
        <v>2500</v>
      </c>
      <c r="K2099">
        <v>2500</v>
      </c>
      <c r="L2099">
        <v>2500</v>
      </c>
      <c r="M2099">
        <v>2500</v>
      </c>
      <c r="N2099" t="s">
        <v>988</v>
      </c>
    </row>
    <row r="2100" spans="1:14" x14ac:dyDescent="0.3">
      <c r="A2100">
        <v>2218</v>
      </c>
      <c r="B2100" t="s">
        <v>1959</v>
      </c>
      <c r="C2100" t="s">
        <v>2256</v>
      </c>
      <c r="D2100" t="s">
        <v>1203</v>
      </c>
      <c r="E2100" t="s">
        <v>1204</v>
      </c>
      <c r="F2100">
        <v>5796</v>
      </c>
      <c r="G2100" t="s">
        <v>687</v>
      </c>
      <c r="H2100" t="s">
        <v>687</v>
      </c>
      <c r="I2100">
        <v>277</v>
      </c>
      <c r="J2100">
        <v>290</v>
      </c>
      <c r="K2100">
        <v>303</v>
      </c>
      <c r="L2100">
        <v>316</v>
      </c>
      <c r="M2100">
        <v>320</v>
      </c>
      <c r="N2100" t="s">
        <v>988</v>
      </c>
    </row>
    <row r="2101" spans="1:14" x14ac:dyDescent="0.3">
      <c r="A2101">
        <v>2218</v>
      </c>
      <c r="B2101" t="s">
        <v>1959</v>
      </c>
      <c r="C2101" t="s">
        <v>2256</v>
      </c>
      <c r="D2101" t="s">
        <v>1203</v>
      </c>
      <c r="E2101" t="s">
        <v>1204</v>
      </c>
      <c r="F2101">
        <v>5796</v>
      </c>
      <c r="G2101" t="s">
        <v>700</v>
      </c>
      <c r="H2101" t="s">
        <v>2436</v>
      </c>
      <c r="I2101">
        <v>2124</v>
      </c>
      <c r="J2101">
        <v>2223</v>
      </c>
      <c r="K2101">
        <v>2323</v>
      </c>
      <c r="L2101">
        <v>2423</v>
      </c>
      <c r="M2101">
        <v>2460</v>
      </c>
      <c r="N2101" t="s">
        <v>988</v>
      </c>
    </row>
    <row r="2102" spans="1:14" x14ac:dyDescent="0.3">
      <c r="A2102">
        <v>2218</v>
      </c>
      <c r="B2102" t="s">
        <v>1959</v>
      </c>
      <c r="C2102" t="s">
        <v>2256</v>
      </c>
      <c r="D2102" t="s">
        <v>1203</v>
      </c>
      <c r="E2102" t="s">
        <v>1204</v>
      </c>
      <c r="F2102">
        <v>5796</v>
      </c>
      <c r="G2102" t="s">
        <v>698</v>
      </c>
      <c r="H2102" t="s">
        <v>2436</v>
      </c>
      <c r="I2102">
        <v>2053</v>
      </c>
      <c r="J2102">
        <v>2149</v>
      </c>
      <c r="K2102">
        <v>2246</v>
      </c>
      <c r="L2102">
        <v>2343</v>
      </c>
      <c r="M2102">
        <v>2378</v>
      </c>
      <c r="N2102" t="s">
        <v>988</v>
      </c>
    </row>
    <row r="2103" spans="1:14" x14ac:dyDescent="0.3">
      <c r="A2103">
        <v>2218</v>
      </c>
      <c r="B2103" t="s">
        <v>1959</v>
      </c>
      <c r="C2103" t="s">
        <v>2256</v>
      </c>
      <c r="D2103" t="s">
        <v>1203</v>
      </c>
      <c r="E2103" t="s">
        <v>1204</v>
      </c>
      <c r="F2103">
        <v>5796</v>
      </c>
      <c r="G2103" t="s">
        <v>696</v>
      </c>
      <c r="I2103">
        <v>5878</v>
      </c>
      <c r="J2103">
        <v>6155</v>
      </c>
      <c r="K2103">
        <v>6432</v>
      </c>
      <c r="L2103">
        <v>6708</v>
      </c>
      <c r="M2103">
        <v>6809</v>
      </c>
      <c r="N2103" t="s">
        <v>988</v>
      </c>
    </row>
    <row r="2104" spans="1:14" x14ac:dyDescent="0.3">
      <c r="A2104">
        <v>2218</v>
      </c>
      <c r="B2104" t="s">
        <v>1959</v>
      </c>
      <c r="C2104" t="s">
        <v>2256</v>
      </c>
      <c r="D2104" t="s">
        <v>1203</v>
      </c>
      <c r="E2104" t="s">
        <v>1204</v>
      </c>
      <c r="F2104">
        <v>5796</v>
      </c>
      <c r="G2104" t="s">
        <v>686</v>
      </c>
      <c r="I2104">
        <v>531</v>
      </c>
      <c r="J2104">
        <v>556</v>
      </c>
      <c r="K2104">
        <v>581</v>
      </c>
      <c r="L2104">
        <v>606</v>
      </c>
      <c r="M2104">
        <v>615</v>
      </c>
      <c r="N2104" t="s">
        <v>988</v>
      </c>
    </row>
    <row r="2105" spans="1:14" x14ac:dyDescent="0.3">
      <c r="A2105">
        <v>2220</v>
      </c>
      <c r="B2105" t="s">
        <v>1962</v>
      </c>
      <c r="C2105" t="s">
        <v>2256</v>
      </c>
      <c r="D2105" t="s">
        <v>159</v>
      </c>
      <c r="E2105" t="s">
        <v>159</v>
      </c>
      <c r="F2105">
        <v>6742</v>
      </c>
      <c r="G2105" t="s">
        <v>696</v>
      </c>
      <c r="I2105">
        <v>2646</v>
      </c>
      <c r="J2105">
        <v>2646</v>
      </c>
      <c r="K2105">
        <v>2646</v>
      </c>
      <c r="L2105">
        <v>2646</v>
      </c>
      <c r="N2105" t="s">
        <v>988</v>
      </c>
    </row>
    <row r="2106" spans="1:14" x14ac:dyDescent="0.3">
      <c r="A2106">
        <v>2220</v>
      </c>
      <c r="B2106" t="s">
        <v>1962</v>
      </c>
      <c r="C2106" t="s">
        <v>2256</v>
      </c>
      <c r="D2106" t="s">
        <v>159</v>
      </c>
      <c r="E2106" t="s">
        <v>159</v>
      </c>
      <c r="F2106">
        <v>6742</v>
      </c>
      <c r="G2106" t="s">
        <v>700</v>
      </c>
      <c r="H2106" t="s">
        <v>1963</v>
      </c>
      <c r="I2106">
        <v>2992</v>
      </c>
      <c r="J2106">
        <v>3036</v>
      </c>
      <c r="K2106">
        <v>3081</v>
      </c>
      <c r="L2106">
        <v>3126</v>
      </c>
      <c r="N2106" t="s">
        <v>988</v>
      </c>
    </row>
    <row r="2107" spans="1:14" x14ac:dyDescent="0.3">
      <c r="A2107">
        <v>2220</v>
      </c>
      <c r="B2107" t="s">
        <v>1962</v>
      </c>
      <c r="C2107" t="s">
        <v>2256</v>
      </c>
      <c r="D2107" t="s">
        <v>159</v>
      </c>
      <c r="E2107" t="s">
        <v>159</v>
      </c>
      <c r="F2107">
        <v>6742</v>
      </c>
      <c r="G2107" t="s">
        <v>686</v>
      </c>
      <c r="I2107">
        <v>601</v>
      </c>
      <c r="J2107">
        <v>640</v>
      </c>
      <c r="K2107">
        <v>644</v>
      </c>
      <c r="L2107">
        <v>648</v>
      </c>
      <c r="N2107" t="s">
        <v>988</v>
      </c>
    </row>
    <row r="2108" spans="1:14" x14ac:dyDescent="0.3">
      <c r="A2108">
        <v>2220</v>
      </c>
      <c r="B2108" t="s">
        <v>1962</v>
      </c>
      <c r="C2108" t="s">
        <v>2256</v>
      </c>
      <c r="D2108" t="s">
        <v>159</v>
      </c>
      <c r="E2108" t="s">
        <v>159</v>
      </c>
      <c r="F2108">
        <v>6742</v>
      </c>
      <c r="G2108" t="s">
        <v>691</v>
      </c>
      <c r="I2108">
        <v>3</v>
      </c>
      <c r="J2108">
        <v>3</v>
      </c>
      <c r="K2108">
        <v>3</v>
      </c>
      <c r="L2108">
        <v>3</v>
      </c>
      <c r="N2108" t="s">
        <v>988</v>
      </c>
    </row>
    <row r="2109" spans="1:14" x14ac:dyDescent="0.3">
      <c r="A2109">
        <v>2220</v>
      </c>
      <c r="B2109" t="s">
        <v>1962</v>
      </c>
      <c r="C2109" t="s">
        <v>2256</v>
      </c>
      <c r="D2109" t="s">
        <v>159</v>
      </c>
      <c r="E2109" t="s">
        <v>159</v>
      </c>
      <c r="F2109">
        <v>6742</v>
      </c>
      <c r="G2109" t="s">
        <v>702</v>
      </c>
      <c r="I2109">
        <v>446</v>
      </c>
      <c r="J2109">
        <v>446</v>
      </c>
      <c r="K2109">
        <v>446</v>
      </c>
      <c r="L2109">
        <v>446</v>
      </c>
      <c r="N2109" t="s">
        <v>988</v>
      </c>
    </row>
    <row r="2110" spans="1:14" x14ac:dyDescent="0.3">
      <c r="A2110">
        <v>2220</v>
      </c>
      <c r="B2110" t="s">
        <v>1962</v>
      </c>
      <c r="C2110" t="s">
        <v>2256</v>
      </c>
      <c r="D2110" t="s">
        <v>159</v>
      </c>
      <c r="E2110" t="s">
        <v>159</v>
      </c>
      <c r="F2110">
        <v>6742</v>
      </c>
      <c r="G2110" t="s">
        <v>698</v>
      </c>
      <c r="I2110">
        <v>5533</v>
      </c>
      <c r="J2110">
        <v>6261</v>
      </c>
      <c r="K2110">
        <v>6288</v>
      </c>
      <c r="L2110">
        <v>6324</v>
      </c>
      <c r="N2110" t="s">
        <v>988</v>
      </c>
    </row>
    <row r="2111" spans="1:14" x14ac:dyDescent="0.3">
      <c r="A2111">
        <v>2220</v>
      </c>
      <c r="B2111" t="s">
        <v>1962</v>
      </c>
      <c r="C2111" t="s">
        <v>2256</v>
      </c>
      <c r="D2111" t="s">
        <v>159</v>
      </c>
      <c r="E2111" t="s">
        <v>159</v>
      </c>
      <c r="F2111">
        <v>6742</v>
      </c>
      <c r="G2111" t="s">
        <v>703</v>
      </c>
      <c r="I2111">
        <v>409</v>
      </c>
      <c r="J2111">
        <v>409</v>
      </c>
      <c r="K2111">
        <v>409</v>
      </c>
      <c r="L2111">
        <v>409</v>
      </c>
      <c r="N2111" t="s">
        <v>988</v>
      </c>
    </row>
    <row r="2112" spans="1:14" x14ac:dyDescent="0.3">
      <c r="A2112">
        <v>2222</v>
      </c>
      <c r="B2112" t="s">
        <v>1964</v>
      </c>
      <c r="C2112" t="s">
        <v>2256</v>
      </c>
      <c r="D2112" t="s">
        <v>1203</v>
      </c>
      <c r="E2112" t="s">
        <v>1204</v>
      </c>
      <c r="F2112">
        <v>5644</v>
      </c>
      <c r="G2112" t="s">
        <v>702</v>
      </c>
      <c r="I2112">
        <v>49</v>
      </c>
      <c r="J2112">
        <v>49</v>
      </c>
      <c r="K2112">
        <v>49</v>
      </c>
      <c r="L2112">
        <v>49</v>
      </c>
      <c r="N2112" t="s">
        <v>988</v>
      </c>
    </row>
    <row r="2113" spans="1:14" x14ac:dyDescent="0.3">
      <c r="A2113">
        <v>2222</v>
      </c>
      <c r="B2113" t="s">
        <v>1964</v>
      </c>
      <c r="C2113" t="s">
        <v>2256</v>
      </c>
      <c r="D2113" t="s">
        <v>1203</v>
      </c>
      <c r="E2113" t="s">
        <v>1204</v>
      </c>
      <c r="F2113">
        <v>5644</v>
      </c>
      <c r="G2113" t="s">
        <v>686</v>
      </c>
      <c r="I2113">
        <v>306</v>
      </c>
      <c r="J2113">
        <v>320</v>
      </c>
      <c r="K2113">
        <v>334</v>
      </c>
      <c r="L2113">
        <v>349</v>
      </c>
      <c r="N2113" t="s">
        <v>988</v>
      </c>
    </row>
    <row r="2114" spans="1:14" x14ac:dyDescent="0.3">
      <c r="A2114">
        <v>2222</v>
      </c>
      <c r="B2114" t="s">
        <v>1964</v>
      </c>
      <c r="C2114" t="s">
        <v>2256</v>
      </c>
      <c r="D2114" t="s">
        <v>1203</v>
      </c>
      <c r="E2114" t="s">
        <v>1204</v>
      </c>
      <c r="F2114">
        <v>5644</v>
      </c>
      <c r="G2114" t="s">
        <v>705</v>
      </c>
      <c r="H2114" t="s">
        <v>1965</v>
      </c>
      <c r="I2114">
        <v>44</v>
      </c>
      <c r="J2114">
        <v>44</v>
      </c>
      <c r="K2114">
        <v>44</v>
      </c>
      <c r="L2114">
        <v>44</v>
      </c>
      <c r="N2114" t="s">
        <v>988</v>
      </c>
    </row>
    <row r="2115" spans="1:14" x14ac:dyDescent="0.3">
      <c r="A2115">
        <v>2222</v>
      </c>
      <c r="B2115" t="s">
        <v>1964</v>
      </c>
      <c r="C2115" t="s">
        <v>2256</v>
      </c>
      <c r="D2115" t="s">
        <v>1203</v>
      </c>
      <c r="E2115" t="s">
        <v>1204</v>
      </c>
      <c r="F2115">
        <v>5644</v>
      </c>
      <c r="G2115" t="s">
        <v>687</v>
      </c>
      <c r="I2115">
        <v>22</v>
      </c>
      <c r="J2115">
        <v>22</v>
      </c>
      <c r="K2115">
        <v>22</v>
      </c>
      <c r="L2115">
        <v>22</v>
      </c>
      <c r="N2115" t="s">
        <v>988</v>
      </c>
    </row>
    <row r="2116" spans="1:14" x14ac:dyDescent="0.3">
      <c r="A2116">
        <v>2222</v>
      </c>
      <c r="B2116" t="s">
        <v>1964</v>
      </c>
      <c r="C2116" t="s">
        <v>2256</v>
      </c>
      <c r="D2116" t="s">
        <v>1203</v>
      </c>
      <c r="E2116" t="s">
        <v>1204</v>
      </c>
      <c r="F2116">
        <v>5644</v>
      </c>
      <c r="G2116" t="s">
        <v>701</v>
      </c>
      <c r="I2116">
        <v>52</v>
      </c>
      <c r="J2116">
        <v>54</v>
      </c>
      <c r="K2116">
        <v>55</v>
      </c>
      <c r="L2116">
        <v>57</v>
      </c>
      <c r="N2116" t="s">
        <v>988</v>
      </c>
    </row>
    <row r="2117" spans="1:14" x14ac:dyDescent="0.3">
      <c r="A2117">
        <v>2222</v>
      </c>
      <c r="B2117" t="s">
        <v>1964</v>
      </c>
      <c r="C2117" t="s">
        <v>2256</v>
      </c>
      <c r="D2117" t="s">
        <v>1203</v>
      </c>
      <c r="E2117" t="s">
        <v>1204</v>
      </c>
      <c r="F2117">
        <v>5644</v>
      </c>
      <c r="G2117" t="s">
        <v>700</v>
      </c>
      <c r="I2117">
        <v>560</v>
      </c>
      <c r="J2117">
        <v>594</v>
      </c>
      <c r="K2117">
        <v>628</v>
      </c>
      <c r="L2117">
        <v>662</v>
      </c>
      <c r="N2117" t="s">
        <v>988</v>
      </c>
    </row>
    <row r="2118" spans="1:14" x14ac:dyDescent="0.3">
      <c r="A2118">
        <v>2222</v>
      </c>
      <c r="B2118" t="s">
        <v>1964</v>
      </c>
      <c r="C2118" t="s">
        <v>2256</v>
      </c>
      <c r="D2118" t="s">
        <v>1203</v>
      </c>
      <c r="E2118" t="s">
        <v>1204</v>
      </c>
      <c r="F2118">
        <v>5644</v>
      </c>
      <c r="G2118" t="s">
        <v>698</v>
      </c>
      <c r="I2118">
        <v>1014</v>
      </c>
      <c r="J2118">
        <v>1087</v>
      </c>
      <c r="K2118">
        <v>1161</v>
      </c>
      <c r="L2118">
        <v>1234</v>
      </c>
      <c r="N2118" t="s">
        <v>988</v>
      </c>
    </row>
    <row r="2119" spans="1:14" x14ac:dyDescent="0.3">
      <c r="A2119">
        <v>2222</v>
      </c>
      <c r="B2119" t="s">
        <v>1964</v>
      </c>
      <c r="C2119" t="s">
        <v>2256</v>
      </c>
      <c r="D2119" t="s">
        <v>1203</v>
      </c>
      <c r="E2119" t="s">
        <v>1204</v>
      </c>
      <c r="F2119">
        <v>5644</v>
      </c>
      <c r="G2119" t="s">
        <v>696</v>
      </c>
      <c r="I2119">
        <v>2464</v>
      </c>
      <c r="J2119">
        <v>2643</v>
      </c>
      <c r="K2119">
        <v>2822</v>
      </c>
      <c r="L2119">
        <v>3001</v>
      </c>
      <c r="N2119" t="s">
        <v>988</v>
      </c>
    </row>
    <row r="2120" spans="1:14" x14ac:dyDescent="0.3">
      <c r="A2120">
        <v>2224</v>
      </c>
      <c r="B2120" t="s">
        <v>1966</v>
      </c>
      <c r="C2120" t="s">
        <v>2256</v>
      </c>
      <c r="D2120" t="s">
        <v>159</v>
      </c>
      <c r="E2120" t="s">
        <v>159</v>
      </c>
      <c r="F2120">
        <v>8051</v>
      </c>
      <c r="G2120" t="s">
        <v>691</v>
      </c>
      <c r="H2120" t="s">
        <v>1205</v>
      </c>
      <c r="I2120">
        <v>608</v>
      </c>
      <c r="J2120">
        <v>670</v>
      </c>
      <c r="K2120">
        <v>714</v>
      </c>
      <c r="L2120">
        <v>741</v>
      </c>
      <c r="M2120">
        <v>765</v>
      </c>
      <c r="N2120" t="s">
        <v>988</v>
      </c>
    </row>
    <row r="2121" spans="1:14" x14ac:dyDescent="0.3">
      <c r="A2121">
        <v>2224</v>
      </c>
      <c r="B2121" t="s">
        <v>1966</v>
      </c>
      <c r="C2121" t="s">
        <v>2256</v>
      </c>
      <c r="D2121" t="s">
        <v>159</v>
      </c>
      <c r="E2121" t="s">
        <v>159</v>
      </c>
      <c r="F2121">
        <v>8051</v>
      </c>
      <c r="G2121" t="s">
        <v>686</v>
      </c>
      <c r="H2121" t="s">
        <v>1205</v>
      </c>
      <c r="I2121">
        <v>1442</v>
      </c>
      <c r="J2121">
        <v>1537</v>
      </c>
      <c r="K2121">
        <v>1575</v>
      </c>
      <c r="L2121">
        <v>1621</v>
      </c>
      <c r="M2121">
        <v>1672</v>
      </c>
      <c r="N2121" t="s">
        <v>988</v>
      </c>
    </row>
    <row r="2122" spans="1:14" x14ac:dyDescent="0.3">
      <c r="A2122">
        <v>2224</v>
      </c>
      <c r="B2122" t="s">
        <v>1966</v>
      </c>
      <c r="C2122" t="s">
        <v>2256</v>
      </c>
      <c r="D2122" t="s">
        <v>159</v>
      </c>
      <c r="E2122" t="s">
        <v>159</v>
      </c>
      <c r="F2122">
        <v>8051</v>
      </c>
      <c r="G2122" t="s">
        <v>705</v>
      </c>
      <c r="I2122">
        <v>0</v>
      </c>
      <c r="J2122">
        <v>0</v>
      </c>
      <c r="K2122">
        <v>0</v>
      </c>
      <c r="L2122">
        <v>0</v>
      </c>
      <c r="M2122">
        <v>0</v>
      </c>
      <c r="N2122" t="s">
        <v>988</v>
      </c>
    </row>
    <row r="2123" spans="1:14" x14ac:dyDescent="0.3">
      <c r="A2123">
        <v>2224</v>
      </c>
      <c r="B2123" t="s">
        <v>1966</v>
      </c>
      <c r="C2123" t="s">
        <v>2256</v>
      </c>
      <c r="D2123" t="s">
        <v>159</v>
      </c>
      <c r="E2123" t="s">
        <v>159</v>
      </c>
      <c r="F2123">
        <v>8051</v>
      </c>
      <c r="G2123" t="s">
        <v>705</v>
      </c>
      <c r="I2123">
        <v>0</v>
      </c>
      <c r="J2123">
        <v>0</v>
      </c>
      <c r="K2123">
        <v>0</v>
      </c>
      <c r="L2123">
        <v>0</v>
      </c>
      <c r="M2123">
        <v>0</v>
      </c>
      <c r="N2123" t="s">
        <v>988</v>
      </c>
    </row>
    <row r="2124" spans="1:14" x14ac:dyDescent="0.3">
      <c r="A2124">
        <v>2224</v>
      </c>
      <c r="B2124" t="s">
        <v>1966</v>
      </c>
      <c r="C2124" t="s">
        <v>2256</v>
      </c>
      <c r="D2124" t="s">
        <v>159</v>
      </c>
      <c r="E2124" t="s">
        <v>159</v>
      </c>
      <c r="F2124">
        <v>8051</v>
      </c>
      <c r="G2124" t="s">
        <v>694</v>
      </c>
      <c r="I2124">
        <v>0</v>
      </c>
      <c r="J2124">
        <v>0</v>
      </c>
      <c r="K2124">
        <v>0</v>
      </c>
      <c r="L2124">
        <v>0</v>
      </c>
      <c r="M2124">
        <v>0</v>
      </c>
      <c r="N2124" t="s">
        <v>988</v>
      </c>
    </row>
    <row r="2125" spans="1:14" x14ac:dyDescent="0.3">
      <c r="A2125">
        <v>2224</v>
      </c>
      <c r="B2125" t="s">
        <v>1966</v>
      </c>
      <c r="C2125" t="s">
        <v>2256</v>
      </c>
      <c r="D2125" t="s">
        <v>159</v>
      </c>
      <c r="E2125" t="s">
        <v>159</v>
      </c>
      <c r="F2125">
        <v>8051</v>
      </c>
      <c r="G2125" t="s">
        <v>696</v>
      </c>
      <c r="H2125" t="s">
        <v>1205</v>
      </c>
      <c r="I2125">
        <v>10619</v>
      </c>
      <c r="J2125">
        <v>11401</v>
      </c>
      <c r="K2125">
        <v>11719</v>
      </c>
      <c r="L2125">
        <v>12103</v>
      </c>
      <c r="M2125">
        <v>12530</v>
      </c>
      <c r="N2125" t="s">
        <v>988</v>
      </c>
    </row>
    <row r="2126" spans="1:14" x14ac:dyDescent="0.3">
      <c r="A2126">
        <v>2224</v>
      </c>
      <c r="B2126" t="s">
        <v>1966</v>
      </c>
      <c r="C2126" t="s">
        <v>2256</v>
      </c>
      <c r="D2126" t="s">
        <v>159</v>
      </c>
      <c r="E2126" t="s">
        <v>159</v>
      </c>
      <c r="F2126">
        <v>8051</v>
      </c>
      <c r="G2126" t="s">
        <v>698</v>
      </c>
      <c r="H2126" t="s">
        <v>1205</v>
      </c>
      <c r="I2126">
        <v>3272</v>
      </c>
      <c r="J2126">
        <v>3410</v>
      </c>
      <c r="K2126">
        <v>3422</v>
      </c>
      <c r="L2126">
        <v>3469</v>
      </c>
      <c r="M2126">
        <v>3545</v>
      </c>
      <c r="N2126" t="s">
        <v>988</v>
      </c>
    </row>
    <row r="2127" spans="1:14" x14ac:dyDescent="0.3">
      <c r="A2127">
        <v>2224</v>
      </c>
      <c r="B2127" t="s">
        <v>1966</v>
      </c>
      <c r="C2127" t="s">
        <v>2256</v>
      </c>
      <c r="D2127" t="s">
        <v>159</v>
      </c>
      <c r="E2127" t="s">
        <v>159</v>
      </c>
      <c r="F2127">
        <v>8051</v>
      </c>
      <c r="G2127" t="s">
        <v>706</v>
      </c>
      <c r="I2127">
        <v>0</v>
      </c>
      <c r="J2127">
        <v>0</v>
      </c>
      <c r="K2127">
        <v>0</v>
      </c>
      <c r="L2127">
        <v>0</v>
      </c>
      <c r="M2127">
        <v>0</v>
      </c>
      <c r="N2127" t="s">
        <v>988</v>
      </c>
    </row>
    <row r="2128" spans="1:14" x14ac:dyDescent="0.3">
      <c r="A2128">
        <v>2224</v>
      </c>
      <c r="B2128" t="s">
        <v>1966</v>
      </c>
      <c r="C2128" t="s">
        <v>2256</v>
      </c>
      <c r="D2128" t="s">
        <v>159</v>
      </c>
      <c r="E2128" t="s">
        <v>159</v>
      </c>
      <c r="F2128">
        <v>8051</v>
      </c>
      <c r="G2128" t="s">
        <v>690</v>
      </c>
      <c r="I2128">
        <v>0</v>
      </c>
      <c r="J2128">
        <v>0</v>
      </c>
      <c r="K2128">
        <v>0</v>
      </c>
      <c r="L2128">
        <v>0</v>
      </c>
      <c r="M2128">
        <v>0</v>
      </c>
      <c r="N2128" t="s">
        <v>988</v>
      </c>
    </row>
    <row r="2129" spans="1:14" x14ac:dyDescent="0.3">
      <c r="A2129">
        <v>2224</v>
      </c>
      <c r="B2129" t="s">
        <v>1966</v>
      </c>
      <c r="C2129" t="s">
        <v>2256</v>
      </c>
      <c r="D2129" t="s">
        <v>159</v>
      </c>
      <c r="E2129" t="s">
        <v>159</v>
      </c>
      <c r="F2129">
        <v>8051</v>
      </c>
      <c r="G2129" t="s">
        <v>702</v>
      </c>
      <c r="H2129" t="s">
        <v>1205</v>
      </c>
      <c r="I2129">
        <v>2470</v>
      </c>
      <c r="J2129">
        <v>2910</v>
      </c>
      <c r="K2129">
        <v>3123</v>
      </c>
      <c r="L2129">
        <v>3351</v>
      </c>
      <c r="M2129">
        <v>3589</v>
      </c>
      <c r="N2129" t="s">
        <v>988</v>
      </c>
    </row>
    <row r="2130" spans="1:14" x14ac:dyDescent="0.3">
      <c r="A2130">
        <v>2224</v>
      </c>
      <c r="B2130" t="s">
        <v>1966</v>
      </c>
      <c r="C2130" t="s">
        <v>2256</v>
      </c>
      <c r="D2130" t="s">
        <v>159</v>
      </c>
      <c r="E2130" t="s">
        <v>159</v>
      </c>
      <c r="F2130">
        <v>8051</v>
      </c>
      <c r="G2130" t="s">
        <v>703</v>
      </c>
      <c r="H2130" t="s">
        <v>1205</v>
      </c>
      <c r="I2130">
        <v>393</v>
      </c>
      <c r="J2130">
        <v>380</v>
      </c>
      <c r="K2130">
        <v>373</v>
      </c>
      <c r="L2130">
        <v>365</v>
      </c>
      <c r="M2130">
        <v>358</v>
      </c>
      <c r="N2130" t="s">
        <v>988</v>
      </c>
    </row>
    <row r="2131" spans="1:14" x14ac:dyDescent="0.3">
      <c r="A2131">
        <v>2224</v>
      </c>
      <c r="B2131" t="s">
        <v>1966</v>
      </c>
      <c r="C2131" t="s">
        <v>2256</v>
      </c>
      <c r="D2131" t="s">
        <v>159</v>
      </c>
      <c r="E2131" t="s">
        <v>159</v>
      </c>
      <c r="F2131">
        <v>8051</v>
      </c>
      <c r="G2131" t="s">
        <v>701</v>
      </c>
      <c r="H2131" t="s">
        <v>1205</v>
      </c>
      <c r="I2131">
        <v>268</v>
      </c>
      <c r="J2131">
        <v>264</v>
      </c>
      <c r="K2131">
        <v>262</v>
      </c>
      <c r="L2131">
        <v>259</v>
      </c>
      <c r="M2131">
        <v>257</v>
      </c>
      <c r="N2131" t="s">
        <v>988</v>
      </c>
    </row>
    <row r="2132" spans="1:14" x14ac:dyDescent="0.3">
      <c r="A2132">
        <v>2224</v>
      </c>
      <c r="B2132" t="s">
        <v>1966</v>
      </c>
      <c r="C2132" t="s">
        <v>2256</v>
      </c>
      <c r="D2132" t="s">
        <v>159</v>
      </c>
      <c r="E2132" t="s">
        <v>159</v>
      </c>
      <c r="F2132">
        <v>8051</v>
      </c>
      <c r="G2132" t="s">
        <v>700</v>
      </c>
      <c r="H2132" t="s">
        <v>1205</v>
      </c>
      <c r="I2132">
        <v>2448</v>
      </c>
      <c r="J2132">
        <v>2371</v>
      </c>
      <c r="K2132">
        <v>2324</v>
      </c>
      <c r="L2132">
        <v>2280</v>
      </c>
      <c r="M2132">
        <v>2241</v>
      </c>
      <c r="N2132" t="s">
        <v>988</v>
      </c>
    </row>
    <row r="2133" spans="1:14" x14ac:dyDescent="0.3">
      <c r="A2133">
        <v>2224</v>
      </c>
      <c r="B2133" t="s">
        <v>1966</v>
      </c>
      <c r="C2133" t="s">
        <v>2256</v>
      </c>
      <c r="D2133" t="s">
        <v>159</v>
      </c>
      <c r="E2133" t="s">
        <v>159</v>
      </c>
      <c r="F2133">
        <v>8051</v>
      </c>
      <c r="G2133" t="s">
        <v>684</v>
      </c>
      <c r="I2133">
        <v>0</v>
      </c>
      <c r="J2133">
        <v>0</v>
      </c>
      <c r="K2133">
        <v>0</v>
      </c>
      <c r="L2133">
        <v>0</v>
      </c>
      <c r="M2133">
        <v>0</v>
      </c>
      <c r="N2133" t="s">
        <v>988</v>
      </c>
    </row>
    <row r="2134" spans="1:14" x14ac:dyDescent="0.3">
      <c r="A2134">
        <v>2237</v>
      </c>
      <c r="B2134" t="s">
        <v>1969</v>
      </c>
      <c r="C2134" t="s">
        <v>2256</v>
      </c>
      <c r="D2134" t="s">
        <v>1203</v>
      </c>
      <c r="E2134" t="s">
        <v>1204</v>
      </c>
      <c r="F2134">
        <v>5524</v>
      </c>
      <c r="G2134" t="s">
        <v>686</v>
      </c>
      <c r="I2134">
        <v>89</v>
      </c>
      <c r="J2134">
        <v>89</v>
      </c>
      <c r="K2134">
        <v>78</v>
      </c>
      <c r="L2134">
        <v>79</v>
      </c>
      <c r="M2134">
        <v>80</v>
      </c>
      <c r="N2134" t="s">
        <v>988</v>
      </c>
    </row>
    <row r="2135" spans="1:14" x14ac:dyDescent="0.3">
      <c r="A2135">
        <v>2237</v>
      </c>
      <c r="B2135" t="s">
        <v>1969</v>
      </c>
      <c r="C2135" t="s">
        <v>2256</v>
      </c>
      <c r="D2135" t="s">
        <v>1203</v>
      </c>
      <c r="E2135" t="s">
        <v>1204</v>
      </c>
      <c r="F2135">
        <v>5524</v>
      </c>
      <c r="G2135" t="s">
        <v>687</v>
      </c>
      <c r="H2135" t="s">
        <v>2437</v>
      </c>
      <c r="I2135">
        <v>6</v>
      </c>
      <c r="J2135">
        <v>6</v>
      </c>
      <c r="K2135">
        <v>6</v>
      </c>
      <c r="L2135">
        <v>6</v>
      </c>
      <c r="M2135">
        <v>6</v>
      </c>
      <c r="N2135" t="s">
        <v>988</v>
      </c>
    </row>
    <row r="2136" spans="1:14" x14ac:dyDescent="0.3">
      <c r="A2136">
        <v>2237</v>
      </c>
      <c r="B2136" t="s">
        <v>1969</v>
      </c>
      <c r="C2136" t="s">
        <v>2256</v>
      </c>
      <c r="D2136" t="s">
        <v>1203</v>
      </c>
      <c r="E2136" t="s">
        <v>1204</v>
      </c>
      <c r="F2136">
        <v>5524</v>
      </c>
      <c r="G2136" t="s">
        <v>687</v>
      </c>
      <c r="H2136" t="s">
        <v>1302</v>
      </c>
      <c r="I2136">
        <v>1</v>
      </c>
      <c r="J2136">
        <v>1</v>
      </c>
      <c r="K2136">
        <v>1</v>
      </c>
      <c r="L2136">
        <v>1</v>
      </c>
      <c r="M2136">
        <v>1</v>
      </c>
      <c r="N2136" t="s">
        <v>988</v>
      </c>
    </row>
    <row r="2137" spans="1:14" x14ac:dyDescent="0.3">
      <c r="A2137">
        <v>2237</v>
      </c>
      <c r="B2137" t="s">
        <v>1969</v>
      </c>
      <c r="C2137" t="s">
        <v>2256</v>
      </c>
      <c r="D2137" t="s">
        <v>1203</v>
      </c>
      <c r="E2137" t="s">
        <v>1204</v>
      </c>
      <c r="F2137">
        <v>5524</v>
      </c>
      <c r="G2137" t="s">
        <v>696</v>
      </c>
      <c r="I2137">
        <v>646</v>
      </c>
      <c r="J2137">
        <v>649</v>
      </c>
      <c r="K2137">
        <v>658</v>
      </c>
      <c r="L2137">
        <v>661</v>
      </c>
      <c r="M2137">
        <v>673</v>
      </c>
      <c r="N2137" t="s">
        <v>988</v>
      </c>
    </row>
    <row r="2138" spans="1:14" x14ac:dyDescent="0.3">
      <c r="A2138">
        <v>2237</v>
      </c>
      <c r="B2138" t="s">
        <v>1969</v>
      </c>
      <c r="C2138" t="s">
        <v>2256</v>
      </c>
      <c r="D2138" t="s">
        <v>1203</v>
      </c>
      <c r="E2138" t="s">
        <v>1204</v>
      </c>
      <c r="F2138">
        <v>5524</v>
      </c>
      <c r="G2138" t="s">
        <v>687</v>
      </c>
      <c r="H2138" t="s">
        <v>1457</v>
      </c>
      <c r="I2138">
        <v>249</v>
      </c>
      <c r="J2138">
        <v>250</v>
      </c>
      <c r="K2138">
        <v>254</v>
      </c>
      <c r="L2138">
        <v>255</v>
      </c>
      <c r="M2138">
        <v>259</v>
      </c>
      <c r="N2138" t="s">
        <v>988</v>
      </c>
    </row>
    <row r="2139" spans="1:14" x14ac:dyDescent="0.3">
      <c r="A2139">
        <v>2237</v>
      </c>
      <c r="B2139" t="s">
        <v>1969</v>
      </c>
      <c r="C2139" t="s">
        <v>2256</v>
      </c>
      <c r="D2139" t="s">
        <v>1203</v>
      </c>
      <c r="E2139" t="s">
        <v>1204</v>
      </c>
      <c r="F2139">
        <v>5524</v>
      </c>
      <c r="G2139" t="s">
        <v>698</v>
      </c>
      <c r="I2139">
        <v>64</v>
      </c>
      <c r="J2139">
        <v>64</v>
      </c>
      <c r="K2139">
        <v>65</v>
      </c>
      <c r="L2139">
        <v>65</v>
      </c>
      <c r="M2139">
        <v>66</v>
      </c>
      <c r="N2139" t="s">
        <v>988</v>
      </c>
    </row>
    <row r="2140" spans="1:14" x14ac:dyDescent="0.3">
      <c r="A2140">
        <v>2237</v>
      </c>
      <c r="B2140" t="s">
        <v>1969</v>
      </c>
      <c r="C2140" t="s">
        <v>2256</v>
      </c>
      <c r="D2140" t="s">
        <v>1203</v>
      </c>
      <c r="E2140" t="s">
        <v>1204</v>
      </c>
      <c r="F2140">
        <v>5524</v>
      </c>
      <c r="G2140" t="s">
        <v>702</v>
      </c>
      <c r="I2140">
        <v>56</v>
      </c>
      <c r="J2140">
        <v>56</v>
      </c>
      <c r="K2140">
        <v>57</v>
      </c>
      <c r="L2140">
        <v>57</v>
      </c>
      <c r="M2140">
        <v>58</v>
      </c>
      <c r="N2140" t="s">
        <v>987</v>
      </c>
    </row>
    <row r="2141" spans="1:14" x14ac:dyDescent="0.3">
      <c r="A2141">
        <v>2241</v>
      </c>
      <c r="B2141" t="s">
        <v>1971</v>
      </c>
      <c r="C2141" t="s">
        <v>2256</v>
      </c>
      <c r="D2141" t="s">
        <v>159</v>
      </c>
      <c r="E2141" t="s">
        <v>159</v>
      </c>
      <c r="F2141">
        <v>7852</v>
      </c>
      <c r="G2141" t="s">
        <v>703</v>
      </c>
      <c r="I2141">
        <v>111</v>
      </c>
      <c r="J2141">
        <v>150</v>
      </c>
      <c r="K2141">
        <v>150</v>
      </c>
      <c r="L2141">
        <v>149.5</v>
      </c>
      <c r="M2141">
        <v>149.5</v>
      </c>
      <c r="N2141" t="s">
        <v>987</v>
      </c>
    </row>
    <row r="2142" spans="1:14" x14ac:dyDescent="0.3">
      <c r="A2142">
        <v>2241</v>
      </c>
      <c r="B2142" t="s">
        <v>1971</v>
      </c>
      <c r="C2142" t="s">
        <v>2256</v>
      </c>
      <c r="D2142" t="s">
        <v>159</v>
      </c>
      <c r="E2142" t="s">
        <v>159</v>
      </c>
      <c r="F2142">
        <v>7852</v>
      </c>
      <c r="G2142" t="s">
        <v>686</v>
      </c>
      <c r="H2142" t="s">
        <v>1227</v>
      </c>
      <c r="I2142">
        <v>84</v>
      </c>
      <c r="J2142">
        <v>89</v>
      </c>
      <c r="K2142">
        <v>88.5</v>
      </c>
      <c r="L2142">
        <v>88</v>
      </c>
      <c r="M2142">
        <v>88</v>
      </c>
      <c r="N2142" t="s">
        <v>987</v>
      </c>
    </row>
    <row r="2143" spans="1:14" x14ac:dyDescent="0.3">
      <c r="A2143">
        <v>2241</v>
      </c>
      <c r="B2143" t="s">
        <v>1971</v>
      </c>
      <c r="C2143" t="s">
        <v>2256</v>
      </c>
      <c r="D2143" t="s">
        <v>159</v>
      </c>
      <c r="E2143" t="s">
        <v>159</v>
      </c>
      <c r="F2143">
        <v>7852</v>
      </c>
      <c r="G2143" t="s">
        <v>702</v>
      </c>
      <c r="I2143">
        <v>24</v>
      </c>
      <c r="J2143">
        <v>24</v>
      </c>
      <c r="K2143">
        <v>23.5</v>
      </c>
      <c r="L2143">
        <v>24</v>
      </c>
      <c r="M2143">
        <v>24</v>
      </c>
      <c r="N2143" t="s">
        <v>987</v>
      </c>
    </row>
    <row r="2144" spans="1:14" x14ac:dyDescent="0.3">
      <c r="A2144">
        <v>2241</v>
      </c>
      <c r="B2144" t="s">
        <v>1971</v>
      </c>
      <c r="C2144" t="s">
        <v>2256</v>
      </c>
      <c r="D2144" t="s">
        <v>159</v>
      </c>
      <c r="E2144" t="s">
        <v>159</v>
      </c>
      <c r="F2144">
        <v>7852</v>
      </c>
      <c r="G2144" t="s">
        <v>700</v>
      </c>
      <c r="I2144">
        <v>489.5</v>
      </c>
      <c r="J2144">
        <v>663</v>
      </c>
      <c r="K2144">
        <v>663</v>
      </c>
      <c r="L2144">
        <v>663</v>
      </c>
      <c r="M2144">
        <v>662.5</v>
      </c>
      <c r="N2144" t="s">
        <v>987</v>
      </c>
    </row>
    <row r="2145" spans="1:14" x14ac:dyDescent="0.3">
      <c r="A2145">
        <v>2241</v>
      </c>
      <c r="B2145" t="s">
        <v>1971</v>
      </c>
      <c r="C2145" t="s">
        <v>2256</v>
      </c>
      <c r="D2145" t="s">
        <v>159</v>
      </c>
      <c r="E2145" t="s">
        <v>159</v>
      </c>
      <c r="F2145">
        <v>7852</v>
      </c>
      <c r="G2145" t="s">
        <v>696</v>
      </c>
      <c r="H2145" t="s">
        <v>1972</v>
      </c>
      <c r="I2145">
        <v>2466.5</v>
      </c>
      <c r="J2145">
        <v>2442</v>
      </c>
      <c r="K2145">
        <v>2417.1</v>
      </c>
      <c r="L2145">
        <v>2392.5</v>
      </c>
      <c r="M2145">
        <v>2382</v>
      </c>
      <c r="N2145" t="s">
        <v>987</v>
      </c>
    </row>
    <row r="2146" spans="1:14" x14ac:dyDescent="0.3">
      <c r="A2146">
        <v>2251</v>
      </c>
      <c r="B2146" t="s">
        <v>1975</v>
      </c>
      <c r="C2146" t="s">
        <v>2256</v>
      </c>
      <c r="D2146" t="s">
        <v>159</v>
      </c>
      <c r="E2146" t="s">
        <v>159</v>
      </c>
      <c r="F2146">
        <v>7898</v>
      </c>
      <c r="G2146" t="s">
        <v>696</v>
      </c>
      <c r="I2146">
        <v>2345</v>
      </c>
      <c r="J2146">
        <v>2392</v>
      </c>
      <c r="K2146">
        <v>2440</v>
      </c>
      <c r="L2146">
        <v>2464</v>
      </c>
      <c r="N2146" t="s">
        <v>987</v>
      </c>
    </row>
    <row r="2147" spans="1:14" x14ac:dyDescent="0.3">
      <c r="A2147">
        <v>2251</v>
      </c>
      <c r="B2147" t="s">
        <v>1975</v>
      </c>
      <c r="C2147" t="s">
        <v>2256</v>
      </c>
      <c r="D2147" t="s">
        <v>159</v>
      </c>
      <c r="E2147" t="s">
        <v>159</v>
      </c>
      <c r="F2147">
        <v>7898</v>
      </c>
      <c r="G2147" t="s">
        <v>705</v>
      </c>
      <c r="I2147">
        <v>1668</v>
      </c>
      <c r="J2147">
        <v>1668</v>
      </c>
      <c r="K2147">
        <v>1668</v>
      </c>
      <c r="L2147">
        <v>1668</v>
      </c>
      <c r="N2147" t="s">
        <v>988</v>
      </c>
    </row>
    <row r="2148" spans="1:14" x14ac:dyDescent="0.3">
      <c r="A2148">
        <v>2251</v>
      </c>
      <c r="B2148" t="s">
        <v>1975</v>
      </c>
      <c r="C2148" t="s">
        <v>2256</v>
      </c>
      <c r="D2148" t="s">
        <v>159</v>
      </c>
      <c r="E2148" t="s">
        <v>159</v>
      </c>
      <c r="F2148">
        <v>7898</v>
      </c>
      <c r="G2148" t="s">
        <v>686</v>
      </c>
      <c r="I2148">
        <v>105</v>
      </c>
      <c r="J2148">
        <v>107</v>
      </c>
      <c r="K2148">
        <v>109</v>
      </c>
      <c r="L2148">
        <v>110</v>
      </c>
      <c r="N2148" t="s">
        <v>988</v>
      </c>
    </row>
    <row r="2149" spans="1:14" x14ac:dyDescent="0.3">
      <c r="A2149">
        <v>2251</v>
      </c>
      <c r="B2149" t="s">
        <v>1975</v>
      </c>
      <c r="C2149" t="s">
        <v>2256</v>
      </c>
      <c r="D2149" t="s">
        <v>159</v>
      </c>
      <c r="E2149" t="s">
        <v>159</v>
      </c>
      <c r="F2149">
        <v>7898</v>
      </c>
      <c r="G2149" t="s">
        <v>702</v>
      </c>
      <c r="I2149">
        <v>21</v>
      </c>
      <c r="J2149">
        <v>21</v>
      </c>
      <c r="K2149">
        <v>21</v>
      </c>
      <c r="L2149">
        <v>22</v>
      </c>
      <c r="N2149" t="s">
        <v>988</v>
      </c>
    </row>
    <row r="2150" spans="1:14" x14ac:dyDescent="0.3">
      <c r="A2150">
        <v>2251</v>
      </c>
      <c r="B2150" t="s">
        <v>1975</v>
      </c>
      <c r="C2150" t="s">
        <v>2256</v>
      </c>
      <c r="D2150" t="s">
        <v>159</v>
      </c>
      <c r="E2150" t="s">
        <v>159</v>
      </c>
      <c r="F2150">
        <v>7898</v>
      </c>
      <c r="G2150" t="s">
        <v>691</v>
      </c>
      <c r="I2150">
        <v>124</v>
      </c>
      <c r="J2150">
        <v>126</v>
      </c>
      <c r="K2150">
        <v>129</v>
      </c>
      <c r="L2150">
        <v>130</v>
      </c>
      <c r="N2150" t="s">
        <v>988</v>
      </c>
    </row>
    <row r="2151" spans="1:14" x14ac:dyDescent="0.3">
      <c r="A2151">
        <v>2260</v>
      </c>
      <c r="B2151" t="s">
        <v>1976</v>
      </c>
      <c r="C2151" t="s">
        <v>2256</v>
      </c>
      <c r="D2151" t="s">
        <v>159</v>
      </c>
      <c r="E2151" t="s">
        <v>159</v>
      </c>
      <c r="F2151">
        <v>7916</v>
      </c>
      <c r="G2151" t="s">
        <v>684</v>
      </c>
      <c r="I2151">
        <v>0</v>
      </c>
      <c r="J2151">
        <v>0</v>
      </c>
      <c r="K2151">
        <v>0</v>
      </c>
      <c r="L2151">
        <v>0</v>
      </c>
      <c r="M2151">
        <v>0</v>
      </c>
      <c r="N2151" t="s">
        <v>988</v>
      </c>
    </row>
    <row r="2152" spans="1:14" x14ac:dyDescent="0.3">
      <c r="A2152">
        <v>2260</v>
      </c>
      <c r="B2152" t="s">
        <v>1976</v>
      </c>
      <c r="C2152" t="s">
        <v>2256</v>
      </c>
      <c r="D2152" t="s">
        <v>159</v>
      </c>
      <c r="E2152" t="s">
        <v>159</v>
      </c>
      <c r="F2152">
        <v>7916</v>
      </c>
      <c r="G2152" t="s">
        <v>687</v>
      </c>
      <c r="I2152">
        <v>0</v>
      </c>
      <c r="J2152">
        <v>0</v>
      </c>
      <c r="K2152">
        <v>0</v>
      </c>
      <c r="L2152">
        <v>0</v>
      </c>
      <c r="M2152">
        <v>0</v>
      </c>
      <c r="N2152" t="s">
        <v>988</v>
      </c>
    </row>
    <row r="2153" spans="1:14" x14ac:dyDescent="0.3">
      <c r="A2153">
        <v>2260</v>
      </c>
      <c r="B2153" t="s">
        <v>1976</v>
      </c>
      <c r="C2153" t="s">
        <v>2256</v>
      </c>
      <c r="D2153" t="s">
        <v>159</v>
      </c>
      <c r="E2153" t="s">
        <v>159</v>
      </c>
      <c r="F2153">
        <v>7916</v>
      </c>
      <c r="G2153" t="s">
        <v>701</v>
      </c>
      <c r="I2153">
        <v>62</v>
      </c>
      <c r="J2153">
        <v>65</v>
      </c>
      <c r="K2153">
        <v>69</v>
      </c>
      <c r="L2153">
        <v>72</v>
      </c>
      <c r="M2153">
        <v>76</v>
      </c>
      <c r="N2153" t="s">
        <v>988</v>
      </c>
    </row>
    <row r="2154" spans="1:14" x14ac:dyDescent="0.3">
      <c r="A2154">
        <v>2260</v>
      </c>
      <c r="B2154" t="s">
        <v>1976</v>
      </c>
      <c r="C2154" t="s">
        <v>2256</v>
      </c>
      <c r="D2154" t="s">
        <v>159</v>
      </c>
      <c r="E2154" t="s">
        <v>159</v>
      </c>
      <c r="F2154">
        <v>7916</v>
      </c>
      <c r="G2154" t="s">
        <v>700</v>
      </c>
      <c r="H2154" t="s">
        <v>1272</v>
      </c>
      <c r="I2154">
        <v>395</v>
      </c>
      <c r="J2154">
        <v>422</v>
      </c>
      <c r="K2154">
        <v>446</v>
      </c>
      <c r="L2154">
        <v>468</v>
      </c>
      <c r="M2154">
        <v>488</v>
      </c>
      <c r="N2154" t="s">
        <v>988</v>
      </c>
    </row>
    <row r="2155" spans="1:14" x14ac:dyDescent="0.3">
      <c r="A2155">
        <v>2260</v>
      </c>
      <c r="B2155" t="s">
        <v>1976</v>
      </c>
      <c r="C2155" t="s">
        <v>2256</v>
      </c>
      <c r="D2155" t="s">
        <v>159</v>
      </c>
      <c r="E2155" t="s">
        <v>159</v>
      </c>
      <c r="F2155">
        <v>7916</v>
      </c>
      <c r="G2155" t="s">
        <v>702</v>
      </c>
      <c r="I2155">
        <v>0</v>
      </c>
      <c r="J2155">
        <v>0</v>
      </c>
      <c r="K2155">
        <v>0</v>
      </c>
      <c r="L2155">
        <v>0</v>
      </c>
      <c r="M2155">
        <v>0</v>
      </c>
      <c r="N2155" t="s">
        <v>988</v>
      </c>
    </row>
    <row r="2156" spans="1:14" x14ac:dyDescent="0.3">
      <c r="A2156">
        <v>2260</v>
      </c>
      <c r="B2156" t="s">
        <v>1976</v>
      </c>
      <c r="C2156" t="s">
        <v>2256</v>
      </c>
      <c r="D2156" t="s">
        <v>159</v>
      </c>
      <c r="E2156" t="s">
        <v>159</v>
      </c>
      <c r="F2156">
        <v>7916</v>
      </c>
      <c r="G2156" t="s">
        <v>696</v>
      </c>
      <c r="H2156" t="s">
        <v>1627</v>
      </c>
      <c r="I2156">
        <v>1270</v>
      </c>
      <c r="J2156">
        <v>1350</v>
      </c>
      <c r="K2156">
        <v>1426</v>
      </c>
      <c r="L2156">
        <v>1498</v>
      </c>
      <c r="M2156">
        <v>1565</v>
      </c>
      <c r="N2156" t="s">
        <v>988</v>
      </c>
    </row>
    <row r="2157" spans="1:14" x14ac:dyDescent="0.3">
      <c r="A2157">
        <v>2260</v>
      </c>
      <c r="B2157" t="s">
        <v>1976</v>
      </c>
      <c r="C2157" t="s">
        <v>2256</v>
      </c>
      <c r="D2157" t="s">
        <v>159</v>
      </c>
      <c r="E2157" t="s">
        <v>159</v>
      </c>
      <c r="F2157">
        <v>7916</v>
      </c>
      <c r="G2157" t="s">
        <v>686</v>
      </c>
      <c r="I2157">
        <v>18</v>
      </c>
      <c r="J2157">
        <v>19</v>
      </c>
      <c r="K2157">
        <v>20</v>
      </c>
      <c r="L2157">
        <v>21</v>
      </c>
      <c r="M2157">
        <v>22</v>
      </c>
      <c r="N2157" t="s">
        <v>988</v>
      </c>
    </row>
    <row r="2158" spans="1:14" x14ac:dyDescent="0.3">
      <c r="A2158">
        <v>2273</v>
      </c>
      <c r="B2158" t="s">
        <v>889</v>
      </c>
      <c r="C2158" t="s">
        <v>2256</v>
      </c>
      <c r="D2158" t="s">
        <v>159</v>
      </c>
      <c r="E2158" t="s">
        <v>159</v>
      </c>
      <c r="F2158">
        <v>5534</v>
      </c>
      <c r="G2158" t="s">
        <v>684</v>
      </c>
      <c r="I2158">
        <v>0</v>
      </c>
      <c r="J2158">
        <v>0</v>
      </c>
      <c r="K2158">
        <v>0</v>
      </c>
      <c r="L2158">
        <v>0</v>
      </c>
      <c r="M2158">
        <v>0</v>
      </c>
      <c r="N2158" t="s">
        <v>988</v>
      </c>
    </row>
    <row r="2159" spans="1:14" x14ac:dyDescent="0.3">
      <c r="A2159">
        <v>2273</v>
      </c>
      <c r="B2159" t="s">
        <v>889</v>
      </c>
      <c r="C2159" t="s">
        <v>2256</v>
      </c>
      <c r="D2159" t="s">
        <v>159</v>
      </c>
      <c r="E2159" t="s">
        <v>159</v>
      </c>
      <c r="F2159">
        <v>5534</v>
      </c>
      <c r="G2159" t="s">
        <v>702</v>
      </c>
      <c r="I2159">
        <v>124</v>
      </c>
      <c r="J2159">
        <v>130</v>
      </c>
      <c r="K2159">
        <v>137</v>
      </c>
      <c r="L2159">
        <v>144</v>
      </c>
      <c r="M2159">
        <v>151</v>
      </c>
      <c r="N2159" t="s">
        <v>988</v>
      </c>
    </row>
    <row r="2160" spans="1:14" x14ac:dyDescent="0.3">
      <c r="A2160">
        <v>2273</v>
      </c>
      <c r="B2160" t="s">
        <v>889</v>
      </c>
      <c r="C2160" t="s">
        <v>2256</v>
      </c>
      <c r="D2160" t="s">
        <v>159</v>
      </c>
      <c r="E2160" t="s">
        <v>159</v>
      </c>
      <c r="F2160">
        <v>5534</v>
      </c>
      <c r="G2160" t="s">
        <v>700</v>
      </c>
      <c r="H2160" t="s">
        <v>1272</v>
      </c>
      <c r="I2160">
        <v>158</v>
      </c>
      <c r="J2160">
        <v>166</v>
      </c>
      <c r="K2160">
        <v>174</v>
      </c>
      <c r="L2160">
        <v>183</v>
      </c>
      <c r="M2160">
        <v>193</v>
      </c>
      <c r="N2160" t="s">
        <v>988</v>
      </c>
    </row>
    <row r="2161" spans="1:14" x14ac:dyDescent="0.3">
      <c r="A2161">
        <v>2273</v>
      </c>
      <c r="B2161" t="s">
        <v>889</v>
      </c>
      <c r="C2161" t="s">
        <v>2256</v>
      </c>
      <c r="D2161" t="s">
        <v>159</v>
      </c>
      <c r="E2161" t="s">
        <v>159</v>
      </c>
      <c r="F2161">
        <v>5534</v>
      </c>
      <c r="G2161" t="s">
        <v>698</v>
      </c>
      <c r="I2161">
        <v>189</v>
      </c>
      <c r="J2161">
        <v>199</v>
      </c>
      <c r="K2161">
        <v>209</v>
      </c>
      <c r="L2161">
        <v>220</v>
      </c>
      <c r="M2161">
        <v>231</v>
      </c>
      <c r="N2161" t="s">
        <v>988</v>
      </c>
    </row>
    <row r="2162" spans="1:14" x14ac:dyDescent="0.3">
      <c r="A2162">
        <v>2273</v>
      </c>
      <c r="B2162" t="s">
        <v>889</v>
      </c>
      <c r="C2162" t="s">
        <v>2256</v>
      </c>
      <c r="D2162" t="s">
        <v>159</v>
      </c>
      <c r="E2162" t="s">
        <v>159</v>
      </c>
      <c r="F2162">
        <v>5534</v>
      </c>
      <c r="G2162" t="s">
        <v>696</v>
      </c>
      <c r="I2162">
        <v>1628</v>
      </c>
      <c r="J2162">
        <v>1711</v>
      </c>
      <c r="K2162">
        <v>1799</v>
      </c>
      <c r="L2162">
        <v>1890</v>
      </c>
      <c r="M2162">
        <v>1987</v>
      </c>
      <c r="N2162" t="s">
        <v>988</v>
      </c>
    </row>
    <row r="2163" spans="1:14" x14ac:dyDescent="0.3">
      <c r="A2163">
        <v>2273</v>
      </c>
      <c r="B2163" t="s">
        <v>889</v>
      </c>
      <c r="C2163" t="s">
        <v>2256</v>
      </c>
      <c r="D2163" t="s">
        <v>159</v>
      </c>
      <c r="E2163" t="s">
        <v>159</v>
      </c>
      <c r="F2163">
        <v>5534</v>
      </c>
      <c r="G2163" t="s">
        <v>687</v>
      </c>
      <c r="H2163" t="s">
        <v>1978</v>
      </c>
      <c r="I2163">
        <v>38</v>
      </c>
      <c r="J2163">
        <v>40</v>
      </c>
      <c r="K2163">
        <v>42</v>
      </c>
      <c r="L2163">
        <v>44</v>
      </c>
      <c r="M2163">
        <v>46</v>
      </c>
      <c r="N2163" t="s">
        <v>988</v>
      </c>
    </row>
    <row r="2164" spans="1:14" x14ac:dyDescent="0.3">
      <c r="A2164">
        <v>2273</v>
      </c>
      <c r="B2164" t="s">
        <v>889</v>
      </c>
      <c r="C2164" t="s">
        <v>2256</v>
      </c>
      <c r="D2164" t="s">
        <v>159</v>
      </c>
      <c r="E2164" t="s">
        <v>159</v>
      </c>
      <c r="F2164">
        <v>5534</v>
      </c>
      <c r="G2164" t="s">
        <v>686</v>
      </c>
      <c r="I2164">
        <v>202</v>
      </c>
      <c r="J2164">
        <v>212</v>
      </c>
      <c r="K2164">
        <v>223</v>
      </c>
      <c r="L2164">
        <v>234</v>
      </c>
      <c r="M2164">
        <v>246</v>
      </c>
      <c r="N2164" t="s">
        <v>988</v>
      </c>
    </row>
    <row r="2165" spans="1:14" x14ac:dyDescent="0.3">
      <c r="A2165">
        <v>2273</v>
      </c>
      <c r="B2165" t="s">
        <v>889</v>
      </c>
      <c r="C2165" t="s">
        <v>2256</v>
      </c>
      <c r="D2165" t="s">
        <v>159</v>
      </c>
      <c r="E2165" t="s">
        <v>159</v>
      </c>
      <c r="F2165">
        <v>5534</v>
      </c>
      <c r="G2165" t="s">
        <v>701</v>
      </c>
      <c r="I2165">
        <v>351</v>
      </c>
      <c r="J2165">
        <v>369</v>
      </c>
      <c r="K2165">
        <v>388</v>
      </c>
      <c r="L2165">
        <v>407</v>
      </c>
      <c r="M2165">
        <v>428</v>
      </c>
      <c r="N2165" t="s">
        <v>988</v>
      </c>
    </row>
    <row r="2166" spans="1:14" x14ac:dyDescent="0.3">
      <c r="A2166">
        <v>2290</v>
      </c>
      <c r="B2166" t="s">
        <v>1979</v>
      </c>
      <c r="C2166" t="s">
        <v>2256</v>
      </c>
      <c r="D2166" t="s">
        <v>1203</v>
      </c>
      <c r="E2166" t="s">
        <v>1204</v>
      </c>
      <c r="F2166">
        <v>5817</v>
      </c>
      <c r="G2166" t="s">
        <v>696</v>
      </c>
      <c r="I2166">
        <v>1716</v>
      </c>
      <c r="J2166">
        <v>1724</v>
      </c>
      <c r="K2166">
        <v>1732</v>
      </c>
      <c r="L2166">
        <v>1740</v>
      </c>
      <c r="M2166">
        <v>1748</v>
      </c>
      <c r="N2166" t="s">
        <v>988</v>
      </c>
    </row>
    <row r="2167" spans="1:14" x14ac:dyDescent="0.3">
      <c r="A2167">
        <v>2290</v>
      </c>
      <c r="B2167" t="s">
        <v>1979</v>
      </c>
      <c r="C2167" t="s">
        <v>2256</v>
      </c>
      <c r="D2167" t="s">
        <v>1203</v>
      </c>
      <c r="E2167" t="s">
        <v>1204</v>
      </c>
      <c r="F2167">
        <v>5817</v>
      </c>
      <c r="G2167" t="s">
        <v>698</v>
      </c>
      <c r="I2167">
        <v>36</v>
      </c>
      <c r="J2167">
        <v>37</v>
      </c>
      <c r="K2167">
        <v>37</v>
      </c>
      <c r="L2167">
        <v>37</v>
      </c>
      <c r="M2167">
        <v>37</v>
      </c>
      <c r="N2167" t="s">
        <v>988</v>
      </c>
    </row>
    <row r="2168" spans="1:14" x14ac:dyDescent="0.3">
      <c r="A2168">
        <v>2290</v>
      </c>
      <c r="B2168" t="s">
        <v>1979</v>
      </c>
      <c r="C2168" t="s">
        <v>2256</v>
      </c>
      <c r="D2168" t="s">
        <v>1203</v>
      </c>
      <c r="E2168" t="s">
        <v>1204</v>
      </c>
      <c r="F2168">
        <v>5817</v>
      </c>
      <c r="G2168" t="s">
        <v>700</v>
      </c>
      <c r="I2168">
        <v>57</v>
      </c>
      <c r="J2168">
        <v>57</v>
      </c>
      <c r="K2168">
        <v>58</v>
      </c>
      <c r="L2168">
        <v>58</v>
      </c>
      <c r="M2168">
        <v>58</v>
      </c>
      <c r="N2168" t="s">
        <v>988</v>
      </c>
    </row>
    <row r="2169" spans="1:14" x14ac:dyDescent="0.3">
      <c r="A2169">
        <v>2290</v>
      </c>
      <c r="B2169" t="s">
        <v>1979</v>
      </c>
      <c r="C2169" t="s">
        <v>2256</v>
      </c>
      <c r="D2169" t="s">
        <v>1203</v>
      </c>
      <c r="E2169" t="s">
        <v>1204</v>
      </c>
      <c r="F2169">
        <v>5817</v>
      </c>
      <c r="G2169" t="s">
        <v>703</v>
      </c>
      <c r="I2169">
        <v>136</v>
      </c>
      <c r="J2169">
        <v>137</v>
      </c>
      <c r="K2169">
        <v>138</v>
      </c>
      <c r="L2169">
        <v>138</v>
      </c>
      <c r="M2169">
        <v>139</v>
      </c>
      <c r="N2169" t="s">
        <v>988</v>
      </c>
    </row>
    <row r="2170" spans="1:14" x14ac:dyDescent="0.3">
      <c r="A2170">
        <v>2290</v>
      </c>
      <c r="B2170" t="s">
        <v>1979</v>
      </c>
      <c r="C2170" t="s">
        <v>2256</v>
      </c>
      <c r="D2170" t="s">
        <v>1203</v>
      </c>
      <c r="E2170" t="s">
        <v>1204</v>
      </c>
      <c r="F2170">
        <v>5817</v>
      </c>
      <c r="G2170" t="s">
        <v>702</v>
      </c>
      <c r="I2170">
        <v>6</v>
      </c>
      <c r="J2170">
        <v>6</v>
      </c>
      <c r="K2170">
        <v>6</v>
      </c>
      <c r="L2170">
        <v>6</v>
      </c>
      <c r="M2170">
        <v>6</v>
      </c>
      <c r="N2170" t="s">
        <v>988</v>
      </c>
    </row>
    <row r="2171" spans="1:14" x14ac:dyDescent="0.3">
      <c r="A2171">
        <v>2290</v>
      </c>
      <c r="B2171" t="s">
        <v>1979</v>
      </c>
      <c r="C2171" t="s">
        <v>2256</v>
      </c>
      <c r="D2171" t="s">
        <v>1203</v>
      </c>
      <c r="E2171" t="s">
        <v>1204</v>
      </c>
      <c r="F2171">
        <v>5817</v>
      </c>
      <c r="G2171" t="s">
        <v>686</v>
      </c>
      <c r="I2171">
        <v>494</v>
      </c>
      <c r="J2171">
        <v>496</v>
      </c>
      <c r="K2171">
        <v>499</v>
      </c>
      <c r="L2171">
        <v>501</v>
      </c>
      <c r="M2171">
        <v>503</v>
      </c>
      <c r="N2171" t="s">
        <v>988</v>
      </c>
    </row>
    <row r="2172" spans="1:14" x14ac:dyDescent="0.3">
      <c r="A2172">
        <v>2290</v>
      </c>
      <c r="B2172" t="s">
        <v>1979</v>
      </c>
      <c r="C2172" t="s">
        <v>2256</v>
      </c>
      <c r="D2172" t="s">
        <v>1203</v>
      </c>
      <c r="E2172" t="s">
        <v>1204</v>
      </c>
      <c r="F2172">
        <v>5817</v>
      </c>
      <c r="G2172" t="s">
        <v>687</v>
      </c>
      <c r="I2172">
        <v>42</v>
      </c>
      <c r="J2172">
        <v>42</v>
      </c>
      <c r="K2172">
        <v>42</v>
      </c>
      <c r="L2172">
        <v>42</v>
      </c>
      <c r="M2172">
        <v>42</v>
      </c>
      <c r="N2172" t="s">
        <v>988</v>
      </c>
    </row>
    <row r="2173" spans="1:14" x14ac:dyDescent="0.3">
      <c r="A2173">
        <v>2298</v>
      </c>
      <c r="B2173" t="s">
        <v>1981</v>
      </c>
      <c r="C2173" t="s">
        <v>2256</v>
      </c>
      <c r="D2173" t="s">
        <v>159</v>
      </c>
      <c r="E2173" t="s">
        <v>159</v>
      </c>
      <c r="F2173">
        <v>8061</v>
      </c>
      <c r="G2173" t="s">
        <v>700</v>
      </c>
      <c r="I2173">
        <v>403</v>
      </c>
      <c r="J2173">
        <v>403</v>
      </c>
      <c r="K2173">
        <v>403</v>
      </c>
      <c r="L2173">
        <v>403</v>
      </c>
      <c r="N2173" t="s">
        <v>988</v>
      </c>
    </row>
    <row r="2174" spans="1:14" x14ac:dyDescent="0.3">
      <c r="A2174">
        <v>2298</v>
      </c>
      <c r="B2174" t="s">
        <v>1981</v>
      </c>
      <c r="C2174" t="s">
        <v>2256</v>
      </c>
      <c r="D2174" t="s">
        <v>159</v>
      </c>
      <c r="E2174" t="s">
        <v>159</v>
      </c>
      <c r="F2174">
        <v>8061</v>
      </c>
      <c r="G2174" t="s">
        <v>701</v>
      </c>
      <c r="I2174">
        <v>133</v>
      </c>
      <c r="J2174">
        <v>133</v>
      </c>
      <c r="K2174">
        <v>133</v>
      </c>
      <c r="L2174">
        <v>133</v>
      </c>
      <c r="N2174" t="s">
        <v>988</v>
      </c>
    </row>
    <row r="2175" spans="1:14" x14ac:dyDescent="0.3">
      <c r="A2175">
        <v>2298</v>
      </c>
      <c r="B2175" t="s">
        <v>1981</v>
      </c>
      <c r="C2175" t="s">
        <v>2256</v>
      </c>
      <c r="D2175" t="s">
        <v>159</v>
      </c>
      <c r="E2175" t="s">
        <v>159</v>
      </c>
      <c r="F2175">
        <v>8061</v>
      </c>
      <c r="G2175" t="s">
        <v>703</v>
      </c>
      <c r="I2175">
        <v>52</v>
      </c>
      <c r="J2175">
        <v>52</v>
      </c>
      <c r="K2175">
        <v>52</v>
      </c>
      <c r="L2175">
        <v>52</v>
      </c>
      <c r="N2175" t="s">
        <v>988</v>
      </c>
    </row>
    <row r="2176" spans="1:14" x14ac:dyDescent="0.3">
      <c r="A2176">
        <v>2298</v>
      </c>
      <c r="B2176" t="s">
        <v>1981</v>
      </c>
      <c r="C2176" t="s">
        <v>2256</v>
      </c>
      <c r="D2176" t="s">
        <v>159</v>
      </c>
      <c r="E2176" t="s">
        <v>159</v>
      </c>
      <c r="F2176">
        <v>8061</v>
      </c>
      <c r="G2176" t="s">
        <v>702</v>
      </c>
      <c r="I2176">
        <v>216</v>
      </c>
      <c r="J2176">
        <v>216</v>
      </c>
      <c r="K2176">
        <v>216</v>
      </c>
      <c r="L2176">
        <v>216</v>
      </c>
      <c r="N2176" t="s">
        <v>988</v>
      </c>
    </row>
    <row r="2177" spans="1:14" x14ac:dyDescent="0.3">
      <c r="A2177">
        <v>2298</v>
      </c>
      <c r="B2177" t="s">
        <v>1981</v>
      </c>
      <c r="C2177" t="s">
        <v>2256</v>
      </c>
      <c r="D2177" t="s">
        <v>159</v>
      </c>
      <c r="E2177" t="s">
        <v>159</v>
      </c>
      <c r="F2177">
        <v>8061</v>
      </c>
      <c r="G2177" t="s">
        <v>687</v>
      </c>
      <c r="H2177" t="s">
        <v>1982</v>
      </c>
      <c r="I2177">
        <v>18</v>
      </c>
      <c r="J2177">
        <v>18</v>
      </c>
      <c r="K2177">
        <v>18</v>
      </c>
      <c r="L2177">
        <v>18</v>
      </c>
      <c r="N2177" t="s">
        <v>988</v>
      </c>
    </row>
    <row r="2178" spans="1:14" x14ac:dyDescent="0.3">
      <c r="A2178">
        <v>2298</v>
      </c>
      <c r="B2178" t="s">
        <v>1981</v>
      </c>
      <c r="C2178" t="s">
        <v>2256</v>
      </c>
      <c r="D2178" t="s">
        <v>159</v>
      </c>
      <c r="E2178" t="s">
        <v>159</v>
      </c>
      <c r="F2178">
        <v>8061</v>
      </c>
      <c r="G2178" t="s">
        <v>686</v>
      </c>
      <c r="I2178">
        <v>183</v>
      </c>
      <c r="J2178">
        <v>183</v>
      </c>
      <c r="K2178">
        <v>183</v>
      </c>
      <c r="L2178">
        <v>183</v>
      </c>
      <c r="N2178" t="s">
        <v>988</v>
      </c>
    </row>
    <row r="2179" spans="1:14" x14ac:dyDescent="0.3">
      <c r="A2179">
        <v>2298</v>
      </c>
      <c r="B2179" t="s">
        <v>1981</v>
      </c>
      <c r="C2179" t="s">
        <v>2256</v>
      </c>
      <c r="D2179" t="s">
        <v>159</v>
      </c>
      <c r="E2179" t="s">
        <v>159</v>
      </c>
      <c r="F2179">
        <v>8061</v>
      </c>
      <c r="G2179" t="s">
        <v>698</v>
      </c>
      <c r="I2179">
        <v>548</v>
      </c>
      <c r="J2179">
        <v>575</v>
      </c>
      <c r="K2179">
        <v>602</v>
      </c>
      <c r="L2179">
        <v>635</v>
      </c>
      <c r="N2179" t="s">
        <v>988</v>
      </c>
    </row>
    <row r="2180" spans="1:14" x14ac:dyDescent="0.3">
      <c r="A2180">
        <v>2298</v>
      </c>
      <c r="B2180" t="s">
        <v>1981</v>
      </c>
      <c r="C2180" t="s">
        <v>2256</v>
      </c>
      <c r="D2180" t="s">
        <v>159</v>
      </c>
      <c r="E2180" t="s">
        <v>159</v>
      </c>
      <c r="F2180">
        <v>8061</v>
      </c>
      <c r="G2180" t="s">
        <v>696</v>
      </c>
      <c r="I2180">
        <v>394</v>
      </c>
      <c r="J2180">
        <v>394</v>
      </c>
      <c r="K2180">
        <v>394</v>
      </c>
      <c r="L2180">
        <v>394</v>
      </c>
      <c r="N2180" t="s">
        <v>988</v>
      </c>
    </row>
    <row r="2181" spans="1:14" x14ac:dyDescent="0.3">
      <c r="A2181">
        <v>2323</v>
      </c>
      <c r="B2181" t="s">
        <v>1983</v>
      </c>
      <c r="C2181" t="s">
        <v>2256</v>
      </c>
      <c r="D2181" t="s">
        <v>1203</v>
      </c>
      <c r="E2181" t="s">
        <v>1204</v>
      </c>
      <c r="F2181">
        <v>5912</v>
      </c>
      <c r="G2181" t="s">
        <v>691</v>
      </c>
      <c r="H2181" t="s">
        <v>1428</v>
      </c>
      <c r="I2181">
        <v>28</v>
      </c>
      <c r="J2181">
        <v>28</v>
      </c>
      <c r="K2181">
        <v>35</v>
      </c>
      <c r="L2181">
        <v>42</v>
      </c>
      <c r="M2181">
        <v>55</v>
      </c>
      <c r="N2181" t="s">
        <v>988</v>
      </c>
    </row>
    <row r="2182" spans="1:14" x14ac:dyDescent="0.3">
      <c r="A2182">
        <v>2323</v>
      </c>
      <c r="B2182" t="s">
        <v>1983</v>
      </c>
      <c r="C2182" t="s">
        <v>2256</v>
      </c>
      <c r="D2182" t="s">
        <v>1203</v>
      </c>
      <c r="E2182" t="s">
        <v>1204</v>
      </c>
      <c r="F2182">
        <v>5912</v>
      </c>
      <c r="G2182" t="s">
        <v>700</v>
      </c>
      <c r="I2182">
        <v>120</v>
      </c>
      <c r="J2182">
        <v>120</v>
      </c>
      <c r="K2182">
        <v>122</v>
      </c>
      <c r="L2182">
        <v>123</v>
      </c>
      <c r="M2182">
        <v>127</v>
      </c>
      <c r="N2182" t="s">
        <v>988</v>
      </c>
    </row>
    <row r="2183" spans="1:14" x14ac:dyDescent="0.3">
      <c r="A2183">
        <v>2323</v>
      </c>
      <c r="B2183" t="s">
        <v>1983</v>
      </c>
      <c r="C2183" t="s">
        <v>2256</v>
      </c>
      <c r="D2183" t="s">
        <v>1203</v>
      </c>
      <c r="E2183" t="s">
        <v>1204</v>
      </c>
      <c r="F2183">
        <v>5912</v>
      </c>
      <c r="G2183" t="s">
        <v>702</v>
      </c>
      <c r="I2183">
        <v>75</v>
      </c>
      <c r="J2183">
        <v>75</v>
      </c>
      <c r="K2183">
        <v>75</v>
      </c>
      <c r="L2183">
        <v>74</v>
      </c>
      <c r="M2183">
        <v>74</v>
      </c>
      <c r="N2183" t="s">
        <v>988</v>
      </c>
    </row>
    <row r="2184" spans="1:14" x14ac:dyDescent="0.3">
      <c r="A2184">
        <v>2323</v>
      </c>
      <c r="B2184" t="s">
        <v>1983</v>
      </c>
      <c r="C2184" t="s">
        <v>2256</v>
      </c>
      <c r="D2184" t="s">
        <v>1203</v>
      </c>
      <c r="E2184" t="s">
        <v>1204</v>
      </c>
      <c r="F2184">
        <v>5912</v>
      </c>
      <c r="G2184" t="s">
        <v>698</v>
      </c>
      <c r="H2184" t="s">
        <v>1393</v>
      </c>
      <c r="I2184">
        <v>450</v>
      </c>
      <c r="J2184">
        <v>486</v>
      </c>
      <c r="K2184">
        <v>621</v>
      </c>
      <c r="L2184">
        <v>756</v>
      </c>
      <c r="M2184">
        <v>1026</v>
      </c>
      <c r="N2184" t="s">
        <v>988</v>
      </c>
    </row>
    <row r="2185" spans="1:14" x14ac:dyDescent="0.3">
      <c r="A2185">
        <v>2323</v>
      </c>
      <c r="B2185" t="s">
        <v>1983</v>
      </c>
      <c r="C2185" t="s">
        <v>2256</v>
      </c>
      <c r="D2185" t="s">
        <v>1203</v>
      </c>
      <c r="E2185" t="s">
        <v>1204</v>
      </c>
      <c r="F2185">
        <v>5912</v>
      </c>
      <c r="G2185" t="s">
        <v>696</v>
      </c>
      <c r="H2185" t="s">
        <v>1393</v>
      </c>
      <c r="I2185">
        <v>1285</v>
      </c>
      <c r="J2185">
        <v>1291</v>
      </c>
      <c r="K2185">
        <v>1425</v>
      </c>
      <c r="L2185">
        <v>1558</v>
      </c>
      <c r="M2185">
        <v>1825</v>
      </c>
      <c r="N2185" t="s">
        <v>988</v>
      </c>
    </row>
    <row r="2186" spans="1:14" x14ac:dyDescent="0.3">
      <c r="A2186">
        <v>2323</v>
      </c>
      <c r="B2186" t="s">
        <v>1983</v>
      </c>
      <c r="C2186" t="s">
        <v>2256</v>
      </c>
      <c r="D2186" t="s">
        <v>1203</v>
      </c>
      <c r="E2186" t="s">
        <v>1204</v>
      </c>
      <c r="F2186">
        <v>5912</v>
      </c>
      <c r="G2186" t="s">
        <v>686</v>
      </c>
      <c r="I2186">
        <v>156</v>
      </c>
      <c r="J2186">
        <v>160</v>
      </c>
      <c r="K2186">
        <v>174</v>
      </c>
      <c r="L2186">
        <v>193</v>
      </c>
      <c r="M2186">
        <v>233</v>
      </c>
      <c r="N2186" t="s">
        <v>988</v>
      </c>
    </row>
    <row r="2187" spans="1:14" x14ac:dyDescent="0.3">
      <c r="A2187">
        <v>2323</v>
      </c>
      <c r="B2187" t="s">
        <v>1983</v>
      </c>
      <c r="C2187" t="s">
        <v>2256</v>
      </c>
      <c r="D2187" t="s">
        <v>1203</v>
      </c>
      <c r="E2187" t="s">
        <v>1204</v>
      </c>
      <c r="F2187">
        <v>5912</v>
      </c>
      <c r="G2187" t="s">
        <v>691</v>
      </c>
      <c r="H2187" t="s">
        <v>1984</v>
      </c>
      <c r="I2187">
        <v>43</v>
      </c>
      <c r="J2187">
        <v>44</v>
      </c>
      <c r="K2187">
        <v>50</v>
      </c>
      <c r="L2187">
        <v>55</v>
      </c>
      <c r="M2187">
        <v>66</v>
      </c>
      <c r="N2187" t="s">
        <v>988</v>
      </c>
    </row>
    <row r="2188" spans="1:14" x14ac:dyDescent="0.3">
      <c r="A2188">
        <v>2323</v>
      </c>
      <c r="B2188" t="s">
        <v>1983</v>
      </c>
      <c r="C2188" t="s">
        <v>2256</v>
      </c>
      <c r="D2188" t="s">
        <v>1203</v>
      </c>
      <c r="E2188" t="s">
        <v>1204</v>
      </c>
      <c r="F2188">
        <v>5912</v>
      </c>
      <c r="G2188" t="s">
        <v>701</v>
      </c>
      <c r="I2188">
        <v>4</v>
      </c>
      <c r="J2188">
        <v>4</v>
      </c>
      <c r="K2188">
        <v>4</v>
      </c>
      <c r="L2188">
        <v>4</v>
      </c>
      <c r="M2188">
        <v>4</v>
      </c>
      <c r="N2188" t="s">
        <v>988</v>
      </c>
    </row>
    <row r="2189" spans="1:14" x14ac:dyDescent="0.3">
      <c r="A2189">
        <v>2323</v>
      </c>
      <c r="B2189" t="s">
        <v>1983</v>
      </c>
      <c r="C2189" t="s">
        <v>2256</v>
      </c>
      <c r="D2189" t="s">
        <v>1203</v>
      </c>
      <c r="E2189" t="s">
        <v>1204</v>
      </c>
      <c r="F2189">
        <v>5912</v>
      </c>
      <c r="G2189" t="s">
        <v>703</v>
      </c>
      <c r="I2189">
        <v>197</v>
      </c>
      <c r="J2189">
        <v>197</v>
      </c>
      <c r="K2189">
        <v>203</v>
      </c>
      <c r="L2189">
        <v>208</v>
      </c>
      <c r="M2189">
        <v>213</v>
      </c>
      <c r="N2189" t="s">
        <v>988</v>
      </c>
    </row>
    <row r="2190" spans="1:14" x14ac:dyDescent="0.3">
      <c r="A2190">
        <v>2326</v>
      </c>
      <c r="B2190" t="s">
        <v>1985</v>
      </c>
      <c r="C2190" t="s">
        <v>2256</v>
      </c>
      <c r="D2190" t="s">
        <v>159</v>
      </c>
      <c r="E2190" t="s">
        <v>159</v>
      </c>
      <c r="F2190">
        <v>5567</v>
      </c>
      <c r="G2190" t="s">
        <v>702</v>
      </c>
      <c r="H2190" t="s">
        <v>1663</v>
      </c>
      <c r="I2190">
        <v>148.58000000000001</v>
      </c>
      <c r="J2190">
        <v>154.32</v>
      </c>
      <c r="K2190">
        <v>158.09</v>
      </c>
      <c r="L2190">
        <v>158.19</v>
      </c>
      <c r="M2190">
        <v>158.29</v>
      </c>
      <c r="N2190" t="s">
        <v>988</v>
      </c>
    </row>
    <row r="2191" spans="1:14" x14ac:dyDescent="0.3">
      <c r="A2191">
        <v>2326</v>
      </c>
      <c r="B2191" t="s">
        <v>1985</v>
      </c>
      <c r="C2191" t="s">
        <v>2256</v>
      </c>
      <c r="D2191" t="s">
        <v>159</v>
      </c>
      <c r="E2191" t="s">
        <v>159</v>
      </c>
      <c r="F2191">
        <v>5567</v>
      </c>
      <c r="G2191" t="s">
        <v>698</v>
      </c>
      <c r="I2191">
        <v>313.26</v>
      </c>
      <c r="J2191">
        <v>303.97000000000003</v>
      </c>
      <c r="K2191">
        <v>299.75</v>
      </c>
      <c r="L2191">
        <v>300.11</v>
      </c>
      <c r="M2191">
        <v>301.66000000000003</v>
      </c>
      <c r="N2191" t="s">
        <v>988</v>
      </c>
    </row>
    <row r="2192" spans="1:14" x14ac:dyDescent="0.3">
      <c r="A2192">
        <v>2326</v>
      </c>
      <c r="B2192" t="s">
        <v>1985</v>
      </c>
      <c r="C2192" t="s">
        <v>2256</v>
      </c>
      <c r="D2192" t="s">
        <v>159</v>
      </c>
      <c r="E2192" t="s">
        <v>159</v>
      </c>
      <c r="F2192">
        <v>5567</v>
      </c>
      <c r="G2192" t="s">
        <v>700</v>
      </c>
      <c r="H2192" t="s">
        <v>1404</v>
      </c>
      <c r="I2192">
        <v>252.86</v>
      </c>
      <c r="J2192">
        <v>256.39999999999998</v>
      </c>
      <c r="K2192">
        <v>258.37</v>
      </c>
      <c r="L2192">
        <v>254.17</v>
      </c>
      <c r="M2192">
        <v>250.58</v>
      </c>
      <c r="N2192" t="s">
        <v>988</v>
      </c>
    </row>
    <row r="2193" spans="1:14" x14ac:dyDescent="0.3">
      <c r="A2193">
        <v>2326</v>
      </c>
      <c r="B2193" t="s">
        <v>1985</v>
      </c>
      <c r="C2193" t="s">
        <v>2256</v>
      </c>
      <c r="D2193" t="s">
        <v>159</v>
      </c>
      <c r="E2193" t="s">
        <v>159</v>
      </c>
      <c r="F2193">
        <v>5567</v>
      </c>
      <c r="G2193" t="s">
        <v>687</v>
      </c>
      <c r="I2193">
        <v>173.49</v>
      </c>
      <c r="J2193">
        <v>178.66</v>
      </c>
      <c r="K2193">
        <v>180.29</v>
      </c>
      <c r="L2193">
        <v>183.84</v>
      </c>
      <c r="M2193">
        <v>187.46</v>
      </c>
      <c r="N2193" t="s">
        <v>988</v>
      </c>
    </row>
    <row r="2194" spans="1:14" x14ac:dyDescent="0.3">
      <c r="A2194">
        <v>2326</v>
      </c>
      <c r="B2194" t="s">
        <v>1985</v>
      </c>
      <c r="C2194" t="s">
        <v>2256</v>
      </c>
      <c r="D2194" t="s">
        <v>159</v>
      </c>
      <c r="E2194" t="s">
        <v>159</v>
      </c>
      <c r="F2194">
        <v>5567</v>
      </c>
      <c r="G2194" t="s">
        <v>696</v>
      </c>
      <c r="I2194">
        <v>1155.3800000000001</v>
      </c>
      <c r="J2194">
        <v>1172.29</v>
      </c>
      <c r="K2194">
        <v>1170.0999999999999</v>
      </c>
      <c r="L2194">
        <v>1182.74</v>
      </c>
      <c r="M2194">
        <v>1197.8399999999999</v>
      </c>
      <c r="N2194" t="s">
        <v>988</v>
      </c>
    </row>
    <row r="2195" spans="1:14" x14ac:dyDescent="0.3">
      <c r="A2195">
        <v>2326</v>
      </c>
      <c r="B2195" t="s">
        <v>1985</v>
      </c>
      <c r="C2195" t="s">
        <v>2256</v>
      </c>
      <c r="D2195" t="s">
        <v>159</v>
      </c>
      <c r="E2195" t="s">
        <v>159</v>
      </c>
      <c r="F2195">
        <v>5567</v>
      </c>
      <c r="G2195" t="s">
        <v>686</v>
      </c>
      <c r="H2195" t="s">
        <v>1346</v>
      </c>
      <c r="I2195">
        <v>174.04</v>
      </c>
      <c r="J2195">
        <v>178.73</v>
      </c>
      <c r="K2195">
        <v>180.89</v>
      </c>
      <c r="L2195">
        <v>183.77</v>
      </c>
      <c r="M2195">
        <v>186.69</v>
      </c>
      <c r="N2195" t="s">
        <v>988</v>
      </c>
    </row>
    <row r="2196" spans="1:14" x14ac:dyDescent="0.3">
      <c r="A2196">
        <v>2330</v>
      </c>
      <c r="B2196" t="s">
        <v>1987</v>
      </c>
      <c r="C2196" t="s">
        <v>2256</v>
      </c>
      <c r="D2196" t="s">
        <v>159</v>
      </c>
      <c r="E2196" t="s">
        <v>159</v>
      </c>
      <c r="F2196">
        <v>7828</v>
      </c>
      <c r="G2196" t="s">
        <v>698</v>
      </c>
      <c r="I2196">
        <v>572</v>
      </c>
      <c r="J2196">
        <v>566</v>
      </c>
      <c r="K2196">
        <v>556</v>
      </c>
      <c r="L2196">
        <v>544</v>
      </c>
      <c r="N2196" t="s">
        <v>988</v>
      </c>
    </row>
    <row r="2197" spans="1:14" x14ac:dyDescent="0.3">
      <c r="A2197">
        <v>2330</v>
      </c>
      <c r="B2197" t="s">
        <v>1987</v>
      </c>
      <c r="C2197" t="s">
        <v>2256</v>
      </c>
      <c r="D2197" t="s">
        <v>159</v>
      </c>
      <c r="E2197" t="s">
        <v>159</v>
      </c>
      <c r="F2197">
        <v>7828</v>
      </c>
      <c r="G2197" t="s">
        <v>686</v>
      </c>
      <c r="I2197">
        <v>441</v>
      </c>
      <c r="J2197">
        <v>436</v>
      </c>
      <c r="K2197">
        <v>426</v>
      </c>
      <c r="L2197">
        <v>417</v>
      </c>
      <c r="N2197" t="s">
        <v>987</v>
      </c>
    </row>
    <row r="2198" spans="1:14" x14ac:dyDescent="0.3">
      <c r="A2198">
        <v>2330</v>
      </c>
      <c r="B2198" t="s">
        <v>1987</v>
      </c>
      <c r="C2198" t="s">
        <v>2256</v>
      </c>
      <c r="D2198" t="s">
        <v>159</v>
      </c>
      <c r="E2198" t="s">
        <v>159</v>
      </c>
      <c r="F2198">
        <v>7828</v>
      </c>
      <c r="G2198" t="s">
        <v>687</v>
      </c>
      <c r="H2198" t="s">
        <v>1989</v>
      </c>
      <c r="I2198">
        <v>30</v>
      </c>
      <c r="J2198">
        <v>30</v>
      </c>
      <c r="K2198">
        <v>30</v>
      </c>
      <c r="L2198">
        <v>30</v>
      </c>
      <c r="N2198" t="s">
        <v>987</v>
      </c>
    </row>
    <row r="2199" spans="1:14" x14ac:dyDescent="0.3">
      <c r="A2199">
        <v>2330</v>
      </c>
      <c r="B2199" t="s">
        <v>1987</v>
      </c>
      <c r="C2199" t="s">
        <v>2256</v>
      </c>
      <c r="D2199" t="s">
        <v>159</v>
      </c>
      <c r="E2199" t="s">
        <v>159</v>
      </c>
      <c r="F2199">
        <v>7828</v>
      </c>
      <c r="G2199" t="s">
        <v>687</v>
      </c>
      <c r="H2199" t="s">
        <v>1410</v>
      </c>
      <c r="I2199">
        <v>190</v>
      </c>
      <c r="J2199">
        <v>192</v>
      </c>
      <c r="K2199">
        <v>192</v>
      </c>
      <c r="L2199">
        <v>192</v>
      </c>
      <c r="N2199" t="s">
        <v>987</v>
      </c>
    </row>
    <row r="2200" spans="1:14" x14ac:dyDescent="0.3">
      <c r="A2200">
        <v>2330</v>
      </c>
      <c r="B2200" t="s">
        <v>1987</v>
      </c>
      <c r="C2200" t="s">
        <v>2256</v>
      </c>
      <c r="D2200" t="s">
        <v>159</v>
      </c>
      <c r="E2200" t="s">
        <v>159</v>
      </c>
      <c r="F2200">
        <v>7828</v>
      </c>
      <c r="G2200" t="s">
        <v>702</v>
      </c>
      <c r="H2200" t="s">
        <v>1988</v>
      </c>
      <c r="I2200">
        <v>190</v>
      </c>
      <c r="J2200">
        <v>182</v>
      </c>
      <c r="K2200">
        <v>168</v>
      </c>
      <c r="L2200">
        <v>155</v>
      </c>
      <c r="N2200" t="s">
        <v>987</v>
      </c>
    </row>
    <row r="2201" spans="1:14" x14ac:dyDescent="0.3">
      <c r="A2201">
        <v>2330</v>
      </c>
      <c r="B2201" t="s">
        <v>1987</v>
      </c>
      <c r="C2201" t="s">
        <v>2256</v>
      </c>
      <c r="D2201" t="s">
        <v>159</v>
      </c>
      <c r="E2201" t="s">
        <v>159</v>
      </c>
      <c r="F2201">
        <v>7828</v>
      </c>
      <c r="G2201" t="s">
        <v>700</v>
      </c>
      <c r="I2201">
        <v>326</v>
      </c>
      <c r="J2201">
        <v>321</v>
      </c>
      <c r="K2201">
        <v>310</v>
      </c>
      <c r="L2201">
        <v>299</v>
      </c>
      <c r="N2201" t="s">
        <v>987</v>
      </c>
    </row>
    <row r="2202" spans="1:14" x14ac:dyDescent="0.3">
      <c r="A2202">
        <v>2330</v>
      </c>
      <c r="B2202" t="s">
        <v>1987</v>
      </c>
      <c r="C2202" t="s">
        <v>2256</v>
      </c>
      <c r="D2202" t="s">
        <v>159</v>
      </c>
      <c r="E2202" t="s">
        <v>159</v>
      </c>
      <c r="F2202">
        <v>7828</v>
      </c>
      <c r="G2202" t="s">
        <v>696</v>
      </c>
      <c r="I2202">
        <v>2117</v>
      </c>
      <c r="J2202">
        <v>2095</v>
      </c>
      <c r="K2202">
        <v>2059</v>
      </c>
      <c r="L2202">
        <v>2018</v>
      </c>
      <c r="N2202" t="s">
        <v>987</v>
      </c>
    </row>
    <row r="2203" spans="1:14" x14ac:dyDescent="0.3">
      <c r="A2203">
        <v>2334</v>
      </c>
      <c r="B2203" t="s">
        <v>1990</v>
      </c>
      <c r="C2203" t="s">
        <v>2256</v>
      </c>
      <c r="D2203" t="s">
        <v>159</v>
      </c>
      <c r="E2203" t="s">
        <v>159</v>
      </c>
      <c r="F2203">
        <v>5637</v>
      </c>
      <c r="G2203" t="s">
        <v>700</v>
      </c>
      <c r="I2203">
        <v>898</v>
      </c>
      <c r="J2203">
        <v>1105</v>
      </c>
      <c r="K2203">
        <v>1188</v>
      </c>
      <c r="L2203">
        <v>1277</v>
      </c>
      <c r="M2203">
        <v>1277</v>
      </c>
      <c r="N2203" t="s">
        <v>987</v>
      </c>
    </row>
    <row r="2204" spans="1:14" x14ac:dyDescent="0.3">
      <c r="A2204">
        <v>2334</v>
      </c>
      <c r="B2204" t="s">
        <v>1990</v>
      </c>
      <c r="C2204" t="s">
        <v>2256</v>
      </c>
      <c r="D2204" t="s">
        <v>159</v>
      </c>
      <c r="E2204" t="s">
        <v>159</v>
      </c>
      <c r="F2204">
        <v>5637</v>
      </c>
      <c r="G2204" t="s">
        <v>702</v>
      </c>
      <c r="I2204">
        <v>602</v>
      </c>
      <c r="J2204">
        <v>602</v>
      </c>
      <c r="K2204">
        <v>602</v>
      </c>
      <c r="L2204">
        <v>602</v>
      </c>
      <c r="M2204">
        <v>602</v>
      </c>
      <c r="N2204" t="s">
        <v>987</v>
      </c>
    </row>
    <row r="2205" spans="1:14" x14ac:dyDescent="0.3">
      <c r="A2205">
        <v>2334</v>
      </c>
      <c r="B2205" t="s">
        <v>1990</v>
      </c>
      <c r="C2205" t="s">
        <v>2256</v>
      </c>
      <c r="D2205" t="s">
        <v>159</v>
      </c>
      <c r="E2205" t="s">
        <v>159</v>
      </c>
      <c r="F2205">
        <v>5637</v>
      </c>
      <c r="G2205" t="s">
        <v>686</v>
      </c>
      <c r="H2205" t="s">
        <v>1289</v>
      </c>
      <c r="I2205">
        <v>274</v>
      </c>
      <c r="J2205">
        <v>282</v>
      </c>
      <c r="K2205">
        <v>284</v>
      </c>
      <c r="L2205">
        <v>286</v>
      </c>
      <c r="M2205">
        <v>286</v>
      </c>
      <c r="N2205" t="s">
        <v>988</v>
      </c>
    </row>
    <row r="2206" spans="1:14" x14ac:dyDescent="0.3">
      <c r="A2206">
        <v>2334</v>
      </c>
      <c r="B2206" t="s">
        <v>1990</v>
      </c>
      <c r="C2206" t="s">
        <v>2256</v>
      </c>
      <c r="D2206" t="s">
        <v>159</v>
      </c>
      <c r="E2206" t="s">
        <v>159</v>
      </c>
      <c r="F2206">
        <v>5637</v>
      </c>
      <c r="G2206" t="s">
        <v>696</v>
      </c>
      <c r="I2206">
        <v>2709</v>
      </c>
      <c r="J2206">
        <v>2669</v>
      </c>
      <c r="K2206">
        <v>2637</v>
      </c>
      <c r="L2206">
        <v>2595</v>
      </c>
      <c r="M2206">
        <v>2587</v>
      </c>
      <c r="N2206" t="s">
        <v>988</v>
      </c>
    </row>
    <row r="2207" spans="1:14" x14ac:dyDescent="0.3">
      <c r="A2207">
        <v>2334</v>
      </c>
      <c r="B2207" t="s">
        <v>1990</v>
      </c>
      <c r="C2207" t="s">
        <v>2256</v>
      </c>
      <c r="D2207" t="s">
        <v>159</v>
      </c>
      <c r="E2207" t="s">
        <v>159</v>
      </c>
      <c r="F2207">
        <v>5637</v>
      </c>
      <c r="G2207" t="s">
        <v>698</v>
      </c>
      <c r="I2207">
        <v>997</v>
      </c>
      <c r="J2207">
        <v>984</v>
      </c>
      <c r="K2207">
        <v>972</v>
      </c>
      <c r="L2207">
        <v>956</v>
      </c>
      <c r="M2207">
        <v>968</v>
      </c>
      <c r="N2207" t="s">
        <v>988</v>
      </c>
    </row>
    <row r="2208" spans="1:14" x14ac:dyDescent="0.3">
      <c r="A2208">
        <v>2337</v>
      </c>
      <c r="B2208" t="s">
        <v>1993</v>
      </c>
      <c r="C2208" t="s">
        <v>2256</v>
      </c>
      <c r="D2208" t="s">
        <v>1203</v>
      </c>
      <c r="E2208" t="s">
        <v>1204</v>
      </c>
      <c r="F2208">
        <v>5742</v>
      </c>
      <c r="G2208" t="s">
        <v>698</v>
      </c>
      <c r="I2208">
        <v>115</v>
      </c>
      <c r="J2208">
        <v>120</v>
      </c>
      <c r="K2208">
        <v>125</v>
      </c>
      <c r="L2208">
        <v>131</v>
      </c>
      <c r="M2208">
        <v>137</v>
      </c>
      <c r="N2208" t="s">
        <v>988</v>
      </c>
    </row>
    <row r="2209" spans="1:14" x14ac:dyDescent="0.3">
      <c r="A2209">
        <v>2337</v>
      </c>
      <c r="B2209" t="s">
        <v>1993</v>
      </c>
      <c r="C2209" t="s">
        <v>2256</v>
      </c>
      <c r="D2209" t="s">
        <v>1203</v>
      </c>
      <c r="E2209" t="s">
        <v>1204</v>
      </c>
      <c r="F2209">
        <v>5742</v>
      </c>
      <c r="G2209" t="s">
        <v>686</v>
      </c>
      <c r="I2209">
        <v>235</v>
      </c>
      <c r="J2209">
        <v>246</v>
      </c>
      <c r="K2209">
        <v>257</v>
      </c>
      <c r="L2209">
        <v>268</v>
      </c>
      <c r="M2209">
        <v>280</v>
      </c>
      <c r="N2209" t="s">
        <v>988</v>
      </c>
    </row>
    <row r="2210" spans="1:14" x14ac:dyDescent="0.3">
      <c r="A2210">
        <v>2337</v>
      </c>
      <c r="B2210" t="s">
        <v>1993</v>
      </c>
      <c r="C2210" t="s">
        <v>2256</v>
      </c>
      <c r="D2210" t="s">
        <v>1203</v>
      </c>
      <c r="E2210" t="s">
        <v>1204</v>
      </c>
      <c r="F2210">
        <v>5742</v>
      </c>
      <c r="G2210" t="s">
        <v>684</v>
      </c>
      <c r="I2210">
        <v>25</v>
      </c>
      <c r="J2210">
        <v>26</v>
      </c>
      <c r="K2210">
        <v>27</v>
      </c>
      <c r="L2210">
        <v>29</v>
      </c>
      <c r="M2210">
        <v>30</v>
      </c>
      <c r="N2210" t="s">
        <v>988</v>
      </c>
    </row>
    <row r="2211" spans="1:14" x14ac:dyDescent="0.3">
      <c r="A2211">
        <v>2337</v>
      </c>
      <c r="B2211" t="s">
        <v>1993</v>
      </c>
      <c r="C2211" t="s">
        <v>2256</v>
      </c>
      <c r="D2211" t="s">
        <v>1203</v>
      </c>
      <c r="E2211" t="s">
        <v>1204</v>
      </c>
      <c r="F2211">
        <v>5742</v>
      </c>
      <c r="G2211" t="s">
        <v>702</v>
      </c>
      <c r="I2211">
        <v>1</v>
      </c>
      <c r="J2211">
        <v>1</v>
      </c>
      <c r="K2211">
        <v>1</v>
      </c>
      <c r="L2211">
        <v>1</v>
      </c>
      <c r="M2211">
        <v>1</v>
      </c>
      <c r="N2211" t="s">
        <v>988</v>
      </c>
    </row>
    <row r="2212" spans="1:14" x14ac:dyDescent="0.3">
      <c r="A2212">
        <v>2337</v>
      </c>
      <c r="B2212" t="s">
        <v>1993</v>
      </c>
      <c r="C2212" t="s">
        <v>2256</v>
      </c>
      <c r="D2212" t="s">
        <v>1203</v>
      </c>
      <c r="E2212" t="s">
        <v>1204</v>
      </c>
      <c r="F2212">
        <v>5742</v>
      </c>
      <c r="G2212" t="s">
        <v>703</v>
      </c>
      <c r="I2212">
        <v>53</v>
      </c>
      <c r="J2212">
        <v>56</v>
      </c>
      <c r="K2212">
        <v>58</v>
      </c>
      <c r="L2212">
        <v>61</v>
      </c>
      <c r="M2212">
        <v>63</v>
      </c>
      <c r="N2212" t="s">
        <v>988</v>
      </c>
    </row>
    <row r="2213" spans="1:14" x14ac:dyDescent="0.3">
      <c r="A2213">
        <v>2337</v>
      </c>
      <c r="B2213" t="s">
        <v>1993</v>
      </c>
      <c r="C2213" t="s">
        <v>2256</v>
      </c>
      <c r="D2213" t="s">
        <v>1203</v>
      </c>
      <c r="E2213" t="s">
        <v>1204</v>
      </c>
      <c r="F2213">
        <v>5742</v>
      </c>
      <c r="G2213" t="s">
        <v>701</v>
      </c>
      <c r="I2213">
        <v>0</v>
      </c>
      <c r="J2213">
        <v>0</v>
      </c>
      <c r="K2213">
        <v>0</v>
      </c>
      <c r="L2213">
        <v>0</v>
      </c>
      <c r="M2213">
        <v>0</v>
      </c>
      <c r="N2213" t="s">
        <v>988</v>
      </c>
    </row>
    <row r="2214" spans="1:14" x14ac:dyDescent="0.3">
      <c r="A2214">
        <v>2337</v>
      </c>
      <c r="B2214" t="s">
        <v>1993</v>
      </c>
      <c r="C2214" t="s">
        <v>2256</v>
      </c>
      <c r="D2214" t="s">
        <v>1203</v>
      </c>
      <c r="E2214" t="s">
        <v>1204</v>
      </c>
      <c r="F2214">
        <v>5742</v>
      </c>
      <c r="G2214" t="s">
        <v>700</v>
      </c>
      <c r="I2214">
        <v>155</v>
      </c>
      <c r="J2214">
        <v>162</v>
      </c>
      <c r="K2214">
        <v>169</v>
      </c>
      <c r="L2214">
        <v>176</v>
      </c>
      <c r="M2214">
        <v>184</v>
      </c>
      <c r="N2214" t="s">
        <v>988</v>
      </c>
    </row>
    <row r="2215" spans="1:14" x14ac:dyDescent="0.3">
      <c r="A2215">
        <v>2337</v>
      </c>
      <c r="B2215" t="s">
        <v>1993</v>
      </c>
      <c r="C2215" t="s">
        <v>2256</v>
      </c>
      <c r="D2215" t="s">
        <v>1203</v>
      </c>
      <c r="E2215" t="s">
        <v>1204</v>
      </c>
      <c r="F2215">
        <v>5742</v>
      </c>
      <c r="G2215" t="s">
        <v>696</v>
      </c>
      <c r="I2215">
        <v>1491</v>
      </c>
      <c r="J2215">
        <v>1558</v>
      </c>
      <c r="K2215">
        <v>1627</v>
      </c>
      <c r="L2215">
        <v>1700</v>
      </c>
      <c r="M2215">
        <v>1776</v>
      </c>
      <c r="N2215" t="s">
        <v>988</v>
      </c>
    </row>
    <row r="2216" spans="1:14" x14ac:dyDescent="0.3">
      <c r="A2216">
        <v>2341</v>
      </c>
      <c r="B2216" t="s">
        <v>1994</v>
      </c>
      <c r="C2216" t="s">
        <v>2256</v>
      </c>
      <c r="D2216" t="s">
        <v>159</v>
      </c>
      <c r="E2216" t="s">
        <v>159</v>
      </c>
      <c r="F2216">
        <v>6850</v>
      </c>
      <c r="G2216" t="s">
        <v>698</v>
      </c>
      <c r="I2216">
        <v>2473.91</v>
      </c>
      <c r="J2216">
        <v>2479.15</v>
      </c>
      <c r="K2216">
        <v>2484.39</v>
      </c>
      <c r="L2216">
        <v>2489.65</v>
      </c>
      <c r="M2216">
        <v>2494.92</v>
      </c>
      <c r="N2216" t="s">
        <v>988</v>
      </c>
    </row>
    <row r="2217" spans="1:14" x14ac:dyDescent="0.3">
      <c r="A2217">
        <v>2341</v>
      </c>
      <c r="B2217" t="s">
        <v>1994</v>
      </c>
      <c r="C2217" t="s">
        <v>2256</v>
      </c>
      <c r="D2217" t="s">
        <v>159</v>
      </c>
      <c r="E2217" t="s">
        <v>159</v>
      </c>
      <c r="F2217">
        <v>6850</v>
      </c>
      <c r="G2217" t="s">
        <v>696</v>
      </c>
      <c r="I2217">
        <v>2559.5500000000002</v>
      </c>
      <c r="J2217">
        <v>2564.9699999999998</v>
      </c>
      <c r="K2217">
        <v>2570.4</v>
      </c>
      <c r="L2217">
        <v>2575.84</v>
      </c>
      <c r="M2217">
        <v>2581.29</v>
      </c>
      <c r="N2217" t="s">
        <v>988</v>
      </c>
    </row>
    <row r="2218" spans="1:14" x14ac:dyDescent="0.3">
      <c r="A2218">
        <v>2341</v>
      </c>
      <c r="B2218" t="s">
        <v>1994</v>
      </c>
      <c r="C2218" t="s">
        <v>2256</v>
      </c>
      <c r="D2218" t="s">
        <v>159</v>
      </c>
      <c r="E2218" t="s">
        <v>159</v>
      </c>
      <c r="F2218">
        <v>6850</v>
      </c>
      <c r="G2218" t="s">
        <v>700</v>
      </c>
      <c r="I2218">
        <v>1412.78</v>
      </c>
      <c r="J2218">
        <v>1415.77</v>
      </c>
      <c r="K2218">
        <v>1418.77</v>
      </c>
      <c r="L2218">
        <v>1421.77</v>
      </c>
      <c r="M2218">
        <v>1424.78</v>
      </c>
      <c r="N2218" t="s">
        <v>988</v>
      </c>
    </row>
    <row r="2219" spans="1:14" x14ac:dyDescent="0.3">
      <c r="A2219">
        <v>2341</v>
      </c>
      <c r="B2219" t="s">
        <v>1994</v>
      </c>
      <c r="C2219" t="s">
        <v>2256</v>
      </c>
      <c r="D2219" t="s">
        <v>159</v>
      </c>
      <c r="E2219" t="s">
        <v>159</v>
      </c>
      <c r="F2219">
        <v>6850</v>
      </c>
      <c r="G2219" t="s">
        <v>701</v>
      </c>
      <c r="I2219">
        <v>362.61</v>
      </c>
      <c r="J2219">
        <v>363.38</v>
      </c>
      <c r="K2219">
        <v>364.15</v>
      </c>
      <c r="L2219">
        <v>364.92</v>
      </c>
      <c r="M2219">
        <v>365.69</v>
      </c>
      <c r="N2219" t="s">
        <v>988</v>
      </c>
    </row>
    <row r="2220" spans="1:14" x14ac:dyDescent="0.3">
      <c r="A2220">
        <v>2341</v>
      </c>
      <c r="B2220" t="s">
        <v>1994</v>
      </c>
      <c r="C2220" t="s">
        <v>2256</v>
      </c>
      <c r="D2220" t="s">
        <v>159</v>
      </c>
      <c r="E2220" t="s">
        <v>159</v>
      </c>
      <c r="F2220">
        <v>6850</v>
      </c>
      <c r="G2220" t="s">
        <v>702</v>
      </c>
      <c r="I2220">
        <v>187.99</v>
      </c>
      <c r="J2220">
        <v>188.39</v>
      </c>
      <c r="K2220">
        <v>188.79</v>
      </c>
      <c r="L2220">
        <v>189.18</v>
      </c>
      <c r="M2220">
        <v>189.59</v>
      </c>
      <c r="N2220" t="s">
        <v>988</v>
      </c>
    </row>
    <row r="2221" spans="1:14" x14ac:dyDescent="0.3">
      <c r="A2221">
        <v>2341</v>
      </c>
      <c r="B2221" t="s">
        <v>1994</v>
      </c>
      <c r="C2221" t="s">
        <v>2256</v>
      </c>
      <c r="D2221" t="s">
        <v>159</v>
      </c>
      <c r="E2221" t="s">
        <v>159</v>
      </c>
      <c r="F2221">
        <v>6850</v>
      </c>
      <c r="G2221" t="s">
        <v>691</v>
      </c>
      <c r="H2221" t="s">
        <v>1410</v>
      </c>
      <c r="I2221">
        <v>22.95</v>
      </c>
      <c r="J2221">
        <v>23</v>
      </c>
      <c r="K2221">
        <v>23.05</v>
      </c>
      <c r="L2221">
        <v>23.09</v>
      </c>
      <c r="M2221">
        <v>23.14</v>
      </c>
      <c r="N2221" t="s">
        <v>988</v>
      </c>
    </row>
    <row r="2222" spans="1:14" x14ac:dyDescent="0.3">
      <c r="A2222">
        <v>2341</v>
      </c>
      <c r="B2222" t="s">
        <v>1994</v>
      </c>
      <c r="C2222" t="s">
        <v>2256</v>
      </c>
      <c r="D2222" t="s">
        <v>159</v>
      </c>
      <c r="E2222" t="s">
        <v>159</v>
      </c>
      <c r="F2222">
        <v>6850</v>
      </c>
      <c r="G2222" t="s">
        <v>686</v>
      </c>
      <c r="H2222" t="s">
        <v>1511</v>
      </c>
      <c r="I2222">
        <v>635.61</v>
      </c>
      <c r="J2222">
        <v>636.96</v>
      </c>
      <c r="K2222">
        <v>638.30999999999995</v>
      </c>
      <c r="L2222">
        <v>639.66</v>
      </c>
      <c r="M2222">
        <v>641.01</v>
      </c>
      <c r="N2222" t="s">
        <v>988</v>
      </c>
    </row>
    <row r="2223" spans="1:14" x14ac:dyDescent="0.3">
      <c r="A2223">
        <v>2343</v>
      </c>
      <c r="B2223" t="s">
        <v>1995</v>
      </c>
      <c r="C2223" t="s">
        <v>2256</v>
      </c>
      <c r="D2223" t="s">
        <v>1203</v>
      </c>
      <c r="E2223" t="s">
        <v>1204</v>
      </c>
      <c r="F2223">
        <v>5812</v>
      </c>
      <c r="G2223" t="s">
        <v>698</v>
      </c>
      <c r="I2223">
        <v>366.45</v>
      </c>
      <c r="J2223">
        <v>384.77249999999998</v>
      </c>
      <c r="K2223">
        <v>404.01112499999999</v>
      </c>
      <c r="L2223">
        <v>424.21168130000001</v>
      </c>
      <c r="M2223">
        <v>445.42226529999999</v>
      </c>
      <c r="N2223" t="s">
        <v>988</v>
      </c>
    </row>
    <row r="2224" spans="1:14" x14ac:dyDescent="0.3">
      <c r="A2224">
        <v>2343</v>
      </c>
      <c r="B2224" t="s">
        <v>1995</v>
      </c>
      <c r="C2224" t="s">
        <v>2256</v>
      </c>
      <c r="D2224" t="s">
        <v>1203</v>
      </c>
      <c r="E2224" t="s">
        <v>1204</v>
      </c>
      <c r="F2224">
        <v>5812</v>
      </c>
      <c r="G2224" t="s">
        <v>700</v>
      </c>
      <c r="I2224">
        <v>254.1</v>
      </c>
      <c r="J2224">
        <v>266.80500000000001</v>
      </c>
      <c r="K2224">
        <v>280.14524999999998</v>
      </c>
      <c r="L2224">
        <v>294.1525125</v>
      </c>
      <c r="M2224">
        <v>308.86013809999997</v>
      </c>
      <c r="N2224" t="s">
        <v>988</v>
      </c>
    </row>
    <row r="2225" spans="1:14" x14ac:dyDescent="0.3">
      <c r="A2225">
        <v>2343</v>
      </c>
      <c r="B2225" t="s">
        <v>1995</v>
      </c>
      <c r="C2225" t="s">
        <v>2256</v>
      </c>
      <c r="D2225" t="s">
        <v>1203</v>
      </c>
      <c r="E2225" t="s">
        <v>1204</v>
      </c>
      <c r="F2225">
        <v>5812</v>
      </c>
      <c r="G2225" t="s">
        <v>686</v>
      </c>
      <c r="I2225">
        <v>188.49</v>
      </c>
      <c r="J2225">
        <v>197.9145</v>
      </c>
      <c r="K2225">
        <v>207.810225</v>
      </c>
      <c r="L2225">
        <v>218.20073629999999</v>
      </c>
      <c r="M2225">
        <v>229.11077309999999</v>
      </c>
      <c r="N2225" t="s">
        <v>988</v>
      </c>
    </row>
    <row r="2226" spans="1:14" x14ac:dyDescent="0.3">
      <c r="A2226">
        <v>2343</v>
      </c>
      <c r="B2226" t="s">
        <v>1995</v>
      </c>
      <c r="C2226" t="s">
        <v>2256</v>
      </c>
      <c r="D2226" t="s">
        <v>1203</v>
      </c>
      <c r="E2226" t="s">
        <v>1204</v>
      </c>
      <c r="F2226">
        <v>5812</v>
      </c>
      <c r="G2226" t="s">
        <v>696</v>
      </c>
      <c r="I2226">
        <v>1456.35</v>
      </c>
      <c r="J2226">
        <v>1529.1675</v>
      </c>
      <c r="K2226">
        <v>1605.625875</v>
      </c>
      <c r="L2226">
        <v>1685.9071690000001</v>
      </c>
      <c r="M2226">
        <v>1770.2025269999999</v>
      </c>
      <c r="N2226" t="s">
        <v>988</v>
      </c>
    </row>
    <row r="2227" spans="1:14" x14ac:dyDescent="0.3">
      <c r="A2227">
        <v>2343</v>
      </c>
      <c r="B2227" t="s">
        <v>1995</v>
      </c>
      <c r="C2227" t="s">
        <v>2256</v>
      </c>
      <c r="D2227" t="s">
        <v>1203</v>
      </c>
      <c r="E2227" t="s">
        <v>1204</v>
      </c>
      <c r="F2227">
        <v>5812</v>
      </c>
      <c r="G2227" t="s">
        <v>701</v>
      </c>
      <c r="I2227">
        <v>1.05</v>
      </c>
      <c r="J2227">
        <v>1.1025</v>
      </c>
      <c r="K2227">
        <v>1.1576249999999999</v>
      </c>
      <c r="L2227">
        <v>1.21550625</v>
      </c>
      <c r="M2227">
        <v>1.276281563</v>
      </c>
      <c r="N2227" t="s">
        <v>988</v>
      </c>
    </row>
    <row r="2228" spans="1:14" x14ac:dyDescent="0.3">
      <c r="A2228">
        <v>2343</v>
      </c>
      <c r="B2228" t="s">
        <v>1995</v>
      </c>
      <c r="C2228" t="s">
        <v>2256</v>
      </c>
      <c r="D2228" t="s">
        <v>1203</v>
      </c>
      <c r="E2228" t="s">
        <v>1204</v>
      </c>
      <c r="F2228">
        <v>5812</v>
      </c>
      <c r="G2228" t="s">
        <v>702</v>
      </c>
      <c r="H2228" t="s">
        <v>1996</v>
      </c>
      <c r="I2228">
        <v>113.4</v>
      </c>
      <c r="J2228">
        <v>119.07</v>
      </c>
      <c r="K2228">
        <v>125.0235</v>
      </c>
      <c r="L2228">
        <v>131.274675</v>
      </c>
      <c r="M2228">
        <v>137.8384088</v>
      </c>
      <c r="N2228" t="s">
        <v>988</v>
      </c>
    </row>
    <row r="2229" spans="1:14" x14ac:dyDescent="0.3">
      <c r="A2229">
        <v>2345</v>
      </c>
      <c r="B2229" t="s">
        <v>1997</v>
      </c>
      <c r="C2229" t="s">
        <v>2256</v>
      </c>
      <c r="D2229" t="s">
        <v>1203</v>
      </c>
      <c r="E2229" t="s">
        <v>1204</v>
      </c>
      <c r="F2229">
        <v>5554</v>
      </c>
      <c r="G2229" t="s">
        <v>687</v>
      </c>
      <c r="I2229">
        <v>8</v>
      </c>
      <c r="J2229">
        <v>8</v>
      </c>
      <c r="K2229">
        <v>8</v>
      </c>
      <c r="L2229">
        <v>8</v>
      </c>
      <c r="M2229">
        <v>8</v>
      </c>
      <c r="N2229" t="s">
        <v>988</v>
      </c>
    </row>
    <row r="2230" spans="1:14" x14ac:dyDescent="0.3">
      <c r="A2230">
        <v>2345</v>
      </c>
      <c r="B2230" t="s">
        <v>1997</v>
      </c>
      <c r="C2230" t="s">
        <v>2256</v>
      </c>
      <c r="D2230" t="s">
        <v>1203</v>
      </c>
      <c r="E2230" t="s">
        <v>1204</v>
      </c>
      <c r="F2230">
        <v>5554</v>
      </c>
      <c r="G2230" t="s">
        <v>702</v>
      </c>
      <c r="I2230">
        <v>5</v>
      </c>
      <c r="J2230">
        <v>5</v>
      </c>
      <c r="K2230">
        <v>5</v>
      </c>
      <c r="L2230">
        <v>5</v>
      </c>
      <c r="M2230">
        <v>5</v>
      </c>
      <c r="N2230" t="s">
        <v>988</v>
      </c>
    </row>
    <row r="2231" spans="1:14" x14ac:dyDescent="0.3">
      <c r="A2231">
        <v>2345</v>
      </c>
      <c r="B2231" t="s">
        <v>1997</v>
      </c>
      <c r="C2231" t="s">
        <v>2256</v>
      </c>
      <c r="D2231" t="s">
        <v>1203</v>
      </c>
      <c r="E2231" t="s">
        <v>1204</v>
      </c>
      <c r="F2231">
        <v>5554</v>
      </c>
      <c r="G2231" t="s">
        <v>703</v>
      </c>
      <c r="I2231">
        <v>100</v>
      </c>
      <c r="J2231">
        <v>101</v>
      </c>
      <c r="K2231">
        <v>101</v>
      </c>
      <c r="L2231">
        <v>102</v>
      </c>
      <c r="M2231">
        <v>103</v>
      </c>
      <c r="N2231" t="s">
        <v>988</v>
      </c>
    </row>
    <row r="2232" spans="1:14" x14ac:dyDescent="0.3">
      <c r="A2232">
        <v>2345</v>
      </c>
      <c r="B2232" t="s">
        <v>1997</v>
      </c>
      <c r="C2232" t="s">
        <v>2256</v>
      </c>
      <c r="D2232" t="s">
        <v>1203</v>
      </c>
      <c r="E2232" t="s">
        <v>1204</v>
      </c>
      <c r="F2232">
        <v>5554</v>
      </c>
      <c r="G2232" t="s">
        <v>700</v>
      </c>
      <c r="I2232">
        <v>529</v>
      </c>
      <c r="J2232">
        <v>533</v>
      </c>
      <c r="K2232">
        <v>537</v>
      </c>
      <c r="L2232">
        <v>541</v>
      </c>
      <c r="M2232">
        <v>546</v>
      </c>
      <c r="N2232" t="s">
        <v>988</v>
      </c>
    </row>
    <row r="2233" spans="1:14" x14ac:dyDescent="0.3">
      <c r="A2233">
        <v>2345</v>
      </c>
      <c r="B2233" t="s">
        <v>1997</v>
      </c>
      <c r="C2233" t="s">
        <v>2256</v>
      </c>
      <c r="D2233" t="s">
        <v>1203</v>
      </c>
      <c r="E2233" t="s">
        <v>1204</v>
      </c>
      <c r="F2233">
        <v>5554</v>
      </c>
      <c r="G2233" t="s">
        <v>698</v>
      </c>
      <c r="I2233">
        <v>1166</v>
      </c>
      <c r="J2233">
        <v>1175</v>
      </c>
      <c r="K2233">
        <v>1184</v>
      </c>
      <c r="L2233">
        <v>1193</v>
      </c>
      <c r="M2233">
        <v>1203</v>
      </c>
      <c r="N2233" t="s">
        <v>988</v>
      </c>
    </row>
    <row r="2234" spans="1:14" x14ac:dyDescent="0.3">
      <c r="A2234">
        <v>2345</v>
      </c>
      <c r="B2234" t="s">
        <v>1997</v>
      </c>
      <c r="C2234" t="s">
        <v>2256</v>
      </c>
      <c r="D2234" t="s">
        <v>1203</v>
      </c>
      <c r="E2234" t="s">
        <v>1204</v>
      </c>
      <c r="F2234">
        <v>5554</v>
      </c>
      <c r="G2234" t="s">
        <v>696</v>
      </c>
      <c r="I2234">
        <v>2192</v>
      </c>
      <c r="J2234">
        <v>2210</v>
      </c>
      <c r="K2234">
        <v>2229</v>
      </c>
      <c r="L2234">
        <v>2246</v>
      </c>
      <c r="M2234">
        <v>2262</v>
      </c>
      <c r="N2234" t="s">
        <v>988</v>
      </c>
    </row>
    <row r="2235" spans="1:14" x14ac:dyDescent="0.3">
      <c r="A2235">
        <v>2345</v>
      </c>
      <c r="B2235" t="s">
        <v>1997</v>
      </c>
      <c r="C2235" t="s">
        <v>2256</v>
      </c>
      <c r="D2235" t="s">
        <v>1203</v>
      </c>
      <c r="E2235" t="s">
        <v>1204</v>
      </c>
      <c r="F2235">
        <v>5554</v>
      </c>
      <c r="G2235" t="s">
        <v>686</v>
      </c>
      <c r="I2235">
        <v>167</v>
      </c>
      <c r="J2235">
        <v>168</v>
      </c>
      <c r="K2235">
        <v>169</v>
      </c>
      <c r="L2235">
        <v>171</v>
      </c>
      <c r="M2235">
        <v>172</v>
      </c>
      <c r="N2235" t="s">
        <v>988</v>
      </c>
    </row>
    <row r="2236" spans="1:14" x14ac:dyDescent="0.3">
      <c r="A2236">
        <v>2348</v>
      </c>
      <c r="B2236" t="s">
        <v>1998</v>
      </c>
      <c r="C2236" t="s">
        <v>2256</v>
      </c>
      <c r="D2236" t="s">
        <v>159</v>
      </c>
      <c r="E2236" t="s">
        <v>159</v>
      </c>
      <c r="F2236">
        <v>6953</v>
      </c>
      <c r="G2236" t="s">
        <v>686</v>
      </c>
      <c r="I2236">
        <v>1097</v>
      </c>
      <c r="J2236">
        <v>1118</v>
      </c>
      <c r="K2236">
        <v>1138</v>
      </c>
      <c r="L2236">
        <v>1160</v>
      </c>
      <c r="M2236">
        <v>1181</v>
      </c>
      <c r="N2236" t="s">
        <v>988</v>
      </c>
    </row>
    <row r="2237" spans="1:14" x14ac:dyDescent="0.3">
      <c r="A2237">
        <v>2348</v>
      </c>
      <c r="B2237" t="s">
        <v>1998</v>
      </c>
      <c r="C2237" t="s">
        <v>2256</v>
      </c>
      <c r="D2237" t="s">
        <v>159</v>
      </c>
      <c r="E2237" t="s">
        <v>159</v>
      </c>
      <c r="F2237">
        <v>6953</v>
      </c>
      <c r="G2237" t="s">
        <v>700</v>
      </c>
      <c r="H2237" t="s">
        <v>1999</v>
      </c>
      <c r="I2237">
        <v>716</v>
      </c>
      <c r="J2237">
        <v>729</v>
      </c>
      <c r="K2237">
        <v>743</v>
      </c>
      <c r="L2237">
        <v>757</v>
      </c>
      <c r="M2237">
        <v>771</v>
      </c>
      <c r="N2237" t="s">
        <v>988</v>
      </c>
    </row>
    <row r="2238" spans="1:14" x14ac:dyDescent="0.3">
      <c r="A2238">
        <v>2348</v>
      </c>
      <c r="B2238" t="s">
        <v>1998</v>
      </c>
      <c r="C2238" t="s">
        <v>2256</v>
      </c>
      <c r="D2238" t="s">
        <v>159</v>
      </c>
      <c r="E2238" t="s">
        <v>159</v>
      </c>
      <c r="F2238">
        <v>6953</v>
      </c>
      <c r="G2238" t="s">
        <v>698</v>
      </c>
      <c r="I2238">
        <v>753</v>
      </c>
      <c r="J2238">
        <v>767</v>
      </c>
      <c r="K2238">
        <v>782</v>
      </c>
      <c r="L2238">
        <v>796</v>
      </c>
      <c r="M2238">
        <v>811</v>
      </c>
      <c r="N2238" t="s">
        <v>988</v>
      </c>
    </row>
    <row r="2239" spans="1:14" x14ac:dyDescent="0.3">
      <c r="A2239">
        <v>2348</v>
      </c>
      <c r="B2239" t="s">
        <v>1998</v>
      </c>
      <c r="C2239" t="s">
        <v>2256</v>
      </c>
      <c r="D2239" t="s">
        <v>159</v>
      </c>
      <c r="E2239" t="s">
        <v>159</v>
      </c>
      <c r="F2239">
        <v>6953</v>
      </c>
      <c r="G2239" t="s">
        <v>696</v>
      </c>
      <c r="I2239">
        <v>3320</v>
      </c>
      <c r="J2239">
        <v>3382</v>
      </c>
      <c r="K2239">
        <v>3445</v>
      </c>
      <c r="L2239">
        <v>3509</v>
      </c>
      <c r="M2239">
        <v>3575</v>
      </c>
      <c r="N2239" t="s">
        <v>988</v>
      </c>
    </row>
    <row r="2240" spans="1:14" x14ac:dyDescent="0.3">
      <c r="A2240">
        <v>2381</v>
      </c>
      <c r="B2240" t="s">
        <v>2000</v>
      </c>
      <c r="C2240" t="s">
        <v>2256</v>
      </c>
      <c r="D2240" t="s">
        <v>159</v>
      </c>
      <c r="E2240" t="s">
        <v>159</v>
      </c>
      <c r="F2240">
        <v>7791</v>
      </c>
      <c r="G2240" t="s">
        <v>686</v>
      </c>
      <c r="H2240" t="s">
        <v>2001</v>
      </c>
      <c r="I2240">
        <v>2898</v>
      </c>
      <c r="J2240">
        <v>3145</v>
      </c>
      <c r="K2240">
        <v>3568</v>
      </c>
      <c r="L2240">
        <v>3991</v>
      </c>
      <c r="M2240">
        <v>3991</v>
      </c>
      <c r="N2240" t="s">
        <v>988</v>
      </c>
    </row>
    <row r="2241" spans="1:14" x14ac:dyDescent="0.3">
      <c r="A2241">
        <v>2381</v>
      </c>
      <c r="B2241" t="s">
        <v>2000</v>
      </c>
      <c r="C2241" t="s">
        <v>2256</v>
      </c>
      <c r="D2241" t="s">
        <v>159</v>
      </c>
      <c r="E2241" t="s">
        <v>159</v>
      </c>
      <c r="F2241">
        <v>7791</v>
      </c>
      <c r="G2241" t="s">
        <v>705</v>
      </c>
      <c r="H2241" t="s">
        <v>2003</v>
      </c>
      <c r="I2241">
        <v>1830</v>
      </c>
      <c r="J2241">
        <v>1830</v>
      </c>
      <c r="K2241">
        <v>1830</v>
      </c>
      <c r="L2241">
        <v>1830</v>
      </c>
      <c r="M2241">
        <v>1830</v>
      </c>
      <c r="N2241" t="s">
        <v>988</v>
      </c>
    </row>
    <row r="2242" spans="1:14" x14ac:dyDescent="0.3">
      <c r="A2242">
        <v>2381</v>
      </c>
      <c r="B2242" t="s">
        <v>2000</v>
      </c>
      <c r="C2242" t="s">
        <v>2256</v>
      </c>
      <c r="D2242" t="s">
        <v>159</v>
      </c>
      <c r="E2242" t="s">
        <v>159</v>
      </c>
      <c r="F2242">
        <v>7791</v>
      </c>
      <c r="G2242" t="s">
        <v>702</v>
      </c>
      <c r="I2242">
        <v>3162</v>
      </c>
      <c r="J2242">
        <v>3208</v>
      </c>
      <c r="K2242">
        <v>3786</v>
      </c>
      <c r="L2242">
        <v>4363</v>
      </c>
      <c r="M2242">
        <v>4363</v>
      </c>
      <c r="N2242" t="s">
        <v>988</v>
      </c>
    </row>
    <row r="2243" spans="1:14" x14ac:dyDescent="0.3">
      <c r="A2243">
        <v>2381</v>
      </c>
      <c r="B2243" t="s">
        <v>2000</v>
      </c>
      <c r="C2243" t="s">
        <v>2256</v>
      </c>
      <c r="D2243" t="s">
        <v>159</v>
      </c>
      <c r="E2243" t="s">
        <v>159</v>
      </c>
      <c r="F2243">
        <v>7791</v>
      </c>
      <c r="G2243" t="s">
        <v>696</v>
      </c>
      <c r="I2243">
        <v>15782</v>
      </c>
      <c r="J2243">
        <v>16066</v>
      </c>
      <c r="K2243">
        <v>19259</v>
      </c>
      <c r="L2243">
        <v>22451</v>
      </c>
      <c r="M2243">
        <v>22451</v>
      </c>
      <c r="N2243" t="s">
        <v>988</v>
      </c>
    </row>
    <row r="2244" spans="1:14" x14ac:dyDescent="0.3">
      <c r="A2244">
        <v>2381</v>
      </c>
      <c r="B2244" t="s">
        <v>2000</v>
      </c>
      <c r="C2244" t="s">
        <v>2256</v>
      </c>
      <c r="D2244" t="s">
        <v>159</v>
      </c>
      <c r="E2244" t="s">
        <v>159</v>
      </c>
      <c r="F2244">
        <v>7791</v>
      </c>
      <c r="G2244" t="s">
        <v>701</v>
      </c>
      <c r="I2244">
        <v>3192</v>
      </c>
      <c r="J2244">
        <v>5592</v>
      </c>
      <c r="K2244">
        <v>5871</v>
      </c>
      <c r="L2244">
        <v>6150</v>
      </c>
      <c r="M2244">
        <v>6150</v>
      </c>
      <c r="N2244" t="s">
        <v>988</v>
      </c>
    </row>
    <row r="2245" spans="1:14" x14ac:dyDescent="0.3">
      <c r="A2245">
        <v>2381</v>
      </c>
      <c r="B2245" t="s">
        <v>2000</v>
      </c>
      <c r="C2245" t="s">
        <v>2256</v>
      </c>
      <c r="D2245" t="s">
        <v>159</v>
      </c>
      <c r="E2245" t="s">
        <v>159</v>
      </c>
      <c r="F2245">
        <v>7791</v>
      </c>
      <c r="G2245" t="s">
        <v>700</v>
      </c>
      <c r="H2245" t="s">
        <v>2005</v>
      </c>
      <c r="I2245">
        <v>4793</v>
      </c>
      <c r="J2245">
        <v>4856</v>
      </c>
      <c r="K2245">
        <v>5149</v>
      </c>
      <c r="L2245">
        <v>5442</v>
      </c>
      <c r="M2245">
        <v>5442</v>
      </c>
      <c r="N2245" t="s">
        <v>988</v>
      </c>
    </row>
    <row r="2246" spans="1:14" x14ac:dyDescent="0.3">
      <c r="A2246">
        <v>2381</v>
      </c>
      <c r="B2246" t="s">
        <v>2000</v>
      </c>
      <c r="C2246" t="s">
        <v>2256</v>
      </c>
      <c r="D2246" t="s">
        <v>159</v>
      </c>
      <c r="E2246" t="s">
        <v>159</v>
      </c>
      <c r="F2246">
        <v>7791</v>
      </c>
      <c r="G2246" t="s">
        <v>698</v>
      </c>
      <c r="I2246">
        <v>2927</v>
      </c>
      <c r="J2246">
        <v>2976</v>
      </c>
      <c r="K2246">
        <v>3494</v>
      </c>
      <c r="L2246">
        <v>4012</v>
      </c>
      <c r="M2246">
        <v>4012</v>
      </c>
      <c r="N2246" t="s">
        <v>988</v>
      </c>
    </row>
    <row r="2247" spans="1:14" x14ac:dyDescent="0.3">
      <c r="A2247">
        <v>2381</v>
      </c>
      <c r="B2247" t="s">
        <v>2000</v>
      </c>
      <c r="C2247" t="s">
        <v>2256</v>
      </c>
      <c r="D2247" t="s">
        <v>159</v>
      </c>
      <c r="E2247" t="s">
        <v>159</v>
      </c>
      <c r="F2247">
        <v>7791</v>
      </c>
      <c r="G2247" t="s">
        <v>701</v>
      </c>
      <c r="H2247" t="s">
        <v>2004</v>
      </c>
      <c r="I2247">
        <v>205</v>
      </c>
      <c r="J2247">
        <v>205</v>
      </c>
      <c r="K2247">
        <v>205</v>
      </c>
      <c r="L2247">
        <v>205</v>
      </c>
      <c r="M2247">
        <v>205</v>
      </c>
      <c r="N2247" t="s">
        <v>988</v>
      </c>
    </row>
    <row r="2248" spans="1:14" x14ac:dyDescent="0.3">
      <c r="A2248">
        <v>2401</v>
      </c>
      <c r="B2248" t="s">
        <v>2006</v>
      </c>
      <c r="C2248" t="s">
        <v>2256</v>
      </c>
      <c r="D2248" t="s">
        <v>1203</v>
      </c>
      <c r="E2248" t="s">
        <v>1204</v>
      </c>
      <c r="F2248">
        <v>5710</v>
      </c>
      <c r="G2248" t="s">
        <v>702</v>
      </c>
      <c r="I2248">
        <v>603.1</v>
      </c>
      <c r="J2248">
        <v>609.1</v>
      </c>
      <c r="K2248">
        <v>615.1</v>
      </c>
      <c r="L2248">
        <v>621.29999999999995</v>
      </c>
      <c r="M2248">
        <v>627.5</v>
      </c>
      <c r="N2248" t="s">
        <v>988</v>
      </c>
    </row>
    <row r="2249" spans="1:14" x14ac:dyDescent="0.3">
      <c r="A2249">
        <v>2401</v>
      </c>
      <c r="B2249" t="s">
        <v>2006</v>
      </c>
      <c r="C2249" t="s">
        <v>2256</v>
      </c>
      <c r="D2249" t="s">
        <v>1203</v>
      </c>
      <c r="E2249" t="s">
        <v>1204</v>
      </c>
      <c r="F2249">
        <v>5710</v>
      </c>
      <c r="G2249" t="s">
        <v>696</v>
      </c>
      <c r="I2249">
        <v>16032.7</v>
      </c>
      <c r="J2249">
        <v>16192.3</v>
      </c>
      <c r="K2249">
        <v>16353.4</v>
      </c>
      <c r="L2249">
        <v>16516.2</v>
      </c>
      <c r="M2249">
        <v>16680.599999999999</v>
      </c>
      <c r="N2249" t="s">
        <v>988</v>
      </c>
    </row>
    <row r="2250" spans="1:14" x14ac:dyDescent="0.3">
      <c r="A2250">
        <v>2401</v>
      </c>
      <c r="B2250" t="s">
        <v>2006</v>
      </c>
      <c r="C2250" t="s">
        <v>2256</v>
      </c>
      <c r="D2250" t="s">
        <v>1203</v>
      </c>
      <c r="E2250" t="s">
        <v>1204</v>
      </c>
      <c r="F2250">
        <v>5710</v>
      </c>
      <c r="G2250" t="s">
        <v>700</v>
      </c>
      <c r="I2250">
        <v>4395.2</v>
      </c>
      <c r="J2250">
        <v>4438.8999999999996</v>
      </c>
      <c r="K2250">
        <v>4483.1000000000004</v>
      </c>
      <c r="L2250">
        <v>4527.7</v>
      </c>
      <c r="M2250">
        <v>4572.8</v>
      </c>
      <c r="N2250" t="s">
        <v>988</v>
      </c>
    </row>
    <row r="2251" spans="1:14" x14ac:dyDescent="0.3">
      <c r="A2251">
        <v>2401</v>
      </c>
      <c r="B2251" t="s">
        <v>2006</v>
      </c>
      <c r="C2251" t="s">
        <v>2256</v>
      </c>
      <c r="D2251" t="s">
        <v>1203</v>
      </c>
      <c r="E2251" t="s">
        <v>1204</v>
      </c>
      <c r="F2251">
        <v>5710</v>
      </c>
      <c r="G2251" t="s">
        <v>703</v>
      </c>
      <c r="I2251">
        <v>924.3</v>
      </c>
      <c r="J2251">
        <v>933.5</v>
      </c>
      <c r="K2251">
        <v>942.7</v>
      </c>
      <c r="L2251">
        <v>952.1</v>
      </c>
      <c r="M2251">
        <v>961.6</v>
      </c>
      <c r="N2251" t="s">
        <v>988</v>
      </c>
    </row>
    <row r="2252" spans="1:14" x14ac:dyDescent="0.3">
      <c r="A2252">
        <v>2401</v>
      </c>
      <c r="B2252" t="s">
        <v>2006</v>
      </c>
      <c r="C2252" t="s">
        <v>2256</v>
      </c>
      <c r="D2252" t="s">
        <v>1203</v>
      </c>
      <c r="E2252" t="s">
        <v>1204</v>
      </c>
      <c r="F2252">
        <v>5710</v>
      </c>
      <c r="G2252" t="s">
        <v>701</v>
      </c>
      <c r="I2252">
        <v>814.5</v>
      </c>
      <c r="J2252">
        <v>822.6</v>
      </c>
      <c r="K2252">
        <v>830.7</v>
      </c>
      <c r="L2252">
        <v>839</v>
      </c>
      <c r="M2252">
        <v>847.4</v>
      </c>
      <c r="N2252" t="s">
        <v>988</v>
      </c>
    </row>
    <row r="2253" spans="1:14" x14ac:dyDescent="0.3">
      <c r="A2253">
        <v>2401</v>
      </c>
      <c r="B2253" t="s">
        <v>2006</v>
      </c>
      <c r="C2253" t="s">
        <v>2256</v>
      </c>
      <c r="D2253" t="s">
        <v>1203</v>
      </c>
      <c r="E2253" t="s">
        <v>1204</v>
      </c>
      <c r="F2253">
        <v>5710</v>
      </c>
      <c r="G2253" t="s">
        <v>687</v>
      </c>
      <c r="H2253" t="s">
        <v>2007</v>
      </c>
      <c r="I2253">
        <v>16.399999999999999</v>
      </c>
      <c r="J2253">
        <v>16.600000000000001</v>
      </c>
      <c r="K2253">
        <v>16.7</v>
      </c>
      <c r="L2253">
        <v>16.899999999999999</v>
      </c>
      <c r="M2253">
        <v>17.100000000000001</v>
      </c>
      <c r="N2253" t="s">
        <v>988</v>
      </c>
    </row>
    <row r="2254" spans="1:14" x14ac:dyDescent="0.3">
      <c r="A2254">
        <v>2401</v>
      </c>
      <c r="B2254" t="s">
        <v>2006</v>
      </c>
      <c r="C2254" t="s">
        <v>2256</v>
      </c>
      <c r="D2254" t="s">
        <v>1203</v>
      </c>
      <c r="E2254" t="s">
        <v>1204</v>
      </c>
      <c r="F2254">
        <v>5710</v>
      </c>
      <c r="G2254" t="s">
        <v>686</v>
      </c>
      <c r="I2254">
        <v>1302.5</v>
      </c>
      <c r="J2254">
        <v>1315.5</v>
      </c>
      <c r="K2254">
        <v>1328.6</v>
      </c>
      <c r="L2254">
        <v>1341.8</v>
      </c>
      <c r="M2254">
        <v>1355.1</v>
      </c>
      <c r="N2254" t="s">
        <v>988</v>
      </c>
    </row>
    <row r="2255" spans="1:14" x14ac:dyDescent="0.3">
      <c r="A2255">
        <v>2402</v>
      </c>
      <c r="B2255" t="s">
        <v>2008</v>
      </c>
      <c r="C2255" t="s">
        <v>2256</v>
      </c>
      <c r="D2255" t="s">
        <v>1203</v>
      </c>
      <c r="E2255" t="s">
        <v>1204</v>
      </c>
      <c r="F2255">
        <v>5714</v>
      </c>
      <c r="G2255" t="s">
        <v>702</v>
      </c>
      <c r="I2255">
        <v>776.95</v>
      </c>
      <c r="J2255">
        <v>783.07</v>
      </c>
      <c r="K2255">
        <v>789.23</v>
      </c>
      <c r="L2255">
        <v>795.45</v>
      </c>
      <c r="M2255">
        <v>801.71</v>
      </c>
      <c r="N2255" t="s">
        <v>988</v>
      </c>
    </row>
    <row r="2256" spans="1:14" x14ac:dyDescent="0.3">
      <c r="A2256">
        <v>2402</v>
      </c>
      <c r="B2256" t="s">
        <v>2008</v>
      </c>
      <c r="C2256" t="s">
        <v>2256</v>
      </c>
      <c r="D2256" t="s">
        <v>1203</v>
      </c>
      <c r="E2256" t="s">
        <v>1204</v>
      </c>
      <c r="F2256">
        <v>5714</v>
      </c>
      <c r="G2256" t="s">
        <v>687</v>
      </c>
      <c r="H2256" t="s">
        <v>2007</v>
      </c>
      <c r="I2256">
        <v>40.68</v>
      </c>
      <c r="J2256">
        <v>41</v>
      </c>
      <c r="K2256">
        <v>41.32</v>
      </c>
      <c r="L2256">
        <v>41.65</v>
      </c>
      <c r="M2256">
        <v>41.98</v>
      </c>
      <c r="N2256" t="s">
        <v>988</v>
      </c>
    </row>
    <row r="2257" spans="1:14" x14ac:dyDescent="0.3">
      <c r="A2257">
        <v>2402</v>
      </c>
      <c r="B2257" t="s">
        <v>2008</v>
      </c>
      <c r="C2257" t="s">
        <v>2256</v>
      </c>
      <c r="D2257" t="s">
        <v>1203</v>
      </c>
      <c r="E2257" t="s">
        <v>1204</v>
      </c>
      <c r="F2257">
        <v>5714</v>
      </c>
      <c r="G2257" t="s">
        <v>686</v>
      </c>
      <c r="I2257">
        <v>1348.99</v>
      </c>
      <c r="J2257">
        <v>1359.62</v>
      </c>
      <c r="K2257">
        <v>1370.32</v>
      </c>
      <c r="L2257">
        <v>1381.11</v>
      </c>
      <c r="M2257">
        <v>1391.99</v>
      </c>
      <c r="N2257" t="s">
        <v>988</v>
      </c>
    </row>
    <row r="2258" spans="1:14" x14ac:dyDescent="0.3">
      <c r="A2258">
        <v>2402</v>
      </c>
      <c r="B2258" t="s">
        <v>2008</v>
      </c>
      <c r="C2258" t="s">
        <v>2256</v>
      </c>
      <c r="D2258" t="s">
        <v>1203</v>
      </c>
      <c r="E2258" t="s">
        <v>1204</v>
      </c>
      <c r="F2258">
        <v>5714</v>
      </c>
      <c r="G2258" t="s">
        <v>696</v>
      </c>
      <c r="I2258">
        <v>12365.89</v>
      </c>
      <c r="J2258">
        <v>12463.26</v>
      </c>
      <c r="K2258">
        <v>12561.4</v>
      </c>
      <c r="L2258">
        <v>12660.3</v>
      </c>
      <c r="M2258">
        <v>12759.99</v>
      </c>
      <c r="N2258" t="s">
        <v>988</v>
      </c>
    </row>
    <row r="2259" spans="1:14" x14ac:dyDescent="0.3">
      <c r="A2259">
        <v>2402</v>
      </c>
      <c r="B2259" t="s">
        <v>2008</v>
      </c>
      <c r="C2259" t="s">
        <v>2256</v>
      </c>
      <c r="D2259" t="s">
        <v>1203</v>
      </c>
      <c r="E2259" t="s">
        <v>1204</v>
      </c>
      <c r="F2259">
        <v>5714</v>
      </c>
      <c r="G2259" t="s">
        <v>701</v>
      </c>
      <c r="I2259">
        <v>261.60000000000002</v>
      </c>
      <c r="J2259">
        <v>263.66000000000003</v>
      </c>
      <c r="K2259">
        <v>265.74</v>
      </c>
      <c r="L2259">
        <v>267.83</v>
      </c>
      <c r="M2259">
        <v>269.94</v>
      </c>
      <c r="N2259" t="s">
        <v>988</v>
      </c>
    </row>
    <row r="2260" spans="1:14" x14ac:dyDescent="0.3">
      <c r="A2260">
        <v>2402</v>
      </c>
      <c r="B2260" t="s">
        <v>2008</v>
      </c>
      <c r="C2260" t="s">
        <v>2256</v>
      </c>
      <c r="D2260" t="s">
        <v>1203</v>
      </c>
      <c r="E2260" t="s">
        <v>1204</v>
      </c>
      <c r="F2260">
        <v>5714</v>
      </c>
      <c r="G2260" t="s">
        <v>703</v>
      </c>
      <c r="I2260">
        <v>1132.69</v>
      </c>
      <c r="J2260">
        <v>1141.6099999999999</v>
      </c>
      <c r="K2260">
        <v>1150.5999999999999</v>
      </c>
      <c r="L2260">
        <v>1159.6600000000001</v>
      </c>
      <c r="M2260">
        <v>1168.79</v>
      </c>
      <c r="N2260" t="s">
        <v>988</v>
      </c>
    </row>
    <row r="2261" spans="1:14" x14ac:dyDescent="0.3">
      <c r="A2261">
        <v>2402</v>
      </c>
      <c r="B2261" t="s">
        <v>2008</v>
      </c>
      <c r="C2261" t="s">
        <v>2256</v>
      </c>
      <c r="D2261" t="s">
        <v>1203</v>
      </c>
      <c r="E2261" t="s">
        <v>1204</v>
      </c>
      <c r="F2261">
        <v>5714</v>
      </c>
      <c r="G2261" t="s">
        <v>700</v>
      </c>
      <c r="I2261">
        <v>3604.21</v>
      </c>
      <c r="J2261">
        <v>3632.59</v>
      </c>
      <c r="K2261">
        <v>3661.19</v>
      </c>
      <c r="L2261">
        <v>3690.02</v>
      </c>
      <c r="M2261">
        <v>3719.08</v>
      </c>
      <c r="N2261" t="s">
        <v>988</v>
      </c>
    </row>
    <row r="2262" spans="1:14" x14ac:dyDescent="0.3">
      <c r="A2262">
        <v>2419</v>
      </c>
      <c r="B2262" t="s">
        <v>2009</v>
      </c>
      <c r="C2262" t="s">
        <v>2256</v>
      </c>
      <c r="D2262" t="s">
        <v>1203</v>
      </c>
      <c r="E2262" t="s">
        <v>1204</v>
      </c>
      <c r="F2262">
        <v>5537</v>
      </c>
      <c r="G2262" t="s">
        <v>696</v>
      </c>
      <c r="I2262">
        <v>2656</v>
      </c>
      <c r="J2262">
        <v>2736</v>
      </c>
      <c r="K2262">
        <v>2819</v>
      </c>
      <c r="L2262">
        <v>2904</v>
      </c>
      <c r="M2262">
        <v>2991</v>
      </c>
      <c r="N2262" t="s">
        <v>988</v>
      </c>
    </row>
    <row r="2263" spans="1:14" x14ac:dyDescent="0.3">
      <c r="A2263">
        <v>2419</v>
      </c>
      <c r="B2263" t="s">
        <v>2009</v>
      </c>
      <c r="C2263" t="s">
        <v>2256</v>
      </c>
      <c r="D2263" t="s">
        <v>1203</v>
      </c>
      <c r="E2263" t="s">
        <v>1204</v>
      </c>
      <c r="F2263">
        <v>5537</v>
      </c>
      <c r="G2263" t="s">
        <v>698</v>
      </c>
      <c r="I2263">
        <v>375</v>
      </c>
      <c r="J2263">
        <v>386</v>
      </c>
      <c r="K2263">
        <v>398</v>
      </c>
      <c r="L2263">
        <v>410</v>
      </c>
      <c r="M2263">
        <v>422</v>
      </c>
      <c r="N2263" t="s">
        <v>988</v>
      </c>
    </row>
    <row r="2264" spans="1:14" x14ac:dyDescent="0.3">
      <c r="A2264">
        <v>2419</v>
      </c>
      <c r="B2264" t="s">
        <v>2009</v>
      </c>
      <c r="C2264" t="s">
        <v>2256</v>
      </c>
      <c r="D2264" t="s">
        <v>1203</v>
      </c>
      <c r="E2264" t="s">
        <v>1204</v>
      </c>
      <c r="F2264">
        <v>5537</v>
      </c>
      <c r="G2264" t="s">
        <v>686</v>
      </c>
      <c r="I2264">
        <v>308</v>
      </c>
      <c r="J2264">
        <v>318</v>
      </c>
      <c r="K2264">
        <v>327</v>
      </c>
      <c r="L2264">
        <v>337</v>
      </c>
      <c r="M2264">
        <v>347</v>
      </c>
      <c r="N2264" t="s">
        <v>988</v>
      </c>
    </row>
    <row r="2265" spans="1:14" x14ac:dyDescent="0.3">
      <c r="A2265">
        <v>2419</v>
      </c>
      <c r="B2265" t="s">
        <v>2009</v>
      </c>
      <c r="C2265" t="s">
        <v>2256</v>
      </c>
      <c r="D2265" t="s">
        <v>1203</v>
      </c>
      <c r="E2265" t="s">
        <v>1204</v>
      </c>
      <c r="F2265">
        <v>5537</v>
      </c>
      <c r="G2265" t="s">
        <v>700</v>
      </c>
      <c r="I2265">
        <v>449</v>
      </c>
      <c r="J2265">
        <v>463</v>
      </c>
      <c r="K2265">
        <v>477</v>
      </c>
      <c r="L2265">
        <v>491</v>
      </c>
      <c r="M2265">
        <v>506</v>
      </c>
      <c r="N2265" t="s">
        <v>988</v>
      </c>
    </row>
    <row r="2266" spans="1:14" x14ac:dyDescent="0.3">
      <c r="A2266">
        <v>2424</v>
      </c>
      <c r="B2266" t="s">
        <v>2010</v>
      </c>
      <c r="C2266" t="s">
        <v>2256</v>
      </c>
      <c r="D2266" t="s">
        <v>159</v>
      </c>
      <c r="E2266" t="s">
        <v>159</v>
      </c>
      <c r="F2266">
        <v>7812</v>
      </c>
      <c r="G2266" t="s">
        <v>696</v>
      </c>
      <c r="I2266">
        <v>2650</v>
      </c>
      <c r="J2266">
        <v>3313</v>
      </c>
      <c r="K2266">
        <v>3904</v>
      </c>
      <c r="L2266">
        <v>4569</v>
      </c>
      <c r="N2266" t="s">
        <v>988</v>
      </c>
    </row>
    <row r="2267" spans="1:14" x14ac:dyDescent="0.3">
      <c r="A2267">
        <v>2424</v>
      </c>
      <c r="B2267" t="s">
        <v>2010</v>
      </c>
      <c r="C2267" t="s">
        <v>2256</v>
      </c>
      <c r="D2267" t="s">
        <v>159</v>
      </c>
      <c r="E2267" t="s">
        <v>159</v>
      </c>
      <c r="F2267">
        <v>7812</v>
      </c>
      <c r="G2267" t="s">
        <v>691</v>
      </c>
      <c r="I2267">
        <v>2</v>
      </c>
      <c r="J2267">
        <v>2</v>
      </c>
      <c r="K2267">
        <v>2</v>
      </c>
      <c r="L2267">
        <v>3</v>
      </c>
      <c r="N2267" t="s">
        <v>988</v>
      </c>
    </row>
    <row r="2268" spans="1:14" x14ac:dyDescent="0.3">
      <c r="A2268">
        <v>2424</v>
      </c>
      <c r="B2268" t="s">
        <v>2010</v>
      </c>
      <c r="C2268" t="s">
        <v>2256</v>
      </c>
      <c r="D2268" t="s">
        <v>159</v>
      </c>
      <c r="E2268" t="s">
        <v>159</v>
      </c>
      <c r="F2268">
        <v>7812</v>
      </c>
      <c r="G2268" t="s">
        <v>700</v>
      </c>
      <c r="I2268">
        <v>49</v>
      </c>
      <c r="J2268">
        <v>130</v>
      </c>
      <c r="K2268">
        <v>135</v>
      </c>
      <c r="L2268">
        <v>180</v>
      </c>
      <c r="N2268" t="s">
        <v>988</v>
      </c>
    </row>
    <row r="2269" spans="1:14" x14ac:dyDescent="0.3">
      <c r="A2269">
        <v>2424</v>
      </c>
      <c r="B2269" t="s">
        <v>2010</v>
      </c>
      <c r="C2269" t="s">
        <v>2256</v>
      </c>
      <c r="D2269" t="s">
        <v>159</v>
      </c>
      <c r="E2269" t="s">
        <v>159</v>
      </c>
      <c r="F2269">
        <v>7812</v>
      </c>
      <c r="G2269" t="s">
        <v>701</v>
      </c>
      <c r="I2269">
        <v>32</v>
      </c>
      <c r="J2269">
        <v>32</v>
      </c>
      <c r="K2269">
        <v>32</v>
      </c>
      <c r="L2269">
        <v>32</v>
      </c>
      <c r="N2269" t="s">
        <v>988</v>
      </c>
    </row>
    <row r="2270" spans="1:14" x14ac:dyDescent="0.3">
      <c r="A2270">
        <v>2424</v>
      </c>
      <c r="B2270" t="s">
        <v>2010</v>
      </c>
      <c r="C2270" t="s">
        <v>2256</v>
      </c>
      <c r="D2270" t="s">
        <v>159</v>
      </c>
      <c r="E2270" t="s">
        <v>159</v>
      </c>
      <c r="F2270">
        <v>7812</v>
      </c>
      <c r="G2270" t="s">
        <v>702</v>
      </c>
      <c r="I2270">
        <v>128</v>
      </c>
      <c r="J2270">
        <v>128</v>
      </c>
      <c r="K2270">
        <v>128</v>
      </c>
      <c r="L2270">
        <v>128</v>
      </c>
      <c r="N2270" t="s">
        <v>988</v>
      </c>
    </row>
    <row r="2271" spans="1:14" x14ac:dyDescent="0.3">
      <c r="A2271">
        <v>2424</v>
      </c>
      <c r="B2271" t="s">
        <v>2010</v>
      </c>
      <c r="C2271" t="s">
        <v>2256</v>
      </c>
      <c r="D2271" t="s">
        <v>159</v>
      </c>
      <c r="E2271" t="s">
        <v>159</v>
      </c>
      <c r="F2271">
        <v>7812</v>
      </c>
      <c r="G2271" t="s">
        <v>684</v>
      </c>
      <c r="I2271">
        <v>5</v>
      </c>
      <c r="J2271">
        <v>5</v>
      </c>
      <c r="K2271">
        <v>5</v>
      </c>
      <c r="L2271">
        <v>3</v>
      </c>
      <c r="N2271" t="s">
        <v>988</v>
      </c>
    </row>
    <row r="2272" spans="1:14" x14ac:dyDescent="0.3">
      <c r="A2272">
        <v>2424</v>
      </c>
      <c r="B2272" t="s">
        <v>2010</v>
      </c>
      <c r="C2272" t="s">
        <v>2256</v>
      </c>
      <c r="D2272" t="s">
        <v>159</v>
      </c>
      <c r="E2272" t="s">
        <v>159</v>
      </c>
      <c r="F2272">
        <v>7812</v>
      </c>
      <c r="G2272" t="s">
        <v>698</v>
      </c>
      <c r="I2272">
        <v>210</v>
      </c>
      <c r="J2272">
        <v>210</v>
      </c>
      <c r="K2272">
        <v>210</v>
      </c>
      <c r="L2272">
        <v>210</v>
      </c>
      <c r="N2272" t="s">
        <v>988</v>
      </c>
    </row>
    <row r="2273" spans="1:14" x14ac:dyDescent="0.3">
      <c r="A2273">
        <v>2424</v>
      </c>
      <c r="B2273" t="s">
        <v>2010</v>
      </c>
      <c r="C2273" t="s">
        <v>2256</v>
      </c>
      <c r="D2273" t="s">
        <v>159</v>
      </c>
      <c r="E2273" t="s">
        <v>159</v>
      </c>
      <c r="F2273">
        <v>7812</v>
      </c>
      <c r="G2273" t="s">
        <v>686</v>
      </c>
      <c r="I2273">
        <v>106</v>
      </c>
      <c r="J2273">
        <v>106</v>
      </c>
      <c r="K2273">
        <v>106</v>
      </c>
      <c r="L2273">
        <v>106</v>
      </c>
      <c r="N2273" t="s">
        <v>988</v>
      </c>
    </row>
    <row r="2274" spans="1:14" x14ac:dyDescent="0.3">
      <c r="A2274">
        <v>2425</v>
      </c>
      <c r="B2274" t="s">
        <v>2012</v>
      </c>
      <c r="C2274" t="s">
        <v>2256</v>
      </c>
      <c r="D2274" t="s">
        <v>159</v>
      </c>
      <c r="E2274" t="s">
        <v>159</v>
      </c>
      <c r="F2274">
        <v>6886</v>
      </c>
      <c r="G2274" t="s">
        <v>703</v>
      </c>
      <c r="I2274">
        <v>280</v>
      </c>
      <c r="J2274">
        <v>289</v>
      </c>
      <c r="K2274">
        <v>362</v>
      </c>
      <c r="L2274">
        <v>395</v>
      </c>
      <c r="N2274" t="s">
        <v>988</v>
      </c>
    </row>
    <row r="2275" spans="1:14" x14ac:dyDescent="0.3">
      <c r="A2275">
        <v>2425</v>
      </c>
      <c r="B2275" t="s">
        <v>2012</v>
      </c>
      <c r="C2275" t="s">
        <v>2256</v>
      </c>
      <c r="D2275" t="s">
        <v>159</v>
      </c>
      <c r="E2275" t="s">
        <v>159</v>
      </c>
      <c r="F2275">
        <v>6886</v>
      </c>
      <c r="G2275" t="s">
        <v>702</v>
      </c>
      <c r="H2275" t="s">
        <v>1275</v>
      </c>
      <c r="I2275">
        <v>2346</v>
      </c>
      <c r="J2275">
        <v>2471</v>
      </c>
      <c r="K2275">
        <v>2702</v>
      </c>
      <c r="L2275">
        <v>2843</v>
      </c>
      <c r="N2275" t="s">
        <v>988</v>
      </c>
    </row>
    <row r="2276" spans="1:14" x14ac:dyDescent="0.3">
      <c r="A2276">
        <v>2425</v>
      </c>
      <c r="B2276" t="s">
        <v>2012</v>
      </c>
      <c r="C2276" t="s">
        <v>2256</v>
      </c>
      <c r="D2276" t="s">
        <v>159</v>
      </c>
      <c r="E2276" t="s">
        <v>159</v>
      </c>
      <c r="F2276">
        <v>6886</v>
      </c>
      <c r="G2276" t="s">
        <v>691</v>
      </c>
      <c r="H2276" t="s">
        <v>2014</v>
      </c>
      <c r="I2276">
        <v>7</v>
      </c>
      <c r="J2276">
        <v>7</v>
      </c>
      <c r="K2276">
        <v>9</v>
      </c>
      <c r="L2276">
        <v>9</v>
      </c>
      <c r="N2276" t="s">
        <v>988</v>
      </c>
    </row>
    <row r="2277" spans="1:14" x14ac:dyDescent="0.3">
      <c r="A2277">
        <v>2425</v>
      </c>
      <c r="B2277" t="s">
        <v>2012</v>
      </c>
      <c r="C2277" t="s">
        <v>2256</v>
      </c>
      <c r="D2277" t="s">
        <v>159</v>
      </c>
      <c r="E2277" t="s">
        <v>159</v>
      </c>
      <c r="F2277">
        <v>6886</v>
      </c>
      <c r="G2277" t="s">
        <v>686</v>
      </c>
      <c r="I2277">
        <v>1358</v>
      </c>
      <c r="J2277">
        <v>1381</v>
      </c>
      <c r="K2277">
        <v>1632</v>
      </c>
      <c r="L2277">
        <v>1729</v>
      </c>
      <c r="N2277" t="s">
        <v>988</v>
      </c>
    </row>
    <row r="2278" spans="1:14" x14ac:dyDescent="0.3">
      <c r="A2278">
        <v>2425</v>
      </c>
      <c r="B2278" t="s">
        <v>2012</v>
      </c>
      <c r="C2278" t="s">
        <v>2256</v>
      </c>
      <c r="D2278" t="s">
        <v>159</v>
      </c>
      <c r="E2278" t="s">
        <v>159</v>
      </c>
      <c r="F2278">
        <v>6886</v>
      </c>
      <c r="G2278" t="s">
        <v>696</v>
      </c>
      <c r="I2278">
        <v>5884</v>
      </c>
      <c r="J2278">
        <v>5939</v>
      </c>
      <c r="K2278">
        <v>7234</v>
      </c>
      <c r="L2278">
        <v>7805</v>
      </c>
      <c r="N2278" t="s">
        <v>988</v>
      </c>
    </row>
    <row r="2279" spans="1:14" x14ac:dyDescent="0.3">
      <c r="A2279">
        <v>2425</v>
      </c>
      <c r="B2279" t="s">
        <v>2012</v>
      </c>
      <c r="C2279" t="s">
        <v>2256</v>
      </c>
      <c r="D2279" t="s">
        <v>159</v>
      </c>
      <c r="E2279" t="s">
        <v>159</v>
      </c>
      <c r="F2279">
        <v>6886</v>
      </c>
      <c r="G2279" t="s">
        <v>698</v>
      </c>
      <c r="I2279">
        <v>5301</v>
      </c>
      <c r="J2279">
        <v>5295</v>
      </c>
      <c r="K2279">
        <v>6379</v>
      </c>
      <c r="L2279">
        <v>6835</v>
      </c>
      <c r="N2279" t="s">
        <v>988</v>
      </c>
    </row>
    <row r="2280" spans="1:14" x14ac:dyDescent="0.3">
      <c r="A2280">
        <v>2425</v>
      </c>
      <c r="B2280" t="s">
        <v>2012</v>
      </c>
      <c r="C2280" t="s">
        <v>2256</v>
      </c>
      <c r="D2280" t="s">
        <v>159</v>
      </c>
      <c r="E2280" t="s">
        <v>159</v>
      </c>
      <c r="F2280">
        <v>6886</v>
      </c>
      <c r="G2280" t="s">
        <v>700</v>
      </c>
      <c r="H2280" t="s">
        <v>2013</v>
      </c>
      <c r="I2280">
        <v>4111</v>
      </c>
      <c r="J2280">
        <v>4257</v>
      </c>
      <c r="K2280">
        <v>4583</v>
      </c>
      <c r="L2280">
        <v>4770</v>
      </c>
      <c r="N2280" t="s">
        <v>988</v>
      </c>
    </row>
    <row r="2281" spans="1:14" x14ac:dyDescent="0.3">
      <c r="A2281">
        <v>2437</v>
      </c>
      <c r="B2281" t="s">
        <v>2015</v>
      </c>
      <c r="C2281" t="s">
        <v>2256</v>
      </c>
      <c r="D2281" t="s">
        <v>159</v>
      </c>
      <c r="E2281" t="s">
        <v>159</v>
      </c>
      <c r="F2281">
        <v>8090</v>
      </c>
      <c r="G2281" t="s">
        <v>696</v>
      </c>
      <c r="I2281">
        <v>8026</v>
      </c>
      <c r="J2281">
        <v>8208</v>
      </c>
      <c r="K2281">
        <v>8389</v>
      </c>
      <c r="L2281">
        <v>8759</v>
      </c>
      <c r="M2281">
        <v>8998</v>
      </c>
      <c r="N2281" t="s">
        <v>988</v>
      </c>
    </row>
    <row r="2282" spans="1:14" x14ac:dyDescent="0.3">
      <c r="A2282">
        <v>2437</v>
      </c>
      <c r="B2282" t="s">
        <v>2015</v>
      </c>
      <c r="C2282" t="s">
        <v>2256</v>
      </c>
      <c r="D2282" t="s">
        <v>159</v>
      </c>
      <c r="E2282" t="s">
        <v>159</v>
      </c>
      <c r="F2282">
        <v>8090</v>
      </c>
      <c r="G2282" t="s">
        <v>700</v>
      </c>
      <c r="I2282">
        <v>4599</v>
      </c>
      <c r="J2282">
        <v>4703</v>
      </c>
      <c r="K2282">
        <v>4807</v>
      </c>
      <c r="L2282">
        <v>5019</v>
      </c>
      <c r="M2282">
        <v>5156</v>
      </c>
      <c r="N2282" t="s">
        <v>988</v>
      </c>
    </row>
    <row r="2283" spans="1:14" x14ac:dyDescent="0.3">
      <c r="A2283">
        <v>2437</v>
      </c>
      <c r="B2283" t="s">
        <v>2015</v>
      </c>
      <c r="C2283" t="s">
        <v>2256</v>
      </c>
      <c r="D2283" t="s">
        <v>159</v>
      </c>
      <c r="E2283" t="s">
        <v>159</v>
      </c>
      <c r="F2283">
        <v>8090</v>
      </c>
      <c r="G2283" t="s">
        <v>701</v>
      </c>
      <c r="I2283">
        <v>101</v>
      </c>
      <c r="J2283">
        <v>104</v>
      </c>
      <c r="K2283">
        <v>106</v>
      </c>
      <c r="L2283">
        <v>111</v>
      </c>
      <c r="M2283">
        <v>114</v>
      </c>
      <c r="N2283" t="s">
        <v>987</v>
      </c>
    </row>
    <row r="2284" spans="1:14" x14ac:dyDescent="0.3">
      <c r="A2284">
        <v>2437</v>
      </c>
      <c r="B2284" t="s">
        <v>2015</v>
      </c>
      <c r="C2284" t="s">
        <v>2256</v>
      </c>
      <c r="D2284" t="s">
        <v>159</v>
      </c>
      <c r="E2284" t="s">
        <v>159</v>
      </c>
      <c r="F2284">
        <v>8090</v>
      </c>
      <c r="G2284" t="s">
        <v>703</v>
      </c>
      <c r="I2284">
        <v>1448</v>
      </c>
      <c r="J2284">
        <v>1480</v>
      </c>
      <c r="K2284">
        <v>1513</v>
      </c>
      <c r="L2284">
        <v>1580</v>
      </c>
      <c r="M2284">
        <v>1623</v>
      </c>
      <c r="N2284" t="s">
        <v>987</v>
      </c>
    </row>
    <row r="2285" spans="1:14" x14ac:dyDescent="0.3">
      <c r="A2285">
        <v>2437</v>
      </c>
      <c r="B2285" t="s">
        <v>2015</v>
      </c>
      <c r="C2285" t="s">
        <v>2256</v>
      </c>
      <c r="D2285" t="s">
        <v>159</v>
      </c>
      <c r="E2285" t="s">
        <v>159</v>
      </c>
      <c r="F2285">
        <v>8090</v>
      </c>
      <c r="G2285" t="s">
        <v>684</v>
      </c>
      <c r="I2285">
        <v>0</v>
      </c>
      <c r="J2285">
        <v>0</v>
      </c>
      <c r="K2285">
        <v>0</v>
      </c>
      <c r="L2285">
        <v>0</v>
      </c>
      <c r="M2285">
        <v>0</v>
      </c>
      <c r="N2285" t="s">
        <v>987</v>
      </c>
    </row>
    <row r="2286" spans="1:14" x14ac:dyDescent="0.3">
      <c r="A2286">
        <v>2437</v>
      </c>
      <c r="B2286" t="s">
        <v>2015</v>
      </c>
      <c r="C2286" t="s">
        <v>2256</v>
      </c>
      <c r="D2286" t="s">
        <v>159</v>
      </c>
      <c r="E2286" t="s">
        <v>159</v>
      </c>
      <c r="F2286">
        <v>8090</v>
      </c>
      <c r="G2286" t="s">
        <v>687</v>
      </c>
      <c r="I2286">
        <v>47</v>
      </c>
      <c r="J2286">
        <v>49</v>
      </c>
      <c r="K2286">
        <v>50</v>
      </c>
      <c r="L2286">
        <v>52</v>
      </c>
      <c r="M2286">
        <v>53</v>
      </c>
      <c r="N2286" t="s">
        <v>987</v>
      </c>
    </row>
    <row r="2287" spans="1:14" x14ac:dyDescent="0.3">
      <c r="A2287">
        <v>2437</v>
      </c>
      <c r="B2287" t="s">
        <v>2015</v>
      </c>
      <c r="C2287" t="s">
        <v>2256</v>
      </c>
      <c r="D2287" t="s">
        <v>159</v>
      </c>
      <c r="E2287" t="s">
        <v>159</v>
      </c>
      <c r="F2287">
        <v>8090</v>
      </c>
      <c r="G2287" t="s">
        <v>698</v>
      </c>
      <c r="I2287">
        <v>6883</v>
      </c>
      <c r="J2287">
        <v>7037</v>
      </c>
      <c r="K2287">
        <v>7192</v>
      </c>
      <c r="L2287">
        <v>7510</v>
      </c>
      <c r="M2287">
        <v>7715</v>
      </c>
      <c r="N2287" t="s">
        <v>987</v>
      </c>
    </row>
    <row r="2288" spans="1:14" x14ac:dyDescent="0.3">
      <c r="A2288">
        <v>2438</v>
      </c>
      <c r="B2288" t="s">
        <v>2016</v>
      </c>
      <c r="C2288" t="s">
        <v>2256</v>
      </c>
      <c r="D2288" t="s">
        <v>1203</v>
      </c>
      <c r="E2288" t="s">
        <v>1204</v>
      </c>
      <c r="F2288">
        <v>7986</v>
      </c>
      <c r="G2288" t="s">
        <v>696</v>
      </c>
      <c r="I2288">
        <v>427</v>
      </c>
      <c r="J2288">
        <v>442</v>
      </c>
      <c r="K2288">
        <v>457</v>
      </c>
      <c r="L2288">
        <v>472</v>
      </c>
      <c r="M2288">
        <v>0</v>
      </c>
      <c r="N2288" t="s">
        <v>987</v>
      </c>
    </row>
    <row r="2289" spans="1:14" x14ac:dyDescent="0.3">
      <c r="A2289">
        <v>2438</v>
      </c>
      <c r="B2289" t="s">
        <v>2016</v>
      </c>
      <c r="C2289" t="s">
        <v>2256</v>
      </c>
      <c r="D2289" t="s">
        <v>1203</v>
      </c>
      <c r="E2289" t="s">
        <v>1204</v>
      </c>
      <c r="F2289">
        <v>7986</v>
      </c>
      <c r="G2289" t="s">
        <v>698</v>
      </c>
      <c r="I2289">
        <v>131</v>
      </c>
      <c r="J2289">
        <v>135</v>
      </c>
      <c r="K2289">
        <v>140</v>
      </c>
      <c r="L2289">
        <v>144</v>
      </c>
      <c r="M2289">
        <v>0</v>
      </c>
      <c r="N2289" t="s">
        <v>988</v>
      </c>
    </row>
    <row r="2290" spans="1:14" x14ac:dyDescent="0.3">
      <c r="A2290">
        <v>2438</v>
      </c>
      <c r="B2290" t="s">
        <v>2016</v>
      </c>
      <c r="C2290" t="s">
        <v>2256</v>
      </c>
      <c r="D2290" t="s">
        <v>1203</v>
      </c>
      <c r="E2290" t="s">
        <v>1204</v>
      </c>
      <c r="F2290">
        <v>7986</v>
      </c>
      <c r="G2290" t="s">
        <v>700</v>
      </c>
      <c r="I2290">
        <v>99</v>
      </c>
      <c r="J2290">
        <v>103</v>
      </c>
      <c r="K2290">
        <v>106</v>
      </c>
      <c r="L2290">
        <v>110</v>
      </c>
      <c r="M2290">
        <v>0</v>
      </c>
      <c r="N2290" t="s">
        <v>988</v>
      </c>
    </row>
    <row r="2291" spans="1:14" x14ac:dyDescent="0.3">
      <c r="A2291">
        <v>2438</v>
      </c>
      <c r="B2291" t="s">
        <v>2016</v>
      </c>
      <c r="C2291" t="s">
        <v>2256</v>
      </c>
      <c r="D2291" t="s">
        <v>1203</v>
      </c>
      <c r="E2291" t="s">
        <v>1204</v>
      </c>
      <c r="F2291">
        <v>7986</v>
      </c>
      <c r="G2291" t="s">
        <v>703</v>
      </c>
      <c r="I2291">
        <v>13</v>
      </c>
      <c r="J2291">
        <v>13</v>
      </c>
      <c r="K2291">
        <v>13</v>
      </c>
      <c r="L2291">
        <v>14</v>
      </c>
      <c r="M2291">
        <v>0</v>
      </c>
      <c r="N2291" t="s">
        <v>988</v>
      </c>
    </row>
    <row r="2292" spans="1:14" x14ac:dyDescent="0.3">
      <c r="A2292">
        <v>2438</v>
      </c>
      <c r="B2292" t="s">
        <v>2016</v>
      </c>
      <c r="C2292" t="s">
        <v>2256</v>
      </c>
      <c r="D2292" t="s">
        <v>1203</v>
      </c>
      <c r="E2292" t="s">
        <v>1204</v>
      </c>
      <c r="F2292">
        <v>7986</v>
      </c>
      <c r="G2292" t="s">
        <v>687</v>
      </c>
      <c r="I2292">
        <v>0</v>
      </c>
      <c r="J2292">
        <v>0</v>
      </c>
      <c r="K2292">
        <v>0</v>
      </c>
      <c r="L2292">
        <v>0</v>
      </c>
      <c r="M2292">
        <v>0</v>
      </c>
      <c r="N2292" t="s">
        <v>988</v>
      </c>
    </row>
    <row r="2293" spans="1:14" x14ac:dyDescent="0.3">
      <c r="A2293">
        <v>2438</v>
      </c>
      <c r="B2293" t="s">
        <v>2016</v>
      </c>
      <c r="C2293" t="s">
        <v>2256</v>
      </c>
      <c r="D2293" t="s">
        <v>1203</v>
      </c>
      <c r="E2293" t="s">
        <v>1204</v>
      </c>
      <c r="F2293">
        <v>7986</v>
      </c>
      <c r="G2293" t="s">
        <v>686</v>
      </c>
      <c r="I2293">
        <v>118</v>
      </c>
      <c r="J2293">
        <v>99</v>
      </c>
      <c r="K2293">
        <v>80</v>
      </c>
      <c r="L2293">
        <v>48</v>
      </c>
      <c r="M2293">
        <v>0</v>
      </c>
      <c r="N2293" t="s">
        <v>988</v>
      </c>
    </row>
    <row r="2294" spans="1:14" x14ac:dyDescent="0.3">
      <c r="A2294">
        <v>2444</v>
      </c>
      <c r="B2294" t="s">
        <v>2018</v>
      </c>
      <c r="C2294" t="s">
        <v>2256</v>
      </c>
      <c r="D2294" t="s">
        <v>1203</v>
      </c>
      <c r="E2294" t="s">
        <v>1204</v>
      </c>
      <c r="F2294">
        <v>6949</v>
      </c>
      <c r="G2294" t="s">
        <v>687</v>
      </c>
      <c r="H2294" t="s">
        <v>2438</v>
      </c>
      <c r="I2294">
        <v>156.5172</v>
      </c>
      <c r="J2294">
        <v>139.12639999999999</v>
      </c>
      <c r="K2294">
        <v>141</v>
      </c>
      <c r="L2294">
        <v>142.6729579</v>
      </c>
      <c r="N2294" t="s">
        <v>988</v>
      </c>
    </row>
    <row r="2295" spans="1:14" x14ac:dyDescent="0.3">
      <c r="A2295">
        <v>2444</v>
      </c>
      <c r="B2295" t="s">
        <v>2018</v>
      </c>
      <c r="C2295" t="s">
        <v>2256</v>
      </c>
      <c r="D2295" t="s">
        <v>1203</v>
      </c>
      <c r="E2295" t="s">
        <v>1204</v>
      </c>
      <c r="F2295">
        <v>6949</v>
      </c>
      <c r="G2295" t="s">
        <v>686</v>
      </c>
      <c r="I2295">
        <v>17</v>
      </c>
      <c r="J2295">
        <v>17</v>
      </c>
      <c r="K2295">
        <v>17</v>
      </c>
      <c r="L2295">
        <v>17</v>
      </c>
      <c r="N2295" t="s">
        <v>988</v>
      </c>
    </row>
    <row r="2296" spans="1:14" x14ac:dyDescent="0.3">
      <c r="A2296">
        <v>2444</v>
      </c>
      <c r="B2296" t="s">
        <v>2018</v>
      </c>
      <c r="C2296" t="s">
        <v>2256</v>
      </c>
      <c r="D2296" t="s">
        <v>1203</v>
      </c>
      <c r="E2296" t="s">
        <v>1204</v>
      </c>
      <c r="F2296">
        <v>6949</v>
      </c>
      <c r="G2296" t="s">
        <v>696</v>
      </c>
      <c r="I2296">
        <v>229.53370000000001</v>
      </c>
      <c r="J2296">
        <v>232.49709999999999</v>
      </c>
      <c r="K2296">
        <v>235</v>
      </c>
      <c r="L2296">
        <v>238.4238</v>
      </c>
      <c r="N2296" t="s">
        <v>988</v>
      </c>
    </row>
    <row r="2297" spans="1:14" x14ac:dyDescent="0.3">
      <c r="A2297">
        <v>2444</v>
      </c>
      <c r="B2297" t="s">
        <v>2018</v>
      </c>
      <c r="C2297" t="s">
        <v>2256</v>
      </c>
      <c r="D2297" t="s">
        <v>1203</v>
      </c>
      <c r="E2297" t="s">
        <v>1204</v>
      </c>
      <c r="F2297">
        <v>6949</v>
      </c>
      <c r="G2297" t="s">
        <v>700</v>
      </c>
      <c r="H2297" t="s">
        <v>2439</v>
      </c>
      <c r="I2297">
        <v>47</v>
      </c>
      <c r="J2297">
        <v>47</v>
      </c>
      <c r="K2297">
        <v>47</v>
      </c>
      <c r="L2297">
        <v>47</v>
      </c>
      <c r="N2297" t="s">
        <v>988</v>
      </c>
    </row>
    <row r="2298" spans="1:14" x14ac:dyDescent="0.3">
      <c r="A2298">
        <v>2444</v>
      </c>
      <c r="B2298" t="s">
        <v>2018</v>
      </c>
      <c r="C2298" t="s">
        <v>2256</v>
      </c>
      <c r="D2298" t="s">
        <v>1203</v>
      </c>
      <c r="E2298" t="s">
        <v>1204</v>
      </c>
      <c r="F2298">
        <v>6949</v>
      </c>
      <c r="G2298" t="s">
        <v>698</v>
      </c>
      <c r="I2298">
        <v>87.85</v>
      </c>
      <c r="J2298">
        <v>88.986999999999995</v>
      </c>
      <c r="K2298">
        <v>90</v>
      </c>
      <c r="L2298">
        <v>91.255579999999995</v>
      </c>
      <c r="N2298" t="s">
        <v>988</v>
      </c>
    </row>
    <row r="2299" spans="1:14" x14ac:dyDescent="0.3">
      <c r="A2299">
        <v>2444</v>
      </c>
      <c r="B2299" t="s">
        <v>2018</v>
      </c>
      <c r="C2299" t="s">
        <v>2256</v>
      </c>
      <c r="D2299" t="s">
        <v>1203</v>
      </c>
      <c r="E2299" t="s">
        <v>1204</v>
      </c>
      <c r="F2299">
        <v>6949</v>
      </c>
      <c r="G2299" t="s">
        <v>705</v>
      </c>
      <c r="H2299" t="s">
        <v>2020</v>
      </c>
      <c r="I2299">
        <v>26</v>
      </c>
      <c r="J2299">
        <v>27</v>
      </c>
      <c r="K2299">
        <v>29</v>
      </c>
      <c r="L2299">
        <v>30.333300000000001</v>
      </c>
      <c r="N2299" t="s">
        <v>988</v>
      </c>
    </row>
    <row r="2300" spans="1:14" x14ac:dyDescent="0.3">
      <c r="A2300">
        <v>1408</v>
      </c>
      <c r="B2300" t="s">
        <v>2021</v>
      </c>
      <c r="C2300" t="s">
        <v>2256</v>
      </c>
      <c r="D2300" t="s">
        <v>1203</v>
      </c>
      <c r="E2300" t="s">
        <v>1204</v>
      </c>
      <c r="F2300">
        <v>5825</v>
      </c>
      <c r="G2300" t="s">
        <v>686</v>
      </c>
      <c r="H2300" t="s">
        <v>1875</v>
      </c>
      <c r="I2300">
        <v>276</v>
      </c>
      <c r="J2300">
        <v>316</v>
      </c>
      <c r="K2300">
        <v>316</v>
      </c>
      <c r="L2300">
        <v>316</v>
      </c>
      <c r="M2300">
        <v>316</v>
      </c>
      <c r="N2300" t="s">
        <v>988</v>
      </c>
    </row>
    <row r="2301" spans="1:14" x14ac:dyDescent="0.3">
      <c r="A2301">
        <v>1408</v>
      </c>
      <c r="B2301" t="s">
        <v>2021</v>
      </c>
      <c r="C2301" t="s">
        <v>2256</v>
      </c>
      <c r="D2301" t="s">
        <v>1203</v>
      </c>
      <c r="E2301" t="s">
        <v>1204</v>
      </c>
      <c r="F2301">
        <v>5825</v>
      </c>
      <c r="G2301" t="s">
        <v>696</v>
      </c>
      <c r="I2301">
        <v>4125</v>
      </c>
      <c r="J2301">
        <v>4663</v>
      </c>
      <c r="K2301">
        <v>4663</v>
      </c>
      <c r="L2301">
        <v>4663</v>
      </c>
      <c r="M2301">
        <v>4663</v>
      </c>
      <c r="N2301" t="s">
        <v>988</v>
      </c>
    </row>
    <row r="2302" spans="1:14" x14ac:dyDescent="0.3">
      <c r="A2302">
        <v>1408</v>
      </c>
      <c r="B2302" t="s">
        <v>2021</v>
      </c>
      <c r="C2302" t="s">
        <v>2256</v>
      </c>
      <c r="D2302" t="s">
        <v>1203</v>
      </c>
      <c r="E2302" t="s">
        <v>1204</v>
      </c>
      <c r="F2302">
        <v>5825</v>
      </c>
      <c r="G2302" t="s">
        <v>700</v>
      </c>
      <c r="I2302">
        <v>132</v>
      </c>
      <c r="J2302">
        <v>149</v>
      </c>
      <c r="K2302">
        <v>149</v>
      </c>
      <c r="L2302">
        <v>149</v>
      </c>
      <c r="M2302">
        <v>149</v>
      </c>
      <c r="N2302" t="s">
        <v>988</v>
      </c>
    </row>
    <row r="2303" spans="1:14" x14ac:dyDescent="0.3">
      <c r="A2303">
        <v>1408</v>
      </c>
      <c r="B2303" t="s">
        <v>2021</v>
      </c>
      <c r="C2303" t="s">
        <v>2256</v>
      </c>
      <c r="D2303" t="s">
        <v>1203</v>
      </c>
      <c r="E2303" t="s">
        <v>1204</v>
      </c>
      <c r="F2303">
        <v>5825</v>
      </c>
      <c r="G2303" t="s">
        <v>703</v>
      </c>
      <c r="I2303">
        <v>5</v>
      </c>
      <c r="J2303">
        <v>5</v>
      </c>
      <c r="K2303">
        <v>5</v>
      </c>
      <c r="L2303">
        <v>5</v>
      </c>
      <c r="M2303">
        <v>5</v>
      </c>
      <c r="N2303" t="s">
        <v>988</v>
      </c>
    </row>
    <row r="2304" spans="1:14" x14ac:dyDescent="0.3">
      <c r="A2304">
        <v>1408</v>
      </c>
      <c r="B2304" t="s">
        <v>2021</v>
      </c>
      <c r="C2304" t="s">
        <v>2256</v>
      </c>
      <c r="D2304" t="s">
        <v>1203</v>
      </c>
      <c r="E2304" t="s">
        <v>1204</v>
      </c>
      <c r="F2304">
        <v>5825</v>
      </c>
      <c r="G2304" t="s">
        <v>702</v>
      </c>
      <c r="I2304">
        <v>477</v>
      </c>
      <c r="J2304">
        <v>540</v>
      </c>
      <c r="K2304">
        <v>540</v>
      </c>
      <c r="L2304">
        <v>540</v>
      </c>
      <c r="M2304">
        <v>540</v>
      </c>
      <c r="N2304" t="s">
        <v>988</v>
      </c>
    </row>
    <row r="2305" spans="1:14" x14ac:dyDescent="0.3">
      <c r="A2305">
        <v>1408</v>
      </c>
      <c r="B2305" t="s">
        <v>2021</v>
      </c>
      <c r="C2305" t="s">
        <v>2256</v>
      </c>
      <c r="D2305" t="s">
        <v>1203</v>
      </c>
      <c r="E2305" t="s">
        <v>1204</v>
      </c>
      <c r="F2305">
        <v>5825</v>
      </c>
      <c r="G2305" t="s">
        <v>687</v>
      </c>
      <c r="H2305" t="s">
        <v>1260</v>
      </c>
      <c r="I2305">
        <v>29</v>
      </c>
      <c r="J2305">
        <v>33</v>
      </c>
      <c r="K2305">
        <v>33</v>
      </c>
      <c r="L2305">
        <v>33</v>
      </c>
      <c r="M2305">
        <v>33</v>
      </c>
      <c r="N2305" t="s">
        <v>988</v>
      </c>
    </row>
    <row r="2306" spans="1:14" x14ac:dyDescent="0.3">
      <c r="A2306">
        <v>1408</v>
      </c>
      <c r="B2306" t="s">
        <v>2021</v>
      </c>
      <c r="C2306" t="s">
        <v>2256</v>
      </c>
      <c r="D2306" t="s">
        <v>1203</v>
      </c>
      <c r="E2306" t="s">
        <v>1204</v>
      </c>
      <c r="F2306">
        <v>5825</v>
      </c>
      <c r="G2306" t="s">
        <v>686</v>
      </c>
      <c r="I2306">
        <v>387</v>
      </c>
      <c r="J2306">
        <v>438</v>
      </c>
      <c r="K2306">
        <v>438</v>
      </c>
      <c r="L2306">
        <v>438</v>
      </c>
      <c r="M2306">
        <v>438</v>
      </c>
      <c r="N2306" t="s">
        <v>988</v>
      </c>
    </row>
    <row r="2307" spans="1:14" x14ac:dyDescent="0.3">
      <c r="A2307">
        <v>1408</v>
      </c>
      <c r="B2307" t="s">
        <v>2021</v>
      </c>
      <c r="C2307" t="s">
        <v>2256</v>
      </c>
      <c r="D2307" t="s">
        <v>1203</v>
      </c>
      <c r="E2307" t="s">
        <v>1204</v>
      </c>
      <c r="F2307">
        <v>5825</v>
      </c>
      <c r="G2307" t="s">
        <v>702</v>
      </c>
      <c r="H2307" t="s">
        <v>2440</v>
      </c>
      <c r="I2307">
        <v>629</v>
      </c>
      <c r="J2307">
        <v>724</v>
      </c>
      <c r="K2307">
        <v>724</v>
      </c>
      <c r="L2307">
        <v>724</v>
      </c>
      <c r="M2307">
        <v>724</v>
      </c>
      <c r="N2307" t="s">
        <v>988</v>
      </c>
    </row>
    <row r="2308" spans="1:14" x14ac:dyDescent="0.3">
      <c r="A2308">
        <v>1408</v>
      </c>
      <c r="B2308" t="s">
        <v>2021</v>
      </c>
      <c r="C2308" t="s">
        <v>2256</v>
      </c>
      <c r="D2308" t="s">
        <v>1203</v>
      </c>
      <c r="E2308" t="s">
        <v>1204</v>
      </c>
      <c r="F2308">
        <v>5825</v>
      </c>
      <c r="G2308" t="s">
        <v>684</v>
      </c>
      <c r="H2308" t="s">
        <v>1875</v>
      </c>
      <c r="I2308">
        <v>321</v>
      </c>
      <c r="J2308">
        <v>370</v>
      </c>
      <c r="K2308">
        <v>370</v>
      </c>
      <c r="L2308">
        <v>370</v>
      </c>
      <c r="M2308">
        <v>370</v>
      </c>
      <c r="N2308" t="s">
        <v>988</v>
      </c>
    </row>
    <row r="2309" spans="1:14" x14ac:dyDescent="0.3">
      <c r="B2309" t="s">
        <v>2023</v>
      </c>
      <c r="C2309" t="s">
        <v>2256</v>
      </c>
      <c r="D2309" t="s">
        <v>159</v>
      </c>
      <c r="E2309" t="s">
        <v>159</v>
      </c>
      <c r="F2309">
        <v>7910</v>
      </c>
      <c r="G2309" t="s">
        <v>687</v>
      </c>
      <c r="H2309" t="s">
        <v>2260</v>
      </c>
      <c r="I2309">
        <v>24275</v>
      </c>
      <c r="J2309">
        <v>26114</v>
      </c>
      <c r="K2309">
        <v>26298</v>
      </c>
      <c r="L2309">
        <v>26291</v>
      </c>
      <c r="M2309">
        <v>26330</v>
      </c>
      <c r="N2309" t="s">
        <v>988</v>
      </c>
    </row>
    <row r="2310" spans="1:14" x14ac:dyDescent="0.3">
      <c r="B2310" t="s">
        <v>2023</v>
      </c>
      <c r="C2310" t="s">
        <v>2256</v>
      </c>
      <c r="D2310" t="s">
        <v>159</v>
      </c>
      <c r="E2310" t="s">
        <v>159</v>
      </c>
      <c r="F2310">
        <v>7910</v>
      </c>
      <c r="G2310" t="s">
        <v>687</v>
      </c>
      <c r="H2310" t="s">
        <v>2441</v>
      </c>
      <c r="I2310">
        <v>762</v>
      </c>
      <c r="J2310">
        <v>818</v>
      </c>
      <c r="K2310">
        <v>824</v>
      </c>
      <c r="L2310">
        <v>824</v>
      </c>
      <c r="M2310">
        <v>825</v>
      </c>
      <c r="N2310" t="s">
        <v>988</v>
      </c>
    </row>
    <row r="2311" spans="1:14" x14ac:dyDescent="0.3">
      <c r="B2311" t="s">
        <v>2023</v>
      </c>
      <c r="C2311" t="s">
        <v>2256</v>
      </c>
      <c r="D2311" t="s">
        <v>159</v>
      </c>
      <c r="E2311" t="s">
        <v>159</v>
      </c>
      <c r="F2311">
        <v>7910</v>
      </c>
      <c r="G2311" t="s">
        <v>702</v>
      </c>
      <c r="H2311" t="s">
        <v>2261</v>
      </c>
      <c r="I2311">
        <v>700</v>
      </c>
      <c r="J2311">
        <v>700</v>
      </c>
      <c r="K2311">
        <v>700</v>
      </c>
      <c r="L2311">
        <v>700</v>
      </c>
      <c r="M2311">
        <v>700</v>
      </c>
      <c r="N2311" t="s">
        <v>988</v>
      </c>
    </row>
    <row r="2312" spans="1:14" x14ac:dyDescent="0.3">
      <c r="B2312" t="s">
        <v>2023</v>
      </c>
      <c r="C2312" t="s">
        <v>2256</v>
      </c>
      <c r="D2312" t="s">
        <v>159</v>
      </c>
      <c r="E2312" t="s">
        <v>159</v>
      </c>
      <c r="F2312">
        <v>7910</v>
      </c>
      <c r="G2312" t="s">
        <v>698</v>
      </c>
      <c r="I2312">
        <v>12250</v>
      </c>
      <c r="J2312">
        <v>13152</v>
      </c>
      <c r="K2312">
        <v>13243</v>
      </c>
      <c r="L2312">
        <v>13239</v>
      </c>
      <c r="M2312">
        <v>13258</v>
      </c>
      <c r="N2312" t="s">
        <v>988</v>
      </c>
    </row>
    <row r="2313" spans="1:14" x14ac:dyDescent="0.3">
      <c r="B2313" t="s">
        <v>2023</v>
      </c>
      <c r="C2313" t="s">
        <v>2256</v>
      </c>
      <c r="D2313" t="s">
        <v>159</v>
      </c>
      <c r="E2313" t="s">
        <v>159</v>
      </c>
      <c r="F2313">
        <v>7910</v>
      </c>
      <c r="G2313" t="s">
        <v>696</v>
      </c>
      <c r="I2313">
        <v>23908</v>
      </c>
      <c r="J2313">
        <v>25669</v>
      </c>
      <c r="K2313">
        <v>25845</v>
      </c>
      <c r="L2313">
        <v>25838</v>
      </c>
      <c r="M2313">
        <v>25875</v>
      </c>
      <c r="N2313" t="s">
        <v>988</v>
      </c>
    </row>
    <row r="2314" spans="1:14" x14ac:dyDescent="0.3">
      <c r="B2314" t="s">
        <v>2025</v>
      </c>
      <c r="C2314" t="s">
        <v>2256</v>
      </c>
      <c r="D2314" t="s">
        <v>1203</v>
      </c>
      <c r="E2314" t="s">
        <v>1204</v>
      </c>
      <c r="F2314">
        <v>7912</v>
      </c>
      <c r="G2314" t="s">
        <v>686</v>
      </c>
      <c r="I2314">
        <v>100</v>
      </c>
      <c r="J2314">
        <v>100</v>
      </c>
      <c r="K2314">
        <v>100</v>
      </c>
      <c r="L2314">
        <v>100</v>
      </c>
      <c r="M2314">
        <v>100</v>
      </c>
      <c r="N2314" t="s">
        <v>988</v>
      </c>
    </row>
    <row r="2315" spans="1:14" x14ac:dyDescent="0.3">
      <c r="B2315" t="s">
        <v>2025</v>
      </c>
      <c r="C2315" t="s">
        <v>2256</v>
      </c>
      <c r="D2315" t="s">
        <v>1203</v>
      </c>
      <c r="E2315" t="s">
        <v>1204</v>
      </c>
      <c r="F2315">
        <v>7912</v>
      </c>
      <c r="G2315" t="s">
        <v>687</v>
      </c>
      <c r="H2315" t="s">
        <v>1930</v>
      </c>
      <c r="I2315">
        <v>50000</v>
      </c>
      <c r="J2315">
        <v>51000</v>
      </c>
      <c r="K2315">
        <v>51000</v>
      </c>
      <c r="L2315">
        <v>51000</v>
      </c>
      <c r="M2315">
        <v>52000</v>
      </c>
      <c r="N2315" t="s">
        <v>988</v>
      </c>
    </row>
    <row r="2316" spans="1:14" x14ac:dyDescent="0.3">
      <c r="B2316" t="s">
        <v>2025</v>
      </c>
      <c r="C2316" t="s">
        <v>2256</v>
      </c>
      <c r="D2316" t="s">
        <v>1203</v>
      </c>
      <c r="E2316" t="s">
        <v>1204</v>
      </c>
      <c r="F2316">
        <v>7912</v>
      </c>
      <c r="G2316" t="s">
        <v>698</v>
      </c>
      <c r="I2316">
        <v>100000</v>
      </c>
      <c r="J2316">
        <v>100000</v>
      </c>
      <c r="K2316">
        <v>100000</v>
      </c>
      <c r="L2316">
        <v>100000</v>
      </c>
      <c r="M2316">
        <v>100000</v>
      </c>
      <c r="N2316" t="s">
        <v>988</v>
      </c>
    </row>
    <row r="2317" spans="1:14" x14ac:dyDescent="0.3">
      <c r="B2317" t="s">
        <v>2025</v>
      </c>
      <c r="C2317" t="s">
        <v>2256</v>
      </c>
      <c r="D2317" t="s">
        <v>1203</v>
      </c>
      <c r="E2317" t="s">
        <v>1204</v>
      </c>
      <c r="F2317">
        <v>7912</v>
      </c>
      <c r="G2317" t="s">
        <v>696</v>
      </c>
      <c r="I2317">
        <v>200000</v>
      </c>
      <c r="J2317">
        <v>200000</v>
      </c>
      <c r="K2317">
        <v>200000</v>
      </c>
      <c r="L2317">
        <v>200000</v>
      </c>
      <c r="M2317">
        <v>200000</v>
      </c>
      <c r="N2317" t="s">
        <v>988</v>
      </c>
    </row>
    <row r="2318" spans="1:14" x14ac:dyDescent="0.3">
      <c r="A2318">
        <v>440</v>
      </c>
      <c r="B2318" t="s">
        <v>2026</v>
      </c>
      <c r="C2318" t="s">
        <v>2256</v>
      </c>
      <c r="D2318" t="s">
        <v>159</v>
      </c>
      <c r="E2318" t="s">
        <v>159</v>
      </c>
      <c r="F2318">
        <v>7913</v>
      </c>
      <c r="H2318" t="s">
        <v>2442</v>
      </c>
      <c r="I2318">
        <v>10</v>
      </c>
      <c r="J2318">
        <v>20</v>
      </c>
      <c r="K2318">
        <v>30</v>
      </c>
      <c r="L2318">
        <v>40</v>
      </c>
      <c r="M2318">
        <v>50</v>
      </c>
      <c r="N2318" t="s">
        <v>988</v>
      </c>
    </row>
    <row r="2319" spans="1:14" x14ac:dyDescent="0.3">
      <c r="A2319">
        <v>2469</v>
      </c>
      <c r="B2319" t="s">
        <v>2028</v>
      </c>
      <c r="C2319" t="s">
        <v>2256</v>
      </c>
      <c r="D2319" t="s">
        <v>159</v>
      </c>
      <c r="E2319" t="s">
        <v>159</v>
      </c>
      <c r="F2319">
        <v>8029</v>
      </c>
      <c r="G2319" t="s">
        <v>686</v>
      </c>
      <c r="I2319">
        <v>455</v>
      </c>
      <c r="J2319">
        <v>467</v>
      </c>
      <c r="K2319">
        <v>478</v>
      </c>
      <c r="L2319">
        <v>490</v>
      </c>
      <c r="M2319">
        <v>501</v>
      </c>
      <c r="N2319" t="s">
        <v>988</v>
      </c>
    </row>
    <row r="2320" spans="1:14" x14ac:dyDescent="0.3">
      <c r="A2320">
        <v>2469</v>
      </c>
      <c r="B2320" t="s">
        <v>2028</v>
      </c>
      <c r="C2320" t="s">
        <v>2256</v>
      </c>
      <c r="D2320" t="s">
        <v>159</v>
      </c>
      <c r="E2320" t="s">
        <v>159</v>
      </c>
      <c r="F2320">
        <v>8029</v>
      </c>
      <c r="G2320" t="s">
        <v>691</v>
      </c>
      <c r="H2320" t="s">
        <v>1260</v>
      </c>
      <c r="I2320">
        <v>7</v>
      </c>
      <c r="J2320">
        <v>7</v>
      </c>
      <c r="K2320">
        <v>7</v>
      </c>
      <c r="L2320">
        <v>7</v>
      </c>
      <c r="M2320">
        <v>7</v>
      </c>
      <c r="N2320" t="s">
        <v>988</v>
      </c>
    </row>
    <row r="2321" spans="1:14" x14ac:dyDescent="0.3">
      <c r="A2321">
        <v>2469</v>
      </c>
      <c r="B2321" t="s">
        <v>2028</v>
      </c>
      <c r="C2321" t="s">
        <v>2256</v>
      </c>
      <c r="D2321" t="s">
        <v>159</v>
      </c>
      <c r="E2321" t="s">
        <v>159</v>
      </c>
      <c r="F2321">
        <v>8029</v>
      </c>
      <c r="G2321" t="s">
        <v>696</v>
      </c>
      <c r="I2321">
        <v>6902</v>
      </c>
      <c r="J2321">
        <v>7077</v>
      </c>
      <c r="K2321">
        <v>7252</v>
      </c>
      <c r="L2321">
        <v>7427</v>
      </c>
      <c r="M2321">
        <v>7602</v>
      </c>
      <c r="N2321" t="s">
        <v>988</v>
      </c>
    </row>
    <row r="2322" spans="1:14" x14ac:dyDescent="0.3">
      <c r="A2322">
        <v>2469</v>
      </c>
      <c r="B2322" t="s">
        <v>2028</v>
      </c>
      <c r="C2322" t="s">
        <v>2256</v>
      </c>
      <c r="D2322" t="s">
        <v>159</v>
      </c>
      <c r="E2322" t="s">
        <v>159</v>
      </c>
      <c r="F2322">
        <v>8029</v>
      </c>
      <c r="G2322" t="s">
        <v>700</v>
      </c>
      <c r="H2322" t="s">
        <v>1588</v>
      </c>
      <c r="I2322">
        <v>1199</v>
      </c>
      <c r="J2322">
        <v>1229</v>
      </c>
      <c r="K2322">
        <v>1260</v>
      </c>
      <c r="L2322">
        <v>1290</v>
      </c>
      <c r="M2322">
        <v>1320</v>
      </c>
      <c r="N2322" t="s">
        <v>988</v>
      </c>
    </row>
    <row r="2323" spans="1:14" x14ac:dyDescent="0.3">
      <c r="A2323">
        <v>2469</v>
      </c>
      <c r="B2323" t="s">
        <v>2028</v>
      </c>
      <c r="C2323" t="s">
        <v>2256</v>
      </c>
      <c r="D2323" t="s">
        <v>159</v>
      </c>
      <c r="E2323" t="s">
        <v>159</v>
      </c>
      <c r="F2323">
        <v>8029</v>
      </c>
      <c r="G2323" t="s">
        <v>698</v>
      </c>
      <c r="I2323">
        <v>725</v>
      </c>
      <c r="J2323">
        <v>743</v>
      </c>
      <c r="K2323">
        <v>761</v>
      </c>
      <c r="L2323">
        <v>780</v>
      </c>
      <c r="M2323">
        <v>798</v>
      </c>
      <c r="N2323" t="s">
        <v>988</v>
      </c>
    </row>
    <row r="2324" spans="1:14" x14ac:dyDescent="0.3">
      <c r="A2324">
        <v>2469</v>
      </c>
      <c r="B2324" t="s">
        <v>2028</v>
      </c>
      <c r="C2324" t="s">
        <v>2256</v>
      </c>
      <c r="D2324" t="s">
        <v>159</v>
      </c>
      <c r="E2324" t="s">
        <v>159</v>
      </c>
      <c r="F2324">
        <v>8029</v>
      </c>
      <c r="G2324" t="s">
        <v>702</v>
      </c>
      <c r="I2324">
        <v>1403</v>
      </c>
      <c r="J2324">
        <v>1439</v>
      </c>
      <c r="K2324">
        <v>1474</v>
      </c>
      <c r="L2324">
        <v>1510</v>
      </c>
      <c r="M2324">
        <v>1546</v>
      </c>
      <c r="N2324" t="s">
        <v>988</v>
      </c>
    </row>
    <row r="2325" spans="1:14" x14ac:dyDescent="0.3">
      <c r="A2325">
        <v>2487</v>
      </c>
      <c r="B2325" t="s">
        <v>2029</v>
      </c>
      <c r="C2325" t="s">
        <v>2256</v>
      </c>
      <c r="D2325" t="s">
        <v>1203</v>
      </c>
      <c r="E2325" t="s">
        <v>1204</v>
      </c>
      <c r="F2325">
        <v>5814</v>
      </c>
      <c r="G2325" t="s">
        <v>687</v>
      </c>
      <c r="I2325">
        <v>77</v>
      </c>
      <c r="J2325">
        <v>78</v>
      </c>
      <c r="K2325">
        <v>80</v>
      </c>
      <c r="L2325">
        <v>81</v>
      </c>
      <c r="M2325">
        <v>83</v>
      </c>
      <c r="N2325" t="s">
        <v>988</v>
      </c>
    </row>
    <row r="2326" spans="1:14" x14ac:dyDescent="0.3">
      <c r="A2326">
        <v>2487</v>
      </c>
      <c r="B2326" t="s">
        <v>2029</v>
      </c>
      <c r="C2326" t="s">
        <v>2256</v>
      </c>
      <c r="D2326" t="s">
        <v>1203</v>
      </c>
      <c r="E2326" t="s">
        <v>1204</v>
      </c>
      <c r="F2326">
        <v>5814</v>
      </c>
      <c r="G2326" t="s">
        <v>702</v>
      </c>
      <c r="I2326">
        <v>816</v>
      </c>
      <c r="J2326">
        <v>832</v>
      </c>
      <c r="K2326">
        <v>849</v>
      </c>
      <c r="L2326">
        <v>866</v>
      </c>
      <c r="M2326">
        <v>883</v>
      </c>
      <c r="N2326" t="s">
        <v>988</v>
      </c>
    </row>
    <row r="2327" spans="1:14" x14ac:dyDescent="0.3">
      <c r="A2327">
        <v>2487</v>
      </c>
      <c r="B2327" t="s">
        <v>2029</v>
      </c>
      <c r="C2327" t="s">
        <v>2256</v>
      </c>
      <c r="D2327" t="s">
        <v>1203</v>
      </c>
      <c r="E2327" t="s">
        <v>1204</v>
      </c>
      <c r="F2327">
        <v>5814</v>
      </c>
      <c r="G2327" t="s">
        <v>701</v>
      </c>
      <c r="I2327">
        <v>3200</v>
      </c>
      <c r="J2327">
        <v>3200</v>
      </c>
      <c r="K2327">
        <v>3200</v>
      </c>
      <c r="L2327">
        <v>3200</v>
      </c>
      <c r="M2327">
        <v>3200</v>
      </c>
      <c r="N2327" t="s">
        <v>988</v>
      </c>
    </row>
    <row r="2328" spans="1:14" x14ac:dyDescent="0.3">
      <c r="A2328">
        <v>2487</v>
      </c>
      <c r="B2328" t="s">
        <v>2029</v>
      </c>
      <c r="C2328" t="s">
        <v>2256</v>
      </c>
      <c r="D2328" t="s">
        <v>1203</v>
      </c>
      <c r="E2328" t="s">
        <v>1204</v>
      </c>
      <c r="F2328">
        <v>5814</v>
      </c>
      <c r="G2328" t="s">
        <v>700</v>
      </c>
      <c r="H2328" t="s">
        <v>1438</v>
      </c>
      <c r="I2328">
        <v>2856</v>
      </c>
      <c r="J2328">
        <v>2913</v>
      </c>
      <c r="K2328">
        <v>2971</v>
      </c>
      <c r="L2328">
        <v>3031</v>
      </c>
      <c r="M2328">
        <v>3031</v>
      </c>
      <c r="N2328" t="s">
        <v>988</v>
      </c>
    </row>
    <row r="2329" spans="1:14" x14ac:dyDescent="0.3">
      <c r="A2329">
        <v>2487</v>
      </c>
      <c r="B2329" t="s">
        <v>2029</v>
      </c>
      <c r="C2329" t="s">
        <v>2256</v>
      </c>
      <c r="D2329" t="s">
        <v>1203</v>
      </c>
      <c r="E2329" t="s">
        <v>1204</v>
      </c>
      <c r="F2329">
        <v>5814</v>
      </c>
      <c r="G2329" t="s">
        <v>684</v>
      </c>
      <c r="I2329">
        <v>92</v>
      </c>
      <c r="J2329">
        <v>94</v>
      </c>
      <c r="K2329">
        <v>96</v>
      </c>
      <c r="L2329">
        <v>98</v>
      </c>
      <c r="M2329">
        <v>100</v>
      </c>
      <c r="N2329" t="s">
        <v>988</v>
      </c>
    </row>
    <row r="2330" spans="1:14" x14ac:dyDescent="0.3">
      <c r="A2330">
        <v>2487</v>
      </c>
      <c r="B2330" t="s">
        <v>2029</v>
      </c>
      <c r="C2330" t="s">
        <v>2256</v>
      </c>
      <c r="D2330" t="s">
        <v>1203</v>
      </c>
      <c r="E2330" t="s">
        <v>1204</v>
      </c>
      <c r="F2330">
        <v>5814</v>
      </c>
      <c r="G2330" t="s">
        <v>696</v>
      </c>
      <c r="I2330">
        <v>5916</v>
      </c>
      <c r="J2330">
        <v>6034</v>
      </c>
      <c r="K2330">
        <v>6155</v>
      </c>
      <c r="L2330">
        <v>6278</v>
      </c>
      <c r="M2330">
        <v>6404</v>
      </c>
      <c r="N2330" t="s">
        <v>988</v>
      </c>
    </row>
    <row r="2331" spans="1:14" x14ac:dyDescent="0.3">
      <c r="A2331">
        <v>2487</v>
      </c>
      <c r="B2331" t="s">
        <v>2029</v>
      </c>
      <c r="C2331" t="s">
        <v>2256</v>
      </c>
      <c r="D2331" t="s">
        <v>1203</v>
      </c>
      <c r="E2331" t="s">
        <v>1204</v>
      </c>
      <c r="F2331">
        <v>5814</v>
      </c>
      <c r="G2331" t="s">
        <v>686</v>
      </c>
      <c r="I2331">
        <v>1235</v>
      </c>
      <c r="J2331">
        <v>1250</v>
      </c>
      <c r="K2331">
        <v>1266</v>
      </c>
      <c r="L2331">
        <v>1282</v>
      </c>
      <c r="M2331">
        <v>1925</v>
      </c>
      <c r="N2331" t="s">
        <v>988</v>
      </c>
    </row>
    <row r="2332" spans="1:14" x14ac:dyDescent="0.3">
      <c r="A2332">
        <v>2487</v>
      </c>
      <c r="B2332" t="s">
        <v>2029</v>
      </c>
      <c r="C2332" t="s">
        <v>2256</v>
      </c>
      <c r="D2332" t="s">
        <v>1203</v>
      </c>
      <c r="E2332" t="s">
        <v>1204</v>
      </c>
      <c r="F2332">
        <v>5814</v>
      </c>
      <c r="G2332" t="s">
        <v>705</v>
      </c>
      <c r="I2332">
        <v>700</v>
      </c>
      <c r="J2332">
        <v>700</v>
      </c>
      <c r="K2332">
        <v>700</v>
      </c>
      <c r="L2332">
        <v>700</v>
      </c>
      <c r="M2332">
        <v>700</v>
      </c>
      <c r="N2332" t="s">
        <v>988</v>
      </c>
    </row>
    <row r="2333" spans="1:14" x14ac:dyDescent="0.3">
      <c r="A2333">
        <v>2487</v>
      </c>
      <c r="B2333" t="s">
        <v>2029</v>
      </c>
      <c r="C2333" t="s">
        <v>2256</v>
      </c>
      <c r="D2333" t="s">
        <v>1203</v>
      </c>
      <c r="E2333" t="s">
        <v>1204</v>
      </c>
      <c r="F2333">
        <v>5814</v>
      </c>
      <c r="G2333" t="s">
        <v>698</v>
      </c>
      <c r="I2333">
        <v>3341</v>
      </c>
      <c r="J2333">
        <v>3537</v>
      </c>
      <c r="K2333">
        <v>3608</v>
      </c>
      <c r="L2333">
        <v>3680</v>
      </c>
      <c r="M2333">
        <v>3754</v>
      </c>
      <c r="N2333" t="s">
        <v>988</v>
      </c>
    </row>
    <row r="2334" spans="1:14" x14ac:dyDescent="0.3">
      <c r="A2334">
        <v>2490</v>
      </c>
      <c r="B2334" t="s">
        <v>2030</v>
      </c>
      <c r="C2334" t="s">
        <v>2256</v>
      </c>
      <c r="D2334" t="s">
        <v>159</v>
      </c>
      <c r="E2334" t="s">
        <v>159</v>
      </c>
      <c r="F2334">
        <v>7931</v>
      </c>
      <c r="G2334" t="s">
        <v>696</v>
      </c>
      <c r="I2334">
        <v>1595</v>
      </c>
      <c r="J2334">
        <v>1594</v>
      </c>
      <c r="K2334">
        <v>1688</v>
      </c>
      <c r="L2334">
        <v>1663</v>
      </c>
      <c r="M2334">
        <v>1656</v>
      </c>
      <c r="N2334" t="s">
        <v>988</v>
      </c>
    </row>
    <row r="2335" spans="1:14" x14ac:dyDescent="0.3">
      <c r="A2335">
        <v>2490</v>
      </c>
      <c r="B2335" t="s">
        <v>2030</v>
      </c>
      <c r="C2335" t="s">
        <v>2256</v>
      </c>
      <c r="D2335" t="s">
        <v>159</v>
      </c>
      <c r="E2335" t="s">
        <v>159</v>
      </c>
      <c r="F2335">
        <v>7931</v>
      </c>
      <c r="G2335" t="s">
        <v>686</v>
      </c>
      <c r="H2335" t="s">
        <v>1289</v>
      </c>
      <c r="I2335">
        <v>203</v>
      </c>
      <c r="J2335">
        <v>207</v>
      </c>
      <c r="K2335">
        <v>217</v>
      </c>
      <c r="L2335">
        <v>215</v>
      </c>
      <c r="M2335">
        <v>215</v>
      </c>
      <c r="N2335" t="s">
        <v>988</v>
      </c>
    </row>
    <row r="2336" spans="1:14" x14ac:dyDescent="0.3">
      <c r="A2336">
        <v>2490</v>
      </c>
      <c r="B2336" t="s">
        <v>2030</v>
      </c>
      <c r="C2336" t="s">
        <v>2256</v>
      </c>
      <c r="D2336" t="s">
        <v>159</v>
      </c>
      <c r="E2336" t="s">
        <v>159</v>
      </c>
      <c r="F2336">
        <v>7931</v>
      </c>
      <c r="G2336" t="s">
        <v>702</v>
      </c>
      <c r="I2336">
        <v>503</v>
      </c>
      <c r="J2336">
        <v>503</v>
      </c>
      <c r="K2336">
        <v>503</v>
      </c>
      <c r="L2336">
        <v>503</v>
      </c>
      <c r="M2336">
        <v>503</v>
      </c>
      <c r="N2336" t="s">
        <v>988</v>
      </c>
    </row>
    <row r="2337" spans="1:14" x14ac:dyDescent="0.3">
      <c r="A2337">
        <v>2490</v>
      </c>
      <c r="B2337" t="s">
        <v>2030</v>
      </c>
      <c r="C2337" t="s">
        <v>2256</v>
      </c>
      <c r="D2337" t="s">
        <v>159</v>
      </c>
      <c r="E2337" t="s">
        <v>159</v>
      </c>
      <c r="F2337">
        <v>7931</v>
      </c>
      <c r="G2337" t="s">
        <v>700</v>
      </c>
      <c r="I2337">
        <v>81</v>
      </c>
      <c r="J2337">
        <v>114</v>
      </c>
      <c r="K2337">
        <v>117</v>
      </c>
      <c r="L2337">
        <v>120</v>
      </c>
      <c r="M2337">
        <v>120</v>
      </c>
      <c r="N2337" t="s">
        <v>988</v>
      </c>
    </row>
    <row r="2338" spans="1:14" x14ac:dyDescent="0.3">
      <c r="A2338">
        <v>2490</v>
      </c>
      <c r="B2338" t="s">
        <v>2030</v>
      </c>
      <c r="C2338" t="s">
        <v>2256</v>
      </c>
      <c r="D2338" t="s">
        <v>159</v>
      </c>
      <c r="E2338" t="s">
        <v>159</v>
      </c>
      <c r="F2338">
        <v>7931</v>
      </c>
      <c r="G2338" t="s">
        <v>698</v>
      </c>
      <c r="I2338">
        <v>62</v>
      </c>
      <c r="J2338">
        <v>81</v>
      </c>
      <c r="K2338">
        <v>94</v>
      </c>
      <c r="L2338">
        <v>94</v>
      </c>
      <c r="M2338">
        <v>95</v>
      </c>
      <c r="N2338" t="s">
        <v>988</v>
      </c>
    </row>
    <row r="2339" spans="1:14" x14ac:dyDescent="0.3">
      <c r="A2339">
        <v>2496</v>
      </c>
      <c r="B2339" t="s">
        <v>905</v>
      </c>
      <c r="C2339" t="s">
        <v>2256</v>
      </c>
      <c r="D2339" t="s">
        <v>159</v>
      </c>
      <c r="E2339" t="s">
        <v>159</v>
      </c>
      <c r="F2339">
        <v>5568</v>
      </c>
      <c r="G2339" t="s">
        <v>686</v>
      </c>
      <c r="H2339" t="s">
        <v>1700</v>
      </c>
      <c r="I2339">
        <v>1968.83</v>
      </c>
      <c r="J2339">
        <v>2217.64</v>
      </c>
      <c r="K2339">
        <v>2470.83</v>
      </c>
      <c r="L2339">
        <v>2726.73</v>
      </c>
      <c r="M2339">
        <v>3175.56</v>
      </c>
      <c r="N2339" t="s">
        <v>988</v>
      </c>
    </row>
    <row r="2340" spans="1:14" x14ac:dyDescent="0.3">
      <c r="A2340">
        <v>2496</v>
      </c>
      <c r="B2340" t="s">
        <v>905</v>
      </c>
      <c r="C2340" t="s">
        <v>2256</v>
      </c>
      <c r="D2340" t="s">
        <v>159</v>
      </c>
      <c r="E2340" t="s">
        <v>159</v>
      </c>
      <c r="F2340">
        <v>5568</v>
      </c>
      <c r="G2340" t="s">
        <v>696</v>
      </c>
      <c r="I2340">
        <v>10753.08</v>
      </c>
      <c r="J2340">
        <v>11869.87</v>
      </c>
      <c r="K2340">
        <v>13013.63</v>
      </c>
      <c r="L2340">
        <v>14173.55</v>
      </c>
      <c r="M2340">
        <v>16221.23</v>
      </c>
      <c r="N2340" t="s">
        <v>988</v>
      </c>
    </row>
    <row r="2341" spans="1:14" x14ac:dyDescent="0.3">
      <c r="A2341">
        <v>2496</v>
      </c>
      <c r="B2341" t="s">
        <v>905</v>
      </c>
      <c r="C2341" t="s">
        <v>2256</v>
      </c>
      <c r="D2341" t="s">
        <v>159</v>
      </c>
      <c r="E2341" t="s">
        <v>159</v>
      </c>
      <c r="F2341">
        <v>5568</v>
      </c>
      <c r="G2341" t="s">
        <v>698</v>
      </c>
      <c r="I2341">
        <v>1409.02</v>
      </c>
      <c r="J2341">
        <v>1509.26</v>
      </c>
      <c r="K2341">
        <v>1613.61</v>
      </c>
      <c r="L2341">
        <v>1720.34</v>
      </c>
      <c r="M2341">
        <v>2479.4899999999998</v>
      </c>
      <c r="N2341" t="s">
        <v>988</v>
      </c>
    </row>
    <row r="2342" spans="1:14" x14ac:dyDescent="0.3">
      <c r="A2342">
        <v>2496</v>
      </c>
      <c r="B2342" t="s">
        <v>905</v>
      </c>
      <c r="C2342" t="s">
        <v>2256</v>
      </c>
      <c r="D2342" t="s">
        <v>159</v>
      </c>
      <c r="E2342" t="s">
        <v>159</v>
      </c>
      <c r="F2342">
        <v>5568</v>
      </c>
      <c r="G2342" t="s">
        <v>700</v>
      </c>
      <c r="H2342" t="s">
        <v>1702</v>
      </c>
      <c r="I2342">
        <v>2502.87</v>
      </c>
      <c r="J2342">
        <v>2853.76</v>
      </c>
      <c r="K2342">
        <v>3209.8</v>
      </c>
      <c r="L2342">
        <v>3569.06</v>
      </c>
      <c r="M2342">
        <v>4152.3999999999996</v>
      </c>
      <c r="N2342" t="s">
        <v>988</v>
      </c>
    </row>
    <row r="2343" spans="1:14" x14ac:dyDescent="0.3">
      <c r="A2343">
        <v>2496</v>
      </c>
      <c r="B2343" t="s">
        <v>905</v>
      </c>
      <c r="C2343" t="s">
        <v>2256</v>
      </c>
      <c r="D2343" t="s">
        <v>159</v>
      </c>
      <c r="E2343" t="s">
        <v>159</v>
      </c>
      <c r="F2343">
        <v>5568</v>
      </c>
      <c r="G2343" t="s">
        <v>701</v>
      </c>
      <c r="I2343">
        <v>1724.2</v>
      </c>
      <c r="J2343">
        <v>2521.46</v>
      </c>
      <c r="K2343">
        <v>3315.37</v>
      </c>
      <c r="L2343">
        <v>4108.2700000000004</v>
      </c>
      <c r="M2343">
        <v>5138.22</v>
      </c>
      <c r="N2343" t="s">
        <v>988</v>
      </c>
    </row>
    <row r="2344" spans="1:14" x14ac:dyDescent="0.3">
      <c r="A2344">
        <v>2496</v>
      </c>
      <c r="B2344" t="s">
        <v>905</v>
      </c>
      <c r="C2344" t="s">
        <v>2256</v>
      </c>
      <c r="D2344" t="s">
        <v>159</v>
      </c>
      <c r="E2344" t="s">
        <v>159</v>
      </c>
      <c r="F2344">
        <v>5568</v>
      </c>
      <c r="G2344" t="s">
        <v>702</v>
      </c>
      <c r="I2344">
        <v>2150.62</v>
      </c>
      <c r="J2344">
        <v>2128.39</v>
      </c>
      <c r="K2344">
        <v>2114.61</v>
      </c>
      <c r="L2344">
        <v>2105.4899999999998</v>
      </c>
      <c r="M2344">
        <v>1911.89</v>
      </c>
      <c r="N2344" t="s">
        <v>988</v>
      </c>
    </row>
    <row r="2345" spans="1:14" x14ac:dyDescent="0.3">
      <c r="A2345">
        <v>2510</v>
      </c>
      <c r="B2345" t="s">
        <v>2035</v>
      </c>
      <c r="C2345" t="s">
        <v>2256</v>
      </c>
      <c r="D2345" t="s">
        <v>1203</v>
      </c>
      <c r="E2345" t="s">
        <v>1204</v>
      </c>
      <c r="F2345">
        <v>5942</v>
      </c>
      <c r="G2345" t="s">
        <v>700</v>
      </c>
      <c r="I2345">
        <v>14</v>
      </c>
      <c r="J2345">
        <v>14</v>
      </c>
      <c r="K2345">
        <v>14</v>
      </c>
      <c r="L2345">
        <v>14</v>
      </c>
      <c r="N2345" t="s">
        <v>988</v>
      </c>
    </row>
    <row r="2346" spans="1:14" x14ac:dyDescent="0.3">
      <c r="A2346">
        <v>2510</v>
      </c>
      <c r="B2346" t="s">
        <v>2035</v>
      </c>
      <c r="C2346" t="s">
        <v>2256</v>
      </c>
      <c r="D2346" t="s">
        <v>1203</v>
      </c>
      <c r="E2346" t="s">
        <v>1204</v>
      </c>
      <c r="F2346">
        <v>5942</v>
      </c>
      <c r="G2346" t="s">
        <v>703</v>
      </c>
      <c r="I2346">
        <v>12</v>
      </c>
      <c r="J2346">
        <v>12</v>
      </c>
      <c r="K2346">
        <v>12</v>
      </c>
      <c r="L2346">
        <v>12</v>
      </c>
      <c r="N2346" t="s">
        <v>988</v>
      </c>
    </row>
    <row r="2347" spans="1:14" x14ac:dyDescent="0.3">
      <c r="A2347">
        <v>2510</v>
      </c>
      <c r="B2347" t="s">
        <v>2035</v>
      </c>
      <c r="C2347" t="s">
        <v>2256</v>
      </c>
      <c r="D2347" t="s">
        <v>1203</v>
      </c>
      <c r="E2347" t="s">
        <v>1204</v>
      </c>
      <c r="F2347">
        <v>5942</v>
      </c>
      <c r="G2347" t="s">
        <v>702</v>
      </c>
      <c r="I2347">
        <v>214</v>
      </c>
      <c r="J2347">
        <v>215</v>
      </c>
      <c r="K2347">
        <v>217</v>
      </c>
      <c r="L2347">
        <v>219</v>
      </c>
      <c r="N2347" t="s">
        <v>988</v>
      </c>
    </row>
    <row r="2348" spans="1:14" x14ac:dyDescent="0.3">
      <c r="A2348">
        <v>2510</v>
      </c>
      <c r="B2348" t="s">
        <v>2035</v>
      </c>
      <c r="C2348" t="s">
        <v>2256</v>
      </c>
      <c r="D2348" t="s">
        <v>1203</v>
      </c>
      <c r="E2348" t="s">
        <v>1204</v>
      </c>
      <c r="F2348">
        <v>5942</v>
      </c>
      <c r="G2348" t="s">
        <v>691</v>
      </c>
      <c r="H2348" t="s">
        <v>2037</v>
      </c>
      <c r="I2348">
        <v>7</v>
      </c>
      <c r="J2348">
        <v>7</v>
      </c>
      <c r="K2348">
        <v>7</v>
      </c>
      <c r="L2348">
        <v>7</v>
      </c>
      <c r="N2348" t="s">
        <v>988</v>
      </c>
    </row>
    <row r="2349" spans="1:14" x14ac:dyDescent="0.3">
      <c r="A2349">
        <v>2510</v>
      </c>
      <c r="B2349" t="s">
        <v>2035</v>
      </c>
      <c r="C2349" t="s">
        <v>2256</v>
      </c>
      <c r="D2349" t="s">
        <v>1203</v>
      </c>
      <c r="E2349" t="s">
        <v>1204</v>
      </c>
      <c r="F2349">
        <v>5942</v>
      </c>
      <c r="G2349" t="s">
        <v>691</v>
      </c>
      <c r="H2349" t="s">
        <v>2036</v>
      </c>
      <c r="I2349">
        <v>15</v>
      </c>
      <c r="J2349">
        <v>15</v>
      </c>
      <c r="K2349">
        <v>15</v>
      </c>
      <c r="L2349">
        <v>16</v>
      </c>
      <c r="N2349" t="s">
        <v>988</v>
      </c>
    </row>
    <row r="2350" spans="1:14" x14ac:dyDescent="0.3">
      <c r="A2350">
        <v>2510</v>
      </c>
      <c r="B2350" t="s">
        <v>2035</v>
      </c>
      <c r="C2350" t="s">
        <v>2256</v>
      </c>
      <c r="D2350" t="s">
        <v>1203</v>
      </c>
      <c r="E2350" t="s">
        <v>1204</v>
      </c>
      <c r="F2350">
        <v>5942</v>
      </c>
      <c r="G2350" t="s">
        <v>691</v>
      </c>
      <c r="H2350" t="s">
        <v>2443</v>
      </c>
      <c r="I2350">
        <v>3</v>
      </c>
      <c r="J2350">
        <v>3</v>
      </c>
      <c r="K2350">
        <v>3</v>
      </c>
      <c r="L2350">
        <v>3</v>
      </c>
      <c r="N2350" t="s">
        <v>988</v>
      </c>
    </row>
    <row r="2351" spans="1:14" x14ac:dyDescent="0.3">
      <c r="A2351">
        <v>2510</v>
      </c>
      <c r="B2351" t="s">
        <v>2035</v>
      </c>
      <c r="C2351" t="s">
        <v>2256</v>
      </c>
      <c r="D2351" t="s">
        <v>1203</v>
      </c>
      <c r="E2351" t="s">
        <v>1204</v>
      </c>
      <c r="F2351">
        <v>5942</v>
      </c>
      <c r="G2351" t="s">
        <v>686</v>
      </c>
      <c r="I2351">
        <v>25</v>
      </c>
      <c r="J2351">
        <v>25</v>
      </c>
      <c r="K2351">
        <v>26</v>
      </c>
      <c r="L2351">
        <v>26</v>
      </c>
      <c r="N2351" t="s">
        <v>988</v>
      </c>
    </row>
    <row r="2352" spans="1:14" x14ac:dyDescent="0.3">
      <c r="A2352">
        <v>2510</v>
      </c>
      <c r="B2352" t="s">
        <v>2035</v>
      </c>
      <c r="C2352" t="s">
        <v>2256</v>
      </c>
      <c r="D2352" t="s">
        <v>1203</v>
      </c>
      <c r="E2352" t="s">
        <v>1204</v>
      </c>
      <c r="F2352">
        <v>5942</v>
      </c>
      <c r="G2352" t="s">
        <v>698</v>
      </c>
      <c r="I2352">
        <v>162</v>
      </c>
      <c r="J2352">
        <v>164</v>
      </c>
      <c r="K2352">
        <v>165</v>
      </c>
      <c r="L2352">
        <v>166</v>
      </c>
      <c r="N2352" t="s">
        <v>988</v>
      </c>
    </row>
    <row r="2353" spans="1:14" x14ac:dyDescent="0.3">
      <c r="A2353">
        <v>2510</v>
      </c>
      <c r="B2353" t="s">
        <v>2035</v>
      </c>
      <c r="C2353" t="s">
        <v>2256</v>
      </c>
      <c r="D2353" t="s">
        <v>1203</v>
      </c>
      <c r="E2353" t="s">
        <v>1204</v>
      </c>
      <c r="F2353">
        <v>5942</v>
      </c>
      <c r="G2353" t="s">
        <v>696</v>
      </c>
      <c r="I2353">
        <v>1739</v>
      </c>
      <c r="J2353">
        <v>1753</v>
      </c>
      <c r="K2353">
        <v>1767</v>
      </c>
      <c r="L2353">
        <v>1781</v>
      </c>
      <c r="N2353" t="s">
        <v>988</v>
      </c>
    </row>
    <row r="2354" spans="1:14" x14ac:dyDescent="0.3">
      <c r="A2354">
        <v>2512</v>
      </c>
      <c r="B2354" t="s">
        <v>2039</v>
      </c>
      <c r="C2354" t="s">
        <v>2256</v>
      </c>
      <c r="D2354" t="s">
        <v>1203</v>
      </c>
      <c r="E2354" t="s">
        <v>1204</v>
      </c>
      <c r="F2354">
        <v>5501</v>
      </c>
      <c r="G2354" t="s">
        <v>686</v>
      </c>
      <c r="I2354">
        <v>407</v>
      </c>
      <c r="J2354">
        <v>407</v>
      </c>
      <c r="K2354">
        <v>407</v>
      </c>
      <c r="L2354">
        <v>407</v>
      </c>
      <c r="N2354" t="s">
        <v>988</v>
      </c>
    </row>
    <row r="2355" spans="1:14" x14ac:dyDescent="0.3">
      <c r="A2355">
        <v>2512</v>
      </c>
      <c r="B2355" t="s">
        <v>2039</v>
      </c>
      <c r="C2355" t="s">
        <v>2256</v>
      </c>
      <c r="D2355" t="s">
        <v>1203</v>
      </c>
      <c r="E2355" t="s">
        <v>1204</v>
      </c>
      <c r="F2355">
        <v>5501</v>
      </c>
      <c r="G2355" t="s">
        <v>702</v>
      </c>
      <c r="I2355">
        <v>81</v>
      </c>
      <c r="J2355">
        <v>88</v>
      </c>
      <c r="K2355">
        <v>94</v>
      </c>
      <c r="L2355">
        <v>101</v>
      </c>
      <c r="N2355" t="s">
        <v>988</v>
      </c>
    </row>
    <row r="2356" spans="1:14" x14ac:dyDescent="0.3">
      <c r="A2356">
        <v>2512</v>
      </c>
      <c r="B2356" t="s">
        <v>2039</v>
      </c>
      <c r="C2356" t="s">
        <v>2256</v>
      </c>
      <c r="D2356" t="s">
        <v>1203</v>
      </c>
      <c r="E2356" t="s">
        <v>1204</v>
      </c>
      <c r="F2356">
        <v>5501</v>
      </c>
      <c r="G2356" t="s">
        <v>703</v>
      </c>
      <c r="I2356">
        <v>67</v>
      </c>
      <c r="J2356">
        <v>75</v>
      </c>
      <c r="K2356">
        <v>84</v>
      </c>
      <c r="L2356">
        <v>92</v>
      </c>
      <c r="N2356" t="s">
        <v>988</v>
      </c>
    </row>
    <row r="2357" spans="1:14" x14ac:dyDescent="0.3">
      <c r="A2357">
        <v>2512</v>
      </c>
      <c r="B2357" t="s">
        <v>2039</v>
      </c>
      <c r="C2357" t="s">
        <v>2256</v>
      </c>
      <c r="D2357" t="s">
        <v>1203</v>
      </c>
      <c r="E2357" t="s">
        <v>1204</v>
      </c>
      <c r="F2357">
        <v>5501</v>
      </c>
      <c r="G2357" t="s">
        <v>701</v>
      </c>
      <c r="I2357">
        <v>1</v>
      </c>
      <c r="J2357">
        <v>1</v>
      </c>
      <c r="K2357">
        <v>1</v>
      </c>
      <c r="L2357">
        <v>1</v>
      </c>
      <c r="N2357" t="s">
        <v>988</v>
      </c>
    </row>
    <row r="2358" spans="1:14" x14ac:dyDescent="0.3">
      <c r="A2358">
        <v>2512</v>
      </c>
      <c r="B2358" t="s">
        <v>2039</v>
      </c>
      <c r="C2358" t="s">
        <v>2256</v>
      </c>
      <c r="D2358" t="s">
        <v>1203</v>
      </c>
      <c r="E2358" t="s">
        <v>1204</v>
      </c>
      <c r="F2358">
        <v>5501</v>
      </c>
      <c r="G2358" t="s">
        <v>700</v>
      </c>
      <c r="I2358">
        <v>115</v>
      </c>
      <c r="J2358">
        <v>129</v>
      </c>
      <c r="K2358">
        <v>143</v>
      </c>
      <c r="L2358">
        <v>158</v>
      </c>
      <c r="N2358" t="s">
        <v>988</v>
      </c>
    </row>
    <row r="2359" spans="1:14" x14ac:dyDescent="0.3">
      <c r="A2359">
        <v>2512</v>
      </c>
      <c r="B2359" t="s">
        <v>2039</v>
      </c>
      <c r="C2359" t="s">
        <v>2256</v>
      </c>
      <c r="D2359" t="s">
        <v>1203</v>
      </c>
      <c r="E2359" t="s">
        <v>1204</v>
      </c>
      <c r="F2359">
        <v>5501</v>
      </c>
      <c r="G2359" t="s">
        <v>692</v>
      </c>
      <c r="I2359">
        <v>240</v>
      </c>
      <c r="J2359">
        <v>240</v>
      </c>
      <c r="K2359">
        <v>240</v>
      </c>
      <c r="L2359">
        <v>240</v>
      </c>
      <c r="N2359" t="s">
        <v>988</v>
      </c>
    </row>
    <row r="2360" spans="1:14" x14ac:dyDescent="0.3">
      <c r="A2360">
        <v>2512</v>
      </c>
      <c r="B2360" t="s">
        <v>2039</v>
      </c>
      <c r="C2360" t="s">
        <v>2256</v>
      </c>
      <c r="D2360" t="s">
        <v>1203</v>
      </c>
      <c r="E2360" t="s">
        <v>1204</v>
      </c>
      <c r="F2360">
        <v>5501</v>
      </c>
      <c r="G2360" t="s">
        <v>698</v>
      </c>
      <c r="I2360">
        <v>87</v>
      </c>
      <c r="J2360">
        <v>98</v>
      </c>
      <c r="K2360">
        <v>109</v>
      </c>
      <c r="L2360">
        <v>120</v>
      </c>
      <c r="N2360" t="s">
        <v>988</v>
      </c>
    </row>
    <row r="2361" spans="1:14" x14ac:dyDescent="0.3">
      <c r="A2361">
        <v>2512</v>
      </c>
      <c r="B2361" t="s">
        <v>2039</v>
      </c>
      <c r="C2361" t="s">
        <v>2256</v>
      </c>
      <c r="D2361" t="s">
        <v>1203</v>
      </c>
      <c r="E2361" t="s">
        <v>1204</v>
      </c>
      <c r="F2361">
        <v>5501</v>
      </c>
      <c r="G2361" t="s">
        <v>696</v>
      </c>
      <c r="I2361">
        <v>869</v>
      </c>
      <c r="J2361">
        <v>976</v>
      </c>
      <c r="K2361">
        <v>1082</v>
      </c>
      <c r="L2361">
        <v>1191</v>
      </c>
      <c r="N2361" t="s">
        <v>988</v>
      </c>
    </row>
    <row r="2362" spans="1:14" x14ac:dyDescent="0.3">
      <c r="A2362">
        <v>2516</v>
      </c>
      <c r="B2362" t="s">
        <v>2041</v>
      </c>
      <c r="C2362" t="s">
        <v>2256</v>
      </c>
      <c r="D2362" t="s">
        <v>1203</v>
      </c>
      <c r="E2362" t="s">
        <v>1204</v>
      </c>
      <c r="F2362">
        <v>6666</v>
      </c>
      <c r="G2362" t="s">
        <v>698</v>
      </c>
      <c r="H2362" t="s">
        <v>1249</v>
      </c>
      <c r="I2362">
        <v>366</v>
      </c>
      <c r="J2362">
        <v>358</v>
      </c>
      <c r="K2362">
        <v>385</v>
      </c>
      <c r="L2362">
        <v>414</v>
      </c>
      <c r="N2362" t="s">
        <v>988</v>
      </c>
    </row>
    <row r="2363" spans="1:14" x14ac:dyDescent="0.3">
      <c r="A2363">
        <v>2516</v>
      </c>
      <c r="B2363" t="s">
        <v>2041</v>
      </c>
      <c r="C2363" t="s">
        <v>2256</v>
      </c>
      <c r="D2363" t="s">
        <v>1203</v>
      </c>
      <c r="E2363" t="s">
        <v>1204</v>
      </c>
      <c r="F2363">
        <v>6666</v>
      </c>
      <c r="G2363" t="s">
        <v>700</v>
      </c>
      <c r="H2363" t="s">
        <v>1402</v>
      </c>
      <c r="I2363">
        <v>980</v>
      </c>
      <c r="J2363">
        <v>1055</v>
      </c>
      <c r="K2363">
        <v>1135</v>
      </c>
      <c r="L2363">
        <v>1221</v>
      </c>
      <c r="N2363" t="s">
        <v>988</v>
      </c>
    </row>
    <row r="2364" spans="1:14" x14ac:dyDescent="0.3">
      <c r="A2364">
        <v>2516</v>
      </c>
      <c r="B2364" t="s">
        <v>2041</v>
      </c>
      <c r="C2364" t="s">
        <v>2256</v>
      </c>
      <c r="D2364" t="s">
        <v>1203</v>
      </c>
      <c r="E2364" t="s">
        <v>1204</v>
      </c>
      <c r="F2364">
        <v>6666</v>
      </c>
      <c r="G2364" t="s">
        <v>701</v>
      </c>
      <c r="I2364">
        <v>1499</v>
      </c>
      <c r="J2364">
        <v>1613</v>
      </c>
      <c r="K2364">
        <v>1736</v>
      </c>
      <c r="L2364">
        <v>1868</v>
      </c>
      <c r="N2364" t="s">
        <v>988</v>
      </c>
    </row>
    <row r="2365" spans="1:14" x14ac:dyDescent="0.3">
      <c r="A2365">
        <v>2516</v>
      </c>
      <c r="B2365" t="s">
        <v>2041</v>
      </c>
      <c r="C2365" t="s">
        <v>2256</v>
      </c>
      <c r="D2365" t="s">
        <v>1203</v>
      </c>
      <c r="E2365" t="s">
        <v>1204</v>
      </c>
      <c r="F2365">
        <v>6666</v>
      </c>
      <c r="G2365" t="s">
        <v>702</v>
      </c>
      <c r="H2365" t="s">
        <v>2269</v>
      </c>
      <c r="I2365">
        <v>295</v>
      </c>
      <c r="J2365">
        <v>317</v>
      </c>
      <c r="K2365">
        <v>341</v>
      </c>
      <c r="L2365">
        <v>367</v>
      </c>
      <c r="N2365" t="s">
        <v>988</v>
      </c>
    </row>
    <row r="2366" spans="1:14" x14ac:dyDescent="0.3">
      <c r="A2366">
        <v>2516</v>
      </c>
      <c r="B2366" t="s">
        <v>2041</v>
      </c>
      <c r="C2366" t="s">
        <v>2256</v>
      </c>
      <c r="D2366" t="s">
        <v>1203</v>
      </c>
      <c r="E2366" t="s">
        <v>1204</v>
      </c>
      <c r="F2366">
        <v>6666</v>
      </c>
      <c r="G2366" t="s">
        <v>686</v>
      </c>
      <c r="H2366" t="s">
        <v>1247</v>
      </c>
      <c r="I2366">
        <v>324</v>
      </c>
      <c r="J2366">
        <v>349</v>
      </c>
      <c r="K2366">
        <v>376</v>
      </c>
      <c r="L2366">
        <v>404</v>
      </c>
      <c r="N2366" t="s">
        <v>988</v>
      </c>
    </row>
    <row r="2367" spans="1:14" x14ac:dyDescent="0.3">
      <c r="A2367">
        <v>2516</v>
      </c>
      <c r="B2367" t="s">
        <v>2041</v>
      </c>
      <c r="C2367" t="s">
        <v>2256</v>
      </c>
      <c r="D2367" t="s">
        <v>1203</v>
      </c>
      <c r="E2367" t="s">
        <v>1204</v>
      </c>
      <c r="F2367">
        <v>6666</v>
      </c>
      <c r="G2367" t="s">
        <v>696</v>
      </c>
      <c r="H2367" t="s">
        <v>1249</v>
      </c>
      <c r="I2367">
        <v>2791</v>
      </c>
      <c r="J2367">
        <v>2730</v>
      </c>
      <c r="K2367">
        <v>2938</v>
      </c>
      <c r="L2367">
        <v>3161</v>
      </c>
      <c r="N2367" t="s">
        <v>988</v>
      </c>
    </row>
    <row r="2368" spans="1:14" x14ac:dyDescent="0.3">
      <c r="A2368">
        <v>2523</v>
      </c>
      <c r="B2368" t="s">
        <v>2042</v>
      </c>
      <c r="C2368" t="s">
        <v>2256</v>
      </c>
      <c r="D2368" t="s">
        <v>1203</v>
      </c>
      <c r="E2368" t="s">
        <v>1204</v>
      </c>
      <c r="F2368">
        <v>5458</v>
      </c>
      <c r="G2368" t="s">
        <v>691</v>
      </c>
      <c r="H2368" t="s">
        <v>1205</v>
      </c>
      <c r="I2368">
        <v>27</v>
      </c>
      <c r="J2368">
        <v>30</v>
      </c>
      <c r="K2368">
        <v>33</v>
      </c>
      <c r="L2368">
        <v>36</v>
      </c>
      <c r="M2368">
        <v>38</v>
      </c>
      <c r="N2368" t="s">
        <v>988</v>
      </c>
    </row>
    <row r="2369" spans="1:14" x14ac:dyDescent="0.3">
      <c r="A2369">
        <v>2523</v>
      </c>
      <c r="B2369" t="s">
        <v>2042</v>
      </c>
      <c r="C2369" t="s">
        <v>2256</v>
      </c>
      <c r="D2369" t="s">
        <v>1203</v>
      </c>
      <c r="E2369" t="s">
        <v>1204</v>
      </c>
      <c r="F2369">
        <v>5458</v>
      </c>
      <c r="G2369" t="s">
        <v>702</v>
      </c>
      <c r="H2369" t="s">
        <v>1205</v>
      </c>
      <c r="I2369">
        <v>99</v>
      </c>
      <c r="J2369">
        <v>108</v>
      </c>
      <c r="K2369">
        <v>118</v>
      </c>
      <c r="L2369">
        <v>132</v>
      </c>
      <c r="M2369">
        <v>145</v>
      </c>
      <c r="N2369" t="s">
        <v>988</v>
      </c>
    </row>
    <row r="2370" spans="1:14" x14ac:dyDescent="0.3">
      <c r="A2370">
        <v>2523</v>
      </c>
      <c r="B2370" t="s">
        <v>2042</v>
      </c>
      <c r="C2370" t="s">
        <v>2256</v>
      </c>
      <c r="D2370" t="s">
        <v>1203</v>
      </c>
      <c r="E2370" t="s">
        <v>1204</v>
      </c>
      <c r="F2370">
        <v>5458</v>
      </c>
      <c r="G2370" t="s">
        <v>703</v>
      </c>
      <c r="H2370" t="s">
        <v>1205</v>
      </c>
      <c r="I2370">
        <v>350</v>
      </c>
      <c r="J2370">
        <v>379</v>
      </c>
      <c r="K2370">
        <v>410</v>
      </c>
      <c r="L2370">
        <v>437</v>
      </c>
      <c r="M2370">
        <v>472</v>
      </c>
      <c r="N2370" t="s">
        <v>988</v>
      </c>
    </row>
    <row r="2371" spans="1:14" x14ac:dyDescent="0.3">
      <c r="A2371">
        <v>2523</v>
      </c>
      <c r="B2371" t="s">
        <v>2042</v>
      </c>
      <c r="C2371" t="s">
        <v>2256</v>
      </c>
      <c r="D2371" t="s">
        <v>1203</v>
      </c>
      <c r="E2371" t="s">
        <v>1204</v>
      </c>
      <c r="F2371">
        <v>5458</v>
      </c>
      <c r="G2371" t="s">
        <v>701</v>
      </c>
      <c r="H2371" t="s">
        <v>1205</v>
      </c>
      <c r="I2371">
        <v>2</v>
      </c>
      <c r="J2371">
        <v>2</v>
      </c>
      <c r="K2371">
        <v>2</v>
      </c>
      <c r="L2371">
        <v>2</v>
      </c>
      <c r="M2371">
        <v>2</v>
      </c>
      <c r="N2371" t="s">
        <v>988</v>
      </c>
    </row>
    <row r="2372" spans="1:14" x14ac:dyDescent="0.3">
      <c r="A2372">
        <v>2523</v>
      </c>
      <c r="B2372" t="s">
        <v>2042</v>
      </c>
      <c r="C2372" t="s">
        <v>2256</v>
      </c>
      <c r="D2372" t="s">
        <v>1203</v>
      </c>
      <c r="E2372" t="s">
        <v>1204</v>
      </c>
      <c r="F2372">
        <v>5458</v>
      </c>
      <c r="G2372" t="s">
        <v>700</v>
      </c>
      <c r="H2372" t="s">
        <v>1205</v>
      </c>
      <c r="I2372">
        <v>514</v>
      </c>
      <c r="J2372">
        <v>550</v>
      </c>
      <c r="K2372">
        <v>589</v>
      </c>
      <c r="L2372">
        <v>651</v>
      </c>
      <c r="M2372">
        <v>678</v>
      </c>
      <c r="N2372" t="s">
        <v>988</v>
      </c>
    </row>
    <row r="2373" spans="1:14" x14ac:dyDescent="0.3">
      <c r="A2373">
        <v>2523</v>
      </c>
      <c r="B2373" t="s">
        <v>2042</v>
      </c>
      <c r="C2373" t="s">
        <v>2256</v>
      </c>
      <c r="D2373" t="s">
        <v>1203</v>
      </c>
      <c r="E2373" t="s">
        <v>1204</v>
      </c>
      <c r="F2373">
        <v>5458</v>
      </c>
      <c r="G2373" t="s">
        <v>696</v>
      </c>
      <c r="H2373" t="s">
        <v>1205</v>
      </c>
      <c r="I2373">
        <v>3227</v>
      </c>
      <c r="J2373">
        <v>3574</v>
      </c>
      <c r="K2373">
        <v>3957</v>
      </c>
      <c r="L2373">
        <v>4371</v>
      </c>
      <c r="M2373">
        <v>4555</v>
      </c>
      <c r="N2373" t="s">
        <v>988</v>
      </c>
    </row>
    <row r="2374" spans="1:14" x14ac:dyDescent="0.3">
      <c r="A2374">
        <v>2523</v>
      </c>
      <c r="B2374" t="s">
        <v>2042</v>
      </c>
      <c r="C2374" t="s">
        <v>2256</v>
      </c>
      <c r="D2374" t="s">
        <v>1203</v>
      </c>
      <c r="E2374" t="s">
        <v>1204</v>
      </c>
      <c r="F2374">
        <v>5458</v>
      </c>
      <c r="G2374" t="s">
        <v>686</v>
      </c>
      <c r="H2374" t="s">
        <v>1205</v>
      </c>
      <c r="I2374">
        <v>652</v>
      </c>
      <c r="J2374">
        <v>718</v>
      </c>
      <c r="K2374">
        <v>790</v>
      </c>
      <c r="L2374">
        <v>870</v>
      </c>
      <c r="M2374">
        <v>910</v>
      </c>
      <c r="N2374" t="s">
        <v>988</v>
      </c>
    </row>
    <row r="2375" spans="1:14" x14ac:dyDescent="0.3">
      <c r="A2375">
        <v>2523</v>
      </c>
      <c r="B2375" t="s">
        <v>2042</v>
      </c>
      <c r="C2375" t="s">
        <v>2256</v>
      </c>
      <c r="D2375" t="s">
        <v>1203</v>
      </c>
      <c r="E2375" t="s">
        <v>1204</v>
      </c>
      <c r="F2375">
        <v>5458</v>
      </c>
      <c r="G2375" t="s">
        <v>705</v>
      </c>
      <c r="H2375" t="s">
        <v>1205</v>
      </c>
      <c r="I2375">
        <v>143</v>
      </c>
      <c r="J2375">
        <v>96</v>
      </c>
      <c r="K2375">
        <v>48</v>
      </c>
      <c r="L2375">
        <v>0</v>
      </c>
      <c r="M2375">
        <v>0</v>
      </c>
      <c r="N2375" t="s">
        <v>988</v>
      </c>
    </row>
    <row r="2376" spans="1:14" x14ac:dyDescent="0.3">
      <c r="A2376">
        <v>2523</v>
      </c>
      <c r="B2376" t="s">
        <v>2042</v>
      </c>
      <c r="C2376" t="s">
        <v>2256</v>
      </c>
      <c r="D2376" t="s">
        <v>1203</v>
      </c>
      <c r="E2376" t="s">
        <v>1204</v>
      </c>
      <c r="F2376">
        <v>5458</v>
      </c>
      <c r="G2376" t="s">
        <v>698</v>
      </c>
      <c r="H2376" t="s">
        <v>1205</v>
      </c>
      <c r="I2376">
        <v>339</v>
      </c>
      <c r="J2376">
        <v>374</v>
      </c>
      <c r="K2376">
        <v>412</v>
      </c>
      <c r="L2376">
        <v>455</v>
      </c>
      <c r="M2376">
        <v>475</v>
      </c>
      <c r="N2376" t="s">
        <v>988</v>
      </c>
    </row>
    <row r="2377" spans="1:14" x14ac:dyDescent="0.3">
      <c r="A2377">
        <v>2523</v>
      </c>
      <c r="B2377" t="s">
        <v>2042</v>
      </c>
      <c r="C2377" t="s">
        <v>2256</v>
      </c>
      <c r="D2377" t="s">
        <v>1203</v>
      </c>
      <c r="E2377" t="s">
        <v>1204</v>
      </c>
      <c r="F2377">
        <v>5458</v>
      </c>
      <c r="G2377" t="s">
        <v>686</v>
      </c>
      <c r="H2377" t="s">
        <v>1210</v>
      </c>
      <c r="I2377">
        <v>8210</v>
      </c>
      <c r="J2377">
        <v>7966</v>
      </c>
      <c r="K2377">
        <v>7730</v>
      </c>
      <c r="L2377">
        <v>7501</v>
      </c>
      <c r="M2377">
        <v>7279</v>
      </c>
      <c r="N2377" t="s">
        <v>988</v>
      </c>
    </row>
    <row r="2378" spans="1:14" x14ac:dyDescent="0.3">
      <c r="A2378">
        <v>2523</v>
      </c>
      <c r="B2378" t="s">
        <v>2042</v>
      </c>
      <c r="C2378" t="s">
        <v>2256</v>
      </c>
      <c r="D2378" t="s">
        <v>1203</v>
      </c>
      <c r="E2378" t="s">
        <v>1204</v>
      </c>
      <c r="F2378">
        <v>5458</v>
      </c>
      <c r="G2378" t="s">
        <v>705</v>
      </c>
      <c r="H2378" t="s">
        <v>1210</v>
      </c>
      <c r="I2378">
        <v>490</v>
      </c>
      <c r="J2378">
        <v>327</v>
      </c>
      <c r="K2378">
        <v>163</v>
      </c>
      <c r="L2378">
        <v>0</v>
      </c>
      <c r="M2378">
        <v>0</v>
      </c>
      <c r="N2378" t="s">
        <v>988</v>
      </c>
    </row>
    <row r="2379" spans="1:14" x14ac:dyDescent="0.3">
      <c r="A2379">
        <v>2523</v>
      </c>
      <c r="B2379" t="s">
        <v>2042</v>
      </c>
      <c r="C2379" t="s">
        <v>2256</v>
      </c>
      <c r="D2379" t="s">
        <v>1203</v>
      </c>
      <c r="E2379" t="s">
        <v>1204</v>
      </c>
      <c r="F2379">
        <v>5458</v>
      </c>
      <c r="G2379" t="s">
        <v>684</v>
      </c>
      <c r="H2379" t="s">
        <v>1210</v>
      </c>
      <c r="I2379">
        <v>2631</v>
      </c>
      <c r="J2379">
        <v>2630</v>
      </c>
      <c r="K2379">
        <v>2633</v>
      </c>
      <c r="L2379">
        <v>2549</v>
      </c>
      <c r="M2379">
        <v>2658</v>
      </c>
      <c r="N2379" t="s">
        <v>988</v>
      </c>
    </row>
    <row r="2380" spans="1:14" x14ac:dyDescent="0.3">
      <c r="A2380">
        <v>2524</v>
      </c>
      <c r="B2380" t="s">
        <v>2043</v>
      </c>
      <c r="C2380" t="s">
        <v>2256</v>
      </c>
      <c r="D2380" t="s">
        <v>159</v>
      </c>
      <c r="E2380" t="s">
        <v>159</v>
      </c>
      <c r="F2380">
        <v>6055</v>
      </c>
      <c r="G2380" t="s">
        <v>696</v>
      </c>
      <c r="I2380">
        <v>3271</v>
      </c>
      <c r="J2380">
        <v>3594</v>
      </c>
      <c r="K2380">
        <v>3949</v>
      </c>
      <c r="L2380">
        <v>4338</v>
      </c>
      <c r="M2380">
        <v>4767</v>
      </c>
      <c r="N2380" t="s">
        <v>988</v>
      </c>
    </row>
    <row r="2381" spans="1:14" x14ac:dyDescent="0.3">
      <c r="A2381">
        <v>2524</v>
      </c>
      <c r="B2381" t="s">
        <v>2043</v>
      </c>
      <c r="C2381" t="s">
        <v>2256</v>
      </c>
      <c r="D2381" t="s">
        <v>159</v>
      </c>
      <c r="E2381" t="s">
        <v>159</v>
      </c>
      <c r="F2381">
        <v>6055</v>
      </c>
      <c r="G2381" t="s">
        <v>692</v>
      </c>
      <c r="H2381" t="s">
        <v>2444</v>
      </c>
      <c r="I2381">
        <v>149</v>
      </c>
      <c r="J2381">
        <v>149</v>
      </c>
      <c r="K2381">
        <v>149</v>
      </c>
      <c r="L2381">
        <v>149</v>
      </c>
      <c r="N2381" t="s">
        <v>988</v>
      </c>
    </row>
    <row r="2382" spans="1:14" x14ac:dyDescent="0.3">
      <c r="A2382">
        <v>2524</v>
      </c>
      <c r="B2382" t="s">
        <v>2043</v>
      </c>
      <c r="C2382" t="s">
        <v>2256</v>
      </c>
      <c r="D2382" t="s">
        <v>159</v>
      </c>
      <c r="E2382" t="s">
        <v>159</v>
      </c>
      <c r="F2382">
        <v>6055</v>
      </c>
      <c r="G2382" t="s">
        <v>691</v>
      </c>
      <c r="H2382" t="s">
        <v>2445</v>
      </c>
      <c r="I2382">
        <v>550</v>
      </c>
      <c r="J2382">
        <v>604</v>
      </c>
      <c r="K2382">
        <v>664</v>
      </c>
      <c r="L2382">
        <v>729</v>
      </c>
      <c r="M2382">
        <v>801</v>
      </c>
      <c r="N2382" t="s">
        <v>988</v>
      </c>
    </row>
    <row r="2383" spans="1:14" x14ac:dyDescent="0.3">
      <c r="A2383">
        <v>2524</v>
      </c>
      <c r="B2383" t="s">
        <v>2043</v>
      </c>
      <c r="C2383" t="s">
        <v>2256</v>
      </c>
      <c r="D2383" t="s">
        <v>159</v>
      </c>
      <c r="E2383" t="s">
        <v>159</v>
      </c>
      <c r="F2383">
        <v>6055</v>
      </c>
      <c r="G2383" t="s">
        <v>691</v>
      </c>
      <c r="H2383" t="s">
        <v>1980</v>
      </c>
      <c r="I2383">
        <v>239</v>
      </c>
      <c r="J2383">
        <v>262</v>
      </c>
      <c r="K2383">
        <v>288</v>
      </c>
      <c r="L2383">
        <v>316</v>
      </c>
      <c r="M2383">
        <v>348</v>
      </c>
      <c r="N2383" t="s">
        <v>988</v>
      </c>
    </row>
    <row r="2384" spans="1:14" x14ac:dyDescent="0.3">
      <c r="A2384">
        <v>2524</v>
      </c>
      <c r="B2384" t="s">
        <v>2043</v>
      </c>
      <c r="C2384" t="s">
        <v>2256</v>
      </c>
      <c r="D2384" t="s">
        <v>159</v>
      </c>
      <c r="E2384" t="s">
        <v>159</v>
      </c>
      <c r="F2384">
        <v>6055</v>
      </c>
      <c r="G2384" t="s">
        <v>702</v>
      </c>
      <c r="I2384">
        <v>90</v>
      </c>
      <c r="J2384">
        <v>99</v>
      </c>
      <c r="K2384">
        <v>109</v>
      </c>
      <c r="L2384">
        <v>119</v>
      </c>
      <c r="M2384">
        <v>131</v>
      </c>
      <c r="N2384" t="s">
        <v>988</v>
      </c>
    </row>
    <row r="2385" spans="1:14" x14ac:dyDescent="0.3">
      <c r="A2385">
        <v>2524</v>
      </c>
      <c r="B2385" t="s">
        <v>2043</v>
      </c>
      <c r="C2385" t="s">
        <v>2256</v>
      </c>
      <c r="D2385" t="s">
        <v>159</v>
      </c>
      <c r="E2385" t="s">
        <v>159</v>
      </c>
      <c r="F2385">
        <v>6055</v>
      </c>
      <c r="G2385" t="s">
        <v>703</v>
      </c>
      <c r="I2385">
        <v>368</v>
      </c>
      <c r="J2385">
        <v>405</v>
      </c>
      <c r="K2385">
        <v>445</v>
      </c>
      <c r="L2385">
        <v>488</v>
      </c>
      <c r="M2385">
        <v>537</v>
      </c>
      <c r="N2385" t="s">
        <v>988</v>
      </c>
    </row>
    <row r="2386" spans="1:14" x14ac:dyDescent="0.3">
      <c r="A2386">
        <v>2524</v>
      </c>
      <c r="B2386" t="s">
        <v>2043</v>
      </c>
      <c r="C2386" t="s">
        <v>2256</v>
      </c>
      <c r="D2386" t="s">
        <v>159</v>
      </c>
      <c r="E2386" t="s">
        <v>159</v>
      </c>
      <c r="F2386">
        <v>6055</v>
      </c>
      <c r="G2386" t="s">
        <v>701</v>
      </c>
      <c r="I2386">
        <v>1660</v>
      </c>
      <c r="J2386">
        <v>1824</v>
      </c>
      <c r="K2386">
        <v>2004</v>
      </c>
      <c r="L2386">
        <v>2202</v>
      </c>
      <c r="M2386">
        <v>2419</v>
      </c>
      <c r="N2386" t="s">
        <v>988</v>
      </c>
    </row>
    <row r="2387" spans="1:14" x14ac:dyDescent="0.3">
      <c r="A2387">
        <v>2524</v>
      </c>
      <c r="B2387" t="s">
        <v>2043</v>
      </c>
      <c r="C2387" t="s">
        <v>2256</v>
      </c>
      <c r="D2387" t="s">
        <v>159</v>
      </c>
      <c r="E2387" t="s">
        <v>159</v>
      </c>
      <c r="F2387">
        <v>6055</v>
      </c>
      <c r="G2387" t="s">
        <v>700</v>
      </c>
      <c r="I2387">
        <v>474</v>
      </c>
      <c r="J2387">
        <v>521</v>
      </c>
      <c r="K2387">
        <v>572</v>
      </c>
      <c r="L2387">
        <v>629</v>
      </c>
      <c r="M2387">
        <v>691</v>
      </c>
      <c r="N2387" t="s">
        <v>988</v>
      </c>
    </row>
    <row r="2388" spans="1:14" x14ac:dyDescent="0.3">
      <c r="A2388">
        <v>2524</v>
      </c>
      <c r="B2388" t="s">
        <v>2043</v>
      </c>
      <c r="C2388" t="s">
        <v>2256</v>
      </c>
      <c r="D2388" t="s">
        <v>159</v>
      </c>
      <c r="E2388" t="s">
        <v>159</v>
      </c>
      <c r="F2388">
        <v>6055</v>
      </c>
      <c r="G2388" t="s">
        <v>698</v>
      </c>
      <c r="I2388">
        <v>789</v>
      </c>
      <c r="J2388">
        <v>867</v>
      </c>
      <c r="K2388">
        <v>952</v>
      </c>
      <c r="L2388">
        <v>1046</v>
      </c>
      <c r="M2388">
        <v>1150</v>
      </c>
      <c r="N2388" t="s">
        <v>988</v>
      </c>
    </row>
    <row r="2389" spans="1:14" x14ac:dyDescent="0.3">
      <c r="A2389">
        <v>2528</v>
      </c>
      <c r="B2389" t="s">
        <v>2047</v>
      </c>
      <c r="C2389" t="s">
        <v>2256</v>
      </c>
      <c r="D2389" t="s">
        <v>159</v>
      </c>
      <c r="E2389" t="s">
        <v>159</v>
      </c>
      <c r="F2389">
        <v>5675</v>
      </c>
      <c r="G2389" t="s">
        <v>686</v>
      </c>
      <c r="H2389" t="s">
        <v>1227</v>
      </c>
      <c r="I2389">
        <v>723</v>
      </c>
      <c r="J2389">
        <v>725</v>
      </c>
      <c r="K2389">
        <v>719</v>
      </c>
      <c r="L2389">
        <v>712</v>
      </c>
      <c r="M2389">
        <v>709</v>
      </c>
      <c r="N2389" t="s">
        <v>988</v>
      </c>
    </row>
    <row r="2390" spans="1:14" x14ac:dyDescent="0.3">
      <c r="A2390">
        <v>2528</v>
      </c>
      <c r="B2390" t="s">
        <v>2047</v>
      </c>
      <c r="C2390" t="s">
        <v>2256</v>
      </c>
      <c r="D2390" t="s">
        <v>159</v>
      </c>
      <c r="E2390" t="s">
        <v>159</v>
      </c>
      <c r="F2390">
        <v>5675</v>
      </c>
      <c r="G2390" t="s">
        <v>698</v>
      </c>
      <c r="I2390">
        <v>2375</v>
      </c>
      <c r="J2390">
        <v>2323</v>
      </c>
      <c r="K2390">
        <v>2272</v>
      </c>
      <c r="L2390">
        <v>2221</v>
      </c>
      <c r="M2390">
        <v>2217</v>
      </c>
      <c r="N2390" t="s">
        <v>988</v>
      </c>
    </row>
    <row r="2391" spans="1:14" x14ac:dyDescent="0.3">
      <c r="A2391">
        <v>2528</v>
      </c>
      <c r="B2391" t="s">
        <v>2047</v>
      </c>
      <c r="C2391" t="s">
        <v>2256</v>
      </c>
      <c r="D2391" t="s">
        <v>159</v>
      </c>
      <c r="E2391" t="s">
        <v>159</v>
      </c>
      <c r="F2391">
        <v>5675</v>
      </c>
      <c r="G2391" t="s">
        <v>703</v>
      </c>
      <c r="I2391">
        <v>398</v>
      </c>
      <c r="J2391">
        <v>444</v>
      </c>
      <c r="K2391">
        <v>456</v>
      </c>
      <c r="L2391">
        <v>467</v>
      </c>
      <c r="M2391">
        <v>467</v>
      </c>
      <c r="N2391" t="s">
        <v>988</v>
      </c>
    </row>
    <row r="2392" spans="1:14" x14ac:dyDescent="0.3">
      <c r="A2392">
        <v>2528</v>
      </c>
      <c r="B2392" t="s">
        <v>2047</v>
      </c>
      <c r="C2392" t="s">
        <v>2256</v>
      </c>
      <c r="D2392" t="s">
        <v>159</v>
      </c>
      <c r="E2392" t="s">
        <v>159</v>
      </c>
      <c r="F2392">
        <v>5675</v>
      </c>
      <c r="G2392" t="s">
        <v>700</v>
      </c>
      <c r="I2392">
        <v>965</v>
      </c>
      <c r="J2392">
        <v>1078</v>
      </c>
      <c r="K2392">
        <v>1105</v>
      </c>
      <c r="L2392">
        <v>1132</v>
      </c>
      <c r="M2392">
        <v>1132</v>
      </c>
      <c r="N2392" t="s">
        <v>988</v>
      </c>
    </row>
    <row r="2393" spans="1:14" x14ac:dyDescent="0.3">
      <c r="A2393">
        <v>2528</v>
      </c>
      <c r="B2393" t="s">
        <v>2047</v>
      </c>
      <c r="C2393" t="s">
        <v>2256</v>
      </c>
      <c r="D2393" t="s">
        <v>159</v>
      </c>
      <c r="E2393" t="s">
        <v>159</v>
      </c>
      <c r="F2393">
        <v>5675</v>
      </c>
      <c r="G2393" t="s">
        <v>701</v>
      </c>
      <c r="I2393">
        <v>89</v>
      </c>
      <c r="J2393">
        <v>99</v>
      </c>
      <c r="K2393">
        <v>101</v>
      </c>
      <c r="L2393">
        <v>104</v>
      </c>
      <c r="M2393">
        <v>104</v>
      </c>
      <c r="N2393" t="s">
        <v>988</v>
      </c>
    </row>
    <row r="2394" spans="1:14" x14ac:dyDescent="0.3">
      <c r="A2394">
        <v>2528</v>
      </c>
      <c r="B2394" t="s">
        <v>2047</v>
      </c>
      <c r="C2394" t="s">
        <v>2256</v>
      </c>
      <c r="D2394" t="s">
        <v>159</v>
      </c>
      <c r="E2394" t="s">
        <v>159</v>
      </c>
      <c r="F2394">
        <v>5675</v>
      </c>
      <c r="G2394" t="s">
        <v>702</v>
      </c>
      <c r="I2394">
        <v>338</v>
      </c>
      <c r="J2394">
        <v>338</v>
      </c>
      <c r="K2394">
        <v>338</v>
      </c>
      <c r="L2394">
        <v>338</v>
      </c>
      <c r="M2394">
        <v>338</v>
      </c>
      <c r="N2394" t="s">
        <v>988</v>
      </c>
    </row>
    <row r="2395" spans="1:14" x14ac:dyDescent="0.3">
      <c r="A2395">
        <v>2528</v>
      </c>
      <c r="B2395" t="s">
        <v>2047</v>
      </c>
      <c r="C2395" t="s">
        <v>2256</v>
      </c>
      <c r="D2395" t="s">
        <v>159</v>
      </c>
      <c r="E2395" t="s">
        <v>159</v>
      </c>
      <c r="F2395">
        <v>5675</v>
      </c>
      <c r="G2395" t="s">
        <v>696</v>
      </c>
      <c r="I2395">
        <v>5193</v>
      </c>
      <c r="J2395">
        <v>5115</v>
      </c>
      <c r="K2395">
        <v>5034</v>
      </c>
      <c r="L2395">
        <v>4955</v>
      </c>
      <c r="M2395">
        <v>4931</v>
      </c>
      <c r="N2395" t="s">
        <v>988</v>
      </c>
    </row>
    <row r="2396" spans="1:14" x14ac:dyDescent="0.3">
      <c r="A2396">
        <v>2530</v>
      </c>
      <c r="B2396" t="s">
        <v>2049</v>
      </c>
      <c r="C2396" t="s">
        <v>2256</v>
      </c>
      <c r="D2396" t="s">
        <v>159</v>
      </c>
      <c r="E2396" t="s">
        <v>159</v>
      </c>
      <c r="F2396">
        <v>7999</v>
      </c>
      <c r="G2396" t="s">
        <v>696</v>
      </c>
      <c r="I2396">
        <v>1780</v>
      </c>
      <c r="J2396">
        <v>1870</v>
      </c>
      <c r="K2396">
        <v>1970</v>
      </c>
      <c r="L2396">
        <v>2060</v>
      </c>
      <c r="M2396">
        <v>2150</v>
      </c>
      <c r="N2396" t="s">
        <v>988</v>
      </c>
    </row>
    <row r="2397" spans="1:14" x14ac:dyDescent="0.3">
      <c r="A2397">
        <v>2530</v>
      </c>
      <c r="B2397" t="s">
        <v>2049</v>
      </c>
      <c r="C2397" t="s">
        <v>2256</v>
      </c>
      <c r="D2397" t="s">
        <v>159</v>
      </c>
      <c r="E2397" t="s">
        <v>159</v>
      </c>
      <c r="F2397">
        <v>7999</v>
      </c>
      <c r="G2397" t="s">
        <v>698</v>
      </c>
      <c r="I2397">
        <v>460</v>
      </c>
      <c r="J2397">
        <v>480</v>
      </c>
      <c r="K2397">
        <v>510</v>
      </c>
      <c r="L2397">
        <v>530</v>
      </c>
      <c r="M2397">
        <v>560</v>
      </c>
      <c r="N2397" t="s">
        <v>988</v>
      </c>
    </row>
    <row r="2398" spans="1:14" x14ac:dyDescent="0.3">
      <c r="A2398">
        <v>2530</v>
      </c>
      <c r="B2398" t="s">
        <v>2049</v>
      </c>
      <c r="C2398" t="s">
        <v>2256</v>
      </c>
      <c r="D2398" t="s">
        <v>159</v>
      </c>
      <c r="E2398" t="s">
        <v>159</v>
      </c>
      <c r="F2398">
        <v>7999</v>
      </c>
      <c r="G2398" t="s">
        <v>700</v>
      </c>
      <c r="I2398">
        <v>240</v>
      </c>
      <c r="J2398">
        <v>250</v>
      </c>
      <c r="K2398">
        <v>260</v>
      </c>
      <c r="L2398">
        <v>260</v>
      </c>
      <c r="M2398">
        <v>270</v>
      </c>
      <c r="N2398" t="s">
        <v>988</v>
      </c>
    </row>
    <row r="2399" spans="1:14" x14ac:dyDescent="0.3">
      <c r="A2399">
        <v>2530</v>
      </c>
      <c r="B2399" t="s">
        <v>2049</v>
      </c>
      <c r="C2399" t="s">
        <v>2256</v>
      </c>
      <c r="D2399" t="s">
        <v>159</v>
      </c>
      <c r="E2399" t="s">
        <v>159</v>
      </c>
      <c r="F2399">
        <v>7999</v>
      </c>
      <c r="G2399" t="s">
        <v>701</v>
      </c>
      <c r="I2399">
        <v>0</v>
      </c>
      <c r="J2399">
        <v>0</v>
      </c>
      <c r="K2399">
        <v>0</v>
      </c>
      <c r="L2399">
        <v>0</v>
      </c>
      <c r="M2399">
        <v>0</v>
      </c>
      <c r="N2399" t="s">
        <v>988</v>
      </c>
    </row>
    <row r="2400" spans="1:14" x14ac:dyDescent="0.3">
      <c r="A2400">
        <v>2530</v>
      </c>
      <c r="B2400" t="s">
        <v>2049</v>
      </c>
      <c r="C2400" t="s">
        <v>2256</v>
      </c>
      <c r="D2400" t="s">
        <v>159</v>
      </c>
      <c r="E2400" t="s">
        <v>159</v>
      </c>
      <c r="F2400">
        <v>7999</v>
      </c>
      <c r="G2400" t="s">
        <v>702</v>
      </c>
      <c r="I2400">
        <v>160</v>
      </c>
      <c r="J2400">
        <v>170</v>
      </c>
      <c r="K2400">
        <v>180</v>
      </c>
      <c r="L2400">
        <v>190</v>
      </c>
      <c r="M2400">
        <v>200</v>
      </c>
      <c r="N2400" t="s">
        <v>988</v>
      </c>
    </row>
    <row r="2401" spans="1:14" x14ac:dyDescent="0.3">
      <c r="A2401">
        <v>2530</v>
      </c>
      <c r="B2401" t="s">
        <v>2049</v>
      </c>
      <c r="C2401" t="s">
        <v>2256</v>
      </c>
      <c r="D2401" t="s">
        <v>159</v>
      </c>
      <c r="E2401" t="s">
        <v>159</v>
      </c>
      <c r="F2401">
        <v>7999</v>
      </c>
      <c r="G2401" t="s">
        <v>692</v>
      </c>
      <c r="H2401" t="s">
        <v>2446</v>
      </c>
      <c r="I2401">
        <v>20</v>
      </c>
      <c r="J2401">
        <v>20</v>
      </c>
      <c r="K2401">
        <v>20</v>
      </c>
      <c r="L2401">
        <v>20</v>
      </c>
      <c r="M2401">
        <v>20</v>
      </c>
      <c r="N2401" t="s">
        <v>988</v>
      </c>
    </row>
    <row r="2402" spans="1:14" x14ac:dyDescent="0.3">
      <c r="A2402">
        <v>2536</v>
      </c>
      <c r="B2402" t="s">
        <v>2050</v>
      </c>
      <c r="C2402" t="s">
        <v>2256</v>
      </c>
      <c r="D2402" t="s">
        <v>159</v>
      </c>
      <c r="E2402" t="s">
        <v>159</v>
      </c>
      <c r="F2402">
        <v>8005</v>
      </c>
      <c r="G2402" t="s">
        <v>687</v>
      </c>
      <c r="I2402">
        <v>26</v>
      </c>
      <c r="J2402">
        <v>25</v>
      </c>
      <c r="K2402">
        <v>25</v>
      </c>
      <c r="L2402">
        <v>25</v>
      </c>
      <c r="M2402">
        <v>25</v>
      </c>
      <c r="N2402" t="s">
        <v>988</v>
      </c>
    </row>
    <row r="2403" spans="1:14" x14ac:dyDescent="0.3">
      <c r="A2403">
        <v>2536</v>
      </c>
      <c r="B2403" t="s">
        <v>2050</v>
      </c>
      <c r="C2403" t="s">
        <v>2256</v>
      </c>
      <c r="D2403" t="s">
        <v>159</v>
      </c>
      <c r="E2403" t="s">
        <v>159</v>
      </c>
      <c r="F2403">
        <v>8005</v>
      </c>
      <c r="G2403" t="s">
        <v>686</v>
      </c>
      <c r="I2403">
        <v>293</v>
      </c>
      <c r="J2403">
        <v>291</v>
      </c>
      <c r="K2403">
        <v>289</v>
      </c>
      <c r="L2403">
        <v>286</v>
      </c>
      <c r="M2403">
        <v>284</v>
      </c>
      <c r="N2403" t="s">
        <v>988</v>
      </c>
    </row>
    <row r="2404" spans="1:14" x14ac:dyDescent="0.3">
      <c r="A2404">
        <v>2536</v>
      </c>
      <c r="B2404" t="s">
        <v>2050</v>
      </c>
      <c r="C2404" t="s">
        <v>2256</v>
      </c>
      <c r="D2404" t="s">
        <v>159</v>
      </c>
      <c r="E2404" t="s">
        <v>159</v>
      </c>
      <c r="F2404">
        <v>8005</v>
      </c>
      <c r="G2404" t="s">
        <v>702</v>
      </c>
      <c r="I2404">
        <v>199</v>
      </c>
      <c r="J2404">
        <v>197</v>
      </c>
      <c r="K2404">
        <v>195</v>
      </c>
      <c r="L2404">
        <v>194</v>
      </c>
      <c r="M2404">
        <v>192</v>
      </c>
      <c r="N2404" t="s">
        <v>988</v>
      </c>
    </row>
    <row r="2405" spans="1:14" x14ac:dyDescent="0.3">
      <c r="A2405">
        <v>2536</v>
      </c>
      <c r="B2405" t="s">
        <v>2050</v>
      </c>
      <c r="C2405" t="s">
        <v>2256</v>
      </c>
      <c r="D2405" t="s">
        <v>159</v>
      </c>
      <c r="E2405" t="s">
        <v>159</v>
      </c>
      <c r="F2405">
        <v>8005</v>
      </c>
      <c r="G2405" t="s">
        <v>701</v>
      </c>
      <c r="I2405">
        <v>52</v>
      </c>
      <c r="J2405">
        <v>52</v>
      </c>
      <c r="K2405">
        <v>51</v>
      </c>
      <c r="L2405">
        <v>51</v>
      </c>
      <c r="M2405">
        <v>50</v>
      </c>
      <c r="N2405" t="s">
        <v>988</v>
      </c>
    </row>
    <row r="2406" spans="1:14" x14ac:dyDescent="0.3">
      <c r="A2406">
        <v>2536</v>
      </c>
      <c r="B2406" t="s">
        <v>2050</v>
      </c>
      <c r="C2406" t="s">
        <v>2256</v>
      </c>
      <c r="D2406" t="s">
        <v>159</v>
      </c>
      <c r="E2406" t="s">
        <v>159</v>
      </c>
      <c r="F2406">
        <v>8005</v>
      </c>
      <c r="G2406" t="s">
        <v>700</v>
      </c>
      <c r="I2406">
        <v>706</v>
      </c>
      <c r="J2406">
        <v>701</v>
      </c>
      <c r="K2406">
        <v>695</v>
      </c>
      <c r="L2406">
        <v>689</v>
      </c>
      <c r="M2406">
        <v>683</v>
      </c>
      <c r="N2406" t="s">
        <v>988</v>
      </c>
    </row>
    <row r="2407" spans="1:14" x14ac:dyDescent="0.3">
      <c r="A2407">
        <v>2536</v>
      </c>
      <c r="B2407" t="s">
        <v>2050</v>
      </c>
      <c r="C2407" t="s">
        <v>2256</v>
      </c>
      <c r="D2407" t="s">
        <v>159</v>
      </c>
      <c r="E2407" t="s">
        <v>159</v>
      </c>
      <c r="F2407">
        <v>8005</v>
      </c>
      <c r="G2407" t="s">
        <v>698</v>
      </c>
      <c r="I2407">
        <v>769</v>
      </c>
      <c r="J2407">
        <v>763</v>
      </c>
      <c r="K2407">
        <v>757</v>
      </c>
      <c r="L2407">
        <v>751</v>
      </c>
      <c r="M2407">
        <v>744</v>
      </c>
      <c r="N2407" t="s">
        <v>988</v>
      </c>
    </row>
    <row r="2408" spans="1:14" x14ac:dyDescent="0.3">
      <c r="A2408">
        <v>2536</v>
      </c>
      <c r="B2408" t="s">
        <v>2050</v>
      </c>
      <c r="C2408" t="s">
        <v>2256</v>
      </c>
      <c r="D2408" t="s">
        <v>159</v>
      </c>
      <c r="E2408" t="s">
        <v>159</v>
      </c>
      <c r="F2408">
        <v>8005</v>
      </c>
      <c r="G2408" t="s">
        <v>696</v>
      </c>
      <c r="I2408">
        <v>769</v>
      </c>
      <c r="J2408">
        <v>763</v>
      </c>
      <c r="K2408">
        <v>757</v>
      </c>
      <c r="L2408">
        <v>751</v>
      </c>
      <c r="M2408">
        <v>744</v>
      </c>
      <c r="N2408" t="s">
        <v>988</v>
      </c>
    </row>
    <row r="2409" spans="1:14" x14ac:dyDescent="0.3">
      <c r="A2409">
        <v>2541</v>
      </c>
      <c r="B2409" t="s">
        <v>2051</v>
      </c>
      <c r="C2409" t="s">
        <v>2256</v>
      </c>
      <c r="D2409" t="s">
        <v>159</v>
      </c>
      <c r="E2409" t="s">
        <v>159</v>
      </c>
      <c r="F2409">
        <v>6789</v>
      </c>
      <c r="G2409" t="s">
        <v>696</v>
      </c>
      <c r="I2409">
        <v>11629</v>
      </c>
      <c r="J2409">
        <v>11902</v>
      </c>
      <c r="K2409">
        <v>12078</v>
      </c>
      <c r="L2409">
        <v>12309</v>
      </c>
      <c r="M2409">
        <v>12475</v>
      </c>
      <c r="N2409" t="s">
        <v>988</v>
      </c>
    </row>
    <row r="2410" spans="1:14" x14ac:dyDescent="0.3">
      <c r="A2410">
        <v>2541</v>
      </c>
      <c r="B2410" t="s">
        <v>2051</v>
      </c>
      <c r="C2410" t="s">
        <v>2256</v>
      </c>
      <c r="D2410" t="s">
        <v>159</v>
      </c>
      <c r="E2410" t="s">
        <v>159</v>
      </c>
      <c r="F2410">
        <v>6789</v>
      </c>
      <c r="G2410" t="s">
        <v>686</v>
      </c>
      <c r="I2410">
        <v>1129</v>
      </c>
      <c r="J2410">
        <v>1170</v>
      </c>
      <c r="K2410">
        <v>1222</v>
      </c>
      <c r="L2410">
        <v>1247</v>
      </c>
      <c r="M2410">
        <v>1267</v>
      </c>
      <c r="N2410" t="s">
        <v>988</v>
      </c>
    </row>
    <row r="2411" spans="1:14" x14ac:dyDescent="0.3">
      <c r="A2411">
        <v>2541</v>
      </c>
      <c r="B2411" t="s">
        <v>2051</v>
      </c>
      <c r="C2411" t="s">
        <v>2256</v>
      </c>
      <c r="D2411" t="s">
        <v>159</v>
      </c>
      <c r="E2411" t="s">
        <v>159</v>
      </c>
      <c r="F2411">
        <v>6789</v>
      </c>
      <c r="G2411" t="s">
        <v>705</v>
      </c>
      <c r="I2411">
        <v>244</v>
      </c>
      <c r="J2411">
        <v>246</v>
      </c>
      <c r="K2411">
        <v>247</v>
      </c>
      <c r="L2411">
        <v>249</v>
      </c>
      <c r="M2411">
        <v>250</v>
      </c>
      <c r="N2411" t="s">
        <v>988</v>
      </c>
    </row>
    <row r="2412" spans="1:14" x14ac:dyDescent="0.3">
      <c r="A2412">
        <v>2541</v>
      </c>
      <c r="B2412" t="s">
        <v>2051</v>
      </c>
      <c r="C2412" t="s">
        <v>2256</v>
      </c>
      <c r="D2412" t="s">
        <v>159</v>
      </c>
      <c r="E2412" t="s">
        <v>159</v>
      </c>
      <c r="F2412">
        <v>6789</v>
      </c>
      <c r="G2412" t="s">
        <v>702</v>
      </c>
      <c r="I2412">
        <v>2652</v>
      </c>
      <c r="J2412">
        <v>3000</v>
      </c>
      <c r="K2412">
        <v>3035</v>
      </c>
      <c r="L2412">
        <v>3070</v>
      </c>
      <c r="M2412">
        <v>3105</v>
      </c>
      <c r="N2412" t="s">
        <v>988</v>
      </c>
    </row>
    <row r="2413" spans="1:14" x14ac:dyDescent="0.3">
      <c r="A2413">
        <v>2541</v>
      </c>
      <c r="B2413" t="s">
        <v>2051</v>
      </c>
      <c r="C2413" t="s">
        <v>2256</v>
      </c>
      <c r="D2413" t="s">
        <v>159</v>
      </c>
      <c r="E2413" t="s">
        <v>159</v>
      </c>
      <c r="F2413">
        <v>6789</v>
      </c>
      <c r="G2413" t="s">
        <v>703</v>
      </c>
      <c r="I2413">
        <v>537</v>
      </c>
      <c r="J2413">
        <v>541</v>
      </c>
      <c r="K2413">
        <v>544</v>
      </c>
      <c r="L2413">
        <v>567</v>
      </c>
      <c r="M2413">
        <v>570</v>
      </c>
      <c r="N2413" t="s">
        <v>988</v>
      </c>
    </row>
    <row r="2414" spans="1:14" x14ac:dyDescent="0.3">
      <c r="A2414">
        <v>2541</v>
      </c>
      <c r="B2414" t="s">
        <v>2051</v>
      </c>
      <c r="C2414" t="s">
        <v>2256</v>
      </c>
      <c r="D2414" t="s">
        <v>159</v>
      </c>
      <c r="E2414" t="s">
        <v>159</v>
      </c>
      <c r="F2414">
        <v>6789</v>
      </c>
      <c r="G2414" t="s">
        <v>700</v>
      </c>
      <c r="I2414">
        <v>1846</v>
      </c>
      <c r="J2414">
        <v>1887</v>
      </c>
      <c r="K2414">
        <v>1916</v>
      </c>
      <c r="L2414">
        <v>2035</v>
      </c>
      <c r="M2414">
        <v>2047</v>
      </c>
      <c r="N2414" t="s">
        <v>988</v>
      </c>
    </row>
    <row r="2415" spans="1:14" x14ac:dyDescent="0.3">
      <c r="A2415">
        <v>2541</v>
      </c>
      <c r="B2415" t="s">
        <v>2051</v>
      </c>
      <c r="C2415" t="s">
        <v>2256</v>
      </c>
      <c r="D2415" t="s">
        <v>159</v>
      </c>
      <c r="E2415" t="s">
        <v>159</v>
      </c>
      <c r="F2415">
        <v>6789</v>
      </c>
      <c r="G2415" t="s">
        <v>698</v>
      </c>
      <c r="I2415">
        <v>3628</v>
      </c>
      <c r="J2415">
        <v>3692</v>
      </c>
      <c r="K2415">
        <v>4399</v>
      </c>
      <c r="L2415">
        <v>4448</v>
      </c>
      <c r="M2415">
        <v>4586</v>
      </c>
      <c r="N2415" t="s">
        <v>988</v>
      </c>
    </row>
    <row r="2416" spans="1:14" x14ac:dyDescent="0.3">
      <c r="A2416">
        <v>2597</v>
      </c>
      <c r="B2416" t="s">
        <v>2053</v>
      </c>
      <c r="C2416" t="s">
        <v>2256</v>
      </c>
      <c r="D2416" t="s">
        <v>1203</v>
      </c>
      <c r="E2416" t="s">
        <v>1204</v>
      </c>
      <c r="F2416">
        <v>8054</v>
      </c>
      <c r="G2416" t="s">
        <v>686</v>
      </c>
      <c r="I2416">
        <v>1379</v>
      </c>
      <c r="J2416">
        <v>1460</v>
      </c>
      <c r="K2416">
        <v>1547</v>
      </c>
      <c r="L2416">
        <v>1639</v>
      </c>
      <c r="M2416">
        <v>1736</v>
      </c>
      <c r="N2416" t="s">
        <v>988</v>
      </c>
    </row>
    <row r="2417" spans="1:14" x14ac:dyDescent="0.3">
      <c r="A2417">
        <v>2597</v>
      </c>
      <c r="B2417" t="s">
        <v>2053</v>
      </c>
      <c r="C2417" t="s">
        <v>2256</v>
      </c>
      <c r="D2417" t="s">
        <v>1203</v>
      </c>
      <c r="E2417" t="s">
        <v>1204</v>
      </c>
      <c r="F2417">
        <v>8054</v>
      </c>
      <c r="G2417" t="s">
        <v>696</v>
      </c>
      <c r="I2417">
        <v>9875</v>
      </c>
      <c r="J2417">
        <v>10458</v>
      </c>
      <c r="K2417">
        <v>11077</v>
      </c>
      <c r="L2417">
        <v>11734</v>
      </c>
      <c r="M2417">
        <v>12431</v>
      </c>
      <c r="N2417" t="s">
        <v>988</v>
      </c>
    </row>
    <row r="2418" spans="1:14" x14ac:dyDescent="0.3">
      <c r="A2418">
        <v>2597</v>
      </c>
      <c r="B2418" t="s">
        <v>2053</v>
      </c>
      <c r="C2418" t="s">
        <v>2256</v>
      </c>
      <c r="D2418" t="s">
        <v>1203</v>
      </c>
      <c r="E2418" t="s">
        <v>1204</v>
      </c>
      <c r="F2418">
        <v>8054</v>
      </c>
      <c r="G2418" t="s">
        <v>698</v>
      </c>
      <c r="I2418">
        <v>1852</v>
      </c>
      <c r="J2418">
        <v>1961</v>
      </c>
      <c r="K2418">
        <v>2077</v>
      </c>
      <c r="L2418">
        <v>2200</v>
      </c>
      <c r="M2418">
        <v>2331</v>
      </c>
      <c r="N2418" t="s">
        <v>988</v>
      </c>
    </row>
    <row r="2419" spans="1:14" x14ac:dyDescent="0.3">
      <c r="A2419">
        <v>2597</v>
      </c>
      <c r="B2419" t="s">
        <v>2053</v>
      </c>
      <c r="C2419" t="s">
        <v>2256</v>
      </c>
      <c r="D2419" t="s">
        <v>1203</v>
      </c>
      <c r="E2419" t="s">
        <v>1204</v>
      </c>
      <c r="F2419">
        <v>8054</v>
      </c>
      <c r="G2419" t="s">
        <v>700</v>
      </c>
      <c r="I2419">
        <v>1023</v>
      </c>
      <c r="J2419">
        <v>1083</v>
      </c>
      <c r="K2419">
        <v>1148</v>
      </c>
      <c r="L2419">
        <v>1216</v>
      </c>
      <c r="M2419">
        <v>1288</v>
      </c>
      <c r="N2419" t="s">
        <v>988</v>
      </c>
    </row>
    <row r="2420" spans="1:14" x14ac:dyDescent="0.3">
      <c r="A2420">
        <v>2597</v>
      </c>
      <c r="B2420" t="s">
        <v>2053</v>
      </c>
      <c r="C2420" t="s">
        <v>2256</v>
      </c>
      <c r="D2420" t="s">
        <v>1203</v>
      </c>
      <c r="E2420" t="s">
        <v>1204</v>
      </c>
      <c r="F2420">
        <v>8054</v>
      </c>
      <c r="G2420" t="s">
        <v>701</v>
      </c>
      <c r="I2420">
        <v>937</v>
      </c>
      <c r="J2420">
        <v>993</v>
      </c>
      <c r="K2420">
        <v>1051</v>
      </c>
      <c r="L2420">
        <v>1114</v>
      </c>
      <c r="M2420">
        <v>865</v>
      </c>
      <c r="N2420" t="s">
        <v>988</v>
      </c>
    </row>
    <row r="2421" spans="1:14" x14ac:dyDescent="0.3">
      <c r="A2421">
        <v>2597</v>
      </c>
      <c r="B2421" t="s">
        <v>2053</v>
      </c>
      <c r="C2421" t="s">
        <v>2256</v>
      </c>
      <c r="D2421" t="s">
        <v>1203</v>
      </c>
      <c r="E2421" t="s">
        <v>1204</v>
      </c>
      <c r="F2421">
        <v>8054</v>
      </c>
      <c r="G2421" t="s">
        <v>703</v>
      </c>
      <c r="I2421">
        <v>1276</v>
      </c>
      <c r="J2421">
        <v>1351</v>
      </c>
      <c r="K2421">
        <v>1431</v>
      </c>
      <c r="L2421">
        <v>1516</v>
      </c>
      <c r="M2421">
        <v>1606</v>
      </c>
      <c r="N2421" t="s">
        <v>988</v>
      </c>
    </row>
    <row r="2422" spans="1:14" x14ac:dyDescent="0.3">
      <c r="A2422">
        <v>2597</v>
      </c>
      <c r="B2422" t="s">
        <v>2053</v>
      </c>
      <c r="C2422" t="s">
        <v>2256</v>
      </c>
      <c r="D2422" t="s">
        <v>1203</v>
      </c>
      <c r="E2422" t="s">
        <v>1204</v>
      </c>
      <c r="F2422">
        <v>8054</v>
      </c>
      <c r="G2422" t="s">
        <v>702</v>
      </c>
      <c r="I2422">
        <v>2204</v>
      </c>
      <c r="J2422">
        <v>1589</v>
      </c>
      <c r="K2422">
        <v>1727</v>
      </c>
      <c r="L2422">
        <v>1479</v>
      </c>
      <c r="M2422">
        <v>1264</v>
      </c>
      <c r="N2422" t="s">
        <v>988</v>
      </c>
    </row>
    <row r="2423" spans="1:14" x14ac:dyDescent="0.3">
      <c r="A2423">
        <v>2597</v>
      </c>
      <c r="B2423" t="s">
        <v>2053</v>
      </c>
      <c r="C2423" t="s">
        <v>2256</v>
      </c>
      <c r="D2423" t="s">
        <v>1203</v>
      </c>
      <c r="E2423" t="s">
        <v>1204</v>
      </c>
      <c r="F2423">
        <v>8054</v>
      </c>
      <c r="G2423" t="s">
        <v>691</v>
      </c>
      <c r="I2423">
        <v>74</v>
      </c>
      <c r="J2423">
        <v>79</v>
      </c>
      <c r="K2423">
        <v>83</v>
      </c>
      <c r="L2423">
        <v>88</v>
      </c>
      <c r="M2423">
        <v>94</v>
      </c>
      <c r="N2423" t="s">
        <v>988</v>
      </c>
    </row>
    <row r="2424" spans="1:14" x14ac:dyDescent="0.3">
      <c r="A2424">
        <v>2602</v>
      </c>
      <c r="B2424" t="s">
        <v>2054</v>
      </c>
      <c r="C2424" t="s">
        <v>2256</v>
      </c>
      <c r="D2424" t="s">
        <v>159</v>
      </c>
      <c r="E2424" t="s">
        <v>159</v>
      </c>
      <c r="F2424">
        <v>5701</v>
      </c>
      <c r="G2424" t="s">
        <v>698</v>
      </c>
      <c r="I2424">
        <v>973</v>
      </c>
      <c r="J2424">
        <v>1010</v>
      </c>
      <c r="K2424">
        <v>1049</v>
      </c>
      <c r="L2424">
        <v>1123</v>
      </c>
      <c r="M2424">
        <v>1235</v>
      </c>
      <c r="N2424" t="s">
        <v>988</v>
      </c>
    </row>
    <row r="2425" spans="1:14" x14ac:dyDescent="0.3">
      <c r="A2425">
        <v>2602</v>
      </c>
      <c r="B2425" t="s">
        <v>2054</v>
      </c>
      <c r="C2425" t="s">
        <v>2256</v>
      </c>
      <c r="D2425" t="s">
        <v>159</v>
      </c>
      <c r="E2425" t="s">
        <v>159</v>
      </c>
      <c r="F2425">
        <v>5701</v>
      </c>
      <c r="G2425" t="s">
        <v>700</v>
      </c>
      <c r="I2425">
        <v>448</v>
      </c>
      <c r="J2425">
        <v>466</v>
      </c>
      <c r="K2425">
        <v>484</v>
      </c>
      <c r="L2425">
        <v>517</v>
      </c>
      <c r="M2425">
        <v>569</v>
      </c>
      <c r="N2425" t="s">
        <v>988</v>
      </c>
    </row>
    <row r="2426" spans="1:14" x14ac:dyDescent="0.3">
      <c r="A2426">
        <v>2602</v>
      </c>
      <c r="B2426" t="s">
        <v>2054</v>
      </c>
      <c r="C2426" t="s">
        <v>2256</v>
      </c>
      <c r="D2426" t="s">
        <v>159</v>
      </c>
      <c r="E2426" t="s">
        <v>159</v>
      </c>
      <c r="F2426">
        <v>5701</v>
      </c>
      <c r="G2426" t="s">
        <v>701</v>
      </c>
      <c r="I2426">
        <v>53</v>
      </c>
      <c r="J2426">
        <v>55</v>
      </c>
      <c r="K2426">
        <v>57</v>
      </c>
      <c r="L2426">
        <v>61</v>
      </c>
      <c r="M2426">
        <v>67</v>
      </c>
      <c r="N2426" t="s">
        <v>988</v>
      </c>
    </row>
    <row r="2427" spans="1:14" x14ac:dyDescent="0.3">
      <c r="A2427">
        <v>2602</v>
      </c>
      <c r="B2427" t="s">
        <v>2054</v>
      </c>
      <c r="C2427" t="s">
        <v>2256</v>
      </c>
      <c r="D2427" t="s">
        <v>159</v>
      </c>
      <c r="E2427" t="s">
        <v>159</v>
      </c>
      <c r="F2427">
        <v>5701</v>
      </c>
      <c r="G2427" t="s">
        <v>702</v>
      </c>
      <c r="I2427">
        <v>1105</v>
      </c>
      <c r="J2427">
        <v>1147</v>
      </c>
      <c r="K2427">
        <v>1191</v>
      </c>
      <c r="L2427">
        <v>1275</v>
      </c>
      <c r="M2427">
        <v>1402</v>
      </c>
      <c r="N2427" t="s">
        <v>988</v>
      </c>
    </row>
    <row r="2428" spans="1:14" x14ac:dyDescent="0.3">
      <c r="A2428">
        <v>2602</v>
      </c>
      <c r="B2428" t="s">
        <v>2054</v>
      </c>
      <c r="C2428" t="s">
        <v>2256</v>
      </c>
      <c r="D2428" t="s">
        <v>159</v>
      </c>
      <c r="E2428" t="s">
        <v>159</v>
      </c>
      <c r="F2428">
        <v>5701</v>
      </c>
      <c r="G2428" t="s">
        <v>684</v>
      </c>
      <c r="I2428">
        <v>263</v>
      </c>
      <c r="J2428">
        <v>274</v>
      </c>
      <c r="K2428">
        <v>284</v>
      </c>
      <c r="L2428">
        <v>304</v>
      </c>
      <c r="M2428">
        <v>334</v>
      </c>
      <c r="N2428" t="s">
        <v>988</v>
      </c>
    </row>
    <row r="2429" spans="1:14" x14ac:dyDescent="0.3">
      <c r="A2429">
        <v>2602</v>
      </c>
      <c r="B2429" t="s">
        <v>2054</v>
      </c>
      <c r="C2429" t="s">
        <v>2256</v>
      </c>
      <c r="D2429" t="s">
        <v>159</v>
      </c>
      <c r="E2429" t="s">
        <v>159</v>
      </c>
      <c r="F2429">
        <v>5701</v>
      </c>
      <c r="G2429" t="s">
        <v>686</v>
      </c>
      <c r="H2429" t="s">
        <v>2447</v>
      </c>
      <c r="I2429">
        <v>525</v>
      </c>
      <c r="J2429">
        <v>545</v>
      </c>
      <c r="K2429">
        <v>566</v>
      </c>
      <c r="L2429">
        <v>606</v>
      </c>
      <c r="M2429">
        <v>666</v>
      </c>
      <c r="N2429" t="s">
        <v>988</v>
      </c>
    </row>
    <row r="2430" spans="1:14" x14ac:dyDescent="0.3">
      <c r="A2430">
        <v>2602</v>
      </c>
      <c r="B2430" t="s">
        <v>2054</v>
      </c>
      <c r="C2430" t="s">
        <v>2256</v>
      </c>
      <c r="D2430" t="s">
        <v>159</v>
      </c>
      <c r="E2430" t="s">
        <v>159</v>
      </c>
      <c r="F2430">
        <v>5701</v>
      </c>
      <c r="G2430" t="s">
        <v>691</v>
      </c>
      <c r="H2430" t="s">
        <v>2056</v>
      </c>
      <c r="I2430">
        <v>117</v>
      </c>
      <c r="J2430">
        <v>122</v>
      </c>
      <c r="K2430">
        <v>127</v>
      </c>
      <c r="L2430">
        <v>136</v>
      </c>
      <c r="M2430">
        <v>149</v>
      </c>
      <c r="N2430" t="s">
        <v>988</v>
      </c>
    </row>
    <row r="2431" spans="1:14" x14ac:dyDescent="0.3">
      <c r="A2431">
        <v>2602</v>
      </c>
      <c r="B2431" t="s">
        <v>2054</v>
      </c>
      <c r="C2431" t="s">
        <v>2256</v>
      </c>
      <c r="D2431" t="s">
        <v>159</v>
      </c>
      <c r="E2431" t="s">
        <v>159</v>
      </c>
      <c r="F2431">
        <v>5701</v>
      </c>
      <c r="G2431" t="s">
        <v>691</v>
      </c>
      <c r="H2431" t="s">
        <v>1243</v>
      </c>
      <c r="I2431">
        <v>31</v>
      </c>
      <c r="J2431">
        <v>33</v>
      </c>
      <c r="K2431">
        <v>34</v>
      </c>
      <c r="L2431">
        <v>36</v>
      </c>
      <c r="M2431">
        <v>40</v>
      </c>
      <c r="N2431" t="s">
        <v>988</v>
      </c>
    </row>
    <row r="2432" spans="1:14" x14ac:dyDescent="0.3">
      <c r="A2432">
        <v>2602</v>
      </c>
      <c r="B2432" t="s">
        <v>2054</v>
      </c>
      <c r="C2432" t="s">
        <v>2256</v>
      </c>
      <c r="D2432" t="s">
        <v>159</v>
      </c>
      <c r="E2432" t="s">
        <v>159</v>
      </c>
      <c r="F2432">
        <v>5701</v>
      </c>
      <c r="G2432" t="s">
        <v>696</v>
      </c>
      <c r="I2432">
        <v>2803</v>
      </c>
      <c r="J2432">
        <v>2911</v>
      </c>
      <c r="K2432">
        <v>3023</v>
      </c>
      <c r="L2432">
        <v>3235</v>
      </c>
      <c r="M2432">
        <v>3557</v>
      </c>
      <c r="N2432" t="s">
        <v>988</v>
      </c>
    </row>
    <row r="2433" spans="1:14" x14ac:dyDescent="0.3">
      <c r="A2433">
        <v>2602</v>
      </c>
      <c r="B2433" t="s">
        <v>2054</v>
      </c>
      <c r="C2433" t="s">
        <v>2256</v>
      </c>
      <c r="D2433" t="s">
        <v>159</v>
      </c>
      <c r="E2433" t="s">
        <v>159</v>
      </c>
      <c r="F2433">
        <v>5701</v>
      </c>
      <c r="G2433" t="s">
        <v>691</v>
      </c>
      <c r="H2433" t="s">
        <v>2057</v>
      </c>
      <c r="I2433">
        <v>29</v>
      </c>
      <c r="J2433">
        <v>30</v>
      </c>
      <c r="K2433">
        <v>31</v>
      </c>
      <c r="L2433">
        <v>33</v>
      </c>
      <c r="M2433">
        <v>36</v>
      </c>
      <c r="N2433" t="s">
        <v>988</v>
      </c>
    </row>
    <row r="2434" spans="1:14" x14ac:dyDescent="0.3">
      <c r="A2434">
        <v>2603</v>
      </c>
      <c r="B2434" t="s">
        <v>2058</v>
      </c>
      <c r="C2434" t="s">
        <v>2256</v>
      </c>
      <c r="D2434" t="s">
        <v>1203</v>
      </c>
      <c r="E2434" t="s">
        <v>1204</v>
      </c>
      <c r="F2434">
        <v>6625</v>
      </c>
      <c r="G2434" t="s">
        <v>692</v>
      </c>
      <c r="H2434" t="s">
        <v>2448</v>
      </c>
      <c r="I2434">
        <v>835</v>
      </c>
      <c r="J2434">
        <v>835</v>
      </c>
      <c r="K2434">
        <v>835</v>
      </c>
      <c r="L2434">
        <v>835</v>
      </c>
      <c r="M2434">
        <v>835</v>
      </c>
      <c r="N2434" t="s">
        <v>988</v>
      </c>
    </row>
    <row r="2435" spans="1:14" x14ac:dyDescent="0.3">
      <c r="A2435">
        <v>2603</v>
      </c>
      <c r="B2435" t="s">
        <v>2058</v>
      </c>
      <c r="C2435" t="s">
        <v>2256</v>
      </c>
      <c r="D2435" t="s">
        <v>1203</v>
      </c>
      <c r="E2435" t="s">
        <v>1204</v>
      </c>
      <c r="F2435">
        <v>6625</v>
      </c>
      <c r="G2435" t="s">
        <v>686</v>
      </c>
      <c r="I2435">
        <v>3334</v>
      </c>
      <c r="J2435">
        <v>3065</v>
      </c>
      <c r="K2435">
        <v>2910</v>
      </c>
      <c r="L2435">
        <v>3106</v>
      </c>
      <c r="M2435">
        <v>2195</v>
      </c>
      <c r="N2435" t="s">
        <v>988</v>
      </c>
    </row>
    <row r="2436" spans="1:14" x14ac:dyDescent="0.3">
      <c r="A2436">
        <v>2603</v>
      </c>
      <c r="B2436" t="s">
        <v>2058</v>
      </c>
      <c r="C2436" t="s">
        <v>2256</v>
      </c>
      <c r="D2436" t="s">
        <v>1203</v>
      </c>
      <c r="E2436" t="s">
        <v>1204</v>
      </c>
      <c r="F2436">
        <v>6625</v>
      </c>
      <c r="G2436" t="s">
        <v>691</v>
      </c>
      <c r="H2436" t="s">
        <v>2449</v>
      </c>
      <c r="I2436">
        <v>30</v>
      </c>
      <c r="J2436">
        <v>31</v>
      </c>
      <c r="K2436">
        <v>32</v>
      </c>
      <c r="L2436">
        <v>33</v>
      </c>
      <c r="M2436">
        <v>33</v>
      </c>
      <c r="N2436" t="s">
        <v>988</v>
      </c>
    </row>
    <row r="2437" spans="1:14" x14ac:dyDescent="0.3">
      <c r="A2437">
        <v>2603</v>
      </c>
      <c r="B2437" t="s">
        <v>2058</v>
      </c>
      <c r="C2437" t="s">
        <v>2256</v>
      </c>
      <c r="D2437" t="s">
        <v>1203</v>
      </c>
      <c r="E2437" t="s">
        <v>1204</v>
      </c>
      <c r="F2437">
        <v>6625</v>
      </c>
      <c r="G2437" t="s">
        <v>691</v>
      </c>
      <c r="H2437" t="s">
        <v>2450</v>
      </c>
      <c r="I2437">
        <v>2768</v>
      </c>
      <c r="J2437">
        <v>3454</v>
      </c>
      <c r="K2437">
        <v>4139</v>
      </c>
      <c r="L2437">
        <v>4825</v>
      </c>
      <c r="M2437">
        <v>5510</v>
      </c>
      <c r="N2437" t="s">
        <v>988</v>
      </c>
    </row>
    <row r="2438" spans="1:14" x14ac:dyDescent="0.3">
      <c r="A2438">
        <v>2603</v>
      </c>
      <c r="B2438" t="s">
        <v>2058</v>
      </c>
      <c r="C2438" t="s">
        <v>2256</v>
      </c>
      <c r="D2438" t="s">
        <v>1203</v>
      </c>
      <c r="E2438" t="s">
        <v>1204</v>
      </c>
      <c r="F2438">
        <v>6625</v>
      </c>
      <c r="G2438" t="s">
        <v>702</v>
      </c>
      <c r="I2438">
        <v>1306</v>
      </c>
      <c r="J2438">
        <v>1373</v>
      </c>
      <c r="K2438">
        <v>1443</v>
      </c>
      <c r="L2438">
        <v>1517</v>
      </c>
      <c r="M2438">
        <v>1594</v>
      </c>
      <c r="N2438" t="s">
        <v>988</v>
      </c>
    </row>
    <row r="2439" spans="1:14" x14ac:dyDescent="0.3">
      <c r="A2439">
        <v>2603</v>
      </c>
      <c r="B2439" t="s">
        <v>2058</v>
      </c>
      <c r="C2439" t="s">
        <v>2256</v>
      </c>
      <c r="D2439" t="s">
        <v>1203</v>
      </c>
      <c r="E2439" t="s">
        <v>1204</v>
      </c>
      <c r="F2439">
        <v>6625</v>
      </c>
      <c r="G2439" t="s">
        <v>691</v>
      </c>
      <c r="H2439" t="s">
        <v>1404</v>
      </c>
      <c r="I2439">
        <v>2427</v>
      </c>
      <c r="J2439">
        <v>2548</v>
      </c>
      <c r="K2439">
        <v>2676</v>
      </c>
      <c r="L2439">
        <v>2811</v>
      </c>
      <c r="M2439">
        <v>2953</v>
      </c>
      <c r="N2439" t="s">
        <v>988</v>
      </c>
    </row>
    <row r="2440" spans="1:14" x14ac:dyDescent="0.3">
      <c r="A2440">
        <v>2603</v>
      </c>
      <c r="B2440" t="s">
        <v>2058</v>
      </c>
      <c r="C2440" t="s">
        <v>2256</v>
      </c>
      <c r="D2440" t="s">
        <v>1203</v>
      </c>
      <c r="E2440" t="s">
        <v>1204</v>
      </c>
      <c r="F2440">
        <v>6625</v>
      </c>
      <c r="G2440" t="s">
        <v>698</v>
      </c>
      <c r="I2440">
        <v>1988</v>
      </c>
      <c r="J2440">
        <v>2058</v>
      </c>
      <c r="K2440">
        <v>2130</v>
      </c>
      <c r="L2440">
        <v>2205</v>
      </c>
      <c r="M2440">
        <v>2205</v>
      </c>
      <c r="N2440" t="s">
        <v>988</v>
      </c>
    </row>
    <row r="2441" spans="1:14" x14ac:dyDescent="0.3">
      <c r="A2441">
        <v>2603</v>
      </c>
      <c r="B2441" t="s">
        <v>2058</v>
      </c>
      <c r="C2441" t="s">
        <v>2256</v>
      </c>
      <c r="D2441" t="s">
        <v>1203</v>
      </c>
      <c r="E2441" t="s">
        <v>1204</v>
      </c>
      <c r="F2441">
        <v>6625</v>
      </c>
      <c r="G2441" t="s">
        <v>696</v>
      </c>
      <c r="I2441">
        <v>10256</v>
      </c>
      <c r="J2441">
        <v>10621</v>
      </c>
      <c r="K2441">
        <v>10998</v>
      </c>
      <c r="L2441">
        <v>11389</v>
      </c>
      <c r="M2441">
        <v>11399</v>
      </c>
      <c r="N2441" t="s">
        <v>988</v>
      </c>
    </row>
    <row r="2442" spans="1:14" x14ac:dyDescent="0.3">
      <c r="A2442">
        <v>2603</v>
      </c>
      <c r="B2442" t="s">
        <v>2058</v>
      </c>
      <c r="C2442" t="s">
        <v>2256</v>
      </c>
      <c r="D2442" t="s">
        <v>1203</v>
      </c>
      <c r="E2442" t="s">
        <v>1204</v>
      </c>
      <c r="F2442">
        <v>6625</v>
      </c>
      <c r="G2442" t="s">
        <v>692</v>
      </c>
      <c r="H2442" t="s">
        <v>2061</v>
      </c>
      <c r="I2442">
        <v>3068</v>
      </c>
      <c r="J2442">
        <v>3068</v>
      </c>
      <c r="K2442">
        <v>3068</v>
      </c>
      <c r="L2442">
        <v>3068</v>
      </c>
      <c r="M2442">
        <v>3068</v>
      </c>
      <c r="N2442" t="s">
        <v>988</v>
      </c>
    </row>
    <row r="2443" spans="1:14" x14ac:dyDescent="0.3">
      <c r="A2443">
        <v>2603</v>
      </c>
      <c r="B2443" t="s">
        <v>2058</v>
      </c>
      <c r="C2443" t="s">
        <v>2256</v>
      </c>
      <c r="D2443" t="s">
        <v>1203</v>
      </c>
      <c r="E2443" t="s">
        <v>1204</v>
      </c>
      <c r="F2443">
        <v>6625</v>
      </c>
      <c r="G2443" t="s">
        <v>692</v>
      </c>
      <c r="H2443" t="s">
        <v>2451</v>
      </c>
      <c r="I2443">
        <v>1100</v>
      </c>
      <c r="J2443">
        <v>1100</v>
      </c>
      <c r="K2443">
        <v>1100</v>
      </c>
      <c r="L2443">
        <v>1100</v>
      </c>
      <c r="M2443">
        <v>1100</v>
      </c>
      <c r="N2443" t="s">
        <v>988</v>
      </c>
    </row>
    <row r="2444" spans="1:14" x14ac:dyDescent="0.3">
      <c r="A2444">
        <v>2603</v>
      </c>
      <c r="B2444" t="s">
        <v>2058</v>
      </c>
      <c r="C2444" t="s">
        <v>2256</v>
      </c>
      <c r="D2444" t="s">
        <v>1203</v>
      </c>
      <c r="E2444" t="s">
        <v>1204</v>
      </c>
      <c r="F2444">
        <v>6625</v>
      </c>
      <c r="G2444" t="s">
        <v>692</v>
      </c>
      <c r="H2444" t="s">
        <v>2059</v>
      </c>
      <c r="I2444">
        <v>1000</v>
      </c>
      <c r="J2444">
        <v>1000</v>
      </c>
      <c r="K2444">
        <v>1000</v>
      </c>
      <c r="L2444">
        <v>1000</v>
      </c>
      <c r="M2444">
        <v>1000</v>
      </c>
      <c r="N2444" t="s">
        <v>988</v>
      </c>
    </row>
    <row r="2445" spans="1:14" x14ac:dyDescent="0.3">
      <c r="A2445">
        <v>2604</v>
      </c>
      <c r="B2445" t="s">
        <v>2063</v>
      </c>
      <c r="C2445" t="s">
        <v>2256</v>
      </c>
      <c r="D2445" t="s">
        <v>1203</v>
      </c>
      <c r="E2445" t="s">
        <v>1204</v>
      </c>
      <c r="F2445">
        <v>5652</v>
      </c>
      <c r="G2445" t="s">
        <v>686</v>
      </c>
      <c r="I2445">
        <v>1323</v>
      </c>
      <c r="J2445">
        <v>1478</v>
      </c>
      <c r="K2445">
        <v>1693</v>
      </c>
      <c r="L2445">
        <v>1832</v>
      </c>
      <c r="M2445">
        <v>1970</v>
      </c>
      <c r="N2445" t="s">
        <v>988</v>
      </c>
    </row>
    <row r="2446" spans="1:14" x14ac:dyDescent="0.3">
      <c r="A2446">
        <v>2604</v>
      </c>
      <c r="B2446" t="s">
        <v>2063</v>
      </c>
      <c r="C2446" t="s">
        <v>2256</v>
      </c>
      <c r="D2446" t="s">
        <v>1203</v>
      </c>
      <c r="E2446" t="s">
        <v>1204</v>
      </c>
      <c r="F2446">
        <v>5652</v>
      </c>
      <c r="G2446" t="s">
        <v>703</v>
      </c>
      <c r="I2446">
        <v>166</v>
      </c>
      <c r="J2446">
        <v>186</v>
      </c>
      <c r="K2446">
        <v>213</v>
      </c>
      <c r="L2446">
        <v>230</v>
      </c>
      <c r="M2446">
        <v>248</v>
      </c>
      <c r="N2446" t="s">
        <v>988</v>
      </c>
    </row>
    <row r="2447" spans="1:14" x14ac:dyDescent="0.3">
      <c r="A2447">
        <v>2604</v>
      </c>
      <c r="B2447" t="s">
        <v>2063</v>
      </c>
      <c r="C2447" t="s">
        <v>2256</v>
      </c>
      <c r="D2447" t="s">
        <v>1203</v>
      </c>
      <c r="E2447" t="s">
        <v>1204</v>
      </c>
      <c r="F2447">
        <v>5652</v>
      </c>
      <c r="G2447" t="s">
        <v>700</v>
      </c>
      <c r="I2447">
        <v>1958</v>
      </c>
      <c r="J2447">
        <v>2186</v>
      </c>
      <c r="K2447">
        <v>2505</v>
      </c>
      <c r="L2447">
        <v>2710</v>
      </c>
      <c r="M2447">
        <v>2914</v>
      </c>
      <c r="N2447" t="s">
        <v>988</v>
      </c>
    </row>
    <row r="2448" spans="1:14" x14ac:dyDescent="0.3">
      <c r="A2448">
        <v>2604</v>
      </c>
      <c r="B2448" t="s">
        <v>2063</v>
      </c>
      <c r="C2448" t="s">
        <v>2256</v>
      </c>
      <c r="D2448" t="s">
        <v>1203</v>
      </c>
      <c r="E2448" t="s">
        <v>1204</v>
      </c>
      <c r="F2448">
        <v>5652</v>
      </c>
      <c r="G2448" t="s">
        <v>698</v>
      </c>
      <c r="I2448">
        <v>531</v>
      </c>
      <c r="J2448">
        <v>593</v>
      </c>
      <c r="K2448">
        <v>680</v>
      </c>
      <c r="L2448">
        <v>735</v>
      </c>
      <c r="M2448">
        <v>790</v>
      </c>
      <c r="N2448" t="s">
        <v>988</v>
      </c>
    </row>
    <row r="2449" spans="1:14" x14ac:dyDescent="0.3">
      <c r="A2449">
        <v>2604</v>
      </c>
      <c r="B2449" t="s">
        <v>2063</v>
      </c>
      <c r="C2449" t="s">
        <v>2256</v>
      </c>
      <c r="D2449" t="s">
        <v>1203</v>
      </c>
      <c r="E2449" t="s">
        <v>1204</v>
      </c>
      <c r="F2449">
        <v>5652</v>
      </c>
      <c r="G2449" t="s">
        <v>696</v>
      </c>
      <c r="I2449">
        <v>4913</v>
      </c>
      <c r="J2449">
        <v>5486</v>
      </c>
      <c r="K2449">
        <v>6286</v>
      </c>
      <c r="L2449">
        <v>6800</v>
      </c>
      <c r="M2449">
        <v>7312</v>
      </c>
      <c r="N2449" t="s">
        <v>988</v>
      </c>
    </row>
    <row r="2450" spans="1:14" x14ac:dyDescent="0.3">
      <c r="A2450">
        <v>2604</v>
      </c>
      <c r="B2450" t="s">
        <v>2063</v>
      </c>
      <c r="C2450" t="s">
        <v>2256</v>
      </c>
      <c r="D2450" t="s">
        <v>1203</v>
      </c>
      <c r="E2450" t="s">
        <v>1204</v>
      </c>
      <c r="F2450">
        <v>5652</v>
      </c>
      <c r="G2450" t="s">
        <v>1497</v>
      </c>
      <c r="H2450" t="s">
        <v>2064</v>
      </c>
      <c r="I2450">
        <v>26</v>
      </c>
      <c r="J2450">
        <v>29</v>
      </c>
      <c r="K2450">
        <v>34</v>
      </c>
      <c r="L2450">
        <v>36</v>
      </c>
      <c r="M2450">
        <v>39</v>
      </c>
      <c r="N2450" t="s">
        <v>988</v>
      </c>
    </row>
    <row r="2451" spans="1:14" x14ac:dyDescent="0.3">
      <c r="A2451">
        <v>2604</v>
      </c>
      <c r="B2451" t="s">
        <v>2063</v>
      </c>
      <c r="C2451" t="s">
        <v>2256</v>
      </c>
      <c r="D2451" t="s">
        <v>1203</v>
      </c>
      <c r="E2451" t="s">
        <v>1204</v>
      </c>
      <c r="F2451">
        <v>5652</v>
      </c>
      <c r="G2451" t="s">
        <v>687</v>
      </c>
      <c r="H2451" t="s">
        <v>2065</v>
      </c>
      <c r="I2451">
        <v>19</v>
      </c>
      <c r="J2451">
        <v>21</v>
      </c>
      <c r="K2451">
        <v>24</v>
      </c>
      <c r="L2451">
        <v>26</v>
      </c>
      <c r="M2451">
        <v>28</v>
      </c>
      <c r="N2451" t="s">
        <v>988</v>
      </c>
    </row>
    <row r="2452" spans="1:14" x14ac:dyDescent="0.3">
      <c r="A2452">
        <v>2604</v>
      </c>
      <c r="B2452" t="s">
        <v>2063</v>
      </c>
      <c r="C2452" t="s">
        <v>2256</v>
      </c>
      <c r="D2452" t="s">
        <v>1203</v>
      </c>
      <c r="E2452" t="s">
        <v>1204</v>
      </c>
      <c r="F2452">
        <v>5652</v>
      </c>
      <c r="G2452" t="s">
        <v>684</v>
      </c>
      <c r="I2452">
        <v>12318</v>
      </c>
      <c r="J2452">
        <v>12016</v>
      </c>
      <c r="K2452">
        <v>11670</v>
      </c>
      <c r="L2452">
        <v>11573</v>
      </c>
      <c r="M2452">
        <v>11966</v>
      </c>
      <c r="N2452" t="s">
        <v>988</v>
      </c>
    </row>
    <row r="2453" spans="1:14" x14ac:dyDescent="0.3">
      <c r="A2453">
        <v>2605</v>
      </c>
      <c r="B2453" t="s">
        <v>2066</v>
      </c>
      <c r="C2453" t="s">
        <v>2256</v>
      </c>
      <c r="D2453" t="s">
        <v>1203</v>
      </c>
      <c r="E2453" t="s">
        <v>1204</v>
      </c>
      <c r="F2453">
        <v>5682</v>
      </c>
      <c r="G2453" t="s">
        <v>701</v>
      </c>
      <c r="I2453">
        <v>259</v>
      </c>
      <c r="J2453">
        <v>261</v>
      </c>
      <c r="K2453">
        <v>263</v>
      </c>
      <c r="L2453">
        <v>265</v>
      </c>
      <c r="N2453" t="s">
        <v>988</v>
      </c>
    </row>
    <row r="2454" spans="1:14" x14ac:dyDescent="0.3">
      <c r="A2454">
        <v>2605</v>
      </c>
      <c r="B2454" t="s">
        <v>2066</v>
      </c>
      <c r="C2454" t="s">
        <v>2256</v>
      </c>
      <c r="D2454" t="s">
        <v>1203</v>
      </c>
      <c r="E2454" t="s">
        <v>1204</v>
      </c>
      <c r="F2454">
        <v>5682</v>
      </c>
      <c r="G2454" t="s">
        <v>703</v>
      </c>
      <c r="I2454">
        <v>516</v>
      </c>
      <c r="J2454">
        <v>520</v>
      </c>
      <c r="K2454">
        <v>525</v>
      </c>
      <c r="L2454">
        <v>529</v>
      </c>
      <c r="N2454" t="s">
        <v>988</v>
      </c>
    </row>
    <row r="2455" spans="1:14" x14ac:dyDescent="0.3">
      <c r="A2455">
        <v>2605</v>
      </c>
      <c r="B2455" t="s">
        <v>2066</v>
      </c>
      <c r="C2455" t="s">
        <v>2256</v>
      </c>
      <c r="D2455" t="s">
        <v>1203</v>
      </c>
      <c r="E2455" t="s">
        <v>1204</v>
      </c>
      <c r="F2455">
        <v>5682</v>
      </c>
      <c r="G2455" t="s">
        <v>686</v>
      </c>
      <c r="I2455">
        <v>51</v>
      </c>
      <c r="J2455">
        <v>51</v>
      </c>
      <c r="K2455">
        <v>51</v>
      </c>
      <c r="L2455">
        <v>52</v>
      </c>
      <c r="N2455" t="s">
        <v>988</v>
      </c>
    </row>
    <row r="2456" spans="1:14" x14ac:dyDescent="0.3">
      <c r="A2456">
        <v>2605</v>
      </c>
      <c r="B2456" t="s">
        <v>2066</v>
      </c>
      <c r="C2456" t="s">
        <v>2256</v>
      </c>
      <c r="D2456" t="s">
        <v>1203</v>
      </c>
      <c r="E2456" t="s">
        <v>1204</v>
      </c>
      <c r="F2456">
        <v>5682</v>
      </c>
      <c r="G2456" t="s">
        <v>696</v>
      </c>
      <c r="I2456">
        <v>3937</v>
      </c>
      <c r="J2456">
        <v>3971</v>
      </c>
      <c r="K2456">
        <v>4005</v>
      </c>
      <c r="L2456">
        <v>4039</v>
      </c>
      <c r="N2456" t="s">
        <v>988</v>
      </c>
    </row>
    <row r="2457" spans="1:14" x14ac:dyDescent="0.3">
      <c r="A2457">
        <v>2605</v>
      </c>
      <c r="B2457" t="s">
        <v>2066</v>
      </c>
      <c r="C2457" t="s">
        <v>2256</v>
      </c>
      <c r="D2457" t="s">
        <v>1203</v>
      </c>
      <c r="E2457" t="s">
        <v>1204</v>
      </c>
      <c r="F2457">
        <v>5682</v>
      </c>
      <c r="G2457" t="s">
        <v>698</v>
      </c>
      <c r="I2457">
        <v>598</v>
      </c>
      <c r="J2457">
        <v>603</v>
      </c>
      <c r="K2457">
        <v>608</v>
      </c>
      <c r="L2457">
        <v>613</v>
      </c>
      <c r="N2457" t="s">
        <v>988</v>
      </c>
    </row>
    <row r="2458" spans="1:14" x14ac:dyDescent="0.3">
      <c r="A2458">
        <v>2605</v>
      </c>
      <c r="B2458" t="s">
        <v>2066</v>
      </c>
      <c r="C2458" t="s">
        <v>2256</v>
      </c>
      <c r="D2458" t="s">
        <v>1203</v>
      </c>
      <c r="E2458" t="s">
        <v>1204</v>
      </c>
      <c r="F2458">
        <v>5682</v>
      </c>
      <c r="G2458" t="s">
        <v>700</v>
      </c>
      <c r="I2458">
        <v>1266</v>
      </c>
      <c r="J2458">
        <v>1277</v>
      </c>
      <c r="K2458">
        <v>1288</v>
      </c>
      <c r="L2458">
        <v>1299</v>
      </c>
      <c r="N2458" t="s">
        <v>988</v>
      </c>
    </row>
    <row r="2459" spans="1:14" x14ac:dyDescent="0.3">
      <c r="A2459">
        <v>2605</v>
      </c>
      <c r="B2459" t="s">
        <v>2066</v>
      </c>
      <c r="C2459" t="s">
        <v>2256</v>
      </c>
      <c r="D2459" t="s">
        <v>1203</v>
      </c>
      <c r="E2459" t="s">
        <v>1204</v>
      </c>
      <c r="F2459">
        <v>5682</v>
      </c>
      <c r="G2459" t="s">
        <v>691</v>
      </c>
      <c r="I2459">
        <v>24</v>
      </c>
      <c r="J2459">
        <v>25</v>
      </c>
      <c r="K2459">
        <v>25</v>
      </c>
      <c r="L2459">
        <v>25</v>
      </c>
      <c r="N2459" t="s">
        <v>988</v>
      </c>
    </row>
    <row r="2460" spans="1:14" x14ac:dyDescent="0.3">
      <c r="A2460">
        <v>2610</v>
      </c>
      <c r="B2460" t="s">
        <v>2067</v>
      </c>
      <c r="C2460" t="s">
        <v>2256</v>
      </c>
      <c r="D2460" t="s">
        <v>159</v>
      </c>
      <c r="E2460" t="s">
        <v>159</v>
      </c>
      <c r="F2460">
        <v>7858</v>
      </c>
      <c r="G2460" t="s">
        <v>702</v>
      </c>
      <c r="H2460" t="s">
        <v>2068</v>
      </c>
      <c r="I2460">
        <v>52</v>
      </c>
      <c r="J2460">
        <v>56</v>
      </c>
      <c r="K2460">
        <v>59</v>
      </c>
      <c r="L2460">
        <v>62</v>
      </c>
      <c r="M2460">
        <v>65.7</v>
      </c>
      <c r="N2460" t="s">
        <v>988</v>
      </c>
    </row>
    <row r="2461" spans="1:14" x14ac:dyDescent="0.3">
      <c r="A2461">
        <v>2610</v>
      </c>
      <c r="B2461" t="s">
        <v>2067</v>
      </c>
      <c r="C2461" t="s">
        <v>2256</v>
      </c>
      <c r="D2461" t="s">
        <v>159</v>
      </c>
      <c r="E2461" t="s">
        <v>159</v>
      </c>
      <c r="F2461">
        <v>7858</v>
      </c>
      <c r="G2461" t="s">
        <v>686</v>
      </c>
      <c r="H2461" t="s">
        <v>2032</v>
      </c>
      <c r="I2461">
        <v>400.52</v>
      </c>
      <c r="J2461">
        <v>424.54</v>
      </c>
      <c r="K2461">
        <v>449.58</v>
      </c>
      <c r="L2461">
        <v>475.61</v>
      </c>
      <c r="M2461">
        <v>500.14</v>
      </c>
      <c r="N2461" t="s">
        <v>988</v>
      </c>
    </row>
    <row r="2462" spans="1:14" x14ac:dyDescent="0.3">
      <c r="A2462">
        <v>2610</v>
      </c>
      <c r="B2462" t="s">
        <v>2067</v>
      </c>
      <c r="C2462" t="s">
        <v>2256</v>
      </c>
      <c r="D2462" t="s">
        <v>159</v>
      </c>
      <c r="E2462" t="s">
        <v>159</v>
      </c>
      <c r="F2462">
        <v>7858</v>
      </c>
      <c r="G2462" t="s">
        <v>696</v>
      </c>
      <c r="I2462">
        <v>1724.18</v>
      </c>
      <c r="J2462">
        <v>1750.79</v>
      </c>
      <c r="K2462">
        <v>1784.92</v>
      </c>
      <c r="L2462">
        <v>1825.08</v>
      </c>
      <c r="M2462">
        <v>1869.8</v>
      </c>
      <c r="N2462" t="s">
        <v>988</v>
      </c>
    </row>
    <row r="2463" spans="1:14" x14ac:dyDescent="0.3">
      <c r="A2463">
        <v>2610</v>
      </c>
      <c r="B2463" t="s">
        <v>2067</v>
      </c>
      <c r="C2463" t="s">
        <v>2256</v>
      </c>
      <c r="D2463" t="s">
        <v>159</v>
      </c>
      <c r="E2463" t="s">
        <v>159</v>
      </c>
      <c r="F2463">
        <v>7858</v>
      </c>
      <c r="G2463" t="s">
        <v>700</v>
      </c>
      <c r="H2463" t="s">
        <v>1404</v>
      </c>
      <c r="I2463">
        <v>300.05</v>
      </c>
      <c r="J2463">
        <v>326.64999999999998</v>
      </c>
      <c r="K2463">
        <v>354.34</v>
      </c>
      <c r="L2463">
        <v>381.73</v>
      </c>
      <c r="M2463">
        <v>393.21</v>
      </c>
      <c r="N2463" t="s">
        <v>988</v>
      </c>
    </row>
    <row r="2464" spans="1:14" x14ac:dyDescent="0.3">
      <c r="A2464">
        <v>2610</v>
      </c>
      <c r="B2464" t="s">
        <v>2067</v>
      </c>
      <c r="C2464" t="s">
        <v>2256</v>
      </c>
      <c r="D2464" t="s">
        <v>159</v>
      </c>
      <c r="E2464" t="s">
        <v>159</v>
      </c>
      <c r="F2464">
        <v>7858</v>
      </c>
      <c r="G2464" t="s">
        <v>698</v>
      </c>
      <c r="I2464">
        <v>519.35</v>
      </c>
      <c r="J2464">
        <v>542.77</v>
      </c>
      <c r="K2464">
        <v>572.54999999999995</v>
      </c>
      <c r="L2464">
        <v>608.16</v>
      </c>
      <c r="M2464">
        <v>647.99</v>
      </c>
      <c r="N2464" t="s">
        <v>988</v>
      </c>
    </row>
    <row r="2465" spans="1:14" x14ac:dyDescent="0.3">
      <c r="A2465">
        <v>2618</v>
      </c>
      <c r="B2465" t="s">
        <v>2071</v>
      </c>
      <c r="C2465" t="s">
        <v>2256</v>
      </c>
      <c r="D2465" t="s">
        <v>1203</v>
      </c>
      <c r="E2465" t="s">
        <v>1204</v>
      </c>
      <c r="F2465">
        <v>5771</v>
      </c>
      <c r="G2465" t="s">
        <v>696</v>
      </c>
      <c r="I2465">
        <v>2737.69</v>
      </c>
      <c r="J2465">
        <v>2780.86</v>
      </c>
      <c r="K2465">
        <v>2824.7</v>
      </c>
      <c r="L2465">
        <v>2869.24</v>
      </c>
      <c r="M2465">
        <v>2914.49</v>
      </c>
      <c r="N2465" t="s">
        <v>988</v>
      </c>
    </row>
    <row r="2466" spans="1:14" x14ac:dyDescent="0.3">
      <c r="A2466">
        <v>2618</v>
      </c>
      <c r="B2466" t="s">
        <v>2071</v>
      </c>
      <c r="C2466" t="s">
        <v>2256</v>
      </c>
      <c r="D2466" t="s">
        <v>1203</v>
      </c>
      <c r="E2466" t="s">
        <v>1204</v>
      </c>
      <c r="F2466">
        <v>5771</v>
      </c>
      <c r="G2466" t="s">
        <v>686</v>
      </c>
      <c r="I2466">
        <v>164.65</v>
      </c>
      <c r="J2466">
        <v>167.25</v>
      </c>
      <c r="K2466">
        <v>169.88</v>
      </c>
      <c r="L2466">
        <v>172.56</v>
      </c>
      <c r="M2466">
        <v>175.28</v>
      </c>
      <c r="N2466" t="s">
        <v>988</v>
      </c>
    </row>
    <row r="2467" spans="1:14" x14ac:dyDescent="0.3">
      <c r="A2467">
        <v>2618</v>
      </c>
      <c r="B2467" t="s">
        <v>2071</v>
      </c>
      <c r="C2467" t="s">
        <v>2256</v>
      </c>
      <c r="D2467" t="s">
        <v>1203</v>
      </c>
      <c r="E2467" t="s">
        <v>1204</v>
      </c>
      <c r="F2467">
        <v>5771</v>
      </c>
      <c r="G2467" t="s">
        <v>700</v>
      </c>
      <c r="H2467" t="s">
        <v>1438</v>
      </c>
      <c r="I2467">
        <v>385.98</v>
      </c>
      <c r="J2467">
        <v>392.07</v>
      </c>
      <c r="K2467">
        <v>398.25</v>
      </c>
      <c r="L2467">
        <v>404.53</v>
      </c>
      <c r="M2467">
        <v>410.91</v>
      </c>
      <c r="N2467" t="s">
        <v>988</v>
      </c>
    </row>
    <row r="2468" spans="1:14" x14ac:dyDescent="0.3">
      <c r="A2468">
        <v>2626</v>
      </c>
      <c r="B2468" t="s">
        <v>2072</v>
      </c>
      <c r="C2468" t="s">
        <v>2256</v>
      </c>
      <c r="D2468" t="s">
        <v>1203</v>
      </c>
      <c r="E2468" t="s">
        <v>1204</v>
      </c>
      <c r="F2468">
        <v>5794</v>
      </c>
      <c r="G2468" t="s">
        <v>698</v>
      </c>
      <c r="I2468">
        <v>18</v>
      </c>
      <c r="J2468">
        <v>21.06</v>
      </c>
      <c r="K2468">
        <v>24.64</v>
      </c>
      <c r="L2468">
        <v>28.82</v>
      </c>
      <c r="M2468">
        <v>34</v>
      </c>
      <c r="N2468" t="s">
        <v>988</v>
      </c>
    </row>
    <row r="2469" spans="1:14" x14ac:dyDescent="0.3">
      <c r="A2469">
        <v>2626</v>
      </c>
      <c r="B2469" t="s">
        <v>2072</v>
      </c>
      <c r="C2469" t="s">
        <v>2256</v>
      </c>
      <c r="D2469" t="s">
        <v>1203</v>
      </c>
      <c r="E2469" t="s">
        <v>1204</v>
      </c>
      <c r="F2469">
        <v>5794</v>
      </c>
      <c r="G2469" t="s">
        <v>700</v>
      </c>
      <c r="I2469">
        <v>105</v>
      </c>
      <c r="J2469">
        <v>122.85</v>
      </c>
      <c r="K2469">
        <v>143.72999999999999</v>
      </c>
      <c r="L2469">
        <v>168.16</v>
      </c>
      <c r="M2469">
        <v>196.7</v>
      </c>
      <c r="N2469" t="s">
        <v>988</v>
      </c>
    </row>
    <row r="2470" spans="1:14" x14ac:dyDescent="0.3">
      <c r="A2470">
        <v>2626</v>
      </c>
      <c r="B2470" t="s">
        <v>2072</v>
      </c>
      <c r="C2470" t="s">
        <v>2256</v>
      </c>
      <c r="D2470" t="s">
        <v>1203</v>
      </c>
      <c r="E2470" t="s">
        <v>1204</v>
      </c>
      <c r="F2470">
        <v>5794</v>
      </c>
      <c r="G2470" t="s">
        <v>701</v>
      </c>
      <c r="I2470">
        <v>11</v>
      </c>
      <c r="J2470">
        <v>12.87</v>
      </c>
      <c r="K2470">
        <v>15.05</v>
      </c>
      <c r="L2470">
        <v>18</v>
      </c>
      <c r="M2470">
        <v>20.61</v>
      </c>
      <c r="N2470" t="s">
        <v>988</v>
      </c>
    </row>
    <row r="2471" spans="1:14" x14ac:dyDescent="0.3">
      <c r="A2471">
        <v>2626</v>
      </c>
      <c r="B2471" t="s">
        <v>2072</v>
      </c>
      <c r="C2471" t="s">
        <v>2256</v>
      </c>
      <c r="D2471" t="s">
        <v>1203</v>
      </c>
      <c r="E2471" t="s">
        <v>1204</v>
      </c>
      <c r="F2471">
        <v>5794</v>
      </c>
      <c r="G2471" t="s">
        <v>702</v>
      </c>
      <c r="I2471">
        <v>56</v>
      </c>
      <c r="J2471">
        <v>65.52</v>
      </c>
      <c r="K2471">
        <v>76.650000000000006</v>
      </c>
      <c r="L2471">
        <v>89.69</v>
      </c>
      <c r="M2471">
        <v>104.93</v>
      </c>
      <c r="N2471" t="s">
        <v>988</v>
      </c>
    </row>
    <row r="2472" spans="1:14" x14ac:dyDescent="0.3">
      <c r="A2472">
        <v>2626</v>
      </c>
      <c r="B2472" t="s">
        <v>2072</v>
      </c>
      <c r="C2472" t="s">
        <v>2256</v>
      </c>
      <c r="D2472" t="s">
        <v>1203</v>
      </c>
      <c r="E2472" t="s">
        <v>1204</v>
      </c>
      <c r="F2472">
        <v>5794</v>
      </c>
      <c r="G2472" t="s">
        <v>687</v>
      </c>
      <c r="I2472">
        <v>1</v>
      </c>
      <c r="J2472">
        <v>1</v>
      </c>
      <c r="K2472">
        <v>1.36</v>
      </c>
      <c r="L2472">
        <v>1.6</v>
      </c>
      <c r="M2472">
        <v>1.87</v>
      </c>
      <c r="N2472" t="s">
        <v>988</v>
      </c>
    </row>
    <row r="2473" spans="1:14" x14ac:dyDescent="0.3">
      <c r="A2473">
        <v>2626</v>
      </c>
      <c r="B2473" t="s">
        <v>2072</v>
      </c>
      <c r="C2473" t="s">
        <v>2256</v>
      </c>
      <c r="D2473" t="s">
        <v>1203</v>
      </c>
      <c r="E2473" t="s">
        <v>1204</v>
      </c>
      <c r="F2473">
        <v>5794</v>
      </c>
      <c r="G2473" t="s">
        <v>696</v>
      </c>
      <c r="I2473">
        <v>4420</v>
      </c>
      <c r="J2473">
        <v>5172</v>
      </c>
      <c r="K2473">
        <v>6051</v>
      </c>
      <c r="L2473">
        <v>7080</v>
      </c>
      <c r="M2473">
        <v>8283</v>
      </c>
      <c r="N2473" t="s">
        <v>988</v>
      </c>
    </row>
    <row r="2474" spans="1:14" x14ac:dyDescent="0.3">
      <c r="A2474">
        <v>2629</v>
      </c>
      <c r="B2474" t="s">
        <v>2073</v>
      </c>
      <c r="C2474" t="s">
        <v>2256</v>
      </c>
      <c r="D2474" t="s">
        <v>1203</v>
      </c>
      <c r="E2474" t="s">
        <v>1204</v>
      </c>
      <c r="F2474">
        <v>5786</v>
      </c>
      <c r="G2474" t="s">
        <v>696</v>
      </c>
      <c r="I2474">
        <v>5222</v>
      </c>
      <c r="J2474">
        <v>5347</v>
      </c>
      <c r="K2474">
        <v>5486</v>
      </c>
      <c r="L2474">
        <v>5611</v>
      </c>
      <c r="M2474">
        <v>5750</v>
      </c>
      <c r="N2474" t="s">
        <v>988</v>
      </c>
    </row>
    <row r="2475" spans="1:14" x14ac:dyDescent="0.3">
      <c r="A2475">
        <v>2629</v>
      </c>
      <c r="B2475" t="s">
        <v>2073</v>
      </c>
      <c r="C2475" t="s">
        <v>2256</v>
      </c>
      <c r="D2475" t="s">
        <v>1203</v>
      </c>
      <c r="E2475" t="s">
        <v>1204</v>
      </c>
      <c r="F2475">
        <v>5786</v>
      </c>
      <c r="G2475" t="s">
        <v>698</v>
      </c>
      <c r="I2475">
        <v>410</v>
      </c>
      <c r="J2475">
        <v>419</v>
      </c>
      <c r="K2475">
        <v>430</v>
      </c>
      <c r="L2475">
        <v>440</v>
      </c>
      <c r="M2475">
        <v>451</v>
      </c>
      <c r="N2475" t="s">
        <v>988</v>
      </c>
    </row>
    <row r="2476" spans="1:14" x14ac:dyDescent="0.3">
      <c r="A2476">
        <v>2629</v>
      </c>
      <c r="B2476" t="s">
        <v>2073</v>
      </c>
      <c r="C2476" t="s">
        <v>2256</v>
      </c>
      <c r="D2476" t="s">
        <v>1203</v>
      </c>
      <c r="E2476" t="s">
        <v>1204</v>
      </c>
      <c r="F2476">
        <v>5786</v>
      </c>
      <c r="G2476" t="s">
        <v>691</v>
      </c>
      <c r="I2476">
        <v>285</v>
      </c>
      <c r="J2476">
        <v>292</v>
      </c>
      <c r="K2476">
        <v>300</v>
      </c>
      <c r="L2476">
        <v>307</v>
      </c>
      <c r="M2476">
        <v>314</v>
      </c>
      <c r="N2476" t="s">
        <v>988</v>
      </c>
    </row>
    <row r="2477" spans="1:14" x14ac:dyDescent="0.3">
      <c r="A2477">
        <v>2629</v>
      </c>
      <c r="B2477" t="s">
        <v>2073</v>
      </c>
      <c r="C2477" t="s">
        <v>2256</v>
      </c>
      <c r="D2477" t="s">
        <v>1203</v>
      </c>
      <c r="E2477" t="s">
        <v>1204</v>
      </c>
      <c r="F2477">
        <v>5786</v>
      </c>
      <c r="G2477" t="s">
        <v>700</v>
      </c>
      <c r="I2477">
        <v>727</v>
      </c>
      <c r="J2477">
        <v>744</v>
      </c>
      <c r="K2477">
        <v>763</v>
      </c>
      <c r="L2477">
        <v>781</v>
      </c>
      <c r="M2477">
        <v>800</v>
      </c>
      <c r="N2477" t="s">
        <v>988</v>
      </c>
    </row>
    <row r="2478" spans="1:14" x14ac:dyDescent="0.3">
      <c r="A2478">
        <v>2629</v>
      </c>
      <c r="B2478" t="s">
        <v>2073</v>
      </c>
      <c r="C2478" t="s">
        <v>2256</v>
      </c>
      <c r="D2478" t="s">
        <v>1203</v>
      </c>
      <c r="E2478" t="s">
        <v>1204</v>
      </c>
      <c r="F2478">
        <v>5786</v>
      </c>
      <c r="G2478" t="s">
        <v>686</v>
      </c>
      <c r="I2478">
        <v>123</v>
      </c>
      <c r="J2478">
        <v>126</v>
      </c>
      <c r="K2478">
        <v>129</v>
      </c>
      <c r="L2478">
        <v>132</v>
      </c>
      <c r="M2478">
        <v>136</v>
      </c>
      <c r="N2478" t="s">
        <v>988</v>
      </c>
    </row>
    <row r="2479" spans="1:14" x14ac:dyDescent="0.3">
      <c r="A2479">
        <v>2629</v>
      </c>
      <c r="B2479" t="s">
        <v>2073</v>
      </c>
      <c r="C2479" t="s">
        <v>2256</v>
      </c>
      <c r="D2479" t="s">
        <v>1203</v>
      </c>
      <c r="E2479" t="s">
        <v>1204</v>
      </c>
      <c r="F2479">
        <v>5786</v>
      </c>
      <c r="G2479" t="s">
        <v>684</v>
      </c>
      <c r="I2479">
        <v>2050</v>
      </c>
      <c r="J2479">
        <v>2099</v>
      </c>
      <c r="K2479">
        <v>2154</v>
      </c>
      <c r="L2479">
        <v>2203</v>
      </c>
      <c r="M2479">
        <v>2257</v>
      </c>
      <c r="N2479" t="s">
        <v>988</v>
      </c>
    </row>
    <row r="2480" spans="1:14" x14ac:dyDescent="0.3">
      <c r="A2480">
        <v>2629</v>
      </c>
      <c r="B2480" t="s">
        <v>2073</v>
      </c>
      <c r="C2480" t="s">
        <v>2256</v>
      </c>
      <c r="D2480" t="s">
        <v>1203</v>
      </c>
      <c r="E2480" t="s">
        <v>1204</v>
      </c>
      <c r="F2480">
        <v>5786</v>
      </c>
      <c r="G2480" t="s">
        <v>703</v>
      </c>
      <c r="I2480">
        <v>578</v>
      </c>
      <c r="J2480">
        <v>591</v>
      </c>
      <c r="K2480">
        <v>607</v>
      </c>
      <c r="L2480">
        <v>621</v>
      </c>
      <c r="M2480">
        <v>636</v>
      </c>
      <c r="N2480" t="s">
        <v>988</v>
      </c>
    </row>
    <row r="2481" spans="1:14" x14ac:dyDescent="0.3">
      <c r="A2481">
        <v>2629</v>
      </c>
      <c r="B2481" t="s">
        <v>2073</v>
      </c>
      <c r="C2481" t="s">
        <v>2256</v>
      </c>
      <c r="D2481" t="s">
        <v>1203</v>
      </c>
      <c r="E2481" t="s">
        <v>1204</v>
      </c>
      <c r="F2481">
        <v>5786</v>
      </c>
      <c r="G2481" t="s">
        <v>701</v>
      </c>
      <c r="I2481">
        <v>107</v>
      </c>
      <c r="J2481">
        <v>110</v>
      </c>
      <c r="K2481">
        <v>113</v>
      </c>
      <c r="L2481">
        <v>115</v>
      </c>
      <c r="M2481">
        <v>118</v>
      </c>
      <c r="N2481" t="s">
        <v>988</v>
      </c>
    </row>
    <row r="2482" spans="1:14" x14ac:dyDescent="0.3">
      <c r="A2482">
        <v>2631</v>
      </c>
      <c r="B2482" t="s">
        <v>2075</v>
      </c>
      <c r="C2482" t="s">
        <v>2256</v>
      </c>
      <c r="D2482" t="s">
        <v>159</v>
      </c>
      <c r="E2482" t="s">
        <v>159</v>
      </c>
      <c r="F2482">
        <v>5420</v>
      </c>
      <c r="G2482" t="s">
        <v>696</v>
      </c>
      <c r="I2482">
        <v>12119</v>
      </c>
      <c r="J2482">
        <v>13140</v>
      </c>
      <c r="K2482">
        <v>14243</v>
      </c>
      <c r="L2482">
        <v>15441</v>
      </c>
      <c r="M2482">
        <v>15441</v>
      </c>
      <c r="N2482" t="s">
        <v>988</v>
      </c>
    </row>
    <row r="2483" spans="1:14" x14ac:dyDescent="0.3">
      <c r="A2483">
        <v>2631</v>
      </c>
      <c r="B2483" t="s">
        <v>2075</v>
      </c>
      <c r="C2483" t="s">
        <v>2256</v>
      </c>
      <c r="D2483" t="s">
        <v>159</v>
      </c>
      <c r="E2483" t="s">
        <v>159</v>
      </c>
      <c r="F2483">
        <v>5420</v>
      </c>
      <c r="G2483" t="s">
        <v>698</v>
      </c>
      <c r="I2483">
        <v>1518</v>
      </c>
      <c r="J2483">
        <v>1646</v>
      </c>
      <c r="K2483">
        <v>1784</v>
      </c>
      <c r="L2483">
        <v>1934</v>
      </c>
      <c r="M2483">
        <v>1934</v>
      </c>
      <c r="N2483" t="s">
        <v>988</v>
      </c>
    </row>
    <row r="2484" spans="1:14" x14ac:dyDescent="0.3">
      <c r="A2484">
        <v>2631</v>
      </c>
      <c r="B2484" t="s">
        <v>2075</v>
      </c>
      <c r="C2484" t="s">
        <v>2256</v>
      </c>
      <c r="D2484" t="s">
        <v>159</v>
      </c>
      <c r="E2484" t="s">
        <v>159</v>
      </c>
      <c r="F2484">
        <v>5420</v>
      </c>
      <c r="G2484" t="s">
        <v>700</v>
      </c>
      <c r="I2484">
        <v>877</v>
      </c>
      <c r="J2484">
        <v>951</v>
      </c>
      <c r="K2484">
        <v>1031</v>
      </c>
      <c r="L2484">
        <v>1118</v>
      </c>
      <c r="M2484">
        <v>1118</v>
      </c>
      <c r="N2484" t="s">
        <v>988</v>
      </c>
    </row>
    <row r="2485" spans="1:14" x14ac:dyDescent="0.3">
      <c r="A2485">
        <v>2631</v>
      </c>
      <c r="B2485" t="s">
        <v>2075</v>
      </c>
      <c r="C2485" t="s">
        <v>2256</v>
      </c>
      <c r="D2485" t="s">
        <v>159</v>
      </c>
      <c r="E2485" t="s">
        <v>159</v>
      </c>
      <c r="F2485">
        <v>5420</v>
      </c>
      <c r="G2485" t="s">
        <v>701</v>
      </c>
      <c r="I2485">
        <v>51</v>
      </c>
      <c r="J2485">
        <v>55</v>
      </c>
      <c r="K2485">
        <v>60</v>
      </c>
      <c r="L2485">
        <v>65</v>
      </c>
      <c r="M2485">
        <v>65</v>
      </c>
      <c r="N2485" t="s">
        <v>988</v>
      </c>
    </row>
    <row r="2486" spans="1:14" x14ac:dyDescent="0.3">
      <c r="A2486">
        <v>2631</v>
      </c>
      <c r="B2486" t="s">
        <v>2075</v>
      </c>
      <c r="C2486" t="s">
        <v>2256</v>
      </c>
      <c r="D2486" t="s">
        <v>159</v>
      </c>
      <c r="E2486" t="s">
        <v>159</v>
      </c>
      <c r="F2486">
        <v>5420</v>
      </c>
      <c r="G2486" t="s">
        <v>703</v>
      </c>
      <c r="I2486">
        <v>516</v>
      </c>
      <c r="J2486">
        <v>559</v>
      </c>
      <c r="K2486">
        <v>606</v>
      </c>
      <c r="L2486">
        <v>657</v>
      </c>
      <c r="M2486">
        <v>657</v>
      </c>
      <c r="N2486" t="s">
        <v>988</v>
      </c>
    </row>
    <row r="2487" spans="1:14" x14ac:dyDescent="0.3">
      <c r="A2487">
        <v>2631</v>
      </c>
      <c r="B2487" t="s">
        <v>2075</v>
      </c>
      <c r="C2487" t="s">
        <v>2256</v>
      </c>
      <c r="D2487" t="s">
        <v>159</v>
      </c>
      <c r="E2487" t="s">
        <v>159</v>
      </c>
      <c r="F2487">
        <v>5420</v>
      </c>
      <c r="G2487" t="s">
        <v>702</v>
      </c>
      <c r="I2487">
        <v>3754</v>
      </c>
      <c r="J2487">
        <v>4070</v>
      </c>
      <c r="K2487">
        <v>4412</v>
      </c>
      <c r="L2487">
        <v>4783</v>
      </c>
      <c r="M2487">
        <v>4783</v>
      </c>
      <c r="N2487" t="s">
        <v>988</v>
      </c>
    </row>
    <row r="2488" spans="1:14" x14ac:dyDescent="0.3">
      <c r="A2488">
        <v>2631</v>
      </c>
      <c r="B2488" t="s">
        <v>2075</v>
      </c>
      <c r="C2488" t="s">
        <v>2256</v>
      </c>
      <c r="D2488" t="s">
        <v>159</v>
      </c>
      <c r="E2488" t="s">
        <v>159</v>
      </c>
      <c r="F2488">
        <v>5420</v>
      </c>
      <c r="G2488" t="s">
        <v>684</v>
      </c>
      <c r="I2488">
        <v>120</v>
      </c>
      <c r="J2488">
        <v>120</v>
      </c>
      <c r="K2488">
        <v>120</v>
      </c>
      <c r="L2488">
        <v>120</v>
      </c>
      <c r="M2488">
        <v>120</v>
      </c>
      <c r="N2488" t="s">
        <v>988</v>
      </c>
    </row>
    <row r="2489" spans="1:14" x14ac:dyDescent="0.3">
      <c r="A2489">
        <v>2631</v>
      </c>
      <c r="B2489" t="s">
        <v>2075</v>
      </c>
      <c r="C2489" t="s">
        <v>2256</v>
      </c>
      <c r="D2489" t="s">
        <v>159</v>
      </c>
      <c r="E2489" t="s">
        <v>159</v>
      </c>
      <c r="F2489">
        <v>5420</v>
      </c>
      <c r="G2489" t="s">
        <v>686</v>
      </c>
      <c r="I2489">
        <v>820</v>
      </c>
      <c r="J2489">
        <v>890</v>
      </c>
      <c r="K2489">
        <v>964</v>
      </c>
      <c r="L2489">
        <v>1044</v>
      </c>
      <c r="M2489">
        <v>1044</v>
      </c>
      <c r="N2489" t="s">
        <v>988</v>
      </c>
    </row>
    <row r="2490" spans="1:14" x14ac:dyDescent="0.3">
      <c r="A2490">
        <v>2631</v>
      </c>
      <c r="B2490" t="s">
        <v>2075</v>
      </c>
      <c r="C2490" t="s">
        <v>2256</v>
      </c>
      <c r="D2490" t="s">
        <v>159</v>
      </c>
      <c r="E2490" t="s">
        <v>159</v>
      </c>
      <c r="F2490">
        <v>5420</v>
      </c>
      <c r="G2490" t="s">
        <v>705</v>
      </c>
      <c r="I2490">
        <v>1099</v>
      </c>
      <c r="J2490">
        <v>1099</v>
      </c>
      <c r="K2490">
        <v>1099</v>
      </c>
      <c r="L2490">
        <v>1099</v>
      </c>
      <c r="M2490">
        <v>1099</v>
      </c>
      <c r="N2490" t="s">
        <v>988</v>
      </c>
    </row>
    <row r="2491" spans="1:14" x14ac:dyDescent="0.3">
      <c r="A2491">
        <v>2633</v>
      </c>
      <c r="B2491" t="s">
        <v>2076</v>
      </c>
      <c r="C2491" t="s">
        <v>2256</v>
      </c>
      <c r="D2491" t="s">
        <v>1203</v>
      </c>
      <c r="E2491" t="s">
        <v>1204</v>
      </c>
      <c r="F2491">
        <v>5666</v>
      </c>
      <c r="G2491" t="s">
        <v>700</v>
      </c>
      <c r="H2491" t="s">
        <v>700</v>
      </c>
      <c r="I2491">
        <v>4600</v>
      </c>
      <c r="J2491">
        <v>4600</v>
      </c>
      <c r="K2491">
        <v>4600</v>
      </c>
      <c r="L2491">
        <v>4600</v>
      </c>
      <c r="M2491">
        <v>4600</v>
      </c>
      <c r="N2491" t="s">
        <v>988</v>
      </c>
    </row>
    <row r="2492" spans="1:14" x14ac:dyDescent="0.3">
      <c r="A2492">
        <v>2633</v>
      </c>
      <c r="B2492" t="s">
        <v>2076</v>
      </c>
      <c r="C2492" t="s">
        <v>2256</v>
      </c>
      <c r="D2492" t="s">
        <v>1203</v>
      </c>
      <c r="E2492" t="s">
        <v>1204</v>
      </c>
      <c r="F2492">
        <v>5666</v>
      </c>
      <c r="G2492" t="s">
        <v>701</v>
      </c>
      <c r="H2492" t="s">
        <v>701</v>
      </c>
      <c r="I2492">
        <v>4600</v>
      </c>
      <c r="J2492">
        <v>4600</v>
      </c>
      <c r="K2492">
        <v>4600</v>
      </c>
      <c r="L2492">
        <v>4600</v>
      </c>
      <c r="M2492">
        <v>4600</v>
      </c>
      <c r="N2492" t="s">
        <v>988</v>
      </c>
    </row>
    <row r="2493" spans="1:14" x14ac:dyDescent="0.3">
      <c r="A2493">
        <v>2633</v>
      </c>
      <c r="B2493" t="s">
        <v>2076</v>
      </c>
      <c r="C2493" t="s">
        <v>2256</v>
      </c>
      <c r="D2493" t="s">
        <v>1203</v>
      </c>
      <c r="E2493" t="s">
        <v>1204</v>
      </c>
      <c r="F2493">
        <v>5666</v>
      </c>
      <c r="G2493" t="s">
        <v>691</v>
      </c>
      <c r="H2493" t="s">
        <v>687</v>
      </c>
      <c r="I2493">
        <v>252</v>
      </c>
      <c r="J2493">
        <v>252</v>
      </c>
      <c r="K2493">
        <v>252</v>
      </c>
      <c r="L2493">
        <v>252</v>
      </c>
      <c r="M2493">
        <v>252</v>
      </c>
      <c r="N2493" t="s">
        <v>988</v>
      </c>
    </row>
    <row r="2494" spans="1:14" x14ac:dyDescent="0.3">
      <c r="A2494">
        <v>2633</v>
      </c>
      <c r="B2494" t="s">
        <v>2076</v>
      </c>
      <c r="C2494" t="s">
        <v>2256</v>
      </c>
      <c r="D2494" t="s">
        <v>1203</v>
      </c>
      <c r="E2494" t="s">
        <v>1204</v>
      </c>
      <c r="F2494">
        <v>5666</v>
      </c>
      <c r="G2494" t="s">
        <v>686</v>
      </c>
      <c r="H2494" t="s">
        <v>686</v>
      </c>
      <c r="I2494">
        <v>600</v>
      </c>
      <c r="J2494">
        <v>600</v>
      </c>
      <c r="K2494">
        <v>600</v>
      </c>
      <c r="L2494">
        <v>600</v>
      </c>
      <c r="M2494">
        <v>600</v>
      </c>
      <c r="N2494" t="s">
        <v>988</v>
      </c>
    </row>
    <row r="2495" spans="1:14" x14ac:dyDescent="0.3">
      <c r="A2495">
        <v>2633</v>
      </c>
      <c r="B2495" t="s">
        <v>2076</v>
      </c>
      <c r="C2495" t="s">
        <v>2256</v>
      </c>
      <c r="D2495" t="s">
        <v>1203</v>
      </c>
      <c r="E2495" t="s">
        <v>1204</v>
      </c>
      <c r="F2495">
        <v>5666</v>
      </c>
      <c r="G2495" t="s">
        <v>696</v>
      </c>
      <c r="H2495" t="s">
        <v>1662</v>
      </c>
      <c r="I2495">
        <v>6</v>
      </c>
      <c r="J2495">
        <v>6</v>
      </c>
      <c r="K2495">
        <v>6</v>
      </c>
      <c r="L2495">
        <v>6</v>
      </c>
      <c r="M2495">
        <v>6</v>
      </c>
      <c r="N2495" t="s">
        <v>988</v>
      </c>
    </row>
    <row r="2496" spans="1:14" x14ac:dyDescent="0.3">
      <c r="A2496">
        <v>2633</v>
      </c>
      <c r="B2496" t="s">
        <v>2076</v>
      </c>
      <c r="C2496" t="s">
        <v>2256</v>
      </c>
      <c r="D2496" t="s">
        <v>1203</v>
      </c>
      <c r="E2496" t="s">
        <v>1204</v>
      </c>
      <c r="F2496">
        <v>5666</v>
      </c>
      <c r="G2496" t="s">
        <v>698</v>
      </c>
      <c r="H2496" t="s">
        <v>2077</v>
      </c>
      <c r="I2496">
        <v>2</v>
      </c>
      <c r="J2496">
        <v>2</v>
      </c>
      <c r="K2496">
        <v>2</v>
      </c>
      <c r="L2496">
        <v>2</v>
      </c>
      <c r="M2496">
        <v>2</v>
      </c>
      <c r="N2496" t="s">
        <v>988</v>
      </c>
    </row>
    <row r="2497" spans="1:14" x14ac:dyDescent="0.3">
      <c r="A2497">
        <v>2635</v>
      </c>
      <c r="B2497" t="s">
        <v>2078</v>
      </c>
      <c r="C2497" t="s">
        <v>2256</v>
      </c>
      <c r="D2497" t="s">
        <v>1203</v>
      </c>
      <c r="E2497" t="s">
        <v>1204</v>
      </c>
      <c r="F2497">
        <v>5692</v>
      </c>
      <c r="G2497" t="s">
        <v>686</v>
      </c>
      <c r="I2497">
        <v>1483</v>
      </c>
      <c r="J2497">
        <v>1625</v>
      </c>
      <c r="K2497">
        <v>1691</v>
      </c>
      <c r="L2497">
        <v>1755</v>
      </c>
      <c r="M2497">
        <v>1829</v>
      </c>
      <c r="N2497" t="s">
        <v>988</v>
      </c>
    </row>
    <row r="2498" spans="1:14" x14ac:dyDescent="0.3">
      <c r="A2498">
        <v>2635</v>
      </c>
      <c r="B2498" t="s">
        <v>2078</v>
      </c>
      <c r="C2498" t="s">
        <v>2256</v>
      </c>
      <c r="D2498" t="s">
        <v>1203</v>
      </c>
      <c r="E2498" t="s">
        <v>1204</v>
      </c>
      <c r="F2498">
        <v>5692</v>
      </c>
      <c r="G2498" t="s">
        <v>1497</v>
      </c>
      <c r="I2498">
        <v>900</v>
      </c>
      <c r="J2498">
        <v>900</v>
      </c>
      <c r="K2498">
        <v>900</v>
      </c>
      <c r="L2498">
        <v>900</v>
      </c>
      <c r="M2498">
        <v>900</v>
      </c>
      <c r="N2498" t="s">
        <v>988</v>
      </c>
    </row>
    <row r="2499" spans="1:14" x14ac:dyDescent="0.3">
      <c r="A2499">
        <v>2635</v>
      </c>
      <c r="B2499" t="s">
        <v>2078</v>
      </c>
      <c r="C2499" t="s">
        <v>2256</v>
      </c>
      <c r="D2499" t="s">
        <v>1203</v>
      </c>
      <c r="E2499" t="s">
        <v>1204</v>
      </c>
      <c r="F2499">
        <v>5692</v>
      </c>
      <c r="G2499" t="s">
        <v>696</v>
      </c>
      <c r="I2499">
        <v>13744</v>
      </c>
      <c r="J2499">
        <v>15061</v>
      </c>
      <c r="K2499">
        <v>15673</v>
      </c>
      <c r="L2499">
        <v>16262</v>
      </c>
      <c r="M2499">
        <v>16946</v>
      </c>
      <c r="N2499" t="s">
        <v>988</v>
      </c>
    </row>
    <row r="2500" spans="1:14" x14ac:dyDescent="0.3">
      <c r="A2500">
        <v>2635</v>
      </c>
      <c r="B2500" t="s">
        <v>2078</v>
      </c>
      <c r="C2500" t="s">
        <v>2256</v>
      </c>
      <c r="D2500" t="s">
        <v>1203</v>
      </c>
      <c r="E2500" t="s">
        <v>1204</v>
      </c>
      <c r="F2500">
        <v>5692</v>
      </c>
      <c r="G2500" t="s">
        <v>698</v>
      </c>
      <c r="I2500">
        <v>2081</v>
      </c>
      <c r="J2500">
        <v>2280</v>
      </c>
      <c r="K2500">
        <v>2373</v>
      </c>
      <c r="L2500">
        <v>2462</v>
      </c>
      <c r="M2500">
        <v>2565</v>
      </c>
      <c r="N2500" t="s">
        <v>988</v>
      </c>
    </row>
    <row r="2501" spans="1:14" x14ac:dyDescent="0.3">
      <c r="A2501">
        <v>2635</v>
      </c>
      <c r="B2501" t="s">
        <v>2078</v>
      </c>
      <c r="C2501" t="s">
        <v>2256</v>
      </c>
      <c r="D2501" t="s">
        <v>1203</v>
      </c>
      <c r="E2501" t="s">
        <v>1204</v>
      </c>
      <c r="F2501">
        <v>5692</v>
      </c>
      <c r="G2501" t="s">
        <v>700</v>
      </c>
      <c r="H2501" t="s">
        <v>1272</v>
      </c>
      <c r="I2501">
        <v>6177</v>
      </c>
      <c r="J2501">
        <v>6770</v>
      </c>
      <c r="K2501">
        <v>7044</v>
      </c>
      <c r="L2501">
        <v>7309</v>
      </c>
      <c r="M2501">
        <v>7617</v>
      </c>
      <c r="N2501" t="s">
        <v>988</v>
      </c>
    </row>
    <row r="2502" spans="1:14" x14ac:dyDescent="0.3">
      <c r="A2502">
        <v>2635</v>
      </c>
      <c r="B2502" t="s">
        <v>2078</v>
      </c>
      <c r="C2502" t="s">
        <v>2256</v>
      </c>
      <c r="D2502" t="s">
        <v>1203</v>
      </c>
      <c r="E2502" t="s">
        <v>1204</v>
      </c>
      <c r="F2502">
        <v>5692</v>
      </c>
      <c r="G2502" t="s">
        <v>702</v>
      </c>
      <c r="I2502">
        <v>1235</v>
      </c>
      <c r="J2502">
        <v>1354</v>
      </c>
      <c r="K2502">
        <v>1409</v>
      </c>
      <c r="L2502">
        <v>1462</v>
      </c>
      <c r="M2502">
        <v>1523</v>
      </c>
      <c r="N2502" t="s">
        <v>988</v>
      </c>
    </row>
    <row r="2503" spans="1:14" x14ac:dyDescent="0.3">
      <c r="A2503">
        <v>2649</v>
      </c>
      <c r="B2503" t="s">
        <v>2079</v>
      </c>
      <c r="C2503" t="s">
        <v>2256</v>
      </c>
      <c r="D2503" t="s">
        <v>1203</v>
      </c>
      <c r="E2503" t="s">
        <v>1204</v>
      </c>
      <c r="F2503">
        <v>5924</v>
      </c>
      <c r="G2503" t="s">
        <v>698</v>
      </c>
      <c r="I2503">
        <v>3230</v>
      </c>
      <c r="J2503">
        <v>3558</v>
      </c>
      <c r="K2503">
        <v>3777</v>
      </c>
      <c r="L2503">
        <v>4069</v>
      </c>
      <c r="M2503">
        <v>4215</v>
      </c>
      <c r="N2503" t="s">
        <v>988</v>
      </c>
    </row>
    <row r="2504" spans="1:14" x14ac:dyDescent="0.3">
      <c r="A2504">
        <v>2649</v>
      </c>
      <c r="B2504" t="s">
        <v>2079</v>
      </c>
      <c r="C2504" t="s">
        <v>2256</v>
      </c>
      <c r="D2504" t="s">
        <v>1203</v>
      </c>
      <c r="E2504" t="s">
        <v>1204</v>
      </c>
      <c r="F2504">
        <v>5924</v>
      </c>
      <c r="G2504" t="s">
        <v>684</v>
      </c>
      <c r="I2504">
        <v>435</v>
      </c>
      <c r="J2504">
        <v>412</v>
      </c>
      <c r="K2504">
        <v>390</v>
      </c>
      <c r="L2504">
        <v>387</v>
      </c>
      <c r="M2504">
        <v>385</v>
      </c>
      <c r="N2504" t="s">
        <v>988</v>
      </c>
    </row>
    <row r="2505" spans="1:14" x14ac:dyDescent="0.3">
      <c r="A2505">
        <v>2649</v>
      </c>
      <c r="B2505" t="s">
        <v>2079</v>
      </c>
      <c r="C2505" t="s">
        <v>2256</v>
      </c>
      <c r="D2505" t="s">
        <v>1203</v>
      </c>
      <c r="E2505" t="s">
        <v>1204</v>
      </c>
      <c r="F2505">
        <v>5924</v>
      </c>
      <c r="G2505" t="s">
        <v>702</v>
      </c>
      <c r="I2505">
        <v>2135</v>
      </c>
      <c r="J2505">
        <v>2275</v>
      </c>
      <c r="K2505">
        <v>2371</v>
      </c>
      <c r="L2505">
        <v>2474</v>
      </c>
      <c r="M2505">
        <v>2558</v>
      </c>
      <c r="N2505" t="s">
        <v>988</v>
      </c>
    </row>
    <row r="2506" spans="1:14" x14ac:dyDescent="0.3">
      <c r="A2506">
        <v>2649</v>
      </c>
      <c r="B2506" t="s">
        <v>2079</v>
      </c>
      <c r="C2506" t="s">
        <v>2256</v>
      </c>
      <c r="D2506" t="s">
        <v>1203</v>
      </c>
      <c r="E2506" t="s">
        <v>1204</v>
      </c>
      <c r="F2506">
        <v>5924</v>
      </c>
      <c r="G2506" t="s">
        <v>703</v>
      </c>
      <c r="I2506">
        <v>321</v>
      </c>
      <c r="J2506">
        <v>341</v>
      </c>
      <c r="K2506">
        <v>357</v>
      </c>
      <c r="L2506">
        <v>374</v>
      </c>
      <c r="M2506">
        <v>390</v>
      </c>
      <c r="N2506" t="s">
        <v>988</v>
      </c>
    </row>
    <row r="2507" spans="1:14" x14ac:dyDescent="0.3">
      <c r="A2507">
        <v>2649</v>
      </c>
      <c r="B2507" t="s">
        <v>2079</v>
      </c>
      <c r="C2507" t="s">
        <v>2256</v>
      </c>
      <c r="D2507" t="s">
        <v>1203</v>
      </c>
      <c r="E2507" t="s">
        <v>1204</v>
      </c>
      <c r="F2507">
        <v>5924</v>
      </c>
      <c r="G2507" t="s">
        <v>701</v>
      </c>
      <c r="I2507">
        <v>606</v>
      </c>
      <c r="J2507">
        <v>630</v>
      </c>
      <c r="K2507">
        <v>644</v>
      </c>
      <c r="L2507">
        <v>658</v>
      </c>
      <c r="M2507">
        <v>678</v>
      </c>
      <c r="N2507" t="s">
        <v>988</v>
      </c>
    </row>
    <row r="2508" spans="1:14" x14ac:dyDescent="0.3">
      <c r="A2508">
        <v>2649</v>
      </c>
      <c r="B2508" t="s">
        <v>2079</v>
      </c>
      <c r="C2508" t="s">
        <v>2256</v>
      </c>
      <c r="D2508" t="s">
        <v>1203</v>
      </c>
      <c r="E2508" t="s">
        <v>1204</v>
      </c>
      <c r="F2508">
        <v>5924</v>
      </c>
      <c r="G2508" t="s">
        <v>686</v>
      </c>
      <c r="H2508" t="s">
        <v>2080</v>
      </c>
      <c r="I2508">
        <v>1220</v>
      </c>
      <c r="J2508">
        <v>1260</v>
      </c>
      <c r="K2508">
        <v>1300</v>
      </c>
      <c r="L2508">
        <v>1345</v>
      </c>
      <c r="M2508">
        <v>1355</v>
      </c>
      <c r="N2508" t="s">
        <v>988</v>
      </c>
    </row>
    <row r="2509" spans="1:14" x14ac:dyDescent="0.3">
      <c r="A2509">
        <v>2649</v>
      </c>
      <c r="B2509" t="s">
        <v>2079</v>
      </c>
      <c r="C2509" t="s">
        <v>2256</v>
      </c>
      <c r="D2509" t="s">
        <v>1203</v>
      </c>
      <c r="E2509" t="s">
        <v>1204</v>
      </c>
      <c r="F2509">
        <v>5924</v>
      </c>
      <c r="G2509" t="s">
        <v>691</v>
      </c>
      <c r="H2509" t="s">
        <v>2081</v>
      </c>
      <c r="I2509">
        <v>437</v>
      </c>
      <c r="J2509">
        <v>445</v>
      </c>
      <c r="K2509">
        <v>446</v>
      </c>
      <c r="L2509">
        <v>446</v>
      </c>
      <c r="M2509">
        <v>457</v>
      </c>
      <c r="N2509" t="s">
        <v>988</v>
      </c>
    </row>
    <row r="2510" spans="1:14" x14ac:dyDescent="0.3">
      <c r="A2510">
        <v>2649</v>
      </c>
      <c r="B2510" t="s">
        <v>2079</v>
      </c>
      <c r="C2510" t="s">
        <v>2256</v>
      </c>
      <c r="D2510" t="s">
        <v>1203</v>
      </c>
      <c r="E2510" t="s">
        <v>1204</v>
      </c>
      <c r="F2510">
        <v>5924</v>
      </c>
      <c r="G2510" t="s">
        <v>687</v>
      </c>
      <c r="H2510" t="s">
        <v>2083</v>
      </c>
      <c r="I2510">
        <v>10</v>
      </c>
      <c r="J2510">
        <v>10</v>
      </c>
      <c r="K2510">
        <v>10</v>
      </c>
      <c r="L2510">
        <v>10</v>
      </c>
      <c r="M2510">
        <v>10</v>
      </c>
      <c r="N2510" t="s">
        <v>988</v>
      </c>
    </row>
    <row r="2511" spans="1:14" x14ac:dyDescent="0.3">
      <c r="A2511">
        <v>2649</v>
      </c>
      <c r="B2511" t="s">
        <v>2079</v>
      </c>
      <c r="C2511" t="s">
        <v>2256</v>
      </c>
      <c r="D2511" t="s">
        <v>1203</v>
      </c>
      <c r="E2511" t="s">
        <v>1204</v>
      </c>
      <c r="F2511">
        <v>5924</v>
      </c>
      <c r="G2511" t="s">
        <v>700</v>
      </c>
      <c r="I2511">
        <v>1283</v>
      </c>
      <c r="J2511">
        <v>1360</v>
      </c>
      <c r="K2511">
        <v>1425</v>
      </c>
      <c r="L2511">
        <v>1490</v>
      </c>
      <c r="M2511">
        <v>1555</v>
      </c>
      <c r="N2511" t="s">
        <v>988</v>
      </c>
    </row>
    <row r="2512" spans="1:14" x14ac:dyDescent="0.3">
      <c r="A2512">
        <v>2649</v>
      </c>
      <c r="B2512" t="s">
        <v>2079</v>
      </c>
      <c r="C2512" t="s">
        <v>2256</v>
      </c>
      <c r="D2512" t="s">
        <v>1203</v>
      </c>
      <c r="E2512" t="s">
        <v>1204</v>
      </c>
      <c r="F2512">
        <v>5924</v>
      </c>
      <c r="G2512" t="s">
        <v>687</v>
      </c>
      <c r="H2512" t="s">
        <v>1784</v>
      </c>
      <c r="I2512">
        <v>40</v>
      </c>
      <c r="J2512">
        <v>40</v>
      </c>
      <c r="K2512">
        <v>40</v>
      </c>
      <c r="L2512">
        <v>40</v>
      </c>
      <c r="M2512">
        <v>40</v>
      </c>
      <c r="N2512" t="s">
        <v>988</v>
      </c>
    </row>
    <row r="2513" spans="1:14" x14ac:dyDescent="0.3">
      <c r="A2513">
        <v>2649</v>
      </c>
      <c r="B2513" t="s">
        <v>2079</v>
      </c>
      <c r="C2513" t="s">
        <v>2256</v>
      </c>
      <c r="D2513" t="s">
        <v>1203</v>
      </c>
      <c r="E2513" t="s">
        <v>1204</v>
      </c>
      <c r="F2513">
        <v>5924</v>
      </c>
      <c r="G2513" t="s">
        <v>696</v>
      </c>
      <c r="I2513">
        <v>8840</v>
      </c>
      <c r="J2513">
        <v>9284</v>
      </c>
      <c r="K2513">
        <v>9600</v>
      </c>
      <c r="L2513">
        <v>9858</v>
      </c>
      <c r="M2513">
        <v>10083</v>
      </c>
      <c r="N2513" t="s">
        <v>988</v>
      </c>
    </row>
    <row r="2514" spans="1:14" x14ac:dyDescent="0.3">
      <c r="A2514">
        <v>2649</v>
      </c>
      <c r="B2514" t="s">
        <v>2079</v>
      </c>
      <c r="C2514" t="s">
        <v>2256</v>
      </c>
      <c r="D2514" t="s">
        <v>1203</v>
      </c>
      <c r="E2514" t="s">
        <v>1204</v>
      </c>
      <c r="F2514">
        <v>5924</v>
      </c>
      <c r="G2514" t="s">
        <v>687</v>
      </c>
      <c r="H2514" t="s">
        <v>2082</v>
      </c>
      <c r="I2514">
        <v>2</v>
      </c>
      <c r="J2514">
        <v>2</v>
      </c>
      <c r="K2514">
        <v>2</v>
      </c>
      <c r="L2514">
        <v>2</v>
      </c>
      <c r="M2514">
        <v>2</v>
      </c>
      <c r="N2514" t="s">
        <v>988</v>
      </c>
    </row>
    <row r="2515" spans="1:14" x14ac:dyDescent="0.3">
      <c r="A2515">
        <v>2661</v>
      </c>
      <c r="B2515" t="s">
        <v>2084</v>
      </c>
      <c r="C2515" t="s">
        <v>2256</v>
      </c>
      <c r="D2515" t="s">
        <v>1203</v>
      </c>
      <c r="E2515" t="s">
        <v>1204</v>
      </c>
      <c r="F2515">
        <v>5527</v>
      </c>
      <c r="G2515" t="s">
        <v>687</v>
      </c>
      <c r="I2515">
        <v>18</v>
      </c>
      <c r="J2515">
        <v>18</v>
      </c>
      <c r="K2515">
        <v>19</v>
      </c>
      <c r="L2515">
        <v>19</v>
      </c>
      <c r="M2515">
        <v>19</v>
      </c>
      <c r="N2515" t="s">
        <v>988</v>
      </c>
    </row>
    <row r="2516" spans="1:14" x14ac:dyDescent="0.3">
      <c r="A2516">
        <v>2661</v>
      </c>
      <c r="B2516" t="s">
        <v>2084</v>
      </c>
      <c r="C2516" t="s">
        <v>2256</v>
      </c>
      <c r="D2516" t="s">
        <v>1203</v>
      </c>
      <c r="E2516" t="s">
        <v>1204</v>
      </c>
      <c r="F2516">
        <v>5527</v>
      </c>
      <c r="G2516" t="s">
        <v>686</v>
      </c>
      <c r="I2516">
        <v>1009</v>
      </c>
      <c r="J2516">
        <v>1021</v>
      </c>
      <c r="K2516">
        <v>1034</v>
      </c>
      <c r="L2516">
        <v>1045</v>
      </c>
      <c r="M2516">
        <v>1057</v>
      </c>
      <c r="N2516" t="s">
        <v>988</v>
      </c>
    </row>
    <row r="2517" spans="1:14" x14ac:dyDescent="0.3">
      <c r="A2517">
        <v>2661</v>
      </c>
      <c r="B2517" t="s">
        <v>2084</v>
      </c>
      <c r="C2517" t="s">
        <v>2256</v>
      </c>
      <c r="D2517" t="s">
        <v>1203</v>
      </c>
      <c r="E2517" t="s">
        <v>1204</v>
      </c>
      <c r="F2517">
        <v>5527</v>
      </c>
      <c r="G2517" t="s">
        <v>703</v>
      </c>
      <c r="I2517">
        <v>700</v>
      </c>
      <c r="J2517">
        <v>708</v>
      </c>
      <c r="K2517">
        <v>717</v>
      </c>
      <c r="L2517">
        <v>725</v>
      </c>
      <c r="M2517">
        <v>733</v>
      </c>
      <c r="N2517" t="s">
        <v>988</v>
      </c>
    </row>
    <row r="2518" spans="1:14" x14ac:dyDescent="0.3">
      <c r="A2518">
        <v>2661</v>
      </c>
      <c r="B2518" t="s">
        <v>2084</v>
      </c>
      <c r="C2518" t="s">
        <v>2256</v>
      </c>
      <c r="D2518" t="s">
        <v>1203</v>
      </c>
      <c r="E2518" t="s">
        <v>1204</v>
      </c>
      <c r="F2518">
        <v>5527</v>
      </c>
      <c r="G2518" t="s">
        <v>701</v>
      </c>
      <c r="I2518">
        <v>263</v>
      </c>
      <c r="J2518">
        <v>266</v>
      </c>
      <c r="K2518">
        <v>269</v>
      </c>
      <c r="L2518">
        <v>272</v>
      </c>
      <c r="M2518">
        <v>275</v>
      </c>
      <c r="N2518" t="s">
        <v>988</v>
      </c>
    </row>
    <row r="2519" spans="1:14" x14ac:dyDescent="0.3">
      <c r="A2519">
        <v>2661</v>
      </c>
      <c r="B2519" t="s">
        <v>2084</v>
      </c>
      <c r="C2519" t="s">
        <v>2256</v>
      </c>
      <c r="D2519" t="s">
        <v>1203</v>
      </c>
      <c r="E2519" t="s">
        <v>1204</v>
      </c>
      <c r="F2519">
        <v>5527</v>
      </c>
      <c r="G2519" t="s">
        <v>700</v>
      </c>
      <c r="I2519">
        <v>1794</v>
      </c>
      <c r="J2519">
        <v>1816</v>
      </c>
      <c r="K2519">
        <v>1838</v>
      </c>
      <c r="L2519">
        <v>1859</v>
      </c>
      <c r="M2519">
        <v>1880</v>
      </c>
      <c r="N2519" t="s">
        <v>988</v>
      </c>
    </row>
    <row r="2520" spans="1:14" x14ac:dyDescent="0.3">
      <c r="A2520">
        <v>2661</v>
      </c>
      <c r="B2520" t="s">
        <v>2084</v>
      </c>
      <c r="C2520" t="s">
        <v>2256</v>
      </c>
      <c r="D2520" t="s">
        <v>1203</v>
      </c>
      <c r="E2520" t="s">
        <v>1204</v>
      </c>
      <c r="F2520">
        <v>5527</v>
      </c>
      <c r="G2520" t="s">
        <v>698</v>
      </c>
      <c r="I2520">
        <v>1792</v>
      </c>
      <c r="J2520">
        <v>1814</v>
      </c>
      <c r="K2520">
        <v>1836</v>
      </c>
      <c r="L2520">
        <v>1857</v>
      </c>
      <c r="M2520">
        <v>1877</v>
      </c>
      <c r="N2520" t="s">
        <v>988</v>
      </c>
    </row>
    <row r="2521" spans="1:14" x14ac:dyDescent="0.3">
      <c r="A2521">
        <v>2661</v>
      </c>
      <c r="B2521" t="s">
        <v>2084</v>
      </c>
      <c r="C2521" t="s">
        <v>2256</v>
      </c>
      <c r="D2521" t="s">
        <v>1203</v>
      </c>
      <c r="E2521" t="s">
        <v>1204</v>
      </c>
      <c r="F2521">
        <v>5527</v>
      </c>
      <c r="G2521" t="s">
        <v>696</v>
      </c>
      <c r="I2521">
        <v>12108</v>
      </c>
      <c r="J2521">
        <v>12256</v>
      </c>
      <c r="K2521">
        <v>12408</v>
      </c>
      <c r="L2521">
        <v>12547</v>
      </c>
      <c r="M2521">
        <v>12688</v>
      </c>
      <c r="N2521" t="s">
        <v>988</v>
      </c>
    </row>
    <row r="2522" spans="1:14" x14ac:dyDescent="0.3">
      <c r="A2522">
        <v>2669</v>
      </c>
      <c r="B2522" t="s">
        <v>2085</v>
      </c>
      <c r="C2522" t="s">
        <v>2256</v>
      </c>
      <c r="D2522" t="s">
        <v>1203</v>
      </c>
      <c r="E2522" t="s">
        <v>1204</v>
      </c>
      <c r="F2522">
        <v>5913</v>
      </c>
      <c r="G2522" t="s">
        <v>686</v>
      </c>
      <c r="I2522">
        <v>478</v>
      </c>
      <c r="J2522">
        <v>478</v>
      </c>
      <c r="K2522">
        <v>478</v>
      </c>
      <c r="L2522">
        <v>478</v>
      </c>
      <c r="M2522">
        <v>478</v>
      </c>
      <c r="N2522" t="s">
        <v>988</v>
      </c>
    </row>
    <row r="2523" spans="1:14" x14ac:dyDescent="0.3">
      <c r="A2523">
        <v>2669</v>
      </c>
      <c r="B2523" t="s">
        <v>2085</v>
      </c>
      <c r="C2523" t="s">
        <v>2256</v>
      </c>
      <c r="D2523" t="s">
        <v>1203</v>
      </c>
      <c r="E2523" t="s">
        <v>1204</v>
      </c>
      <c r="F2523">
        <v>5913</v>
      </c>
      <c r="G2523" t="s">
        <v>687</v>
      </c>
      <c r="I2523">
        <v>43</v>
      </c>
      <c r="J2523">
        <v>43</v>
      </c>
      <c r="K2523">
        <v>43</v>
      </c>
      <c r="L2523">
        <v>43</v>
      </c>
      <c r="M2523">
        <v>43</v>
      </c>
      <c r="N2523" t="s">
        <v>988</v>
      </c>
    </row>
    <row r="2524" spans="1:14" x14ac:dyDescent="0.3">
      <c r="A2524">
        <v>2669</v>
      </c>
      <c r="B2524" t="s">
        <v>2085</v>
      </c>
      <c r="C2524" t="s">
        <v>2256</v>
      </c>
      <c r="D2524" t="s">
        <v>1203</v>
      </c>
      <c r="E2524" t="s">
        <v>1204</v>
      </c>
      <c r="F2524">
        <v>5913</v>
      </c>
      <c r="G2524" t="s">
        <v>684</v>
      </c>
      <c r="I2524">
        <v>840</v>
      </c>
      <c r="J2524">
        <v>891</v>
      </c>
      <c r="K2524">
        <v>942</v>
      </c>
      <c r="L2524">
        <v>993</v>
      </c>
      <c r="M2524">
        <v>1045</v>
      </c>
      <c r="N2524" t="s">
        <v>988</v>
      </c>
    </row>
    <row r="2525" spans="1:14" x14ac:dyDescent="0.3">
      <c r="A2525">
        <v>2669</v>
      </c>
      <c r="B2525" t="s">
        <v>2085</v>
      </c>
      <c r="C2525" t="s">
        <v>2256</v>
      </c>
      <c r="D2525" t="s">
        <v>1203</v>
      </c>
      <c r="E2525" t="s">
        <v>1204</v>
      </c>
      <c r="F2525">
        <v>5913</v>
      </c>
      <c r="G2525" t="s">
        <v>702</v>
      </c>
      <c r="I2525">
        <v>475</v>
      </c>
      <c r="J2525">
        <v>475</v>
      </c>
      <c r="K2525">
        <v>475</v>
      </c>
      <c r="L2525">
        <v>475</v>
      </c>
      <c r="M2525">
        <v>475</v>
      </c>
      <c r="N2525" t="s">
        <v>988</v>
      </c>
    </row>
    <row r="2526" spans="1:14" x14ac:dyDescent="0.3">
      <c r="A2526">
        <v>2669</v>
      </c>
      <c r="B2526" t="s">
        <v>2085</v>
      </c>
      <c r="C2526" t="s">
        <v>2256</v>
      </c>
      <c r="D2526" t="s">
        <v>1203</v>
      </c>
      <c r="E2526" t="s">
        <v>1204</v>
      </c>
      <c r="F2526">
        <v>5913</v>
      </c>
      <c r="G2526" t="s">
        <v>696</v>
      </c>
      <c r="I2526">
        <v>3267</v>
      </c>
      <c r="J2526">
        <v>3377</v>
      </c>
      <c r="K2526">
        <v>3491</v>
      </c>
      <c r="L2526">
        <v>3565</v>
      </c>
      <c r="M2526">
        <v>3623</v>
      </c>
      <c r="N2526" t="s">
        <v>988</v>
      </c>
    </row>
    <row r="2527" spans="1:14" x14ac:dyDescent="0.3">
      <c r="A2527">
        <v>2669</v>
      </c>
      <c r="B2527" t="s">
        <v>2085</v>
      </c>
      <c r="C2527" t="s">
        <v>2256</v>
      </c>
      <c r="D2527" t="s">
        <v>1203</v>
      </c>
      <c r="E2527" t="s">
        <v>1204</v>
      </c>
      <c r="F2527">
        <v>5913</v>
      </c>
      <c r="G2527" t="s">
        <v>703</v>
      </c>
      <c r="H2527" t="s">
        <v>1939</v>
      </c>
      <c r="N2527" t="s">
        <v>988</v>
      </c>
    </row>
    <row r="2528" spans="1:14" x14ac:dyDescent="0.3">
      <c r="A2528">
        <v>2669</v>
      </c>
      <c r="B2528" t="s">
        <v>2085</v>
      </c>
      <c r="C2528" t="s">
        <v>2256</v>
      </c>
      <c r="D2528" t="s">
        <v>1203</v>
      </c>
      <c r="E2528" t="s">
        <v>1204</v>
      </c>
      <c r="F2528">
        <v>5913</v>
      </c>
      <c r="G2528" t="s">
        <v>701</v>
      </c>
      <c r="I2528">
        <v>536</v>
      </c>
      <c r="J2528">
        <v>536</v>
      </c>
      <c r="K2528">
        <v>536</v>
      </c>
      <c r="L2528">
        <v>536</v>
      </c>
      <c r="M2528">
        <v>536</v>
      </c>
      <c r="N2528" t="s">
        <v>988</v>
      </c>
    </row>
    <row r="2529" spans="1:14" x14ac:dyDescent="0.3">
      <c r="A2529">
        <v>2669</v>
      </c>
      <c r="B2529" t="s">
        <v>2085</v>
      </c>
      <c r="C2529" t="s">
        <v>2256</v>
      </c>
      <c r="D2529" t="s">
        <v>1203</v>
      </c>
      <c r="E2529" t="s">
        <v>1204</v>
      </c>
      <c r="F2529">
        <v>5913</v>
      </c>
      <c r="G2529" t="s">
        <v>698</v>
      </c>
      <c r="I2529">
        <v>854</v>
      </c>
      <c r="J2529">
        <v>883</v>
      </c>
      <c r="K2529">
        <v>913</v>
      </c>
      <c r="L2529">
        <v>932</v>
      </c>
      <c r="M2529">
        <v>947</v>
      </c>
      <c r="N2529" t="s">
        <v>988</v>
      </c>
    </row>
    <row r="2530" spans="1:14" x14ac:dyDescent="0.3">
      <c r="A2530">
        <v>2669</v>
      </c>
      <c r="B2530" t="s">
        <v>2085</v>
      </c>
      <c r="C2530" t="s">
        <v>2256</v>
      </c>
      <c r="D2530" t="s">
        <v>1203</v>
      </c>
      <c r="E2530" t="s">
        <v>1204</v>
      </c>
      <c r="F2530">
        <v>5913</v>
      </c>
      <c r="G2530" t="s">
        <v>700</v>
      </c>
      <c r="H2530" t="s">
        <v>1272</v>
      </c>
      <c r="I2530">
        <v>1214</v>
      </c>
      <c r="J2530">
        <v>1220</v>
      </c>
      <c r="K2530">
        <v>1226</v>
      </c>
      <c r="L2530">
        <v>1232</v>
      </c>
      <c r="M2530">
        <v>1238</v>
      </c>
      <c r="N2530" t="s">
        <v>988</v>
      </c>
    </row>
    <row r="2531" spans="1:14" x14ac:dyDescent="0.3">
      <c r="A2531">
        <v>2679</v>
      </c>
      <c r="B2531" t="s">
        <v>2086</v>
      </c>
      <c r="C2531" t="s">
        <v>2256</v>
      </c>
      <c r="D2531" t="s">
        <v>1203</v>
      </c>
      <c r="E2531" t="s">
        <v>1204</v>
      </c>
      <c r="F2531">
        <v>5778</v>
      </c>
      <c r="G2531" t="s">
        <v>701</v>
      </c>
      <c r="H2531" t="s">
        <v>1767</v>
      </c>
      <c r="I2531">
        <v>3000</v>
      </c>
      <c r="J2531">
        <v>3000</v>
      </c>
      <c r="K2531">
        <v>3000</v>
      </c>
      <c r="L2531">
        <v>3000</v>
      </c>
      <c r="M2531">
        <v>3000</v>
      </c>
      <c r="N2531" t="s">
        <v>988</v>
      </c>
    </row>
    <row r="2532" spans="1:14" x14ac:dyDescent="0.3">
      <c r="A2532">
        <v>2679</v>
      </c>
      <c r="B2532" t="s">
        <v>2086</v>
      </c>
      <c r="C2532" t="s">
        <v>2256</v>
      </c>
      <c r="D2532" t="s">
        <v>1203</v>
      </c>
      <c r="E2532" t="s">
        <v>1204</v>
      </c>
      <c r="F2532">
        <v>5778</v>
      </c>
      <c r="G2532" t="s">
        <v>701</v>
      </c>
      <c r="H2532" t="s">
        <v>2088</v>
      </c>
      <c r="I2532">
        <v>9400</v>
      </c>
      <c r="J2532">
        <v>9400</v>
      </c>
      <c r="K2532">
        <v>9400</v>
      </c>
      <c r="L2532">
        <v>9400</v>
      </c>
      <c r="M2532">
        <v>9400</v>
      </c>
      <c r="N2532" t="s">
        <v>988</v>
      </c>
    </row>
    <row r="2533" spans="1:14" x14ac:dyDescent="0.3">
      <c r="A2533">
        <v>2679</v>
      </c>
      <c r="B2533" t="s">
        <v>2086</v>
      </c>
      <c r="C2533" t="s">
        <v>2256</v>
      </c>
      <c r="D2533" t="s">
        <v>1203</v>
      </c>
      <c r="E2533" t="s">
        <v>1204</v>
      </c>
      <c r="F2533">
        <v>5778</v>
      </c>
      <c r="G2533" t="s">
        <v>686</v>
      </c>
      <c r="I2533">
        <v>538</v>
      </c>
      <c r="J2533">
        <v>541</v>
      </c>
      <c r="K2533">
        <v>544</v>
      </c>
      <c r="L2533">
        <v>547</v>
      </c>
      <c r="M2533">
        <v>550</v>
      </c>
      <c r="N2533" t="s">
        <v>988</v>
      </c>
    </row>
    <row r="2534" spans="1:14" x14ac:dyDescent="0.3">
      <c r="A2534">
        <v>2679</v>
      </c>
      <c r="B2534" t="s">
        <v>2086</v>
      </c>
      <c r="C2534" t="s">
        <v>2256</v>
      </c>
      <c r="D2534" t="s">
        <v>1203</v>
      </c>
      <c r="E2534" t="s">
        <v>1204</v>
      </c>
      <c r="F2534">
        <v>5778</v>
      </c>
      <c r="G2534" t="s">
        <v>696</v>
      </c>
      <c r="H2534" t="s">
        <v>1393</v>
      </c>
      <c r="I2534">
        <v>2585</v>
      </c>
      <c r="J2534">
        <v>2637</v>
      </c>
      <c r="K2534">
        <v>2690</v>
      </c>
      <c r="L2534">
        <v>2744</v>
      </c>
      <c r="M2534">
        <v>2800</v>
      </c>
      <c r="N2534" t="s">
        <v>988</v>
      </c>
    </row>
    <row r="2535" spans="1:14" x14ac:dyDescent="0.3">
      <c r="A2535">
        <v>2679</v>
      </c>
      <c r="B2535" t="s">
        <v>2086</v>
      </c>
      <c r="C2535" t="s">
        <v>2256</v>
      </c>
      <c r="D2535" t="s">
        <v>1203</v>
      </c>
      <c r="E2535" t="s">
        <v>1204</v>
      </c>
      <c r="F2535">
        <v>5778</v>
      </c>
      <c r="G2535" t="s">
        <v>700</v>
      </c>
      <c r="I2535">
        <v>1833</v>
      </c>
      <c r="J2535">
        <v>1870</v>
      </c>
      <c r="K2535">
        <v>1908</v>
      </c>
      <c r="L2535">
        <v>1946</v>
      </c>
      <c r="M2535">
        <v>1985</v>
      </c>
      <c r="N2535" t="s">
        <v>988</v>
      </c>
    </row>
    <row r="2536" spans="1:14" x14ac:dyDescent="0.3">
      <c r="A2536">
        <v>2683</v>
      </c>
      <c r="B2536" t="s">
        <v>871</v>
      </c>
      <c r="C2536" t="s">
        <v>2256</v>
      </c>
      <c r="D2536" t="s">
        <v>1203</v>
      </c>
      <c r="E2536" t="s">
        <v>1204</v>
      </c>
      <c r="F2536">
        <v>6775</v>
      </c>
      <c r="G2536" t="s">
        <v>696</v>
      </c>
      <c r="I2536">
        <v>5870</v>
      </c>
      <c r="J2536">
        <v>6640</v>
      </c>
      <c r="K2536">
        <v>7230</v>
      </c>
      <c r="L2536">
        <v>7530</v>
      </c>
      <c r="M2536">
        <v>8640</v>
      </c>
      <c r="N2536" t="s">
        <v>988</v>
      </c>
    </row>
    <row r="2537" spans="1:14" x14ac:dyDescent="0.3">
      <c r="A2537">
        <v>2683</v>
      </c>
      <c r="B2537" t="s">
        <v>871</v>
      </c>
      <c r="C2537" t="s">
        <v>2256</v>
      </c>
      <c r="D2537" t="s">
        <v>1203</v>
      </c>
      <c r="E2537" t="s">
        <v>1204</v>
      </c>
      <c r="F2537">
        <v>6775</v>
      </c>
      <c r="G2537" t="s">
        <v>698</v>
      </c>
      <c r="I2537">
        <v>1368</v>
      </c>
      <c r="J2537">
        <v>1490</v>
      </c>
      <c r="K2537">
        <v>1550</v>
      </c>
      <c r="L2537">
        <v>1610</v>
      </c>
      <c r="M2537">
        <v>1760</v>
      </c>
      <c r="N2537" t="s">
        <v>988</v>
      </c>
    </row>
    <row r="2538" spans="1:14" x14ac:dyDescent="0.3">
      <c r="A2538">
        <v>2683</v>
      </c>
      <c r="B2538" t="s">
        <v>871</v>
      </c>
      <c r="C2538" t="s">
        <v>2256</v>
      </c>
      <c r="D2538" t="s">
        <v>1203</v>
      </c>
      <c r="E2538" t="s">
        <v>1204</v>
      </c>
      <c r="F2538">
        <v>6775</v>
      </c>
      <c r="G2538" t="s">
        <v>687</v>
      </c>
      <c r="H2538" t="s">
        <v>1404</v>
      </c>
      <c r="I2538">
        <v>4150</v>
      </c>
      <c r="J2538">
        <v>5060</v>
      </c>
      <c r="K2538">
        <v>5680</v>
      </c>
      <c r="L2538">
        <v>6120</v>
      </c>
      <c r="M2538">
        <v>7280</v>
      </c>
      <c r="N2538" t="s">
        <v>988</v>
      </c>
    </row>
    <row r="2539" spans="1:14" x14ac:dyDescent="0.3">
      <c r="A2539">
        <v>2683</v>
      </c>
      <c r="B2539" t="s">
        <v>871</v>
      </c>
      <c r="C2539" t="s">
        <v>2256</v>
      </c>
      <c r="D2539" t="s">
        <v>1203</v>
      </c>
      <c r="E2539" t="s">
        <v>1204</v>
      </c>
      <c r="F2539">
        <v>6775</v>
      </c>
      <c r="G2539" t="s">
        <v>702</v>
      </c>
      <c r="I2539">
        <v>1200</v>
      </c>
      <c r="J2539">
        <v>1200</v>
      </c>
      <c r="K2539">
        <v>1190</v>
      </c>
      <c r="L2539">
        <v>1170</v>
      </c>
      <c r="M2539">
        <v>1190</v>
      </c>
      <c r="N2539" t="s">
        <v>988</v>
      </c>
    </row>
    <row r="2540" spans="1:14" x14ac:dyDescent="0.3">
      <c r="A2540">
        <v>2683</v>
      </c>
      <c r="B2540" t="s">
        <v>871</v>
      </c>
      <c r="C2540" t="s">
        <v>2256</v>
      </c>
      <c r="D2540" t="s">
        <v>1203</v>
      </c>
      <c r="E2540" t="s">
        <v>1204</v>
      </c>
      <c r="F2540">
        <v>6775</v>
      </c>
      <c r="G2540" t="s">
        <v>686</v>
      </c>
      <c r="I2540">
        <v>2040</v>
      </c>
      <c r="J2540">
        <v>2330</v>
      </c>
      <c r="K2540">
        <v>1740</v>
      </c>
      <c r="L2540">
        <v>1830</v>
      </c>
      <c r="M2540">
        <v>1530</v>
      </c>
      <c r="N2540" t="s">
        <v>988</v>
      </c>
    </row>
    <row r="2541" spans="1:14" x14ac:dyDescent="0.3">
      <c r="A2541">
        <v>2690</v>
      </c>
      <c r="B2541" t="s">
        <v>2089</v>
      </c>
      <c r="C2541" t="s">
        <v>2256</v>
      </c>
      <c r="D2541" t="s">
        <v>1203</v>
      </c>
      <c r="E2541" t="s">
        <v>1204</v>
      </c>
      <c r="F2541">
        <v>5764</v>
      </c>
      <c r="G2541" t="s">
        <v>687</v>
      </c>
      <c r="H2541" t="s">
        <v>1499</v>
      </c>
      <c r="I2541">
        <v>313</v>
      </c>
      <c r="J2541">
        <v>334</v>
      </c>
      <c r="K2541">
        <v>355</v>
      </c>
      <c r="L2541">
        <v>376</v>
      </c>
      <c r="M2541">
        <v>397</v>
      </c>
      <c r="N2541" t="s">
        <v>988</v>
      </c>
    </row>
    <row r="2542" spans="1:14" x14ac:dyDescent="0.3">
      <c r="A2542">
        <v>2690</v>
      </c>
      <c r="B2542" t="s">
        <v>2089</v>
      </c>
      <c r="C2542" t="s">
        <v>2256</v>
      </c>
      <c r="D2542" t="s">
        <v>1203</v>
      </c>
      <c r="E2542" t="s">
        <v>1204</v>
      </c>
      <c r="F2542">
        <v>5764</v>
      </c>
      <c r="G2542" t="s">
        <v>702</v>
      </c>
      <c r="H2542" t="s">
        <v>1723</v>
      </c>
      <c r="I2542">
        <v>0</v>
      </c>
      <c r="J2542">
        <v>0</v>
      </c>
      <c r="K2542">
        <v>0</v>
      </c>
      <c r="L2542">
        <v>0</v>
      </c>
      <c r="M2542">
        <v>0</v>
      </c>
      <c r="N2542" t="s">
        <v>988</v>
      </c>
    </row>
    <row r="2543" spans="1:14" x14ac:dyDescent="0.3">
      <c r="A2543">
        <v>2690</v>
      </c>
      <c r="B2543" t="s">
        <v>2089</v>
      </c>
      <c r="C2543" t="s">
        <v>2256</v>
      </c>
      <c r="D2543" t="s">
        <v>1203</v>
      </c>
      <c r="E2543" t="s">
        <v>1204</v>
      </c>
      <c r="F2543">
        <v>5764</v>
      </c>
      <c r="G2543" t="s">
        <v>687</v>
      </c>
      <c r="H2543" t="s">
        <v>1302</v>
      </c>
      <c r="I2543">
        <v>5</v>
      </c>
      <c r="J2543">
        <v>6</v>
      </c>
      <c r="K2543">
        <v>6</v>
      </c>
      <c r="L2543">
        <v>7</v>
      </c>
      <c r="M2543">
        <v>7</v>
      </c>
      <c r="N2543" t="s">
        <v>988</v>
      </c>
    </row>
    <row r="2544" spans="1:14" x14ac:dyDescent="0.3">
      <c r="A2544">
        <v>2690</v>
      </c>
      <c r="B2544" t="s">
        <v>2089</v>
      </c>
      <c r="C2544" t="s">
        <v>2256</v>
      </c>
      <c r="D2544" t="s">
        <v>1203</v>
      </c>
      <c r="E2544" t="s">
        <v>1204</v>
      </c>
      <c r="F2544">
        <v>5764</v>
      </c>
      <c r="G2544" t="s">
        <v>684</v>
      </c>
      <c r="H2544" t="s">
        <v>1844</v>
      </c>
      <c r="I2544">
        <v>81</v>
      </c>
      <c r="J2544">
        <v>86</v>
      </c>
      <c r="K2544">
        <v>92</v>
      </c>
      <c r="L2544">
        <v>97</v>
      </c>
      <c r="M2544">
        <v>103</v>
      </c>
      <c r="N2544" t="s">
        <v>988</v>
      </c>
    </row>
    <row r="2545" spans="1:14" x14ac:dyDescent="0.3">
      <c r="A2545">
        <v>2690</v>
      </c>
      <c r="B2545" t="s">
        <v>2089</v>
      </c>
      <c r="C2545" t="s">
        <v>2256</v>
      </c>
      <c r="D2545" t="s">
        <v>1203</v>
      </c>
      <c r="E2545" t="s">
        <v>1204</v>
      </c>
      <c r="F2545">
        <v>5764</v>
      </c>
      <c r="G2545" t="s">
        <v>686</v>
      </c>
      <c r="H2545" t="s">
        <v>1482</v>
      </c>
      <c r="I2545">
        <v>2513</v>
      </c>
      <c r="J2545">
        <v>2682</v>
      </c>
      <c r="K2545">
        <v>2851</v>
      </c>
      <c r="L2545">
        <v>3020</v>
      </c>
      <c r="M2545">
        <v>3189</v>
      </c>
      <c r="N2545" t="s">
        <v>988</v>
      </c>
    </row>
    <row r="2546" spans="1:14" x14ac:dyDescent="0.3">
      <c r="A2546">
        <v>2690</v>
      </c>
      <c r="B2546" t="s">
        <v>2089</v>
      </c>
      <c r="C2546" t="s">
        <v>2256</v>
      </c>
      <c r="D2546" t="s">
        <v>1203</v>
      </c>
      <c r="E2546" t="s">
        <v>1204</v>
      </c>
      <c r="F2546">
        <v>5764</v>
      </c>
      <c r="G2546" t="s">
        <v>702</v>
      </c>
      <c r="H2546" t="s">
        <v>1663</v>
      </c>
      <c r="I2546">
        <v>2485</v>
      </c>
      <c r="J2546">
        <v>2652</v>
      </c>
      <c r="K2546">
        <v>2819</v>
      </c>
      <c r="L2546">
        <v>2986</v>
      </c>
      <c r="M2546">
        <v>3153</v>
      </c>
      <c r="N2546" t="s">
        <v>988</v>
      </c>
    </row>
    <row r="2547" spans="1:14" x14ac:dyDescent="0.3">
      <c r="A2547">
        <v>2690</v>
      </c>
      <c r="B2547" t="s">
        <v>2089</v>
      </c>
      <c r="C2547" t="s">
        <v>2256</v>
      </c>
      <c r="D2547" t="s">
        <v>1203</v>
      </c>
      <c r="E2547" t="s">
        <v>1204</v>
      </c>
      <c r="F2547">
        <v>5764</v>
      </c>
      <c r="G2547" t="s">
        <v>703</v>
      </c>
      <c r="H2547" t="s">
        <v>1941</v>
      </c>
      <c r="I2547">
        <v>989</v>
      </c>
      <c r="J2547">
        <v>1056</v>
      </c>
      <c r="K2547">
        <v>1122</v>
      </c>
      <c r="L2547">
        <v>1189</v>
      </c>
      <c r="M2547">
        <v>1255</v>
      </c>
      <c r="N2547" t="s">
        <v>988</v>
      </c>
    </row>
    <row r="2548" spans="1:14" x14ac:dyDescent="0.3">
      <c r="A2548">
        <v>2690</v>
      </c>
      <c r="B2548" t="s">
        <v>2089</v>
      </c>
      <c r="C2548" t="s">
        <v>2256</v>
      </c>
      <c r="D2548" t="s">
        <v>1203</v>
      </c>
      <c r="E2548" t="s">
        <v>1204</v>
      </c>
      <c r="F2548">
        <v>5764</v>
      </c>
      <c r="G2548" t="s">
        <v>696</v>
      </c>
      <c r="H2548" t="s">
        <v>2090</v>
      </c>
      <c r="I2548">
        <v>13859</v>
      </c>
      <c r="J2548">
        <v>14791</v>
      </c>
      <c r="K2548">
        <v>15722</v>
      </c>
      <c r="L2548">
        <v>16653</v>
      </c>
      <c r="M2548">
        <v>17584</v>
      </c>
      <c r="N2548" t="s">
        <v>988</v>
      </c>
    </row>
    <row r="2549" spans="1:14" x14ac:dyDescent="0.3">
      <c r="A2549">
        <v>2690</v>
      </c>
      <c r="B2549" t="s">
        <v>2089</v>
      </c>
      <c r="C2549" t="s">
        <v>2256</v>
      </c>
      <c r="D2549" t="s">
        <v>1203</v>
      </c>
      <c r="E2549" t="s">
        <v>1204</v>
      </c>
      <c r="F2549">
        <v>5764</v>
      </c>
      <c r="G2549" t="s">
        <v>701</v>
      </c>
      <c r="H2549" t="s">
        <v>701</v>
      </c>
      <c r="I2549">
        <v>717</v>
      </c>
      <c r="J2549">
        <v>765</v>
      </c>
      <c r="K2549">
        <v>813</v>
      </c>
      <c r="L2549">
        <v>861</v>
      </c>
      <c r="M2549">
        <v>909</v>
      </c>
      <c r="N2549" t="s">
        <v>988</v>
      </c>
    </row>
    <row r="2550" spans="1:14" x14ac:dyDescent="0.3">
      <c r="A2550">
        <v>2690</v>
      </c>
      <c r="B2550" t="s">
        <v>2089</v>
      </c>
      <c r="C2550" t="s">
        <v>2256</v>
      </c>
      <c r="D2550" t="s">
        <v>1203</v>
      </c>
      <c r="E2550" t="s">
        <v>1204</v>
      </c>
      <c r="F2550">
        <v>5764</v>
      </c>
      <c r="G2550" t="s">
        <v>700</v>
      </c>
      <c r="H2550" t="s">
        <v>700</v>
      </c>
      <c r="I2550">
        <v>1943</v>
      </c>
      <c r="J2550">
        <v>2073</v>
      </c>
      <c r="K2550">
        <v>2204</v>
      </c>
      <c r="L2550">
        <v>2334</v>
      </c>
      <c r="M2550">
        <v>2465</v>
      </c>
      <c r="N2550" t="s">
        <v>988</v>
      </c>
    </row>
    <row r="2551" spans="1:14" x14ac:dyDescent="0.3">
      <c r="A2551">
        <v>2690</v>
      </c>
      <c r="B2551" t="s">
        <v>2089</v>
      </c>
      <c r="C2551" t="s">
        <v>2256</v>
      </c>
      <c r="D2551" t="s">
        <v>1203</v>
      </c>
      <c r="E2551" t="s">
        <v>1204</v>
      </c>
      <c r="F2551">
        <v>5764</v>
      </c>
      <c r="G2551" t="s">
        <v>698</v>
      </c>
      <c r="H2551" t="s">
        <v>698</v>
      </c>
      <c r="I2551">
        <v>553</v>
      </c>
      <c r="J2551">
        <v>591</v>
      </c>
      <c r="K2551">
        <v>628</v>
      </c>
      <c r="L2551">
        <v>665</v>
      </c>
      <c r="M2551">
        <v>702</v>
      </c>
      <c r="N2551" t="s">
        <v>988</v>
      </c>
    </row>
    <row r="2552" spans="1:14" x14ac:dyDescent="0.3">
      <c r="A2552">
        <v>2691</v>
      </c>
      <c r="B2552" t="s">
        <v>2091</v>
      </c>
      <c r="C2552" t="s">
        <v>2256</v>
      </c>
      <c r="D2552" t="s">
        <v>159</v>
      </c>
      <c r="E2552" t="s">
        <v>159</v>
      </c>
      <c r="F2552">
        <v>5607</v>
      </c>
      <c r="G2552" t="s">
        <v>696</v>
      </c>
      <c r="I2552">
        <v>203.56</v>
      </c>
      <c r="J2552">
        <v>200.93</v>
      </c>
      <c r="K2552">
        <v>199.4</v>
      </c>
      <c r="L2552">
        <v>198.73</v>
      </c>
      <c r="M2552">
        <v>198.66</v>
      </c>
      <c r="N2552" t="s">
        <v>988</v>
      </c>
    </row>
    <row r="2553" spans="1:14" x14ac:dyDescent="0.3">
      <c r="A2553">
        <v>2691</v>
      </c>
      <c r="B2553" t="s">
        <v>2091</v>
      </c>
      <c r="C2553" t="s">
        <v>2256</v>
      </c>
      <c r="D2553" t="s">
        <v>159</v>
      </c>
      <c r="E2553" t="s">
        <v>159</v>
      </c>
      <c r="F2553">
        <v>5607</v>
      </c>
      <c r="G2553" t="s">
        <v>702</v>
      </c>
      <c r="H2553" t="s">
        <v>1948</v>
      </c>
      <c r="I2553">
        <v>42.63</v>
      </c>
      <c r="J2553">
        <v>42.63</v>
      </c>
      <c r="K2553">
        <v>42.63</v>
      </c>
      <c r="L2553">
        <v>42.63</v>
      </c>
      <c r="M2553">
        <v>42.63</v>
      </c>
      <c r="N2553" t="s">
        <v>988</v>
      </c>
    </row>
    <row r="2554" spans="1:14" x14ac:dyDescent="0.3">
      <c r="A2554">
        <v>2691</v>
      </c>
      <c r="B2554" t="s">
        <v>2091</v>
      </c>
      <c r="C2554" t="s">
        <v>2256</v>
      </c>
      <c r="D2554" t="s">
        <v>159</v>
      </c>
      <c r="E2554" t="s">
        <v>159</v>
      </c>
      <c r="F2554">
        <v>5607</v>
      </c>
      <c r="G2554" t="s">
        <v>686</v>
      </c>
      <c r="I2554">
        <v>21.73</v>
      </c>
      <c r="J2554">
        <v>21.5</v>
      </c>
      <c r="K2554">
        <v>21.34</v>
      </c>
      <c r="L2554">
        <v>21.26</v>
      </c>
      <c r="M2554">
        <v>21.24</v>
      </c>
      <c r="N2554" t="s">
        <v>988</v>
      </c>
    </row>
    <row r="2555" spans="1:14" x14ac:dyDescent="0.3">
      <c r="A2555">
        <v>2691</v>
      </c>
      <c r="B2555" t="s">
        <v>2091</v>
      </c>
      <c r="C2555" t="s">
        <v>2256</v>
      </c>
      <c r="D2555" t="s">
        <v>159</v>
      </c>
      <c r="E2555" t="s">
        <v>159</v>
      </c>
      <c r="F2555">
        <v>5607</v>
      </c>
      <c r="G2555" t="s">
        <v>700</v>
      </c>
      <c r="I2555">
        <v>21.75</v>
      </c>
      <c r="J2555">
        <v>21.58</v>
      </c>
      <c r="K2555">
        <v>21.45</v>
      </c>
      <c r="L2555">
        <v>21.34</v>
      </c>
      <c r="M2555">
        <v>21.24</v>
      </c>
      <c r="N2555" t="s">
        <v>988</v>
      </c>
    </row>
    <row r="2556" spans="1:14" x14ac:dyDescent="0.3">
      <c r="A2556">
        <v>2691</v>
      </c>
      <c r="B2556" t="s">
        <v>2091</v>
      </c>
      <c r="C2556" t="s">
        <v>2256</v>
      </c>
      <c r="D2556" t="s">
        <v>159</v>
      </c>
      <c r="E2556" t="s">
        <v>159</v>
      </c>
      <c r="F2556">
        <v>5607</v>
      </c>
      <c r="G2556" t="s">
        <v>698</v>
      </c>
      <c r="I2556">
        <v>27.17</v>
      </c>
      <c r="J2556">
        <v>26.79</v>
      </c>
      <c r="K2556">
        <v>26.57</v>
      </c>
      <c r="L2556">
        <v>26.48</v>
      </c>
      <c r="M2556">
        <v>26.47</v>
      </c>
      <c r="N2556" t="s">
        <v>988</v>
      </c>
    </row>
    <row r="2557" spans="1:14" x14ac:dyDescent="0.3">
      <c r="A2557">
        <v>2697</v>
      </c>
      <c r="B2557" t="s">
        <v>2092</v>
      </c>
      <c r="C2557" t="s">
        <v>2256</v>
      </c>
      <c r="D2557" t="s">
        <v>159</v>
      </c>
      <c r="E2557" t="s">
        <v>159</v>
      </c>
      <c r="F2557">
        <v>8063</v>
      </c>
      <c r="G2557" t="s">
        <v>698</v>
      </c>
      <c r="I2557">
        <v>815.33</v>
      </c>
      <c r="J2557">
        <v>909.48</v>
      </c>
      <c r="K2557">
        <v>1014.52</v>
      </c>
      <c r="L2557">
        <v>1131.6300000000001</v>
      </c>
      <c r="M2557">
        <v>1259.53</v>
      </c>
      <c r="N2557" t="s">
        <v>988</v>
      </c>
    </row>
    <row r="2558" spans="1:14" x14ac:dyDescent="0.3">
      <c r="A2558">
        <v>2697</v>
      </c>
      <c r="B2558" t="s">
        <v>2092</v>
      </c>
      <c r="C2558" t="s">
        <v>2256</v>
      </c>
      <c r="D2558" t="s">
        <v>159</v>
      </c>
      <c r="E2558" t="s">
        <v>159</v>
      </c>
      <c r="F2558">
        <v>8063</v>
      </c>
      <c r="G2558" t="s">
        <v>700</v>
      </c>
      <c r="I2558">
        <v>1481.34</v>
      </c>
      <c r="J2558">
        <v>1652.42</v>
      </c>
      <c r="K2558">
        <v>1843.25</v>
      </c>
      <c r="L2558">
        <v>2056.02</v>
      </c>
      <c r="M2558">
        <v>2288.4</v>
      </c>
      <c r="N2558" t="s">
        <v>988</v>
      </c>
    </row>
    <row r="2559" spans="1:14" x14ac:dyDescent="0.3">
      <c r="A2559">
        <v>2697</v>
      </c>
      <c r="B2559" t="s">
        <v>2092</v>
      </c>
      <c r="C2559" t="s">
        <v>2256</v>
      </c>
      <c r="D2559" t="s">
        <v>159</v>
      </c>
      <c r="E2559" t="s">
        <v>159</v>
      </c>
      <c r="F2559">
        <v>8063</v>
      </c>
      <c r="G2559" t="s">
        <v>701</v>
      </c>
      <c r="I2559">
        <v>1048.95</v>
      </c>
      <c r="J2559">
        <v>1170.08</v>
      </c>
      <c r="K2559">
        <v>1305.21</v>
      </c>
      <c r="L2559">
        <v>1455.88</v>
      </c>
      <c r="M2559">
        <v>1620.43</v>
      </c>
      <c r="N2559" t="s">
        <v>988</v>
      </c>
    </row>
    <row r="2560" spans="1:14" x14ac:dyDescent="0.3">
      <c r="A2560">
        <v>2697</v>
      </c>
      <c r="B2560" t="s">
        <v>2092</v>
      </c>
      <c r="C2560" t="s">
        <v>2256</v>
      </c>
      <c r="D2560" t="s">
        <v>159</v>
      </c>
      <c r="E2560" t="s">
        <v>159</v>
      </c>
      <c r="F2560">
        <v>8063</v>
      </c>
      <c r="G2560" t="s">
        <v>687</v>
      </c>
      <c r="H2560" t="s">
        <v>2093</v>
      </c>
      <c r="I2560">
        <v>147.71</v>
      </c>
      <c r="J2560">
        <v>164.77</v>
      </c>
      <c r="K2560">
        <v>183.8</v>
      </c>
      <c r="L2560">
        <v>205.02</v>
      </c>
      <c r="M2560">
        <v>228.19</v>
      </c>
      <c r="N2560" t="s">
        <v>988</v>
      </c>
    </row>
    <row r="2561" spans="1:14" x14ac:dyDescent="0.3">
      <c r="A2561">
        <v>2697</v>
      </c>
      <c r="B2561" t="s">
        <v>2092</v>
      </c>
      <c r="C2561" t="s">
        <v>2256</v>
      </c>
      <c r="D2561" t="s">
        <v>159</v>
      </c>
      <c r="E2561" t="s">
        <v>159</v>
      </c>
      <c r="F2561">
        <v>8063</v>
      </c>
      <c r="G2561" t="s">
        <v>684</v>
      </c>
      <c r="I2561">
        <v>443.15</v>
      </c>
      <c r="J2561">
        <v>494.33</v>
      </c>
      <c r="K2561">
        <v>551.41999999999996</v>
      </c>
      <c r="L2561">
        <v>615.07000000000005</v>
      </c>
      <c r="M2561">
        <v>684.59</v>
      </c>
      <c r="N2561" t="s">
        <v>988</v>
      </c>
    </row>
    <row r="2562" spans="1:14" x14ac:dyDescent="0.3">
      <c r="A2562">
        <v>2697</v>
      </c>
      <c r="B2562" t="s">
        <v>2092</v>
      </c>
      <c r="C2562" t="s">
        <v>2256</v>
      </c>
      <c r="D2562" t="s">
        <v>159</v>
      </c>
      <c r="E2562" t="s">
        <v>159</v>
      </c>
      <c r="F2562">
        <v>8063</v>
      </c>
      <c r="G2562" t="s">
        <v>687</v>
      </c>
      <c r="H2562" t="s">
        <v>2095</v>
      </c>
      <c r="I2562">
        <v>6.33</v>
      </c>
      <c r="J2562">
        <v>7.06</v>
      </c>
      <c r="K2562">
        <v>7.88</v>
      </c>
      <c r="L2562">
        <v>8.7799999999999994</v>
      </c>
      <c r="M2562">
        <v>9.7799999999999994</v>
      </c>
      <c r="N2562" t="s">
        <v>988</v>
      </c>
    </row>
    <row r="2563" spans="1:14" x14ac:dyDescent="0.3">
      <c r="A2563">
        <v>2697</v>
      </c>
      <c r="B2563" t="s">
        <v>2092</v>
      </c>
      <c r="C2563" t="s">
        <v>2256</v>
      </c>
      <c r="D2563" t="s">
        <v>159</v>
      </c>
      <c r="E2563" t="s">
        <v>159</v>
      </c>
      <c r="F2563">
        <v>8063</v>
      </c>
      <c r="G2563" t="s">
        <v>696</v>
      </c>
      <c r="I2563">
        <v>16702.689999999999</v>
      </c>
      <c r="J2563">
        <v>18631.62</v>
      </c>
      <c r="K2563">
        <v>20783.32</v>
      </c>
      <c r="L2563">
        <v>23182.44</v>
      </c>
      <c r="M2563">
        <v>25802.57</v>
      </c>
      <c r="N2563" t="s">
        <v>988</v>
      </c>
    </row>
    <row r="2564" spans="1:14" x14ac:dyDescent="0.3">
      <c r="A2564">
        <v>2697</v>
      </c>
      <c r="B2564" t="s">
        <v>2092</v>
      </c>
      <c r="C2564" t="s">
        <v>2256</v>
      </c>
      <c r="D2564" t="s">
        <v>159</v>
      </c>
      <c r="E2564" t="s">
        <v>159</v>
      </c>
      <c r="F2564">
        <v>8063</v>
      </c>
      <c r="G2564" t="s">
        <v>686</v>
      </c>
      <c r="H2564" t="s">
        <v>1873</v>
      </c>
      <c r="I2564">
        <v>930.4</v>
      </c>
      <c r="J2564">
        <v>1037.43</v>
      </c>
      <c r="K2564">
        <v>1156.77</v>
      </c>
      <c r="L2564">
        <v>1289.47</v>
      </c>
      <c r="M2564">
        <v>1435.1</v>
      </c>
      <c r="N2564" t="s">
        <v>988</v>
      </c>
    </row>
    <row r="2565" spans="1:14" x14ac:dyDescent="0.3">
      <c r="A2565">
        <v>2697</v>
      </c>
      <c r="B2565" t="s">
        <v>2092</v>
      </c>
      <c r="C2565" t="s">
        <v>2256</v>
      </c>
      <c r="D2565" t="s">
        <v>159</v>
      </c>
      <c r="E2565" t="s">
        <v>159</v>
      </c>
      <c r="F2565">
        <v>8063</v>
      </c>
      <c r="G2565" t="s">
        <v>684</v>
      </c>
      <c r="H2565" t="s">
        <v>1875</v>
      </c>
      <c r="I2565">
        <v>1778.87</v>
      </c>
      <c r="J2565">
        <v>2057.75</v>
      </c>
      <c r="K2565">
        <v>2295.56</v>
      </c>
      <c r="L2565">
        <v>2560.86</v>
      </c>
      <c r="M2565">
        <v>2856.82</v>
      </c>
      <c r="N2565" t="s">
        <v>988</v>
      </c>
    </row>
    <row r="2566" spans="1:14" x14ac:dyDescent="0.3">
      <c r="A2566">
        <v>2697</v>
      </c>
      <c r="B2566" t="s">
        <v>2092</v>
      </c>
      <c r="C2566" t="s">
        <v>2256</v>
      </c>
      <c r="D2566" t="s">
        <v>159</v>
      </c>
      <c r="E2566" t="s">
        <v>159</v>
      </c>
      <c r="F2566">
        <v>8063</v>
      </c>
      <c r="G2566" t="s">
        <v>702</v>
      </c>
      <c r="H2566" t="s">
        <v>1875</v>
      </c>
      <c r="I2566">
        <v>2737.15</v>
      </c>
      <c r="J2566">
        <v>3166.25</v>
      </c>
      <c r="K2566">
        <v>3532.18</v>
      </c>
      <c r="L2566">
        <v>3940.39</v>
      </c>
      <c r="M2566">
        <v>4395.78</v>
      </c>
      <c r="N2566" t="s">
        <v>988</v>
      </c>
    </row>
    <row r="2567" spans="1:14" x14ac:dyDescent="0.3">
      <c r="A2567">
        <v>2697</v>
      </c>
      <c r="B2567" t="s">
        <v>2092</v>
      </c>
      <c r="C2567" t="s">
        <v>2256</v>
      </c>
      <c r="D2567" t="s">
        <v>159</v>
      </c>
      <c r="E2567" t="s">
        <v>159</v>
      </c>
      <c r="F2567">
        <v>8063</v>
      </c>
      <c r="G2567" t="s">
        <v>702</v>
      </c>
      <c r="I2567">
        <v>2859</v>
      </c>
      <c r="J2567">
        <v>3189.18</v>
      </c>
      <c r="K2567">
        <v>3557.48</v>
      </c>
      <c r="L2567">
        <v>3968.14</v>
      </c>
      <c r="M2567">
        <v>4416.63</v>
      </c>
      <c r="N2567" t="s">
        <v>988</v>
      </c>
    </row>
    <row r="2568" spans="1:14" x14ac:dyDescent="0.3">
      <c r="A2568">
        <v>2697</v>
      </c>
      <c r="B2568" t="s">
        <v>2092</v>
      </c>
      <c r="C2568" t="s">
        <v>2256</v>
      </c>
      <c r="D2568" t="s">
        <v>159</v>
      </c>
      <c r="E2568" t="s">
        <v>159</v>
      </c>
      <c r="F2568">
        <v>8063</v>
      </c>
      <c r="G2568" t="s">
        <v>686</v>
      </c>
      <c r="H2568" t="s">
        <v>1875</v>
      </c>
      <c r="I2568">
        <v>1038.69</v>
      </c>
      <c r="J2568">
        <v>1201.52</v>
      </c>
      <c r="K2568">
        <v>1340.38</v>
      </c>
      <c r="L2568">
        <v>1495.29</v>
      </c>
      <c r="M2568">
        <v>1668.1</v>
      </c>
      <c r="N2568" t="s">
        <v>988</v>
      </c>
    </row>
    <row r="2569" spans="1:14" x14ac:dyDescent="0.3">
      <c r="A2569">
        <v>2697</v>
      </c>
      <c r="B2569" t="s">
        <v>2092</v>
      </c>
      <c r="C2569" t="s">
        <v>2256</v>
      </c>
      <c r="D2569" t="s">
        <v>159</v>
      </c>
      <c r="E2569" t="s">
        <v>159</v>
      </c>
      <c r="F2569">
        <v>8063</v>
      </c>
      <c r="G2569" t="s">
        <v>687</v>
      </c>
      <c r="H2569" t="s">
        <v>2094</v>
      </c>
      <c r="I2569">
        <v>177.14</v>
      </c>
      <c r="J2569">
        <v>197.6</v>
      </c>
      <c r="K2569">
        <v>220.42</v>
      </c>
      <c r="L2569">
        <v>245.86</v>
      </c>
      <c r="M2569">
        <v>273.64999999999998</v>
      </c>
      <c r="N2569" t="s">
        <v>988</v>
      </c>
    </row>
    <row r="2570" spans="1:14" x14ac:dyDescent="0.3">
      <c r="A2570">
        <v>2704</v>
      </c>
      <c r="B2570" t="s">
        <v>2096</v>
      </c>
      <c r="C2570" t="s">
        <v>2256</v>
      </c>
      <c r="D2570" t="s">
        <v>159</v>
      </c>
      <c r="E2570" t="s">
        <v>159</v>
      </c>
      <c r="F2570">
        <v>7853</v>
      </c>
      <c r="G2570" t="s">
        <v>696</v>
      </c>
      <c r="I2570">
        <v>5276.9</v>
      </c>
      <c r="J2570">
        <v>5172.3999999999996</v>
      </c>
      <c r="K2570">
        <v>5072</v>
      </c>
      <c r="L2570">
        <v>4972</v>
      </c>
      <c r="M2570">
        <v>4961</v>
      </c>
      <c r="N2570" t="s">
        <v>988</v>
      </c>
    </row>
    <row r="2571" spans="1:14" x14ac:dyDescent="0.3">
      <c r="A2571">
        <v>2704</v>
      </c>
      <c r="B2571" t="s">
        <v>2096</v>
      </c>
      <c r="C2571" t="s">
        <v>2256</v>
      </c>
      <c r="D2571" t="s">
        <v>159</v>
      </c>
      <c r="E2571" t="s">
        <v>159</v>
      </c>
      <c r="F2571">
        <v>7853</v>
      </c>
      <c r="G2571" t="s">
        <v>702</v>
      </c>
      <c r="I2571">
        <v>666</v>
      </c>
      <c r="J2571">
        <v>666</v>
      </c>
      <c r="K2571">
        <v>666</v>
      </c>
      <c r="L2571">
        <v>666</v>
      </c>
      <c r="M2571">
        <v>666</v>
      </c>
      <c r="N2571" t="s">
        <v>988</v>
      </c>
    </row>
    <row r="2572" spans="1:14" x14ac:dyDescent="0.3">
      <c r="A2572">
        <v>2704</v>
      </c>
      <c r="B2572" t="s">
        <v>2096</v>
      </c>
      <c r="C2572" t="s">
        <v>2256</v>
      </c>
      <c r="D2572" t="s">
        <v>159</v>
      </c>
      <c r="E2572" t="s">
        <v>159</v>
      </c>
      <c r="F2572">
        <v>7853</v>
      </c>
      <c r="G2572" t="s">
        <v>701</v>
      </c>
      <c r="I2572">
        <v>81.400000000000006</v>
      </c>
      <c r="J2572">
        <v>83</v>
      </c>
      <c r="K2572">
        <v>86</v>
      </c>
      <c r="L2572">
        <v>88</v>
      </c>
      <c r="M2572">
        <v>88</v>
      </c>
      <c r="N2572" t="s">
        <v>988</v>
      </c>
    </row>
    <row r="2573" spans="1:14" x14ac:dyDescent="0.3">
      <c r="A2573">
        <v>2704</v>
      </c>
      <c r="B2573" t="s">
        <v>2096</v>
      </c>
      <c r="C2573" t="s">
        <v>2256</v>
      </c>
      <c r="D2573" t="s">
        <v>159</v>
      </c>
      <c r="E2573" t="s">
        <v>159</v>
      </c>
      <c r="F2573">
        <v>7853</v>
      </c>
      <c r="G2573" t="s">
        <v>700</v>
      </c>
      <c r="I2573">
        <v>2064</v>
      </c>
      <c r="J2573">
        <v>2116.4</v>
      </c>
      <c r="K2573">
        <v>2169</v>
      </c>
      <c r="L2573">
        <v>2223</v>
      </c>
      <c r="M2573">
        <v>2223</v>
      </c>
      <c r="N2573" t="s">
        <v>988</v>
      </c>
    </row>
    <row r="2574" spans="1:14" x14ac:dyDescent="0.3">
      <c r="A2574">
        <v>2704</v>
      </c>
      <c r="B2574" t="s">
        <v>2096</v>
      </c>
      <c r="C2574" t="s">
        <v>2256</v>
      </c>
      <c r="D2574" t="s">
        <v>159</v>
      </c>
      <c r="E2574" t="s">
        <v>159</v>
      </c>
      <c r="F2574">
        <v>7853</v>
      </c>
      <c r="G2574" t="s">
        <v>698</v>
      </c>
      <c r="I2574">
        <v>2470.4</v>
      </c>
      <c r="J2574">
        <v>2465.4</v>
      </c>
      <c r="K2574">
        <v>2431</v>
      </c>
      <c r="L2574">
        <v>2378</v>
      </c>
      <c r="M2574">
        <v>2388</v>
      </c>
      <c r="N2574" t="s">
        <v>988</v>
      </c>
    </row>
    <row r="2575" spans="1:14" x14ac:dyDescent="0.3">
      <c r="A2575">
        <v>2704</v>
      </c>
      <c r="B2575" t="s">
        <v>2096</v>
      </c>
      <c r="C2575" t="s">
        <v>2256</v>
      </c>
      <c r="D2575" t="s">
        <v>159</v>
      </c>
      <c r="E2575" t="s">
        <v>159</v>
      </c>
      <c r="F2575">
        <v>7853</v>
      </c>
      <c r="G2575" t="s">
        <v>686</v>
      </c>
      <c r="H2575" t="s">
        <v>1622</v>
      </c>
      <c r="I2575">
        <v>521</v>
      </c>
      <c r="J2575">
        <v>518.4</v>
      </c>
      <c r="K2575">
        <v>514</v>
      </c>
      <c r="L2575">
        <v>510</v>
      </c>
      <c r="M2575">
        <v>510</v>
      </c>
      <c r="N2575" t="s">
        <v>988</v>
      </c>
    </row>
    <row r="2576" spans="1:14" x14ac:dyDescent="0.3">
      <c r="A2576">
        <v>2723</v>
      </c>
      <c r="B2576" t="s">
        <v>2098</v>
      </c>
      <c r="C2576" t="s">
        <v>2256</v>
      </c>
      <c r="D2576" t="s">
        <v>159</v>
      </c>
      <c r="E2576" t="s">
        <v>159</v>
      </c>
      <c r="F2576">
        <v>5513</v>
      </c>
      <c r="G2576" t="s">
        <v>698</v>
      </c>
      <c r="I2576">
        <v>1758</v>
      </c>
      <c r="J2576">
        <v>1797</v>
      </c>
      <c r="K2576">
        <v>1836</v>
      </c>
      <c r="L2576">
        <v>1877</v>
      </c>
      <c r="M2576">
        <v>1919</v>
      </c>
      <c r="N2576" t="s">
        <v>988</v>
      </c>
    </row>
    <row r="2577" spans="1:14" x14ac:dyDescent="0.3">
      <c r="A2577">
        <v>2723</v>
      </c>
      <c r="B2577" t="s">
        <v>2098</v>
      </c>
      <c r="C2577" t="s">
        <v>2256</v>
      </c>
      <c r="D2577" t="s">
        <v>159</v>
      </c>
      <c r="E2577" t="s">
        <v>159</v>
      </c>
      <c r="F2577">
        <v>5513</v>
      </c>
      <c r="G2577" t="s">
        <v>700</v>
      </c>
      <c r="I2577">
        <v>1295</v>
      </c>
      <c r="J2577">
        <v>1324</v>
      </c>
      <c r="K2577">
        <v>1353</v>
      </c>
      <c r="L2577">
        <v>1383</v>
      </c>
      <c r="M2577">
        <v>1414</v>
      </c>
      <c r="N2577" t="s">
        <v>988</v>
      </c>
    </row>
    <row r="2578" spans="1:14" x14ac:dyDescent="0.3">
      <c r="A2578">
        <v>2723</v>
      </c>
      <c r="B2578" t="s">
        <v>2098</v>
      </c>
      <c r="C2578" t="s">
        <v>2256</v>
      </c>
      <c r="D2578" t="s">
        <v>159</v>
      </c>
      <c r="E2578" t="s">
        <v>159</v>
      </c>
      <c r="F2578">
        <v>5513</v>
      </c>
      <c r="G2578" t="s">
        <v>701</v>
      </c>
      <c r="I2578">
        <v>28</v>
      </c>
      <c r="J2578">
        <v>29</v>
      </c>
      <c r="K2578">
        <v>29</v>
      </c>
      <c r="L2578">
        <v>30</v>
      </c>
      <c r="M2578">
        <v>31</v>
      </c>
      <c r="N2578" t="s">
        <v>988</v>
      </c>
    </row>
    <row r="2579" spans="1:14" x14ac:dyDescent="0.3">
      <c r="A2579">
        <v>2723</v>
      </c>
      <c r="B2579" t="s">
        <v>2098</v>
      </c>
      <c r="C2579" t="s">
        <v>2256</v>
      </c>
      <c r="D2579" t="s">
        <v>159</v>
      </c>
      <c r="E2579" t="s">
        <v>159</v>
      </c>
      <c r="F2579">
        <v>5513</v>
      </c>
      <c r="G2579" t="s">
        <v>702</v>
      </c>
      <c r="I2579">
        <v>241</v>
      </c>
      <c r="J2579">
        <v>246</v>
      </c>
      <c r="K2579">
        <v>252</v>
      </c>
      <c r="L2579">
        <v>257</v>
      </c>
      <c r="M2579">
        <v>263</v>
      </c>
      <c r="N2579" t="s">
        <v>988</v>
      </c>
    </row>
    <row r="2580" spans="1:14" x14ac:dyDescent="0.3">
      <c r="A2580">
        <v>2723</v>
      </c>
      <c r="B2580" t="s">
        <v>2098</v>
      </c>
      <c r="C2580" t="s">
        <v>2256</v>
      </c>
      <c r="D2580" t="s">
        <v>159</v>
      </c>
      <c r="E2580" t="s">
        <v>159</v>
      </c>
      <c r="F2580">
        <v>5513</v>
      </c>
      <c r="G2580" t="s">
        <v>686</v>
      </c>
      <c r="I2580">
        <v>316</v>
      </c>
      <c r="J2580">
        <v>323</v>
      </c>
      <c r="K2580">
        <v>330</v>
      </c>
      <c r="L2580">
        <v>337</v>
      </c>
      <c r="M2580">
        <v>345</v>
      </c>
      <c r="N2580" t="s">
        <v>988</v>
      </c>
    </row>
    <row r="2581" spans="1:14" x14ac:dyDescent="0.3">
      <c r="A2581">
        <v>2723</v>
      </c>
      <c r="B2581" t="s">
        <v>2098</v>
      </c>
      <c r="C2581" t="s">
        <v>2256</v>
      </c>
      <c r="D2581" t="s">
        <v>159</v>
      </c>
      <c r="E2581" t="s">
        <v>159</v>
      </c>
      <c r="F2581">
        <v>5513</v>
      </c>
      <c r="G2581" t="s">
        <v>696</v>
      </c>
      <c r="I2581">
        <v>3509</v>
      </c>
      <c r="J2581">
        <v>3586</v>
      </c>
      <c r="K2581">
        <v>3668</v>
      </c>
      <c r="L2581">
        <v>3748</v>
      </c>
      <c r="M2581">
        <v>3830</v>
      </c>
      <c r="N2581" t="s">
        <v>988</v>
      </c>
    </row>
    <row r="2582" spans="1:14" x14ac:dyDescent="0.3">
      <c r="A2582">
        <v>2751</v>
      </c>
      <c r="B2582" t="s">
        <v>2099</v>
      </c>
      <c r="C2582" t="s">
        <v>2256</v>
      </c>
      <c r="D2582" t="s">
        <v>1203</v>
      </c>
      <c r="E2582" t="s">
        <v>1204</v>
      </c>
      <c r="F2582">
        <v>5933</v>
      </c>
      <c r="G2582" t="s">
        <v>696</v>
      </c>
      <c r="I2582">
        <v>2909</v>
      </c>
      <c r="J2582">
        <v>3143</v>
      </c>
      <c r="K2582">
        <v>3385</v>
      </c>
      <c r="L2582">
        <v>3644</v>
      </c>
      <c r="N2582" t="s">
        <v>988</v>
      </c>
    </row>
    <row r="2583" spans="1:14" x14ac:dyDescent="0.3">
      <c r="A2583">
        <v>2751</v>
      </c>
      <c r="B2583" t="s">
        <v>2099</v>
      </c>
      <c r="C2583" t="s">
        <v>2256</v>
      </c>
      <c r="D2583" t="s">
        <v>1203</v>
      </c>
      <c r="E2583" t="s">
        <v>1204</v>
      </c>
      <c r="F2583">
        <v>5933</v>
      </c>
      <c r="G2583" t="s">
        <v>698</v>
      </c>
      <c r="I2583">
        <v>362</v>
      </c>
      <c r="J2583">
        <v>517</v>
      </c>
      <c r="K2583">
        <v>671</v>
      </c>
      <c r="L2583">
        <v>826</v>
      </c>
      <c r="N2583" t="s">
        <v>988</v>
      </c>
    </row>
    <row r="2584" spans="1:14" x14ac:dyDescent="0.3">
      <c r="A2584">
        <v>2751</v>
      </c>
      <c r="B2584" t="s">
        <v>2099</v>
      </c>
      <c r="C2584" t="s">
        <v>2256</v>
      </c>
      <c r="D2584" t="s">
        <v>1203</v>
      </c>
      <c r="E2584" t="s">
        <v>1204</v>
      </c>
      <c r="F2584">
        <v>5933</v>
      </c>
      <c r="G2584" t="s">
        <v>700</v>
      </c>
      <c r="I2584">
        <v>563</v>
      </c>
      <c r="J2584">
        <v>570</v>
      </c>
      <c r="K2584">
        <v>586</v>
      </c>
      <c r="L2584">
        <v>591</v>
      </c>
      <c r="N2584" t="s">
        <v>988</v>
      </c>
    </row>
    <row r="2585" spans="1:14" x14ac:dyDescent="0.3">
      <c r="A2585">
        <v>2751</v>
      </c>
      <c r="B2585" t="s">
        <v>2099</v>
      </c>
      <c r="C2585" t="s">
        <v>2256</v>
      </c>
      <c r="D2585" t="s">
        <v>1203</v>
      </c>
      <c r="E2585" t="s">
        <v>1204</v>
      </c>
      <c r="F2585">
        <v>5933</v>
      </c>
      <c r="G2585" t="s">
        <v>701</v>
      </c>
      <c r="I2585">
        <v>136</v>
      </c>
      <c r="J2585">
        <v>138</v>
      </c>
      <c r="K2585">
        <v>141</v>
      </c>
      <c r="L2585">
        <v>143</v>
      </c>
      <c r="N2585" t="s">
        <v>988</v>
      </c>
    </row>
    <row r="2586" spans="1:14" x14ac:dyDescent="0.3">
      <c r="A2586">
        <v>2751</v>
      </c>
      <c r="B2586" t="s">
        <v>2099</v>
      </c>
      <c r="C2586" t="s">
        <v>2256</v>
      </c>
      <c r="D2586" t="s">
        <v>1203</v>
      </c>
      <c r="E2586" t="s">
        <v>1204</v>
      </c>
      <c r="F2586">
        <v>5933</v>
      </c>
      <c r="G2586" t="s">
        <v>702</v>
      </c>
      <c r="H2586" t="s">
        <v>1275</v>
      </c>
      <c r="I2586">
        <v>569</v>
      </c>
      <c r="J2586">
        <v>576</v>
      </c>
      <c r="K2586">
        <v>592</v>
      </c>
      <c r="L2586">
        <v>598</v>
      </c>
      <c r="N2586" t="s">
        <v>988</v>
      </c>
    </row>
    <row r="2587" spans="1:14" x14ac:dyDescent="0.3">
      <c r="A2587">
        <v>2751</v>
      </c>
      <c r="B2587" t="s">
        <v>2099</v>
      </c>
      <c r="C2587" t="s">
        <v>2256</v>
      </c>
      <c r="D2587" t="s">
        <v>1203</v>
      </c>
      <c r="E2587" t="s">
        <v>1204</v>
      </c>
      <c r="F2587">
        <v>5933</v>
      </c>
      <c r="G2587" t="s">
        <v>686</v>
      </c>
      <c r="H2587" t="s">
        <v>2452</v>
      </c>
      <c r="I2587">
        <v>304</v>
      </c>
      <c r="J2587">
        <v>331</v>
      </c>
      <c r="K2587">
        <v>360</v>
      </c>
      <c r="L2587">
        <v>388</v>
      </c>
      <c r="N2587" t="s">
        <v>988</v>
      </c>
    </row>
    <row r="2588" spans="1:14" x14ac:dyDescent="0.3">
      <c r="A2588">
        <v>2751</v>
      </c>
      <c r="B2588" t="s">
        <v>2099</v>
      </c>
      <c r="C2588" t="s">
        <v>2256</v>
      </c>
      <c r="D2588" t="s">
        <v>1203</v>
      </c>
      <c r="E2588" t="s">
        <v>1204</v>
      </c>
      <c r="F2588">
        <v>5933</v>
      </c>
      <c r="G2588" t="s">
        <v>687</v>
      </c>
      <c r="I2588">
        <v>17</v>
      </c>
      <c r="J2588">
        <v>18</v>
      </c>
      <c r="K2588">
        <v>18</v>
      </c>
      <c r="L2588">
        <v>18</v>
      </c>
      <c r="N2588" t="s">
        <v>988</v>
      </c>
    </row>
    <row r="2589" spans="1:14" x14ac:dyDescent="0.3">
      <c r="A2589">
        <v>2751</v>
      </c>
      <c r="B2589" t="s">
        <v>2099</v>
      </c>
      <c r="C2589" t="s">
        <v>2256</v>
      </c>
      <c r="D2589" t="s">
        <v>1203</v>
      </c>
      <c r="E2589" t="s">
        <v>1204</v>
      </c>
      <c r="F2589">
        <v>5933</v>
      </c>
      <c r="G2589" t="s">
        <v>692</v>
      </c>
      <c r="H2589" t="s">
        <v>2453</v>
      </c>
      <c r="I2589">
        <v>50</v>
      </c>
      <c r="J2589">
        <v>50</v>
      </c>
      <c r="K2589">
        <v>50</v>
      </c>
      <c r="L2589">
        <v>50</v>
      </c>
      <c r="N2589" t="s">
        <v>988</v>
      </c>
    </row>
    <row r="2590" spans="1:14" x14ac:dyDescent="0.3">
      <c r="A2590">
        <v>2766</v>
      </c>
      <c r="B2590" t="s">
        <v>2101</v>
      </c>
      <c r="C2590" t="s">
        <v>2256</v>
      </c>
      <c r="D2590" t="s">
        <v>1203</v>
      </c>
      <c r="E2590" t="s">
        <v>1204</v>
      </c>
      <c r="F2590">
        <v>5594</v>
      </c>
      <c r="G2590" t="s">
        <v>686</v>
      </c>
      <c r="I2590">
        <v>1302</v>
      </c>
      <c r="J2590">
        <v>1374</v>
      </c>
      <c r="K2590">
        <v>1451</v>
      </c>
      <c r="L2590">
        <v>1532</v>
      </c>
      <c r="M2590">
        <v>1617</v>
      </c>
      <c r="N2590" t="s">
        <v>988</v>
      </c>
    </row>
    <row r="2591" spans="1:14" x14ac:dyDescent="0.3">
      <c r="A2591">
        <v>2766</v>
      </c>
      <c r="B2591" t="s">
        <v>2101</v>
      </c>
      <c r="C2591" t="s">
        <v>2256</v>
      </c>
      <c r="D2591" t="s">
        <v>1203</v>
      </c>
      <c r="E2591" t="s">
        <v>1204</v>
      </c>
      <c r="F2591">
        <v>5594</v>
      </c>
      <c r="G2591" t="s">
        <v>702</v>
      </c>
      <c r="I2591">
        <v>1045</v>
      </c>
      <c r="J2591">
        <v>1104</v>
      </c>
      <c r="K2591">
        <v>1165</v>
      </c>
      <c r="L2591">
        <v>1230</v>
      </c>
      <c r="M2591">
        <v>1298</v>
      </c>
      <c r="N2591" t="s">
        <v>988</v>
      </c>
    </row>
    <row r="2592" spans="1:14" x14ac:dyDescent="0.3">
      <c r="A2592">
        <v>2766</v>
      </c>
      <c r="B2592" t="s">
        <v>2101</v>
      </c>
      <c r="C2592" t="s">
        <v>2256</v>
      </c>
      <c r="D2592" t="s">
        <v>1203</v>
      </c>
      <c r="E2592" t="s">
        <v>1204</v>
      </c>
      <c r="F2592">
        <v>5594</v>
      </c>
      <c r="G2592" t="s">
        <v>703</v>
      </c>
      <c r="I2592">
        <v>446</v>
      </c>
      <c r="J2592">
        <v>471</v>
      </c>
      <c r="K2592">
        <v>497</v>
      </c>
      <c r="L2592">
        <v>524</v>
      </c>
      <c r="M2592">
        <v>554</v>
      </c>
      <c r="N2592" t="s">
        <v>988</v>
      </c>
    </row>
    <row r="2593" spans="1:14" x14ac:dyDescent="0.3">
      <c r="A2593">
        <v>2766</v>
      </c>
      <c r="B2593" t="s">
        <v>2101</v>
      </c>
      <c r="C2593" t="s">
        <v>2256</v>
      </c>
      <c r="D2593" t="s">
        <v>1203</v>
      </c>
      <c r="E2593" t="s">
        <v>1204</v>
      </c>
      <c r="F2593">
        <v>5594</v>
      </c>
      <c r="G2593" t="s">
        <v>701</v>
      </c>
      <c r="I2593">
        <v>206</v>
      </c>
      <c r="J2593">
        <v>218</v>
      </c>
      <c r="K2593">
        <v>230</v>
      </c>
      <c r="L2593">
        <v>243</v>
      </c>
      <c r="M2593">
        <v>256</v>
      </c>
      <c r="N2593" t="s">
        <v>988</v>
      </c>
    </row>
    <row r="2594" spans="1:14" x14ac:dyDescent="0.3">
      <c r="A2594">
        <v>2766</v>
      </c>
      <c r="B2594" t="s">
        <v>2101</v>
      </c>
      <c r="C2594" t="s">
        <v>2256</v>
      </c>
      <c r="D2594" t="s">
        <v>1203</v>
      </c>
      <c r="E2594" t="s">
        <v>1204</v>
      </c>
      <c r="F2594">
        <v>5594</v>
      </c>
      <c r="G2594" t="s">
        <v>700</v>
      </c>
      <c r="I2594">
        <v>2003</v>
      </c>
      <c r="J2594">
        <v>2115</v>
      </c>
      <c r="K2594">
        <v>2233</v>
      </c>
      <c r="L2594">
        <v>2357</v>
      </c>
      <c r="M2594">
        <v>2488</v>
      </c>
      <c r="N2594" t="s">
        <v>988</v>
      </c>
    </row>
    <row r="2595" spans="1:14" x14ac:dyDescent="0.3">
      <c r="A2595">
        <v>2766</v>
      </c>
      <c r="B2595" t="s">
        <v>2101</v>
      </c>
      <c r="C2595" t="s">
        <v>2256</v>
      </c>
      <c r="D2595" t="s">
        <v>1203</v>
      </c>
      <c r="E2595" t="s">
        <v>1204</v>
      </c>
      <c r="F2595">
        <v>5594</v>
      </c>
      <c r="G2595" t="s">
        <v>698</v>
      </c>
      <c r="I2595">
        <v>1681</v>
      </c>
      <c r="J2595">
        <v>1774</v>
      </c>
      <c r="K2595">
        <v>1873</v>
      </c>
      <c r="L2595">
        <v>1977</v>
      </c>
      <c r="M2595">
        <v>2087</v>
      </c>
      <c r="N2595" t="s">
        <v>988</v>
      </c>
    </row>
    <row r="2596" spans="1:14" x14ac:dyDescent="0.3">
      <c r="A2596">
        <v>2766</v>
      </c>
      <c r="B2596" t="s">
        <v>2101</v>
      </c>
      <c r="C2596" t="s">
        <v>2256</v>
      </c>
      <c r="D2596" t="s">
        <v>1203</v>
      </c>
      <c r="E2596" t="s">
        <v>1204</v>
      </c>
      <c r="F2596">
        <v>5594</v>
      </c>
      <c r="G2596" t="s">
        <v>696</v>
      </c>
      <c r="I2596">
        <v>5913</v>
      </c>
      <c r="J2596">
        <v>6242</v>
      </c>
      <c r="K2596">
        <v>6590</v>
      </c>
      <c r="L2596">
        <v>6957</v>
      </c>
      <c r="M2596">
        <v>7345</v>
      </c>
      <c r="N2596" t="s">
        <v>988</v>
      </c>
    </row>
    <row r="2597" spans="1:14" x14ac:dyDescent="0.3">
      <c r="A2597">
        <v>2782</v>
      </c>
      <c r="B2597" t="s">
        <v>2103</v>
      </c>
      <c r="C2597" t="s">
        <v>2256</v>
      </c>
      <c r="D2597" t="s">
        <v>159</v>
      </c>
      <c r="E2597" t="s">
        <v>159</v>
      </c>
      <c r="F2597">
        <v>8067</v>
      </c>
      <c r="G2597" t="s">
        <v>696</v>
      </c>
      <c r="I2597">
        <v>12616</v>
      </c>
      <c r="J2597">
        <v>12519</v>
      </c>
      <c r="K2597">
        <v>12416</v>
      </c>
      <c r="L2597">
        <v>12278</v>
      </c>
      <c r="M2597">
        <v>12215</v>
      </c>
      <c r="N2597" t="s">
        <v>988</v>
      </c>
    </row>
    <row r="2598" spans="1:14" x14ac:dyDescent="0.3">
      <c r="A2598">
        <v>2782</v>
      </c>
      <c r="B2598" t="s">
        <v>2103</v>
      </c>
      <c r="C2598" t="s">
        <v>2256</v>
      </c>
      <c r="D2598" t="s">
        <v>159</v>
      </c>
      <c r="E2598" t="s">
        <v>159</v>
      </c>
      <c r="F2598">
        <v>8067</v>
      </c>
      <c r="G2598" t="s">
        <v>686</v>
      </c>
      <c r="H2598" t="s">
        <v>1289</v>
      </c>
      <c r="I2598">
        <v>1648</v>
      </c>
      <c r="J2598">
        <v>1672</v>
      </c>
      <c r="K2598">
        <v>1673</v>
      </c>
      <c r="L2598">
        <v>1671</v>
      </c>
      <c r="M2598">
        <v>1666</v>
      </c>
      <c r="N2598" t="s">
        <v>988</v>
      </c>
    </row>
    <row r="2599" spans="1:14" x14ac:dyDescent="0.3">
      <c r="A2599">
        <v>2782</v>
      </c>
      <c r="B2599" t="s">
        <v>2103</v>
      </c>
      <c r="C2599" t="s">
        <v>2256</v>
      </c>
      <c r="D2599" t="s">
        <v>159</v>
      </c>
      <c r="E2599" t="s">
        <v>159</v>
      </c>
      <c r="F2599">
        <v>8067</v>
      </c>
      <c r="G2599" t="s">
        <v>702</v>
      </c>
      <c r="I2599">
        <v>3145</v>
      </c>
      <c r="J2599">
        <v>3145</v>
      </c>
      <c r="K2599">
        <v>3145</v>
      </c>
      <c r="L2599">
        <v>3145</v>
      </c>
      <c r="M2599">
        <v>3145</v>
      </c>
      <c r="N2599" t="s">
        <v>988</v>
      </c>
    </row>
    <row r="2600" spans="1:14" x14ac:dyDescent="0.3">
      <c r="A2600">
        <v>2782</v>
      </c>
      <c r="B2600" t="s">
        <v>2103</v>
      </c>
      <c r="C2600" t="s">
        <v>2256</v>
      </c>
      <c r="D2600" t="s">
        <v>159</v>
      </c>
      <c r="E2600" t="s">
        <v>159</v>
      </c>
      <c r="F2600">
        <v>8067</v>
      </c>
      <c r="G2600" t="s">
        <v>700</v>
      </c>
      <c r="I2600">
        <v>1292</v>
      </c>
      <c r="J2600">
        <v>1644</v>
      </c>
      <c r="K2600">
        <v>1767</v>
      </c>
      <c r="L2600">
        <v>1900</v>
      </c>
      <c r="M2600">
        <v>1900</v>
      </c>
      <c r="N2600" t="s">
        <v>988</v>
      </c>
    </row>
    <row r="2601" spans="1:14" x14ac:dyDescent="0.3">
      <c r="A2601">
        <v>2782</v>
      </c>
      <c r="B2601" t="s">
        <v>2103</v>
      </c>
      <c r="C2601" t="s">
        <v>2256</v>
      </c>
      <c r="D2601" t="s">
        <v>159</v>
      </c>
      <c r="E2601" t="s">
        <v>159</v>
      </c>
      <c r="F2601">
        <v>8067</v>
      </c>
      <c r="G2601" t="s">
        <v>698</v>
      </c>
      <c r="I2601">
        <v>432</v>
      </c>
      <c r="J2601">
        <v>422</v>
      </c>
      <c r="K2601">
        <v>413</v>
      </c>
      <c r="L2601">
        <v>406</v>
      </c>
      <c r="M2601">
        <v>407</v>
      </c>
      <c r="N2601" t="s">
        <v>988</v>
      </c>
    </row>
    <row r="2602" spans="1:14" x14ac:dyDescent="0.3">
      <c r="A2602">
        <v>2789</v>
      </c>
      <c r="B2602" t="s">
        <v>2106</v>
      </c>
      <c r="C2602" t="s">
        <v>2256</v>
      </c>
      <c r="D2602" t="s">
        <v>1203</v>
      </c>
      <c r="E2602" t="s">
        <v>1204</v>
      </c>
      <c r="F2602">
        <v>5726</v>
      </c>
      <c r="G2602" t="s">
        <v>700</v>
      </c>
      <c r="I2602">
        <v>475</v>
      </c>
      <c r="J2602">
        <v>472</v>
      </c>
      <c r="K2602">
        <v>466</v>
      </c>
      <c r="L2602">
        <v>458</v>
      </c>
      <c r="M2602">
        <v>449</v>
      </c>
      <c r="N2602" t="s">
        <v>988</v>
      </c>
    </row>
    <row r="2603" spans="1:14" x14ac:dyDescent="0.3">
      <c r="A2603">
        <v>2789</v>
      </c>
      <c r="B2603" t="s">
        <v>2106</v>
      </c>
      <c r="C2603" t="s">
        <v>2256</v>
      </c>
      <c r="D2603" t="s">
        <v>1203</v>
      </c>
      <c r="E2603" t="s">
        <v>1204</v>
      </c>
      <c r="F2603">
        <v>5726</v>
      </c>
      <c r="G2603" t="s">
        <v>696</v>
      </c>
      <c r="I2603">
        <v>878</v>
      </c>
      <c r="J2603">
        <v>873</v>
      </c>
      <c r="K2603">
        <v>862</v>
      </c>
      <c r="L2603">
        <v>847</v>
      </c>
      <c r="M2603">
        <v>830</v>
      </c>
      <c r="N2603" t="s">
        <v>988</v>
      </c>
    </row>
    <row r="2604" spans="1:14" x14ac:dyDescent="0.3">
      <c r="A2604">
        <v>2789</v>
      </c>
      <c r="B2604" t="s">
        <v>2106</v>
      </c>
      <c r="C2604" t="s">
        <v>2256</v>
      </c>
      <c r="D2604" t="s">
        <v>1203</v>
      </c>
      <c r="E2604" t="s">
        <v>1204</v>
      </c>
      <c r="F2604">
        <v>5726</v>
      </c>
      <c r="G2604" t="s">
        <v>698</v>
      </c>
      <c r="I2604">
        <v>294</v>
      </c>
      <c r="J2604">
        <v>293</v>
      </c>
      <c r="K2604">
        <v>289</v>
      </c>
      <c r="L2604">
        <v>284</v>
      </c>
      <c r="M2604">
        <v>278</v>
      </c>
      <c r="N2604" t="s">
        <v>988</v>
      </c>
    </row>
    <row r="2605" spans="1:14" x14ac:dyDescent="0.3">
      <c r="A2605">
        <v>2789</v>
      </c>
      <c r="B2605" t="s">
        <v>2106</v>
      </c>
      <c r="C2605" t="s">
        <v>2256</v>
      </c>
      <c r="D2605" t="s">
        <v>1203</v>
      </c>
      <c r="E2605" t="s">
        <v>1204</v>
      </c>
      <c r="F2605">
        <v>5726</v>
      </c>
      <c r="G2605" t="s">
        <v>701</v>
      </c>
      <c r="I2605">
        <v>87</v>
      </c>
      <c r="J2605">
        <v>87</v>
      </c>
      <c r="K2605">
        <v>86</v>
      </c>
      <c r="L2605">
        <v>84</v>
      </c>
      <c r="M2605">
        <v>83</v>
      </c>
      <c r="N2605" t="s">
        <v>988</v>
      </c>
    </row>
    <row r="2606" spans="1:14" x14ac:dyDescent="0.3">
      <c r="A2606">
        <v>2789</v>
      </c>
      <c r="B2606" t="s">
        <v>2106</v>
      </c>
      <c r="C2606" t="s">
        <v>2256</v>
      </c>
      <c r="D2606" t="s">
        <v>1203</v>
      </c>
      <c r="E2606" t="s">
        <v>1204</v>
      </c>
      <c r="F2606">
        <v>5726</v>
      </c>
      <c r="G2606" t="s">
        <v>702</v>
      </c>
      <c r="I2606">
        <v>156</v>
      </c>
      <c r="J2606">
        <v>155</v>
      </c>
      <c r="K2606">
        <v>153</v>
      </c>
      <c r="L2606">
        <v>150</v>
      </c>
      <c r="M2606">
        <v>147</v>
      </c>
      <c r="N2606" t="s">
        <v>988</v>
      </c>
    </row>
    <row r="2607" spans="1:14" x14ac:dyDescent="0.3">
      <c r="A2607">
        <v>2789</v>
      </c>
      <c r="B2607" t="s">
        <v>2106</v>
      </c>
      <c r="C2607" t="s">
        <v>2256</v>
      </c>
      <c r="D2607" t="s">
        <v>1203</v>
      </c>
      <c r="E2607" t="s">
        <v>1204</v>
      </c>
      <c r="F2607">
        <v>5726</v>
      </c>
      <c r="G2607" t="s">
        <v>686</v>
      </c>
      <c r="I2607">
        <v>152</v>
      </c>
      <c r="J2607">
        <v>137</v>
      </c>
      <c r="K2607">
        <v>123</v>
      </c>
      <c r="L2607">
        <v>111</v>
      </c>
      <c r="M2607">
        <v>100</v>
      </c>
      <c r="N2607" t="s">
        <v>988</v>
      </c>
    </row>
    <row r="2608" spans="1:14" x14ac:dyDescent="0.3">
      <c r="A2608">
        <v>2789</v>
      </c>
      <c r="B2608" t="s">
        <v>2106</v>
      </c>
      <c r="C2608" t="s">
        <v>2256</v>
      </c>
      <c r="D2608" t="s">
        <v>1203</v>
      </c>
      <c r="E2608" t="s">
        <v>1204</v>
      </c>
      <c r="F2608">
        <v>5726</v>
      </c>
      <c r="G2608" t="s">
        <v>687</v>
      </c>
      <c r="I2608">
        <v>2</v>
      </c>
      <c r="J2608">
        <v>2</v>
      </c>
      <c r="K2608">
        <v>2</v>
      </c>
      <c r="L2608">
        <v>2</v>
      </c>
      <c r="M2608">
        <v>2</v>
      </c>
      <c r="N2608" t="s">
        <v>988</v>
      </c>
    </row>
    <row r="2609" spans="1:14" x14ac:dyDescent="0.3">
      <c r="A2609">
        <v>2790</v>
      </c>
      <c r="B2609" t="s">
        <v>763</v>
      </c>
      <c r="C2609" t="s">
        <v>2256</v>
      </c>
      <c r="D2609" t="s">
        <v>1203</v>
      </c>
      <c r="E2609" t="s">
        <v>1204</v>
      </c>
      <c r="F2609">
        <v>5830</v>
      </c>
      <c r="G2609" t="s">
        <v>691</v>
      </c>
      <c r="I2609">
        <v>14935</v>
      </c>
      <c r="J2609">
        <v>15480</v>
      </c>
      <c r="K2609">
        <v>16150</v>
      </c>
      <c r="L2609">
        <v>16995</v>
      </c>
      <c r="M2609">
        <v>17830</v>
      </c>
      <c r="N2609" t="s">
        <v>988</v>
      </c>
    </row>
    <row r="2610" spans="1:14" x14ac:dyDescent="0.3">
      <c r="A2610">
        <v>2793</v>
      </c>
      <c r="B2610" t="s">
        <v>2107</v>
      </c>
      <c r="C2610" t="s">
        <v>2256</v>
      </c>
      <c r="D2610" t="s">
        <v>1203</v>
      </c>
      <c r="E2610" t="s">
        <v>1204</v>
      </c>
      <c r="F2610">
        <v>5881</v>
      </c>
      <c r="G2610" t="s">
        <v>686</v>
      </c>
      <c r="H2610" t="s">
        <v>1227</v>
      </c>
      <c r="I2610">
        <v>671</v>
      </c>
      <c r="J2610">
        <v>638</v>
      </c>
      <c r="K2610">
        <v>606</v>
      </c>
      <c r="L2610">
        <v>577</v>
      </c>
      <c r="M2610">
        <v>549</v>
      </c>
      <c r="N2610" t="s">
        <v>988</v>
      </c>
    </row>
    <row r="2611" spans="1:14" x14ac:dyDescent="0.3">
      <c r="A2611">
        <v>2793</v>
      </c>
      <c r="B2611" t="s">
        <v>2107</v>
      </c>
      <c r="C2611" t="s">
        <v>2256</v>
      </c>
      <c r="D2611" t="s">
        <v>1203</v>
      </c>
      <c r="E2611" t="s">
        <v>1204</v>
      </c>
      <c r="F2611">
        <v>5881</v>
      </c>
      <c r="G2611" t="s">
        <v>705</v>
      </c>
      <c r="H2611" t="s">
        <v>2109</v>
      </c>
      <c r="I2611">
        <v>2000</v>
      </c>
      <c r="J2611">
        <v>2000</v>
      </c>
      <c r="K2611">
        <v>2000</v>
      </c>
      <c r="L2611">
        <v>2000</v>
      </c>
      <c r="M2611">
        <v>2000</v>
      </c>
      <c r="N2611" t="s">
        <v>988</v>
      </c>
    </row>
    <row r="2612" spans="1:14" x14ac:dyDescent="0.3">
      <c r="A2612">
        <v>2793</v>
      </c>
      <c r="B2612" t="s">
        <v>2107</v>
      </c>
      <c r="C2612" t="s">
        <v>2256</v>
      </c>
      <c r="D2612" t="s">
        <v>1203</v>
      </c>
      <c r="E2612" t="s">
        <v>1204</v>
      </c>
      <c r="F2612">
        <v>5881</v>
      </c>
      <c r="G2612" t="s">
        <v>700</v>
      </c>
      <c r="I2612">
        <v>264</v>
      </c>
      <c r="J2612">
        <v>248</v>
      </c>
      <c r="K2612">
        <v>233</v>
      </c>
      <c r="L2612">
        <v>219</v>
      </c>
      <c r="M2612">
        <v>206</v>
      </c>
      <c r="N2612" t="s">
        <v>988</v>
      </c>
    </row>
    <row r="2613" spans="1:14" x14ac:dyDescent="0.3">
      <c r="A2613">
        <v>2793</v>
      </c>
      <c r="B2613" t="s">
        <v>2107</v>
      </c>
      <c r="C2613" t="s">
        <v>2256</v>
      </c>
      <c r="D2613" t="s">
        <v>1203</v>
      </c>
      <c r="E2613" t="s">
        <v>1204</v>
      </c>
      <c r="F2613">
        <v>5881</v>
      </c>
      <c r="G2613" t="s">
        <v>687</v>
      </c>
      <c r="H2613" t="s">
        <v>1243</v>
      </c>
      <c r="I2613">
        <v>32</v>
      </c>
      <c r="J2613">
        <v>30</v>
      </c>
      <c r="K2613">
        <v>28</v>
      </c>
      <c r="L2613">
        <v>27</v>
      </c>
      <c r="M2613">
        <v>25</v>
      </c>
      <c r="N2613" t="s">
        <v>988</v>
      </c>
    </row>
    <row r="2614" spans="1:14" x14ac:dyDescent="0.3">
      <c r="A2614">
        <v>2793</v>
      </c>
      <c r="B2614" t="s">
        <v>2107</v>
      </c>
      <c r="C2614" t="s">
        <v>2256</v>
      </c>
      <c r="D2614" t="s">
        <v>1203</v>
      </c>
      <c r="E2614" t="s">
        <v>1204</v>
      </c>
      <c r="F2614">
        <v>5881</v>
      </c>
      <c r="G2614" t="s">
        <v>701</v>
      </c>
      <c r="I2614">
        <v>34</v>
      </c>
      <c r="J2614">
        <v>32</v>
      </c>
      <c r="K2614">
        <v>30</v>
      </c>
      <c r="L2614">
        <v>28</v>
      </c>
      <c r="M2614">
        <v>26</v>
      </c>
      <c r="N2614" t="s">
        <v>988</v>
      </c>
    </row>
    <row r="2615" spans="1:14" x14ac:dyDescent="0.3">
      <c r="A2615">
        <v>2793</v>
      </c>
      <c r="B2615" t="s">
        <v>2107</v>
      </c>
      <c r="C2615" t="s">
        <v>2256</v>
      </c>
      <c r="D2615" t="s">
        <v>1203</v>
      </c>
      <c r="E2615" t="s">
        <v>1204</v>
      </c>
      <c r="F2615">
        <v>5881</v>
      </c>
      <c r="G2615" t="s">
        <v>703</v>
      </c>
      <c r="I2615">
        <v>297</v>
      </c>
      <c r="J2615">
        <v>279</v>
      </c>
      <c r="K2615">
        <v>262</v>
      </c>
      <c r="L2615">
        <v>246</v>
      </c>
      <c r="M2615">
        <v>232</v>
      </c>
      <c r="N2615" t="s">
        <v>988</v>
      </c>
    </row>
    <row r="2616" spans="1:14" x14ac:dyDescent="0.3">
      <c r="A2616">
        <v>2793</v>
      </c>
      <c r="B2616" t="s">
        <v>2107</v>
      </c>
      <c r="C2616" t="s">
        <v>2256</v>
      </c>
      <c r="D2616" t="s">
        <v>1203</v>
      </c>
      <c r="E2616" t="s">
        <v>1204</v>
      </c>
      <c r="F2616">
        <v>5881</v>
      </c>
      <c r="G2616" t="s">
        <v>702</v>
      </c>
      <c r="I2616">
        <v>274</v>
      </c>
      <c r="J2616">
        <v>258</v>
      </c>
      <c r="K2616">
        <v>242</v>
      </c>
      <c r="L2616">
        <v>228</v>
      </c>
      <c r="M2616">
        <v>214</v>
      </c>
      <c r="N2616" t="s">
        <v>988</v>
      </c>
    </row>
    <row r="2617" spans="1:14" x14ac:dyDescent="0.3">
      <c r="A2617">
        <v>2793</v>
      </c>
      <c r="B2617" t="s">
        <v>2107</v>
      </c>
      <c r="C2617" t="s">
        <v>2256</v>
      </c>
      <c r="D2617" t="s">
        <v>1203</v>
      </c>
      <c r="E2617" t="s">
        <v>1204</v>
      </c>
      <c r="F2617">
        <v>5881</v>
      </c>
      <c r="G2617" t="s">
        <v>698</v>
      </c>
      <c r="I2617">
        <v>1068</v>
      </c>
      <c r="J2617">
        <v>1004</v>
      </c>
      <c r="K2617">
        <v>944</v>
      </c>
      <c r="L2617">
        <v>887</v>
      </c>
      <c r="M2617">
        <v>834</v>
      </c>
      <c r="N2617" t="s">
        <v>988</v>
      </c>
    </row>
    <row r="2618" spans="1:14" x14ac:dyDescent="0.3">
      <c r="A2618">
        <v>2793</v>
      </c>
      <c r="B2618" t="s">
        <v>2107</v>
      </c>
      <c r="C2618" t="s">
        <v>2256</v>
      </c>
      <c r="D2618" t="s">
        <v>1203</v>
      </c>
      <c r="E2618" t="s">
        <v>1204</v>
      </c>
      <c r="F2618">
        <v>5881</v>
      </c>
      <c r="G2618" t="s">
        <v>696</v>
      </c>
      <c r="I2618">
        <v>8018</v>
      </c>
      <c r="J2618">
        <v>7537</v>
      </c>
      <c r="K2618">
        <v>7085</v>
      </c>
      <c r="L2618">
        <v>6660</v>
      </c>
      <c r="M2618">
        <v>6260</v>
      </c>
      <c r="N2618" t="s">
        <v>988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A6D44-A572-4473-B7D3-074D84DD1048}">
  <sheetPr codeName="Sheet31">
    <tabColor rgb="FF7030A0"/>
  </sheetPr>
  <dimension ref="A1:N173"/>
  <sheetViews>
    <sheetView workbookViewId="0"/>
  </sheetViews>
  <sheetFormatPr defaultRowHeight="14.4" x14ac:dyDescent="0.3"/>
  <cols>
    <col min="1" max="1" width="7.6640625" bestFit="1" customWidth="1"/>
    <col min="2" max="2" width="49.5546875" bestFit="1" customWidth="1"/>
    <col min="3" max="3" width="72" bestFit="1" customWidth="1"/>
    <col min="4" max="4" width="18.88671875" bestFit="1" customWidth="1"/>
    <col min="5" max="5" width="26.5546875" bestFit="1" customWidth="1"/>
    <col min="6" max="6" width="23" bestFit="1" customWidth="1"/>
    <col min="7" max="7" width="91.109375" bestFit="1" customWidth="1"/>
    <col min="8" max="8" width="104.5546875" bestFit="1" customWidth="1"/>
    <col min="9" max="13" width="28" bestFit="1" customWidth="1"/>
    <col min="14" max="14" width="19.44140625" bestFit="1" customWidth="1"/>
  </cols>
  <sheetData>
    <row r="1" spans="1:14" x14ac:dyDescent="0.3">
      <c r="A1" t="s">
        <v>1191</v>
      </c>
      <c r="B1" t="s">
        <v>1192</v>
      </c>
      <c r="C1" t="s">
        <v>1193</v>
      </c>
      <c r="D1" t="s">
        <v>1194</v>
      </c>
      <c r="E1" t="s">
        <v>1195</v>
      </c>
      <c r="F1" t="s">
        <v>1196</v>
      </c>
      <c r="G1" t="s">
        <v>1197</v>
      </c>
      <c r="H1" t="s">
        <v>1198</v>
      </c>
      <c r="I1" t="s">
        <v>2454</v>
      </c>
      <c r="J1" t="s">
        <v>2455</v>
      </c>
      <c r="K1" t="s">
        <v>2456</v>
      </c>
      <c r="L1" t="s">
        <v>2457</v>
      </c>
      <c r="M1" t="s">
        <v>2458</v>
      </c>
      <c r="N1" t="s">
        <v>2255</v>
      </c>
    </row>
    <row r="2" spans="1:14" x14ac:dyDescent="0.3">
      <c r="A2">
        <v>22</v>
      </c>
      <c r="B2" t="s">
        <v>916</v>
      </c>
      <c r="C2" t="s">
        <v>2459</v>
      </c>
      <c r="D2" t="s">
        <v>159</v>
      </c>
      <c r="E2" t="s">
        <v>159</v>
      </c>
      <c r="F2">
        <v>7263</v>
      </c>
      <c r="G2" t="s">
        <v>684</v>
      </c>
      <c r="H2" t="s">
        <v>2112</v>
      </c>
      <c r="I2">
        <v>5500</v>
      </c>
      <c r="J2">
        <v>7800</v>
      </c>
      <c r="K2">
        <v>8300</v>
      </c>
      <c r="L2">
        <v>8300</v>
      </c>
      <c r="M2">
        <v>8300</v>
      </c>
      <c r="N2" t="s">
        <v>988</v>
      </c>
    </row>
    <row r="3" spans="1:14" x14ac:dyDescent="0.3">
      <c r="A3">
        <v>22</v>
      </c>
      <c r="B3" t="s">
        <v>916</v>
      </c>
      <c r="C3" t="s">
        <v>2459</v>
      </c>
      <c r="D3" t="s">
        <v>159</v>
      </c>
      <c r="E3" t="s">
        <v>159</v>
      </c>
      <c r="F3">
        <v>7263</v>
      </c>
      <c r="G3" t="s">
        <v>686</v>
      </c>
      <c r="H3" t="s">
        <v>2460</v>
      </c>
      <c r="I3">
        <v>1000</v>
      </c>
      <c r="J3">
        <v>1000</v>
      </c>
      <c r="K3">
        <v>1300</v>
      </c>
      <c r="L3">
        <v>2500</v>
      </c>
      <c r="M3">
        <v>2500</v>
      </c>
      <c r="N3" t="s">
        <v>988</v>
      </c>
    </row>
    <row r="4" spans="1:14" x14ac:dyDescent="0.3">
      <c r="A4">
        <v>22</v>
      </c>
      <c r="B4" t="s">
        <v>916</v>
      </c>
      <c r="C4" t="s">
        <v>2459</v>
      </c>
      <c r="D4" t="s">
        <v>159</v>
      </c>
      <c r="E4" t="s">
        <v>159</v>
      </c>
      <c r="F4">
        <v>7263</v>
      </c>
      <c r="G4" t="s">
        <v>688</v>
      </c>
      <c r="H4" t="s">
        <v>2111</v>
      </c>
      <c r="I4">
        <v>43000</v>
      </c>
      <c r="J4">
        <v>43200</v>
      </c>
      <c r="K4">
        <v>43400</v>
      </c>
      <c r="L4">
        <v>43700</v>
      </c>
      <c r="M4">
        <v>43700</v>
      </c>
      <c r="N4" t="s">
        <v>988</v>
      </c>
    </row>
    <row r="5" spans="1:14" x14ac:dyDescent="0.3">
      <c r="A5">
        <v>22</v>
      </c>
      <c r="B5" t="s">
        <v>916</v>
      </c>
      <c r="C5" t="s">
        <v>2459</v>
      </c>
      <c r="D5" t="s">
        <v>159</v>
      </c>
      <c r="E5" t="s">
        <v>159</v>
      </c>
      <c r="F5">
        <v>7263</v>
      </c>
      <c r="G5" t="s">
        <v>689</v>
      </c>
      <c r="H5" t="s">
        <v>2113</v>
      </c>
      <c r="I5">
        <v>800</v>
      </c>
      <c r="J5">
        <v>800</v>
      </c>
      <c r="K5">
        <v>800</v>
      </c>
      <c r="L5">
        <v>800</v>
      </c>
      <c r="M5">
        <v>800</v>
      </c>
      <c r="N5" t="s">
        <v>988</v>
      </c>
    </row>
    <row r="6" spans="1:14" x14ac:dyDescent="0.3">
      <c r="A6">
        <v>79</v>
      </c>
      <c r="B6" t="s">
        <v>941</v>
      </c>
      <c r="C6" t="s">
        <v>2459</v>
      </c>
      <c r="D6" t="s">
        <v>1203</v>
      </c>
      <c r="E6" t="s">
        <v>1204</v>
      </c>
      <c r="F6">
        <v>5721</v>
      </c>
      <c r="G6" t="s">
        <v>688</v>
      </c>
      <c r="H6" t="s">
        <v>2461</v>
      </c>
      <c r="I6">
        <v>44440</v>
      </c>
      <c r="J6">
        <v>50990</v>
      </c>
      <c r="K6">
        <v>51880</v>
      </c>
      <c r="L6">
        <v>55210</v>
      </c>
      <c r="M6">
        <v>57590</v>
      </c>
      <c r="N6" t="s">
        <v>988</v>
      </c>
    </row>
    <row r="7" spans="1:14" x14ac:dyDescent="0.3">
      <c r="A7">
        <v>123</v>
      </c>
      <c r="B7" t="s">
        <v>1242</v>
      </c>
      <c r="C7" t="s">
        <v>2459</v>
      </c>
      <c r="D7" t="s">
        <v>1203</v>
      </c>
      <c r="E7" t="s">
        <v>1204</v>
      </c>
      <c r="F7">
        <v>5757</v>
      </c>
      <c r="G7" t="s">
        <v>690</v>
      </c>
      <c r="H7" t="s">
        <v>2120</v>
      </c>
      <c r="I7">
        <v>62100</v>
      </c>
      <c r="J7">
        <v>39700</v>
      </c>
      <c r="K7">
        <v>39700</v>
      </c>
      <c r="L7">
        <v>39700</v>
      </c>
      <c r="N7" t="s">
        <v>988</v>
      </c>
    </row>
    <row r="8" spans="1:14" x14ac:dyDescent="0.3">
      <c r="A8">
        <v>123</v>
      </c>
      <c r="B8" t="s">
        <v>1242</v>
      </c>
      <c r="C8" t="s">
        <v>2459</v>
      </c>
      <c r="D8" t="s">
        <v>1203</v>
      </c>
      <c r="E8" t="s">
        <v>1204</v>
      </c>
      <c r="F8">
        <v>5757</v>
      </c>
      <c r="G8" t="s">
        <v>688</v>
      </c>
      <c r="H8" t="s">
        <v>2121</v>
      </c>
      <c r="I8">
        <v>22400</v>
      </c>
      <c r="J8">
        <v>44800</v>
      </c>
      <c r="K8">
        <v>44800</v>
      </c>
      <c r="L8">
        <v>44800</v>
      </c>
      <c r="N8" t="s">
        <v>988</v>
      </c>
    </row>
    <row r="9" spans="1:14" x14ac:dyDescent="0.3">
      <c r="A9">
        <v>123</v>
      </c>
      <c r="B9" t="s">
        <v>1242</v>
      </c>
      <c r="C9" t="s">
        <v>2459</v>
      </c>
      <c r="D9" t="s">
        <v>1203</v>
      </c>
      <c r="E9" t="s">
        <v>1204</v>
      </c>
      <c r="F9">
        <v>5757</v>
      </c>
      <c r="G9" t="s">
        <v>688</v>
      </c>
      <c r="H9" t="s">
        <v>2122</v>
      </c>
      <c r="I9">
        <v>9000</v>
      </c>
      <c r="J9">
        <v>9000</v>
      </c>
      <c r="K9">
        <v>9000</v>
      </c>
      <c r="L9">
        <v>9000</v>
      </c>
      <c r="N9" t="s">
        <v>988</v>
      </c>
    </row>
    <row r="10" spans="1:14" x14ac:dyDescent="0.3">
      <c r="A10">
        <v>123</v>
      </c>
      <c r="B10" t="s">
        <v>1242</v>
      </c>
      <c r="C10" t="s">
        <v>2459</v>
      </c>
      <c r="D10" t="s">
        <v>1203</v>
      </c>
      <c r="E10" t="s">
        <v>1204</v>
      </c>
      <c r="F10">
        <v>5757</v>
      </c>
      <c r="G10" t="s">
        <v>691</v>
      </c>
      <c r="H10" t="s">
        <v>2123</v>
      </c>
      <c r="I10">
        <v>6500</v>
      </c>
      <c r="J10">
        <v>6500</v>
      </c>
      <c r="K10">
        <v>6500</v>
      </c>
      <c r="L10">
        <v>6500</v>
      </c>
      <c r="N10" t="s">
        <v>988</v>
      </c>
    </row>
    <row r="11" spans="1:14" x14ac:dyDescent="0.3">
      <c r="A11">
        <v>433</v>
      </c>
      <c r="B11" t="s">
        <v>2124</v>
      </c>
      <c r="C11" t="s">
        <v>2459</v>
      </c>
      <c r="D11" t="s">
        <v>1203</v>
      </c>
      <c r="E11" t="s">
        <v>1204</v>
      </c>
      <c r="F11">
        <v>5488</v>
      </c>
      <c r="G11" t="s">
        <v>687</v>
      </c>
      <c r="H11" t="s">
        <v>2462</v>
      </c>
      <c r="I11">
        <v>1255</v>
      </c>
      <c r="J11">
        <v>1255</v>
      </c>
      <c r="K11">
        <v>1255</v>
      </c>
      <c r="L11">
        <v>1255</v>
      </c>
      <c r="M11">
        <v>1255</v>
      </c>
      <c r="N11" t="s">
        <v>988</v>
      </c>
    </row>
    <row r="12" spans="1:14" x14ac:dyDescent="0.3">
      <c r="A12">
        <v>433</v>
      </c>
      <c r="B12" t="s">
        <v>2124</v>
      </c>
      <c r="C12" t="s">
        <v>2459</v>
      </c>
      <c r="D12" t="s">
        <v>1203</v>
      </c>
      <c r="E12" t="s">
        <v>1204</v>
      </c>
      <c r="F12">
        <v>5488</v>
      </c>
      <c r="G12" t="s">
        <v>688</v>
      </c>
      <c r="H12" t="s">
        <v>2463</v>
      </c>
      <c r="I12">
        <v>85352</v>
      </c>
      <c r="J12">
        <v>86465</v>
      </c>
      <c r="K12">
        <v>88625</v>
      </c>
      <c r="L12">
        <v>90071</v>
      </c>
      <c r="M12">
        <v>90529</v>
      </c>
      <c r="N12" t="s">
        <v>988</v>
      </c>
    </row>
    <row r="13" spans="1:14" x14ac:dyDescent="0.3">
      <c r="A13">
        <v>433</v>
      </c>
      <c r="B13" t="s">
        <v>2124</v>
      </c>
      <c r="C13" t="s">
        <v>2459</v>
      </c>
      <c r="D13" t="s">
        <v>1203</v>
      </c>
      <c r="E13" t="s">
        <v>1204</v>
      </c>
      <c r="F13">
        <v>5488</v>
      </c>
      <c r="G13" t="s">
        <v>686</v>
      </c>
      <c r="H13" t="s">
        <v>2125</v>
      </c>
      <c r="I13">
        <v>854</v>
      </c>
      <c r="J13">
        <v>865</v>
      </c>
      <c r="K13">
        <v>886</v>
      </c>
      <c r="L13">
        <v>901</v>
      </c>
      <c r="M13">
        <v>905</v>
      </c>
      <c r="N13" t="s">
        <v>988</v>
      </c>
    </row>
    <row r="14" spans="1:14" x14ac:dyDescent="0.3">
      <c r="A14">
        <v>495</v>
      </c>
      <c r="B14" t="s">
        <v>1382</v>
      </c>
      <c r="C14" t="s">
        <v>2459</v>
      </c>
      <c r="D14" t="s">
        <v>1203</v>
      </c>
      <c r="E14" t="s">
        <v>1204</v>
      </c>
      <c r="F14">
        <v>5743</v>
      </c>
      <c r="G14" t="s">
        <v>688</v>
      </c>
      <c r="H14" t="s">
        <v>2460</v>
      </c>
      <c r="I14">
        <v>4356</v>
      </c>
      <c r="J14">
        <v>4356</v>
      </c>
      <c r="K14">
        <v>4356</v>
      </c>
      <c r="L14">
        <v>4356</v>
      </c>
      <c r="N14" t="s">
        <v>988</v>
      </c>
    </row>
    <row r="15" spans="1:14" x14ac:dyDescent="0.3">
      <c r="A15">
        <v>510</v>
      </c>
      <c r="B15" t="s">
        <v>2127</v>
      </c>
      <c r="C15" t="s">
        <v>2459</v>
      </c>
      <c r="D15" t="s">
        <v>1203</v>
      </c>
      <c r="E15" t="s">
        <v>1204</v>
      </c>
      <c r="F15">
        <v>5776</v>
      </c>
      <c r="G15" t="s">
        <v>687</v>
      </c>
      <c r="H15" t="s">
        <v>2464</v>
      </c>
      <c r="I15">
        <v>174925</v>
      </c>
      <c r="J15">
        <v>179298</v>
      </c>
      <c r="K15">
        <v>183675</v>
      </c>
      <c r="L15">
        <v>187340</v>
      </c>
      <c r="M15">
        <v>189183</v>
      </c>
      <c r="N15" t="s">
        <v>988</v>
      </c>
    </row>
    <row r="16" spans="1:14" x14ac:dyDescent="0.3">
      <c r="A16">
        <v>510</v>
      </c>
      <c r="B16" t="s">
        <v>2127</v>
      </c>
      <c r="C16" t="s">
        <v>2459</v>
      </c>
      <c r="D16" t="s">
        <v>1203</v>
      </c>
      <c r="E16" t="s">
        <v>1204</v>
      </c>
      <c r="F16">
        <v>5776</v>
      </c>
      <c r="G16" t="s">
        <v>688</v>
      </c>
      <c r="H16" t="s">
        <v>2465</v>
      </c>
      <c r="I16">
        <v>20504</v>
      </c>
      <c r="J16">
        <v>15218</v>
      </c>
      <c r="K16">
        <v>10437</v>
      </c>
      <c r="L16">
        <v>5967</v>
      </c>
      <c r="M16">
        <v>3948</v>
      </c>
      <c r="N16" t="s">
        <v>988</v>
      </c>
    </row>
    <row r="17" spans="1:14" x14ac:dyDescent="0.3">
      <c r="A17">
        <v>510</v>
      </c>
      <c r="B17" t="s">
        <v>2127</v>
      </c>
      <c r="C17" t="s">
        <v>2459</v>
      </c>
      <c r="D17" t="s">
        <v>1203</v>
      </c>
      <c r="E17" t="s">
        <v>1204</v>
      </c>
      <c r="F17">
        <v>5776</v>
      </c>
      <c r="G17" t="s">
        <v>687</v>
      </c>
      <c r="H17" t="s">
        <v>2466</v>
      </c>
      <c r="I17">
        <v>3467</v>
      </c>
      <c r="J17">
        <v>3554</v>
      </c>
      <c r="K17">
        <v>3642</v>
      </c>
      <c r="L17">
        <v>3734</v>
      </c>
      <c r="M17">
        <v>3827</v>
      </c>
      <c r="N17" t="s">
        <v>988</v>
      </c>
    </row>
    <row r="18" spans="1:14" x14ac:dyDescent="0.3">
      <c r="A18">
        <v>514</v>
      </c>
      <c r="B18" t="s">
        <v>2131</v>
      </c>
      <c r="C18" t="s">
        <v>2459</v>
      </c>
      <c r="D18" t="s">
        <v>1203</v>
      </c>
      <c r="E18" t="s">
        <v>1204</v>
      </c>
      <c r="F18">
        <v>5787</v>
      </c>
      <c r="G18" t="s">
        <v>688</v>
      </c>
      <c r="H18" t="s">
        <v>2460</v>
      </c>
      <c r="I18">
        <v>26542</v>
      </c>
      <c r="J18">
        <v>26303</v>
      </c>
      <c r="K18">
        <v>26064</v>
      </c>
      <c r="L18">
        <v>25824</v>
      </c>
      <c r="M18">
        <v>25589</v>
      </c>
      <c r="N18" t="s">
        <v>988</v>
      </c>
    </row>
    <row r="19" spans="1:14" x14ac:dyDescent="0.3">
      <c r="A19">
        <v>546</v>
      </c>
      <c r="B19" t="s">
        <v>2133</v>
      </c>
      <c r="C19" t="s">
        <v>2459</v>
      </c>
      <c r="D19" t="s">
        <v>1203</v>
      </c>
      <c r="E19" t="s">
        <v>1204</v>
      </c>
      <c r="F19">
        <v>5541</v>
      </c>
      <c r="G19" t="s">
        <v>692</v>
      </c>
      <c r="H19" t="s">
        <v>2460</v>
      </c>
      <c r="I19">
        <v>4800</v>
      </c>
      <c r="J19">
        <v>4800</v>
      </c>
      <c r="K19">
        <v>4800</v>
      </c>
      <c r="L19">
        <v>4800</v>
      </c>
      <c r="M19">
        <v>4800</v>
      </c>
      <c r="N19" t="s">
        <v>988</v>
      </c>
    </row>
    <row r="20" spans="1:14" x14ac:dyDescent="0.3">
      <c r="A20">
        <v>546</v>
      </c>
      <c r="B20" t="s">
        <v>2133</v>
      </c>
      <c r="C20" t="s">
        <v>2459</v>
      </c>
      <c r="D20" t="s">
        <v>1203</v>
      </c>
      <c r="E20" t="s">
        <v>1204</v>
      </c>
      <c r="F20">
        <v>5541</v>
      </c>
      <c r="G20" t="s">
        <v>688</v>
      </c>
      <c r="H20" t="s">
        <v>2460</v>
      </c>
      <c r="I20">
        <v>35200</v>
      </c>
      <c r="J20">
        <v>35200</v>
      </c>
      <c r="K20">
        <v>35200</v>
      </c>
      <c r="L20">
        <v>35200</v>
      </c>
      <c r="M20">
        <v>35200</v>
      </c>
      <c r="N20" t="s">
        <v>988</v>
      </c>
    </row>
    <row r="21" spans="1:14" x14ac:dyDescent="0.3">
      <c r="A21">
        <v>613</v>
      </c>
      <c r="B21" t="s">
        <v>804</v>
      </c>
      <c r="C21" t="s">
        <v>2459</v>
      </c>
      <c r="D21" t="s">
        <v>1203</v>
      </c>
      <c r="E21" t="s">
        <v>1204</v>
      </c>
      <c r="F21">
        <v>5673</v>
      </c>
      <c r="G21" t="s">
        <v>686</v>
      </c>
      <c r="H21" t="s">
        <v>2140</v>
      </c>
      <c r="I21">
        <v>6700</v>
      </c>
      <c r="J21">
        <v>6700</v>
      </c>
      <c r="K21">
        <v>6700</v>
      </c>
      <c r="L21">
        <v>6700</v>
      </c>
      <c r="M21">
        <v>6700</v>
      </c>
      <c r="N21" t="s">
        <v>988</v>
      </c>
    </row>
    <row r="22" spans="1:14" x14ac:dyDescent="0.3">
      <c r="A22">
        <v>613</v>
      </c>
      <c r="B22" t="s">
        <v>804</v>
      </c>
      <c r="C22" t="s">
        <v>2459</v>
      </c>
      <c r="D22" t="s">
        <v>1203</v>
      </c>
      <c r="E22" t="s">
        <v>1204</v>
      </c>
      <c r="F22">
        <v>5673</v>
      </c>
      <c r="G22" t="s">
        <v>687</v>
      </c>
      <c r="H22" t="s">
        <v>2467</v>
      </c>
      <c r="I22">
        <v>80900</v>
      </c>
      <c r="J22">
        <v>83500</v>
      </c>
      <c r="K22">
        <v>86400</v>
      </c>
      <c r="L22">
        <v>89400</v>
      </c>
      <c r="M22">
        <v>90700</v>
      </c>
      <c r="N22" t="s">
        <v>988</v>
      </c>
    </row>
    <row r="23" spans="1:14" x14ac:dyDescent="0.3">
      <c r="A23">
        <v>613</v>
      </c>
      <c r="B23" t="s">
        <v>804</v>
      </c>
      <c r="C23" t="s">
        <v>2459</v>
      </c>
      <c r="D23" t="s">
        <v>1203</v>
      </c>
      <c r="E23" t="s">
        <v>1204</v>
      </c>
      <c r="F23">
        <v>5673</v>
      </c>
      <c r="G23" t="s">
        <v>686</v>
      </c>
      <c r="H23" t="s">
        <v>2137</v>
      </c>
      <c r="I23">
        <v>5500</v>
      </c>
      <c r="J23">
        <v>5500</v>
      </c>
      <c r="K23">
        <v>5500</v>
      </c>
      <c r="L23">
        <v>5500</v>
      </c>
      <c r="M23">
        <v>5500</v>
      </c>
      <c r="N23" t="s">
        <v>988</v>
      </c>
    </row>
    <row r="24" spans="1:14" x14ac:dyDescent="0.3">
      <c r="A24">
        <v>613</v>
      </c>
      <c r="B24" t="s">
        <v>804</v>
      </c>
      <c r="C24" t="s">
        <v>2459</v>
      </c>
      <c r="D24" t="s">
        <v>1203</v>
      </c>
      <c r="E24" t="s">
        <v>1204</v>
      </c>
      <c r="F24">
        <v>5673</v>
      </c>
      <c r="G24" t="s">
        <v>688</v>
      </c>
      <c r="H24" t="s">
        <v>1414</v>
      </c>
      <c r="I24">
        <v>42600</v>
      </c>
      <c r="J24">
        <v>45300</v>
      </c>
      <c r="K24">
        <v>49200</v>
      </c>
      <c r="L24">
        <v>51800</v>
      </c>
      <c r="M24">
        <v>54800</v>
      </c>
      <c r="N24" t="s">
        <v>988</v>
      </c>
    </row>
    <row r="25" spans="1:14" x14ac:dyDescent="0.3">
      <c r="A25">
        <v>785</v>
      </c>
      <c r="B25" t="s">
        <v>1476</v>
      </c>
      <c r="C25" t="s">
        <v>2459</v>
      </c>
      <c r="D25" t="s">
        <v>1203</v>
      </c>
      <c r="E25" t="s">
        <v>1204</v>
      </c>
      <c r="F25">
        <v>5655</v>
      </c>
      <c r="G25" t="s">
        <v>688</v>
      </c>
      <c r="H25" t="s">
        <v>2141</v>
      </c>
      <c r="I25">
        <v>1270</v>
      </c>
      <c r="J25">
        <v>1327</v>
      </c>
      <c r="K25">
        <v>1385</v>
      </c>
      <c r="L25">
        <v>1443</v>
      </c>
      <c r="M25">
        <v>1500</v>
      </c>
      <c r="N25" t="s">
        <v>988</v>
      </c>
    </row>
    <row r="26" spans="1:14" x14ac:dyDescent="0.3">
      <c r="A26">
        <v>785</v>
      </c>
      <c r="B26" t="s">
        <v>1476</v>
      </c>
      <c r="C26" t="s">
        <v>2459</v>
      </c>
      <c r="D26" t="s">
        <v>1203</v>
      </c>
      <c r="E26" t="s">
        <v>1204</v>
      </c>
      <c r="F26">
        <v>5655</v>
      </c>
      <c r="G26" t="s">
        <v>688</v>
      </c>
      <c r="H26" t="s">
        <v>2142</v>
      </c>
      <c r="I26">
        <v>157</v>
      </c>
      <c r="J26">
        <v>165</v>
      </c>
      <c r="K26">
        <v>172</v>
      </c>
      <c r="L26">
        <v>179</v>
      </c>
      <c r="M26">
        <v>186</v>
      </c>
      <c r="N26" t="s">
        <v>988</v>
      </c>
    </row>
    <row r="27" spans="1:14" x14ac:dyDescent="0.3">
      <c r="A27">
        <v>785</v>
      </c>
      <c r="B27" t="s">
        <v>1476</v>
      </c>
      <c r="C27" t="s">
        <v>2459</v>
      </c>
      <c r="D27" t="s">
        <v>1203</v>
      </c>
      <c r="E27" t="s">
        <v>1204</v>
      </c>
      <c r="F27">
        <v>5655</v>
      </c>
      <c r="G27" t="s">
        <v>688</v>
      </c>
      <c r="H27" t="s">
        <v>2143</v>
      </c>
      <c r="I27">
        <v>269</v>
      </c>
      <c r="J27">
        <v>281</v>
      </c>
      <c r="K27">
        <v>293</v>
      </c>
      <c r="L27">
        <v>305</v>
      </c>
      <c r="M27">
        <v>317</v>
      </c>
      <c r="N27" t="s">
        <v>988</v>
      </c>
    </row>
    <row r="28" spans="1:14" x14ac:dyDescent="0.3">
      <c r="A28">
        <v>785</v>
      </c>
      <c r="B28" t="s">
        <v>1476</v>
      </c>
      <c r="C28" t="s">
        <v>2459</v>
      </c>
      <c r="D28" t="s">
        <v>1203</v>
      </c>
      <c r="E28" t="s">
        <v>1204</v>
      </c>
      <c r="F28">
        <v>5655</v>
      </c>
      <c r="G28" t="s">
        <v>688</v>
      </c>
      <c r="H28" t="s">
        <v>2144</v>
      </c>
      <c r="I28">
        <v>1512</v>
      </c>
      <c r="J28">
        <v>1518</v>
      </c>
      <c r="K28">
        <v>1504</v>
      </c>
      <c r="L28">
        <v>1489</v>
      </c>
      <c r="M28">
        <v>1485</v>
      </c>
      <c r="N28" t="s">
        <v>988</v>
      </c>
    </row>
    <row r="29" spans="1:14" x14ac:dyDescent="0.3">
      <c r="A29">
        <v>785</v>
      </c>
      <c r="B29" t="s">
        <v>1476</v>
      </c>
      <c r="C29" t="s">
        <v>2459</v>
      </c>
      <c r="D29" t="s">
        <v>1203</v>
      </c>
      <c r="E29" t="s">
        <v>1204</v>
      </c>
      <c r="F29">
        <v>5655</v>
      </c>
      <c r="G29" t="s">
        <v>688</v>
      </c>
      <c r="H29" t="s">
        <v>2145</v>
      </c>
      <c r="I29">
        <v>850</v>
      </c>
      <c r="J29">
        <v>900</v>
      </c>
      <c r="K29">
        <v>950</v>
      </c>
      <c r="L29">
        <v>1000</v>
      </c>
      <c r="M29">
        <v>1050</v>
      </c>
      <c r="N29" t="s">
        <v>988</v>
      </c>
    </row>
    <row r="30" spans="1:14" x14ac:dyDescent="0.3">
      <c r="A30">
        <v>794</v>
      </c>
      <c r="B30" t="s">
        <v>1483</v>
      </c>
      <c r="C30" t="s">
        <v>2459</v>
      </c>
      <c r="D30" t="s">
        <v>159</v>
      </c>
      <c r="E30" t="s">
        <v>159</v>
      </c>
      <c r="F30">
        <v>6888</v>
      </c>
      <c r="G30" t="s">
        <v>688</v>
      </c>
      <c r="H30" t="s">
        <v>2468</v>
      </c>
      <c r="I30">
        <v>27100</v>
      </c>
      <c r="J30">
        <v>20000</v>
      </c>
      <c r="K30">
        <v>21000</v>
      </c>
      <c r="L30">
        <v>15200</v>
      </c>
      <c r="M30">
        <v>16500</v>
      </c>
      <c r="N30" t="s">
        <v>988</v>
      </c>
    </row>
    <row r="31" spans="1:14" x14ac:dyDescent="0.3">
      <c r="A31">
        <v>794</v>
      </c>
      <c r="B31" t="s">
        <v>1483</v>
      </c>
      <c r="C31" t="s">
        <v>2459</v>
      </c>
      <c r="D31" t="s">
        <v>159</v>
      </c>
      <c r="E31" t="s">
        <v>159</v>
      </c>
      <c r="F31">
        <v>6888</v>
      </c>
      <c r="G31" t="s">
        <v>688</v>
      </c>
      <c r="H31" t="s">
        <v>2146</v>
      </c>
      <c r="I31">
        <v>1000</v>
      </c>
      <c r="J31">
        <v>1300</v>
      </c>
      <c r="K31">
        <v>1600</v>
      </c>
      <c r="L31">
        <v>2000</v>
      </c>
      <c r="M31">
        <v>2300</v>
      </c>
      <c r="N31" t="s">
        <v>988</v>
      </c>
    </row>
    <row r="32" spans="1:14" x14ac:dyDescent="0.3">
      <c r="A32">
        <v>794</v>
      </c>
      <c r="B32" t="s">
        <v>1483</v>
      </c>
      <c r="C32" t="s">
        <v>2459</v>
      </c>
      <c r="D32" t="s">
        <v>159</v>
      </c>
      <c r="E32" t="s">
        <v>159</v>
      </c>
      <c r="F32">
        <v>6888</v>
      </c>
      <c r="G32" t="s">
        <v>688</v>
      </c>
      <c r="H32" t="s">
        <v>2147</v>
      </c>
      <c r="I32">
        <v>1800</v>
      </c>
      <c r="J32">
        <v>1900</v>
      </c>
      <c r="K32">
        <v>2100</v>
      </c>
      <c r="L32">
        <v>2200</v>
      </c>
      <c r="M32">
        <v>2300</v>
      </c>
      <c r="N32" t="s">
        <v>988</v>
      </c>
    </row>
    <row r="33" spans="1:14" x14ac:dyDescent="0.3">
      <c r="A33">
        <v>794</v>
      </c>
      <c r="B33" t="s">
        <v>1483</v>
      </c>
      <c r="C33" t="s">
        <v>2459</v>
      </c>
      <c r="D33" t="s">
        <v>159</v>
      </c>
      <c r="E33" t="s">
        <v>159</v>
      </c>
      <c r="F33">
        <v>6888</v>
      </c>
      <c r="G33" t="s">
        <v>1526</v>
      </c>
      <c r="H33" t="s">
        <v>2150</v>
      </c>
      <c r="I33">
        <v>7500</v>
      </c>
      <c r="J33">
        <v>7500</v>
      </c>
      <c r="K33">
        <v>7500</v>
      </c>
      <c r="L33">
        <v>7500</v>
      </c>
      <c r="M33">
        <v>7500</v>
      </c>
      <c r="N33" t="s">
        <v>988</v>
      </c>
    </row>
    <row r="34" spans="1:14" x14ac:dyDescent="0.3">
      <c r="A34">
        <v>794</v>
      </c>
      <c r="B34" t="s">
        <v>1483</v>
      </c>
      <c r="C34" t="s">
        <v>2459</v>
      </c>
      <c r="D34" t="s">
        <v>159</v>
      </c>
      <c r="E34" t="s">
        <v>159</v>
      </c>
      <c r="F34">
        <v>6888</v>
      </c>
      <c r="G34" t="s">
        <v>688</v>
      </c>
      <c r="H34" t="s">
        <v>2469</v>
      </c>
      <c r="I34">
        <v>15200</v>
      </c>
      <c r="J34">
        <v>15200</v>
      </c>
      <c r="K34">
        <v>15200</v>
      </c>
      <c r="L34">
        <v>22300</v>
      </c>
      <c r="M34">
        <v>22300</v>
      </c>
      <c r="N34" t="s">
        <v>988</v>
      </c>
    </row>
    <row r="35" spans="1:14" x14ac:dyDescent="0.3">
      <c r="A35">
        <v>794</v>
      </c>
      <c r="B35" t="s">
        <v>1483</v>
      </c>
      <c r="C35" t="s">
        <v>2459</v>
      </c>
      <c r="D35" t="s">
        <v>159</v>
      </c>
      <c r="E35" t="s">
        <v>159</v>
      </c>
      <c r="F35">
        <v>6888</v>
      </c>
      <c r="G35" t="s">
        <v>688</v>
      </c>
      <c r="H35" t="s">
        <v>2148</v>
      </c>
      <c r="I35">
        <v>0</v>
      </c>
      <c r="J35">
        <v>0</v>
      </c>
      <c r="K35">
        <v>0</v>
      </c>
      <c r="L35">
        <v>0</v>
      </c>
      <c r="M35">
        <v>0</v>
      </c>
      <c r="N35" t="s">
        <v>988</v>
      </c>
    </row>
    <row r="36" spans="1:14" x14ac:dyDescent="0.3">
      <c r="A36">
        <v>794</v>
      </c>
      <c r="B36" t="s">
        <v>1483</v>
      </c>
      <c r="C36" t="s">
        <v>2459</v>
      </c>
      <c r="D36" t="s">
        <v>159</v>
      </c>
      <c r="E36" t="s">
        <v>159</v>
      </c>
      <c r="F36">
        <v>6888</v>
      </c>
      <c r="G36" t="s">
        <v>688</v>
      </c>
      <c r="H36" t="s">
        <v>2149</v>
      </c>
      <c r="I36">
        <v>0</v>
      </c>
      <c r="J36">
        <v>0</v>
      </c>
      <c r="K36">
        <v>0</v>
      </c>
      <c r="L36">
        <v>0</v>
      </c>
      <c r="M36">
        <v>0</v>
      </c>
      <c r="N36" t="s">
        <v>988</v>
      </c>
    </row>
    <row r="37" spans="1:14" x14ac:dyDescent="0.3">
      <c r="A37">
        <v>794</v>
      </c>
      <c r="B37" t="s">
        <v>1483</v>
      </c>
      <c r="C37" t="s">
        <v>2459</v>
      </c>
      <c r="D37" t="s">
        <v>159</v>
      </c>
      <c r="E37" t="s">
        <v>159</v>
      </c>
      <c r="F37">
        <v>6888</v>
      </c>
      <c r="G37" t="s">
        <v>688</v>
      </c>
      <c r="H37" t="s">
        <v>1631</v>
      </c>
      <c r="I37">
        <v>5100</v>
      </c>
      <c r="J37">
        <v>5500</v>
      </c>
      <c r="K37">
        <v>5900</v>
      </c>
      <c r="L37">
        <v>6300</v>
      </c>
      <c r="M37">
        <v>6700</v>
      </c>
      <c r="N37" t="s">
        <v>988</v>
      </c>
    </row>
    <row r="38" spans="1:14" x14ac:dyDescent="0.3">
      <c r="A38">
        <v>794</v>
      </c>
      <c r="B38" t="s">
        <v>1483</v>
      </c>
      <c r="C38" t="s">
        <v>2459</v>
      </c>
      <c r="D38" t="s">
        <v>159</v>
      </c>
      <c r="E38" t="s">
        <v>159</v>
      </c>
      <c r="F38">
        <v>6888</v>
      </c>
      <c r="G38" t="s">
        <v>688</v>
      </c>
      <c r="H38" t="s">
        <v>2151</v>
      </c>
      <c r="I38">
        <v>500</v>
      </c>
      <c r="J38">
        <v>1000</v>
      </c>
      <c r="K38">
        <v>1100</v>
      </c>
      <c r="L38">
        <v>1200</v>
      </c>
      <c r="M38">
        <v>1200</v>
      </c>
      <c r="N38" t="s">
        <v>988</v>
      </c>
    </row>
    <row r="39" spans="1:14" x14ac:dyDescent="0.3">
      <c r="A39">
        <v>909</v>
      </c>
      <c r="B39" t="s">
        <v>2152</v>
      </c>
      <c r="C39" t="s">
        <v>2459</v>
      </c>
      <c r="D39" t="s">
        <v>1203</v>
      </c>
      <c r="E39" t="s">
        <v>1204</v>
      </c>
      <c r="F39">
        <v>5754</v>
      </c>
      <c r="G39" t="s">
        <v>686</v>
      </c>
      <c r="H39" t="s">
        <v>2460</v>
      </c>
      <c r="I39">
        <v>1</v>
      </c>
      <c r="J39">
        <v>1</v>
      </c>
      <c r="K39">
        <v>1</v>
      </c>
      <c r="L39">
        <v>1</v>
      </c>
      <c r="M39">
        <v>1</v>
      </c>
      <c r="N39" t="s">
        <v>988</v>
      </c>
    </row>
    <row r="40" spans="1:14" x14ac:dyDescent="0.3">
      <c r="A40">
        <v>909</v>
      </c>
      <c r="B40" t="s">
        <v>2152</v>
      </c>
      <c r="C40" t="s">
        <v>2459</v>
      </c>
      <c r="D40" t="s">
        <v>1203</v>
      </c>
      <c r="E40" t="s">
        <v>1204</v>
      </c>
      <c r="F40">
        <v>5754</v>
      </c>
      <c r="G40" t="s">
        <v>688</v>
      </c>
      <c r="H40" t="s">
        <v>2071</v>
      </c>
      <c r="I40">
        <v>2361.6999999999998</v>
      </c>
      <c r="J40">
        <v>2399</v>
      </c>
      <c r="K40">
        <v>2436.8000000000002</v>
      </c>
      <c r="L40">
        <v>2475.1999999999998</v>
      </c>
      <c r="M40">
        <v>2514.2600000000002</v>
      </c>
      <c r="N40" t="s">
        <v>988</v>
      </c>
    </row>
    <row r="41" spans="1:14" x14ac:dyDescent="0.3">
      <c r="A41">
        <v>909</v>
      </c>
      <c r="B41" t="s">
        <v>2152</v>
      </c>
      <c r="C41" t="s">
        <v>2459</v>
      </c>
      <c r="D41" t="s">
        <v>1203</v>
      </c>
      <c r="E41" t="s">
        <v>1204</v>
      </c>
      <c r="F41">
        <v>5754</v>
      </c>
      <c r="G41" t="s">
        <v>688</v>
      </c>
      <c r="H41" t="s">
        <v>2153</v>
      </c>
      <c r="I41">
        <v>500</v>
      </c>
      <c r="J41">
        <v>500</v>
      </c>
      <c r="K41">
        <v>500</v>
      </c>
      <c r="L41">
        <v>500</v>
      </c>
      <c r="M41">
        <v>500</v>
      </c>
      <c r="N41" t="s">
        <v>988</v>
      </c>
    </row>
    <row r="42" spans="1:14" x14ac:dyDescent="0.3">
      <c r="A42">
        <v>909</v>
      </c>
      <c r="B42" t="s">
        <v>2152</v>
      </c>
      <c r="C42" t="s">
        <v>2459</v>
      </c>
      <c r="D42" t="s">
        <v>1203</v>
      </c>
      <c r="E42" t="s">
        <v>1204</v>
      </c>
      <c r="F42">
        <v>5754</v>
      </c>
      <c r="G42" t="s">
        <v>688</v>
      </c>
      <c r="H42" t="s">
        <v>2154</v>
      </c>
      <c r="I42">
        <v>700</v>
      </c>
      <c r="J42">
        <v>700</v>
      </c>
      <c r="K42">
        <v>700</v>
      </c>
      <c r="L42">
        <v>700</v>
      </c>
      <c r="M42">
        <v>700</v>
      </c>
      <c r="N42" t="s">
        <v>988</v>
      </c>
    </row>
    <row r="43" spans="1:14" x14ac:dyDescent="0.3">
      <c r="A43">
        <v>909</v>
      </c>
      <c r="B43" t="s">
        <v>2152</v>
      </c>
      <c r="C43" t="s">
        <v>2459</v>
      </c>
      <c r="D43" t="s">
        <v>1203</v>
      </c>
      <c r="E43" t="s">
        <v>1204</v>
      </c>
      <c r="F43">
        <v>5754</v>
      </c>
      <c r="G43" t="s">
        <v>688</v>
      </c>
      <c r="H43" t="s">
        <v>2155</v>
      </c>
      <c r="I43">
        <v>2050.9</v>
      </c>
      <c r="J43">
        <v>2083.1999999999998</v>
      </c>
      <c r="K43">
        <v>2116</v>
      </c>
      <c r="L43">
        <v>2149.4</v>
      </c>
      <c r="M43">
        <v>2183.29</v>
      </c>
      <c r="N43" t="s">
        <v>988</v>
      </c>
    </row>
    <row r="44" spans="1:14" x14ac:dyDescent="0.3">
      <c r="A44">
        <v>909</v>
      </c>
      <c r="B44" t="s">
        <v>2152</v>
      </c>
      <c r="C44" t="s">
        <v>2459</v>
      </c>
      <c r="D44" t="s">
        <v>1203</v>
      </c>
      <c r="E44" t="s">
        <v>1204</v>
      </c>
      <c r="F44">
        <v>5754</v>
      </c>
      <c r="G44" t="s">
        <v>688</v>
      </c>
      <c r="H44" t="s">
        <v>2156</v>
      </c>
      <c r="I44">
        <v>500</v>
      </c>
      <c r="J44">
        <v>500</v>
      </c>
      <c r="K44">
        <v>500</v>
      </c>
      <c r="L44">
        <v>500</v>
      </c>
      <c r="M44">
        <v>500</v>
      </c>
      <c r="N44" t="s">
        <v>988</v>
      </c>
    </row>
    <row r="45" spans="1:14" x14ac:dyDescent="0.3">
      <c r="A45">
        <v>909</v>
      </c>
      <c r="B45" t="s">
        <v>2152</v>
      </c>
      <c r="C45" t="s">
        <v>2459</v>
      </c>
      <c r="D45" t="s">
        <v>1203</v>
      </c>
      <c r="E45" t="s">
        <v>1204</v>
      </c>
      <c r="F45">
        <v>5754</v>
      </c>
      <c r="G45" t="s">
        <v>688</v>
      </c>
      <c r="H45" t="s">
        <v>2157</v>
      </c>
      <c r="I45">
        <v>2350</v>
      </c>
      <c r="J45">
        <v>2350</v>
      </c>
      <c r="K45">
        <v>2350</v>
      </c>
      <c r="L45">
        <v>2350</v>
      </c>
      <c r="M45">
        <v>2350</v>
      </c>
      <c r="N45" t="s">
        <v>988</v>
      </c>
    </row>
    <row r="46" spans="1:14" x14ac:dyDescent="0.3">
      <c r="A46">
        <v>909</v>
      </c>
      <c r="B46" t="s">
        <v>2152</v>
      </c>
      <c r="C46" t="s">
        <v>2459</v>
      </c>
      <c r="D46" t="s">
        <v>1203</v>
      </c>
      <c r="E46" t="s">
        <v>1204</v>
      </c>
      <c r="F46">
        <v>5754</v>
      </c>
      <c r="G46" t="s">
        <v>688</v>
      </c>
      <c r="H46" t="s">
        <v>2158</v>
      </c>
      <c r="I46">
        <v>0</v>
      </c>
      <c r="J46">
        <v>0</v>
      </c>
      <c r="K46">
        <v>0</v>
      </c>
      <c r="L46">
        <v>0</v>
      </c>
      <c r="M46">
        <v>0</v>
      </c>
      <c r="N46" t="s">
        <v>988</v>
      </c>
    </row>
    <row r="47" spans="1:14" x14ac:dyDescent="0.3">
      <c r="A47">
        <v>909</v>
      </c>
      <c r="B47" t="s">
        <v>2152</v>
      </c>
      <c r="C47" t="s">
        <v>2459</v>
      </c>
      <c r="D47" t="s">
        <v>1203</v>
      </c>
      <c r="E47" t="s">
        <v>1204</v>
      </c>
      <c r="F47">
        <v>5754</v>
      </c>
      <c r="G47" t="s">
        <v>688</v>
      </c>
      <c r="H47" t="s">
        <v>1647</v>
      </c>
      <c r="I47">
        <v>283.5</v>
      </c>
      <c r="J47">
        <v>288</v>
      </c>
      <c r="K47">
        <v>292.60000000000002</v>
      </c>
      <c r="L47">
        <v>297.2</v>
      </c>
      <c r="M47">
        <v>301.86</v>
      </c>
      <c r="N47" t="s">
        <v>988</v>
      </c>
    </row>
    <row r="48" spans="1:14" x14ac:dyDescent="0.3">
      <c r="A48">
        <v>1144</v>
      </c>
      <c r="B48" t="s">
        <v>1581</v>
      </c>
      <c r="C48" t="s">
        <v>2459</v>
      </c>
      <c r="D48" t="s">
        <v>1203</v>
      </c>
      <c r="E48" t="s">
        <v>1204</v>
      </c>
      <c r="F48">
        <v>6619</v>
      </c>
      <c r="G48" t="s">
        <v>688</v>
      </c>
      <c r="H48" t="s">
        <v>2159</v>
      </c>
      <c r="I48">
        <v>64.446644849999998</v>
      </c>
      <c r="J48">
        <v>64.446644849999998</v>
      </c>
      <c r="K48">
        <v>64.446644849999998</v>
      </c>
      <c r="L48">
        <v>64.446644849999998</v>
      </c>
      <c r="M48">
        <v>64.446644849999998</v>
      </c>
      <c r="N48" t="s">
        <v>988</v>
      </c>
    </row>
    <row r="49" spans="1:14" x14ac:dyDescent="0.3">
      <c r="A49">
        <v>1209</v>
      </c>
      <c r="B49" t="s">
        <v>2160</v>
      </c>
      <c r="C49" t="s">
        <v>2459</v>
      </c>
      <c r="D49" t="s">
        <v>1203</v>
      </c>
      <c r="E49" t="s">
        <v>1204</v>
      </c>
      <c r="F49">
        <v>5873</v>
      </c>
      <c r="G49" t="s">
        <v>689</v>
      </c>
      <c r="H49" t="s">
        <v>2470</v>
      </c>
      <c r="I49">
        <v>474</v>
      </c>
      <c r="J49">
        <v>477</v>
      </c>
      <c r="K49">
        <v>481</v>
      </c>
      <c r="L49">
        <v>484</v>
      </c>
      <c r="N49" t="s">
        <v>988</v>
      </c>
    </row>
    <row r="50" spans="1:14" x14ac:dyDescent="0.3">
      <c r="A50">
        <v>1209</v>
      </c>
      <c r="B50" t="s">
        <v>2160</v>
      </c>
      <c r="C50" t="s">
        <v>2459</v>
      </c>
      <c r="D50" t="s">
        <v>1203</v>
      </c>
      <c r="E50" t="s">
        <v>1204</v>
      </c>
      <c r="F50">
        <v>5873</v>
      </c>
      <c r="G50" t="s">
        <v>688</v>
      </c>
      <c r="H50" t="s">
        <v>2161</v>
      </c>
      <c r="I50">
        <v>107</v>
      </c>
      <c r="J50">
        <v>111</v>
      </c>
      <c r="K50">
        <v>115</v>
      </c>
      <c r="L50">
        <v>119</v>
      </c>
      <c r="N50" t="s">
        <v>988</v>
      </c>
    </row>
    <row r="51" spans="1:14" x14ac:dyDescent="0.3">
      <c r="A51">
        <v>1209</v>
      </c>
      <c r="B51" t="s">
        <v>2160</v>
      </c>
      <c r="C51" t="s">
        <v>2459</v>
      </c>
      <c r="D51" t="s">
        <v>1203</v>
      </c>
      <c r="E51" t="s">
        <v>1204</v>
      </c>
      <c r="F51">
        <v>5873</v>
      </c>
      <c r="G51" t="s">
        <v>688</v>
      </c>
      <c r="H51" t="s">
        <v>2471</v>
      </c>
      <c r="I51">
        <v>1949</v>
      </c>
      <c r="J51">
        <v>2050</v>
      </c>
      <c r="K51">
        <v>2157</v>
      </c>
      <c r="L51">
        <v>2271</v>
      </c>
      <c r="N51" t="s">
        <v>988</v>
      </c>
    </row>
    <row r="52" spans="1:14" x14ac:dyDescent="0.3">
      <c r="A52">
        <v>1209</v>
      </c>
      <c r="B52" t="s">
        <v>2160</v>
      </c>
      <c r="C52" t="s">
        <v>2459</v>
      </c>
      <c r="D52" t="s">
        <v>1203</v>
      </c>
      <c r="E52" t="s">
        <v>1204</v>
      </c>
      <c r="F52">
        <v>5873</v>
      </c>
      <c r="G52" t="s">
        <v>688</v>
      </c>
      <c r="H52" t="s">
        <v>2164</v>
      </c>
      <c r="I52">
        <v>2296</v>
      </c>
      <c r="J52">
        <v>2363</v>
      </c>
      <c r="K52">
        <v>2434</v>
      </c>
      <c r="L52">
        <v>2501</v>
      </c>
      <c r="N52" t="s">
        <v>988</v>
      </c>
    </row>
    <row r="53" spans="1:14" x14ac:dyDescent="0.3">
      <c r="A53">
        <v>1209</v>
      </c>
      <c r="B53" t="s">
        <v>2160</v>
      </c>
      <c r="C53" t="s">
        <v>2459</v>
      </c>
      <c r="D53" t="s">
        <v>1203</v>
      </c>
      <c r="E53" t="s">
        <v>1204</v>
      </c>
      <c r="F53">
        <v>5873</v>
      </c>
      <c r="G53" t="s">
        <v>688</v>
      </c>
      <c r="H53" t="s">
        <v>2472</v>
      </c>
      <c r="I53">
        <v>193</v>
      </c>
      <c r="J53">
        <v>200</v>
      </c>
      <c r="K53">
        <v>207</v>
      </c>
      <c r="L53">
        <v>214</v>
      </c>
      <c r="N53" t="s">
        <v>988</v>
      </c>
    </row>
    <row r="54" spans="1:14" x14ac:dyDescent="0.3">
      <c r="A54">
        <v>1209</v>
      </c>
      <c r="B54" t="s">
        <v>2160</v>
      </c>
      <c r="C54" t="s">
        <v>2459</v>
      </c>
      <c r="D54" t="s">
        <v>1203</v>
      </c>
      <c r="E54" t="s">
        <v>1204</v>
      </c>
      <c r="F54">
        <v>5873</v>
      </c>
      <c r="G54" t="s">
        <v>688</v>
      </c>
      <c r="H54" t="s">
        <v>2473</v>
      </c>
      <c r="I54">
        <v>3124</v>
      </c>
      <c r="J54">
        <v>3216</v>
      </c>
      <c r="K54">
        <v>3314</v>
      </c>
      <c r="L54">
        <v>3410</v>
      </c>
      <c r="N54" t="s">
        <v>988</v>
      </c>
    </row>
    <row r="55" spans="1:14" x14ac:dyDescent="0.3">
      <c r="A55">
        <v>1209</v>
      </c>
      <c r="B55" t="s">
        <v>2160</v>
      </c>
      <c r="C55" t="s">
        <v>2459</v>
      </c>
      <c r="D55" t="s">
        <v>1203</v>
      </c>
      <c r="E55" t="s">
        <v>1204</v>
      </c>
      <c r="F55">
        <v>5873</v>
      </c>
      <c r="G55" t="s">
        <v>688</v>
      </c>
      <c r="H55" t="s">
        <v>2474</v>
      </c>
      <c r="I55">
        <v>184</v>
      </c>
      <c r="J55">
        <v>190</v>
      </c>
      <c r="K55">
        <v>197</v>
      </c>
      <c r="L55">
        <v>204</v>
      </c>
      <c r="N55" t="s">
        <v>988</v>
      </c>
    </row>
    <row r="56" spans="1:14" x14ac:dyDescent="0.3">
      <c r="A56">
        <v>1209</v>
      </c>
      <c r="B56" t="s">
        <v>2160</v>
      </c>
      <c r="C56" t="s">
        <v>2459</v>
      </c>
      <c r="D56" t="s">
        <v>1203</v>
      </c>
      <c r="E56" t="s">
        <v>1204</v>
      </c>
      <c r="F56">
        <v>5873</v>
      </c>
      <c r="G56" t="s">
        <v>689</v>
      </c>
      <c r="H56" t="s">
        <v>2475</v>
      </c>
      <c r="I56">
        <v>336</v>
      </c>
      <c r="J56">
        <v>336</v>
      </c>
      <c r="K56">
        <v>336</v>
      </c>
      <c r="L56">
        <v>336</v>
      </c>
      <c r="N56" t="s">
        <v>988</v>
      </c>
    </row>
    <row r="57" spans="1:14" x14ac:dyDescent="0.3">
      <c r="A57">
        <v>1209</v>
      </c>
      <c r="B57" t="s">
        <v>2160</v>
      </c>
      <c r="C57" t="s">
        <v>2459</v>
      </c>
      <c r="D57" t="s">
        <v>1203</v>
      </c>
      <c r="E57" t="s">
        <v>1204</v>
      </c>
      <c r="F57">
        <v>5873</v>
      </c>
      <c r="G57" t="s">
        <v>688</v>
      </c>
      <c r="H57" t="s">
        <v>2163</v>
      </c>
      <c r="I57">
        <v>1420</v>
      </c>
      <c r="J57">
        <v>1470</v>
      </c>
      <c r="K57">
        <v>1510</v>
      </c>
      <c r="L57">
        <v>1560</v>
      </c>
      <c r="N57" t="s">
        <v>988</v>
      </c>
    </row>
    <row r="58" spans="1:14" x14ac:dyDescent="0.3">
      <c r="A58">
        <v>1239</v>
      </c>
      <c r="B58" t="s">
        <v>2169</v>
      </c>
      <c r="C58" t="s">
        <v>2459</v>
      </c>
      <c r="D58" t="s">
        <v>159</v>
      </c>
      <c r="E58" t="s">
        <v>159</v>
      </c>
      <c r="F58">
        <v>6849</v>
      </c>
      <c r="G58" t="s">
        <v>688</v>
      </c>
      <c r="H58" t="s">
        <v>2476</v>
      </c>
      <c r="I58">
        <v>77416</v>
      </c>
      <c r="J58">
        <v>79630</v>
      </c>
      <c r="K58">
        <v>81974</v>
      </c>
      <c r="L58">
        <v>84021</v>
      </c>
      <c r="M58">
        <v>84065</v>
      </c>
      <c r="N58" t="s">
        <v>988</v>
      </c>
    </row>
    <row r="59" spans="1:14" x14ac:dyDescent="0.3">
      <c r="A59">
        <v>1288</v>
      </c>
      <c r="B59" t="s">
        <v>908</v>
      </c>
      <c r="C59" t="s">
        <v>2459</v>
      </c>
      <c r="D59" t="s">
        <v>159</v>
      </c>
      <c r="E59" t="s">
        <v>159</v>
      </c>
      <c r="F59">
        <v>5581</v>
      </c>
      <c r="G59" t="s">
        <v>686</v>
      </c>
      <c r="H59" t="s">
        <v>2171</v>
      </c>
      <c r="I59">
        <v>2000</v>
      </c>
      <c r="J59">
        <v>2000</v>
      </c>
      <c r="K59">
        <v>2000</v>
      </c>
      <c r="L59">
        <v>2000</v>
      </c>
      <c r="M59">
        <v>2000</v>
      </c>
      <c r="N59" t="s">
        <v>988</v>
      </c>
    </row>
    <row r="60" spans="1:14" x14ac:dyDescent="0.3">
      <c r="A60">
        <v>1288</v>
      </c>
      <c r="B60" t="s">
        <v>908</v>
      </c>
      <c r="C60" t="s">
        <v>2459</v>
      </c>
      <c r="D60" t="s">
        <v>159</v>
      </c>
      <c r="E60" t="s">
        <v>159</v>
      </c>
      <c r="F60">
        <v>5581</v>
      </c>
      <c r="G60" t="s">
        <v>688</v>
      </c>
      <c r="H60" t="s">
        <v>2477</v>
      </c>
      <c r="I60">
        <v>50500</v>
      </c>
      <c r="J60">
        <v>51750</v>
      </c>
      <c r="K60">
        <v>53000</v>
      </c>
      <c r="L60">
        <v>53000</v>
      </c>
      <c r="M60">
        <v>53000</v>
      </c>
      <c r="N60" t="s">
        <v>988</v>
      </c>
    </row>
    <row r="61" spans="1:14" x14ac:dyDescent="0.3">
      <c r="A61">
        <v>1288</v>
      </c>
      <c r="B61" t="s">
        <v>908</v>
      </c>
      <c r="C61" t="s">
        <v>2459</v>
      </c>
      <c r="D61" t="s">
        <v>159</v>
      </c>
      <c r="E61" t="s">
        <v>159</v>
      </c>
      <c r="F61">
        <v>5581</v>
      </c>
      <c r="G61" t="s">
        <v>690</v>
      </c>
      <c r="H61" t="s">
        <v>2172</v>
      </c>
      <c r="I61">
        <v>10075</v>
      </c>
      <c r="J61">
        <v>10325</v>
      </c>
      <c r="K61">
        <v>10600</v>
      </c>
      <c r="L61">
        <v>10600</v>
      </c>
      <c r="M61">
        <v>10600</v>
      </c>
      <c r="N61" t="s">
        <v>988</v>
      </c>
    </row>
    <row r="62" spans="1:14" x14ac:dyDescent="0.3">
      <c r="A62">
        <v>1599</v>
      </c>
      <c r="B62" t="s">
        <v>955</v>
      </c>
      <c r="C62" t="s">
        <v>2459</v>
      </c>
      <c r="D62" t="s">
        <v>159</v>
      </c>
      <c r="E62" t="s">
        <v>159</v>
      </c>
      <c r="F62">
        <v>5421</v>
      </c>
      <c r="G62" t="s">
        <v>687</v>
      </c>
      <c r="H62" t="s">
        <v>2460</v>
      </c>
      <c r="I62">
        <v>1149000</v>
      </c>
      <c r="J62">
        <v>1110000</v>
      </c>
      <c r="K62">
        <v>1084000</v>
      </c>
      <c r="L62">
        <v>1100000</v>
      </c>
      <c r="M62">
        <v>1125000</v>
      </c>
      <c r="N62" t="s">
        <v>988</v>
      </c>
    </row>
    <row r="63" spans="1:14" x14ac:dyDescent="0.3">
      <c r="A63">
        <v>1599</v>
      </c>
      <c r="B63" t="s">
        <v>955</v>
      </c>
      <c r="C63" t="s">
        <v>2459</v>
      </c>
      <c r="D63" t="s">
        <v>159</v>
      </c>
      <c r="E63" t="s">
        <v>159</v>
      </c>
      <c r="F63">
        <v>5421</v>
      </c>
      <c r="G63" t="s">
        <v>693</v>
      </c>
      <c r="H63" t="s">
        <v>2460</v>
      </c>
      <c r="I63">
        <v>278000</v>
      </c>
      <c r="J63">
        <v>278000</v>
      </c>
      <c r="K63">
        <v>278000</v>
      </c>
      <c r="L63">
        <v>278000</v>
      </c>
      <c r="M63">
        <v>278000</v>
      </c>
      <c r="N63" t="s">
        <v>988</v>
      </c>
    </row>
    <row r="64" spans="1:14" x14ac:dyDescent="0.3">
      <c r="A64">
        <v>1632</v>
      </c>
      <c r="B64" t="s">
        <v>2173</v>
      </c>
      <c r="C64" t="s">
        <v>2459</v>
      </c>
      <c r="D64" t="s">
        <v>1203</v>
      </c>
      <c r="E64" t="s">
        <v>1204</v>
      </c>
      <c r="F64">
        <v>5632</v>
      </c>
      <c r="G64" t="s">
        <v>688</v>
      </c>
      <c r="H64" t="s">
        <v>2174</v>
      </c>
      <c r="I64">
        <v>39200</v>
      </c>
      <c r="J64">
        <v>44800</v>
      </c>
      <c r="K64">
        <v>50400</v>
      </c>
      <c r="L64">
        <v>56000</v>
      </c>
      <c r="M64">
        <v>61600</v>
      </c>
      <c r="N64" t="s">
        <v>988</v>
      </c>
    </row>
    <row r="65" spans="1:14" x14ac:dyDescent="0.3">
      <c r="A65">
        <v>1635</v>
      </c>
      <c r="B65" t="s">
        <v>829</v>
      </c>
      <c r="C65" t="s">
        <v>2459</v>
      </c>
      <c r="D65" t="s">
        <v>159</v>
      </c>
      <c r="E65" t="s">
        <v>159</v>
      </c>
      <c r="F65">
        <v>7838</v>
      </c>
      <c r="G65" t="s">
        <v>692</v>
      </c>
      <c r="H65" t="s">
        <v>2175</v>
      </c>
      <c r="I65">
        <v>130800</v>
      </c>
      <c r="J65">
        <v>135300</v>
      </c>
      <c r="K65">
        <v>137700</v>
      </c>
      <c r="L65">
        <v>140200</v>
      </c>
      <c r="M65">
        <v>142900</v>
      </c>
      <c r="N65" t="s">
        <v>988</v>
      </c>
    </row>
    <row r="66" spans="1:14" x14ac:dyDescent="0.3">
      <c r="A66">
        <v>1642</v>
      </c>
      <c r="B66" t="s">
        <v>1720</v>
      </c>
      <c r="C66" t="s">
        <v>2459</v>
      </c>
      <c r="D66" t="s">
        <v>1203</v>
      </c>
      <c r="E66" t="s">
        <v>1204</v>
      </c>
      <c r="F66">
        <v>5531</v>
      </c>
      <c r="G66" t="s">
        <v>688</v>
      </c>
      <c r="H66" t="s">
        <v>2460</v>
      </c>
      <c r="I66">
        <v>9000</v>
      </c>
      <c r="J66">
        <v>9000</v>
      </c>
      <c r="K66">
        <v>9000</v>
      </c>
      <c r="L66">
        <v>9000</v>
      </c>
      <c r="M66">
        <v>9000</v>
      </c>
      <c r="N66" t="s">
        <v>988</v>
      </c>
    </row>
    <row r="67" spans="1:14" x14ac:dyDescent="0.3">
      <c r="A67">
        <v>1684</v>
      </c>
      <c r="B67" t="s">
        <v>2176</v>
      </c>
      <c r="C67" t="s">
        <v>2459</v>
      </c>
      <c r="D67" t="s">
        <v>159</v>
      </c>
      <c r="E67" t="s">
        <v>159</v>
      </c>
      <c r="F67">
        <v>5423</v>
      </c>
      <c r="G67" t="s">
        <v>688</v>
      </c>
      <c r="H67" t="s">
        <v>2478</v>
      </c>
      <c r="I67">
        <v>119743</v>
      </c>
      <c r="J67">
        <v>120573</v>
      </c>
      <c r="K67">
        <v>123502</v>
      </c>
      <c r="L67">
        <v>123107</v>
      </c>
      <c r="M67">
        <v>122819</v>
      </c>
      <c r="N67" t="s">
        <v>988</v>
      </c>
    </row>
    <row r="68" spans="1:14" x14ac:dyDescent="0.3">
      <c r="A68">
        <v>1684</v>
      </c>
      <c r="B68" t="s">
        <v>2176</v>
      </c>
      <c r="C68" t="s">
        <v>2459</v>
      </c>
      <c r="D68" t="s">
        <v>159</v>
      </c>
      <c r="E68" t="s">
        <v>159</v>
      </c>
      <c r="F68">
        <v>5423</v>
      </c>
      <c r="G68" t="s">
        <v>691</v>
      </c>
      <c r="H68" t="s">
        <v>2479</v>
      </c>
      <c r="I68">
        <v>4017</v>
      </c>
      <c r="J68">
        <v>4017</v>
      </c>
      <c r="K68">
        <v>4017</v>
      </c>
      <c r="L68">
        <v>4017</v>
      </c>
      <c r="M68">
        <v>4017</v>
      </c>
      <c r="N68" t="s">
        <v>988</v>
      </c>
    </row>
    <row r="69" spans="1:14" x14ac:dyDescent="0.3">
      <c r="A69">
        <v>1684</v>
      </c>
      <c r="B69" t="s">
        <v>2176</v>
      </c>
      <c r="C69" t="s">
        <v>2459</v>
      </c>
      <c r="D69" t="s">
        <v>159</v>
      </c>
      <c r="E69" t="s">
        <v>159</v>
      </c>
      <c r="F69">
        <v>5423</v>
      </c>
      <c r="G69" t="s">
        <v>690</v>
      </c>
      <c r="H69" t="s">
        <v>2480</v>
      </c>
      <c r="I69">
        <v>51600</v>
      </c>
      <c r="J69">
        <v>51600</v>
      </c>
      <c r="K69">
        <v>51600</v>
      </c>
      <c r="L69">
        <v>51600</v>
      </c>
      <c r="M69">
        <v>51600</v>
      </c>
      <c r="N69" t="s">
        <v>988</v>
      </c>
    </row>
    <row r="70" spans="1:14" x14ac:dyDescent="0.3">
      <c r="A70">
        <v>1927</v>
      </c>
      <c r="B70" t="s">
        <v>771</v>
      </c>
      <c r="C70" t="s">
        <v>2459</v>
      </c>
      <c r="D70" t="s">
        <v>1203</v>
      </c>
      <c r="E70" t="s">
        <v>1204</v>
      </c>
      <c r="F70">
        <v>6885</v>
      </c>
      <c r="G70" t="s">
        <v>688</v>
      </c>
      <c r="H70" t="s">
        <v>1205</v>
      </c>
      <c r="I70">
        <v>15413</v>
      </c>
      <c r="J70">
        <v>18388</v>
      </c>
      <c r="K70">
        <v>22710</v>
      </c>
      <c r="L70">
        <v>27032</v>
      </c>
      <c r="N70" t="s">
        <v>988</v>
      </c>
    </row>
    <row r="71" spans="1:14" x14ac:dyDescent="0.3">
      <c r="A71">
        <v>1927</v>
      </c>
      <c r="B71" t="s">
        <v>771</v>
      </c>
      <c r="C71" t="s">
        <v>2459</v>
      </c>
      <c r="D71" t="s">
        <v>1203</v>
      </c>
      <c r="E71" t="s">
        <v>1204</v>
      </c>
      <c r="F71">
        <v>6885</v>
      </c>
      <c r="G71" t="s">
        <v>688</v>
      </c>
      <c r="H71" t="s">
        <v>1210</v>
      </c>
      <c r="I71">
        <v>54923</v>
      </c>
      <c r="J71">
        <v>58712</v>
      </c>
      <c r="K71">
        <v>63289</v>
      </c>
      <c r="L71">
        <v>81006</v>
      </c>
      <c r="N71" t="s">
        <v>988</v>
      </c>
    </row>
    <row r="72" spans="1:14" x14ac:dyDescent="0.3">
      <c r="A72">
        <v>1954</v>
      </c>
      <c r="B72" t="s">
        <v>2180</v>
      </c>
      <c r="C72" t="s">
        <v>2459</v>
      </c>
      <c r="D72" t="s">
        <v>1203</v>
      </c>
      <c r="E72" t="s">
        <v>1204</v>
      </c>
      <c r="F72">
        <v>5648</v>
      </c>
      <c r="G72" t="s">
        <v>689</v>
      </c>
      <c r="H72" t="s">
        <v>2181</v>
      </c>
      <c r="I72">
        <v>13</v>
      </c>
      <c r="J72">
        <v>13</v>
      </c>
      <c r="K72">
        <v>13</v>
      </c>
      <c r="L72">
        <v>13</v>
      </c>
      <c r="M72">
        <v>13</v>
      </c>
      <c r="N72" t="s">
        <v>988</v>
      </c>
    </row>
    <row r="73" spans="1:14" x14ac:dyDescent="0.3">
      <c r="A73">
        <v>1954</v>
      </c>
      <c r="B73" t="s">
        <v>2180</v>
      </c>
      <c r="C73" t="s">
        <v>2459</v>
      </c>
      <c r="D73" t="s">
        <v>1203</v>
      </c>
      <c r="E73" t="s">
        <v>1204</v>
      </c>
      <c r="F73">
        <v>5648</v>
      </c>
      <c r="G73" t="s">
        <v>688</v>
      </c>
      <c r="H73" t="s">
        <v>2183</v>
      </c>
      <c r="I73">
        <v>564</v>
      </c>
      <c r="J73">
        <v>633</v>
      </c>
      <c r="K73">
        <v>701</v>
      </c>
      <c r="L73">
        <v>770</v>
      </c>
      <c r="M73">
        <v>767</v>
      </c>
      <c r="N73" t="s">
        <v>988</v>
      </c>
    </row>
    <row r="74" spans="1:14" x14ac:dyDescent="0.3">
      <c r="A74">
        <v>1954</v>
      </c>
      <c r="B74" t="s">
        <v>2180</v>
      </c>
      <c r="C74" t="s">
        <v>2459</v>
      </c>
      <c r="D74" t="s">
        <v>1203</v>
      </c>
      <c r="E74" t="s">
        <v>1204</v>
      </c>
      <c r="F74">
        <v>5648</v>
      </c>
      <c r="G74" t="s">
        <v>688</v>
      </c>
      <c r="H74" t="s">
        <v>2182</v>
      </c>
      <c r="I74">
        <v>1957</v>
      </c>
      <c r="J74">
        <v>2016</v>
      </c>
      <c r="K74">
        <v>2077</v>
      </c>
      <c r="L74">
        <v>2140</v>
      </c>
      <c r="M74">
        <v>2149</v>
      </c>
      <c r="N74" t="s">
        <v>988</v>
      </c>
    </row>
    <row r="75" spans="1:14" x14ac:dyDescent="0.3">
      <c r="A75">
        <v>1954</v>
      </c>
      <c r="B75" t="s">
        <v>2180</v>
      </c>
      <c r="C75" t="s">
        <v>2459</v>
      </c>
      <c r="D75" t="s">
        <v>1203</v>
      </c>
      <c r="E75" t="s">
        <v>1204</v>
      </c>
      <c r="F75">
        <v>5648</v>
      </c>
      <c r="G75" t="s">
        <v>686</v>
      </c>
      <c r="H75" t="s">
        <v>2460</v>
      </c>
      <c r="I75">
        <v>111</v>
      </c>
      <c r="J75">
        <v>118</v>
      </c>
      <c r="K75">
        <v>126</v>
      </c>
      <c r="L75">
        <v>135</v>
      </c>
      <c r="M75">
        <v>143</v>
      </c>
      <c r="N75" t="s">
        <v>988</v>
      </c>
    </row>
    <row r="76" spans="1:14" x14ac:dyDescent="0.3">
      <c r="A76">
        <v>1954</v>
      </c>
      <c r="B76" t="s">
        <v>2180</v>
      </c>
      <c r="C76" t="s">
        <v>2459</v>
      </c>
      <c r="D76" t="s">
        <v>1203</v>
      </c>
      <c r="E76" t="s">
        <v>1204</v>
      </c>
      <c r="F76">
        <v>5648</v>
      </c>
      <c r="G76" t="s">
        <v>687</v>
      </c>
      <c r="H76" t="s">
        <v>2460</v>
      </c>
      <c r="I76">
        <v>445</v>
      </c>
      <c r="J76">
        <v>473</v>
      </c>
      <c r="K76">
        <v>505</v>
      </c>
      <c r="L76">
        <v>538</v>
      </c>
      <c r="M76">
        <v>573</v>
      </c>
      <c r="N76" t="s">
        <v>988</v>
      </c>
    </row>
    <row r="77" spans="1:14" x14ac:dyDescent="0.3">
      <c r="A77">
        <v>1954</v>
      </c>
      <c r="B77" t="s">
        <v>2180</v>
      </c>
      <c r="C77" t="s">
        <v>2459</v>
      </c>
      <c r="D77" t="s">
        <v>1203</v>
      </c>
      <c r="E77" t="s">
        <v>1204</v>
      </c>
      <c r="F77">
        <v>5648</v>
      </c>
      <c r="G77" t="s">
        <v>688</v>
      </c>
      <c r="H77" t="s">
        <v>2481</v>
      </c>
      <c r="I77">
        <v>1405</v>
      </c>
      <c r="J77">
        <v>1590</v>
      </c>
      <c r="K77">
        <v>1800</v>
      </c>
      <c r="L77">
        <v>2035</v>
      </c>
      <c r="M77">
        <v>2301</v>
      </c>
      <c r="N77" t="s">
        <v>988</v>
      </c>
    </row>
    <row r="78" spans="1:14" x14ac:dyDescent="0.3">
      <c r="A78">
        <v>2083</v>
      </c>
      <c r="B78" t="s">
        <v>1854</v>
      </c>
      <c r="C78" t="s">
        <v>2459</v>
      </c>
      <c r="D78" t="s">
        <v>1203</v>
      </c>
      <c r="E78" t="s">
        <v>1204</v>
      </c>
      <c r="F78">
        <v>5706</v>
      </c>
      <c r="G78" t="s">
        <v>688</v>
      </c>
      <c r="H78" t="s">
        <v>2482</v>
      </c>
      <c r="I78">
        <v>2000</v>
      </c>
      <c r="J78">
        <v>2000</v>
      </c>
      <c r="K78">
        <v>2000</v>
      </c>
      <c r="L78">
        <v>2000</v>
      </c>
      <c r="M78">
        <v>2000</v>
      </c>
      <c r="N78" t="s">
        <v>988</v>
      </c>
    </row>
    <row r="79" spans="1:14" x14ac:dyDescent="0.3">
      <c r="A79">
        <v>2083</v>
      </c>
      <c r="B79" t="s">
        <v>1854</v>
      </c>
      <c r="C79" t="s">
        <v>2459</v>
      </c>
      <c r="D79" t="s">
        <v>1203</v>
      </c>
      <c r="E79" t="s">
        <v>1204</v>
      </c>
      <c r="F79">
        <v>5706</v>
      </c>
      <c r="G79" t="s">
        <v>688</v>
      </c>
      <c r="H79" t="s">
        <v>2248</v>
      </c>
      <c r="I79">
        <v>1000</v>
      </c>
      <c r="J79">
        <v>1000</v>
      </c>
      <c r="K79">
        <v>1000</v>
      </c>
      <c r="L79">
        <v>1000</v>
      </c>
      <c r="M79">
        <v>1000</v>
      </c>
      <c r="N79" t="s">
        <v>988</v>
      </c>
    </row>
    <row r="80" spans="1:14" x14ac:dyDescent="0.3">
      <c r="A80">
        <v>2130</v>
      </c>
      <c r="B80" t="s">
        <v>1879</v>
      </c>
      <c r="C80" t="s">
        <v>2459</v>
      </c>
      <c r="D80" t="s">
        <v>159</v>
      </c>
      <c r="E80" t="s">
        <v>159</v>
      </c>
      <c r="F80">
        <v>6776</v>
      </c>
      <c r="G80" t="s">
        <v>688</v>
      </c>
      <c r="H80" t="s">
        <v>2483</v>
      </c>
      <c r="I80">
        <v>69</v>
      </c>
      <c r="J80">
        <v>69</v>
      </c>
      <c r="K80">
        <v>69</v>
      </c>
      <c r="L80">
        <v>69</v>
      </c>
      <c r="M80">
        <v>69</v>
      </c>
      <c r="N80" t="s">
        <v>988</v>
      </c>
    </row>
    <row r="81" spans="1:14" x14ac:dyDescent="0.3">
      <c r="A81">
        <v>2130</v>
      </c>
      <c r="B81" t="s">
        <v>1879</v>
      </c>
      <c r="C81" t="s">
        <v>2459</v>
      </c>
      <c r="D81" t="s">
        <v>159</v>
      </c>
      <c r="E81" t="s">
        <v>159</v>
      </c>
      <c r="F81">
        <v>6776</v>
      </c>
      <c r="G81" t="s">
        <v>688</v>
      </c>
      <c r="H81" t="s">
        <v>2193</v>
      </c>
      <c r="I81">
        <v>2545</v>
      </c>
      <c r="J81">
        <v>5000</v>
      </c>
      <c r="K81">
        <v>5000</v>
      </c>
      <c r="L81">
        <v>5000</v>
      </c>
      <c r="M81">
        <v>5000</v>
      </c>
      <c r="N81" t="s">
        <v>988</v>
      </c>
    </row>
    <row r="82" spans="1:14" x14ac:dyDescent="0.3">
      <c r="A82">
        <v>2130</v>
      </c>
      <c r="B82" t="s">
        <v>1879</v>
      </c>
      <c r="C82" t="s">
        <v>2459</v>
      </c>
      <c r="D82" t="s">
        <v>159</v>
      </c>
      <c r="E82" t="s">
        <v>159</v>
      </c>
      <c r="F82">
        <v>6776</v>
      </c>
      <c r="G82" t="s">
        <v>688</v>
      </c>
      <c r="H82" t="s">
        <v>2192</v>
      </c>
      <c r="I82">
        <v>1945</v>
      </c>
      <c r="J82">
        <v>3500</v>
      </c>
      <c r="K82">
        <v>14782</v>
      </c>
      <c r="L82">
        <v>26064</v>
      </c>
      <c r="M82">
        <v>26064</v>
      </c>
      <c r="N82" t="s">
        <v>988</v>
      </c>
    </row>
    <row r="83" spans="1:14" x14ac:dyDescent="0.3">
      <c r="A83">
        <v>2130</v>
      </c>
      <c r="B83" t="s">
        <v>1879</v>
      </c>
      <c r="C83" t="s">
        <v>2459</v>
      </c>
      <c r="D83" t="s">
        <v>159</v>
      </c>
      <c r="E83" t="s">
        <v>159</v>
      </c>
      <c r="F83">
        <v>6776</v>
      </c>
      <c r="G83" t="s">
        <v>688</v>
      </c>
      <c r="H83" t="s">
        <v>2484</v>
      </c>
      <c r="I83">
        <v>0</v>
      </c>
      <c r="J83">
        <v>0</v>
      </c>
      <c r="K83">
        <v>2130</v>
      </c>
      <c r="L83">
        <v>4260</v>
      </c>
      <c r="M83">
        <v>4260</v>
      </c>
      <c r="N83" t="s">
        <v>988</v>
      </c>
    </row>
    <row r="84" spans="1:14" x14ac:dyDescent="0.3">
      <c r="A84">
        <v>2130</v>
      </c>
      <c r="B84" t="s">
        <v>1879</v>
      </c>
      <c r="C84" t="s">
        <v>2459</v>
      </c>
      <c r="D84" t="s">
        <v>159</v>
      </c>
      <c r="E84" t="s">
        <v>159</v>
      </c>
      <c r="F84">
        <v>6776</v>
      </c>
      <c r="G84" t="s">
        <v>688</v>
      </c>
      <c r="H84" t="s">
        <v>2485</v>
      </c>
      <c r="I84">
        <v>0</v>
      </c>
      <c r="J84">
        <v>0</v>
      </c>
      <c r="K84">
        <v>518</v>
      </c>
      <c r="L84">
        <v>1037</v>
      </c>
      <c r="M84">
        <v>1037</v>
      </c>
      <c r="N84" t="s">
        <v>988</v>
      </c>
    </row>
    <row r="85" spans="1:14" x14ac:dyDescent="0.3">
      <c r="A85">
        <v>2130</v>
      </c>
      <c r="B85" t="s">
        <v>1879</v>
      </c>
      <c r="C85" t="s">
        <v>2459</v>
      </c>
      <c r="D85" t="s">
        <v>159</v>
      </c>
      <c r="E85" t="s">
        <v>159</v>
      </c>
      <c r="F85">
        <v>6776</v>
      </c>
      <c r="G85" t="s">
        <v>688</v>
      </c>
      <c r="H85" t="s">
        <v>2486</v>
      </c>
      <c r="I85">
        <v>0</v>
      </c>
      <c r="J85">
        <v>0</v>
      </c>
      <c r="K85">
        <v>672</v>
      </c>
      <c r="L85">
        <v>1344</v>
      </c>
      <c r="M85">
        <v>1344</v>
      </c>
      <c r="N85" t="s">
        <v>988</v>
      </c>
    </row>
    <row r="86" spans="1:14" x14ac:dyDescent="0.3">
      <c r="A86">
        <v>2130</v>
      </c>
      <c r="B86" t="s">
        <v>1879</v>
      </c>
      <c r="C86" t="s">
        <v>2459</v>
      </c>
      <c r="D86" t="s">
        <v>159</v>
      </c>
      <c r="E86" t="s">
        <v>159</v>
      </c>
      <c r="F86">
        <v>6776</v>
      </c>
      <c r="G86" t="s">
        <v>688</v>
      </c>
      <c r="H86" t="s">
        <v>2191</v>
      </c>
      <c r="I86">
        <v>457</v>
      </c>
      <c r="J86">
        <v>913</v>
      </c>
      <c r="K86">
        <v>1384</v>
      </c>
      <c r="L86">
        <v>1855</v>
      </c>
      <c r="M86">
        <v>1855</v>
      </c>
      <c r="N86" t="s">
        <v>988</v>
      </c>
    </row>
    <row r="87" spans="1:14" x14ac:dyDescent="0.3">
      <c r="A87">
        <v>2130</v>
      </c>
      <c r="B87" t="s">
        <v>1879</v>
      </c>
      <c r="C87" t="s">
        <v>2459</v>
      </c>
      <c r="D87" t="s">
        <v>159</v>
      </c>
      <c r="E87" t="s">
        <v>159</v>
      </c>
      <c r="F87">
        <v>6776</v>
      </c>
      <c r="G87" t="s">
        <v>688</v>
      </c>
      <c r="H87" t="s">
        <v>2189</v>
      </c>
      <c r="I87">
        <v>4479</v>
      </c>
      <c r="J87">
        <v>8692</v>
      </c>
      <c r="K87">
        <v>8692</v>
      </c>
      <c r="L87">
        <v>8692</v>
      </c>
      <c r="M87">
        <v>8692</v>
      </c>
      <c r="N87" t="s">
        <v>988</v>
      </c>
    </row>
    <row r="88" spans="1:14" x14ac:dyDescent="0.3">
      <c r="A88">
        <v>2130</v>
      </c>
      <c r="B88" t="s">
        <v>1879</v>
      </c>
      <c r="C88" t="s">
        <v>2459</v>
      </c>
      <c r="D88" t="s">
        <v>159</v>
      </c>
      <c r="E88" t="s">
        <v>159</v>
      </c>
      <c r="F88">
        <v>6776</v>
      </c>
      <c r="G88" t="s">
        <v>688</v>
      </c>
      <c r="H88" t="s">
        <v>2188</v>
      </c>
      <c r="I88">
        <v>2803</v>
      </c>
      <c r="J88">
        <v>4480</v>
      </c>
      <c r="K88">
        <v>6258</v>
      </c>
      <c r="L88">
        <v>8036</v>
      </c>
      <c r="M88">
        <v>8036</v>
      </c>
      <c r="N88" t="s">
        <v>988</v>
      </c>
    </row>
    <row r="89" spans="1:14" x14ac:dyDescent="0.3">
      <c r="A89">
        <v>2130</v>
      </c>
      <c r="B89" t="s">
        <v>1879</v>
      </c>
      <c r="C89" t="s">
        <v>2459</v>
      </c>
      <c r="D89" t="s">
        <v>159</v>
      </c>
      <c r="E89" t="s">
        <v>159</v>
      </c>
      <c r="F89">
        <v>6776</v>
      </c>
      <c r="G89" t="s">
        <v>688</v>
      </c>
      <c r="H89" t="s">
        <v>2187</v>
      </c>
      <c r="I89">
        <v>3591</v>
      </c>
      <c r="J89">
        <v>6160</v>
      </c>
      <c r="K89">
        <v>8163</v>
      </c>
      <c r="L89">
        <v>10166</v>
      </c>
      <c r="M89">
        <v>10166</v>
      </c>
      <c r="N89" t="s">
        <v>988</v>
      </c>
    </row>
    <row r="90" spans="1:14" x14ac:dyDescent="0.3">
      <c r="A90">
        <v>2130</v>
      </c>
      <c r="B90" t="s">
        <v>1879</v>
      </c>
      <c r="C90" t="s">
        <v>2459</v>
      </c>
      <c r="D90" t="s">
        <v>159</v>
      </c>
      <c r="E90" t="s">
        <v>159</v>
      </c>
      <c r="F90">
        <v>6776</v>
      </c>
      <c r="G90" t="s">
        <v>688</v>
      </c>
      <c r="H90" t="s">
        <v>2487</v>
      </c>
      <c r="I90">
        <v>0</v>
      </c>
      <c r="J90">
        <v>0</v>
      </c>
      <c r="K90">
        <v>2106</v>
      </c>
      <c r="L90">
        <v>4211</v>
      </c>
      <c r="M90">
        <v>4211</v>
      </c>
      <c r="N90" t="s">
        <v>988</v>
      </c>
    </row>
    <row r="91" spans="1:14" x14ac:dyDescent="0.3">
      <c r="A91">
        <v>2130</v>
      </c>
      <c r="B91" t="s">
        <v>1879</v>
      </c>
      <c r="C91" t="s">
        <v>2459</v>
      </c>
      <c r="D91" t="s">
        <v>159</v>
      </c>
      <c r="E91" t="s">
        <v>159</v>
      </c>
      <c r="F91">
        <v>6776</v>
      </c>
      <c r="G91" t="s">
        <v>688</v>
      </c>
      <c r="H91" t="s">
        <v>2488</v>
      </c>
      <c r="I91">
        <v>4800</v>
      </c>
      <c r="J91">
        <v>9600</v>
      </c>
      <c r="K91">
        <v>10122</v>
      </c>
      <c r="L91">
        <v>10644</v>
      </c>
      <c r="M91">
        <v>10644</v>
      </c>
      <c r="N91" t="s">
        <v>988</v>
      </c>
    </row>
    <row r="92" spans="1:14" x14ac:dyDescent="0.3">
      <c r="A92">
        <v>2130</v>
      </c>
      <c r="B92" t="s">
        <v>1879</v>
      </c>
      <c r="C92" t="s">
        <v>2459</v>
      </c>
      <c r="D92" t="s">
        <v>159</v>
      </c>
      <c r="E92" t="s">
        <v>159</v>
      </c>
      <c r="F92">
        <v>6776</v>
      </c>
      <c r="G92" t="s">
        <v>688</v>
      </c>
      <c r="H92" t="s">
        <v>2489</v>
      </c>
      <c r="I92">
        <v>6661</v>
      </c>
      <c r="J92">
        <v>13321</v>
      </c>
      <c r="K92">
        <v>12836</v>
      </c>
      <c r="L92">
        <v>12350</v>
      </c>
      <c r="M92">
        <v>12350</v>
      </c>
      <c r="N92" t="s">
        <v>988</v>
      </c>
    </row>
    <row r="93" spans="1:14" x14ac:dyDescent="0.3">
      <c r="A93">
        <v>2130</v>
      </c>
      <c r="B93" t="s">
        <v>1879</v>
      </c>
      <c r="C93" t="s">
        <v>2459</v>
      </c>
      <c r="D93" t="s">
        <v>159</v>
      </c>
      <c r="E93" t="s">
        <v>159</v>
      </c>
      <c r="F93">
        <v>6776</v>
      </c>
      <c r="G93" t="s">
        <v>688</v>
      </c>
      <c r="H93" t="s">
        <v>2490</v>
      </c>
      <c r="I93">
        <v>0</v>
      </c>
      <c r="J93">
        <v>0</v>
      </c>
      <c r="K93">
        <v>47</v>
      </c>
      <c r="L93">
        <v>95</v>
      </c>
      <c r="M93">
        <v>95</v>
      </c>
      <c r="N93" t="s">
        <v>988</v>
      </c>
    </row>
    <row r="94" spans="1:14" x14ac:dyDescent="0.3">
      <c r="A94">
        <v>2130</v>
      </c>
      <c r="B94" t="s">
        <v>1879</v>
      </c>
      <c r="C94" t="s">
        <v>2459</v>
      </c>
      <c r="D94" t="s">
        <v>159</v>
      </c>
      <c r="E94" t="s">
        <v>159</v>
      </c>
      <c r="F94">
        <v>6776</v>
      </c>
      <c r="G94" t="s">
        <v>688</v>
      </c>
      <c r="H94" t="s">
        <v>2190</v>
      </c>
      <c r="I94">
        <v>1056</v>
      </c>
      <c r="J94">
        <v>1400</v>
      </c>
      <c r="K94">
        <v>1400</v>
      </c>
      <c r="L94">
        <v>1400</v>
      </c>
      <c r="M94">
        <v>1400</v>
      </c>
      <c r="N94" t="s">
        <v>988</v>
      </c>
    </row>
    <row r="95" spans="1:14" x14ac:dyDescent="0.3">
      <c r="A95">
        <v>2130</v>
      </c>
      <c r="B95" t="s">
        <v>1879</v>
      </c>
      <c r="C95" t="s">
        <v>2459</v>
      </c>
      <c r="D95" t="s">
        <v>159</v>
      </c>
      <c r="E95" t="s">
        <v>159</v>
      </c>
      <c r="F95">
        <v>6776</v>
      </c>
      <c r="G95" t="s">
        <v>688</v>
      </c>
      <c r="H95" t="s">
        <v>2491</v>
      </c>
      <c r="I95">
        <v>0</v>
      </c>
      <c r="J95">
        <v>0</v>
      </c>
      <c r="K95">
        <v>919</v>
      </c>
      <c r="L95">
        <v>1837</v>
      </c>
      <c r="M95">
        <v>1837</v>
      </c>
      <c r="N95" t="s">
        <v>988</v>
      </c>
    </row>
    <row r="96" spans="1:14" x14ac:dyDescent="0.3">
      <c r="A96">
        <v>2132</v>
      </c>
      <c r="B96" t="s">
        <v>772</v>
      </c>
      <c r="C96" t="s">
        <v>2459</v>
      </c>
      <c r="D96" t="s">
        <v>1203</v>
      </c>
      <c r="E96" t="s">
        <v>1204</v>
      </c>
      <c r="F96">
        <v>5606</v>
      </c>
      <c r="G96" t="s">
        <v>688</v>
      </c>
      <c r="H96" t="s">
        <v>2492</v>
      </c>
      <c r="I96">
        <v>2568</v>
      </c>
      <c r="J96">
        <v>2668</v>
      </c>
      <c r="K96">
        <v>2768</v>
      </c>
      <c r="L96">
        <v>2868</v>
      </c>
      <c r="M96">
        <v>3072</v>
      </c>
      <c r="N96" t="s">
        <v>988</v>
      </c>
    </row>
    <row r="97" spans="1:14" x14ac:dyDescent="0.3">
      <c r="A97">
        <v>2146</v>
      </c>
      <c r="B97" t="s">
        <v>2194</v>
      </c>
      <c r="C97" t="s">
        <v>2459</v>
      </c>
      <c r="D97" t="s">
        <v>1203</v>
      </c>
      <c r="E97" t="s">
        <v>1204</v>
      </c>
      <c r="F97">
        <v>6101</v>
      </c>
      <c r="G97" t="s">
        <v>688</v>
      </c>
      <c r="H97" t="s">
        <v>1720</v>
      </c>
      <c r="I97">
        <v>671</v>
      </c>
      <c r="J97">
        <v>671</v>
      </c>
      <c r="K97">
        <v>671</v>
      </c>
      <c r="L97">
        <v>671</v>
      </c>
      <c r="M97">
        <v>671</v>
      </c>
      <c r="N97" t="s">
        <v>988</v>
      </c>
    </row>
    <row r="98" spans="1:14" x14ac:dyDescent="0.3">
      <c r="A98">
        <v>2146</v>
      </c>
      <c r="B98" t="s">
        <v>2194</v>
      </c>
      <c r="C98" t="s">
        <v>2459</v>
      </c>
      <c r="D98" t="s">
        <v>1203</v>
      </c>
      <c r="E98" t="s">
        <v>1204</v>
      </c>
      <c r="F98">
        <v>6101</v>
      </c>
      <c r="G98" t="s">
        <v>687</v>
      </c>
      <c r="H98" t="s">
        <v>2199</v>
      </c>
      <c r="I98">
        <v>102</v>
      </c>
      <c r="J98">
        <v>102</v>
      </c>
      <c r="K98">
        <v>102</v>
      </c>
      <c r="L98">
        <v>102</v>
      </c>
      <c r="M98">
        <v>102</v>
      </c>
      <c r="N98" t="s">
        <v>988</v>
      </c>
    </row>
    <row r="99" spans="1:14" x14ac:dyDescent="0.3">
      <c r="A99">
        <v>2146</v>
      </c>
      <c r="B99" t="s">
        <v>2194</v>
      </c>
      <c r="C99" t="s">
        <v>2459</v>
      </c>
      <c r="D99" t="s">
        <v>1203</v>
      </c>
      <c r="E99" t="s">
        <v>1204</v>
      </c>
      <c r="F99">
        <v>6101</v>
      </c>
      <c r="G99" t="s">
        <v>687</v>
      </c>
      <c r="H99" t="s">
        <v>2493</v>
      </c>
      <c r="I99">
        <v>20</v>
      </c>
      <c r="J99">
        <v>20</v>
      </c>
      <c r="K99">
        <v>20</v>
      </c>
      <c r="L99">
        <v>20</v>
      </c>
      <c r="M99">
        <v>20</v>
      </c>
      <c r="N99" t="s">
        <v>988</v>
      </c>
    </row>
    <row r="100" spans="1:14" x14ac:dyDescent="0.3">
      <c r="A100">
        <v>2146</v>
      </c>
      <c r="B100" t="s">
        <v>2194</v>
      </c>
      <c r="C100" t="s">
        <v>2459</v>
      </c>
      <c r="D100" t="s">
        <v>1203</v>
      </c>
      <c r="E100" t="s">
        <v>1204</v>
      </c>
      <c r="F100">
        <v>6101</v>
      </c>
      <c r="G100" t="s">
        <v>689</v>
      </c>
      <c r="H100" t="s">
        <v>2494</v>
      </c>
      <c r="I100">
        <v>1270</v>
      </c>
      <c r="J100">
        <v>1270</v>
      </c>
      <c r="K100">
        <v>1270</v>
      </c>
      <c r="L100">
        <v>1270</v>
      </c>
      <c r="M100">
        <v>1270</v>
      </c>
      <c r="N100" t="s">
        <v>988</v>
      </c>
    </row>
    <row r="101" spans="1:14" x14ac:dyDescent="0.3">
      <c r="A101">
        <v>2146</v>
      </c>
      <c r="B101" t="s">
        <v>2194</v>
      </c>
      <c r="C101" t="s">
        <v>2459</v>
      </c>
      <c r="D101" t="s">
        <v>1203</v>
      </c>
      <c r="E101" t="s">
        <v>1204</v>
      </c>
      <c r="F101">
        <v>6101</v>
      </c>
      <c r="G101" t="s">
        <v>688</v>
      </c>
      <c r="H101" t="s">
        <v>2195</v>
      </c>
      <c r="I101">
        <v>9186</v>
      </c>
      <c r="J101">
        <v>9186</v>
      </c>
      <c r="K101">
        <v>9186</v>
      </c>
      <c r="L101">
        <v>9186</v>
      </c>
      <c r="M101">
        <v>9186</v>
      </c>
      <c r="N101" t="s">
        <v>988</v>
      </c>
    </row>
    <row r="102" spans="1:14" x14ac:dyDescent="0.3">
      <c r="A102">
        <v>2146</v>
      </c>
      <c r="B102" t="s">
        <v>2194</v>
      </c>
      <c r="C102" t="s">
        <v>2459</v>
      </c>
      <c r="D102" t="s">
        <v>1203</v>
      </c>
      <c r="E102" t="s">
        <v>1204</v>
      </c>
      <c r="F102">
        <v>6101</v>
      </c>
      <c r="G102" t="s">
        <v>690</v>
      </c>
      <c r="H102" t="s">
        <v>2197</v>
      </c>
      <c r="I102">
        <v>2000</v>
      </c>
      <c r="J102">
        <v>2000</v>
      </c>
      <c r="K102">
        <v>2000</v>
      </c>
      <c r="L102">
        <v>2000</v>
      </c>
      <c r="M102">
        <v>2000</v>
      </c>
      <c r="N102" t="s">
        <v>988</v>
      </c>
    </row>
    <row r="103" spans="1:14" x14ac:dyDescent="0.3">
      <c r="A103">
        <v>2146</v>
      </c>
      <c r="B103" t="s">
        <v>2194</v>
      </c>
      <c r="C103" t="s">
        <v>2459</v>
      </c>
      <c r="D103" t="s">
        <v>1203</v>
      </c>
      <c r="E103" t="s">
        <v>1204</v>
      </c>
      <c r="F103">
        <v>6101</v>
      </c>
      <c r="G103" t="s">
        <v>688</v>
      </c>
      <c r="H103" t="s">
        <v>1441</v>
      </c>
      <c r="I103">
        <v>8</v>
      </c>
      <c r="J103">
        <v>8</v>
      </c>
      <c r="K103">
        <v>8</v>
      </c>
      <c r="L103">
        <v>8</v>
      </c>
      <c r="M103">
        <v>8</v>
      </c>
      <c r="N103" t="s">
        <v>988</v>
      </c>
    </row>
    <row r="104" spans="1:14" x14ac:dyDescent="0.3">
      <c r="A104">
        <v>2146</v>
      </c>
      <c r="B104" t="s">
        <v>2194</v>
      </c>
      <c r="C104" t="s">
        <v>2459</v>
      </c>
      <c r="D104" t="s">
        <v>1203</v>
      </c>
      <c r="E104" t="s">
        <v>1204</v>
      </c>
      <c r="F104">
        <v>6101</v>
      </c>
      <c r="G104" t="s">
        <v>688</v>
      </c>
      <c r="H104" t="s">
        <v>2198</v>
      </c>
      <c r="I104">
        <v>601</v>
      </c>
      <c r="J104">
        <v>601</v>
      </c>
      <c r="K104">
        <v>601</v>
      </c>
      <c r="L104">
        <v>601</v>
      </c>
      <c r="M104">
        <v>601</v>
      </c>
      <c r="N104" t="s">
        <v>988</v>
      </c>
    </row>
    <row r="105" spans="1:14" x14ac:dyDescent="0.3">
      <c r="A105">
        <v>2146</v>
      </c>
      <c r="B105" t="s">
        <v>2194</v>
      </c>
      <c r="C105" t="s">
        <v>2459</v>
      </c>
      <c r="D105" t="s">
        <v>1203</v>
      </c>
      <c r="E105" t="s">
        <v>1204</v>
      </c>
      <c r="F105">
        <v>6101</v>
      </c>
      <c r="G105" t="s">
        <v>687</v>
      </c>
      <c r="H105" t="s">
        <v>2495</v>
      </c>
      <c r="I105">
        <v>269</v>
      </c>
      <c r="J105">
        <v>269</v>
      </c>
      <c r="K105">
        <v>269</v>
      </c>
      <c r="L105">
        <v>269</v>
      </c>
      <c r="M105">
        <v>269</v>
      </c>
      <c r="N105" t="s">
        <v>988</v>
      </c>
    </row>
    <row r="106" spans="1:14" x14ac:dyDescent="0.3">
      <c r="A106">
        <v>2146</v>
      </c>
      <c r="B106" t="s">
        <v>2194</v>
      </c>
      <c r="C106" t="s">
        <v>2459</v>
      </c>
      <c r="D106" t="s">
        <v>1203</v>
      </c>
      <c r="E106" t="s">
        <v>1204</v>
      </c>
      <c r="F106">
        <v>6101</v>
      </c>
      <c r="G106" t="s">
        <v>687</v>
      </c>
      <c r="H106" t="s">
        <v>2496</v>
      </c>
      <c r="I106">
        <v>444</v>
      </c>
      <c r="J106">
        <v>444</v>
      </c>
      <c r="K106">
        <v>444</v>
      </c>
      <c r="L106">
        <v>444</v>
      </c>
      <c r="M106">
        <v>444</v>
      </c>
      <c r="N106" t="s">
        <v>988</v>
      </c>
    </row>
    <row r="107" spans="1:14" x14ac:dyDescent="0.3">
      <c r="A107">
        <v>2149</v>
      </c>
      <c r="B107" t="s">
        <v>928</v>
      </c>
      <c r="C107" t="s">
        <v>2459</v>
      </c>
      <c r="D107" t="s">
        <v>1203</v>
      </c>
      <c r="E107" t="s">
        <v>1204</v>
      </c>
      <c r="F107">
        <v>7795</v>
      </c>
      <c r="G107" t="s">
        <v>688</v>
      </c>
      <c r="H107" t="s">
        <v>2460</v>
      </c>
      <c r="I107">
        <v>5388</v>
      </c>
      <c r="J107">
        <v>5388</v>
      </c>
      <c r="K107">
        <v>5388</v>
      </c>
      <c r="L107">
        <v>5388</v>
      </c>
      <c r="N107" t="s">
        <v>988</v>
      </c>
    </row>
    <row r="108" spans="1:14" x14ac:dyDescent="0.3">
      <c r="A108">
        <v>2149</v>
      </c>
      <c r="B108" t="s">
        <v>928</v>
      </c>
      <c r="C108" t="s">
        <v>2459</v>
      </c>
      <c r="D108" t="s">
        <v>1203</v>
      </c>
      <c r="E108" t="s">
        <v>1204</v>
      </c>
      <c r="F108">
        <v>7795</v>
      </c>
      <c r="G108" t="s">
        <v>691</v>
      </c>
      <c r="H108" t="s">
        <v>2460</v>
      </c>
      <c r="I108">
        <v>700</v>
      </c>
      <c r="J108">
        <v>700</v>
      </c>
      <c r="K108">
        <v>700</v>
      </c>
      <c r="L108">
        <v>700</v>
      </c>
      <c r="N108" t="s">
        <v>988</v>
      </c>
    </row>
    <row r="109" spans="1:14" x14ac:dyDescent="0.3">
      <c r="A109">
        <v>2149</v>
      </c>
      <c r="B109" t="s">
        <v>928</v>
      </c>
      <c r="C109" t="s">
        <v>2459</v>
      </c>
      <c r="D109" t="s">
        <v>1203</v>
      </c>
      <c r="E109" t="s">
        <v>1204</v>
      </c>
      <c r="F109">
        <v>7795</v>
      </c>
      <c r="G109" t="s">
        <v>686</v>
      </c>
      <c r="H109" t="s">
        <v>2460</v>
      </c>
      <c r="I109">
        <v>677</v>
      </c>
      <c r="J109">
        <v>677</v>
      </c>
      <c r="K109">
        <v>677</v>
      </c>
      <c r="L109">
        <v>677</v>
      </c>
      <c r="N109" t="s">
        <v>988</v>
      </c>
    </row>
    <row r="110" spans="1:14" x14ac:dyDescent="0.3">
      <c r="A110">
        <v>2156</v>
      </c>
      <c r="B110" t="s">
        <v>836</v>
      </c>
      <c r="C110" t="s">
        <v>2459</v>
      </c>
      <c r="D110" t="s">
        <v>1203</v>
      </c>
      <c r="E110" t="s">
        <v>1204</v>
      </c>
      <c r="F110">
        <v>5772</v>
      </c>
      <c r="G110" t="s">
        <v>688</v>
      </c>
      <c r="H110" t="s">
        <v>2497</v>
      </c>
      <c r="I110">
        <v>27108</v>
      </c>
      <c r="J110">
        <v>28209</v>
      </c>
      <c r="K110">
        <v>28702</v>
      </c>
      <c r="L110">
        <v>29288</v>
      </c>
      <c r="M110">
        <v>29984</v>
      </c>
      <c r="N110" t="s">
        <v>988</v>
      </c>
    </row>
    <row r="111" spans="1:14" x14ac:dyDescent="0.3">
      <c r="A111">
        <v>2156</v>
      </c>
      <c r="B111" t="s">
        <v>836</v>
      </c>
      <c r="C111" t="s">
        <v>2459</v>
      </c>
      <c r="D111" t="s">
        <v>1203</v>
      </c>
      <c r="E111" t="s">
        <v>1204</v>
      </c>
      <c r="F111">
        <v>5772</v>
      </c>
      <c r="G111" t="s">
        <v>690</v>
      </c>
      <c r="H111" t="s">
        <v>2498</v>
      </c>
      <c r="I111">
        <v>32400</v>
      </c>
      <c r="J111">
        <v>31299</v>
      </c>
      <c r="K111">
        <v>30806</v>
      </c>
      <c r="L111">
        <v>36164</v>
      </c>
      <c r="M111">
        <v>35468</v>
      </c>
      <c r="N111" t="s">
        <v>988</v>
      </c>
    </row>
    <row r="112" spans="1:14" x14ac:dyDescent="0.3">
      <c r="A112">
        <v>2160</v>
      </c>
      <c r="B112" t="s">
        <v>1904</v>
      </c>
      <c r="C112" t="s">
        <v>2459</v>
      </c>
      <c r="D112" t="s">
        <v>1203</v>
      </c>
      <c r="E112" t="s">
        <v>1204</v>
      </c>
      <c r="F112">
        <v>5474</v>
      </c>
      <c r="G112" t="s">
        <v>688</v>
      </c>
      <c r="H112" t="s">
        <v>2460</v>
      </c>
      <c r="I112">
        <v>11518</v>
      </c>
      <c r="J112">
        <v>11518</v>
      </c>
      <c r="K112">
        <v>11518</v>
      </c>
      <c r="L112">
        <v>11518</v>
      </c>
      <c r="M112">
        <v>11518</v>
      </c>
      <c r="N112" t="s">
        <v>988</v>
      </c>
    </row>
    <row r="113" spans="1:14" x14ac:dyDescent="0.3">
      <c r="A113">
        <v>2160</v>
      </c>
      <c r="B113" t="s">
        <v>1904</v>
      </c>
      <c r="C113" t="s">
        <v>2459</v>
      </c>
      <c r="D113" t="s">
        <v>1203</v>
      </c>
      <c r="E113" t="s">
        <v>1204</v>
      </c>
      <c r="F113">
        <v>5474</v>
      </c>
      <c r="G113" t="s">
        <v>686</v>
      </c>
      <c r="H113" t="s">
        <v>1227</v>
      </c>
      <c r="I113">
        <v>1191</v>
      </c>
      <c r="J113">
        <v>1240</v>
      </c>
      <c r="K113">
        <v>1281</v>
      </c>
      <c r="L113">
        <v>1322</v>
      </c>
      <c r="M113">
        <v>1350</v>
      </c>
      <c r="N113" t="s">
        <v>988</v>
      </c>
    </row>
    <row r="114" spans="1:14" x14ac:dyDescent="0.3">
      <c r="A114">
        <v>2161</v>
      </c>
      <c r="B114" t="s">
        <v>2205</v>
      </c>
      <c r="C114" t="s">
        <v>2459</v>
      </c>
      <c r="D114" t="s">
        <v>1203</v>
      </c>
      <c r="E114" t="s">
        <v>1204</v>
      </c>
      <c r="F114">
        <v>5711</v>
      </c>
      <c r="G114" t="s">
        <v>688</v>
      </c>
      <c r="H114" t="s">
        <v>2499</v>
      </c>
      <c r="I114">
        <v>439347</v>
      </c>
      <c r="J114">
        <v>439168</v>
      </c>
      <c r="K114">
        <v>403626</v>
      </c>
      <c r="L114">
        <v>429584</v>
      </c>
      <c r="M114">
        <v>448335</v>
      </c>
      <c r="N114" t="s">
        <v>988</v>
      </c>
    </row>
    <row r="115" spans="1:14" x14ac:dyDescent="0.3">
      <c r="A115">
        <v>2161</v>
      </c>
      <c r="B115" t="s">
        <v>2205</v>
      </c>
      <c r="C115" t="s">
        <v>2459</v>
      </c>
      <c r="D115" t="s">
        <v>1203</v>
      </c>
      <c r="E115" t="s">
        <v>1204</v>
      </c>
      <c r="F115">
        <v>5711</v>
      </c>
      <c r="G115" t="s">
        <v>688</v>
      </c>
      <c r="H115" t="s">
        <v>2500</v>
      </c>
      <c r="I115">
        <v>2072</v>
      </c>
      <c r="J115">
        <v>3817</v>
      </c>
      <c r="K115">
        <v>5526</v>
      </c>
      <c r="L115">
        <v>7298</v>
      </c>
      <c r="M115">
        <v>9051</v>
      </c>
      <c r="N115" t="s">
        <v>988</v>
      </c>
    </row>
    <row r="116" spans="1:14" x14ac:dyDescent="0.3">
      <c r="A116">
        <v>2161</v>
      </c>
      <c r="B116" t="s">
        <v>2205</v>
      </c>
      <c r="C116" t="s">
        <v>2459</v>
      </c>
      <c r="D116" t="s">
        <v>1203</v>
      </c>
      <c r="E116" t="s">
        <v>1204</v>
      </c>
      <c r="F116">
        <v>5711</v>
      </c>
      <c r="G116" t="s">
        <v>688</v>
      </c>
      <c r="H116" t="s">
        <v>2501</v>
      </c>
      <c r="I116">
        <v>5688</v>
      </c>
      <c r="J116">
        <v>6208</v>
      </c>
      <c r="K116">
        <v>6208</v>
      </c>
      <c r="L116">
        <v>6208</v>
      </c>
      <c r="M116">
        <v>6208</v>
      </c>
      <c r="N116" t="s">
        <v>988</v>
      </c>
    </row>
    <row r="117" spans="1:14" x14ac:dyDescent="0.3">
      <c r="A117">
        <v>2161</v>
      </c>
      <c r="B117" t="s">
        <v>2205</v>
      </c>
      <c r="C117" t="s">
        <v>2459</v>
      </c>
      <c r="D117" t="s">
        <v>1203</v>
      </c>
      <c r="E117" t="s">
        <v>1204</v>
      </c>
      <c r="F117">
        <v>5711</v>
      </c>
      <c r="G117" t="s">
        <v>687</v>
      </c>
      <c r="H117" t="s">
        <v>330</v>
      </c>
      <c r="I117">
        <v>-62411</v>
      </c>
      <c r="J117">
        <v>-66921</v>
      </c>
      <c r="K117">
        <v>-73035</v>
      </c>
      <c r="L117">
        <v>-81625</v>
      </c>
      <c r="M117">
        <v>-85698</v>
      </c>
      <c r="N117" t="s">
        <v>988</v>
      </c>
    </row>
    <row r="118" spans="1:14" x14ac:dyDescent="0.3">
      <c r="A118">
        <v>2164</v>
      </c>
      <c r="B118" t="s">
        <v>1909</v>
      </c>
      <c r="C118" t="s">
        <v>2459</v>
      </c>
      <c r="D118" t="s">
        <v>159</v>
      </c>
      <c r="E118" t="s">
        <v>159</v>
      </c>
      <c r="F118">
        <v>6833</v>
      </c>
      <c r="G118" t="s">
        <v>688</v>
      </c>
      <c r="H118" t="s">
        <v>2502</v>
      </c>
      <c r="I118">
        <v>163940</v>
      </c>
      <c r="J118">
        <v>166000</v>
      </c>
      <c r="K118">
        <v>170490</v>
      </c>
      <c r="L118">
        <v>175420</v>
      </c>
      <c r="M118">
        <v>182640</v>
      </c>
      <c r="N118" t="s">
        <v>988</v>
      </c>
    </row>
    <row r="119" spans="1:14" x14ac:dyDescent="0.3">
      <c r="A119">
        <v>3994</v>
      </c>
      <c r="B119" t="s">
        <v>837</v>
      </c>
      <c r="C119" t="s">
        <v>2459</v>
      </c>
      <c r="D119" t="s">
        <v>1203</v>
      </c>
      <c r="E119" t="s">
        <v>1204</v>
      </c>
      <c r="F119">
        <v>5789</v>
      </c>
      <c r="G119" t="s">
        <v>690</v>
      </c>
      <c r="H119" t="s">
        <v>2503</v>
      </c>
      <c r="I119">
        <v>14482</v>
      </c>
      <c r="J119">
        <v>14766</v>
      </c>
      <c r="K119">
        <v>15054</v>
      </c>
      <c r="L119">
        <v>15345</v>
      </c>
      <c r="M119">
        <v>15641</v>
      </c>
      <c r="N119" t="s">
        <v>988</v>
      </c>
    </row>
    <row r="120" spans="1:14" x14ac:dyDescent="0.3">
      <c r="A120">
        <v>2168</v>
      </c>
      <c r="B120" t="s">
        <v>839</v>
      </c>
      <c r="C120" t="s">
        <v>2459</v>
      </c>
      <c r="D120" t="s">
        <v>1203</v>
      </c>
      <c r="E120" t="s">
        <v>1204</v>
      </c>
      <c r="F120">
        <v>5670</v>
      </c>
      <c r="G120" t="s">
        <v>692</v>
      </c>
      <c r="H120" t="s">
        <v>2208</v>
      </c>
      <c r="I120">
        <v>30400</v>
      </c>
      <c r="J120">
        <v>32900</v>
      </c>
      <c r="K120">
        <v>35600</v>
      </c>
      <c r="L120">
        <v>38100</v>
      </c>
      <c r="M120">
        <v>40300</v>
      </c>
      <c r="N120" t="s">
        <v>988</v>
      </c>
    </row>
    <row r="121" spans="1:14" x14ac:dyDescent="0.3">
      <c r="A121">
        <v>2179</v>
      </c>
      <c r="B121" t="s">
        <v>774</v>
      </c>
      <c r="C121" t="s">
        <v>2459</v>
      </c>
      <c r="D121" t="s">
        <v>1203</v>
      </c>
      <c r="E121" t="s">
        <v>1204</v>
      </c>
      <c r="F121">
        <v>5657</v>
      </c>
      <c r="G121" t="s">
        <v>691</v>
      </c>
      <c r="H121" t="s">
        <v>2504</v>
      </c>
      <c r="I121">
        <v>41700</v>
      </c>
      <c r="J121">
        <v>42200</v>
      </c>
      <c r="K121">
        <v>41900</v>
      </c>
      <c r="L121">
        <v>42600</v>
      </c>
      <c r="M121">
        <v>43200</v>
      </c>
      <c r="N121" t="s">
        <v>988</v>
      </c>
    </row>
    <row r="122" spans="1:14" x14ac:dyDescent="0.3">
      <c r="A122">
        <v>2184</v>
      </c>
      <c r="B122" t="s">
        <v>935</v>
      </c>
      <c r="C122" t="s">
        <v>2459</v>
      </c>
      <c r="D122" t="s">
        <v>1203</v>
      </c>
      <c r="E122" t="s">
        <v>1204</v>
      </c>
      <c r="F122">
        <v>6523</v>
      </c>
      <c r="G122" t="s">
        <v>688</v>
      </c>
      <c r="H122" t="s">
        <v>2505</v>
      </c>
      <c r="I122">
        <v>4530</v>
      </c>
      <c r="J122">
        <v>4530</v>
      </c>
      <c r="K122">
        <v>4530</v>
      </c>
      <c r="L122">
        <v>4530</v>
      </c>
      <c r="M122">
        <v>4530</v>
      </c>
      <c r="N122" t="s">
        <v>988</v>
      </c>
    </row>
    <row r="123" spans="1:14" x14ac:dyDescent="0.3">
      <c r="A123">
        <v>2184</v>
      </c>
      <c r="B123" t="s">
        <v>935</v>
      </c>
      <c r="C123" t="s">
        <v>2459</v>
      </c>
      <c r="D123" t="s">
        <v>1203</v>
      </c>
      <c r="E123" t="s">
        <v>1204</v>
      </c>
      <c r="F123">
        <v>6523</v>
      </c>
      <c r="G123" t="s">
        <v>694</v>
      </c>
      <c r="H123" t="s">
        <v>2211</v>
      </c>
      <c r="I123">
        <v>4200</v>
      </c>
      <c r="J123">
        <v>4200</v>
      </c>
      <c r="K123">
        <v>4200</v>
      </c>
      <c r="L123">
        <v>4200</v>
      </c>
      <c r="M123">
        <v>4200</v>
      </c>
      <c r="N123" t="s">
        <v>988</v>
      </c>
    </row>
    <row r="124" spans="1:14" x14ac:dyDescent="0.3">
      <c r="A124">
        <v>2211</v>
      </c>
      <c r="B124" t="s">
        <v>811</v>
      </c>
      <c r="C124" t="s">
        <v>2459</v>
      </c>
      <c r="D124" t="s">
        <v>159</v>
      </c>
      <c r="E124" t="s">
        <v>159</v>
      </c>
      <c r="F124">
        <v>5461</v>
      </c>
      <c r="G124" t="s">
        <v>684</v>
      </c>
      <c r="H124" t="s">
        <v>2506</v>
      </c>
      <c r="I124">
        <v>25000</v>
      </c>
      <c r="J124">
        <v>25000</v>
      </c>
      <c r="K124">
        <v>25000</v>
      </c>
      <c r="L124">
        <v>25000</v>
      </c>
      <c r="M124">
        <v>25000</v>
      </c>
      <c r="N124" t="s">
        <v>988</v>
      </c>
    </row>
    <row r="125" spans="1:14" x14ac:dyDescent="0.3">
      <c r="A125">
        <v>2211</v>
      </c>
      <c r="B125" t="s">
        <v>811</v>
      </c>
      <c r="C125" t="s">
        <v>2459</v>
      </c>
      <c r="D125" t="s">
        <v>159</v>
      </c>
      <c r="E125" t="s">
        <v>159</v>
      </c>
      <c r="F125">
        <v>5461</v>
      </c>
      <c r="G125" t="s">
        <v>686</v>
      </c>
      <c r="H125" t="s">
        <v>2460</v>
      </c>
      <c r="I125">
        <v>3000</v>
      </c>
      <c r="J125">
        <v>3000</v>
      </c>
      <c r="K125">
        <v>3000</v>
      </c>
      <c r="L125">
        <v>3000</v>
      </c>
      <c r="M125">
        <v>3000</v>
      </c>
      <c r="N125" t="s">
        <v>988</v>
      </c>
    </row>
    <row r="126" spans="1:14" x14ac:dyDescent="0.3">
      <c r="A126">
        <v>2211</v>
      </c>
      <c r="B126" t="s">
        <v>811</v>
      </c>
      <c r="C126" t="s">
        <v>2459</v>
      </c>
      <c r="D126" t="s">
        <v>159</v>
      </c>
      <c r="E126" t="s">
        <v>159</v>
      </c>
      <c r="F126">
        <v>5461</v>
      </c>
      <c r="G126" t="s">
        <v>692</v>
      </c>
      <c r="H126" t="s">
        <v>2213</v>
      </c>
      <c r="I126">
        <v>2000</v>
      </c>
      <c r="J126">
        <v>2000</v>
      </c>
      <c r="K126">
        <v>2000</v>
      </c>
      <c r="L126">
        <v>2000</v>
      </c>
      <c r="M126">
        <v>2000</v>
      </c>
      <c r="N126" t="s">
        <v>988</v>
      </c>
    </row>
    <row r="127" spans="1:14" x14ac:dyDescent="0.3">
      <c r="A127">
        <v>2211</v>
      </c>
      <c r="B127" t="s">
        <v>811</v>
      </c>
      <c r="C127" t="s">
        <v>2459</v>
      </c>
      <c r="D127" t="s">
        <v>159</v>
      </c>
      <c r="E127" t="s">
        <v>159</v>
      </c>
      <c r="F127">
        <v>5461</v>
      </c>
      <c r="G127" t="s">
        <v>687</v>
      </c>
      <c r="H127" t="s">
        <v>2507</v>
      </c>
      <c r="I127">
        <v>14000</v>
      </c>
      <c r="J127">
        <v>14000</v>
      </c>
      <c r="K127">
        <v>14000</v>
      </c>
      <c r="L127">
        <v>14000</v>
      </c>
      <c r="M127">
        <v>14000</v>
      </c>
      <c r="N127" t="s">
        <v>988</v>
      </c>
    </row>
    <row r="128" spans="1:14" x14ac:dyDescent="0.3">
      <c r="A128">
        <v>2211</v>
      </c>
      <c r="B128" t="s">
        <v>811</v>
      </c>
      <c r="C128" t="s">
        <v>2459</v>
      </c>
      <c r="D128" t="s">
        <v>159</v>
      </c>
      <c r="E128" t="s">
        <v>159</v>
      </c>
      <c r="F128">
        <v>5461</v>
      </c>
      <c r="G128" t="s">
        <v>691</v>
      </c>
      <c r="H128" t="s">
        <v>2508</v>
      </c>
      <c r="I128">
        <v>55000</v>
      </c>
      <c r="J128">
        <v>56000</v>
      </c>
      <c r="K128">
        <v>59000</v>
      </c>
      <c r="L128">
        <v>61000</v>
      </c>
      <c r="M128">
        <v>63000</v>
      </c>
      <c r="N128" t="s">
        <v>988</v>
      </c>
    </row>
    <row r="129" spans="1:14" x14ac:dyDescent="0.3">
      <c r="A129">
        <v>2211</v>
      </c>
      <c r="B129" t="s">
        <v>811</v>
      </c>
      <c r="C129" t="s">
        <v>2459</v>
      </c>
      <c r="D129" t="s">
        <v>159</v>
      </c>
      <c r="E129" t="s">
        <v>159</v>
      </c>
      <c r="F129">
        <v>5461</v>
      </c>
      <c r="G129" t="s">
        <v>691</v>
      </c>
      <c r="H129" t="s">
        <v>2509</v>
      </c>
      <c r="I129">
        <v>1700</v>
      </c>
      <c r="J129">
        <v>1700</v>
      </c>
      <c r="K129">
        <v>1700</v>
      </c>
      <c r="L129">
        <v>1700</v>
      </c>
      <c r="M129">
        <v>1700</v>
      </c>
      <c r="N129" t="s">
        <v>988</v>
      </c>
    </row>
    <row r="130" spans="1:14" x14ac:dyDescent="0.3">
      <c r="A130">
        <v>2211</v>
      </c>
      <c r="B130" t="s">
        <v>811</v>
      </c>
      <c r="C130" t="s">
        <v>2459</v>
      </c>
      <c r="D130" t="s">
        <v>159</v>
      </c>
      <c r="E130" t="s">
        <v>159</v>
      </c>
      <c r="F130">
        <v>5461</v>
      </c>
      <c r="G130" t="s">
        <v>688</v>
      </c>
      <c r="H130" t="s">
        <v>2510</v>
      </c>
      <c r="I130">
        <v>215000</v>
      </c>
      <c r="J130">
        <v>203000</v>
      </c>
      <c r="K130">
        <v>201000</v>
      </c>
      <c r="L130">
        <v>201000</v>
      </c>
      <c r="M130">
        <v>205000</v>
      </c>
      <c r="N130" t="s">
        <v>988</v>
      </c>
    </row>
    <row r="131" spans="1:14" x14ac:dyDescent="0.3">
      <c r="A131">
        <v>2328</v>
      </c>
      <c r="B131" t="s">
        <v>2217</v>
      </c>
      <c r="C131" t="s">
        <v>2459</v>
      </c>
      <c r="D131" t="s">
        <v>1203</v>
      </c>
      <c r="E131" t="s">
        <v>1204</v>
      </c>
      <c r="F131">
        <v>5466</v>
      </c>
      <c r="G131" t="s">
        <v>686</v>
      </c>
      <c r="H131" t="s">
        <v>2219</v>
      </c>
      <c r="I131">
        <v>1783</v>
      </c>
      <c r="J131">
        <v>1897</v>
      </c>
      <c r="K131">
        <v>1933</v>
      </c>
      <c r="L131">
        <v>1979</v>
      </c>
      <c r="M131">
        <v>2029</v>
      </c>
      <c r="N131" t="s">
        <v>988</v>
      </c>
    </row>
    <row r="132" spans="1:14" x14ac:dyDescent="0.3">
      <c r="A132">
        <v>2328</v>
      </c>
      <c r="B132" t="s">
        <v>2217</v>
      </c>
      <c r="C132" t="s">
        <v>2459</v>
      </c>
      <c r="D132" t="s">
        <v>1203</v>
      </c>
      <c r="E132" t="s">
        <v>1204</v>
      </c>
      <c r="F132">
        <v>5466</v>
      </c>
      <c r="G132" t="s">
        <v>688</v>
      </c>
      <c r="H132" t="s">
        <v>2511</v>
      </c>
      <c r="I132">
        <v>62882</v>
      </c>
      <c r="J132">
        <v>66846</v>
      </c>
      <c r="K132">
        <v>68278</v>
      </c>
      <c r="L132">
        <v>70015</v>
      </c>
      <c r="M132">
        <v>71844</v>
      </c>
      <c r="N132" t="s">
        <v>988</v>
      </c>
    </row>
    <row r="133" spans="1:14" x14ac:dyDescent="0.3">
      <c r="A133">
        <v>2328</v>
      </c>
      <c r="B133" t="s">
        <v>2217</v>
      </c>
      <c r="C133" t="s">
        <v>2459</v>
      </c>
      <c r="D133" t="s">
        <v>1203</v>
      </c>
      <c r="E133" t="s">
        <v>1204</v>
      </c>
      <c r="F133">
        <v>5466</v>
      </c>
      <c r="G133" t="s">
        <v>684</v>
      </c>
      <c r="H133" t="s">
        <v>2460</v>
      </c>
      <c r="I133">
        <v>98</v>
      </c>
      <c r="J133">
        <v>98</v>
      </c>
      <c r="K133">
        <v>98</v>
      </c>
      <c r="L133">
        <v>98</v>
      </c>
      <c r="M133">
        <v>98</v>
      </c>
      <c r="N133" t="s">
        <v>988</v>
      </c>
    </row>
    <row r="134" spans="1:14" x14ac:dyDescent="0.3">
      <c r="A134">
        <v>2328</v>
      </c>
      <c r="B134" t="s">
        <v>2217</v>
      </c>
      <c r="C134" t="s">
        <v>2459</v>
      </c>
      <c r="D134" t="s">
        <v>1203</v>
      </c>
      <c r="E134" t="s">
        <v>1204</v>
      </c>
      <c r="F134">
        <v>5466</v>
      </c>
      <c r="G134" t="s">
        <v>689</v>
      </c>
      <c r="H134" t="s">
        <v>2512</v>
      </c>
      <c r="I134">
        <v>256</v>
      </c>
      <c r="J134">
        <v>336</v>
      </c>
      <c r="K134">
        <v>416</v>
      </c>
      <c r="L134">
        <v>496</v>
      </c>
      <c r="M134">
        <v>576</v>
      </c>
      <c r="N134" t="s">
        <v>988</v>
      </c>
    </row>
    <row r="135" spans="1:14" x14ac:dyDescent="0.3">
      <c r="A135">
        <v>2346</v>
      </c>
      <c r="B135" t="s">
        <v>2220</v>
      </c>
      <c r="C135" t="s">
        <v>2459</v>
      </c>
      <c r="D135" t="s">
        <v>159</v>
      </c>
      <c r="E135" t="s">
        <v>159</v>
      </c>
      <c r="F135">
        <v>7918</v>
      </c>
      <c r="G135" t="s">
        <v>688</v>
      </c>
      <c r="H135" t="s">
        <v>2513</v>
      </c>
      <c r="I135">
        <v>0</v>
      </c>
      <c r="J135">
        <v>0</v>
      </c>
      <c r="K135">
        <v>0</v>
      </c>
      <c r="L135">
        <v>0</v>
      </c>
      <c r="M135">
        <v>0</v>
      </c>
      <c r="N135" t="s">
        <v>988</v>
      </c>
    </row>
    <row r="136" spans="1:14" x14ac:dyDescent="0.3">
      <c r="A136">
        <v>2346</v>
      </c>
      <c r="B136" t="s">
        <v>2220</v>
      </c>
      <c r="C136" t="s">
        <v>2459</v>
      </c>
      <c r="D136" t="s">
        <v>159</v>
      </c>
      <c r="E136" t="s">
        <v>159</v>
      </c>
      <c r="F136">
        <v>7918</v>
      </c>
      <c r="G136" t="s">
        <v>688</v>
      </c>
      <c r="H136" t="s">
        <v>2223</v>
      </c>
      <c r="I136">
        <v>0</v>
      </c>
      <c r="J136">
        <v>2015</v>
      </c>
      <c r="K136">
        <v>2015</v>
      </c>
      <c r="L136">
        <v>2799</v>
      </c>
      <c r="M136">
        <v>2799</v>
      </c>
      <c r="N136" t="s">
        <v>988</v>
      </c>
    </row>
    <row r="137" spans="1:14" x14ac:dyDescent="0.3">
      <c r="A137">
        <v>2346</v>
      </c>
      <c r="B137" t="s">
        <v>2220</v>
      </c>
      <c r="C137" t="s">
        <v>2459</v>
      </c>
      <c r="D137" t="s">
        <v>159</v>
      </c>
      <c r="E137" t="s">
        <v>159</v>
      </c>
      <c r="F137">
        <v>7918</v>
      </c>
      <c r="G137" t="s">
        <v>688</v>
      </c>
      <c r="H137" t="s">
        <v>790</v>
      </c>
      <c r="I137">
        <v>13135</v>
      </c>
      <c r="J137">
        <v>11120</v>
      </c>
      <c r="K137">
        <v>11120</v>
      </c>
      <c r="L137">
        <v>11120</v>
      </c>
      <c r="M137">
        <v>11120</v>
      </c>
      <c r="N137" t="s">
        <v>988</v>
      </c>
    </row>
    <row r="138" spans="1:14" x14ac:dyDescent="0.3">
      <c r="A138">
        <v>2346</v>
      </c>
      <c r="B138" t="s">
        <v>2220</v>
      </c>
      <c r="C138" t="s">
        <v>2459</v>
      </c>
      <c r="D138" t="s">
        <v>159</v>
      </c>
      <c r="E138" t="s">
        <v>159</v>
      </c>
      <c r="F138">
        <v>7918</v>
      </c>
      <c r="G138" t="s">
        <v>688</v>
      </c>
      <c r="H138" t="s">
        <v>2221</v>
      </c>
      <c r="I138">
        <v>11500</v>
      </c>
      <c r="J138">
        <v>11500</v>
      </c>
      <c r="K138">
        <v>11500</v>
      </c>
      <c r="L138">
        <v>18500</v>
      </c>
      <c r="M138">
        <v>18500</v>
      </c>
      <c r="N138" t="s">
        <v>988</v>
      </c>
    </row>
    <row r="139" spans="1:14" x14ac:dyDescent="0.3">
      <c r="A139">
        <v>2346</v>
      </c>
      <c r="B139" t="s">
        <v>2220</v>
      </c>
      <c r="C139" t="s">
        <v>2459</v>
      </c>
      <c r="D139" t="s">
        <v>159</v>
      </c>
      <c r="E139" t="s">
        <v>159</v>
      </c>
      <c r="F139">
        <v>7918</v>
      </c>
      <c r="G139" t="s">
        <v>688</v>
      </c>
      <c r="H139" t="s">
        <v>2222</v>
      </c>
      <c r="I139">
        <v>6887</v>
      </c>
      <c r="J139">
        <v>6887</v>
      </c>
      <c r="K139">
        <v>6887</v>
      </c>
      <c r="L139">
        <v>10671</v>
      </c>
      <c r="M139">
        <v>10671</v>
      </c>
      <c r="N139" t="s">
        <v>988</v>
      </c>
    </row>
    <row r="140" spans="1:14" x14ac:dyDescent="0.3">
      <c r="A140">
        <v>2382</v>
      </c>
      <c r="B140" t="s">
        <v>912</v>
      </c>
      <c r="C140" t="s">
        <v>2459</v>
      </c>
      <c r="D140" t="s">
        <v>1203</v>
      </c>
      <c r="E140" t="s">
        <v>1204</v>
      </c>
      <c r="F140">
        <v>5810</v>
      </c>
      <c r="G140" t="s">
        <v>688</v>
      </c>
      <c r="H140" t="s">
        <v>1085</v>
      </c>
      <c r="I140">
        <v>1609</v>
      </c>
      <c r="J140">
        <v>1609</v>
      </c>
      <c r="K140">
        <v>1609</v>
      </c>
      <c r="L140">
        <v>1609</v>
      </c>
      <c r="M140">
        <v>1609</v>
      </c>
      <c r="N140" t="s">
        <v>988</v>
      </c>
    </row>
    <row r="141" spans="1:14" x14ac:dyDescent="0.3">
      <c r="A141">
        <v>2382</v>
      </c>
      <c r="B141" t="s">
        <v>912</v>
      </c>
      <c r="C141" t="s">
        <v>2459</v>
      </c>
      <c r="D141" t="s">
        <v>1203</v>
      </c>
      <c r="E141" t="s">
        <v>1204</v>
      </c>
      <c r="F141">
        <v>5810</v>
      </c>
      <c r="G141" t="s">
        <v>688</v>
      </c>
      <c r="H141" t="s">
        <v>2226</v>
      </c>
      <c r="I141">
        <v>24000</v>
      </c>
      <c r="J141">
        <v>24000</v>
      </c>
      <c r="K141">
        <v>24000</v>
      </c>
      <c r="L141">
        <v>24000</v>
      </c>
      <c r="M141">
        <v>24000</v>
      </c>
      <c r="N141" t="s">
        <v>988</v>
      </c>
    </row>
    <row r="142" spans="1:14" x14ac:dyDescent="0.3">
      <c r="A142">
        <v>2382</v>
      </c>
      <c r="B142" t="s">
        <v>912</v>
      </c>
      <c r="C142" t="s">
        <v>2459</v>
      </c>
      <c r="D142" t="s">
        <v>1203</v>
      </c>
      <c r="E142" t="s">
        <v>1204</v>
      </c>
      <c r="F142">
        <v>5810</v>
      </c>
      <c r="G142" t="s">
        <v>687</v>
      </c>
      <c r="H142" t="s">
        <v>2227</v>
      </c>
      <c r="I142">
        <v>11288</v>
      </c>
      <c r="J142">
        <v>12417</v>
      </c>
      <c r="K142">
        <v>13659</v>
      </c>
      <c r="L142">
        <v>15025</v>
      </c>
      <c r="M142">
        <v>16527</v>
      </c>
      <c r="N142" t="s">
        <v>988</v>
      </c>
    </row>
    <row r="143" spans="1:14" x14ac:dyDescent="0.3">
      <c r="A143">
        <v>2382</v>
      </c>
      <c r="B143" t="s">
        <v>912</v>
      </c>
      <c r="C143" t="s">
        <v>2459</v>
      </c>
      <c r="D143" t="s">
        <v>1203</v>
      </c>
      <c r="E143" t="s">
        <v>1204</v>
      </c>
      <c r="F143">
        <v>5810</v>
      </c>
      <c r="G143" t="s">
        <v>690</v>
      </c>
      <c r="H143" t="s">
        <v>1086</v>
      </c>
      <c r="I143">
        <v>21321</v>
      </c>
      <c r="J143">
        <v>22418</v>
      </c>
      <c r="K143">
        <v>24293</v>
      </c>
      <c r="L143">
        <v>26169</v>
      </c>
      <c r="M143">
        <v>27539</v>
      </c>
      <c r="N143" t="s">
        <v>988</v>
      </c>
    </row>
    <row r="144" spans="1:14" x14ac:dyDescent="0.3">
      <c r="A144">
        <v>2382</v>
      </c>
      <c r="B144" t="s">
        <v>912</v>
      </c>
      <c r="C144" t="s">
        <v>2459</v>
      </c>
      <c r="D144" t="s">
        <v>1203</v>
      </c>
      <c r="E144" t="s">
        <v>1204</v>
      </c>
      <c r="F144">
        <v>5810</v>
      </c>
      <c r="G144" t="s">
        <v>688</v>
      </c>
      <c r="H144" t="s">
        <v>2224</v>
      </c>
      <c r="I144">
        <v>34584</v>
      </c>
      <c r="J144">
        <v>37673</v>
      </c>
      <c r="K144">
        <v>42956</v>
      </c>
      <c r="L144">
        <v>48240</v>
      </c>
      <c r="M144">
        <v>52100</v>
      </c>
      <c r="N144" t="s">
        <v>988</v>
      </c>
    </row>
    <row r="145" spans="1:14" x14ac:dyDescent="0.3">
      <c r="B145" t="s">
        <v>2025</v>
      </c>
      <c r="C145" t="s">
        <v>2459</v>
      </c>
      <c r="D145" t="s">
        <v>1203</v>
      </c>
      <c r="E145" t="s">
        <v>1204</v>
      </c>
      <c r="F145">
        <v>7912</v>
      </c>
      <c r="G145" t="s">
        <v>688</v>
      </c>
      <c r="H145" t="s">
        <v>2460</v>
      </c>
      <c r="I145">
        <v>5000000</v>
      </c>
      <c r="J145">
        <v>5000000</v>
      </c>
      <c r="K145">
        <v>5000000</v>
      </c>
      <c r="L145">
        <v>5000000</v>
      </c>
      <c r="N145" t="s">
        <v>988</v>
      </c>
    </row>
    <row r="146" spans="1:14" x14ac:dyDescent="0.3">
      <c r="A146">
        <v>2473</v>
      </c>
      <c r="B146" t="s">
        <v>2228</v>
      </c>
      <c r="C146" t="s">
        <v>2459</v>
      </c>
      <c r="D146" t="s">
        <v>159</v>
      </c>
      <c r="E146" t="s">
        <v>159</v>
      </c>
      <c r="F146">
        <v>5522</v>
      </c>
      <c r="G146" t="s">
        <v>690</v>
      </c>
      <c r="H146" t="s">
        <v>2460</v>
      </c>
      <c r="I146">
        <v>10982</v>
      </c>
      <c r="J146">
        <v>10960</v>
      </c>
      <c r="K146">
        <v>10934</v>
      </c>
      <c r="L146">
        <v>10889</v>
      </c>
      <c r="M146">
        <v>10840</v>
      </c>
      <c r="N146" t="s">
        <v>988</v>
      </c>
    </row>
    <row r="147" spans="1:14" x14ac:dyDescent="0.3">
      <c r="A147">
        <v>2473</v>
      </c>
      <c r="B147" t="s">
        <v>2228</v>
      </c>
      <c r="C147" t="s">
        <v>2459</v>
      </c>
      <c r="D147" t="s">
        <v>159</v>
      </c>
      <c r="E147" t="s">
        <v>159</v>
      </c>
      <c r="F147">
        <v>5522</v>
      </c>
      <c r="G147" t="s">
        <v>688</v>
      </c>
      <c r="H147" t="s">
        <v>2460</v>
      </c>
      <c r="I147">
        <v>45394</v>
      </c>
      <c r="J147">
        <v>45304</v>
      </c>
      <c r="K147">
        <v>45194</v>
      </c>
      <c r="L147">
        <v>45010</v>
      </c>
      <c r="M147">
        <v>44806</v>
      </c>
      <c r="N147" t="s">
        <v>988</v>
      </c>
    </row>
    <row r="148" spans="1:14" x14ac:dyDescent="0.3">
      <c r="A148">
        <v>2473</v>
      </c>
      <c r="B148" t="s">
        <v>2228</v>
      </c>
      <c r="C148" t="s">
        <v>2459</v>
      </c>
      <c r="D148" t="s">
        <v>159</v>
      </c>
      <c r="E148" t="s">
        <v>159</v>
      </c>
      <c r="F148">
        <v>5522</v>
      </c>
      <c r="G148" t="s">
        <v>691</v>
      </c>
      <c r="H148" t="s">
        <v>2460</v>
      </c>
      <c r="I148">
        <v>1640</v>
      </c>
      <c r="J148">
        <v>1637</v>
      </c>
      <c r="K148">
        <v>1633</v>
      </c>
      <c r="L148">
        <v>1626</v>
      </c>
      <c r="M148">
        <v>1619</v>
      </c>
      <c r="N148" t="s">
        <v>988</v>
      </c>
    </row>
    <row r="149" spans="1:14" x14ac:dyDescent="0.3">
      <c r="A149">
        <v>2510</v>
      </c>
      <c r="B149" t="s">
        <v>2035</v>
      </c>
      <c r="C149" t="s">
        <v>2459</v>
      </c>
      <c r="D149" t="s">
        <v>1203</v>
      </c>
      <c r="E149" t="s">
        <v>1204</v>
      </c>
      <c r="F149">
        <v>5942</v>
      </c>
      <c r="G149" t="s">
        <v>695</v>
      </c>
      <c r="H149" t="s">
        <v>2460</v>
      </c>
      <c r="I149">
        <v>0</v>
      </c>
      <c r="J149">
        <v>0</v>
      </c>
      <c r="K149">
        <v>0</v>
      </c>
      <c r="L149">
        <v>0</v>
      </c>
      <c r="N149" t="s">
        <v>988</v>
      </c>
    </row>
    <row r="150" spans="1:14" x14ac:dyDescent="0.3">
      <c r="A150">
        <v>2540</v>
      </c>
      <c r="B150" t="s">
        <v>2230</v>
      </c>
      <c r="C150" t="s">
        <v>2459</v>
      </c>
      <c r="D150" t="s">
        <v>1203</v>
      </c>
      <c r="E150" t="s">
        <v>1204</v>
      </c>
      <c r="F150">
        <v>5605</v>
      </c>
      <c r="G150" t="s">
        <v>689</v>
      </c>
      <c r="H150" t="s">
        <v>2233</v>
      </c>
      <c r="I150">
        <v>4</v>
      </c>
      <c r="J150">
        <v>4</v>
      </c>
      <c r="K150">
        <v>4</v>
      </c>
      <c r="L150">
        <v>4</v>
      </c>
      <c r="M150">
        <v>4</v>
      </c>
      <c r="N150" t="s">
        <v>988</v>
      </c>
    </row>
    <row r="151" spans="1:14" x14ac:dyDescent="0.3">
      <c r="A151">
        <v>2540</v>
      </c>
      <c r="B151" t="s">
        <v>2230</v>
      </c>
      <c r="C151" t="s">
        <v>2459</v>
      </c>
      <c r="D151" t="s">
        <v>1203</v>
      </c>
      <c r="E151" t="s">
        <v>1204</v>
      </c>
      <c r="F151">
        <v>5605</v>
      </c>
      <c r="G151" t="s">
        <v>686</v>
      </c>
      <c r="H151" t="s">
        <v>2460</v>
      </c>
      <c r="I151">
        <v>354</v>
      </c>
      <c r="J151">
        <v>302</v>
      </c>
      <c r="K151">
        <v>251</v>
      </c>
      <c r="L151">
        <v>201</v>
      </c>
      <c r="M151">
        <v>201</v>
      </c>
      <c r="N151" t="s">
        <v>988</v>
      </c>
    </row>
    <row r="152" spans="1:14" x14ac:dyDescent="0.3">
      <c r="A152">
        <v>2540</v>
      </c>
      <c r="B152" t="s">
        <v>2230</v>
      </c>
      <c r="C152" t="s">
        <v>2459</v>
      </c>
      <c r="D152" t="s">
        <v>1203</v>
      </c>
      <c r="E152" t="s">
        <v>1204</v>
      </c>
      <c r="F152">
        <v>5605</v>
      </c>
      <c r="G152" t="s">
        <v>688</v>
      </c>
      <c r="H152" t="s">
        <v>2460</v>
      </c>
      <c r="I152">
        <v>12397</v>
      </c>
      <c r="J152">
        <v>10588</v>
      </c>
      <c r="K152">
        <v>8778</v>
      </c>
      <c r="L152">
        <v>7060</v>
      </c>
      <c r="M152">
        <v>7060</v>
      </c>
      <c r="N152" t="s">
        <v>988</v>
      </c>
    </row>
    <row r="153" spans="1:14" x14ac:dyDescent="0.3">
      <c r="A153">
        <v>2543</v>
      </c>
      <c r="B153" t="s">
        <v>2234</v>
      </c>
      <c r="C153" t="s">
        <v>2459</v>
      </c>
      <c r="D153" t="s">
        <v>1203</v>
      </c>
      <c r="E153" t="s">
        <v>1204</v>
      </c>
      <c r="F153">
        <v>5649</v>
      </c>
      <c r="G153" t="s">
        <v>688</v>
      </c>
      <c r="H153" t="s">
        <v>1205</v>
      </c>
      <c r="I153">
        <v>13794</v>
      </c>
      <c r="J153">
        <v>11665</v>
      </c>
      <c r="K153">
        <v>11276</v>
      </c>
      <c r="L153">
        <v>5092</v>
      </c>
      <c r="M153">
        <v>4564</v>
      </c>
      <c r="N153" t="s">
        <v>988</v>
      </c>
    </row>
    <row r="154" spans="1:14" x14ac:dyDescent="0.3">
      <c r="A154">
        <v>2543</v>
      </c>
      <c r="B154" t="s">
        <v>2234</v>
      </c>
      <c r="C154" t="s">
        <v>2459</v>
      </c>
      <c r="D154" t="s">
        <v>1203</v>
      </c>
      <c r="E154" t="s">
        <v>1204</v>
      </c>
      <c r="F154">
        <v>5649</v>
      </c>
      <c r="G154" t="s">
        <v>688</v>
      </c>
      <c r="H154" t="s">
        <v>1210</v>
      </c>
      <c r="I154">
        <v>55802</v>
      </c>
      <c r="J154">
        <v>55802</v>
      </c>
      <c r="K154">
        <v>20802</v>
      </c>
      <c r="L154">
        <v>20802</v>
      </c>
      <c r="M154">
        <v>20802</v>
      </c>
      <c r="N154" t="s">
        <v>988</v>
      </c>
    </row>
    <row r="155" spans="1:14" x14ac:dyDescent="0.3">
      <c r="A155">
        <v>2667</v>
      </c>
      <c r="B155" t="s">
        <v>2237</v>
      </c>
      <c r="C155" t="s">
        <v>2459</v>
      </c>
      <c r="D155" t="s">
        <v>1203</v>
      </c>
      <c r="E155" t="s">
        <v>1204</v>
      </c>
      <c r="F155">
        <v>5591</v>
      </c>
      <c r="G155" t="s">
        <v>690</v>
      </c>
      <c r="H155" t="s">
        <v>2460</v>
      </c>
      <c r="I155">
        <v>2466</v>
      </c>
      <c r="J155">
        <v>2575</v>
      </c>
      <c r="K155">
        <v>2690</v>
      </c>
      <c r="L155">
        <v>2802</v>
      </c>
      <c r="M155">
        <v>2919</v>
      </c>
      <c r="N155" t="s">
        <v>988</v>
      </c>
    </row>
    <row r="156" spans="1:14" x14ac:dyDescent="0.3">
      <c r="A156">
        <v>2667</v>
      </c>
      <c r="B156" t="s">
        <v>2237</v>
      </c>
      <c r="C156" t="s">
        <v>2459</v>
      </c>
      <c r="D156" t="s">
        <v>1203</v>
      </c>
      <c r="E156" t="s">
        <v>1204</v>
      </c>
      <c r="F156">
        <v>5591</v>
      </c>
      <c r="G156" t="s">
        <v>688</v>
      </c>
      <c r="H156" t="s">
        <v>2460</v>
      </c>
      <c r="I156">
        <v>28185</v>
      </c>
      <c r="J156">
        <v>29422</v>
      </c>
      <c r="K156">
        <v>30745</v>
      </c>
      <c r="L156">
        <v>32027</v>
      </c>
      <c r="M156">
        <v>33361</v>
      </c>
      <c r="N156" t="s">
        <v>988</v>
      </c>
    </row>
    <row r="157" spans="1:14" x14ac:dyDescent="0.3">
      <c r="A157">
        <v>2675</v>
      </c>
      <c r="B157" t="s">
        <v>2241</v>
      </c>
      <c r="C157" t="s">
        <v>2459</v>
      </c>
      <c r="D157" t="s">
        <v>1203</v>
      </c>
      <c r="E157" t="s">
        <v>1204</v>
      </c>
      <c r="F157">
        <v>5784</v>
      </c>
      <c r="G157" t="s">
        <v>688</v>
      </c>
      <c r="H157" t="s">
        <v>2242</v>
      </c>
      <c r="I157">
        <v>95890</v>
      </c>
      <c r="J157">
        <v>89460</v>
      </c>
      <c r="K157">
        <v>89750</v>
      </c>
      <c r="L157">
        <v>89360</v>
      </c>
      <c r="M157">
        <v>89460</v>
      </c>
      <c r="N157" t="s">
        <v>988</v>
      </c>
    </row>
    <row r="158" spans="1:14" x14ac:dyDescent="0.3">
      <c r="A158">
        <v>2697</v>
      </c>
      <c r="B158" t="s">
        <v>2092</v>
      </c>
      <c r="C158" t="s">
        <v>2459</v>
      </c>
      <c r="D158" t="s">
        <v>159</v>
      </c>
      <c r="E158" t="s">
        <v>159</v>
      </c>
      <c r="F158">
        <v>7790</v>
      </c>
      <c r="G158" t="s">
        <v>688</v>
      </c>
      <c r="H158" t="s">
        <v>2514</v>
      </c>
      <c r="I158">
        <v>145</v>
      </c>
      <c r="J158">
        <v>150</v>
      </c>
      <c r="K158">
        <v>175</v>
      </c>
      <c r="L158">
        <v>175</v>
      </c>
      <c r="M158">
        <v>175</v>
      </c>
      <c r="N158" t="s">
        <v>988</v>
      </c>
    </row>
    <row r="159" spans="1:14" x14ac:dyDescent="0.3">
      <c r="A159">
        <v>2697</v>
      </c>
      <c r="B159" t="s">
        <v>2092</v>
      </c>
      <c r="C159" t="s">
        <v>2459</v>
      </c>
      <c r="D159" t="s">
        <v>159</v>
      </c>
      <c r="E159" t="s">
        <v>159</v>
      </c>
      <c r="F159">
        <v>7790</v>
      </c>
      <c r="G159" t="s">
        <v>688</v>
      </c>
      <c r="H159" t="s">
        <v>2515</v>
      </c>
      <c r="I159">
        <v>1838</v>
      </c>
      <c r="J159">
        <v>1838</v>
      </c>
      <c r="K159">
        <v>1838</v>
      </c>
      <c r="L159">
        <v>1838</v>
      </c>
      <c r="M159">
        <v>1838</v>
      </c>
      <c r="N159" t="s">
        <v>988</v>
      </c>
    </row>
    <row r="160" spans="1:14" x14ac:dyDescent="0.3">
      <c r="A160">
        <v>2697</v>
      </c>
      <c r="B160" t="s">
        <v>2092</v>
      </c>
      <c r="C160" t="s">
        <v>2459</v>
      </c>
      <c r="D160" t="s">
        <v>159</v>
      </c>
      <c r="E160" t="s">
        <v>159</v>
      </c>
      <c r="F160">
        <v>7790</v>
      </c>
      <c r="G160" t="s">
        <v>688</v>
      </c>
      <c r="H160" t="s">
        <v>2248</v>
      </c>
      <c r="I160">
        <v>250</v>
      </c>
      <c r="J160">
        <v>250</v>
      </c>
      <c r="K160">
        <v>250</v>
      </c>
      <c r="L160">
        <v>250</v>
      </c>
      <c r="M160">
        <v>250</v>
      </c>
      <c r="N160" t="s">
        <v>988</v>
      </c>
    </row>
    <row r="161" spans="1:14" x14ac:dyDescent="0.3">
      <c r="A161">
        <v>2697</v>
      </c>
      <c r="B161" t="s">
        <v>2092</v>
      </c>
      <c r="C161" t="s">
        <v>2459</v>
      </c>
      <c r="D161" t="s">
        <v>159</v>
      </c>
      <c r="E161" t="s">
        <v>159</v>
      </c>
      <c r="F161">
        <v>7790</v>
      </c>
      <c r="G161" t="s">
        <v>688</v>
      </c>
      <c r="H161" t="s">
        <v>2516</v>
      </c>
      <c r="I161">
        <v>18000</v>
      </c>
      <c r="J161">
        <v>16605</v>
      </c>
      <c r="K161">
        <v>18338</v>
      </c>
      <c r="L161">
        <v>20073</v>
      </c>
      <c r="M161">
        <v>21925</v>
      </c>
      <c r="N161" t="s">
        <v>988</v>
      </c>
    </row>
    <row r="162" spans="1:14" x14ac:dyDescent="0.3">
      <c r="A162">
        <v>2697</v>
      </c>
      <c r="B162" t="s">
        <v>2092</v>
      </c>
      <c r="C162" t="s">
        <v>2459</v>
      </c>
      <c r="D162" t="s">
        <v>159</v>
      </c>
      <c r="E162" t="s">
        <v>159</v>
      </c>
      <c r="F162">
        <v>7790</v>
      </c>
      <c r="G162" t="s">
        <v>688</v>
      </c>
      <c r="H162" t="s">
        <v>2517</v>
      </c>
      <c r="I162">
        <v>10000</v>
      </c>
      <c r="J162">
        <v>10000</v>
      </c>
      <c r="K162">
        <v>10000</v>
      </c>
      <c r="L162">
        <v>10000</v>
      </c>
      <c r="M162">
        <v>10000</v>
      </c>
      <c r="N162" t="s">
        <v>988</v>
      </c>
    </row>
    <row r="163" spans="1:14" x14ac:dyDescent="0.3">
      <c r="A163">
        <v>2697</v>
      </c>
      <c r="B163" t="s">
        <v>2092</v>
      </c>
      <c r="C163" t="s">
        <v>2459</v>
      </c>
      <c r="D163" t="s">
        <v>159</v>
      </c>
      <c r="E163" t="s">
        <v>159</v>
      </c>
      <c r="F163">
        <v>7790</v>
      </c>
      <c r="G163" t="s">
        <v>688</v>
      </c>
      <c r="H163" t="s">
        <v>2518</v>
      </c>
      <c r="I163">
        <v>16593</v>
      </c>
      <c r="J163">
        <v>12240</v>
      </c>
      <c r="K163">
        <v>12848</v>
      </c>
      <c r="L163">
        <v>9289</v>
      </c>
      <c r="M163">
        <v>10088</v>
      </c>
      <c r="N163" t="s">
        <v>988</v>
      </c>
    </row>
    <row r="164" spans="1:14" x14ac:dyDescent="0.3">
      <c r="A164">
        <v>2697</v>
      </c>
      <c r="B164" t="s">
        <v>2092</v>
      </c>
      <c r="C164" t="s">
        <v>2459</v>
      </c>
      <c r="D164" t="s">
        <v>159</v>
      </c>
      <c r="E164" t="s">
        <v>159</v>
      </c>
      <c r="F164">
        <v>7790</v>
      </c>
      <c r="G164" t="s">
        <v>688</v>
      </c>
      <c r="H164" t="s">
        <v>2519</v>
      </c>
      <c r="I164">
        <v>2000</v>
      </c>
      <c r="J164">
        <v>3000</v>
      </c>
      <c r="K164">
        <v>3000</v>
      </c>
      <c r="L164">
        <v>3000</v>
      </c>
      <c r="M164">
        <v>3000</v>
      </c>
      <c r="N164" t="s">
        <v>988</v>
      </c>
    </row>
    <row r="165" spans="1:14" x14ac:dyDescent="0.3">
      <c r="A165">
        <v>2697</v>
      </c>
      <c r="B165" t="s">
        <v>2092</v>
      </c>
      <c r="C165" t="s">
        <v>2459</v>
      </c>
      <c r="D165" t="s">
        <v>159</v>
      </c>
      <c r="E165" t="s">
        <v>159</v>
      </c>
      <c r="F165">
        <v>7790</v>
      </c>
      <c r="G165" t="s">
        <v>688</v>
      </c>
      <c r="H165" t="s">
        <v>2520</v>
      </c>
      <c r="I165">
        <v>1200</v>
      </c>
      <c r="J165">
        <v>2000</v>
      </c>
      <c r="K165">
        <v>2000</v>
      </c>
      <c r="L165">
        <v>2000</v>
      </c>
      <c r="M165">
        <v>2000</v>
      </c>
      <c r="N165" t="s">
        <v>988</v>
      </c>
    </row>
    <row r="166" spans="1:14" x14ac:dyDescent="0.3">
      <c r="A166">
        <v>2697</v>
      </c>
      <c r="B166" t="s">
        <v>2092</v>
      </c>
      <c r="C166" t="s">
        <v>2459</v>
      </c>
      <c r="D166" t="s">
        <v>159</v>
      </c>
      <c r="E166" t="s">
        <v>159</v>
      </c>
      <c r="F166">
        <v>7790</v>
      </c>
      <c r="G166" t="s">
        <v>688</v>
      </c>
      <c r="H166" t="s">
        <v>2021</v>
      </c>
      <c r="I166">
        <v>3720</v>
      </c>
      <c r="J166">
        <v>3800</v>
      </c>
      <c r="K166">
        <v>3800</v>
      </c>
      <c r="L166">
        <v>3800</v>
      </c>
      <c r="M166">
        <v>3800</v>
      </c>
      <c r="N166" t="s">
        <v>988</v>
      </c>
    </row>
    <row r="167" spans="1:14" x14ac:dyDescent="0.3">
      <c r="A167">
        <v>2697</v>
      </c>
      <c r="B167" t="s">
        <v>2092</v>
      </c>
      <c r="C167" t="s">
        <v>2459</v>
      </c>
      <c r="D167" t="s">
        <v>159</v>
      </c>
      <c r="E167" t="s">
        <v>159</v>
      </c>
      <c r="F167">
        <v>7790</v>
      </c>
      <c r="G167" t="s">
        <v>688</v>
      </c>
      <c r="H167" t="s">
        <v>2521</v>
      </c>
      <c r="I167">
        <v>14680</v>
      </c>
      <c r="J167">
        <v>19306</v>
      </c>
      <c r="K167">
        <v>22293</v>
      </c>
      <c r="L167">
        <v>26181</v>
      </c>
      <c r="M167">
        <v>31928</v>
      </c>
      <c r="N167" t="s">
        <v>988</v>
      </c>
    </row>
    <row r="168" spans="1:14" x14ac:dyDescent="0.3">
      <c r="A168">
        <v>2697</v>
      </c>
      <c r="B168" t="s">
        <v>2092</v>
      </c>
      <c r="C168" t="s">
        <v>2459</v>
      </c>
      <c r="D168" t="s">
        <v>159</v>
      </c>
      <c r="E168" t="s">
        <v>159</v>
      </c>
      <c r="F168">
        <v>7790</v>
      </c>
      <c r="G168" t="s">
        <v>688</v>
      </c>
      <c r="H168" t="s">
        <v>2522</v>
      </c>
      <c r="I168">
        <v>13323</v>
      </c>
      <c r="J168">
        <v>13323</v>
      </c>
      <c r="K168">
        <v>13323</v>
      </c>
      <c r="L168">
        <v>13323</v>
      </c>
      <c r="M168">
        <v>13323</v>
      </c>
      <c r="N168" t="s">
        <v>988</v>
      </c>
    </row>
    <row r="169" spans="1:14" x14ac:dyDescent="0.3">
      <c r="A169">
        <v>2697</v>
      </c>
      <c r="B169" t="s">
        <v>2092</v>
      </c>
      <c r="C169" t="s">
        <v>2459</v>
      </c>
      <c r="D169" t="s">
        <v>159</v>
      </c>
      <c r="E169" t="s">
        <v>159</v>
      </c>
      <c r="F169">
        <v>7790</v>
      </c>
      <c r="G169" t="s">
        <v>688</v>
      </c>
      <c r="H169" t="s">
        <v>2247</v>
      </c>
      <c r="I169">
        <v>110</v>
      </c>
      <c r="J169">
        <v>110</v>
      </c>
      <c r="K169">
        <v>110</v>
      </c>
      <c r="L169">
        <v>110</v>
      </c>
      <c r="M169">
        <v>110</v>
      </c>
      <c r="N169" t="s">
        <v>988</v>
      </c>
    </row>
    <row r="170" spans="1:14" x14ac:dyDescent="0.3">
      <c r="A170">
        <v>2697</v>
      </c>
      <c r="B170" t="s">
        <v>2092</v>
      </c>
      <c r="C170" t="s">
        <v>2459</v>
      </c>
      <c r="D170" t="s">
        <v>159</v>
      </c>
      <c r="E170" t="s">
        <v>159</v>
      </c>
      <c r="F170">
        <v>7790</v>
      </c>
      <c r="G170" t="s">
        <v>688</v>
      </c>
      <c r="H170" t="s">
        <v>2523</v>
      </c>
      <c r="I170">
        <v>0</v>
      </c>
      <c r="J170">
        <v>3700</v>
      </c>
      <c r="K170">
        <v>3700</v>
      </c>
      <c r="L170">
        <v>3700</v>
      </c>
      <c r="M170">
        <v>3700</v>
      </c>
      <c r="N170" t="s">
        <v>988</v>
      </c>
    </row>
    <row r="171" spans="1:14" x14ac:dyDescent="0.3">
      <c r="A171">
        <v>2697</v>
      </c>
      <c r="B171" t="s">
        <v>2092</v>
      </c>
      <c r="C171" t="s">
        <v>2459</v>
      </c>
      <c r="D171" t="s">
        <v>159</v>
      </c>
      <c r="E171" t="s">
        <v>159</v>
      </c>
      <c r="F171">
        <v>7790</v>
      </c>
      <c r="G171" t="s">
        <v>688</v>
      </c>
      <c r="H171" t="s">
        <v>2524</v>
      </c>
      <c r="I171">
        <v>1671</v>
      </c>
      <c r="J171">
        <v>1300</v>
      </c>
      <c r="K171">
        <v>1300</v>
      </c>
      <c r="L171">
        <v>1300</v>
      </c>
      <c r="M171">
        <v>1681</v>
      </c>
      <c r="N171" t="s">
        <v>988</v>
      </c>
    </row>
    <row r="172" spans="1:14" x14ac:dyDescent="0.3">
      <c r="A172">
        <v>2697</v>
      </c>
      <c r="B172" t="s">
        <v>2092</v>
      </c>
      <c r="C172" t="s">
        <v>2459</v>
      </c>
      <c r="D172" t="s">
        <v>159</v>
      </c>
      <c r="E172" t="s">
        <v>159</v>
      </c>
      <c r="F172">
        <v>7790</v>
      </c>
      <c r="G172" t="s">
        <v>688</v>
      </c>
      <c r="H172" t="s">
        <v>2525</v>
      </c>
      <c r="I172">
        <v>13286</v>
      </c>
      <c r="J172">
        <v>13286</v>
      </c>
      <c r="K172">
        <v>13286</v>
      </c>
      <c r="L172">
        <v>17625</v>
      </c>
      <c r="M172">
        <v>17625</v>
      </c>
      <c r="N172" t="s">
        <v>988</v>
      </c>
    </row>
    <row r="173" spans="1:14" x14ac:dyDescent="0.3">
      <c r="A173">
        <v>4811</v>
      </c>
      <c r="B173" t="s">
        <v>2249</v>
      </c>
      <c r="C173" t="s">
        <v>2459</v>
      </c>
      <c r="D173" t="s">
        <v>1203</v>
      </c>
      <c r="E173" t="s">
        <v>1204</v>
      </c>
      <c r="F173">
        <v>6866</v>
      </c>
      <c r="G173" t="s">
        <v>688</v>
      </c>
      <c r="H173" t="s">
        <v>2460</v>
      </c>
      <c r="I173">
        <v>20024</v>
      </c>
      <c r="J173">
        <v>20269</v>
      </c>
      <c r="K173">
        <v>21095</v>
      </c>
      <c r="L173">
        <v>21921</v>
      </c>
      <c r="M173">
        <v>22747</v>
      </c>
      <c r="N173" t="s">
        <v>988</v>
      </c>
    </row>
  </sheetData>
  <autoFilter ref="A1:N173" xr:uid="{904A6D44-A572-4473-B7D3-074D84DD1048}"/>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E0FC1-DD23-4810-9DF9-201DFC8380B7}">
  <sheetPr codeName="Sheet44">
    <tabColor rgb="FF7030A0"/>
  </sheetPr>
  <dimension ref="A1:I383"/>
  <sheetViews>
    <sheetView workbookViewId="0"/>
  </sheetViews>
  <sheetFormatPr defaultRowHeight="14.4" x14ac:dyDescent="0.3"/>
  <cols>
    <col min="2" max="2" width="54" bestFit="1" customWidth="1"/>
    <col min="7" max="7" width="34.5546875" bestFit="1" customWidth="1"/>
    <col min="8" max="8" width="227.88671875" bestFit="1" customWidth="1"/>
  </cols>
  <sheetData>
    <row r="1" spans="1:9" x14ac:dyDescent="0.3">
      <c r="A1" t="s">
        <v>1191</v>
      </c>
      <c r="B1" t="s">
        <v>1192</v>
      </c>
      <c r="C1" t="s">
        <v>1193</v>
      </c>
      <c r="D1" t="s">
        <v>1194</v>
      </c>
      <c r="E1" t="s">
        <v>1195</v>
      </c>
      <c r="F1" t="s">
        <v>1196</v>
      </c>
      <c r="G1" t="s">
        <v>2526</v>
      </c>
      <c r="H1" t="s">
        <v>2527</v>
      </c>
      <c r="I1" t="s">
        <v>2528</v>
      </c>
    </row>
    <row r="2" spans="1:9" x14ac:dyDescent="0.3">
      <c r="A2">
        <v>13</v>
      </c>
      <c r="B2" t="s">
        <v>1201</v>
      </c>
      <c r="C2" t="s">
        <v>2529</v>
      </c>
      <c r="D2" t="s">
        <v>1203</v>
      </c>
      <c r="E2" t="s">
        <v>1204</v>
      </c>
      <c r="F2">
        <v>5973</v>
      </c>
      <c r="G2" t="s">
        <v>2530</v>
      </c>
      <c r="H2" t="s">
        <v>2531</v>
      </c>
      <c r="I2" t="s">
        <v>2530</v>
      </c>
    </row>
    <row r="3" spans="1:9" x14ac:dyDescent="0.3">
      <c r="A3">
        <v>23</v>
      </c>
      <c r="B3" t="s">
        <v>801</v>
      </c>
      <c r="C3" t="s">
        <v>2529</v>
      </c>
      <c r="D3" t="s">
        <v>159</v>
      </c>
      <c r="E3" t="s">
        <v>159</v>
      </c>
      <c r="F3">
        <v>6868</v>
      </c>
      <c r="G3" t="s">
        <v>2530</v>
      </c>
      <c r="H3" t="s">
        <v>2532</v>
      </c>
      <c r="I3" t="s">
        <v>2530</v>
      </c>
    </row>
    <row r="4" spans="1:9" x14ac:dyDescent="0.3">
      <c r="A4">
        <v>30</v>
      </c>
      <c r="B4" t="s">
        <v>1213</v>
      </c>
      <c r="C4" t="s">
        <v>2529</v>
      </c>
      <c r="D4" t="s">
        <v>159</v>
      </c>
      <c r="E4" t="s">
        <v>159</v>
      </c>
      <c r="F4">
        <v>5557</v>
      </c>
      <c r="G4" t="s">
        <v>2530</v>
      </c>
      <c r="H4" t="s">
        <v>2533</v>
      </c>
      <c r="I4" t="s">
        <v>2530</v>
      </c>
    </row>
    <row r="5" spans="1:9" x14ac:dyDescent="0.3">
      <c r="A5">
        <v>55</v>
      </c>
      <c r="B5" t="s">
        <v>1217</v>
      </c>
      <c r="C5" t="s">
        <v>2529</v>
      </c>
      <c r="D5" t="s">
        <v>1203</v>
      </c>
      <c r="E5" t="s">
        <v>1204</v>
      </c>
      <c r="F5">
        <v>5577</v>
      </c>
      <c r="G5" t="s">
        <v>2530</v>
      </c>
      <c r="H5" t="s">
        <v>2534</v>
      </c>
      <c r="I5" t="s">
        <v>2530</v>
      </c>
    </row>
    <row r="6" spans="1:9" x14ac:dyDescent="0.3">
      <c r="A6">
        <v>64</v>
      </c>
      <c r="B6" t="s">
        <v>1220</v>
      </c>
      <c r="C6" t="s">
        <v>2529</v>
      </c>
      <c r="D6" t="s">
        <v>159</v>
      </c>
      <c r="E6" t="s">
        <v>159</v>
      </c>
      <c r="F6">
        <v>6851</v>
      </c>
      <c r="G6" t="s">
        <v>2530</v>
      </c>
      <c r="H6" t="s">
        <v>2535</v>
      </c>
      <c r="I6" t="s">
        <v>2530</v>
      </c>
    </row>
    <row r="7" spans="1:9" x14ac:dyDescent="0.3">
      <c r="A7">
        <v>82</v>
      </c>
      <c r="B7" t="s">
        <v>1224</v>
      </c>
      <c r="C7" t="s">
        <v>2529</v>
      </c>
      <c r="D7" t="s">
        <v>159</v>
      </c>
      <c r="E7" t="s">
        <v>159</v>
      </c>
      <c r="F7">
        <v>6783</v>
      </c>
      <c r="G7" t="s">
        <v>2530</v>
      </c>
      <c r="H7" t="s">
        <v>2536</v>
      </c>
      <c r="I7" t="s">
        <v>2530</v>
      </c>
    </row>
    <row r="8" spans="1:9" x14ac:dyDescent="0.3">
      <c r="A8">
        <v>87</v>
      </c>
      <c r="B8" t="s">
        <v>1228</v>
      </c>
      <c r="C8" t="s">
        <v>2529</v>
      </c>
      <c r="D8" t="s">
        <v>1203</v>
      </c>
      <c r="E8" t="s">
        <v>1204</v>
      </c>
      <c r="F8">
        <v>5448</v>
      </c>
      <c r="G8" t="s">
        <v>2530</v>
      </c>
      <c r="H8" t="s">
        <v>2533</v>
      </c>
      <c r="I8" t="s">
        <v>2530</v>
      </c>
    </row>
    <row r="9" spans="1:9" x14ac:dyDescent="0.3">
      <c r="A9">
        <v>93</v>
      </c>
      <c r="B9" t="s">
        <v>1231</v>
      </c>
      <c r="C9" t="s">
        <v>2529</v>
      </c>
      <c r="D9" t="s">
        <v>159</v>
      </c>
      <c r="E9" t="s">
        <v>159</v>
      </c>
      <c r="F9">
        <v>5447</v>
      </c>
      <c r="G9" t="s">
        <v>2530</v>
      </c>
      <c r="H9" t="s">
        <v>2533</v>
      </c>
      <c r="I9" t="s">
        <v>2530</v>
      </c>
    </row>
    <row r="10" spans="1:9" x14ac:dyDescent="0.3">
      <c r="A10">
        <v>94</v>
      </c>
      <c r="B10" t="s">
        <v>1232</v>
      </c>
      <c r="C10" t="s">
        <v>2529</v>
      </c>
      <c r="D10" t="s">
        <v>159</v>
      </c>
      <c r="E10" t="s">
        <v>159</v>
      </c>
      <c r="F10">
        <v>7274</v>
      </c>
      <c r="G10" t="s">
        <v>2537</v>
      </c>
      <c r="H10" t="s">
        <v>2460</v>
      </c>
      <c r="I10" t="s">
        <v>2530</v>
      </c>
    </row>
    <row r="11" spans="1:9" x14ac:dyDescent="0.3">
      <c r="A11">
        <v>102</v>
      </c>
      <c r="B11" t="s">
        <v>1237</v>
      </c>
      <c r="C11" t="s">
        <v>2529</v>
      </c>
      <c r="D11" t="s">
        <v>1203</v>
      </c>
      <c r="E11" t="s">
        <v>1204</v>
      </c>
      <c r="F11">
        <v>5765</v>
      </c>
      <c r="G11" t="s">
        <v>2530</v>
      </c>
      <c r="H11" t="s">
        <v>2538</v>
      </c>
      <c r="I11" t="s">
        <v>2530</v>
      </c>
    </row>
    <row r="12" spans="1:9" x14ac:dyDescent="0.3">
      <c r="A12">
        <v>107</v>
      </c>
      <c r="B12" t="s">
        <v>1238</v>
      </c>
      <c r="C12" t="s">
        <v>2529</v>
      </c>
      <c r="D12" t="s">
        <v>159</v>
      </c>
      <c r="E12" t="s">
        <v>159</v>
      </c>
      <c r="F12">
        <v>7175</v>
      </c>
      <c r="G12" t="s">
        <v>2537</v>
      </c>
      <c r="H12" t="s">
        <v>2460</v>
      </c>
      <c r="I12" t="s">
        <v>2530</v>
      </c>
    </row>
    <row r="13" spans="1:9" x14ac:dyDescent="0.3">
      <c r="A13">
        <v>110</v>
      </c>
      <c r="B13" t="s">
        <v>1239</v>
      </c>
      <c r="C13" t="s">
        <v>2529</v>
      </c>
      <c r="D13" t="s">
        <v>1203</v>
      </c>
      <c r="E13" t="s">
        <v>1204</v>
      </c>
      <c r="F13">
        <v>7792</v>
      </c>
      <c r="G13" t="s">
        <v>2537</v>
      </c>
      <c r="H13" t="s">
        <v>2460</v>
      </c>
      <c r="I13" t="s">
        <v>2530</v>
      </c>
    </row>
    <row r="14" spans="1:9" x14ac:dyDescent="0.3">
      <c r="A14">
        <v>117</v>
      </c>
      <c r="B14" t="s">
        <v>1240</v>
      </c>
      <c r="C14" t="s">
        <v>2529</v>
      </c>
      <c r="D14" t="s">
        <v>159</v>
      </c>
      <c r="E14" t="s">
        <v>159</v>
      </c>
      <c r="F14">
        <v>7816</v>
      </c>
      <c r="G14" t="s">
        <v>2537</v>
      </c>
      <c r="H14" t="s">
        <v>2460</v>
      </c>
      <c r="I14" t="s">
        <v>2530</v>
      </c>
    </row>
    <row r="15" spans="1:9" x14ac:dyDescent="0.3">
      <c r="A15">
        <v>123</v>
      </c>
      <c r="B15" t="s">
        <v>1242</v>
      </c>
      <c r="C15" t="s">
        <v>2529</v>
      </c>
      <c r="D15" t="s">
        <v>1203</v>
      </c>
      <c r="E15" t="s">
        <v>1204</v>
      </c>
      <c r="F15">
        <v>5757</v>
      </c>
      <c r="G15" t="s">
        <v>2537</v>
      </c>
      <c r="H15" t="s">
        <v>2460</v>
      </c>
      <c r="I15" t="s">
        <v>2530</v>
      </c>
    </row>
    <row r="16" spans="1:9" x14ac:dyDescent="0.3">
      <c r="A16">
        <v>124</v>
      </c>
      <c r="B16" t="s">
        <v>1246</v>
      </c>
      <c r="C16" t="s">
        <v>2529</v>
      </c>
      <c r="D16" t="s">
        <v>1203</v>
      </c>
      <c r="E16" t="s">
        <v>1204</v>
      </c>
      <c r="F16">
        <v>6589</v>
      </c>
      <c r="G16" t="s">
        <v>2530</v>
      </c>
      <c r="H16" t="s">
        <v>2539</v>
      </c>
      <c r="I16" t="s">
        <v>2530</v>
      </c>
    </row>
    <row r="17" spans="1:9" x14ac:dyDescent="0.3">
      <c r="A17">
        <v>129</v>
      </c>
      <c r="B17" t="s">
        <v>1250</v>
      </c>
      <c r="C17" t="s">
        <v>2529</v>
      </c>
      <c r="D17" t="s">
        <v>159</v>
      </c>
      <c r="E17" t="s">
        <v>159</v>
      </c>
      <c r="F17">
        <v>7821</v>
      </c>
      <c r="G17" t="s">
        <v>2530</v>
      </c>
      <c r="H17" t="s">
        <v>2540</v>
      </c>
      <c r="I17" t="s">
        <v>2530</v>
      </c>
    </row>
    <row r="18" spans="1:9" x14ac:dyDescent="0.3">
      <c r="A18">
        <v>159</v>
      </c>
      <c r="B18" t="s">
        <v>1251</v>
      </c>
      <c r="C18" t="s">
        <v>2529</v>
      </c>
      <c r="D18" t="s">
        <v>1203</v>
      </c>
      <c r="E18" t="s">
        <v>1204</v>
      </c>
      <c r="F18">
        <v>6161</v>
      </c>
      <c r="G18" t="s">
        <v>2537</v>
      </c>
      <c r="H18" t="s">
        <v>2460</v>
      </c>
      <c r="I18" t="s">
        <v>2530</v>
      </c>
    </row>
    <row r="19" spans="1:9" x14ac:dyDescent="0.3">
      <c r="A19">
        <v>167</v>
      </c>
      <c r="B19" t="s">
        <v>1257</v>
      </c>
      <c r="C19" t="s">
        <v>2529</v>
      </c>
      <c r="D19" t="s">
        <v>1203</v>
      </c>
      <c r="E19" t="s">
        <v>1204</v>
      </c>
      <c r="F19">
        <v>5807</v>
      </c>
      <c r="G19" t="s">
        <v>2537</v>
      </c>
      <c r="H19" t="s">
        <v>2460</v>
      </c>
      <c r="I19" t="s">
        <v>2537</v>
      </c>
    </row>
    <row r="20" spans="1:9" x14ac:dyDescent="0.3">
      <c r="A20">
        <v>170</v>
      </c>
      <c r="B20" t="s">
        <v>1258</v>
      </c>
      <c r="C20" t="s">
        <v>2529</v>
      </c>
      <c r="D20" t="s">
        <v>1203</v>
      </c>
      <c r="E20" t="s">
        <v>1204</v>
      </c>
      <c r="F20">
        <v>5955</v>
      </c>
      <c r="G20" t="s">
        <v>2537</v>
      </c>
      <c r="H20" t="s">
        <v>2460</v>
      </c>
      <c r="I20" t="s">
        <v>2530</v>
      </c>
    </row>
    <row r="21" spans="1:9" x14ac:dyDescent="0.3">
      <c r="A21">
        <v>178</v>
      </c>
      <c r="B21" t="s">
        <v>1261</v>
      </c>
      <c r="C21" t="s">
        <v>2529</v>
      </c>
      <c r="D21" t="s">
        <v>1203</v>
      </c>
      <c r="E21" t="s">
        <v>1204</v>
      </c>
      <c r="F21">
        <v>5494</v>
      </c>
      <c r="G21" t="s">
        <v>2530</v>
      </c>
      <c r="H21" t="s">
        <v>2535</v>
      </c>
      <c r="I21" t="s">
        <v>2530</v>
      </c>
    </row>
    <row r="22" spans="1:9" x14ac:dyDescent="0.3">
      <c r="A22">
        <v>193</v>
      </c>
      <c r="B22" t="s">
        <v>1265</v>
      </c>
      <c r="C22" t="s">
        <v>2529</v>
      </c>
      <c r="D22" t="s">
        <v>1203</v>
      </c>
      <c r="E22" t="s">
        <v>1204</v>
      </c>
      <c r="F22">
        <v>5906</v>
      </c>
      <c r="G22" t="s">
        <v>2530</v>
      </c>
      <c r="H22" t="s">
        <v>2541</v>
      </c>
      <c r="I22" t="s">
        <v>2530</v>
      </c>
    </row>
    <row r="23" spans="1:9" x14ac:dyDescent="0.3">
      <c r="A23">
        <v>197</v>
      </c>
      <c r="B23" t="s">
        <v>1268</v>
      </c>
      <c r="C23" t="s">
        <v>2529</v>
      </c>
      <c r="D23" t="s">
        <v>159</v>
      </c>
      <c r="E23" t="s">
        <v>159</v>
      </c>
      <c r="F23">
        <v>5480</v>
      </c>
      <c r="G23" t="s">
        <v>2530</v>
      </c>
      <c r="H23" t="s">
        <v>2542</v>
      </c>
      <c r="I23" t="s">
        <v>2530</v>
      </c>
    </row>
    <row r="24" spans="1:9" x14ac:dyDescent="0.3">
      <c r="A24">
        <v>198</v>
      </c>
      <c r="B24" t="s">
        <v>1270</v>
      </c>
      <c r="C24" t="s">
        <v>2529</v>
      </c>
      <c r="D24" t="s">
        <v>159</v>
      </c>
      <c r="E24" t="s">
        <v>159</v>
      </c>
      <c r="F24">
        <v>7825</v>
      </c>
      <c r="G24" t="s">
        <v>2530</v>
      </c>
      <c r="H24" t="s">
        <v>2543</v>
      </c>
      <c r="I24" t="s">
        <v>2530</v>
      </c>
    </row>
    <row r="25" spans="1:9" x14ac:dyDescent="0.3">
      <c r="A25">
        <v>241</v>
      </c>
      <c r="B25" t="s">
        <v>1271</v>
      </c>
      <c r="C25" t="s">
        <v>2529</v>
      </c>
      <c r="D25" t="s">
        <v>1203</v>
      </c>
      <c r="E25" t="s">
        <v>1204</v>
      </c>
      <c r="F25">
        <v>5667</v>
      </c>
      <c r="G25" t="s">
        <v>2530</v>
      </c>
      <c r="H25" t="s">
        <v>2544</v>
      </c>
      <c r="I25" t="s">
        <v>2530</v>
      </c>
    </row>
    <row r="26" spans="1:9" x14ac:dyDescent="0.3">
      <c r="A26">
        <v>262</v>
      </c>
      <c r="B26" t="s">
        <v>1273</v>
      </c>
      <c r="C26" t="s">
        <v>2529</v>
      </c>
      <c r="D26" t="s">
        <v>1203</v>
      </c>
      <c r="E26" t="s">
        <v>1204</v>
      </c>
      <c r="F26">
        <v>5902</v>
      </c>
      <c r="G26" t="s">
        <v>2537</v>
      </c>
      <c r="H26" t="s">
        <v>2460</v>
      </c>
      <c r="I26" t="s">
        <v>2537</v>
      </c>
    </row>
    <row r="27" spans="1:9" x14ac:dyDescent="0.3">
      <c r="A27">
        <v>263</v>
      </c>
      <c r="B27" t="s">
        <v>1278</v>
      </c>
      <c r="C27" t="s">
        <v>2529</v>
      </c>
      <c r="D27" t="s">
        <v>159</v>
      </c>
      <c r="E27" t="s">
        <v>159</v>
      </c>
      <c r="F27">
        <v>5651</v>
      </c>
      <c r="G27" t="s">
        <v>2530</v>
      </c>
      <c r="H27" t="s">
        <v>2545</v>
      </c>
      <c r="I27" t="s">
        <v>2530</v>
      </c>
    </row>
    <row r="28" spans="1:9" x14ac:dyDescent="0.3">
      <c r="A28">
        <v>264</v>
      </c>
      <c r="B28" t="s">
        <v>1283</v>
      </c>
      <c r="C28" t="s">
        <v>2529</v>
      </c>
      <c r="D28" t="s">
        <v>159</v>
      </c>
      <c r="E28" t="s">
        <v>159</v>
      </c>
      <c r="F28">
        <v>6905</v>
      </c>
      <c r="G28" t="s">
        <v>2537</v>
      </c>
      <c r="H28" t="s">
        <v>2460</v>
      </c>
      <c r="I28" t="s">
        <v>2530</v>
      </c>
    </row>
    <row r="29" spans="1:9" x14ac:dyDescent="0.3">
      <c r="A29">
        <v>283</v>
      </c>
      <c r="B29" t="s">
        <v>1288</v>
      </c>
      <c r="C29" t="s">
        <v>2529</v>
      </c>
      <c r="D29" t="s">
        <v>1203</v>
      </c>
      <c r="E29" t="s">
        <v>1204</v>
      </c>
      <c r="F29">
        <v>5636</v>
      </c>
      <c r="G29" t="s">
        <v>2530</v>
      </c>
      <c r="H29" t="s">
        <v>2545</v>
      </c>
      <c r="I29" t="s">
        <v>2530</v>
      </c>
    </row>
    <row r="30" spans="1:9" x14ac:dyDescent="0.3">
      <c r="A30">
        <v>285</v>
      </c>
      <c r="B30" t="s">
        <v>1290</v>
      </c>
      <c r="C30" t="s">
        <v>2529</v>
      </c>
      <c r="D30" t="s">
        <v>1203</v>
      </c>
      <c r="E30" t="s">
        <v>1204</v>
      </c>
      <c r="F30">
        <v>5744</v>
      </c>
      <c r="G30" t="s">
        <v>2530</v>
      </c>
      <c r="H30" t="s">
        <v>2546</v>
      </c>
      <c r="I30" t="s">
        <v>2530</v>
      </c>
    </row>
    <row r="31" spans="1:9" x14ac:dyDescent="0.3">
      <c r="A31">
        <v>286</v>
      </c>
      <c r="B31" t="s">
        <v>1295</v>
      </c>
      <c r="C31" t="s">
        <v>2529</v>
      </c>
      <c r="D31" t="s">
        <v>1203</v>
      </c>
      <c r="E31" t="s">
        <v>1204</v>
      </c>
      <c r="F31">
        <v>5826</v>
      </c>
      <c r="G31" t="s">
        <v>2530</v>
      </c>
      <c r="H31" t="s">
        <v>2547</v>
      </c>
      <c r="I31" t="s">
        <v>2530</v>
      </c>
    </row>
    <row r="32" spans="1:9" x14ac:dyDescent="0.3">
      <c r="A32">
        <v>351</v>
      </c>
      <c r="B32" t="s">
        <v>1297</v>
      </c>
      <c r="C32" t="s">
        <v>2529</v>
      </c>
      <c r="D32" t="s">
        <v>1203</v>
      </c>
      <c r="E32" t="s">
        <v>1204</v>
      </c>
      <c r="F32">
        <v>5475</v>
      </c>
      <c r="G32" t="s">
        <v>2537</v>
      </c>
      <c r="H32" t="s">
        <v>2460</v>
      </c>
      <c r="I32" t="s">
        <v>2530</v>
      </c>
    </row>
    <row r="33" spans="1:9" x14ac:dyDescent="0.3">
      <c r="A33">
        <v>353</v>
      </c>
      <c r="B33" t="s">
        <v>1298</v>
      </c>
      <c r="C33" t="s">
        <v>2529</v>
      </c>
      <c r="D33" t="s">
        <v>1203</v>
      </c>
      <c r="E33" t="s">
        <v>1204</v>
      </c>
      <c r="F33">
        <v>7537</v>
      </c>
      <c r="G33" t="s">
        <v>2537</v>
      </c>
      <c r="H33" t="s">
        <v>2460</v>
      </c>
      <c r="I33" t="s">
        <v>2460</v>
      </c>
    </row>
    <row r="34" spans="1:9" x14ac:dyDescent="0.3">
      <c r="A34">
        <v>368</v>
      </c>
      <c r="B34" t="s">
        <v>1299</v>
      </c>
      <c r="C34" t="s">
        <v>2529</v>
      </c>
      <c r="D34" t="s">
        <v>1203</v>
      </c>
      <c r="E34" t="s">
        <v>1204</v>
      </c>
      <c r="F34">
        <v>5562</v>
      </c>
      <c r="G34" t="s">
        <v>2530</v>
      </c>
      <c r="H34" t="s">
        <v>2548</v>
      </c>
      <c r="I34" t="s">
        <v>2530</v>
      </c>
    </row>
    <row r="35" spans="1:9" x14ac:dyDescent="0.3">
      <c r="A35">
        <v>369</v>
      </c>
      <c r="B35" t="s">
        <v>1305</v>
      </c>
      <c r="C35" t="s">
        <v>2529</v>
      </c>
      <c r="D35" t="s">
        <v>1203</v>
      </c>
      <c r="E35" t="s">
        <v>1204</v>
      </c>
      <c r="F35">
        <v>5748</v>
      </c>
      <c r="G35" t="s">
        <v>2530</v>
      </c>
      <c r="H35" t="s">
        <v>2549</v>
      </c>
      <c r="I35" t="s">
        <v>2530</v>
      </c>
    </row>
    <row r="36" spans="1:9" x14ac:dyDescent="0.3">
      <c r="A36">
        <v>372</v>
      </c>
      <c r="B36" t="s">
        <v>1310</v>
      </c>
      <c r="C36" t="s">
        <v>2529</v>
      </c>
      <c r="D36" t="s">
        <v>1203</v>
      </c>
      <c r="E36" t="s">
        <v>1204</v>
      </c>
      <c r="F36">
        <v>5790</v>
      </c>
      <c r="G36" t="s">
        <v>2537</v>
      </c>
      <c r="H36" t="s">
        <v>2460</v>
      </c>
      <c r="I36" t="s">
        <v>2530</v>
      </c>
    </row>
    <row r="37" spans="1:9" x14ac:dyDescent="0.3">
      <c r="A37">
        <v>373</v>
      </c>
      <c r="B37" t="s">
        <v>1339</v>
      </c>
      <c r="C37" t="s">
        <v>2529</v>
      </c>
      <c r="D37" t="s">
        <v>1203</v>
      </c>
      <c r="E37" t="s">
        <v>1204</v>
      </c>
      <c r="F37">
        <v>6638</v>
      </c>
      <c r="G37" t="s">
        <v>2537</v>
      </c>
      <c r="H37" t="s">
        <v>2550</v>
      </c>
      <c r="I37" t="s">
        <v>2530</v>
      </c>
    </row>
    <row r="38" spans="1:9" x14ac:dyDescent="0.3">
      <c r="A38">
        <v>376</v>
      </c>
      <c r="B38" t="s">
        <v>1342</v>
      </c>
      <c r="C38" t="s">
        <v>2529</v>
      </c>
      <c r="D38" t="s">
        <v>1203</v>
      </c>
      <c r="E38" t="s">
        <v>1204</v>
      </c>
      <c r="F38">
        <v>5548</v>
      </c>
      <c r="G38" t="s">
        <v>2530</v>
      </c>
      <c r="H38" t="s">
        <v>2551</v>
      </c>
      <c r="I38" t="s">
        <v>2530</v>
      </c>
    </row>
    <row r="39" spans="1:9" x14ac:dyDescent="0.3">
      <c r="A39">
        <v>384</v>
      </c>
      <c r="B39" t="s">
        <v>1343</v>
      </c>
      <c r="C39" t="s">
        <v>2529</v>
      </c>
      <c r="D39" t="s">
        <v>1203</v>
      </c>
      <c r="E39" t="s">
        <v>1204</v>
      </c>
      <c r="F39">
        <v>5848</v>
      </c>
      <c r="G39" t="s">
        <v>2530</v>
      </c>
      <c r="H39" t="s">
        <v>2552</v>
      </c>
      <c r="I39" t="s">
        <v>2530</v>
      </c>
    </row>
    <row r="40" spans="1:9" x14ac:dyDescent="0.3">
      <c r="A40">
        <v>386</v>
      </c>
      <c r="B40" t="s">
        <v>1345</v>
      </c>
      <c r="C40" t="s">
        <v>2529</v>
      </c>
      <c r="D40" t="s">
        <v>1203</v>
      </c>
      <c r="E40" t="s">
        <v>1204</v>
      </c>
      <c r="F40">
        <v>5850</v>
      </c>
      <c r="G40" t="s">
        <v>2530</v>
      </c>
      <c r="H40" t="s">
        <v>2553</v>
      </c>
      <c r="I40" t="s">
        <v>2530</v>
      </c>
    </row>
    <row r="41" spans="1:9" x14ac:dyDescent="0.3">
      <c r="A41">
        <v>387</v>
      </c>
      <c r="B41" t="s">
        <v>1347</v>
      </c>
      <c r="C41" t="s">
        <v>2529</v>
      </c>
      <c r="D41" t="s">
        <v>1203</v>
      </c>
      <c r="E41" t="s">
        <v>1204</v>
      </c>
      <c r="F41">
        <v>5849</v>
      </c>
      <c r="G41" t="s">
        <v>2530</v>
      </c>
      <c r="H41" t="s">
        <v>2553</v>
      </c>
      <c r="I41" t="s">
        <v>2530</v>
      </c>
    </row>
    <row r="42" spans="1:9" x14ac:dyDescent="0.3">
      <c r="A42">
        <v>388</v>
      </c>
      <c r="B42" t="s">
        <v>1348</v>
      </c>
      <c r="C42" t="s">
        <v>2529</v>
      </c>
      <c r="D42" t="s">
        <v>1203</v>
      </c>
      <c r="E42" t="s">
        <v>1204</v>
      </c>
      <c r="F42">
        <v>5851</v>
      </c>
      <c r="G42" t="s">
        <v>2530</v>
      </c>
      <c r="H42" t="s">
        <v>2553</v>
      </c>
      <c r="I42" t="s">
        <v>2530</v>
      </c>
    </row>
    <row r="43" spans="1:9" x14ac:dyDescent="0.3">
      <c r="A43">
        <v>390</v>
      </c>
      <c r="B43" t="s">
        <v>1349</v>
      </c>
      <c r="C43" t="s">
        <v>2529</v>
      </c>
      <c r="D43" t="s">
        <v>1203</v>
      </c>
      <c r="E43" t="s">
        <v>1204</v>
      </c>
      <c r="F43">
        <v>5852</v>
      </c>
      <c r="G43" t="s">
        <v>2530</v>
      </c>
      <c r="H43" t="s">
        <v>2552</v>
      </c>
      <c r="I43" t="s">
        <v>2530</v>
      </c>
    </row>
    <row r="44" spans="1:9" x14ac:dyDescent="0.3">
      <c r="A44">
        <v>391</v>
      </c>
      <c r="B44" t="s">
        <v>1350</v>
      </c>
      <c r="C44" t="s">
        <v>2529</v>
      </c>
      <c r="D44" t="s">
        <v>1203</v>
      </c>
      <c r="E44" t="s">
        <v>1204</v>
      </c>
      <c r="F44">
        <v>7554</v>
      </c>
      <c r="G44" t="s">
        <v>2530</v>
      </c>
      <c r="H44" t="s">
        <v>2552</v>
      </c>
      <c r="I44" t="s">
        <v>2530</v>
      </c>
    </row>
    <row r="45" spans="1:9" x14ac:dyDescent="0.3">
      <c r="A45">
        <v>392</v>
      </c>
      <c r="B45" t="s">
        <v>1351</v>
      </c>
      <c r="C45" t="s">
        <v>2529</v>
      </c>
      <c r="D45" t="s">
        <v>1203</v>
      </c>
      <c r="E45" t="s">
        <v>1204</v>
      </c>
      <c r="F45">
        <v>5854</v>
      </c>
      <c r="G45" t="s">
        <v>2530</v>
      </c>
      <c r="H45" t="s">
        <v>2552</v>
      </c>
      <c r="I45" t="s">
        <v>2530</v>
      </c>
    </row>
    <row r="46" spans="1:9" x14ac:dyDescent="0.3">
      <c r="A46">
        <v>396</v>
      </c>
      <c r="B46" t="s">
        <v>1353</v>
      </c>
      <c r="C46" t="s">
        <v>2529</v>
      </c>
      <c r="D46" t="s">
        <v>1203</v>
      </c>
      <c r="E46" t="s">
        <v>1204</v>
      </c>
      <c r="F46">
        <v>7555</v>
      </c>
      <c r="G46" t="s">
        <v>2530</v>
      </c>
      <c r="H46" t="s">
        <v>2553</v>
      </c>
      <c r="I46" t="s">
        <v>2530</v>
      </c>
    </row>
    <row r="47" spans="1:9" x14ac:dyDescent="0.3">
      <c r="A47">
        <v>397</v>
      </c>
      <c r="B47" t="s">
        <v>1354</v>
      </c>
      <c r="C47" t="s">
        <v>2529</v>
      </c>
      <c r="D47" t="s">
        <v>1203</v>
      </c>
      <c r="E47" t="s">
        <v>1204</v>
      </c>
      <c r="F47">
        <v>5858</v>
      </c>
      <c r="G47" t="s">
        <v>2530</v>
      </c>
      <c r="H47" t="s">
        <v>2553</v>
      </c>
      <c r="I47" t="s">
        <v>2530</v>
      </c>
    </row>
    <row r="48" spans="1:9" x14ac:dyDescent="0.3">
      <c r="A48">
        <v>398</v>
      </c>
      <c r="B48" t="s">
        <v>1355</v>
      </c>
      <c r="C48" t="s">
        <v>2529</v>
      </c>
      <c r="D48" t="s">
        <v>1203</v>
      </c>
      <c r="E48" t="s">
        <v>1204</v>
      </c>
      <c r="F48">
        <v>5857</v>
      </c>
      <c r="G48" t="s">
        <v>2530</v>
      </c>
      <c r="H48" t="s">
        <v>2552</v>
      </c>
      <c r="I48" t="s">
        <v>2530</v>
      </c>
    </row>
    <row r="49" spans="1:9" x14ac:dyDescent="0.3">
      <c r="A49">
        <v>401</v>
      </c>
      <c r="B49" t="s">
        <v>1356</v>
      </c>
      <c r="C49" t="s">
        <v>2529</v>
      </c>
      <c r="D49" t="s">
        <v>1203</v>
      </c>
      <c r="E49" t="s">
        <v>1204</v>
      </c>
      <c r="F49">
        <v>5859</v>
      </c>
      <c r="G49" t="s">
        <v>2530</v>
      </c>
      <c r="H49" t="s">
        <v>2553</v>
      </c>
      <c r="I49" t="s">
        <v>2530</v>
      </c>
    </row>
    <row r="50" spans="1:9" x14ac:dyDescent="0.3">
      <c r="A50">
        <v>402</v>
      </c>
      <c r="B50" t="s">
        <v>1357</v>
      </c>
      <c r="C50" t="s">
        <v>2529</v>
      </c>
      <c r="D50" t="s">
        <v>1203</v>
      </c>
      <c r="E50" t="s">
        <v>1204</v>
      </c>
      <c r="F50">
        <v>5860</v>
      </c>
      <c r="G50" t="s">
        <v>2530</v>
      </c>
      <c r="H50" t="s">
        <v>2553</v>
      </c>
      <c r="I50" t="s">
        <v>2530</v>
      </c>
    </row>
    <row r="51" spans="1:9" x14ac:dyDescent="0.3">
      <c r="A51">
        <v>405</v>
      </c>
      <c r="B51" t="s">
        <v>1358</v>
      </c>
      <c r="C51" t="s">
        <v>2529</v>
      </c>
      <c r="D51" t="s">
        <v>1203</v>
      </c>
      <c r="E51" t="s">
        <v>1204</v>
      </c>
      <c r="F51">
        <v>5861</v>
      </c>
      <c r="G51" t="s">
        <v>2530</v>
      </c>
      <c r="H51" t="s">
        <v>2553</v>
      </c>
      <c r="I51" t="s">
        <v>2530</v>
      </c>
    </row>
    <row r="52" spans="1:9" x14ac:dyDescent="0.3">
      <c r="A52">
        <v>420</v>
      </c>
      <c r="B52" t="s">
        <v>1359</v>
      </c>
      <c r="C52" t="s">
        <v>2529</v>
      </c>
      <c r="D52" t="s">
        <v>1203</v>
      </c>
      <c r="E52" t="s">
        <v>1204</v>
      </c>
      <c r="F52">
        <v>5862</v>
      </c>
      <c r="G52" t="s">
        <v>2530</v>
      </c>
      <c r="H52" t="s">
        <v>2553</v>
      </c>
      <c r="I52" t="s">
        <v>2530</v>
      </c>
    </row>
    <row r="53" spans="1:9" x14ac:dyDescent="0.3">
      <c r="A53">
        <v>412</v>
      </c>
      <c r="B53" t="s">
        <v>1360</v>
      </c>
      <c r="C53" t="s">
        <v>2529</v>
      </c>
      <c r="D53" t="s">
        <v>1203</v>
      </c>
      <c r="E53" t="s">
        <v>1204</v>
      </c>
      <c r="F53">
        <v>5863</v>
      </c>
      <c r="G53" t="s">
        <v>2530</v>
      </c>
      <c r="H53" t="s">
        <v>2553</v>
      </c>
      <c r="I53" t="s">
        <v>2530</v>
      </c>
    </row>
    <row r="54" spans="1:9" x14ac:dyDescent="0.3">
      <c r="A54">
        <v>413</v>
      </c>
      <c r="B54" t="s">
        <v>1361</v>
      </c>
      <c r="C54" t="s">
        <v>2529</v>
      </c>
      <c r="D54" t="s">
        <v>1203</v>
      </c>
      <c r="E54" t="s">
        <v>1204</v>
      </c>
      <c r="F54">
        <v>5864</v>
      </c>
      <c r="G54" t="s">
        <v>2530</v>
      </c>
      <c r="H54" t="s">
        <v>2552</v>
      </c>
      <c r="I54" t="s">
        <v>2530</v>
      </c>
    </row>
    <row r="55" spans="1:9" x14ac:dyDescent="0.3">
      <c r="A55">
        <v>416</v>
      </c>
      <c r="B55" t="s">
        <v>1362</v>
      </c>
      <c r="C55" t="s">
        <v>2529</v>
      </c>
      <c r="D55" t="s">
        <v>1203</v>
      </c>
      <c r="E55" t="s">
        <v>1204</v>
      </c>
      <c r="F55">
        <v>5865</v>
      </c>
      <c r="G55" t="s">
        <v>2530</v>
      </c>
      <c r="H55" t="s">
        <v>2552</v>
      </c>
      <c r="I55" t="s">
        <v>2530</v>
      </c>
    </row>
    <row r="56" spans="1:9" x14ac:dyDescent="0.3">
      <c r="A56">
        <v>417</v>
      </c>
      <c r="B56" t="s">
        <v>1363</v>
      </c>
      <c r="C56" t="s">
        <v>2529</v>
      </c>
      <c r="D56" t="s">
        <v>1203</v>
      </c>
      <c r="E56" t="s">
        <v>1204</v>
      </c>
      <c r="F56">
        <v>5866</v>
      </c>
      <c r="G56" t="s">
        <v>2530</v>
      </c>
      <c r="H56" t="s">
        <v>2553</v>
      </c>
      <c r="I56" t="s">
        <v>2530</v>
      </c>
    </row>
    <row r="57" spans="1:9" x14ac:dyDescent="0.3">
      <c r="A57">
        <v>421</v>
      </c>
      <c r="B57" t="s">
        <v>1364</v>
      </c>
      <c r="C57" t="s">
        <v>2529</v>
      </c>
      <c r="D57" t="s">
        <v>1203</v>
      </c>
      <c r="E57" t="s">
        <v>1204</v>
      </c>
      <c r="F57">
        <v>5867</v>
      </c>
      <c r="G57" t="s">
        <v>2530</v>
      </c>
      <c r="H57" t="s">
        <v>2553</v>
      </c>
      <c r="I57" t="s">
        <v>2530</v>
      </c>
    </row>
    <row r="58" spans="1:9" x14ac:dyDescent="0.3">
      <c r="A58">
        <v>422</v>
      </c>
      <c r="B58" t="s">
        <v>1365</v>
      </c>
      <c r="C58" t="s">
        <v>2529</v>
      </c>
      <c r="D58" t="s">
        <v>1203</v>
      </c>
      <c r="E58" t="s">
        <v>1204</v>
      </c>
      <c r="F58">
        <v>5868</v>
      </c>
      <c r="G58" t="s">
        <v>2530</v>
      </c>
      <c r="H58" t="s">
        <v>2553</v>
      </c>
      <c r="I58" t="s">
        <v>2530</v>
      </c>
    </row>
    <row r="59" spans="1:9" x14ac:dyDescent="0.3">
      <c r="A59">
        <v>424</v>
      </c>
      <c r="B59" t="s">
        <v>1366</v>
      </c>
      <c r="C59" t="s">
        <v>2529</v>
      </c>
      <c r="D59" t="s">
        <v>1203</v>
      </c>
      <c r="E59" t="s">
        <v>1204</v>
      </c>
      <c r="F59">
        <v>5869</v>
      </c>
      <c r="G59" t="s">
        <v>2530</v>
      </c>
      <c r="H59" t="s">
        <v>2553</v>
      </c>
      <c r="I59" t="s">
        <v>2530</v>
      </c>
    </row>
    <row r="60" spans="1:9" x14ac:dyDescent="0.3">
      <c r="A60">
        <v>427</v>
      </c>
      <c r="B60" t="s">
        <v>1367</v>
      </c>
      <c r="C60" t="s">
        <v>2529</v>
      </c>
      <c r="D60" t="s">
        <v>1203</v>
      </c>
      <c r="E60" t="s">
        <v>1204</v>
      </c>
      <c r="F60">
        <v>5870</v>
      </c>
      <c r="G60" t="s">
        <v>2530</v>
      </c>
      <c r="H60" t="s">
        <v>2553</v>
      </c>
      <c r="I60" t="s">
        <v>2530</v>
      </c>
    </row>
    <row r="61" spans="1:9" x14ac:dyDescent="0.3">
      <c r="A61">
        <v>428</v>
      </c>
      <c r="B61" t="s">
        <v>1368</v>
      </c>
      <c r="C61" t="s">
        <v>2529</v>
      </c>
      <c r="D61" t="s">
        <v>1203</v>
      </c>
      <c r="E61" t="s">
        <v>1204</v>
      </c>
      <c r="F61">
        <v>5871</v>
      </c>
      <c r="G61" t="s">
        <v>2530</v>
      </c>
      <c r="H61" t="s">
        <v>2553</v>
      </c>
      <c r="I61" t="s">
        <v>2530</v>
      </c>
    </row>
    <row r="62" spans="1:9" x14ac:dyDescent="0.3">
      <c r="A62">
        <v>429</v>
      </c>
      <c r="B62" t="s">
        <v>1369</v>
      </c>
      <c r="C62" t="s">
        <v>2529</v>
      </c>
      <c r="D62" t="s">
        <v>1203</v>
      </c>
      <c r="E62" t="s">
        <v>1204</v>
      </c>
      <c r="F62">
        <v>5872</v>
      </c>
      <c r="G62" t="s">
        <v>2530</v>
      </c>
      <c r="H62" t="s">
        <v>2553</v>
      </c>
      <c r="I62" t="s">
        <v>2530</v>
      </c>
    </row>
    <row r="63" spans="1:9" x14ac:dyDescent="0.3">
      <c r="A63">
        <v>443</v>
      </c>
      <c r="B63" t="s">
        <v>1370</v>
      </c>
      <c r="C63" t="s">
        <v>2529</v>
      </c>
      <c r="D63" t="s">
        <v>1203</v>
      </c>
      <c r="E63" t="s">
        <v>1204</v>
      </c>
      <c r="F63">
        <v>5713</v>
      </c>
      <c r="G63" t="s">
        <v>2530</v>
      </c>
      <c r="H63" t="s">
        <v>2554</v>
      </c>
      <c r="I63" t="s">
        <v>2530</v>
      </c>
    </row>
    <row r="64" spans="1:9" x14ac:dyDescent="0.3">
      <c r="A64">
        <v>445</v>
      </c>
      <c r="B64" t="s">
        <v>1371</v>
      </c>
      <c r="C64" t="s">
        <v>2529</v>
      </c>
      <c r="D64" t="s">
        <v>1203</v>
      </c>
      <c r="E64" t="s">
        <v>1204</v>
      </c>
      <c r="F64">
        <v>5520</v>
      </c>
      <c r="G64" t="s">
        <v>2530</v>
      </c>
      <c r="H64" t="s">
        <v>2555</v>
      </c>
      <c r="I64" t="s">
        <v>2530</v>
      </c>
    </row>
    <row r="65" spans="1:9" x14ac:dyDescent="0.3">
      <c r="A65">
        <v>467</v>
      </c>
      <c r="B65" t="s">
        <v>1374</v>
      </c>
      <c r="C65" t="s">
        <v>2529</v>
      </c>
      <c r="D65" t="s">
        <v>1203</v>
      </c>
      <c r="E65" t="s">
        <v>1204</v>
      </c>
      <c r="F65">
        <v>5746</v>
      </c>
      <c r="G65" t="s">
        <v>2530</v>
      </c>
      <c r="H65" t="s">
        <v>2556</v>
      </c>
      <c r="I65" t="s">
        <v>2530</v>
      </c>
    </row>
    <row r="66" spans="1:9" x14ac:dyDescent="0.3">
      <c r="A66">
        <v>478</v>
      </c>
      <c r="B66" t="s">
        <v>1375</v>
      </c>
      <c r="C66" t="s">
        <v>2529</v>
      </c>
      <c r="D66" t="s">
        <v>159</v>
      </c>
      <c r="E66" t="s">
        <v>159</v>
      </c>
      <c r="F66">
        <v>6869</v>
      </c>
      <c r="G66" t="s">
        <v>2530</v>
      </c>
      <c r="H66" t="s">
        <v>2557</v>
      </c>
      <c r="I66" t="s">
        <v>2530</v>
      </c>
    </row>
    <row r="67" spans="1:9" x14ac:dyDescent="0.3">
      <c r="A67">
        <v>481</v>
      </c>
      <c r="B67" t="s">
        <v>1379</v>
      </c>
      <c r="C67" t="s">
        <v>2529</v>
      </c>
      <c r="D67" t="s">
        <v>1203</v>
      </c>
      <c r="E67" t="s">
        <v>1204</v>
      </c>
      <c r="F67">
        <v>5750</v>
      </c>
      <c r="G67" t="s">
        <v>2530</v>
      </c>
      <c r="H67" t="s">
        <v>2558</v>
      </c>
      <c r="I67" t="s">
        <v>2530</v>
      </c>
    </row>
    <row r="68" spans="1:9" x14ac:dyDescent="0.3">
      <c r="A68">
        <v>485</v>
      </c>
      <c r="B68" t="s">
        <v>1381</v>
      </c>
      <c r="C68" t="s">
        <v>2529</v>
      </c>
      <c r="D68" t="s">
        <v>1203</v>
      </c>
      <c r="E68" t="s">
        <v>1204</v>
      </c>
      <c r="F68">
        <v>6618</v>
      </c>
      <c r="G68" t="s">
        <v>2530</v>
      </c>
      <c r="H68" t="s">
        <v>2559</v>
      </c>
      <c r="I68" t="s">
        <v>2530</v>
      </c>
    </row>
    <row r="69" spans="1:9" x14ac:dyDescent="0.3">
      <c r="A69">
        <v>495</v>
      </c>
      <c r="B69" t="s">
        <v>1382</v>
      </c>
      <c r="C69" t="s">
        <v>2529</v>
      </c>
      <c r="D69" t="s">
        <v>1203</v>
      </c>
      <c r="E69" t="s">
        <v>1204</v>
      </c>
      <c r="F69">
        <v>5743</v>
      </c>
      <c r="G69" t="s">
        <v>2530</v>
      </c>
      <c r="H69" t="s">
        <v>2548</v>
      </c>
      <c r="I69" t="s">
        <v>2530</v>
      </c>
    </row>
    <row r="70" spans="1:9" x14ac:dyDescent="0.3">
      <c r="A70">
        <v>1050</v>
      </c>
      <c r="B70" t="s">
        <v>1385</v>
      </c>
      <c r="C70" t="s">
        <v>2529</v>
      </c>
      <c r="D70" t="s">
        <v>1203</v>
      </c>
      <c r="E70" t="s">
        <v>1204</v>
      </c>
      <c r="F70">
        <v>5766</v>
      </c>
      <c r="G70" t="s">
        <v>2530</v>
      </c>
      <c r="H70" t="s">
        <v>2548</v>
      </c>
      <c r="I70" t="s">
        <v>2530</v>
      </c>
    </row>
    <row r="71" spans="1:9" x14ac:dyDescent="0.3">
      <c r="A71">
        <v>522</v>
      </c>
      <c r="B71" t="s">
        <v>1387</v>
      </c>
      <c r="C71" t="s">
        <v>2529</v>
      </c>
      <c r="D71" t="s">
        <v>1203</v>
      </c>
      <c r="E71" t="s">
        <v>1204</v>
      </c>
      <c r="F71">
        <v>7829</v>
      </c>
      <c r="G71" t="s">
        <v>2530</v>
      </c>
      <c r="H71" t="s">
        <v>2560</v>
      </c>
      <c r="I71" t="s">
        <v>2530</v>
      </c>
    </row>
    <row r="72" spans="1:9" x14ac:dyDescent="0.3">
      <c r="A72">
        <v>524</v>
      </c>
      <c r="B72" t="s">
        <v>1388</v>
      </c>
      <c r="C72" t="s">
        <v>2529</v>
      </c>
      <c r="D72" t="s">
        <v>1203</v>
      </c>
      <c r="E72" t="s">
        <v>1204</v>
      </c>
      <c r="F72">
        <v>5553</v>
      </c>
      <c r="G72" t="s">
        <v>2530</v>
      </c>
      <c r="H72" t="s">
        <v>2533</v>
      </c>
      <c r="I72" t="s">
        <v>2530</v>
      </c>
    </row>
    <row r="73" spans="1:9" x14ac:dyDescent="0.3">
      <c r="A73">
        <v>545</v>
      </c>
      <c r="B73" t="s">
        <v>1390</v>
      </c>
      <c r="C73" t="s">
        <v>2529</v>
      </c>
      <c r="D73" t="s">
        <v>1203</v>
      </c>
      <c r="E73" t="s">
        <v>1204</v>
      </c>
      <c r="F73">
        <v>5532</v>
      </c>
      <c r="G73" t="s">
        <v>2530</v>
      </c>
      <c r="H73" t="s">
        <v>2533</v>
      </c>
      <c r="I73" t="s">
        <v>2530</v>
      </c>
    </row>
    <row r="74" spans="1:9" x14ac:dyDescent="0.3">
      <c r="A74">
        <v>547</v>
      </c>
      <c r="B74" t="s">
        <v>1391</v>
      </c>
      <c r="C74" t="s">
        <v>2529</v>
      </c>
      <c r="D74" t="s">
        <v>1203</v>
      </c>
      <c r="E74" t="s">
        <v>1204</v>
      </c>
      <c r="F74">
        <v>5677</v>
      </c>
      <c r="G74" t="s">
        <v>2537</v>
      </c>
      <c r="H74" t="s">
        <v>1204</v>
      </c>
      <c r="I74" t="s">
        <v>2530</v>
      </c>
    </row>
    <row r="75" spans="1:9" x14ac:dyDescent="0.3">
      <c r="A75">
        <v>2979</v>
      </c>
      <c r="B75" t="s">
        <v>1396</v>
      </c>
      <c r="C75" t="s">
        <v>2529</v>
      </c>
      <c r="D75" t="s">
        <v>1203</v>
      </c>
      <c r="E75" t="s">
        <v>1204</v>
      </c>
      <c r="F75">
        <v>6904</v>
      </c>
      <c r="G75" t="s">
        <v>2537</v>
      </c>
      <c r="H75" t="s">
        <v>2460</v>
      </c>
      <c r="I75" t="s">
        <v>2530</v>
      </c>
    </row>
    <row r="76" spans="1:9" x14ac:dyDescent="0.3">
      <c r="A76">
        <v>561</v>
      </c>
      <c r="B76" t="s">
        <v>1397</v>
      </c>
      <c r="C76" t="s">
        <v>2529</v>
      </c>
      <c r="D76" t="s">
        <v>159</v>
      </c>
      <c r="E76" t="s">
        <v>159</v>
      </c>
      <c r="F76">
        <v>7857</v>
      </c>
      <c r="G76" t="s">
        <v>2537</v>
      </c>
      <c r="H76" t="s">
        <v>2460</v>
      </c>
      <c r="I76" t="s">
        <v>2530</v>
      </c>
    </row>
    <row r="77" spans="1:9" x14ac:dyDescent="0.3">
      <c r="A77">
        <v>572</v>
      </c>
      <c r="B77" t="s">
        <v>1399</v>
      </c>
      <c r="C77" t="s">
        <v>2529</v>
      </c>
      <c r="D77" t="s">
        <v>159</v>
      </c>
      <c r="E77" t="s">
        <v>159</v>
      </c>
      <c r="F77">
        <v>7827</v>
      </c>
      <c r="G77" t="s">
        <v>2530</v>
      </c>
      <c r="H77" t="s">
        <v>2561</v>
      </c>
      <c r="I77" t="s">
        <v>2530</v>
      </c>
    </row>
    <row r="78" spans="1:9" x14ac:dyDescent="0.3">
      <c r="A78">
        <v>574</v>
      </c>
      <c r="B78" t="s">
        <v>1401</v>
      </c>
      <c r="C78" t="s">
        <v>2529</v>
      </c>
      <c r="D78" t="s">
        <v>1203</v>
      </c>
      <c r="E78" t="s">
        <v>1204</v>
      </c>
      <c r="F78">
        <v>5930</v>
      </c>
      <c r="G78" t="s">
        <v>2530</v>
      </c>
      <c r="H78" t="s">
        <v>2561</v>
      </c>
      <c r="I78" t="s">
        <v>2530</v>
      </c>
    </row>
    <row r="79" spans="1:9" x14ac:dyDescent="0.3">
      <c r="A79">
        <v>575</v>
      </c>
      <c r="B79" t="s">
        <v>1403</v>
      </c>
      <c r="C79" t="s">
        <v>2529</v>
      </c>
      <c r="D79" t="s">
        <v>1203</v>
      </c>
      <c r="E79" t="s">
        <v>1204</v>
      </c>
      <c r="F79">
        <v>5460</v>
      </c>
      <c r="G79" t="s">
        <v>2530</v>
      </c>
      <c r="H79" t="s">
        <v>2562</v>
      </c>
      <c r="I79" t="s">
        <v>2530</v>
      </c>
    </row>
    <row r="80" spans="1:9" x14ac:dyDescent="0.3">
      <c r="A80">
        <v>577</v>
      </c>
      <c r="B80" t="s">
        <v>821</v>
      </c>
      <c r="C80" t="s">
        <v>2529</v>
      </c>
      <c r="D80" t="s">
        <v>1203</v>
      </c>
      <c r="E80" t="s">
        <v>1204</v>
      </c>
      <c r="F80">
        <v>7785</v>
      </c>
      <c r="G80" t="s">
        <v>2530</v>
      </c>
      <c r="H80" t="s">
        <v>2563</v>
      </c>
      <c r="I80" t="s">
        <v>2530</v>
      </c>
    </row>
    <row r="81" spans="1:9" x14ac:dyDescent="0.3">
      <c r="A81">
        <v>578</v>
      </c>
      <c r="B81" t="s">
        <v>896</v>
      </c>
      <c r="C81" t="s">
        <v>2529</v>
      </c>
      <c r="D81" t="s">
        <v>1203</v>
      </c>
      <c r="E81" t="s">
        <v>1204</v>
      </c>
      <c r="F81">
        <v>7652</v>
      </c>
      <c r="G81" t="s">
        <v>2530</v>
      </c>
      <c r="H81" t="s">
        <v>2564</v>
      </c>
      <c r="I81" t="s">
        <v>2530</v>
      </c>
    </row>
    <row r="82" spans="1:9" x14ac:dyDescent="0.3">
      <c r="A82">
        <v>583</v>
      </c>
      <c r="B82" t="s">
        <v>1406</v>
      </c>
      <c r="C82" t="s">
        <v>2529</v>
      </c>
      <c r="D82" t="s">
        <v>159</v>
      </c>
      <c r="E82" t="s">
        <v>159</v>
      </c>
      <c r="F82">
        <v>7159</v>
      </c>
      <c r="G82" t="s">
        <v>2530</v>
      </c>
      <c r="H82" t="s">
        <v>2535</v>
      </c>
      <c r="I82" t="s">
        <v>2530</v>
      </c>
    </row>
    <row r="83" spans="1:9" x14ac:dyDescent="0.3">
      <c r="A83">
        <v>596</v>
      </c>
      <c r="B83" t="s">
        <v>1413</v>
      </c>
      <c r="C83" t="s">
        <v>2529</v>
      </c>
      <c r="D83" t="s">
        <v>1203</v>
      </c>
      <c r="E83" t="s">
        <v>1204</v>
      </c>
      <c r="F83">
        <v>5734</v>
      </c>
      <c r="G83" t="s">
        <v>2537</v>
      </c>
      <c r="H83" t="s">
        <v>2460</v>
      </c>
      <c r="I83" t="s">
        <v>2530</v>
      </c>
    </row>
    <row r="84" spans="1:9" x14ac:dyDescent="0.3">
      <c r="A84">
        <v>613</v>
      </c>
      <c r="B84" t="s">
        <v>804</v>
      </c>
      <c r="C84" t="s">
        <v>2529</v>
      </c>
      <c r="D84" t="s">
        <v>1203</v>
      </c>
      <c r="E84" t="s">
        <v>1204</v>
      </c>
      <c r="F84">
        <v>5673</v>
      </c>
      <c r="G84" t="s">
        <v>2530</v>
      </c>
      <c r="H84" t="s">
        <v>2565</v>
      </c>
      <c r="I84" t="s">
        <v>2530</v>
      </c>
    </row>
    <row r="85" spans="1:9" x14ac:dyDescent="0.3">
      <c r="A85">
        <v>624</v>
      </c>
      <c r="B85" t="s">
        <v>1425</v>
      </c>
      <c r="C85" t="s">
        <v>2529</v>
      </c>
      <c r="D85" t="s">
        <v>1203</v>
      </c>
      <c r="E85" t="s">
        <v>1204</v>
      </c>
      <c r="F85">
        <v>5690</v>
      </c>
      <c r="G85" t="s">
        <v>2530</v>
      </c>
      <c r="H85" t="s">
        <v>2566</v>
      </c>
      <c r="I85" t="s">
        <v>2530</v>
      </c>
    </row>
    <row r="86" spans="1:9" x14ac:dyDescent="0.3">
      <c r="A86">
        <v>644</v>
      </c>
      <c r="B86" t="s">
        <v>1434</v>
      </c>
      <c r="C86" t="s">
        <v>2529</v>
      </c>
      <c r="D86" t="s">
        <v>159</v>
      </c>
      <c r="E86" t="s">
        <v>159</v>
      </c>
      <c r="F86">
        <v>5450</v>
      </c>
      <c r="G86" t="s">
        <v>2530</v>
      </c>
      <c r="H86" t="s">
        <v>2533</v>
      </c>
      <c r="I86" t="s">
        <v>2530</v>
      </c>
    </row>
    <row r="87" spans="1:9" x14ac:dyDescent="0.3">
      <c r="A87">
        <v>649</v>
      </c>
      <c r="B87" t="s">
        <v>1436</v>
      </c>
      <c r="C87" t="s">
        <v>2529</v>
      </c>
      <c r="D87" t="s">
        <v>159</v>
      </c>
      <c r="E87" t="s">
        <v>159</v>
      </c>
      <c r="F87">
        <v>5683</v>
      </c>
      <c r="G87" t="s">
        <v>2537</v>
      </c>
      <c r="H87" t="s">
        <v>2460</v>
      </c>
      <c r="I87" t="s">
        <v>2530</v>
      </c>
    </row>
    <row r="88" spans="1:9" x14ac:dyDescent="0.3">
      <c r="A88">
        <v>651</v>
      </c>
      <c r="B88" t="s">
        <v>1437</v>
      </c>
      <c r="C88" t="s">
        <v>2529</v>
      </c>
      <c r="D88" t="s">
        <v>1203</v>
      </c>
      <c r="E88" t="s">
        <v>1204</v>
      </c>
      <c r="F88">
        <v>5729</v>
      </c>
      <c r="G88" t="s">
        <v>2537</v>
      </c>
      <c r="H88" t="s">
        <v>2460</v>
      </c>
      <c r="I88" t="s">
        <v>2530</v>
      </c>
    </row>
    <row r="89" spans="1:9" x14ac:dyDescent="0.3">
      <c r="A89">
        <v>654</v>
      </c>
      <c r="B89" t="s">
        <v>1439</v>
      </c>
      <c r="C89" t="s">
        <v>2529</v>
      </c>
      <c r="D89" t="s">
        <v>159</v>
      </c>
      <c r="E89" t="s">
        <v>159</v>
      </c>
      <c r="F89">
        <v>7861</v>
      </c>
      <c r="G89" t="s">
        <v>2537</v>
      </c>
      <c r="H89" t="s">
        <v>2460</v>
      </c>
      <c r="I89" t="s">
        <v>2530</v>
      </c>
    </row>
    <row r="90" spans="1:9" x14ac:dyDescent="0.3">
      <c r="A90">
        <v>664</v>
      </c>
      <c r="B90" t="s">
        <v>1441</v>
      </c>
      <c r="C90" t="s">
        <v>2529</v>
      </c>
      <c r="D90" t="s">
        <v>1203</v>
      </c>
      <c r="E90" t="s">
        <v>1204</v>
      </c>
      <c r="F90">
        <v>5463</v>
      </c>
      <c r="G90" t="s">
        <v>2530</v>
      </c>
      <c r="H90" t="s">
        <v>2533</v>
      </c>
      <c r="I90" t="s">
        <v>2530</v>
      </c>
    </row>
    <row r="91" spans="1:9" x14ac:dyDescent="0.3">
      <c r="A91">
        <v>673</v>
      </c>
      <c r="B91" t="s">
        <v>1442</v>
      </c>
      <c r="C91" t="s">
        <v>2529</v>
      </c>
      <c r="D91" t="s">
        <v>159</v>
      </c>
      <c r="E91" t="s">
        <v>159</v>
      </c>
      <c r="F91">
        <v>7793</v>
      </c>
      <c r="G91" t="s">
        <v>2530</v>
      </c>
      <c r="H91" t="s">
        <v>2567</v>
      </c>
      <c r="I91" t="s">
        <v>2530</v>
      </c>
    </row>
    <row r="92" spans="1:9" x14ac:dyDescent="0.3">
      <c r="A92">
        <v>678</v>
      </c>
      <c r="B92" t="s">
        <v>1445</v>
      </c>
      <c r="C92" t="s">
        <v>2529</v>
      </c>
      <c r="D92" t="s">
        <v>159</v>
      </c>
      <c r="E92" t="s">
        <v>159</v>
      </c>
      <c r="F92">
        <v>7334</v>
      </c>
      <c r="G92" t="s">
        <v>2530</v>
      </c>
      <c r="H92" t="s">
        <v>2568</v>
      </c>
      <c r="I92" t="s">
        <v>2530</v>
      </c>
    </row>
    <row r="93" spans="1:9" x14ac:dyDescent="0.3">
      <c r="A93">
        <v>699</v>
      </c>
      <c r="B93" t="s">
        <v>1449</v>
      </c>
      <c r="C93" t="s">
        <v>2529</v>
      </c>
      <c r="D93" t="s">
        <v>159</v>
      </c>
      <c r="E93" t="s">
        <v>159</v>
      </c>
      <c r="F93">
        <v>6729</v>
      </c>
      <c r="G93" t="s">
        <v>2537</v>
      </c>
      <c r="H93" t="s">
        <v>2460</v>
      </c>
      <c r="I93" t="s">
        <v>2530</v>
      </c>
    </row>
    <row r="94" spans="1:9" x14ac:dyDescent="0.3">
      <c r="A94">
        <v>711</v>
      </c>
      <c r="B94" t="s">
        <v>1453</v>
      </c>
      <c r="C94" t="s">
        <v>2529</v>
      </c>
      <c r="D94" t="s">
        <v>1203</v>
      </c>
      <c r="E94" t="s">
        <v>1204</v>
      </c>
      <c r="F94">
        <v>5970</v>
      </c>
      <c r="G94" t="s">
        <v>2537</v>
      </c>
      <c r="H94" t="s">
        <v>2460</v>
      </c>
      <c r="I94" t="s">
        <v>2530</v>
      </c>
    </row>
    <row r="95" spans="1:9" x14ac:dyDescent="0.3">
      <c r="A95">
        <v>727</v>
      </c>
      <c r="B95" t="s">
        <v>825</v>
      </c>
      <c r="C95" t="s">
        <v>2529</v>
      </c>
      <c r="D95" t="s">
        <v>1203</v>
      </c>
      <c r="E95" t="s">
        <v>1204</v>
      </c>
      <c r="F95">
        <v>5697</v>
      </c>
      <c r="G95" t="s">
        <v>2530</v>
      </c>
      <c r="H95" t="s">
        <v>2569</v>
      </c>
      <c r="I95" t="s">
        <v>2530</v>
      </c>
    </row>
    <row r="96" spans="1:9" x14ac:dyDescent="0.3">
      <c r="A96">
        <v>731</v>
      </c>
      <c r="B96" t="s">
        <v>1458</v>
      </c>
      <c r="C96" t="s">
        <v>2529</v>
      </c>
      <c r="D96" t="s">
        <v>1203</v>
      </c>
      <c r="E96" t="s">
        <v>1204</v>
      </c>
      <c r="F96">
        <v>5481</v>
      </c>
      <c r="G96" t="s">
        <v>2537</v>
      </c>
      <c r="H96" t="s">
        <v>2460</v>
      </c>
      <c r="I96" t="s">
        <v>2530</v>
      </c>
    </row>
    <row r="97" spans="1:9" x14ac:dyDescent="0.3">
      <c r="A97">
        <v>737</v>
      </c>
      <c r="B97" t="s">
        <v>1460</v>
      </c>
      <c r="C97" t="s">
        <v>2529</v>
      </c>
      <c r="D97" t="s">
        <v>1203</v>
      </c>
      <c r="E97" t="s">
        <v>1204</v>
      </c>
      <c r="F97">
        <v>7336</v>
      </c>
      <c r="G97" t="s">
        <v>2537</v>
      </c>
      <c r="H97" t="s">
        <v>2460</v>
      </c>
      <c r="I97" t="s">
        <v>2530</v>
      </c>
    </row>
    <row r="98" spans="1:9" x14ac:dyDescent="0.3">
      <c r="A98">
        <v>739</v>
      </c>
      <c r="B98" t="s">
        <v>1463</v>
      </c>
      <c r="C98" t="s">
        <v>2529</v>
      </c>
      <c r="D98" t="s">
        <v>159</v>
      </c>
      <c r="E98" t="s">
        <v>159</v>
      </c>
      <c r="F98">
        <v>7839</v>
      </c>
      <c r="G98" t="s">
        <v>2530</v>
      </c>
      <c r="H98" t="s">
        <v>2570</v>
      </c>
      <c r="I98" t="s">
        <v>2530</v>
      </c>
    </row>
    <row r="99" spans="1:9" x14ac:dyDescent="0.3">
      <c r="A99">
        <v>759</v>
      </c>
      <c r="B99" t="s">
        <v>1467</v>
      </c>
      <c r="C99" t="s">
        <v>2529</v>
      </c>
      <c r="D99" t="s">
        <v>159</v>
      </c>
      <c r="E99" t="s">
        <v>159</v>
      </c>
      <c r="F99">
        <v>7834</v>
      </c>
      <c r="G99" t="s">
        <v>2537</v>
      </c>
      <c r="H99" t="s">
        <v>2460</v>
      </c>
      <c r="I99" t="s">
        <v>2530</v>
      </c>
    </row>
    <row r="100" spans="1:9" x14ac:dyDescent="0.3">
      <c r="A100">
        <v>775</v>
      </c>
      <c r="B100" t="s">
        <v>924</v>
      </c>
      <c r="C100" t="s">
        <v>2529</v>
      </c>
      <c r="D100" t="s">
        <v>1203</v>
      </c>
      <c r="E100" t="s">
        <v>1204</v>
      </c>
      <c r="F100">
        <v>5478</v>
      </c>
      <c r="G100" t="s">
        <v>2530</v>
      </c>
      <c r="H100" t="s">
        <v>2571</v>
      </c>
      <c r="I100" t="s">
        <v>2530</v>
      </c>
    </row>
    <row r="101" spans="1:9" x14ac:dyDescent="0.3">
      <c r="A101">
        <v>784</v>
      </c>
      <c r="B101" t="s">
        <v>1475</v>
      </c>
      <c r="C101" t="s">
        <v>2529</v>
      </c>
      <c r="D101" t="s">
        <v>159</v>
      </c>
      <c r="E101" t="s">
        <v>159</v>
      </c>
      <c r="F101">
        <v>5767</v>
      </c>
      <c r="G101" t="s">
        <v>2537</v>
      </c>
      <c r="H101" t="s">
        <v>2460</v>
      </c>
      <c r="I101" t="s">
        <v>2530</v>
      </c>
    </row>
    <row r="102" spans="1:9" x14ac:dyDescent="0.3">
      <c r="A102">
        <v>785</v>
      </c>
      <c r="B102" t="s">
        <v>1476</v>
      </c>
      <c r="C102" t="s">
        <v>2529</v>
      </c>
      <c r="D102" t="s">
        <v>1203</v>
      </c>
      <c r="E102" t="s">
        <v>1204</v>
      </c>
      <c r="F102">
        <v>5655</v>
      </c>
      <c r="G102" t="s">
        <v>2530</v>
      </c>
      <c r="H102" t="s">
        <v>2545</v>
      </c>
      <c r="I102" t="s">
        <v>2530</v>
      </c>
    </row>
    <row r="103" spans="1:9" x14ac:dyDescent="0.3">
      <c r="A103">
        <v>787</v>
      </c>
      <c r="B103" t="s">
        <v>1478</v>
      </c>
      <c r="C103" t="s">
        <v>2529</v>
      </c>
      <c r="D103" t="s">
        <v>1203</v>
      </c>
      <c r="E103" t="s">
        <v>1204</v>
      </c>
      <c r="F103">
        <v>5718</v>
      </c>
      <c r="G103" t="s">
        <v>2530</v>
      </c>
      <c r="H103" t="s">
        <v>2572</v>
      </c>
      <c r="I103" t="s">
        <v>2530</v>
      </c>
    </row>
    <row r="104" spans="1:9" x14ac:dyDescent="0.3">
      <c r="A104">
        <v>793</v>
      </c>
      <c r="B104" t="s">
        <v>1479</v>
      </c>
      <c r="C104" t="s">
        <v>2529</v>
      </c>
      <c r="D104" t="s">
        <v>1203</v>
      </c>
      <c r="E104" t="s">
        <v>1204</v>
      </c>
      <c r="F104">
        <v>5477</v>
      </c>
      <c r="G104" t="s">
        <v>2537</v>
      </c>
      <c r="H104" t="s">
        <v>2460</v>
      </c>
      <c r="I104" t="s">
        <v>2530</v>
      </c>
    </row>
    <row r="105" spans="1:9" x14ac:dyDescent="0.3">
      <c r="A105">
        <v>794</v>
      </c>
      <c r="B105" t="s">
        <v>1483</v>
      </c>
      <c r="C105" t="s">
        <v>2529</v>
      </c>
      <c r="D105" t="s">
        <v>159</v>
      </c>
      <c r="E105" t="s">
        <v>159</v>
      </c>
      <c r="F105">
        <v>6888</v>
      </c>
      <c r="G105" t="s">
        <v>2530</v>
      </c>
      <c r="H105" t="s">
        <v>2573</v>
      </c>
      <c r="I105" t="s">
        <v>2530</v>
      </c>
    </row>
    <row r="106" spans="1:9" x14ac:dyDescent="0.3">
      <c r="A106">
        <v>814</v>
      </c>
      <c r="B106" t="s">
        <v>1485</v>
      </c>
      <c r="C106" t="s">
        <v>2529</v>
      </c>
      <c r="D106" t="s">
        <v>1203</v>
      </c>
      <c r="E106" t="s">
        <v>1204</v>
      </c>
      <c r="F106">
        <v>5446</v>
      </c>
      <c r="G106" t="s">
        <v>2530</v>
      </c>
      <c r="H106" t="s">
        <v>2574</v>
      </c>
      <c r="I106" t="s">
        <v>2530</v>
      </c>
    </row>
    <row r="107" spans="1:9" x14ac:dyDescent="0.3">
      <c r="A107">
        <v>816</v>
      </c>
      <c r="B107" t="s">
        <v>765</v>
      </c>
      <c r="C107" t="s">
        <v>2529</v>
      </c>
      <c r="D107" t="s">
        <v>1203</v>
      </c>
      <c r="E107" t="s">
        <v>1204</v>
      </c>
      <c r="F107">
        <v>5604</v>
      </c>
      <c r="G107" t="s">
        <v>2530</v>
      </c>
      <c r="H107" t="s">
        <v>2558</v>
      </c>
      <c r="I107" t="s">
        <v>2530</v>
      </c>
    </row>
    <row r="108" spans="1:9" x14ac:dyDescent="0.3">
      <c r="A108">
        <v>827</v>
      </c>
      <c r="B108" t="s">
        <v>1488</v>
      </c>
      <c r="C108" t="s">
        <v>2529</v>
      </c>
      <c r="D108" t="s">
        <v>1203</v>
      </c>
      <c r="E108" t="s">
        <v>1204</v>
      </c>
      <c r="F108">
        <v>5921</v>
      </c>
      <c r="G108" t="s">
        <v>2537</v>
      </c>
      <c r="H108" t="s">
        <v>2460</v>
      </c>
      <c r="I108" t="s">
        <v>2530</v>
      </c>
    </row>
    <row r="109" spans="1:9" x14ac:dyDescent="0.3">
      <c r="A109">
        <v>830</v>
      </c>
      <c r="B109" t="s">
        <v>1491</v>
      </c>
      <c r="C109" t="s">
        <v>2529</v>
      </c>
      <c r="D109" t="s">
        <v>159</v>
      </c>
      <c r="E109" t="s">
        <v>159</v>
      </c>
      <c r="F109">
        <v>5566</v>
      </c>
      <c r="G109" t="s">
        <v>2530</v>
      </c>
      <c r="H109" t="s">
        <v>2545</v>
      </c>
      <c r="I109" t="s">
        <v>2530</v>
      </c>
    </row>
    <row r="110" spans="1:9" x14ac:dyDescent="0.3">
      <c r="A110">
        <v>835</v>
      </c>
      <c r="B110" t="s">
        <v>1493</v>
      </c>
      <c r="C110" t="s">
        <v>2529</v>
      </c>
      <c r="D110" t="s">
        <v>1203</v>
      </c>
      <c r="E110" t="s">
        <v>1204</v>
      </c>
      <c r="F110">
        <v>5610</v>
      </c>
      <c r="G110" t="s">
        <v>2530</v>
      </c>
      <c r="H110" t="s">
        <v>2575</v>
      </c>
      <c r="I110" t="s">
        <v>2530</v>
      </c>
    </row>
    <row r="111" spans="1:9" x14ac:dyDescent="0.3">
      <c r="A111">
        <v>842</v>
      </c>
      <c r="B111" t="s">
        <v>1495</v>
      </c>
      <c r="C111" t="s">
        <v>2529</v>
      </c>
      <c r="D111" t="s">
        <v>159</v>
      </c>
      <c r="E111" t="s">
        <v>159</v>
      </c>
      <c r="F111">
        <v>6760</v>
      </c>
      <c r="G111" t="s">
        <v>2537</v>
      </c>
      <c r="H111" t="s">
        <v>2460</v>
      </c>
      <c r="I111" t="s">
        <v>2530</v>
      </c>
    </row>
    <row r="112" spans="1:9" x14ac:dyDescent="0.3">
      <c r="A112">
        <v>851</v>
      </c>
      <c r="B112" t="s">
        <v>1501</v>
      </c>
      <c r="C112" t="s">
        <v>2529</v>
      </c>
      <c r="D112" t="s">
        <v>1203</v>
      </c>
      <c r="E112" t="s">
        <v>1204</v>
      </c>
      <c r="F112">
        <v>5582</v>
      </c>
      <c r="G112" t="s">
        <v>2537</v>
      </c>
      <c r="H112" t="s">
        <v>2460</v>
      </c>
      <c r="I112" t="s">
        <v>2530</v>
      </c>
    </row>
    <row r="113" spans="1:9" x14ac:dyDescent="0.3">
      <c r="A113">
        <v>856</v>
      </c>
      <c r="B113" t="s">
        <v>1505</v>
      </c>
      <c r="C113" t="s">
        <v>2529</v>
      </c>
      <c r="D113" t="s">
        <v>1203</v>
      </c>
      <c r="E113" t="s">
        <v>1204</v>
      </c>
      <c r="F113">
        <v>5561</v>
      </c>
      <c r="G113" t="s">
        <v>2530</v>
      </c>
      <c r="H113" t="s">
        <v>2576</v>
      </c>
      <c r="I113" t="s">
        <v>2530</v>
      </c>
    </row>
    <row r="114" spans="1:9" x14ac:dyDescent="0.3">
      <c r="A114">
        <v>859</v>
      </c>
      <c r="B114" t="s">
        <v>1507</v>
      </c>
      <c r="C114" t="s">
        <v>2529</v>
      </c>
      <c r="D114" t="s">
        <v>1203</v>
      </c>
      <c r="E114" t="s">
        <v>1204</v>
      </c>
      <c r="F114">
        <v>5694</v>
      </c>
      <c r="G114" t="s">
        <v>2537</v>
      </c>
      <c r="H114" t="s">
        <v>2460</v>
      </c>
      <c r="I114" t="s">
        <v>2530</v>
      </c>
    </row>
    <row r="115" spans="1:9" x14ac:dyDescent="0.3">
      <c r="A115">
        <v>866</v>
      </c>
      <c r="B115" t="s">
        <v>1510</v>
      </c>
      <c r="C115" t="s">
        <v>2529</v>
      </c>
      <c r="D115" t="s">
        <v>1203</v>
      </c>
      <c r="E115" t="s">
        <v>1204</v>
      </c>
      <c r="F115">
        <v>5963</v>
      </c>
      <c r="G115" t="s">
        <v>2537</v>
      </c>
      <c r="H115" t="s">
        <v>2550</v>
      </c>
      <c r="I115" t="s">
        <v>2530</v>
      </c>
    </row>
    <row r="116" spans="1:9" x14ac:dyDescent="0.3">
      <c r="A116">
        <v>867</v>
      </c>
      <c r="B116" t="s">
        <v>1513</v>
      </c>
      <c r="C116" t="s">
        <v>2529</v>
      </c>
      <c r="D116" t="s">
        <v>1203</v>
      </c>
      <c r="E116" t="s">
        <v>1204</v>
      </c>
      <c r="F116">
        <v>5770</v>
      </c>
      <c r="G116" t="s">
        <v>2530</v>
      </c>
      <c r="H116" t="s">
        <v>2577</v>
      </c>
      <c r="I116" t="s">
        <v>2530</v>
      </c>
    </row>
    <row r="117" spans="1:9" x14ac:dyDescent="0.3">
      <c r="A117">
        <v>873</v>
      </c>
      <c r="B117" t="s">
        <v>1516</v>
      </c>
      <c r="C117" t="s">
        <v>2529</v>
      </c>
      <c r="D117" t="s">
        <v>159</v>
      </c>
      <c r="E117" t="s">
        <v>159</v>
      </c>
      <c r="F117">
        <v>6762</v>
      </c>
      <c r="G117" t="s">
        <v>2530</v>
      </c>
      <c r="H117" t="s">
        <v>2578</v>
      </c>
      <c r="I117" t="s">
        <v>2530</v>
      </c>
    </row>
    <row r="118" spans="1:9" x14ac:dyDescent="0.3">
      <c r="A118">
        <v>904</v>
      </c>
      <c r="B118" t="s">
        <v>862</v>
      </c>
      <c r="C118" t="s">
        <v>2529</v>
      </c>
      <c r="D118" t="s">
        <v>1203</v>
      </c>
      <c r="E118" t="s">
        <v>1204</v>
      </c>
      <c r="F118">
        <v>5650</v>
      </c>
      <c r="G118" t="s">
        <v>2530</v>
      </c>
      <c r="H118" t="s">
        <v>2554</v>
      </c>
      <c r="I118" t="s">
        <v>2530</v>
      </c>
    </row>
    <row r="119" spans="1:9" x14ac:dyDescent="0.3">
      <c r="A119">
        <v>920</v>
      </c>
      <c r="B119" t="s">
        <v>1519</v>
      </c>
      <c r="C119" t="s">
        <v>2529</v>
      </c>
      <c r="D119" t="s">
        <v>1203</v>
      </c>
      <c r="E119" t="s">
        <v>1204</v>
      </c>
      <c r="F119">
        <v>5702</v>
      </c>
      <c r="G119" t="s">
        <v>2537</v>
      </c>
      <c r="H119" t="s">
        <v>2460</v>
      </c>
      <c r="I119" t="s">
        <v>2530</v>
      </c>
    </row>
    <row r="120" spans="1:9" x14ac:dyDescent="0.3">
      <c r="A120">
        <v>924</v>
      </c>
      <c r="B120" t="s">
        <v>1523</v>
      </c>
      <c r="C120" t="s">
        <v>2529</v>
      </c>
      <c r="D120" t="s">
        <v>159</v>
      </c>
      <c r="E120" t="s">
        <v>159</v>
      </c>
      <c r="F120">
        <v>7854</v>
      </c>
      <c r="G120" t="s">
        <v>2530</v>
      </c>
      <c r="H120" t="s">
        <v>2545</v>
      </c>
      <c r="I120" t="s">
        <v>2530</v>
      </c>
    </row>
    <row r="121" spans="1:9" x14ac:dyDescent="0.3">
      <c r="A121">
        <v>934</v>
      </c>
      <c r="B121" t="s">
        <v>899</v>
      </c>
      <c r="C121" t="s">
        <v>2529</v>
      </c>
      <c r="D121" t="s">
        <v>159</v>
      </c>
      <c r="E121" t="s">
        <v>159</v>
      </c>
      <c r="F121">
        <v>7328</v>
      </c>
      <c r="G121" t="s">
        <v>2530</v>
      </c>
      <c r="H121" t="s">
        <v>2579</v>
      </c>
      <c r="I121" t="s">
        <v>2530</v>
      </c>
    </row>
    <row r="122" spans="1:9" x14ac:dyDescent="0.3">
      <c r="A122">
        <v>967</v>
      </c>
      <c r="B122" t="s">
        <v>1528</v>
      </c>
      <c r="C122" t="s">
        <v>2529</v>
      </c>
      <c r="D122" t="s">
        <v>1203</v>
      </c>
      <c r="E122" t="s">
        <v>1204</v>
      </c>
      <c r="F122">
        <v>5550</v>
      </c>
      <c r="G122" t="s">
        <v>2530</v>
      </c>
      <c r="H122" t="s">
        <v>2545</v>
      </c>
      <c r="I122" t="s">
        <v>2530</v>
      </c>
    </row>
    <row r="123" spans="1:9" x14ac:dyDescent="0.3">
      <c r="A123">
        <v>972</v>
      </c>
      <c r="B123" t="s">
        <v>1529</v>
      </c>
      <c r="C123" t="s">
        <v>2529</v>
      </c>
      <c r="D123" t="s">
        <v>1203</v>
      </c>
      <c r="E123" t="s">
        <v>1204</v>
      </c>
      <c r="F123">
        <v>5640</v>
      </c>
      <c r="G123" t="s">
        <v>2537</v>
      </c>
      <c r="H123" t="s">
        <v>2460</v>
      </c>
      <c r="I123" t="s">
        <v>2530</v>
      </c>
    </row>
    <row r="124" spans="1:9" x14ac:dyDescent="0.3">
      <c r="A124">
        <v>977</v>
      </c>
      <c r="B124" t="s">
        <v>1531</v>
      </c>
      <c r="C124" t="s">
        <v>2529</v>
      </c>
      <c r="D124" t="s">
        <v>1203</v>
      </c>
      <c r="E124" t="s">
        <v>1204</v>
      </c>
      <c r="F124">
        <v>5521</v>
      </c>
      <c r="G124" t="s">
        <v>2530</v>
      </c>
      <c r="H124" t="s">
        <v>2545</v>
      </c>
      <c r="I124" t="s">
        <v>2530</v>
      </c>
    </row>
    <row r="125" spans="1:9" x14ac:dyDescent="0.3">
      <c r="A125">
        <v>990</v>
      </c>
      <c r="B125" t="s">
        <v>1537</v>
      </c>
      <c r="C125" t="s">
        <v>2529</v>
      </c>
      <c r="D125" t="s">
        <v>1203</v>
      </c>
      <c r="E125" t="s">
        <v>1204</v>
      </c>
      <c r="F125">
        <v>5687</v>
      </c>
      <c r="G125" t="s">
        <v>2530</v>
      </c>
      <c r="H125" t="s">
        <v>2580</v>
      </c>
      <c r="I125" t="s">
        <v>2530</v>
      </c>
    </row>
    <row r="126" spans="1:9" x14ac:dyDescent="0.3">
      <c r="A126">
        <v>995</v>
      </c>
      <c r="B126" t="s">
        <v>1540</v>
      </c>
      <c r="C126" t="s">
        <v>2529</v>
      </c>
      <c r="D126" t="s">
        <v>1203</v>
      </c>
      <c r="E126" t="s">
        <v>1204</v>
      </c>
      <c r="F126">
        <v>6827</v>
      </c>
      <c r="G126" t="s">
        <v>2530</v>
      </c>
      <c r="H126" t="s">
        <v>2539</v>
      </c>
      <c r="I126" t="s">
        <v>2530</v>
      </c>
    </row>
    <row r="127" spans="1:9" x14ac:dyDescent="0.3">
      <c r="A127">
        <v>1004</v>
      </c>
      <c r="B127" t="s">
        <v>1541</v>
      </c>
      <c r="C127" t="s">
        <v>2529</v>
      </c>
      <c r="D127" t="s">
        <v>1203</v>
      </c>
      <c r="E127" t="s">
        <v>1204</v>
      </c>
      <c r="F127">
        <v>5904</v>
      </c>
      <c r="G127" t="s">
        <v>2537</v>
      </c>
      <c r="H127" t="s">
        <v>2460</v>
      </c>
      <c r="I127" t="s">
        <v>2537</v>
      </c>
    </row>
    <row r="128" spans="1:9" x14ac:dyDescent="0.3">
      <c r="A128">
        <v>1005</v>
      </c>
      <c r="B128" t="s">
        <v>1542</v>
      </c>
      <c r="C128" t="s">
        <v>2529</v>
      </c>
      <c r="D128" t="s">
        <v>1203</v>
      </c>
      <c r="E128" t="s">
        <v>1204</v>
      </c>
      <c r="F128">
        <v>5451</v>
      </c>
      <c r="G128" t="s">
        <v>2530</v>
      </c>
      <c r="H128" t="s">
        <v>2533</v>
      </c>
      <c r="I128" t="s">
        <v>2530</v>
      </c>
    </row>
    <row r="129" spans="1:9" x14ac:dyDescent="0.3">
      <c r="A129">
        <v>1029</v>
      </c>
      <c r="B129" t="s">
        <v>1543</v>
      </c>
      <c r="C129" t="s">
        <v>2529</v>
      </c>
      <c r="D129" t="s">
        <v>1203</v>
      </c>
      <c r="E129" t="s">
        <v>1204</v>
      </c>
      <c r="F129">
        <v>5875</v>
      </c>
      <c r="G129" t="s">
        <v>2530</v>
      </c>
      <c r="H129" t="s">
        <v>2561</v>
      </c>
      <c r="I129" t="s">
        <v>2530</v>
      </c>
    </row>
    <row r="130" spans="1:9" x14ac:dyDescent="0.3">
      <c r="A130">
        <v>1030</v>
      </c>
      <c r="B130" t="s">
        <v>1544</v>
      </c>
      <c r="C130" t="s">
        <v>2529</v>
      </c>
      <c r="D130" t="s">
        <v>1203</v>
      </c>
      <c r="E130" t="s">
        <v>1204</v>
      </c>
      <c r="F130">
        <v>5887</v>
      </c>
      <c r="G130" t="s">
        <v>2530</v>
      </c>
      <c r="H130" t="s">
        <v>2561</v>
      </c>
      <c r="I130" t="s">
        <v>2530</v>
      </c>
    </row>
    <row r="131" spans="1:9" x14ac:dyDescent="0.3">
      <c r="A131">
        <v>1031</v>
      </c>
      <c r="B131" t="s">
        <v>1545</v>
      </c>
      <c r="C131" t="s">
        <v>2529</v>
      </c>
      <c r="D131" t="s">
        <v>1203</v>
      </c>
      <c r="E131" t="s">
        <v>1204</v>
      </c>
      <c r="F131">
        <v>5889</v>
      </c>
      <c r="G131" t="s">
        <v>2530</v>
      </c>
      <c r="H131" t="s">
        <v>2561</v>
      </c>
      <c r="I131" t="s">
        <v>2530</v>
      </c>
    </row>
    <row r="132" spans="1:9" x14ac:dyDescent="0.3">
      <c r="A132">
        <v>1032</v>
      </c>
      <c r="B132" t="s">
        <v>1546</v>
      </c>
      <c r="C132" t="s">
        <v>2529</v>
      </c>
      <c r="D132" t="s">
        <v>1203</v>
      </c>
      <c r="E132" t="s">
        <v>1204</v>
      </c>
      <c r="F132">
        <v>5891</v>
      </c>
      <c r="G132" t="s">
        <v>2530</v>
      </c>
      <c r="H132" t="s">
        <v>2561</v>
      </c>
      <c r="I132" t="s">
        <v>2530</v>
      </c>
    </row>
    <row r="133" spans="1:9" x14ac:dyDescent="0.3">
      <c r="A133">
        <v>1034</v>
      </c>
      <c r="B133" t="s">
        <v>1547</v>
      </c>
      <c r="C133" t="s">
        <v>2529</v>
      </c>
      <c r="D133" t="s">
        <v>1203</v>
      </c>
      <c r="E133" t="s">
        <v>1204</v>
      </c>
      <c r="F133">
        <v>5539</v>
      </c>
      <c r="G133" t="s">
        <v>2530</v>
      </c>
      <c r="H133" t="s">
        <v>2533</v>
      </c>
      <c r="I133" t="s">
        <v>2530</v>
      </c>
    </row>
    <row r="134" spans="1:9" x14ac:dyDescent="0.3">
      <c r="A134">
        <v>1036</v>
      </c>
      <c r="B134" t="s">
        <v>1548</v>
      </c>
      <c r="C134" t="s">
        <v>2529</v>
      </c>
      <c r="D134" t="s">
        <v>1203</v>
      </c>
      <c r="E134" t="s">
        <v>1204</v>
      </c>
      <c r="F134">
        <v>5892</v>
      </c>
      <c r="G134" t="s">
        <v>2530</v>
      </c>
      <c r="H134" t="s">
        <v>2561</v>
      </c>
      <c r="I134" t="s">
        <v>2530</v>
      </c>
    </row>
    <row r="135" spans="1:9" x14ac:dyDescent="0.3">
      <c r="A135">
        <v>1038</v>
      </c>
      <c r="B135" t="s">
        <v>1549</v>
      </c>
      <c r="C135" t="s">
        <v>2529</v>
      </c>
      <c r="D135" t="s">
        <v>1203</v>
      </c>
      <c r="E135" t="s">
        <v>1204</v>
      </c>
      <c r="F135">
        <v>5893</v>
      </c>
      <c r="G135" t="s">
        <v>2530</v>
      </c>
      <c r="H135" t="s">
        <v>2581</v>
      </c>
      <c r="I135" t="s">
        <v>2530</v>
      </c>
    </row>
    <row r="136" spans="1:9" x14ac:dyDescent="0.3">
      <c r="A136">
        <v>1041</v>
      </c>
      <c r="B136" t="s">
        <v>1550</v>
      </c>
      <c r="C136" t="s">
        <v>2529</v>
      </c>
      <c r="D136" t="s">
        <v>1203</v>
      </c>
      <c r="E136" t="s">
        <v>1204</v>
      </c>
      <c r="F136">
        <v>5894</v>
      </c>
      <c r="G136" t="s">
        <v>2530</v>
      </c>
      <c r="H136" t="s">
        <v>2581</v>
      </c>
      <c r="I136" t="s">
        <v>2530</v>
      </c>
    </row>
    <row r="137" spans="1:9" x14ac:dyDescent="0.3">
      <c r="A137">
        <v>1049</v>
      </c>
      <c r="B137" t="s">
        <v>1551</v>
      </c>
      <c r="C137" t="s">
        <v>2529</v>
      </c>
      <c r="D137" t="s">
        <v>1203</v>
      </c>
      <c r="E137" t="s">
        <v>1204</v>
      </c>
      <c r="F137">
        <v>5895</v>
      </c>
      <c r="G137" t="s">
        <v>2530</v>
      </c>
      <c r="H137" t="s">
        <v>2581</v>
      </c>
      <c r="I137" t="s">
        <v>2530</v>
      </c>
    </row>
    <row r="138" spans="1:9" x14ac:dyDescent="0.3">
      <c r="A138">
        <v>1052</v>
      </c>
      <c r="B138" t="s">
        <v>1552</v>
      </c>
      <c r="C138" t="s">
        <v>2529</v>
      </c>
      <c r="D138" t="s">
        <v>1203</v>
      </c>
      <c r="E138" t="s">
        <v>1204</v>
      </c>
      <c r="F138">
        <v>5896</v>
      </c>
      <c r="G138" t="s">
        <v>2530</v>
      </c>
      <c r="H138" t="s">
        <v>2581</v>
      </c>
      <c r="I138" t="s">
        <v>2530</v>
      </c>
    </row>
    <row r="139" spans="1:9" x14ac:dyDescent="0.3">
      <c r="A139">
        <v>1053</v>
      </c>
      <c r="B139" t="s">
        <v>1553</v>
      </c>
      <c r="C139" t="s">
        <v>2529</v>
      </c>
      <c r="D139" t="s">
        <v>1203</v>
      </c>
      <c r="E139" t="s">
        <v>1204</v>
      </c>
      <c r="F139">
        <v>5897</v>
      </c>
      <c r="G139" t="s">
        <v>2530</v>
      </c>
      <c r="H139" t="s">
        <v>2581</v>
      </c>
      <c r="I139" t="s">
        <v>2530</v>
      </c>
    </row>
    <row r="140" spans="1:9" x14ac:dyDescent="0.3">
      <c r="A140">
        <v>1054</v>
      </c>
      <c r="B140" t="s">
        <v>1554</v>
      </c>
      <c r="C140" t="s">
        <v>2529</v>
      </c>
      <c r="D140" t="s">
        <v>1203</v>
      </c>
      <c r="E140" t="s">
        <v>1204</v>
      </c>
      <c r="F140">
        <v>5540</v>
      </c>
      <c r="G140" t="s">
        <v>2530</v>
      </c>
      <c r="H140" t="s">
        <v>2533</v>
      </c>
      <c r="I140" t="s">
        <v>2530</v>
      </c>
    </row>
    <row r="141" spans="1:9" x14ac:dyDescent="0.3">
      <c r="A141">
        <v>1057</v>
      </c>
      <c r="B141" t="s">
        <v>1555</v>
      </c>
      <c r="C141" t="s">
        <v>2529</v>
      </c>
      <c r="D141" t="s">
        <v>1203</v>
      </c>
      <c r="E141" t="s">
        <v>1204</v>
      </c>
      <c r="F141">
        <v>5898</v>
      </c>
      <c r="G141" t="s">
        <v>2530</v>
      </c>
      <c r="H141" t="s">
        <v>2581</v>
      </c>
      <c r="I141" t="s">
        <v>2530</v>
      </c>
    </row>
    <row r="142" spans="1:9" x14ac:dyDescent="0.3">
      <c r="A142">
        <v>1058</v>
      </c>
      <c r="B142" t="s">
        <v>1556</v>
      </c>
      <c r="C142" t="s">
        <v>2529</v>
      </c>
      <c r="D142" t="s">
        <v>1203</v>
      </c>
      <c r="E142" t="s">
        <v>1204</v>
      </c>
      <c r="F142">
        <v>5899</v>
      </c>
      <c r="G142" t="s">
        <v>2530</v>
      </c>
      <c r="H142" t="s">
        <v>2582</v>
      </c>
      <c r="I142" t="s">
        <v>2530</v>
      </c>
    </row>
    <row r="143" spans="1:9" x14ac:dyDescent="0.3">
      <c r="A143">
        <v>1059</v>
      </c>
      <c r="B143" t="s">
        <v>1557</v>
      </c>
      <c r="C143" t="s">
        <v>2529</v>
      </c>
      <c r="D143" t="s">
        <v>1203</v>
      </c>
      <c r="E143" t="s">
        <v>1204</v>
      </c>
      <c r="F143">
        <v>5900</v>
      </c>
      <c r="G143" t="s">
        <v>2530</v>
      </c>
      <c r="H143" t="s">
        <v>2581</v>
      </c>
      <c r="I143" t="s">
        <v>2530</v>
      </c>
    </row>
    <row r="144" spans="1:9" x14ac:dyDescent="0.3">
      <c r="A144">
        <v>1060</v>
      </c>
      <c r="B144" t="s">
        <v>1558</v>
      </c>
      <c r="C144" t="s">
        <v>2529</v>
      </c>
      <c r="D144" t="s">
        <v>1203</v>
      </c>
      <c r="E144" t="s">
        <v>1204</v>
      </c>
      <c r="F144">
        <v>5901</v>
      </c>
      <c r="G144" t="s">
        <v>2530</v>
      </c>
      <c r="H144" t="s">
        <v>2581</v>
      </c>
      <c r="I144" t="s">
        <v>2530</v>
      </c>
    </row>
    <row r="145" spans="1:9" x14ac:dyDescent="0.3">
      <c r="A145">
        <v>1062</v>
      </c>
      <c r="B145" t="s">
        <v>1559</v>
      </c>
      <c r="C145" t="s">
        <v>2529</v>
      </c>
      <c r="D145" t="s">
        <v>1203</v>
      </c>
      <c r="E145" t="s">
        <v>1204</v>
      </c>
      <c r="F145">
        <v>5886</v>
      </c>
      <c r="G145" t="s">
        <v>2530</v>
      </c>
      <c r="H145" t="s">
        <v>2581</v>
      </c>
      <c r="I145" t="s">
        <v>2530</v>
      </c>
    </row>
    <row r="146" spans="1:9" x14ac:dyDescent="0.3">
      <c r="A146">
        <v>1068</v>
      </c>
      <c r="B146" t="s">
        <v>1560</v>
      </c>
      <c r="C146" t="s">
        <v>2529</v>
      </c>
      <c r="D146" t="s">
        <v>159</v>
      </c>
      <c r="E146" t="s">
        <v>159</v>
      </c>
      <c r="F146">
        <v>5489</v>
      </c>
      <c r="G146" t="s">
        <v>2530</v>
      </c>
      <c r="H146" t="s">
        <v>2583</v>
      </c>
      <c r="I146" t="s">
        <v>2530</v>
      </c>
    </row>
    <row r="147" spans="1:9" x14ac:dyDescent="0.3">
      <c r="A147">
        <v>1083</v>
      </c>
      <c r="B147" t="s">
        <v>1561</v>
      </c>
      <c r="C147" t="s">
        <v>2529</v>
      </c>
      <c r="D147" t="s">
        <v>1203</v>
      </c>
      <c r="E147" t="s">
        <v>1204</v>
      </c>
      <c r="F147">
        <v>5752</v>
      </c>
      <c r="G147" t="s">
        <v>2530</v>
      </c>
      <c r="H147" t="s">
        <v>2584</v>
      </c>
      <c r="I147" t="s">
        <v>2530</v>
      </c>
    </row>
    <row r="148" spans="1:9" x14ac:dyDescent="0.3">
      <c r="A148">
        <v>1094</v>
      </c>
      <c r="B148" t="s">
        <v>1564</v>
      </c>
      <c r="C148" t="s">
        <v>2529</v>
      </c>
      <c r="D148" t="s">
        <v>1203</v>
      </c>
      <c r="E148" t="s">
        <v>1204</v>
      </c>
      <c r="F148">
        <v>5821</v>
      </c>
      <c r="G148" t="s">
        <v>2537</v>
      </c>
      <c r="H148" t="s">
        <v>2460</v>
      </c>
      <c r="I148" t="s">
        <v>2530</v>
      </c>
    </row>
    <row r="149" spans="1:9" x14ac:dyDescent="0.3">
      <c r="A149">
        <v>1109</v>
      </c>
      <c r="B149" t="s">
        <v>1566</v>
      </c>
      <c r="C149" t="s">
        <v>2529</v>
      </c>
      <c r="D149" t="s">
        <v>1203</v>
      </c>
      <c r="E149" t="s">
        <v>1204</v>
      </c>
      <c r="F149">
        <v>6747</v>
      </c>
      <c r="G149" t="s">
        <v>2537</v>
      </c>
      <c r="H149" t="s">
        <v>2460</v>
      </c>
      <c r="I149" t="s">
        <v>2530</v>
      </c>
    </row>
    <row r="150" spans="1:9" x14ac:dyDescent="0.3">
      <c r="A150">
        <v>1110</v>
      </c>
      <c r="B150" t="s">
        <v>1571</v>
      </c>
      <c r="C150" t="s">
        <v>2529</v>
      </c>
      <c r="D150" t="s">
        <v>1203</v>
      </c>
      <c r="E150" t="s">
        <v>1204</v>
      </c>
      <c r="F150">
        <v>7139</v>
      </c>
      <c r="G150" t="s">
        <v>2537</v>
      </c>
      <c r="H150" t="s">
        <v>2460</v>
      </c>
      <c r="I150" t="s">
        <v>2530</v>
      </c>
    </row>
    <row r="151" spans="1:9" x14ac:dyDescent="0.3">
      <c r="A151">
        <v>1125</v>
      </c>
      <c r="B151" t="s">
        <v>1572</v>
      </c>
      <c r="C151" t="s">
        <v>2529</v>
      </c>
      <c r="D151" t="s">
        <v>1203</v>
      </c>
      <c r="E151" t="s">
        <v>1204</v>
      </c>
      <c r="F151">
        <v>6188</v>
      </c>
      <c r="G151" t="s">
        <v>2530</v>
      </c>
      <c r="H151" t="s">
        <v>2585</v>
      </c>
      <c r="I151" t="s">
        <v>2530</v>
      </c>
    </row>
    <row r="152" spans="1:9" x14ac:dyDescent="0.3">
      <c r="A152">
        <v>1142</v>
      </c>
      <c r="B152" t="s">
        <v>1574</v>
      </c>
      <c r="C152" t="s">
        <v>2529</v>
      </c>
      <c r="D152" t="s">
        <v>1203</v>
      </c>
      <c r="E152" t="s">
        <v>1204</v>
      </c>
      <c r="F152">
        <v>7556</v>
      </c>
      <c r="G152" t="s">
        <v>2530</v>
      </c>
      <c r="H152" t="s">
        <v>2553</v>
      </c>
      <c r="I152" t="s">
        <v>2530</v>
      </c>
    </row>
    <row r="153" spans="1:9" x14ac:dyDescent="0.3">
      <c r="A153">
        <v>1143</v>
      </c>
      <c r="B153" t="s">
        <v>1575</v>
      </c>
      <c r="C153" t="s">
        <v>2529</v>
      </c>
      <c r="D153" t="s">
        <v>1203</v>
      </c>
      <c r="E153" t="s">
        <v>1204</v>
      </c>
      <c r="F153">
        <v>5903</v>
      </c>
      <c r="G153" t="s">
        <v>2530</v>
      </c>
      <c r="H153" t="s">
        <v>2586</v>
      </c>
      <c r="I153" t="s">
        <v>2530</v>
      </c>
    </row>
    <row r="154" spans="1:9" x14ac:dyDescent="0.3">
      <c r="A154">
        <v>1144</v>
      </c>
      <c r="B154" t="s">
        <v>1581</v>
      </c>
      <c r="C154" t="s">
        <v>2529</v>
      </c>
      <c r="D154" t="s">
        <v>1203</v>
      </c>
      <c r="E154" t="s">
        <v>1204</v>
      </c>
      <c r="F154">
        <v>6619</v>
      </c>
      <c r="G154" t="s">
        <v>2537</v>
      </c>
      <c r="H154" t="s">
        <v>2460</v>
      </c>
      <c r="I154" t="s">
        <v>2530</v>
      </c>
    </row>
    <row r="155" spans="1:9" x14ac:dyDescent="0.3">
      <c r="A155">
        <v>1154</v>
      </c>
      <c r="B155" t="s">
        <v>1586</v>
      </c>
      <c r="C155" t="s">
        <v>2529</v>
      </c>
      <c r="D155" t="s">
        <v>159</v>
      </c>
      <c r="E155" t="s">
        <v>159</v>
      </c>
      <c r="F155">
        <v>7784</v>
      </c>
      <c r="G155" t="s">
        <v>2530</v>
      </c>
      <c r="H155" t="s">
        <v>2587</v>
      </c>
      <c r="I155" t="s">
        <v>2530</v>
      </c>
    </row>
    <row r="156" spans="1:9" x14ac:dyDescent="0.3">
      <c r="A156">
        <v>1157</v>
      </c>
      <c r="B156" t="s">
        <v>1587</v>
      </c>
      <c r="C156" t="s">
        <v>2529</v>
      </c>
      <c r="D156" t="s">
        <v>1203</v>
      </c>
      <c r="E156" t="s">
        <v>1204</v>
      </c>
      <c r="F156">
        <v>5829</v>
      </c>
      <c r="G156" t="s">
        <v>2530</v>
      </c>
      <c r="H156" t="s">
        <v>2533</v>
      </c>
      <c r="I156" t="s">
        <v>2530</v>
      </c>
    </row>
    <row r="157" spans="1:9" x14ac:dyDescent="0.3">
      <c r="A157">
        <v>1166</v>
      </c>
      <c r="B157" t="s">
        <v>1589</v>
      </c>
      <c r="C157" t="s">
        <v>2529</v>
      </c>
      <c r="D157" t="s">
        <v>1203</v>
      </c>
      <c r="E157" t="s">
        <v>1204</v>
      </c>
      <c r="F157">
        <v>5919</v>
      </c>
      <c r="G157" t="s">
        <v>2530</v>
      </c>
      <c r="H157" t="s">
        <v>2581</v>
      </c>
      <c r="I157" t="s">
        <v>2530</v>
      </c>
    </row>
    <row r="158" spans="1:9" x14ac:dyDescent="0.3">
      <c r="A158">
        <v>1167</v>
      </c>
      <c r="B158" t="s">
        <v>1590</v>
      </c>
      <c r="C158" t="s">
        <v>2529</v>
      </c>
      <c r="D158" t="s">
        <v>1203</v>
      </c>
      <c r="E158" t="s">
        <v>1204</v>
      </c>
      <c r="F158">
        <v>5831</v>
      </c>
      <c r="G158" t="s">
        <v>2530</v>
      </c>
      <c r="H158" t="s">
        <v>2535</v>
      </c>
      <c r="I158" t="s">
        <v>2530</v>
      </c>
    </row>
    <row r="159" spans="1:9" x14ac:dyDescent="0.3">
      <c r="A159">
        <v>1181</v>
      </c>
      <c r="B159" t="s">
        <v>1592</v>
      </c>
      <c r="C159" t="s">
        <v>2529</v>
      </c>
      <c r="D159" t="s">
        <v>1203</v>
      </c>
      <c r="E159" t="s">
        <v>1204</v>
      </c>
      <c r="F159">
        <v>5959</v>
      </c>
      <c r="G159" t="s">
        <v>2530</v>
      </c>
      <c r="H159" t="s">
        <v>2588</v>
      </c>
      <c r="I159" t="s">
        <v>2530</v>
      </c>
    </row>
    <row r="160" spans="1:9" x14ac:dyDescent="0.3">
      <c r="A160">
        <v>1188</v>
      </c>
      <c r="B160" t="s">
        <v>1593</v>
      </c>
      <c r="C160" t="s">
        <v>2529</v>
      </c>
      <c r="D160" t="s">
        <v>1203</v>
      </c>
      <c r="E160" t="s">
        <v>1204</v>
      </c>
      <c r="F160">
        <v>7794</v>
      </c>
      <c r="G160" t="s">
        <v>2537</v>
      </c>
      <c r="H160" t="s">
        <v>2460</v>
      </c>
      <c r="I160" t="s">
        <v>2530</v>
      </c>
    </row>
    <row r="161" spans="1:9" x14ac:dyDescent="0.3">
      <c r="A161">
        <v>1210</v>
      </c>
      <c r="B161" t="s">
        <v>1595</v>
      </c>
      <c r="C161" t="s">
        <v>2529</v>
      </c>
      <c r="D161" t="s">
        <v>159</v>
      </c>
      <c r="E161" t="s">
        <v>159</v>
      </c>
      <c r="F161">
        <v>7824</v>
      </c>
      <c r="G161" t="s">
        <v>2537</v>
      </c>
      <c r="H161" t="s">
        <v>2460</v>
      </c>
      <c r="I161" t="s">
        <v>2530</v>
      </c>
    </row>
    <row r="162" spans="1:9" x14ac:dyDescent="0.3">
      <c r="A162">
        <v>1215</v>
      </c>
      <c r="B162" t="s">
        <v>1596</v>
      </c>
      <c r="C162" t="s">
        <v>2529</v>
      </c>
      <c r="D162" t="s">
        <v>1203</v>
      </c>
      <c r="E162" t="s">
        <v>1204</v>
      </c>
      <c r="F162">
        <v>5592</v>
      </c>
      <c r="G162" t="s">
        <v>2530</v>
      </c>
      <c r="H162" t="s">
        <v>2545</v>
      </c>
      <c r="I162" t="s">
        <v>2530</v>
      </c>
    </row>
    <row r="163" spans="1:9" x14ac:dyDescent="0.3">
      <c r="A163">
        <v>1217</v>
      </c>
      <c r="B163" t="s">
        <v>1598</v>
      </c>
      <c r="C163" t="s">
        <v>2529</v>
      </c>
      <c r="D163" t="s">
        <v>1203</v>
      </c>
      <c r="E163" t="s">
        <v>1204</v>
      </c>
      <c r="F163">
        <v>5609</v>
      </c>
      <c r="G163" t="s">
        <v>2530</v>
      </c>
      <c r="H163" t="s">
        <v>2540</v>
      </c>
      <c r="I163" t="s">
        <v>2530</v>
      </c>
    </row>
    <row r="164" spans="1:9" x14ac:dyDescent="0.3">
      <c r="A164">
        <v>1225</v>
      </c>
      <c r="B164" t="s">
        <v>1599</v>
      </c>
      <c r="C164" t="s">
        <v>2529</v>
      </c>
      <c r="D164" t="s">
        <v>1203</v>
      </c>
      <c r="E164" t="s">
        <v>1204</v>
      </c>
      <c r="F164">
        <v>7664</v>
      </c>
      <c r="G164" t="s">
        <v>2537</v>
      </c>
      <c r="H164" t="s">
        <v>2460</v>
      </c>
      <c r="I164" t="s">
        <v>2460</v>
      </c>
    </row>
    <row r="165" spans="1:9" x14ac:dyDescent="0.3">
      <c r="A165">
        <v>1234</v>
      </c>
      <c r="B165" t="s">
        <v>1600</v>
      </c>
      <c r="C165" t="s">
        <v>2529</v>
      </c>
      <c r="D165" t="s">
        <v>1203</v>
      </c>
      <c r="E165" t="s">
        <v>1204</v>
      </c>
      <c r="F165">
        <v>5993</v>
      </c>
      <c r="G165" t="s">
        <v>2537</v>
      </c>
      <c r="H165" t="s">
        <v>2460</v>
      </c>
      <c r="I165" t="s">
        <v>2530</v>
      </c>
    </row>
    <row r="166" spans="1:9" x14ac:dyDescent="0.3">
      <c r="A166">
        <v>1236</v>
      </c>
      <c r="B166" t="s">
        <v>1603</v>
      </c>
      <c r="C166" t="s">
        <v>2529</v>
      </c>
      <c r="D166" t="s">
        <v>1203</v>
      </c>
      <c r="E166" t="s">
        <v>1204</v>
      </c>
      <c r="F166">
        <v>5698</v>
      </c>
      <c r="G166" t="s">
        <v>2530</v>
      </c>
      <c r="H166" t="s">
        <v>2589</v>
      </c>
      <c r="I166" t="s">
        <v>2530</v>
      </c>
    </row>
    <row r="167" spans="1:9" x14ac:dyDescent="0.3">
      <c r="A167">
        <v>1238</v>
      </c>
      <c r="B167" t="s">
        <v>1604</v>
      </c>
      <c r="C167" t="s">
        <v>2529</v>
      </c>
      <c r="D167" t="s">
        <v>1203</v>
      </c>
      <c r="E167" t="s">
        <v>1204</v>
      </c>
      <c r="F167">
        <v>5920</v>
      </c>
      <c r="G167" t="s">
        <v>2530</v>
      </c>
      <c r="H167" t="s">
        <v>2590</v>
      </c>
      <c r="I167" t="s">
        <v>2530</v>
      </c>
    </row>
    <row r="168" spans="1:9" x14ac:dyDescent="0.3">
      <c r="A168">
        <v>1245</v>
      </c>
      <c r="B168" t="s">
        <v>1606</v>
      </c>
      <c r="C168" t="s">
        <v>2529</v>
      </c>
      <c r="D168" t="s">
        <v>1203</v>
      </c>
      <c r="E168" t="s">
        <v>1204</v>
      </c>
      <c r="F168">
        <v>5723</v>
      </c>
      <c r="G168" t="s">
        <v>2537</v>
      </c>
      <c r="H168" t="s">
        <v>204</v>
      </c>
      <c r="I168" t="s">
        <v>2530</v>
      </c>
    </row>
    <row r="169" spans="1:9" x14ac:dyDescent="0.3">
      <c r="A169">
        <v>1273</v>
      </c>
      <c r="B169" t="s">
        <v>1609</v>
      </c>
      <c r="C169" t="s">
        <v>2529</v>
      </c>
      <c r="D169" t="s">
        <v>1203</v>
      </c>
      <c r="E169" t="s">
        <v>1204</v>
      </c>
      <c r="F169">
        <v>5684</v>
      </c>
      <c r="G169" t="s">
        <v>2537</v>
      </c>
      <c r="H169" t="s">
        <v>2460</v>
      </c>
      <c r="I169" t="s">
        <v>2530</v>
      </c>
    </row>
    <row r="170" spans="1:9" x14ac:dyDescent="0.3">
      <c r="A170">
        <v>1324</v>
      </c>
      <c r="B170" t="s">
        <v>1619</v>
      </c>
      <c r="C170" t="s">
        <v>2529</v>
      </c>
      <c r="D170" t="s">
        <v>159</v>
      </c>
      <c r="E170" t="s">
        <v>159</v>
      </c>
      <c r="F170">
        <v>5633</v>
      </c>
      <c r="G170" t="s">
        <v>2530</v>
      </c>
      <c r="H170" t="s">
        <v>2545</v>
      </c>
      <c r="I170" t="s">
        <v>2530</v>
      </c>
    </row>
    <row r="171" spans="1:9" x14ac:dyDescent="0.3">
      <c r="A171">
        <v>1327</v>
      </c>
      <c r="B171" t="s">
        <v>1620</v>
      </c>
      <c r="C171" t="s">
        <v>2529</v>
      </c>
      <c r="D171" t="s">
        <v>1203</v>
      </c>
      <c r="E171" t="s">
        <v>1204</v>
      </c>
      <c r="F171">
        <v>5572</v>
      </c>
      <c r="G171" t="s">
        <v>2530</v>
      </c>
      <c r="H171" t="s">
        <v>2545</v>
      </c>
      <c r="I171" t="s">
        <v>2530</v>
      </c>
    </row>
    <row r="172" spans="1:9" x14ac:dyDescent="0.3">
      <c r="A172">
        <v>1333</v>
      </c>
      <c r="B172" t="s">
        <v>1623</v>
      </c>
      <c r="C172" t="s">
        <v>2529</v>
      </c>
      <c r="D172" t="s">
        <v>1203</v>
      </c>
      <c r="E172" t="s">
        <v>1204</v>
      </c>
      <c r="F172">
        <v>5662</v>
      </c>
      <c r="G172" t="s">
        <v>2530</v>
      </c>
      <c r="H172" t="s">
        <v>2591</v>
      </c>
      <c r="I172" t="s">
        <v>2530</v>
      </c>
    </row>
    <row r="173" spans="1:9" x14ac:dyDescent="0.3">
      <c r="A173">
        <v>1335</v>
      </c>
      <c r="B173" t="s">
        <v>1625</v>
      </c>
      <c r="C173" t="s">
        <v>2529</v>
      </c>
      <c r="D173" t="s">
        <v>1203</v>
      </c>
      <c r="E173" t="s">
        <v>1204</v>
      </c>
      <c r="F173">
        <v>5719</v>
      </c>
      <c r="G173" t="s">
        <v>2537</v>
      </c>
      <c r="H173" t="s">
        <v>2460</v>
      </c>
      <c r="I173" t="s">
        <v>2530</v>
      </c>
    </row>
    <row r="174" spans="1:9" x14ac:dyDescent="0.3">
      <c r="A174">
        <v>1343</v>
      </c>
      <c r="B174" t="s">
        <v>1626</v>
      </c>
      <c r="C174" t="s">
        <v>2529</v>
      </c>
      <c r="D174" t="s">
        <v>1203</v>
      </c>
      <c r="E174" t="s">
        <v>1204</v>
      </c>
      <c r="F174">
        <v>5845</v>
      </c>
      <c r="G174" t="s">
        <v>2530</v>
      </c>
      <c r="H174" t="s">
        <v>2592</v>
      </c>
      <c r="I174" t="s">
        <v>2530</v>
      </c>
    </row>
    <row r="175" spans="1:9" x14ac:dyDescent="0.3">
      <c r="A175">
        <v>1352</v>
      </c>
      <c r="B175" t="s">
        <v>1631</v>
      </c>
      <c r="C175" t="s">
        <v>2529</v>
      </c>
      <c r="D175" t="s">
        <v>1203</v>
      </c>
      <c r="E175" t="s">
        <v>1204</v>
      </c>
      <c r="F175">
        <v>6941</v>
      </c>
      <c r="G175" t="s">
        <v>2537</v>
      </c>
      <c r="H175" t="s">
        <v>2460</v>
      </c>
      <c r="I175" t="s">
        <v>2530</v>
      </c>
    </row>
    <row r="176" spans="1:9" x14ac:dyDescent="0.3">
      <c r="A176">
        <v>1368</v>
      </c>
      <c r="B176" t="s">
        <v>1632</v>
      </c>
      <c r="C176" t="s">
        <v>2529</v>
      </c>
      <c r="D176" t="s">
        <v>1203</v>
      </c>
      <c r="E176" t="s">
        <v>1204</v>
      </c>
      <c r="F176">
        <v>5455</v>
      </c>
      <c r="G176" t="s">
        <v>2537</v>
      </c>
      <c r="H176" t="s">
        <v>2460</v>
      </c>
      <c r="I176" t="s">
        <v>2530</v>
      </c>
    </row>
    <row r="177" spans="1:9" x14ac:dyDescent="0.3">
      <c r="A177">
        <v>1370</v>
      </c>
      <c r="B177" t="s">
        <v>1633</v>
      </c>
      <c r="C177" t="s">
        <v>2529</v>
      </c>
      <c r="D177" t="s">
        <v>1203</v>
      </c>
      <c r="E177" t="s">
        <v>1204</v>
      </c>
      <c r="F177">
        <v>5811</v>
      </c>
      <c r="G177" t="s">
        <v>2537</v>
      </c>
      <c r="H177" t="s">
        <v>2460</v>
      </c>
      <c r="I177" t="s">
        <v>2537</v>
      </c>
    </row>
    <row r="178" spans="1:9" x14ac:dyDescent="0.3">
      <c r="A178">
        <v>1371</v>
      </c>
      <c r="B178" t="s">
        <v>1635</v>
      </c>
      <c r="C178" t="s">
        <v>2529</v>
      </c>
      <c r="D178" t="s">
        <v>1203</v>
      </c>
      <c r="E178" t="s">
        <v>1204</v>
      </c>
      <c r="F178">
        <v>7512</v>
      </c>
      <c r="G178" t="s">
        <v>2530</v>
      </c>
      <c r="H178" t="s">
        <v>2545</v>
      </c>
      <c r="I178" t="s">
        <v>2530</v>
      </c>
    </row>
    <row r="179" spans="1:9" x14ac:dyDescent="0.3">
      <c r="A179">
        <v>1384</v>
      </c>
      <c r="B179" t="s">
        <v>1637</v>
      </c>
      <c r="C179" t="s">
        <v>2529</v>
      </c>
      <c r="D179" t="s">
        <v>1203</v>
      </c>
      <c r="E179" t="s">
        <v>1204</v>
      </c>
      <c r="F179">
        <v>5709</v>
      </c>
      <c r="G179" t="s">
        <v>2530</v>
      </c>
      <c r="H179" t="s">
        <v>2593</v>
      </c>
      <c r="I179" t="s">
        <v>2530</v>
      </c>
    </row>
    <row r="180" spans="1:9" x14ac:dyDescent="0.3">
      <c r="A180">
        <v>1388</v>
      </c>
      <c r="B180" t="s">
        <v>1640</v>
      </c>
      <c r="C180" t="s">
        <v>2529</v>
      </c>
      <c r="D180" t="s">
        <v>159</v>
      </c>
      <c r="E180" t="s">
        <v>159</v>
      </c>
      <c r="F180">
        <v>5503</v>
      </c>
      <c r="G180" t="s">
        <v>2537</v>
      </c>
      <c r="H180" t="s">
        <v>1204</v>
      </c>
      <c r="I180" t="s">
        <v>2530</v>
      </c>
    </row>
    <row r="181" spans="1:9" x14ac:dyDescent="0.3">
      <c r="A181">
        <v>1869</v>
      </c>
      <c r="B181" t="s">
        <v>1643</v>
      </c>
      <c r="C181" t="s">
        <v>2529</v>
      </c>
      <c r="D181" t="s">
        <v>1203</v>
      </c>
      <c r="E181" t="s">
        <v>1204</v>
      </c>
      <c r="F181">
        <v>5551</v>
      </c>
      <c r="G181" t="s">
        <v>2530</v>
      </c>
      <c r="H181" t="s">
        <v>2533</v>
      </c>
      <c r="I181" t="s">
        <v>2530</v>
      </c>
    </row>
    <row r="182" spans="1:9" x14ac:dyDescent="0.3">
      <c r="A182">
        <v>1424</v>
      </c>
      <c r="B182" t="s">
        <v>1644</v>
      </c>
      <c r="C182" t="s">
        <v>2529</v>
      </c>
      <c r="D182" t="s">
        <v>159</v>
      </c>
      <c r="E182" t="s">
        <v>159</v>
      </c>
      <c r="F182">
        <v>5558</v>
      </c>
      <c r="G182" t="s">
        <v>2537</v>
      </c>
      <c r="H182" t="s">
        <v>2460</v>
      </c>
      <c r="I182" t="s">
        <v>2530</v>
      </c>
    </row>
    <row r="183" spans="1:9" x14ac:dyDescent="0.3">
      <c r="A183">
        <v>1425</v>
      </c>
      <c r="B183" t="s">
        <v>1647</v>
      </c>
      <c r="C183" t="s">
        <v>2529</v>
      </c>
      <c r="D183" t="s">
        <v>159</v>
      </c>
      <c r="E183" t="s">
        <v>159</v>
      </c>
      <c r="F183">
        <v>7826</v>
      </c>
      <c r="G183" t="s">
        <v>2537</v>
      </c>
      <c r="H183" t="s">
        <v>2460</v>
      </c>
      <c r="I183" t="s">
        <v>2530</v>
      </c>
    </row>
    <row r="184" spans="1:9" x14ac:dyDescent="0.3">
      <c r="A184">
        <v>1427</v>
      </c>
      <c r="B184" t="s">
        <v>1650</v>
      </c>
      <c r="C184" t="s">
        <v>2529</v>
      </c>
      <c r="D184" t="s">
        <v>159</v>
      </c>
      <c r="E184" t="s">
        <v>159</v>
      </c>
      <c r="F184">
        <v>6005</v>
      </c>
      <c r="G184" t="s">
        <v>2537</v>
      </c>
      <c r="H184" t="s">
        <v>2460</v>
      </c>
      <c r="I184" t="s">
        <v>2530</v>
      </c>
    </row>
    <row r="185" spans="1:9" x14ac:dyDescent="0.3">
      <c r="A185">
        <v>1443</v>
      </c>
      <c r="B185" t="s">
        <v>1651</v>
      </c>
      <c r="C185" t="s">
        <v>2529</v>
      </c>
      <c r="D185" t="s">
        <v>1203</v>
      </c>
      <c r="E185" t="s">
        <v>1204</v>
      </c>
      <c r="F185">
        <v>5580</v>
      </c>
      <c r="G185" t="s">
        <v>2530</v>
      </c>
      <c r="H185" t="s">
        <v>2594</v>
      </c>
      <c r="I185" t="s">
        <v>2530</v>
      </c>
    </row>
    <row r="186" spans="1:9" x14ac:dyDescent="0.3">
      <c r="A186">
        <v>1450</v>
      </c>
      <c r="B186" t="s">
        <v>1660</v>
      </c>
      <c r="C186" t="s">
        <v>2529</v>
      </c>
      <c r="D186" t="s">
        <v>1203</v>
      </c>
      <c r="E186" t="s">
        <v>1204</v>
      </c>
      <c r="F186">
        <v>5914</v>
      </c>
      <c r="G186" t="s">
        <v>2537</v>
      </c>
      <c r="H186" t="s">
        <v>1204</v>
      </c>
      <c r="I186" t="s">
        <v>2530</v>
      </c>
    </row>
    <row r="187" spans="1:9" x14ac:dyDescent="0.3">
      <c r="A187">
        <v>1452</v>
      </c>
      <c r="B187" t="s">
        <v>1661</v>
      </c>
      <c r="C187" t="s">
        <v>2529</v>
      </c>
      <c r="D187" t="s">
        <v>1203</v>
      </c>
      <c r="E187" t="s">
        <v>1204</v>
      </c>
      <c r="F187">
        <v>5740</v>
      </c>
      <c r="G187" t="s">
        <v>2537</v>
      </c>
      <c r="H187" t="s">
        <v>2460</v>
      </c>
      <c r="I187" t="s">
        <v>2530</v>
      </c>
    </row>
    <row r="188" spans="1:9" x14ac:dyDescent="0.3">
      <c r="A188">
        <v>1456</v>
      </c>
      <c r="B188" t="s">
        <v>1664</v>
      </c>
      <c r="C188" t="s">
        <v>2529</v>
      </c>
      <c r="D188" t="s">
        <v>159</v>
      </c>
      <c r="E188" t="s">
        <v>159</v>
      </c>
      <c r="F188">
        <v>7786</v>
      </c>
      <c r="G188" t="s">
        <v>2530</v>
      </c>
      <c r="H188" t="s">
        <v>2540</v>
      </c>
      <c r="I188" t="s">
        <v>2530</v>
      </c>
    </row>
    <row r="189" spans="1:9" x14ac:dyDescent="0.3">
      <c r="A189">
        <v>1459</v>
      </c>
      <c r="B189" t="s">
        <v>1665</v>
      </c>
      <c r="C189" t="s">
        <v>2529</v>
      </c>
      <c r="D189" t="s">
        <v>1203</v>
      </c>
      <c r="E189" t="s">
        <v>1204</v>
      </c>
      <c r="F189">
        <v>5681</v>
      </c>
      <c r="G189" t="s">
        <v>2530</v>
      </c>
      <c r="H189" t="s">
        <v>2595</v>
      </c>
      <c r="I189" t="s">
        <v>2530</v>
      </c>
    </row>
    <row r="190" spans="1:9" x14ac:dyDescent="0.3">
      <c r="A190">
        <v>1464</v>
      </c>
      <c r="B190" t="s">
        <v>1667</v>
      </c>
      <c r="C190" t="s">
        <v>2529</v>
      </c>
      <c r="D190" t="s">
        <v>1203</v>
      </c>
      <c r="E190" t="s">
        <v>1204</v>
      </c>
      <c r="F190">
        <v>7899</v>
      </c>
      <c r="G190" t="s">
        <v>2530</v>
      </c>
      <c r="H190" t="s">
        <v>2596</v>
      </c>
      <c r="I190" t="s">
        <v>2530</v>
      </c>
    </row>
    <row r="191" spans="1:9" x14ac:dyDescent="0.3">
      <c r="A191">
        <v>1473</v>
      </c>
      <c r="B191" t="s">
        <v>1669</v>
      </c>
      <c r="C191" t="s">
        <v>2529</v>
      </c>
      <c r="D191" t="s">
        <v>159</v>
      </c>
      <c r="E191" t="s">
        <v>159</v>
      </c>
      <c r="F191">
        <v>6646</v>
      </c>
      <c r="G191" t="s">
        <v>2530</v>
      </c>
      <c r="H191" t="s">
        <v>2597</v>
      </c>
      <c r="I191" t="s">
        <v>2530</v>
      </c>
    </row>
    <row r="192" spans="1:9" x14ac:dyDescent="0.3">
      <c r="A192">
        <v>1481</v>
      </c>
      <c r="B192" t="s">
        <v>1670</v>
      </c>
      <c r="C192" t="s">
        <v>2529</v>
      </c>
      <c r="D192" t="s">
        <v>1203</v>
      </c>
      <c r="E192" t="s">
        <v>1204</v>
      </c>
      <c r="F192">
        <v>6739</v>
      </c>
      <c r="G192" t="s">
        <v>2537</v>
      </c>
      <c r="H192" t="s">
        <v>2460</v>
      </c>
      <c r="I192" t="s">
        <v>2530</v>
      </c>
    </row>
    <row r="193" spans="1:9" x14ac:dyDescent="0.3">
      <c r="A193">
        <v>1484</v>
      </c>
      <c r="B193" t="s">
        <v>1674</v>
      </c>
      <c r="C193" t="s">
        <v>2529</v>
      </c>
      <c r="D193" t="s">
        <v>1203</v>
      </c>
      <c r="E193" t="s">
        <v>1204</v>
      </c>
      <c r="F193">
        <v>6741</v>
      </c>
      <c r="G193" t="s">
        <v>2537</v>
      </c>
      <c r="H193" t="s">
        <v>2460</v>
      </c>
      <c r="I193" t="s">
        <v>2530</v>
      </c>
    </row>
    <row r="194" spans="1:9" x14ac:dyDescent="0.3">
      <c r="A194">
        <v>1487</v>
      </c>
      <c r="B194" t="s">
        <v>1677</v>
      </c>
      <c r="C194" t="s">
        <v>2529</v>
      </c>
      <c r="D194" t="s">
        <v>1203</v>
      </c>
      <c r="E194" t="s">
        <v>1204</v>
      </c>
      <c r="F194">
        <v>5663</v>
      </c>
      <c r="G194" t="s">
        <v>2530</v>
      </c>
      <c r="H194" t="s">
        <v>2598</v>
      </c>
      <c r="I194" t="s">
        <v>2537</v>
      </c>
    </row>
    <row r="195" spans="1:9" x14ac:dyDescent="0.3">
      <c r="A195">
        <v>1506</v>
      </c>
      <c r="B195" t="s">
        <v>1678</v>
      </c>
      <c r="C195" t="s">
        <v>2529</v>
      </c>
      <c r="D195" t="s">
        <v>159</v>
      </c>
      <c r="E195" t="s">
        <v>159</v>
      </c>
      <c r="F195">
        <v>7862</v>
      </c>
      <c r="G195" t="s">
        <v>2530</v>
      </c>
      <c r="H195" t="s">
        <v>2599</v>
      </c>
      <c r="I195" t="s">
        <v>2530</v>
      </c>
    </row>
    <row r="196" spans="1:9" x14ac:dyDescent="0.3">
      <c r="A196">
        <v>1533</v>
      </c>
      <c r="B196" t="s">
        <v>1679</v>
      </c>
      <c r="C196" t="s">
        <v>2529</v>
      </c>
      <c r="D196" t="s">
        <v>1203</v>
      </c>
      <c r="E196" t="s">
        <v>1204</v>
      </c>
      <c r="F196">
        <v>5528</v>
      </c>
      <c r="G196" t="s">
        <v>2530</v>
      </c>
      <c r="H196" t="s">
        <v>743</v>
      </c>
      <c r="I196" t="s">
        <v>2530</v>
      </c>
    </row>
    <row r="197" spans="1:9" x14ac:dyDescent="0.3">
      <c r="A197">
        <v>1536</v>
      </c>
      <c r="B197" t="s">
        <v>1684</v>
      </c>
      <c r="C197" t="s">
        <v>2529</v>
      </c>
      <c r="D197" t="s">
        <v>1203</v>
      </c>
      <c r="E197" t="s">
        <v>1204</v>
      </c>
      <c r="F197">
        <v>5518</v>
      </c>
      <c r="G197" t="s">
        <v>2530</v>
      </c>
      <c r="H197" t="s">
        <v>2533</v>
      </c>
      <c r="I197" t="s">
        <v>2530</v>
      </c>
    </row>
    <row r="198" spans="1:9" x14ac:dyDescent="0.3">
      <c r="A198">
        <v>1546</v>
      </c>
      <c r="B198" t="s">
        <v>1686</v>
      </c>
      <c r="C198" t="s">
        <v>2529</v>
      </c>
      <c r="D198" t="s">
        <v>1203</v>
      </c>
      <c r="E198" t="s">
        <v>1204</v>
      </c>
      <c r="F198">
        <v>5724</v>
      </c>
      <c r="G198" t="s">
        <v>2530</v>
      </c>
      <c r="H198" t="s">
        <v>2600</v>
      </c>
      <c r="I198" t="s">
        <v>2530</v>
      </c>
    </row>
    <row r="199" spans="1:9" x14ac:dyDescent="0.3">
      <c r="A199">
        <v>1547</v>
      </c>
      <c r="B199" t="s">
        <v>1693</v>
      </c>
      <c r="C199" t="s">
        <v>2529</v>
      </c>
      <c r="D199" t="s">
        <v>1203</v>
      </c>
      <c r="E199" t="s">
        <v>1204</v>
      </c>
      <c r="F199">
        <v>5782</v>
      </c>
      <c r="G199" t="s">
        <v>2537</v>
      </c>
      <c r="H199" t="s">
        <v>2460</v>
      </c>
      <c r="I199" t="s">
        <v>2530</v>
      </c>
    </row>
    <row r="200" spans="1:9" x14ac:dyDescent="0.3">
      <c r="A200">
        <v>1554</v>
      </c>
      <c r="B200" t="s">
        <v>1694</v>
      </c>
      <c r="C200" t="s">
        <v>2529</v>
      </c>
      <c r="D200" t="s">
        <v>1203</v>
      </c>
      <c r="E200" t="s">
        <v>1204</v>
      </c>
      <c r="F200">
        <v>5469</v>
      </c>
      <c r="G200" t="s">
        <v>2530</v>
      </c>
      <c r="H200" t="s">
        <v>2601</v>
      </c>
      <c r="I200" t="s">
        <v>2530</v>
      </c>
    </row>
    <row r="201" spans="1:9" x14ac:dyDescent="0.3">
      <c r="A201">
        <v>1570</v>
      </c>
      <c r="B201" t="s">
        <v>1697</v>
      </c>
      <c r="C201" t="s">
        <v>2529</v>
      </c>
      <c r="D201" t="s">
        <v>159</v>
      </c>
      <c r="E201" t="s">
        <v>159</v>
      </c>
      <c r="F201">
        <v>6877</v>
      </c>
      <c r="G201" t="s">
        <v>2537</v>
      </c>
      <c r="H201" t="s">
        <v>2460</v>
      </c>
      <c r="I201" t="s">
        <v>2530</v>
      </c>
    </row>
    <row r="202" spans="1:9" x14ac:dyDescent="0.3">
      <c r="A202">
        <v>1587</v>
      </c>
      <c r="B202" t="s">
        <v>1699</v>
      </c>
      <c r="C202" t="s">
        <v>2529</v>
      </c>
      <c r="D202" t="s">
        <v>159</v>
      </c>
      <c r="E202" t="s">
        <v>159</v>
      </c>
      <c r="F202">
        <v>7799</v>
      </c>
      <c r="G202" t="s">
        <v>2530</v>
      </c>
      <c r="H202" t="s">
        <v>2602</v>
      </c>
      <c r="I202" t="s">
        <v>2530</v>
      </c>
    </row>
    <row r="203" spans="1:9" x14ac:dyDescent="0.3">
      <c r="A203">
        <v>1589</v>
      </c>
      <c r="B203" t="s">
        <v>1703</v>
      </c>
      <c r="C203" t="s">
        <v>2529</v>
      </c>
      <c r="D203" t="s">
        <v>1203</v>
      </c>
      <c r="E203" t="s">
        <v>1204</v>
      </c>
      <c r="F203">
        <v>5456</v>
      </c>
      <c r="G203" t="s">
        <v>2530</v>
      </c>
      <c r="H203" t="s">
        <v>2603</v>
      </c>
      <c r="I203" t="s">
        <v>2530</v>
      </c>
    </row>
    <row r="204" spans="1:9" x14ac:dyDescent="0.3">
      <c r="A204">
        <v>1596</v>
      </c>
      <c r="B204" t="s">
        <v>1704</v>
      </c>
      <c r="C204" t="s">
        <v>2529</v>
      </c>
      <c r="D204" t="s">
        <v>1203</v>
      </c>
      <c r="E204" t="s">
        <v>1204</v>
      </c>
      <c r="F204">
        <v>5615</v>
      </c>
      <c r="G204" t="s">
        <v>2530</v>
      </c>
      <c r="H204" t="s">
        <v>2545</v>
      </c>
      <c r="I204" t="s">
        <v>2530</v>
      </c>
    </row>
    <row r="205" spans="1:9" x14ac:dyDescent="0.3">
      <c r="A205">
        <v>1605</v>
      </c>
      <c r="B205" t="s">
        <v>1706</v>
      </c>
      <c r="C205" t="s">
        <v>2529</v>
      </c>
      <c r="D205" t="s">
        <v>1203</v>
      </c>
      <c r="E205" t="s">
        <v>1204</v>
      </c>
      <c r="F205">
        <v>6395</v>
      </c>
      <c r="G205" t="s">
        <v>2530</v>
      </c>
      <c r="H205" t="s">
        <v>2604</v>
      </c>
      <c r="I205" t="s">
        <v>2530</v>
      </c>
    </row>
    <row r="206" spans="1:9" x14ac:dyDescent="0.3">
      <c r="A206">
        <v>1613</v>
      </c>
      <c r="B206" t="s">
        <v>1707</v>
      </c>
      <c r="C206" t="s">
        <v>2529</v>
      </c>
      <c r="D206" t="s">
        <v>1203</v>
      </c>
      <c r="E206" t="s">
        <v>1204</v>
      </c>
      <c r="F206">
        <v>5704</v>
      </c>
      <c r="G206" t="s">
        <v>2530</v>
      </c>
      <c r="H206" t="s">
        <v>2605</v>
      </c>
      <c r="I206" t="s">
        <v>2530</v>
      </c>
    </row>
    <row r="207" spans="1:9" x14ac:dyDescent="0.3">
      <c r="A207">
        <v>1619</v>
      </c>
      <c r="B207" t="s">
        <v>1713</v>
      </c>
      <c r="C207" t="s">
        <v>2529</v>
      </c>
      <c r="D207" t="s">
        <v>1203</v>
      </c>
      <c r="E207" t="s">
        <v>1204</v>
      </c>
      <c r="F207">
        <v>5467</v>
      </c>
      <c r="G207" t="s">
        <v>2530</v>
      </c>
      <c r="H207" t="s">
        <v>2586</v>
      </c>
      <c r="I207" t="s">
        <v>2530</v>
      </c>
    </row>
    <row r="208" spans="1:9" x14ac:dyDescent="0.3">
      <c r="A208">
        <v>1626</v>
      </c>
      <c r="B208" t="s">
        <v>1716</v>
      </c>
      <c r="C208" t="s">
        <v>2529</v>
      </c>
      <c r="D208" t="s">
        <v>1203</v>
      </c>
      <c r="E208" t="s">
        <v>1204</v>
      </c>
      <c r="F208">
        <v>5700</v>
      </c>
      <c r="G208" t="s">
        <v>2530</v>
      </c>
      <c r="H208" t="s">
        <v>2606</v>
      </c>
      <c r="I208" t="s">
        <v>2530</v>
      </c>
    </row>
    <row r="209" spans="1:9" x14ac:dyDescent="0.3">
      <c r="A209">
        <v>1631</v>
      </c>
      <c r="B209" t="s">
        <v>1717</v>
      </c>
      <c r="C209" t="s">
        <v>2529</v>
      </c>
      <c r="D209" t="s">
        <v>159</v>
      </c>
      <c r="E209" t="s">
        <v>159</v>
      </c>
      <c r="F209">
        <v>6740</v>
      </c>
      <c r="G209" t="s">
        <v>2537</v>
      </c>
      <c r="H209" t="s">
        <v>2460</v>
      </c>
      <c r="I209" t="s">
        <v>2530</v>
      </c>
    </row>
    <row r="210" spans="1:9" x14ac:dyDescent="0.3">
      <c r="A210">
        <v>1639</v>
      </c>
      <c r="B210" t="s">
        <v>1719</v>
      </c>
      <c r="C210" t="s">
        <v>2529</v>
      </c>
      <c r="D210" t="s">
        <v>1203</v>
      </c>
      <c r="E210" t="s">
        <v>1204</v>
      </c>
      <c r="F210">
        <v>5507</v>
      </c>
      <c r="G210" t="s">
        <v>2530</v>
      </c>
      <c r="H210" t="s">
        <v>2533</v>
      </c>
      <c r="I210" t="s">
        <v>2530</v>
      </c>
    </row>
    <row r="211" spans="1:9" x14ac:dyDescent="0.3">
      <c r="A211">
        <v>1642</v>
      </c>
      <c r="B211" t="s">
        <v>1720</v>
      </c>
      <c r="C211" t="s">
        <v>2529</v>
      </c>
      <c r="D211" t="s">
        <v>1203</v>
      </c>
      <c r="E211" t="s">
        <v>1204</v>
      </c>
      <c r="F211">
        <v>5531</v>
      </c>
      <c r="G211" t="s">
        <v>2530</v>
      </c>
      <c r="H211" t="s">
        <v>2533</v>
      </c>
      <c r="I211" t="s">
        <v>2530</v>
      </c>
    </row>
    <row r="212" spans="1:9" x14ac:dyDescent="0.3">
      <c r="A212">
        <v>1644</v>
      </c>
      <c r="B212" t="s">
        <v>1721</v>
      </c>
      <c r="C212" t="s">
        <v>2529</v>
      </c>
      <c r="D212" t="s">
        <v>1203</v>
      </c>
      <c r="E212" t="s">
        <v>1204</v>
      </c>
      <c r="F212">
        <v>5943</v>
      </c>
      <c r="G212" t="s">
        <v>2537</v>
      </c>
      <c r="H212" t="s">
        <v>2460</v>
      </c>
      <c r="I212" t="s">
        <v>2530</v>
      </c>
    </row>
    <row r="213" spans="1:9" x14ac:dyDescent="0.3">
      <c r="A213">
        <v>1645</v>
      </c>
      <c r="B213" t="s">
        <v>1722</v>
      </c>
      <c r="C213" t="s">
        <v>2529</v>
      </c>
      <c r="D213" t="s">
        <v>159</v>
      </c>
      <c r="E213" t="s">
        <v>159</v>
      </c>
      <c r="F213">
        <v>7917</v>
      </c>
      <c r="G213" t="s">
        <v>2530</v>
      </c>
      <c r="H213" t="s">
        <v>2558</v>
      </c>
      <c r="I213" t="s">
        <v>2530</v>
      </c>
    </row>
    <row r="214" spans="1:9" x14ac:dyDescent="0.3">
      <c r="A214">
        <v>1650</v>
      </c>
      <c r="B214" t="s">
        <v>1724</v>
      </c>
      <c r="C214" t="s">
        <v>2529</v>
      </c>
      <c r="D214" t="s">
        <v>1203</v>
      </c>
      <c r="E214" t="s">
        <v>1204</v>
      </c>
      <c r="F214">
        <v>5505</v>
      </c>
      <c r="G214" t="s">
        <v>2530</v>
      </c>
      <c r="H214" t="s">
        <v>2533</v>
      </c>
      <c r="I214" t="s">
        <v>2530</v>
      </c>
    </row>
    <row r="215" spans="1:9" x14ac:dyDescent="0.3">
      <c r="A215">
        <v>1656</v>
      </c>
      <c r="B215" t="s">
        <v>1725</v>
      </c>
      <c r="C215" t="s">
        <v>2529</v>
      </c>
      <c r="D215" t="s">
        <v>1203</v>
      </c>
      <c r="E215" t="s">
        <v>1204</v>
      </c>
      <c r="F215">
        <v>6765</v>
      </c>
      <c r="G215" t="s">
        <v>2530</v>
      </c>
      <c r="H215" t="s">
        <v>2607</v>
      </c>
      <c r="I215" t="s">
        <v>2530</v>
      </c>
    </row>
    <row r="216" spans="1:9" x14ac:dyDescent="0.3">
      <c r="A216">
        <v>1660</v>
      </c>
      <c r="B216" t="s">
        <v>1727</v>
      </c>
      <c r="C216" t="s">
        <v>2529</v>
      </c>
      <c r="D216" t="s">
        <v>1203</v>
      </c>
      <c r="E216" t="s">
        <v>1204</v>
      </c>
      <c r="F216">
        <v>5935</v>
      </c>
      <c r="G216" t="s">
        <v>2530</v>
      </c>
      <c r="H216" t="s">
        <v>2553</v>
      </c>
      <c r="I216" t="s">
        <v>2530</v>
      </c>
    </row>
    <row r="217" spans="1:9" x14ac:dyDescent="0.3">
      <c r="A217">
        <v>1663</v>
      </c>
      <c r="B217" t="s">
        <v>1728</v>
      </c>
      <c r="C217" t="s">
        <v>2529</v>
      </c>
      <c r="D217" t="s">
        <v>159</v>
      </c>
      <c r="E217" t="s">
        <v>159</v>
      </c>
      <c r="F217">
        <v>7831</v>
      </c>
      <c r="G217" t="s">
        <v>2530</v>
      </c>
      <c r="H217" t="s">
        <v>2608</v>
      </c>
      <c r="I217" t="s">
        <v>2530</v>
      </c>
    </row>
    <row r="218" spans="1:9" x14ac:dyDescent="0.3">
      <c r="A218">
        <v>1671</v>
      </c>
      <c r="B218" t="s">
        <v>1736</v>
      </c>
      <c r="C218" t="s">
        <v>2529</v>
      </c>
      <c r="D218" t="s">
        <v>1203</v>
      </c>
      <c r="E218" t="s">
        <v>1204</v>
      </c>
      <c r="F218">
        <v>5775</v>
      </c>
      <c r="G218" t="s">
        <v>2530</v>
      </c>
      <c r="H218" t="s">
        <v>2609</v>
      </c>
      <c r="I218" t="s">
        <v>2530</v>
      </c>
    </row>
    <row r="219" spans="1:9" x14ac:dyDescent="0.3">
      <c r="A219">
        <v>1697</v>
      </c>
      <c r="B219" t="s">
        <v>1737</v>
      </c>
      <c r="C219" t="s">
        <v>2529</v>
      </c>
      <c r="D219" t="s">
        <v>1203</v>
      </c>
      <c r="E219" t="s">
        <v>1204</v>
      </c>
      <c r="F219">
        <v>5833</v>
      </c>
      <c r="G219" t="s">
        <v>2530</v>
      </c>
      <c r="H219" s="216" t="s">
        <v>2610</v>
      </c>
      <c r="I219" t="s">
        <v>2530</v>
      </c>
    </row>
    <row r="220" spans="1:9" x14ac:dyDescent="0.3">
      <c r="A220">
        <v>1701</v>
      </c>
      <c r="B220" t="s">
        <v>1739</v>
      </c>
      <c r="C220" t="s">
        <v>2529</v>
      </c>
      <c r="D220" t="s">
        <v>1203</v>
      </c>
      <c r="E220" t="s">
        <v>1204</v>
      </c>
      <c r="F220">
        <v>5884</v>
      </c>
      <c r="G220" t="s">
        <v>2530</v>
      </c>
      <c r="H220" t="s">
        <v>2535</v>
      </c>
      <c r="I220" t="s">
        <v>2530</v>
      </c>
    </row>
    <row r="221" spans="1:9" x14ac:dyDescent="0.3">
      <c r="A221">
        <v>1718</v>
      </c>
      <c r="B221" t="s">
        <v>1747</v>
      </c>
      <c r="C221" t="s">
        <v>2529</v>
      </c>
      <c r="D221" t="s">
        <v>1203</v>
      </c>
      <c r="E221" t="s">
        <v>1204</v>
      </c>
      <c r="F221">
        <v>5882</v>
      </c>
      <c r="G221" t="s">
        <v>2530</v>
      </c>
      <c r="H221" t="s">
        <v>2591</v>
      </c>
      <c r="I221" t="s">
        <v>2530</v>
      </c>
    </row>
    <row r="222" spans="1:9" x14ac:dyDescent="0.3">
      <c r="A222">
        <v>1729</v>
      </c>
      <c r="B222" t="s">
        <v>1751</v>
      </c>
      <c r="C222" t="s">
        <v>2529</v>
      </c>
      <c r="D222" t="s">
        <v>1203</v>
      </c>
      <c r="E222" t="s">
        <v>1204</v>
      </c>
      <c r="F222">
        <v>6758</v>
      </c>
      <c r="G222" t="s">
        <v>2537</v>
      </c>
      <c r="H222" t="s">
        <v>2460</v>
      </c>
      <c r="I222" t="s">
        <v>2530</v>
      </c>
    </row>
    <row r="223" spans="1:9" x14ac:dyDescent="0.3">
      <c r="A223">
        <v>1730</v>
      </c>
      <c r="B223" t="s">
        <v>1757</v>
      </c>
      <c r="C223" t="s">
        <v>2529</v>
      </c>
      <c r="D223" t="s">
        <v>159</v>
      </c>
      <c r="E223" t="s">
        <v>159</v>
      </c>
      <c r="F223">
        <v>7710</v>
      </c>
      <c r="G223" t="s">
        <v>2530</v>
      </c>
      <c r="H223" t="s">
        <v>2611</v>
      </c>
      <c r="I223" t="s">
        <v>2530</v>
      </c>
    </row>
    <row r="224" spans="1:9" x14ac:dyDescent="0.3">
      <c r="A224">
        <v>1731</v>
      </c>
      <c r="B224" t="s">
        <v>1758</v>
      </c>
      <c r="C224" t="s">
        <v>2529</v>
      </c>
      <c r="D224" t="s">
        <v>1203</v>
      </c>
      <c r="E224" t="s">
        <v>1204</v>
      </c>
      <c r="F224">
        <v>6882</v>
      </c>
      <c r="G224" t="s">
        <v>2537</v>
      </c>
      <c r="H224" t="s">
        <v>2460</v>
      </c>
      <c r="I224" t="s">
        <v>2530</v>
      </c>
    </row>
    <row r="225" spans="1:9" x14ac:dyDescent="0.3">
      <c r="A225">
        <v>1732</v>
      </c>
      <c r="B225" t="s">
        <v>1759</v>
      </c>
      <c r="C225" t="s">
        <v>2529</v>
      </c>
      <c r="D225" t="s">
        <v>1203</v>
      </c>
      <c r="E225" t="s">
        <v>1204</v>
      </c>
      <c r="F225">
        <v>5722</v>
      </c>
      <c r="G225" t="s">
        <v>2537</v>
      </c>
      <c r="H225" t="s">
        <v>2460</v>
      </c>
      <c r="I225" t="s">
        <v>2537</v>
      </c>
    </row>
    <row r="226" spans="1:9" x14ac:dyDescent="0.3">
      <c r="A226">
        <v>1739</v>
      </c>
      <c r="B226" t="s">
        <v>1760</v>
      </c>
      <c r="C226" t="s">
        <v>2529</v>
      </c>
      <c r="D226" t="s">
        <v>1203</v>
      </c>
      <c r="E226" t="s">
        <v>1204</v>
      </c>
      <c r="F226">
        <v>5806</v>
      </c>
      <c r="G226" t="s">
        <v>2530</v>
      </c>
      <c r="H226" t="s">
        <v>2576</v>
      </c>
      <c r="I226" t="s">
        <v>2530</v>
      </c>
    </row>
    <row r="227" spans="1:9" x14ac:dyDescent="0.3">
      <c r="A227">
        <v>1748</v>
      </c>
      <c r="B227" t="s">
        <v>1764</v>
      </c>
      <c r="C227" t="s">
        <v>2529</v>
      </c>
      <c r="D227" t="s">
        <v>1203</v>
      </c>
      <c r="E227" t="s">
        <v>1204</v>
      </c>
      <c r="F227">
        <v>5739</v>
      </c>
      <c r="G227" t="s">
        <v>2530</v>
      </c>
      <c r="H227" t="s">
        <v>2612</v>
      </c>
      <c r="I227" t="s">
        <v>2530</v>
      </c>
    </row>
    <row r="228" spans="1:9" x14ac:dyDescent="0.3">
      <c r="A228">
        <v>1752</v>
      </c>
      <c r="B228" t="s">
        <v>1769</v>
      </c>
      <c r="C228" t="s">
        <v>2529</v>
      </c>
      <c r="D228" t="s">
        <v>1203</v>
      </c>
      <c r="E228" t="s">
        <v>1204</v>
      </c>
      <c r="F228">
        <v>5545</v>
      </c>
      <c r="G228" t="s">
        <v>2537</v>
      </c>
      <c r="H228" t="s">
        <v>2460</v>
      </c>
      <c r="I228" t="s">
        <v>2530</v>
      </c>
    </row>
    <row r="229" spans="1:9" x14ac:dyDescent="0.3">
      <c r="A229">
        <v>1756</v>
      </c>
      <c r="B229" t="s">
        <v>1771</v>
      </c>
      <c r="C229" t="s">
        <v>2529</v>
      </c>
      <c r="D229" t="s">
        <v>1203</v>
      </c>
      <c r="E229" t="s">
        <v>1204</v>
      </c>
      <c r="F229">
        <v>5685</v>
      </c>
      <c r="G229" t="s">
        <v>2537</v>
      </c>
      <c r="H229" t="s">
        <v>2460</v>
      </c>
      <c r="I229" t="s">
        <v>2530</v>
      </c>
    </row>
    <row r="230" spans="1:9" x14ac:dyDescent="0.3">
      <c r="A230">
        <v>1765</v>
      </c>
      <c r="B230" t="s">
        <v>1772</v>
      </c>
      <c r="C230" t="s">
        <v>2529</v>
      </c>
      <c r="D230" t="s">
        <v>1203</v>
      </c>
      <c r="E230" t="s">
        <v>1204</v>
      </c>
      <c r="F230">
        <v>7136</v>
      </c>
      <c r="G230" t="s">
        <v>2537</v>
      </c>
      <c r="H230" t="s">
        <v>2460</v>
      </c>
      <c r="I230" t="s">
        <v>2530</v>
      </c>
    </row>
    <row r="231" spans="1:9" x14ac:dyDescent="0.3">
      <c r="A231">
        <v>1777</v>
      </c>
      <c r="B231" t="s">
        <v>1773</v>
      </c>
      <c r="C231" t="s">
        <v>2529</v>
      </c>
      <c r="D231" t="s">
        <v>1203</v>
      </c>
      <c r="E231" t="s">
        <v>1204</v>
      </c>
      <c r="F231">
        <v>5661</v>
      </c>
      <c r="G231" t="s">
        <v>2530</v>
      </c>
      <c r="H231" t="s">
        <v>2613</v>
      </c>
      <c r="I231" t="s">
        <v>2530</v>
      </c>
    </row>
    <row r="232" spans="1:9" x14ac:dyDescent="0.3">
      <c r="A232">
        <v>1792</v>
      </c>
      <c r="B232" t="s">
        <v>1781</v>
      </c>
      <c r="C232" t="s">
        <v>2529</v>
      </c>
      <c r="D232" t="s">
        <v>1203</v>
      </c>
      <c r="E232" t="s">
        <v>1204</v>
      </c>
      <c r="F232">
        <v>6604</v>
      </c>
      <c r="G232" t="s">
        <v>2537</v>
      </c>
      <c r="H232" t="s">
        <v>2460</v>
      </c>
      <c r="I232" t="s">
        <v>2530</v>
      </c>
    </row>
    <row r="233" spans="1:9" x14ac:dyDescent="0.3">
      <c r="A233">
        <v>1793</v>
      </c>
      <c r="B233" t="s">
        <v>1785</v>
      </c>
      <c r="C233" t="s">
        <v>2529</v>
      </c>
      <c r="D233" t="s">
        <v>1203</v>
      </c>
      <c r="E233" t="s">
        <v>1204</v>
      </c>
      <c r="F233">
        <v>5763</v>
      </c>
      <c r="G233" t="s">
        <v>2530</v>
      </c>
      <c r="H233" t="s">
        <v>2614</v>
      </c>
      <c r="I233" t="s">
        <v>2530</v>
      </c>
    </row>
    <row r="234" spans="1:9" x14ac:dyDescent="0.3">
      <c r="A234">
        <v>1795</v>
      </c>
      <c r="B234" t="s">
        <v>1787</v>
      </c>
      <c r="C234" t="s">
        <v>2529</v>
      </c>
      <c r="D234" t="s">
        <v>1203</v>
      </c>
      <c r="E234" t="s">
        <v>1204</v>
      </c>
      <c r="F234">
        <v>5536</v>
      </c>
      <c r="G234" t="s">
        <v>2530</v>
      </c>
      <c r="H234" t="s">
        <v>2533</v>
      </c>
      <c r="I234" t="s">
        <v>2530</v>
      </c>
    </row>
    <row r="235" spans="1:9" x14ac:dyDescent="0.3">
      <c r="A235">
        <v>1797</v>
      </c>
      <c r="B235" t="s">
        <v>1788</v>
      </c>
      <c r="C235" t="s">
        <v>2529</v>
      </c>
      <c r="D235" t="s">
        <v>1203</v>
      </c>
      <c r="E235" t="s">
        <v>1204</v>
      </c>
      <c r="F235">
        <v>6744</v>
      </c>
      <c r="G235" t="s">
        <v>2530</v>
      </c>
      <c r="H235" t="s">
        <v>2545</v>
      </c>
      <c r="I235" t="s">
        <v>2530</v>
      </c>
    </row>
    <row r="236" spans="1:9" x14ac:dyDescent="0.3">
      <c r="A236">
        <v>1803</v>
      </c>
      <c r="B236" t="s">
        <v>1789</v>
      </c>
      <c r="C236" t="s">
        <v>2529</v>
      </c>
      <c r="D236" t="s">
        <v>1203</v>
      </c>
      <c r="E236" t="s">
        <v>1204</v>
      </c>
      <c r="F236">
        <v>5880</v>
      </c>
      <c r="G236" t="s">
        <v>2530</v>
      </c>
      <c r="H236" t="s">
        <v>2535</v>
      </c>
      <c r="I236" t="s">
        <v>2530</v>
      </c>
    </row>
    <row r="237" spans="1:9" x14ac:dyDescent="0.3">
      <c r="A237">
        <v>1804</v>
      </c>
      <c r="B237" t="s">
        <v>1791</v>
      </c>
      <c r="C237" t="s">
        <v>2529</v>
      </c>
      <c r="D237" t="s">
        <v>159</v>
      </c>
      <c r="E237" t="s">
        <v>159</v>
      </c>
      <c r="F237">
        <v>7865</v>
      </c>
      <c r="G237" t="s">
        <v>2537</v>
      </c>
      <c r="H237" t="s">
        <v>2460</v>
      </c>
      <c r="I237" t="s">
        <v>2537</v>
      </c>
    </row>
    <row r="238" spans="1:9" x14ac:dyDescent="0.3">
      <c r="A238">
        <v>1821</v>
      </c>
      <c r="B238" t="s">
        <v>1792</v>
      </c>
      <c r="C238" t="s">
        <v>2529</v>
      </c>
      <c r="D238" t="s">
        <v>1203</v>
      </c>
      <c r="E238" t="s">
        <v>1204</v>
      </c>
      <c r="F238">
        <v>5457</v>
      </c>
      <c r="G238" t="s">
        <v>2530</v>
      </c>
      <c r="H238" t="s">
        <v>2615</v>
      </c>
      <c r="I238" t="s">
        <v>2530</v>
      </c>
    </row>
    <row r="239" spans="1:9" x14ac:dyDescent="0.3">
      <c r="A239">
        <v>1827</v>
      </c>
      <c r="B239" t="s">
        <v>1794</v>
      </c>
      <c r="C239" t="s">
        <v>2529</v>
      </c>
      <c r="D239" t="s">
        <v>1203</v>
      </c>
      <c r="E239" t="s">
        <v>1204</v>
      </c>
      <c r="F239">
        <v>5837</v>
      </c>
      <c r="G239" t="s">
        <v>2530</v>
      </c>
      <c r="H239" t="s">
        <v>2616</v>
      </c>
      <c r="I239" t="s">
        <v>2530</v>
      </c>
    </row>
    <row r="240" spans="1:9" x14ac:dyDescent="0.3">
      <c r="A240">
        <v>1838</v>
      </c>
      <c r="B240" t="s">
        <v>1797</v>
      </c>
      <c r="C240" t="s">
        <v>2529</v>
      </c>
      <c r="D240" t="s">
        <v>1203</v>
      </c>
      <c r="E240" t="s">
        <v>1204</v>
      </c>
      <c r="F240">
        <v>5805</v>
      </c>
      <c r="G240" t="s">
        <v>2537</v>
      </c>
      <c r="H240" t="s">
        <v>2550</v>
      </c>
      <c r="I240" t="s">
        <v>2530</v>
      </c>
    </row>
    <row r="241" spans="1:9" x14ac:dyDescent="0.3">
      <c r="A241">
        <v>1849</v>
      </c>
      <c r="B241" t="s">
        <v>960</v>
      </c>
      <c r="C241" t="s">
        <v>2529</v>
      </c>
      <c r="D241" t="s">
        <v>1203</v>
      </c>
      <c r="E241" t="s">
        <v>1204</v>
      </c>
      <c r="F241">
        <v>5733</v>
      </c>
      <c r="G241" t="s">
        <v>2537</v>
      </c>
      <c r="H241" t="s">
        <v>2460</v>
      </c>
      <c r="I241" t="s">
        <v>2530</v>
      </c>
    </row>
    <row r="242" spans="1:9" x14ac:dyDescent="0.3">
      <c r="A242">
        <v>1851</v>
      </c>
      <c r="B242" t="s">
        <v>1800</v>
      </c>
      <c r="C242" t="s">
        <v>2529</v>
      </c>
      <c r="D242" t="s">
        <v>159</v>
      </c>
      <c r="E242" t="s">
        <v>159</v>
      </c>
      <c r="F242">
        <v>7787</v>
      </c>
      <c r="G242" t="s">
        <v>2530</v>
      </c>
      <c r="H242" t="s">
        <v>2617</v>
      </c>
      <c r="I242" t="s">
        <v>2530</v>
      </c>
    </row>
    <row r="243" spans="1:9" x14ac:dyDescent="0.3">
      <c r="A243">
        <v>1859</v>
      </c>
      <c r="B243" t="s">
        <v>1801</v>
      </c>
      <c r="C243" t="s">
        <v>2529</v>
      </c>
      <c r="D243" t="s">
        <v>1203</v>
      </c>
      <c r="E243" t="s">
        <v>1204</v>
      </c>
      <c r="F243">
        <v>5801</v>
      </c>
      <c r="G243" t="s">
        <v>2537</v>
      </c>
      <c r="H243" t="s">
        <v>2460</v>
      </c>
      <c r="I243" t="s">
        <v>2530</v>
      </c>
    </row>
    <row r="244" spans="1:9" x14ac:dyDescent="0.3">
      <c r="A244">
        <v>1866</v>
      </c>
      <c r="B244" t="s">
        <v>1805</v>
      </c>
      <c r="C244" t="s">
        <v>2529</v>
      </c>
      <c r="D244" t="s">
        <v>1203</v>
      </c>
      <c r="E244" t="s">
        <v>1204</v>
      </c>
      <c r="F244">
        <v>5596</v>
      </c>
      <c r="G244" t="s">
        <v>2537</v>
      </c>
      <c r="H244" t="s">
        <v>2460</v>
      </c>
      <c r="I244" t="s">
        <v>2530</v>
      </c>
    </row>
    <row r="245" spans="1:9" x14ac:dyDescent="0.3">
      <c r="A245">
        <v>1873</v>
      </c>
      <c r="B245" t="s">
        <v>1806</v>
      </c>
      <c r="C245" t="s">
        <v>2529</v>
      </c>
      <c r="D245" t="s">
        <v>159</v>
      </c>
      <c r="E245" t="s">
        <v>159</v>
      </c>
      <c r="F245">
        <v>7209</v>
      </c>
      <c r="G245" t="s">
        <v>2530</v>
      </c>
      <c r="H245" t="s">
        <v>2535</v>
      </c>
      <c r="I245" t="s">
        <v>2530</v>
      </c>
    </row>
    <row r="246" spans="1:9" x14ac:dyDescent="0.3">
      <c r="A246">
        <v>1875</v>
      </c>
      <c r="B246" t="s">
        <v>1811</v>
      </c>
      <c r="C246" t="s">
        <v>2529</v>
      </c>
      <c r="D246" t="s">
        <v>1203</v>
      </c>
      <c r="E246" t="s">
        <v>1204</v>
      </c>
      <c r="F246">
        <v>5876</v>
      </c>
      <c r="G246" t="s">
        <v>2530</v>
      </c>
      <c r="H246" t="s">
        <v>2618</v>
      </c>
      <c r="I246" t="s">
        <v>2530</v>
      </c>
    </row>
    <row r="247" spans="1:9" x14ac:dyDescent="0.3">
      <c r="A247">
        <v>1877</v>
      </c>
      <c r="B247" t="s">
        <v>1812</v>
      </c>
      <c r="C247" t="s">
        <v>2529</v>
      </c>
      <c r="D247" t="s">
        <v>1203</v>
      </c>
      <c r="E247" t="s">
        <v>1204</v>
      </c>
      <c r="F247">
        <v>5751</v>
      </c>
      <c r="G247" t="s">
        <v>2530</v>
      </c>
      <c r="H247" t="s">
        <v>2596</v>
      </c>
      <c r="I247" t="s">
        <v>2530</v>
      </c>
    </row>
    <row r="248" spans="1:9" x14ac:dyDescent="0.3">
      <c r="A248">
        <v>1894</v>
      </c>
      <c r="B248" t="s">
        <v>1814</v>
      </c>
      <c r="C248" t="s">
        <v>2529</v>
      </c>
      <c r="D248" t="s">
        <v>1203</v>
      </c>
      <c r="E248" t="s">
        <v>1204</v>
      </c>
      <c r="F248">
        <v>5679</v>
      </c>
      <c r="G248" t="s">
        <v>2530</v>
      </c>
      <c r="H248" t="s">
        <v>2619</v>
      </c>
      <c r="I248" t="s">
        <v>2530</v>
      </c>
    </row>
    <row r="249" spans="1:9" x14ac:dyDescent="0.3">
      <c r="A249">
        <v>1896</v>
      </c>
      <c r="B249" t="s">
        <v>1816</v>
      </c>
      <c r="C249" t="s">
        <v>2529</v>
      </c>
      <c r="D249" t="s">
        <v>1203</v>
      </c>
      <c r="E249" t="s">
        <v>1204</v>
      </c>
      <c r="F249">
        <v>6011</v>
      </c>
      <c r="G249" t="s">
        <v>2530</v>
      </c>
      <c r="H249" t="s">
        <v>2620</v>
      </c>
      <c r="I249" t="s">
        <v>2530</v>
      </c>
    </row>
    <row r="250" spans="1:9" x14ac:dyDescent="0.3">
      <c r="A250">
        <v>1899</v>
      </c>
      <c r="B250" t="s">
        <v>1818</v>
      </c>
      <c r="C250" t="s">
        <v>2529</v>
      </c>
      <c r="D250" t="s">
        <v>1203</v>
      </c>
      <c r="E250" t="s">
        <v>1204</v>
      </c>
      <c r="F250">
        <v>5877</v>
      </c>
      <c r="G250" t="s">
        <v>2537</v>
      </c>
      <c r="H250" t="s">
        <v>2460</v>
      </c>
      <c r="I250" t="s">
        <v>2530</v>
      </c>
    </row>
    <row r="251" spans="1:9" x14ac:dyDescent="0.3">
      <c r="A251">
        <v>1900</v>
      </c>
      <c r="B251" t="s">
        <v>1822</v>
      </c>
      <c r="C251" t="s">
        <v>2529</v>
      </c>
      <c r="D251" t="s">
        <v>1203</v>
      </c>
      <c r="E251" t="s">
        <v>1204</v>
      </c>
      <c r="F251">
        <v>5519</v>
      </c>
      <c r="G251" t="s">
        <v>2530</v>
      </c>
      <c r="H251" t="s">
        <v>2533</v>
      </c>
      <c r="I251" t="s">
        <v>2530</v>
      </c>
    </row>
    <row r="252" spans="1:9" x14ac:dyDescent="0.3">
      <c r="A252">
        <v>1923</v>
      </c>
      <c r="B252" t="s">
        <v>1823</v>
      </c>
      <c r="C252" t="s">
        <v>2529</v>
      </c>
      <c r="D252" t="s">
        <v>1203</v>
      </c>
      <c r="E252" t="s">
        <v>1204</v>
      </c>
      <c r="F252">
        <v>5777</v>
      </c>
      <c r="G252" t="s">
        <v>2537</v>
      </c>
      <c r="H252" t="s">
        <v>2460</v>
      </c>
      <c r="I252" t="s">
        <v>2530</v>
      </c>
    </row>
    <row r="253" spans="1:9" x14ac:dyDescent="0.3">
      <c r="A253">
        <v>1925</v>
      </c>
      <c r="B253" t="s">
        <v>1824</v>
      </c>
      <c r="C253" t="s">
        <v>2529</v>
      </c>
      <c r="D253" t="s">
        <v>1203</v>
      </c>
      <c r="E253" t="s">
        <v>1204</v>
      </c>
      <c r="F253">
        <v>6160</v>
      </c>
      <c r="G253" t="s">
        <v>2530</v>
      </c>
      <c r="H253" t="s">
        <v>2621</v>
      </c>
      <c r="I253" t="s">
        <v>2530</v>
      </c>
    </row>
    <row r="254" spans="1:9" x14ac:dyDescent="0.3">
      <c r="A254">
        <v>1927</v>
      </c>
      <c r="B254" t="s">
        <v>771</v>
      </c>
      <c r="C254" t="s">
        <v>2529</v>
      </c>
      <c r="D254" t="s">
        <v>1203</v>
      </c>
      <c r="E254" t="s">
        <v>1204</v>
      </c>
      <c r="F254">
        <v>6885</v>
      </c>
      <c r="G254" t="s">
        <v>2537</v>
      </c>
      <c r="H254" t="s">
        <v>2460</v>
      </c>
      <c r="I254" t="s">
        <v>2530</v>
      </c>
    </row>
    <row r="255" spans="1:9" x14ac:dyDescent="0.3">
      <c r="A255">
        <v>1940</v>
      </c>
      <c r="B255" t="s">
        <v>1828</v>
      </c>
      <c r="C255" t="s">
        <v>2529</v>
      </c>
      <c r="D255" t="s">
        <v>159</v>
      </c>
      <c r="E255" t="s">
        <v>159</v>
      </c>
      <c r="F255">
        <v>7213</v>
      </c>
      <c r="G255" t="s">
        <v>2537</v>
      </c>
      <c r="H255" t="s">
        <v>2460</v>
      </c>
      <c r="I255" t="s">
        <v>2530</v>
      </c>
    </row>
    <row r="256" spans="1:9" x14ac:dyDescent="0.3">
      <c r="A256">
        <v>1945</v>
      </c>
      <c r="B256" t="s">
        <v>1829</v>
      </c>
      <c r="C256" t="s">
        <v>2529</v>
      </c>
      <c r="D256" t="s">
        <v>1203</v>
      </c>
      <c r="E256" t="s">
        <v>1204</v>
      </c>
      <c r="F256">
        <v>5546</v>
      </c>
      <c r="G256" t="s">
        <v>2530</v>
      </c>
      <c r="H256" t="s">
        <v>2533</v>
      </c>
      <c r="I256" t="s">
        <v>2530</v>
      </c>
    </row>
    <row r="257" spans="1:9" x14ac:dyDescent="0.3">
      <c r="A257">
        <v>1953</v>
      </c>
      <c r="B257" t="s">
        <v>1830</v>
      </c>
      <c r="C257" t="s">
        <v>2529</v>
      </c>
      <c r="D257" t="s">
        <v>1203</v>
      </c>
      <c r="E257" t="s">
        <v>1204</v>
      </c>
      <c r="F257">
        <v>5730</v>
      </c>
      <c r="G257" t="s">
        <v>2537</v>
      </c>
      <c r="H257" t="s">
        <v>2460</v>
      </c>
      <c r="I257" t="s">
        <v>2530</v>
      </c>
    </row>
    <row r="258" spans="1:9" x14ac:dyDescent="0.3">
      <c r="A258">
        <v>1964</v>
      </c>
      <c r="B258" t="s">
        <v>1832</v>
      </c>
      <c r="C258" t="s">
        <v>2529</v>
      </c>
      <c r="D258" t="s">
        <v>1203</v>
      </c>
      <c r="E258" t="s">
        <v>1204</v>
      </c>
      <c r="F258">
        <v>5509</v>
      </c>
      <c r="G258" t="s">
        <v>2530</v>
      </c>
      <c r="H258" t="s">
        <v>2622</v>
      </c>
      <c r="I258" t="s">
        <v>2530</v>
      </c>
    </row>
    <row r="259" spans="1:9" x14ac:dyDescent="0.3">
      <c r="A259">
        <v>1983</v>
      </c>
      <c r="B259" t="s">
        <v>1835</v>
      </c>
      <c r="C259" t="s">
        <v>2529</v>
      </c>
      <c r="D259" t="s">
        <v>1203</v>
      </c>
      <c r="E259" t="s">
        <v>1204</v>
      </c>
      <c r="F259">
        <v>5745</v>
      </c>
      <c r="G259" t="s">
        <v>2537</v>
      </c>
      <c r="H259" t="s">
        <v>2460</v>
      </c>
      <c r="I259" t="s">
        <v>2530</v>
      </c>
    </row>
    <row r="260" spans="1:9" x14ac:dyDescent="0.3">
      <c r="A260">
        <v>1990</v>
      </c>
      <c r="B260" t="s">
        <v>1836</v>
      </c>
      <c r="C260" t="s">
        <v>2529</v>
      </c>
      <c r="D260" t="s">
        <v>159</v>
      </c>
      <c r="E260" t="s">
        <v>159</v>
      </c>
      <c r="F260">
        <v>7651</v>
      </c>
      <c r="G260" t="s">
        <v>2537</v>
      </c>
      <c r="H260" t="s">
        <v>2623</v>
      </c>
      <c r="I260" t="s">
        <v>2530</v>
      </c>
    </row>
    <row r="261" spans="1:9" x14ac:dyDescent="0.3">
      <c r="A261">
        <v>1996</v>
      </c>
      <c r="B261" t="s">
        <v>1838</v>
      </c>
      <c r="C261" t="s">
        <v>2529</v>
      </c>
      <c r="D261" t="s">
        <v>1203</v>
      </c>
      <c r="E261" t="s">
        <v>1204</v>
      </c>
      <c r="F261">
        <v>5798</v>
      </c>
      <c r="G261" t="s">
        <v>2537</v>
      </c>
      <c r="H261" t="s">
        <v>2460</v>
      </c>
      <c r="I261" t="s">
        <v>2530</v>
      </c>
    </row>
    <row r="262" spans="1:9" x14ac:dyDescent="0.3">
      <c r="A262">
        <v>2000</v>
      </c>
      <c r="B262" t="s">
        <v>1839</v>
      </c>
      <c r="C262" t="s">
        <v>2529</v>
      </c>
      <c r="D262" t="s">
        <v>159</v>
      </c>
      <c r="E262" t="s">
        <v>159</v>
      </c>
      <c r="F262">
        <v>7709</v>
      </c>
      <c r="G262" t="s">
        <v>2537</v>
      </c>
      <c r="H262" t="s">
        <v>2460</v>
      </c>
      <c r="I262" t="s">
        <v>2530</v>
      </c>
    </row>
    <row r="263" spans="1:9" x14ac:dyDescent="0.3">
      <c r="A263">
        <v>2033</v>
      </c>
      <c r="B263" t="s">
        <v>865</v>
      </c>
      <c r="C263" t="s">
        <v>2529</v>
      </c>
      <c r="D263" t="s">
        <v>1203</v>
      </c>
      <c r="E263" t="s">
        <v>1204</v>
      </c>
      <c r="F263">
        <v>5479</v>
      </c>
      <c r="G263" t="s">
        <v>2537</v>
      </c>
      <c r="H263" t="s">
        <v>2460</v>
      </c>
      <c r="I263" t="s">
        <v>2530</v>
      </c>
    </row>
    <row r="264" spans="1:9" x14ac:dyDescent="0.3">
      <c r="A264">
        <v>2035</v>
      </c>
      <c r="B264" t="s">
        <v>1843</v>
      </c>
      <c r="C264" t="s">
        <v>2529</v>
      </c>
      <c r="D264" t="s">
        <v>1203</v>
      </c>
      <c r="E264" t="s">
        <v>1204</v>
      </c>
      <c r="F264">
        <v>5747</v>
      </c>
      <c r="G264" t="s">
        <v>2537</v>
      </c>
      <c r="H264" t="s">
        <v>2460</v>
      </c>
      <c r="I264" t="s">
        <v>2530</v>
      </c>
    </row>
    <row r="265" spans="1:9" x14ac:dyDescent="0.3">
      <c r="A265">
        <v>2037</v>
      </c>
      <c r="B265" t="s">
        <v>1845</v>
      </c>
      <c r="C265" t="s">
        <v>2529</v>
      </c>
      <c r="D265" t="s">
        <v>1203</v>
      </c>
      <c r="E265" t="s">
        <v>1204</v>
      </c>
      <c r="F265">
        <v>5619</v>
      </c>
      <c r="G265" t="s">
        <v>2530</v>
      </c>
      <c r="H265" t="s">
        <v>2548</v>
      </c>
      <c r="I265" t="s">
        <v>2530</v>
      </c>
    </row>
    <row r="266" spans="1:9" x14ac:dyDescent="0.3">
      <c r="A266">
        <v>2042</v>
      </c>
      <c r="B266" t="s">
        <v>1848</v>
      </c>
      <c r="C266" t="s">
        <v>2529</v>
      </c>
      <c r="D266" t="s">
        <v>1203</v>
      </c>
      <c r="E266" t="s">
        <v>1204</v>
      </c>
      <c r="F266">
        <v>7759</v>
      </c>
      <c r="G266" t="s">
        <v>2537</v>
      </c>
      <c r="H266" t="s">
        <v>2460</v>
      </c>
      <c r="I266" t="s">
        <v>2530</v>
      </c>
    </row>
    <row r="267" spans="1:9" x14ac:dyDescent="0.3">
      <c r="A267">
        <v>2049</v>
      </c>
      <c r="B267" t="s">
        <v>1849</v>
      </c>
      <c r="C267" t="s">
        <v>2529</v>
      </c>
      <c r="D267" t="s">
        <v>1203</v>
      </c>
      <c r="E267" t="s">
        <v>1204</v>
      </c>
      <c r="F267">
        <v>5727</v>
      </c>
      <c r="G267" t="s">
        <v>2537</v>
      </c>
      <c r="H267" t="s">
        <v>2460</v>
      </c>
      <c r="I267" t="s">
        <v>2530</v>
      </c>
    </row>
    <row r="268" spans="1:9" x14ac:dyDescent="0.3">
      <c r="A268">
        <v>2057</v>
      </c>
      <c r="B268" t="s">
        <v>1851</v>
      </c>
      <c r="C268" t="s">
        <v>2529</v>
      </c>
      <c r="D268" t="s">
        <v>159</v>
      </c>
      <c r="E268" t="s">
        <v>159</v>
      </c>
      <c r="F268">
        <v>5680</v>
      </c>
      <c r="G268" t="s">
        <v>2537</v>
      </c>
      <c r="H268" t="s">
        <v>2460</v>
      </c>
      <c r="I268" t="s">
        <v>2530</v>
      </c>
    </row>
    <row r="269" spans="1:9" x14ac:dyDescent="0.3">
      <c r="A269">
        <v>2063</v>
      </c>
      <c r="B269" t="s">
        <v>1852</v>
      </c>
      <c r="C269" t="s">
        <v>2529</v>
      </c>
      <c r="D269" t="s">
        <v>1203</v>
      </c>
      <c r="E269" t="s">
        <v>1204</v>
      </c>
      <c r="F269">
        <v>5732</v>
      </c>
      <c r="G269" t="s">
        <v>2537</v>
      </c>
      <c r="H269" t="s">
        <v>2460</v>
      </c>
      <c r="I269" t="s">
        <v>2530</v>
      </c>
    </row>
    <row r="270" spans="1:9" x14ac:dyDescent="0.3">
      <c r="A270">
        <v>2074</v>
      </c>
      <c r="B270" t="s">
        <v>1853</v>
      </c>
      <c r="C270" t="s">
        <v>2529</v>
      </c>
      <c r="D270" t="s">
        <v>1203</v>
      </c>
      <c r="E270" t="s">
        <v>1204</v>
      </c>
      <c r="F270">
        <v>6341</v>
      </c>
      <c r="G270" t="s">
        <v>2537</v>
      </c>
      <c r="H270" t="s">
        <v>2460</v>
      </c>
      <c r="I270" t="s">
        <v>2530</v>
      </c>
    </row>
    <row r="271" spans="1:9" x14ac:dyDescent="0.3">
      <c r="A271">
        <v>2083</v>
      </c>
      <c r="B271" t="s">
        <v>1854</v>
      </c>
      <c r="C271" t="s">
        <v>2529</v>
      </c>
      <c r="D271" t="s">
        <v>1203</v>
      </c>
      <c r="E271" t="s">
        <v>1204</v>
      </c>
      <c r="F271">
        <v>5706</v>
      </c>
      <c r="G271" t="s">
        <v>2530</v>
      </c>
      <c r="H271" t="s">
        <v>2539</v>
      </c>
      <c r="I271" t="s">
        <v>2530</v>
      </c>
    </row>
    <row r="272" spans="1:9" x14ac:dyDescent="0.3">
      <c r="A272">
        <v>2087</v>
      </c>
      <c r="B272" t="s">
        <v>1860</v>
      </c>
      <c r="C272" t="s">
        <v>2529</v>
      </c>
      <c r="D272" t="s">
        <v>1203</v>
      </c>
      <c r="E272" t="s">
        <v>1204</v>
      </c>
      <c r="F272">
        <v>5755</v>
      </c>
      <c r="G272" t="s">
        <v>2537</v>
      </c>
      <c r="H272" t="s">
        <v>2460</v>
      </c>
      <c r="I272" t="s">
        <v>2530</v>
      </c>
    </row>
    <row r="273" spans="1:9" x14ac:dyDescent="0.3">
      <c r="A273">
        <v>2103</v>
      </c>
      <c r="B273" t="s">
        <v>1862</v>
      </c>
      <c r="C273" t="s">
        <v>2529</v>
      </c>
      <c r="D273" t="s">
        <v>1203</v>
      </c>
      <c r="E273" t="s">
        <v>1204</v>
      </c>
      <c r="F273">
        <v>6641</v>
      </c>
      <c r="G273" t="s">
        <v>2530</v>
      </c>
      <c r="H273" t="s">
        <v>2624</v>
      </c>
      <c r="I273" t="s">
        <v>2537</v>
      </c>
    </row>
    <row r="274" spans="1:9" x14ac:dyDescent="0.3">
      <c r="A274">
        <v>2111</v>
      </c>
      <c r="B274" t="s">
        <v>868</v>
      </c>
      <c r="C274" t="s">
        <v>2529</v>
      </c>
      <c r="D274" t="s">
        <v>1203</v>
      </c>
      <c r="E274" t="s">
        <v>1204</v>
      </c>
      <c r="F274">
        <v>5659</v>
      </c>
      <c r="G274" t="s">
        <v>2530</v>
      </c>
      <c r="H274" t="s">
        <v>2625</v>
      </c>
      <c r="I274" t="s">
        <v>2530</v>
      </c>
    </row>
    <row r="275" spans="1:9" x14ac:dyDescent="0.3">
      <c r="A275">
        <v>2115</v>
      </c>
      <c r="B275" t="s">
        <v>1867</v>
      </c>
      <c r="C275" t="s">
        <v>2529</v>
      </c>
      <c r="D275" t="s">
        <v>159</v>
      </c>
      <c r="E275" t="s">
        <v>159</v>
      </c>
      <c r="F275">
        <v>5512</v>
      </c>
      <c r="G275" t="s">
        <v>2530</v>
      </c>
      <c r="H275" t="s">
        <v>2533</v>
      </c>
      <c r="I275" t="s">
        <v>2530</v>
      </c>
    </row>
    <row r="276" spans="1:9" x14ac:dyDescent="0.3">
      <c r="A276">
        <v>2118</v>
      </c>
      <c r="B276" t="s">
        <v>1869</v>
      </c>
      <c r="C276" t="s">
        <v>2529</v>
      </c>
      <c r="D276" t="s">
        <v>159</v>
      </c>
      <c r="E276" t="s">
        <v>159</v>
      </c>
      <c r="F276">
        <v>5476</v>
      </c>
      <c r="G276" t="s">
        <v>2537</v>
      </c>
      <c r="H276" t="s">
        <v>2460</v>
      </c>
      <c r="I276" t="s">
        <v>2530</v>
      </c>
    </row>
    <row r="277" spans="1:9" x14ac:dyDescent="0.3">
      <c r="A277">
        <v>2119</v>
      </c>
      <c r="B277" t="s">
        <v>1877</v>
      </c>
      <c r="C277" t="s">
        <v>2529</v>
      </c>
      <c r="D277" t="s">
        <v>1203</v>
      </c>
      <c r="E277" t="s">
        <v>1204</v>
      </c>
      <c r="F277">
        <v>5809</v>
      </c>
      <c r="G277" t="s">
        <v>2537</v>
      </c>
      <c r="H277" t="s">
        <v>2460</v>
      </c>
      <c r="I277" t="s">
        <v>2530</v>
      </c>
    </row>
    <row r="278" spans="1:9" x14ac:dyDescent="0.3">
      <c r="A278">
        <v>2122</v>
      </c>
      <c r="B278" t="s">
        <v>1878</v>
      </c>
      <c r="C278" t="s">
        <v>2529</v>
      </c>
      <c r="D278" t="s">
        <v>1203</v>
      </c>
      <c r="E278" t="s">
        <v>1204</v>
      </c>
      <c r="F278">
        <v>7711</v>
      </c>
      <c r="G278" t="s">
        <v>2530</v>
      </c>
      <c r="H278" t="s">
        <v>2626</v>
      </c>
      <c r="I278" t="s">
        <v>2530</v>
      </c>
    </row>
    <row r="279" spans="1:9" x14ac:dyDescent="0.3">
      <c r="A279">
        <v>2130</v>
      </c>
      <c r="B279" t="s">
        <v>1879</v>
      </c>
      <c r="C279" t="s">
        <v>2529</v>
      </c>
      <c r="D279" t="s">
        <v>159</v>
      </c>
      <c r="E279" t="s">
        <v>159</v>
      </c>
      <c r="F279">
        <v>6776</v>
      </c>
      <c r="G279" t="s">
        <v>2530</v>
      </c>
      <c r="H279" t="s">
        <v>2627</v>
      </c>
      <c r="I279" t="s">
        <v>2530</v>
      </c>
    </row>
    <row r="280" spans="1:9" x14ac:dyDescent="0.3">
      <c r="A280">
        <v>2132</v>
      </c>
      <c r="B280" t="s">
        <v>772</v>
      </c>
      <c r="C280" t="s">
        <v>2529</v>
      </c>
      <c r="D280" t="s">
        <v>1203</v>
      </c>
      <c r="E280" t="s">
        <v>1204</v>
      </c>
      <c r="F280">
        <v>5606</v>
      </c>
      <c r="G280" t="s">
        <v>2530</v>
      </c>
      <c r="H280" t="s">
        <v>2558</v>
      </c>
      <c r="I280" t="s">
        <v>2530</v>
      </c>
    </row>
    <row r="281" spans="1:9" x14ac:dyDescent="0.3">
      <c r="A281">
        <v>2140</v>
      </c>
      <c r="B281" t="s">
        <v>1885</v>
      </c>
      <c r="C281" t="s">
        <v>2529</v>
      </c>
      <c r="D281" t="s">
        <v>159</v>
      </c>
      <c r="E281" t="s">
        <v>159</v>
      </c>
      <c r="F281">
        <v>7526</v>
      </c>
      <c r="G281" t="s">
        <v>2530</v>
      </c>
      <c r="H281" t="s">
        <v>2628</v>
      </c>
      <c r="I281" t="s">
        <v>2530</v>
      </c>
    </row>
    <row r="282" spans="1:9" x14ac:dyDescent="0.3">
      <c r="A282">
        <v>2150</v>
      </c>
      <c r="B282" t="s">
        <v>1889</v>
      </c>
      <c r="C282" t="s">
        <v>2529</v>
      </c>
      <c r="D282" t="s">
        <v>1203</v>
      </c>
      <c r="E282" t="s">
        <v>1204</v>
      </c>
      <c r="F282">
        <v>5758</v>
      </c>
      <c r="G282" t="s">
        <v>2537</v>
      </c>
      <c r="H282" t="s">
        <v>2460</v>
      </c>
      <c r="I282" t="s">
        <v>2530</v>
      </c>
    </row>
    <row r="283" spans="1:9" x14ac:dyDescent="0.3">
      <c r="A283">
        <v>2154</v>
      </c>
      <c r="B283" t="s">
        <v>1894</v>
      </c>
      <c r="C283" t="s">
        <v>2529</v>
      </c>
      <c r="D283" t="s">
        <v>1203</v>
      </c>
      <c r="E283" t="s">
        <v>1204</v>
      </c>
      <c r="F283">
        <v>5791</v>
      </c>
      <c r="G283" t="s">
        <v>2537</v>
      </c>
      <c r="H283" t="s">
        <v>2460</v>
      </c>
      <c r="I283" t="s">
        <v>2530</v>
      </c>
    </row>
    <row r="284" spans="1:9" x14ac:dyDescent="0.3">
      <c r="A284">
        <v>2891</v>
      </c>
      <c r="B284" t="s">
        <v>1896</v>
      </c>
      <c r="C284" t="s">
        <v>2529</v>
      </c>
      <c r="D284" t="s">
        <v>1203</v>
      </c>
      <c r="E284" t="s">
        <v>1204</v>
      </c>
      <c r="F284">
        <v>5799</v>
      </c>
      <c r="G284" t="s">
        <v>2537</v>
      </c>
      <c r="H284" t="s">
        <v>2460</v>
      </c>
      <c r="I284" t="s">
        <v>2530</v>
      </c>
    </row>
    <row r="285" spans="1:9" x14ac:dyDescent="0.3">
      <c r="A285">
        <v>2157</v>
      </c>
      <c r="B285" t="s">
        <v>1897</v>
      </c>
      <c r="C285" t="s">
        <v>2529</v>
      </c>
      <c r="D285" t="s">
        <v>1203</v>
      </c>
      <c r="E285" t="s">
        <v>1204</v>
      </c>
      <c r="F285">
        <v>6643</v>
      </c>
      <c r="G285" t="s">
        <v>2537</v>
      </c>
      <c r="H285" t="s">
        <v>2460</v>
      </c>
      <c r="I285" t="s">
        <v>2530</v>
      </c>
    </row>
    <row r="286" spans="1:9" x14ac:dyDescent="0.3">
      <c r="A286">
        <v>2158</v>
      </c>
      <c r="B286" t="s">
        <v>1900</v>
      </c>
      <c r="C286" t="s">
        <v>2529</v>
      </c>
      <c r="D286" t="s">
        <v>1203</v>
      </c>
      <c r="E286" t="s">
        <v>1204</v>
      </c>
      <c r="F286">
        <v>5792</v>
      </c>
      <c r="G286" t="s">
        <v>2537</v>
      </c>
      <c r="H286" t="s">
        <v>2460</v>
      </c>
      <c r="I286" t="s">
        <v>2530</v>
      </c>
    </row>
    <row r="287" spans="1:9" x14ac:dyDescent="0.3">
      <c r="A287">
        <v>2159</v>
      </c>
      <c r="B287" t="s">
        <v>1902</v>
      </c>
      <c r="C287" t="s">
        <v>2529</v>
      </c>
      <c r="D287" t="s">
        <v>1203</v>
      </c>
      <c r="E287" t="s">
        <v>1204</v>
      </c>
      <c r="F287">
        <v>5472</v>
      </c>
      <c r="G287" t="s">
        <v>2530</v>
      </c>
      <c r="H287" t="s">
        <v>2545</v>
      </c>
      <c r="I287" t="s">
        <v>2530</v>
      </c>
    </row>
    <row r="288" spans="1:9" x14ac:dyDescent="0.3">
      <c r="A288">
        <v>2160</v>
      </c>
      <c r="B288" t="s">
        <v>1904</v>
      </c>
      <c r="C288" t="s">
        <v>2529</v>
      </c>
      <c r="D288" t="s">
        <v>1203</v>
      </c>
      <c r="E288" t="s">
        <v>1204</v>
      </c>
      <c r="F288">
        <v>5474</v>
      </c>
      <c r="G288" t="s">
        <v>2530</v>
      </c>
      <c r="H288" t="s">
        <v>2629</v>
      </c>
      <c r="I288" t="s">
        <v>2530</v>
      </c>
    </row>
    <row r="289" spans="1:9" x14ac:dyDescent="0.3">
      <c r="A289">
        <v>2162</v>
      </c>
      <c r="B289" t="s">
        <v>1907</v>
      </c>
      <c r="C289" t="s">
        <v>2529</v>
      </c>
      <c r="D289" t="s">
        <v>159</v>
      </c>
      <c r="E289" t="s">
        <v>159</v>
      </c>
      <c r="F289">
        <v>7208</v>
      </c>
      <c r="G289" t="s">
        <v>2530</v>
      </c>
      <c r="H289" t="s">
        <v>2630</v>
      </c>
      <c r="I289" t="s">
        <v>2530</v>
      </c>
    </row>
    <row r="290" spans="1:9" x14ac:dyDescent="0.3">
      <c r="A290">
        <v>2163</v>
      </c>
      <c r="B290" t="s">
        <v>1908</v>
      </c>
      <c r="C290" t="s">
        <v>2529</v>
      </c>
      <c r="D290" t="s">
        <v>159</v>
      </c>
      <c r="E290" t="s">
        <v>159</v>
      </c>
      <c r="F290">
        <v>6759</v>
      </c>
      <c r="G290" t="s">
        <v>2537</v>
      </c>
      <c r="H290" t="s">
        <v>2460</v>
      </c>
      <c r="I290" t="s">
        <v>2530</v>
      </c>
    </row>
    <row r="291" spans="1:9" x14ac:dyDescent="0.3">
      <c r="A291">
        <v>2164</v>
      </c>
      <c r="B291" t="s">
        <v>1909</v>
      </c>
      <c r="C291" t="s">
        <v>2529</v>
      </c>
      <c r="D291" t="s">
        <v>159</v>
      </c>
      <c r="E291" t="s">
        <v>159</v>
      </c>
      <c r="F291">
        <v>6833</v>
      </c>
      <c r="G291" t="s">
        <v>2530</v>
      </c>
      <c r="H291" t="s">
        <v>2631</v>
      </c>
      <c r="I291" t="s">
        <v>2530</v>
      </c>
    </row>
    <row r="292" spans="1:9" x14ac:dyDescent="0.3">
      <c r="A292">
        <v>2165</v>
      </c>
      <c r="B292" t="s">
        <v>1912</v>
      </c>
      <c r="C292" t="s">
        <v>2529</v>
      </c>
      <c r="D292" t="s">
        <v>1203</v>
      </c>
      <c r="E292" t="s">
        <v>1204</v>
      </c>
      <c r="F292">
        <v>5523</v>
      </c>
      <c r="G292" t="s">
        <v>2530</v>
      </c>
      <c r="H292" t="s">
        <v>2533</v>
      </c>
      <c r="I292" t="s">
        <v>2530</v>
      </c>
    </row>
    <row r="293" spans="1:9" x14ac:dyDescent="0.3">
      <c r="A293">
        <v>2167</v>
      </c>
      <c r="B293" t="s">
        <v>1914</v>
      </c>
      <c r="C293" t="s">
        <v>2529</v>
      </c>
      <c r="D293" t="s">
        <v>159</v>
      </c>
      <c r="E293" t="s">
        <v>159</v>
      </c>
      <c r="F293">
        <v>5516</v>
      </c>
      <c r="G293" t="s">
        <v>2530</v>
      </c>
      <c r="H293" t="s">
        <v>2533</v>
      </c>
      <c r="I293" t="s">
        <v>2530</v>
      </c>
    </row>
    <row r="294" spans="1:9" x14ac:dyDescent="0.3">
      <c r="A294">
        <v>2166</v>
      </c>
      <c r="B294" t="s">
        <v>1915</v>
      </c>
      <c r="C294" t="s">
        <v>2529</v>
      </c>
      <c r="D294" t="s">
        <v>159</v>
      </c>
      <c r="E294" t="s">
        <v>159</v>
      </c>
      <c r="F294">
        <v>6634</v>
      </c>
      <c r="G294" t="s">
        <v>2537</v>
      </c>
      <c r="H294" t="s">
        <v>2460</v>
      </c>
      <c r="I294" t="s">
        <v>2530</v>
      </c>
    </row>
    <row r="295" spans="1:9" x14ac:dyDescent="0.3">
      <c r="A295">
        <v>2169</v>
      </c>
      <c r="B295" t="s">
        <v>1919</v>
      </c>
      <c r="C295" t="s">
        <v>2529</v>
      </c>
      <c r="D295" t="s">
        <v>159</v>
      </c>
      <c r="E295" t="s">
        <v>159</v>
      </c>
      <c r="F295">
        <v>5514</v>
      </c>
      <c r="G295" t="s">
        <v>2530</v>
      </c>
      <c r="H295" t="s">
        <v>2533</v>
      </c>
      <c r="I295" t="s">
        <v>2530</v>
      </c>
    </row>
    <row r="296" spans="1:9" x14ac:dyDescent="0.3">
      <c r="A296">
        <v>2174</v>
      </c>
      <c r="B296" t="s">
        <v>1920</v>
      </c>
      <c r="C296" t="s">
        <v>2529</v>
      </c>
      <c r="D296" t="s">
        <v>159</v>
      </c>
      <c r="E296" t="s">
        <v>159</v>
      </c>
      <c r="F296">
        <v>7800</v>
      </c>
      <c r="G296" t="s">
        <v>2530</v>
      </c>
      <c r="H296" t="s">
        <v>2632</v>
      </c>
      <c r="I296" t="s">
        <v>2530</v>
      </c>
    </row>
    <row r="297" spans="1:9" x14ac:dyDescent="0.3">
      <c r="A297">
        <v>2175</v>
      </c>
      <c r="B297" t="s">
        <v>1921</v>
      </c>
      <c r="C297" t="s">
        <v>2529</v>
      </c>
      <c r="D297" t="s">
        <v>159</v>
      </c>
      <c r="E297" t="s">
        <v>159</v>
      </c>
      <c r="F297">
        <v>5725</v>
      </c>
      <c r="G297" t="s">
        <v>2537</v>
      </c>
      <c r="H297" t="s">
        <v>2460</v>
      </c>
      <c r="I297" t="s">
        <v>2530</v>
      </c>
    </row>
    <row r="298" spans="1:9" x14ac:dyDescent="0.3">
      <c r="A298">
        <v>2179</v>
      </c>
      <c r="B298" t="s">
        <v>774</v>
      </c>
      <c r="C298" t="s">
        <v>2529</v>
      </c>
      <c r="D298" t="s">
        <v>1203</v>
      </c>
      <c r="E298" t="s">
        <v>1204</v>
      </c>
      <c r="F298">
        <v>5657</v>
      </c>
      <c r="G298" t="s">
        <v>2530</v>
      </c>
      <c r="H298" t="s">
        <v>2535</v>
      </c>
      <c r="I298" t="s">
        <v>2530</v>
      </c>
    </row>
    <row r="299" spans="1:9" x14ac:dyDescent="0.3">
      <c r="A299">
        <v>2180</v>
      </c>
      <c r="B299" t="s">
        <v>1927</v>
      </c>
      <c r="C299" t="s">
        <v>2529</v>
      </c>
      <c r="D299" t="s">
        <v>1203</v>
      </c>
      <c r="E299" t="s">
        <v>1204</v>
      </c>
      <c r="F299">
        <v>5535</v>
      </c>
      <c r="G299" t="s">
        <v>2530</v>
      </c>
      <c r="H299" t="s">
        <v>2633</v>
      </c>
      <c r="I299" t="s">
        <v>2530</v>
      </c>
    </row>
    <row r="300" spans="1:9" x14ac:dyDescent="0.3">
      <c r="A300">
        <v>2182</v>
      </c>
      <c r="B300" t="s">
        <v>1929</v>
      </c>
      <c r="C300" t="s">
        <v>2529</v>
      </c>
      <c r="D300" t="s">
        <v>159</v>
      </c>
      <c r="E300" t="s">
        <v>159</v>
      </c>
      <c r="F300">
        <v>6091</v>
      </c>
      <c r="G300" t="s">
        <v>2537</v>
      </c>
      <c r="H300" t="s">
        <v>2460</v>
      </c>
      <c r="I300" t="s">
        <v>2530</v>
      </c>
    </row>
    <row r="301" spans="1:9" x14ac:dyDescent="0.3">
      <c r="A301">
        <v>2205</v>
      </c>
      <c r="B301" t="s">
        <v>1931</v>
      </c>
      <c r="C301" t="s">
        <v>2529</v>
      </c>
      <c r="D301" t="s">
        <v>1203</v>
      </c>
      <c r="E301" t="s">
        <v>1204</v>
      </c>
      <c r="F301">
        <v>7516</v>
      </c>
      <c r="G301" t="s">
        <v>2537</v>
      </c>
      <c r="H301" t="s">
        <v>2460</v>
      </c>
      <c r="I301" t="s">
        <v>2530</v>
      </c>
    </row>
    <row r="302" spans="1:9" x14ac:dyDescent="0.3">
      <c r="A302">
        <v>2207</v>
      </c>
      <c r="B302" t="s">
        <v>1936</v>
      </c>
      <c r="C302" t="s">
        <v>2529</v>
      </c>
      <c r="D302" t="s">
        <v>159</v>
      </c>
      <c r="E302" t="s">
        <v>159</v>
      </c>
      <c r="F302">
        <v>7855</v>
      </c>
      <c r="G302" t="s">
        <v>2530</v>
      </c>
      <c r="H302" t="s">
        <v>2545</v>
      </c>
      <c r="I302" t="s">
        <v>2530</v>
      </c>
    </row>
    <row r="303" spans="1:9" x14ac:dyDescent="0.3">
      <c r="A303">
        <v>2209</v>
      </c>
      <c r="B303" t="s">
        <v>1938</v>
      </c>
      <c r="C303" t="s">
        <v>2529</v>
      </c>
      <c r="D303" t="s">
        <v>1203</v>
      </c>
      <c r="E303" t="s">
        <v>1204</v>
      </c>
      <c r="F303">
        <v>5793</v>
      </c>
      <c r="G303" t="s">
        <v>2530</v>
      </c>
      <c r="H303" t="s">
        <v>2561</v>
      </c>
      <c r="I303" t="s">
        <v>2530</v>
      </c>
    </row>
    <row r="304" spans="1:9" x14ac:dyDescent="0.3">
      <c r="A304">
        <v>2210</v>
      </c>
      <c r="B304" t="s">
        <v>1940</v>
      </c>
      <c r="C304" t="s">
        <v>2529</v>
      </c>
      <c r="D304" t="s">
        <v>1203</v>
      </c>
      <c r="E304" t="s">
        <v>1204</v>
      </c>
      <c r="F304">
        <v>5756</v>
      </c>
      <c r="G304" t="s">
        <v>2530</v>
      </c>
      <c r="H304" t="s">
        <v>2634</v>
      </c>
      <c r="I304" t="s">
        <v>2530</v>
      </c>
    </row>
    <row r="305" spans="1:9" x14ac:dyDescent="0.3">
      <c r="A305">
        <v>4993</v>
      </c>
      <c r="B305" t="s">
        <v>944</v>
      </c>
      <c r="C305" t="s">
        <v>2529</v>
      </c>
      <c r="D305" t="s">
        <v>1203</v>
      </c>
      <c r="E305" t="s">
        <v>1204</v>
      </c>
      <c r="F305">
        <v>5631</v>
      </c>
      <c r="G305" t="s">
        <v>2530</v>
      </c>
      <c r="H305" t="s">
        <v>2635</v>
      </c>
      <c r="I305" t="s">
        <v>2530</v>
      </c>
    </row>
    <row r="306" spans="1:9" x14ac:dyDescent="0.3">
      <c r="A306">
        <v>2213</v>
      </c>
      <c r="B306" t="s">
        <v>1944</v>
      </c>
      <c r="C306" t="s">
        <v>2529</v>
      </c>
      <c r="D306" t="s">
        <v>1203</v>
      </c>
      <c r="E306" t="s">
        <v>1204</v>
      </c>
      <c r="F306">
        <v>6652</v>
      </c>
      <c r="G306" t="s">
        <v>2530</v>
      </c>
      <c r="H306" t="s">
        <v>2636</v>
      </c>
      <c r="I306" t="s">
        <v>2530</v>
      </c>
    </row>
    <row r="307" spans="1:9" x14ac:dyDescent="0.3">
      <c r="A307">
        <v>2214</v>
      </c>
      <c r="B307" t="s">
        <v>1953</v>
      </c>
      <c r="C307" t="s">
        <v>2529</v>
      </c>
      <c r="D307" t="s">
        <v>1203</v>
      </c>
      <c r="E307" t="s">
        <v>1204</v>
      </c>
      <c r="F307">
        <v>5462</v>
      </c>
      <c r="G307" t="s">
        <v>2530</v>
      </c>
      <c r="H307" t="s">
        <v>2637</v>
      </c>
      <c r="I307" t="s">
        <v>2530</v>
      </c>
    </row>
    <row r="308" spans="1:9" x14ac:dyDescent="0.3">
      <c r="A308">
        <v>2215</v>
      </c>
      <c r="B308" t="s">
        <v>1954</v>
      </c>
      <c r="C308" t="s">
        <v>2529</v>
      </c>
      <c r="D308" t="s">
        <v>1203</v>
      </c>
      <c r="E308" t="s">
        <v>1204</v>
      </c>
      <c r="F308">
        <v>5515</v>
      </c>
      <c r="G308" t="s">
        <v>2530</v>
      </c>
      <c r="H308" t="s">
        <v>2533</v>
      </c>
      <c r="I308" t="s">
        <v>2530</v>
      </c>
    </row>
    <row r="309" spans="1:9" x14ac:dyDescent="0.3">
      <c r="A309">
        <v>2217</v>
      </c>
      <c r="B309" t="s">
        <v>1955</v>
      </c>
      <c r="C309" t="s">
        <v>2529</v>
      </c>
      <c r="D309" t="s">
        <v>159</v>
      </c>
      <c r="E309" t="s">
        <v>159</v>
      </c>
      <c r="F309">
        <v>5768</v>
      </c>
      <c r="G309" t="s">
        <v>2530</v>
      </c>
      <c r="H309" t="s">
        <v>2638</v>
      </c>
      <c r="I309" t="s">
        <v>2530</v>
      </c>
    </row>
    <row r="310" spans="1:9" x14ac:dyDescent="0.3">
      <c r="A310">
        <v>2218</v>
      </c>
      <c r="B310" t="s">
        <v>1959</v>
      </c>
      <c r="C310" t="s">
        <v>2529</v>
      </c>
      <c r="D310" t="s">
        <v>1203</v>
      </c>
      <c r="E310" t="s">
        <v>1204</v>
      </c>
      <c r="F310">
        <v>5796</v>
      </c>
      <c r="G310" t="s">
        <v>2537</v>
      </c>
      <c r="H310" t="s">
        <v>2460</v>
      </c>
      <c r="I310" t="s">
        <v>2530</v>
      </c>
    </row>
    <row r="311" spans="1:9" x14ac:dyDescent="0.3">
      <c r="A311">
        <v>2220</v>
      </c>
      <c r="B311" t="s">
        <v>1962</v>
      </c>
      <c r="C311" t="s">
        <v>2529</v>
      </c>
      <c r="D311" t="s">
        <v>159</v>
      </c>
      <c r="E311" t="s">
        <v>159</v>
      </c>
      <c r="F311">
        <v>6742</v>
      </c>
      <c r="G311" t="s">
        <v>2530</v>
      </c>
      <c r="H311" t="s">
        <v>2639</v>
      </c>
      <c r="I311" t="s">
        <v>2530</v>
      </c>
    </row>
    <row r="312" spans="1:9" x14ac:dyDescent="0.3">
      <c r="A312">
        <v>2222</v>
      </c>
      <c r="B312" t="s">
        <v>1964</v>
      </c>
      <c r="C312" t="s">
        <v>2529</v>
      </c>
      <c r="D312" t="s">
        <v>1203</v>
      </c>
      <c r="E312" t="s">
        <v>1204</v>
      </c>
      <c r="F312">
        <v>5644</v>
      </c>
      <c r="G312" t="s">
        <v>2530</v>
      </c>
      <c r="H312" t="s">
        <v>2640</v>
      </c>
      <c r="I312" t="s">
        <v>2530</v>
      </c>
    </row>
    <row r="313" spans="1:9" x14ac:dyDescent="0.3">
      <c r="A313">
        <v>2224</v>
      </c>
      <c r="B313" t="s">
        <v>1966</v>
      </c>
      <c r="C313" t="s">
        <v>2529</v>
      </c>
      <c r="D313" t="s">
        <v>159</v>
      </c>
      <c r="E313" t="s">
        <v>159</v>
      </c>
      <c r="F313">
        <v>5774</v>
      </c>
      <c r="G313" t="s">
        <v>2530</v>
      </c>
      <c r="H313" t="s">
        <v>2641</v>
      </c>
      <c r="I313" t="s">
        <v>2530</v>
      </c>
    </row>
    <row r="314" spans="1:9" x14ac:dyDescent="0.3">
      <c r="A314">
        <v>2237</v>
      </c>
      <c r="B314" t="s">
        <v>1969</v>
      </c>
      <c r="C314" t="s">
        <v>2529</v>
      </c>
      <c r="D314" t="s">
        <v>1203</v>
      </c>
      <c r="E314" t="s">
        <v>1204</v>
      </c>
      <c r="F314">
        <v>5524</v>
      </c>
      <c r="G314" t="s">
        <v>2530</v>
      </c>
      <c r="H314" t="s">
        <v>2548</v>
      </c>
      <c r="I314" t="s">
        <v>2530</v>
      </c>
    </row>
    <row r="315" spans="1:9" x14ac:dyDescent="0.3">
      <c r="A315">
        <v>2241</v>
      </c>
      <c r="B315" t="s">
        <v>1971</v>
      </c>
      <c r="C315" t="s">
        <v>2529</v>
      </c>
      <c r="D315" t="s">
        <v>159</v>
      </c>
      <c r="E315" t="s">
        <v>159</v>
      </c>
      <c r="F315">
        <v>7852</v>
      </c>
      <c r="G315" t="s">
        <v>2530</v>
      </c>
      <c r="H315" t="s">
        <v>2545</v>
      </c>
      <c r="I315" t="s">
        <v>2530</v>
      </c>
    </row>
    <row r="316" spans="1:9" x14ac:dyDescent="0.3">
      <c r="A316">
        <v>2251</v>
      </c>
      <c r="B316" t="s">
        <v>1975</v>
      </c>
      <c r="C316" t="s">
        <v>2529</v>
      </c>
      <c r="D316" t="s">
        <v>159</v>
      </c>
      <c r="E316" t="s">
        <v>159</v>
      </c>
      <c r="F316">
        <v>7898</v>
      </c>
      <c r="G316" t="s">
        <v>2537</v>
      </c>
      <c r="H316" t="s">
        <v>2460</v>
      </c>
      <c r="I316" t="s">
        <v>2530</v>
      </c>
    </row>
    <row r="317" spans="1:9" x14ac:dyDescent="0.3">
      <c r="A317">
        <v>2260</v>
      </c>
      <c r="B317" t="s">
        <v>1976</v>
      </c>
      <c r="C317" t="s">
        <v>2529</v>
      </c>
      <c r="D317" t="s">
        <v>159</v>
      </c>
      <c r="E317" t="s">
        <v>159</v>
      </c>
      <c r="F317">
        <v>7916</v>
      </c>
      <c r="G317" t="s">
        <v>2530</v>
      </c>
      <c r="H317" t="s">
        <v>2544</v>
      </c>
      <c r="I317" t="s">
        <v>2530</v>
      </c>
    </row>
    <row r="318" spans="1:9" x14ac:dyDescent="0.3">
      <c r="A318">
        <v>2273</v>
      </c>
      <c r="B318" t="s">
        <v>889</v>
      </c>
      <c r="C318" t="s">
        <v>2529</v>
      </c>
      <c r="D318" t="s">
        <v>1203</v>
      </c>
      <c r="E318" t="s">
        <v>1204</v>
      </c>
      <c r="F318">
        <v>5534</v>
      </c>
      <c r="G318" t="s">
        <v>2537</v>
      </c>
      <c r="H318" t="s">
        <v>2460</v>
      </c>
      <c r="I318" t="s">
        <v>2530</v>
      </c>
    </row>
    <row r="319" spans="1:9" x14ac:dyDescent="0.3">
      <c r="A319">
        <v>2290</v>
      </c>
      <c r="B319" t="s">
        <v>1979</v>
      </c>
      <c r="C319" t="s">
        <v>2529</v>
      </c>
      <c r="D319" t="s">
        <v>1203</v>
      </c>
      <c r="E319" t="s">
        <v>1204</v>
      </c>
      <c r="F319">
        <v>5817</v>
      </c>
      <c r="G319" t="s">
        <v>2530</v>
      </c>
      <c r="H319" t="s">
        <v>2533</v>
      </c>
      <c r="I319" t="s">
        <v>2530</v>
      </c>
    </row>
    <row r="320" spans="1:9" x14ac:dyDescent="0.3">
      <c r="A320">
        <v>2298</v>
      </c>
      <c r="B320" t="s">
        <v>1981</v>
      </c>
      <c r="C320" t="s">
        <v>2529</v>
      </c>
      <c r="D320" t="s">
        <v>1203</v>
      </c>
      <c r="E320" t="s">
        <v>1204</v>
      </c>
      <c r="F320">
        <v>6753</v>
      </c>
      <c r="G320" t="s">
        <v>2537</v>
      </c>
      <c r="H320" t="s">
        <v>2460</v>
      </c>
      <c r="I320" t="s">
        <v>2530</v>
      </c>
    </row>
    <row r="321" spans="1:9" x14ac:dyDescent="0.3">
      <c r="A321">
        <v>2323</v>
      </c>
      <c r="B321" t="s">
        <v>1983</v>
      </c>
      <c r="C321" t="s">
        <v>2529</v>
      </c>
      <c r="D321" t="s">
        <v>1203</v>
      </c>
      <c r="E321" t="s">
        <v>1204</v>
      </c>
      <c r="F321">
        <v>5912</v>
      </c>
      <c r="G321" t="s">
        <v>2530</v>
      </c>
      <c r="H321" t="s">
        <v>2642</v>
      </c>
      <c r="I321" t="s">
        <v>2530</v>
      </c>
    </row>
    <row r="322" spans="1:9" x14ac:dyDescent="0.3">
      <c r="A322">
        <v>2326</v>
      </c>
      <c r="B322" t="s">
        <v>1985</v>
      </c>
      <c r="C322" t="s">
        <v>2529</v>
      </c>
      <c r="D322" t="s">
        <v>1203</v>
      </c>
      <c r="E322" t="s">
        <v>1204</v>
      </c>
      <c r="F322">
        <v>5567</v>
      </c>
      <c r="G322" t="s">
        <v>2530</v>
      </c>
      <c r="H322" t="s">
        <v>2643</v>
      </c>
      <c r="I322" t="s">
        <v>2530</v>
      </c>
    </row>
    <row r="323" spans="1:9" x14ac:dyDescent="0.3">
      <c r="A323">
        <v>2330</v>
      </c>
      <c r="B323" t="s">
        <v>1987</v>
      </c>
      <c r="C323" t="s">
        <v>2529</v>
      </c>
      <c r="D323" t="s">
        <v>159</v>
      </c>
      <c r="E323" t="s">
        <v>159</v>
      </c>
      <c r="F323">
        <v>7828</v>
      </c>
      <c r="G323" t="s">
        <v>2530</v>
      </c>
      <c r="H323" t="s">
        <v>2548</v>
      </c>
      <c r="I323" t="s">
        <v>2530</v>
      </c>
    </row>
    <row r="324" spans="1:9" x14ac:dyDescent="0.3">
      <c r="A324">
        <v>2334</v>
      </c>
      <c r="B324" t="s">
        <v>1990</v>
      </c>
      <c r="C324" t="s">
        <v>2529</v>
      </c>
      <c r="D324" t="s">
        <v>159</v>
      </c>
      <c r="E324" t="s">
        <v>159</v>
      </c>
      <c r="F324">
        <v>5637</v>
      </c>
      <c r="G324" t="s">
        <v>2530</v>
      </c>
      <c r="H324" t="s">
        <v>2545</v>
      </c>
      <c r="I324" t="s">
        <v>2530</v>
      </c>
    </row>
    <row r="325" spans="1:9" x14ac:dyDescent="0.3">
      <c r="A325">
        <v>2337</v>
      </c>
      <c r="B325" t="s">
        <v>1993</v>
      </c>
      <c r="C325" t="s">
        <v>2529</v>
      </c>
      <c r="D325" t="s">
        <v>1203</v>
      </c>
      <c r="E325" t="s">
        <v>1204</v>
      </c>
      <c r="F325">
        <v>5742</v>
      </c>
      <c r="G325" t="s">
        <v>2537</v>
      </c>
      <c r="H325" t="s">
        <v>2460</v>
      </c>
      <c r="I325" t="s">
        <v>2530</v>
      </c>
    </row>
    <row r="326" spans="1:9" x14ac:dyDescent="0.3">
      <c r="A326">
        <v>2341</v>
      </c>
      <c r="B326" t="s">
        <v>1994</v>
      </c>
      <c r="C326" t="s">
        <v>2529</v>
      </c>
      <c r="D326" t="s">
        <v>159</v>
      </c>
      <c r="E326" t="s">
        <v>159</v>
      </c>
      <c r="F326">
        <v>6850</v>
      </c>
      <c r="G326" t="s">
        <v>2537</v>
      </c>
      <c r="H326" t="s">
        <v>2460</v>
      </c>
      <c r="I326" t="s">
        <v>2530</v>
      </c>
    </row>
    <row r="327" spans="1:9" x14ac:dyDescent="0.3">
      <c r="A327">
        <v>2343</v>
      </c>
      <c r="B327" t="s">
        <v>1995</v>
      </c>
      <c r="C327" t="s">
        <v>2529</v>
      </c>
      <c r="D327" t="s">
        <v>1203</v>
      </c>
      <c r="E327" t="s">
        <v>1204</v>
      </c>
      <c r="F327">
        <v>5812</v>
      </c>
      <c r="G327" t="s">
        <v>2537</v>
      </c>
      <c r="H327" t="s">
        <v>2460</v>
      </c>
      <c r="I327" t="s">
        <v>2530</v>
      </c>
    </row>
    <row r="328" spans="1:9" x14ac:dyDescent="0.3">
      <c r="A328">
        <v>2345</v>
      </c>
      <c r="B328" t="s">
        <v>1997</v>
      </c>
      <c r="C328" t="s">
        <v>2529</v>
      </c>
      <c r="D328" t="s">
        <v>1203</v>
      </c>
      <c r="E328" t="s">
        <v>1204</v>
      </c>
      <c r="F328">
        <v>5554</v>
      </c>
      <c r="G328" t="s">
        <v>2530</v>
      </c>
      <c r="H328" t="s">
        <v>2533</v>
      </c>
      <c r="I328" t="s">
        <v>2530</v>
      </c>
    </row>
    <row r="329" spans="1:9" x14ac:dyDescent="0.3">
      <c r="A329">
        <v>2348</v>
      </c>
      <c r="B329" t="s">
        <v>1998</v>
      </c>
      <c r="C329" t="s">
        <v>2529</v>
      </c>
      <c r="D329" t="s">
        <v>159</v>
      </c>
      <c r="E329" t="s">
        <v>159</v>
      </c>
      <c r="F329">
        <v>6953</v>
      </c>
      <c r="G329" t="s">
        <v>2530</v>
      </c>
      <c r="H329" t="s">
        <v>2644</v>
      </c>
      <c r="I329" t="s">
        <v>2530</v>
      </c>
    </row>
    <row r="330" spans="1:9" x14ac:dyDescent="0.3">
      <c r="A330">
        <v>2381</v>
      </c>
      <c r="B330" t="s">
        <v>2000</v>
      </c>
      <c r="C330" t="s">
        <v>2529</v>
      </c>
      <c r="D330" t="s">
        <v>159</v>
      </c>
      <c r="E330" t="s">
        <v>159</v>
      </c>
      <c r="F330">
        <v>7791</v>
      </c>
      <c r="G330" t="s">
        <v>2530</v>
      </c>
      <c r="H330" t="s">
        <v>2645</v>
      </c>
      <c r="I330" t="s">
        <v>2530</v>
      </c>
    </row>
    <row r="331" spans="1:9" x14ac:dyDescent="0.3">
      <c r="A331">
        <v>2401</v>
      </c>
      <c r="B331" t="s">
        <v>2006</v>
      </c>
      <c r="C331" t="s">
        <v>2529</v>
      </c>
      <c r="D331" t="s">
        <v>1203</v>
      </c>
      <c r="E331" t="s">
        <v>1204</v>
      </c>
      <c r="F331">
        <v>5710</v>
      </c>
      <c r="G331" t="s">
        <v>2537</v>
      </c>
      <c r="H331" t="s">
        <v>2460</v>
      </c>
      <c r="I331" t="s">
        <v>2530</v>
      </c>
    </row>
    <row r="332" spans="1:9" x14ac:dyDescent="0.3">
      <c r="A332">
        <v>2402</v>
      </c>
      <c r="B332" t="s">
        <v>2008</v>
      </c>
      <c r="C332" t="s">
        <v>2529</v>
      </c>
      <c r="D332" t="s">
        <v>1203</v>
      </c>
      <c r="E332" t="s">
        <v>1204</v>
      </c>
      <c r="F332">
        <v>5714</v>
      </c>
      <c r="G332" t="s">
        <v>2537</v>
      </c>
      <c r="H332" t="s">
        <v>2460</v>
      </c>
      <c r="I332" t="s">
        <v>2530</v>
      </c>
    </row>
    <row r="333" spans="1:9" x14ac:dyDescent="0.3">
      <c r="A333">
        <v>2419</v>
      </c>
      <c r="B333" t="s">
        <v>2009</v>
      </c>
      <c r="C333" t="s">
        <v>2529</v>
      </c>
      <c r="D333" t="s">
        <v>1203</v>
      </c>
      <c r="E333" t="s">
        <v>1204</v>
      </c>
      <c r="F333">
        <v>5537</v>
      </c>
      <c r="G333" t="s">
        <v>2530</v>
      </c>
      <c r="H333" t="s">
        <v>2533</v>
      </c>
      <c r="I333" t="s">
        <v>2530</v>
      </c>
    </row>
    <row r="334" spans="1:9" x14ac:dyDescent="0.3">
      <c r="A334">
        <v>2424</v>
      </c>
      <c r="B334" t="s">
        <v>2010</v>
      </c>
      <c r="C334" t="s">
        <v>2529</v>
      </c>
      <c r="D334" t="s">
        <v>1203</v>
      </c>
      <c r="E334" t="s">
        <v>1204</v>
      </c>
      <c r="F334">
        <v>7812</v>
      </c>
      <c r="G334" t="s">
        <v>2537</v>
      </c>
      <c r="H334" t="s">
        <v>2460</v>
      </c>
      <c r="I334" t="s">
        <v>2530</v>
      </c>
    </row>
    <row r="335" spans="1:9" x14ac:dyDescent="0.3">
      <c r="A335">
        <v>2425</v>
      </c>
      <c r="B335" t="s">
        <v>2012</v>
      </c>
      <c r="C335" t="s">
        <v>2529</v>
      </c>
      <c r="D335" t="s">
        <v>159</v>
      </c>
      <c r="E335" t="s">
        <v>159</v>
      </c>
      <c r="F335">
        <v>6886</v>
      </c>
      <c r="G335" t="s">
        <v>2530</v>
      </c>
      <c r="H335" t="s">
        <v>2561</v>
      </c>
      <c r="I335" t="s">
        <v>2530</v>
      </c>
    </row>
    <row r="336" spans="1:9" x14ac:dyDescent="0.3">
      <c r="A336">
        <v>2437</v>
      </c>
      <c r="B336" t="s">
        <v>2015</v>
      </c>
      <c r="C336" t="s">
        <v>2529</v>
      </c>
      <c r="D336" t="s">
        <v>1203</v>
      </c>
      <c r="E336" t="s">
        <v>1204</v>
      </c>
      <c r="F336">
        <v>5575</v>
      </c>
      <c r="G336" t="s">
        <v>2530</v>
      </c>
      <c r="H336" t="s">
        <v>2539</v>
      </c>
      <c r="I336" t="s">
        <v>2530</v>
      </c>
    </row>
    <row r="337" spans="1:9" x14ac:dyDescent="0.3">
      <c r="A337">
        <v>2438</v>
      </c>
      <c r="B337" t="s">
        <v>2016</v>
      </c>
      <c r="C337" t="s">
        <v>2529</v>
      </c>
      <c r="D337" t="s">
        <v>1203</v>
      </c>
      <c r="E337" t="s">
        <v>1204</v>
      </c>
      <c r="F337">
        <v>5538</v>
      </c>
      <c r="G337" t="s">
        <v>2537</v>
      </c>
      <c r="H337" t="s">
        <v>2460</v>
      </c>
      <c r="I337" t="s">
        <v>2530</v>
      </c>
    </row>
    <row r="338" spans="1:9" x14ac:dyDescent="0.3">
      <c r="A338">
        <v>2444</v>
      </c>
      <c r="B338" t="s">
        <v>2018</v>
      </c>
      <c r="C338" t="s">
        <v>2529</v>
      </c>
      <c r="D338" t="s">
        <v>1203</v>
      </c>
      <c r="E338" t="s">
        <v>1204</v>
      </c>
      <c r="F338">
        <v>6949</v>
      </c>
      <c r="G338" t="s">
        <v>2537</v>
      </c>
      <c r="H338" t="s">
        <v>2460</v>
      </c>
      <c r="I338" t="s">
        <v>2530</v>
      </c>
    </row>
    <row r="339" spans="1:9" x14ac:dyDescent="0.3">
      <c r="A339">
        <v>1408</v>
      </c>
      <c r="B339" t="s">
        <v>2021</v>
      </c>
      <c r="C339" t="s">
        <v>2529</v>
      </c>
      <c r="D339" t="s">
        <v>1203</v>
      </c>
      <c r="E339" t="s">
        <v>1204</v>
      </c>
      <c r="F339">
        <v>5825</v>
      </c>
      <c r="G339" t="s">
        <v>2537</v>
      </c>
      <c r="H339" t="s">
        <v>2460</v>
      </c>
      <c r="I339" t="s">
        <v>2530</v>
      </c>
    </row>
    <row r="340" spans="1:9" x14ac:dyDescent="0.3">
      <c r="B340" t="s">
        <v>2023</v>
      </c>
      <c r="C340" t="s">
        <v>2529</v>
      </c>
      <c r="D340" t="s">
        <v>159</v>
      </c>
      <c r="E340" t="s">
        <v>159</v>
      </c>
      <c r="F340">
        <v>7910</v>
      </c>
      <c r="G340" t="s">
        <v>2530</v>
      </c>
      <c r="H340" t="s">
        <v>2644</v>
      </c>
      <c r="I340" t="s">
        <v>2530</v>
      </c>
    </row>
    <row r="341" spans="1:9" x14ac:dyDescent="0.3">
      <c r="B341" t="s">
        <v>2025</v>
      </c>
      <c r="C341" t="s">
        <v>2529</v>
      </c>
      <c r="D341" t="s">
        <v>1203</v>
      </c>
      <c r="E341" t="s">
        <v>1204</v>
      </c>
      <c r="F341">
        <v>7912</v>
      </c>
      <c r="G341" t="s">
        <v>2530</v>
      </c>
      <c r="H341" t="s">
        <v>2646</v>
      </c>
      <c r="I341" t="s">
        <v>2530</v>
      </c>
    </row>
    <row r="342" spans="1:9" x14ac:dyDescent="0.3">
      <c r="A342">
        <v>440</v>
      </c>
      <c r="B342" t="s">
        <v>2026</v>
      </c>
      <c r="C342" t="s">
        <v>2529</v>
      </c>
      <c r="D342" t="s">
        <v>159</v>
      </c>
      <c r="E342" t="s">
        <v>159</v>
      </c>
      <c r="F342">
        <v>7913</v>
      </c>
      <c r="G342" t="s">
        <v>2460</v>
      </c>
      <c r="H342" t="s">
        <v>2460</v>
      </c>
      <c r="I342" t="s">
        <v>2460</v>
      </c>
    </row>
    <row r="343" spans="1:9" x14ac:dyDescent="0.3">
      <c r="A343">
        <v>2469</v>
      </c>
      <c r="B343" t="s">
        <v>2028</v>
      </c>
      <c r="C343" t="s">
        <v>2529</v>
      </c>
      <c r="D343" t="s">
        <v>1203</v>
      </c>
      <c r="E343" t="s">
        <v>1204</v>
      </c>
      <c r="F343">
        <v>5617</v>
      </c>
      <c r="G343" t="s">
        <v>2530</v>
      </c>
      <c r="H343" t="s">
        <v>2647</v>
      </c>
      <c r="I343" t="s">
        <v>2530</v>
      </c>
    </row>
    <row r="344" spans="1:9" x14ac:dyDescent="0.3">
      <c r="A344">
        <v>2487</v>
      </c>
      <c r="B344" t="s">
        <v>2029</v>
      </c>
      <c r="C344" t="s">
        <v>2529</v>
      </c>
      <c r="D344" t="s">
        <v>1203</v>
      </c>
      <c r="E344" t="s">
        <v>1204</v>
      </c>
      <c r="F344">
        <v>5814</v>
      </c>
      <c r="G344" t="s">
        <v>2530</v>
      </c>
      <c r="H344" t="s">
        <v>2648</v>
      </c>
      <c r="I344" t="s">
        <v>2530</v>
      </c>
    </row>
    <row r="345" spans="1:9" x14ac:dyDescent="0.3">
      <c r="A345">
        <v>2490</v>
      </c>
      <c r="B345" t="s">
        <v>2030</v>
      </c>
      <c r="C345" t="s">
        <v>2529</v>
      </c>
      <c r="D345" t="s">
        <v>1203</v>
      </c>
      <c r="E345" t="s">
        <v>1204</v>
      </c>
      <c r="F345">
        <v>5626</v>
      </c>
      <c r="G345" t="s">
        <v>2530</v>
      </c>
      <c r="H345" t="s">
        <v>2545</v>
      </c>
      <c r="I345" t="s">
        <v>2530</v>
      </c>
    </row>
    <row r="346" spans="1:9" x14ac:dyDescent="0.3">
      <c r="A346">
        <v>2496</v>
      </c>
      <c r="B346" t="s">
        <v>905</v>
      </c>
      <c r="C346" t="s">
        <v>2529</v>
      </c>
      <c r="D346" t="s">
        <v>1203</v>
      </c>
      <c r="E346" t="s">
        <v>1204</v>
      </c>
      <c r="F346">
        <v>5568</v>
      </c>
      <c r="G346" t="s">
        <v>2530</v>
      </c>
      <c r="H346" t="s">
        <v>2553</v>
      </c>
      <c r="I346" t="s">
        <v>2530</v>
      </c>
    </row>
    <row r="347" spans="1:9" x14ac:dyDescent="0.3">
      <c r="A347">
        <v>2510</v>
      </c>
      <c r="B347" t="s">
        <v>2035</v>
      </c>
      <c r="C347" t="s">
        <v>2529</v>
      </c>
      <c r="D347" t="s">
        <v>1203</v>
      </c>
      <c r="E347" t="s">
        <v>1204</v>
      </c>
      <c r="F347">
        <v>5942</v>
      </c>
      <c r="G347" t="s">
        <v>2537</v>
      </c>
      <c r="H347" t="s">
        <v>2460</v>
      </c>
      <c r="I347" t="s">
        <v>2537</v>
      </c>
    </row>
    <row r="348" spans="1:9" x14ac:dyDescent="0.3">
      <c r="A348">
        <v>2512</v>
      </c>
      <c r="B348" t="s">
        <v>2039</v>
      </c>
      <c r="C348" t="s">
        <v>2529</v>
      </c>
      <c r="D348" t="s">
        <v>1203</v>
      </c>
      <c r="E348" t="s">
        <v>1204</v>
      </c>
      <c r="F348">
        <v>5501</v>
      </c>
      <c r="G348" t="s">
        <v>2537</v>
      </c>
      <c r="H348" t="s">
        <v>2460</v>
      </c>
      <c r="I348" t="s">
        <v>2530</v>
      </c>
    </row>
    <row r="349" spans="1:9" x14ac:dyDescent="0.3">
      <c r="A349">
        <v>2516</v>
      </c>
      <c r="B349" t="s">
        <v>2041</v>
      </c>
      <c r="C349" t="s">
        <v>2529</v>
      </c>
      <c r="D349" t="s">
        <v>1203</v>
      </c>
      <c r="E349" t="s">
        <v>1204</v>
      </c>
      <c r="F349">
        <v>6666</v>
      </c>
      <c r="G349" t="s">
        <v>2530</v>
      </c>
      <c r="H349" t="s">
        <v>2649</v>
      </c>
      <c r="I349" t="s">
        <v>2530</v>
      </c>
    </row>
    <row r="350" spans="1:9" x14ac:dyDescent="0.3">
      <c r="A350">
        <v>2523</v>
      </c>
      <c r="B350" t="s">
        <v>2042</v>
      </c>
      <c r="C350" t="s">
        <v>2529</v>
      </c>
      <c r="D350" t="s">
        <v>1203</v>
      </c>
      <c r="E350" t="s">
        <v>1204</v>
      </c>
      <c r="F350">
        <v>5458</v>
      </c>
      <c r="G350" t="s">
        <v>2537</v>
      </c>
      <c r="H350" t="s">
        <v>2460</v>
      </c>
      <c r="I350" t="s">
        <v>2530</v>
      </c>
    </row>
    <row r="351" spans="1:9" x14ac:dyDescent="0.3">
      <c r="A351">
        <v>2524</v>
      </c>
      <c r="B351" t="s">
        <v>2043</v>
      </c>
      <c r="C351" t="s">
        <v>2529</v>
      </c>
      <c r="D351" t="s">
        <v>159</v>
      </c>
      <c r="E351" t="s">
        <v>159</v>
      </c>
      <c r="F351">
        <v>6055</v>
      </c>
      <c r="G351" t="s">
        <v>2537</v>
      </c>
      <c r="H351" t="s">
        <v>2460</v>
      </c>
      <c r="I351" t="s">
        <v>2530</v>
      </c>
    </row>
    <row r="352" spans="1:9" x14ac:dyDescent="0.3">
      <c r="A352">
        <v>2528</v>
      </c>
      <c r="B352" t="s">
        <v>2047</v>
      </c>
      <c r="C352" t="s">
        <v>2529</v>
      </c>
      <c r="D352" t="s">
        <v>1203</v>
      </c>
      <c r="E352" t="s">
        <v>1204</v>
      </c>
      <c r="F352">
        <v>5675</v>
      </c>
      <c r="G352" t="s">
        <v>2530</v>
      </c>
      <c r="H352" t="s">
        <v>2545</v>
      </c>
      <c r="I352" t="s">
        <v>2530</v>
      </c>
    </row>
    <row r="353" spans="1:9" x14ac:dyDescent="0.3">
      <c r="A353">
        <v>2530</v>
      </c>
      <c r="B353" t="s">
        <v>2049</v>
      </c>
      <c r="C353" t="s">
        <v>2529</v>
      </c>
      <c r="D353" t="s">
        <v>1203</v>
      </c>
      <c r="E353" t="s">
        <v>1204</v>
      </c>
      <c r="F353">
        <v>5741</v>
      </c>
      <c r="G353" t="s">
        <v>2537</v>
      </c>
      <c r="H353" t="s">
        <v>2460</v>
      </c>
      <c r="I353" t="s">
        <v>2530</v>
      </c>
    </row>
    <row r="354" spans="1:9" x14ac:dyDescent="0.3">
      <c r="A354">
        <v>2536</v>
      </c>
      <c r="B354" t="s">
        <v>2050</v>
      </c>
      <c r="C354" t="s">
        <v>2529</v>
      </c>
      <c r="D354" t="s">
        <v>1203</v>
      </c>
      <c r="E354" t="s">
        <v>1204</v>
      </c>
      <c r="F354">
        <v>5587</v>
      </c>
      <c r="G354" t="s">
        <v>2530</v>
      </c>
      <c r="H354" t="s">
        <v>2540</v>
      </c>
      <c r="I354" t="s">
        <v>2530</v>
      </c>
    </row>
    <row r="355" spans="1:9" x14ac:dyDescent="0.3">
      <c r="A355">
        <v>2541</v>
      </c>
      <c r="B355" t="s">
        <v>2051</v>
      </c>
      <c r="C355" t="s">
        <v>2529</v>
      </c>
      <c r="D355" t="s">
        <v>159</v>
      </c>
      <c r="E355" t="s">
        <v>159</v>
      </c>
      <c r="F355">
        <v>6789</v>
      </c>
      <c r="G355" t="s">
        <v>2530</v>
      </c>
      <c r="H355" t="s">
        <v>2650</v>
      </c>
      <c r="I355" t="s">
        <v>2537</v>
      </c>
    </row>
    <row r="356" spans="1:9" x14ac:dyDescent="0.3">
      <c r="A356">
        <v>2597</v>
      </c>
      <c r="B356" t="s">
        <v>2053</v>
      </c>
      <c r="C356" t="s">
        <v>2529</v>
      </c>
      <c r="D356" t="s">
        <v>1203</v>
      </c>
      <c r="E356" t="s">
        <v>1204</v>
      </c>
      <c r="F356">
        <v>5491</v>
      </c>
      <c r="G356" t="s">
        <v>2537</v>
      </c>
      <c r="H356" t="s">
        <v>2460</v>
      </c>
      <c r="I356" t="s">
        <v>2530</v>
      </c>
    </row>
    <row r="357" spans="1:9" x14ac:dyDescent="0.3">
      <c r="A357">
        <v>2602</v>
      </c>
      <c r="B357" t="s">
        <v>2054</v>
      </c>
      <c r="C357" t="s">
        <v>2529</v>
      </c>
      <c r="D357" t="s">
        <v>1203</v>
      </c>
      <c r="E357" t="s">
        <v>1204</v>
      </c>
      <c r="F357">
        <v>5701</v>
      </c>
      <c r="G357" t="s">
        <v>2537</v>
      </c>
      <c r="H357" t="s">
        <v>2460</v>
      </c>
      <c r="I357" t="s">
        <v>2530</v>
      </c>
    </row>
    <row r="358" spans="1:9" x14ac:dyDescent="0.3">
      <c r="A358">
        <v>2603</v>
      </c>
      <c r="B358" t="s">
        <v>2058</v>
      </c>
      <c r="C358" t="s">
        <v>2529</v>
      </c>
      <c r="D358" t="s">
        <v>1203</v>
      </c>
      <c r="E358" t="s">
        <v>1204</v>
      </c>
      <c r="F358">
        <v>6625</v>
      </c>
      <c r="G358" t="s">
        <v>2530</v>
      </c>
      <c r="H358" t="s">
        <v>2651</v>
      </c>
      <c r="I358" t="s">
        <v>2530</v>
      </c>
    </row>
    <row r="359" spans="1:9" x14ac:dyDescent="0.3">
      <c r="A359">
        <v>2604</v>
      </c>
      <c r="B359" t="s">
        <v>2063</v>
      </c>
      <c r="C359" t="s">
        <v>2529</v>
      </c>
      <c r="D359" t="s">
        <v>1203</v>
      </c>
      <c r="E359" t="s">
        <v>1204</v>
      </c>
      <c r="F359">
        <v>5652</v>
      </c>
      <c r="G359" t="s">
        <v>2530</v>
      </c>
      <c r="H359" t="s">
        <v>2652</v>
      </c>
      <c r="I359" t="s">
        <v>2530</v>
      </c>
    </row>
    <row r="360" spans="1:9" x14ac:dyDescent="0.3">
      <c r="A360">
        <v>2605</v>
      </c>
      <c r="B360" t="s">
        <v>2066</v>
      </c>
      <c r="C360" t="s">
        <v>2529</v>
      </c>
      <c r="D360" t="s">
        <v>1203</v>
      </c>
      <c r="E360" t="s">
        <v>1204</v>
      </c>
      <c r="F360">
        <v>5682</v>
      </c>
      <c r="G360" t="s">
        <v>2530</v>
      </c>
      <c r="H360" t="s">
        <v>2591</v>
      </c>
      <c r="I360" t="s">
        <v>2530</v>
      </c>
    </row>
    <row r="361" spans="1:9" x14ac:dyDescent="0.3">
      <c r="A361">
        <v>2610</v>
      </c>
      <c r="B361" t="s">
        <v>2067</v>
      </c>
      <c r="C361" t="s">
        <v>2529</v>
      </c>
      <c r="D361" t="s">
        <v>159</v>
      </c>
      <c r="E361" t="s">
        <v>159</v>
      </c>
      <c r="F361">
        <v>7858</v>
      </c>
      <c r="G361" t="s">
        <v>2530</v>
      </c>
      <c r="H361" t="s">
        <v>2653</v>
      </c>
      <c r="I361" t="s">
        <v>2530</v>
      </c>
    </row>
    <row r="362" spans="1:9" x14ac:dyDescent="0.3">
      <c r="A362">
        <v>2618</v>
      </c>
      <c r="B362" t="s">
        <v>2071</v>
      </c>
      <c r="C362" t="s">
        <v>2529</v>
      </c>
      <c r="D362" t="s">
        <v>1203</v>
      </c>
      <c r="E362" t="s">
        <v>1204</v>
      </c>
      <c r="F362">
        <v>5771</v>
      </c>
      <c r="G362" t="s">
        <v>2537</v>
      </c>
      <c r="H362" t="s">
        <v>2460</v>
      </c>
      <c r="I362" t="s">
        <v>2530</v>
      </c>
    </row>
    <row r="363" spans="1:9" x14ac:dyDescent="0.3">
      <c r="A363">
        <v>2626</v>
      </c>
      <c r="B363" t="s">
        <v>2072</v>
      </c>
      <c r="C363" t="s">
        <v>2529</v>
      </c>
      <c r="D363" t="s">
        <v>1203</v>
      </c>
      <c r="E363" t="s">
        <v>1204</v>
      </c>
      <c r="F363">
        <v>5794</v>
      </c>
      <c r="G363" t="s">
        <v>2537</v>
      </c>
      <c r="H363" t="s">
        <v>2460</v>
      </c>
      <c r="I363" t="s">
        <v>2530</v>
      </c>
    </row>
    <row r="364" spans="1:9" x14ac:dyDescent="0.3">
      <c r="A364">
        <v>2629</v>
      </c>
      <c r="B364" t="s">
        <v>2073</v>
      </c>
      <c r="C364" t="s">
        <v>2529</v>
      </c>
      <c r="D364" t="s">
        <v>1203</v>
      </c>
      <c r="E364" t="s">
        <v>1204</v>
      </c>
      <c r="F364">
        <v>5786</v>
      </c>
      <c r="G364" t="s">
        <v>2530</v>
      </c>
      <c r="H364" t="s">
        <v>2593</v>
      </c>
      <c r="I364" t="s">
        <v>2530</v>
      </c>
    </row>
    <row r="365" spans="1:9" x14ac:dyDescent="0.3">
      <c r="A365">
        <v>2631</v>
      </c>
      <c r="B365" t="s">
        <v>2075</v>
      </c>
      <c r="C365" t="s">
        <v>2529</v>
      </c>
      <c r="D365" t="s">
        <v>159</v>
      </c>
      <c r="E365" t="s">
        <v>159</v>
      </c>
      <c r="F365">
        <v>5420</v>
      </c>
      <c r="G365" t="s">
        <v>2537</v>
      </c>
      <c r="H365" t="s">
        <v>2460</v>
      </c>
      <c r="I365" t="s">
        <v>2530</v>
      </c>
    </row>
    <row r="366" spans="1:9" x14ac:dyDescent="0.3">
      <c r="A366">
        <v>2633</v>
      </c>
      <c r="B366" t="s">
        <v>2076</v>
      </c>
      <c r="C366" t="s">
        <v>2529</v>
      </c>
      <c r="D366" t="s">
        <v>1203</v>
      </c>
      <c r="E366" t="s">
        <v>1204</v>
      </c>
      <c r="F366">
        <v>5666</v>
      </c>
      <c r="G366" t="s">
        <v>2537</v>
      </c>
      <c r="H366" t="s">
        <v>2460</v>
      </c>
      <c r="I366" t="s">
        <v>2530</v>
      </c>
    </row>
    <row r="367" spans="1:9" x14ac:dyDescent="0.3">
      <c r="A367">
        <v>2635</v>
      </c>
      <c r="B367" t="s">
        <v>2078</v>
      </c>
      <c r="C367" t="s">
        <v>2529</v>
      </c>
      <c r="D367" t="s">
        <v>1203</v>
      </c>
      <c r="E367" t="s">
        <v>1204</v>
      </c>
      <c r="F367">
        <v>5692</v>
      </c>
      <c r="G367" t="s">
        <v>2530</v>
      </c>
      <c r="H367" t="s">
        <v>2554</v>
      </c>
      <c r="I367" t="s">
        <v>2530</v>
      </c>
    </row>
    <row r="368" spans="1:9" x14ac:dyDescent="0.3">
      <c r="A368">
        <v>2649</v>
      </c>
      <c r="B368" t="s">
        <v>2079</v>
      </c>
      <c r="C368" t="s">
        <v>2529</v>
      </c>
      <c r="D368" t="s">
        <v>1203</v>
      </c>
      <c r="E368" t="s">
        <v>1204</v>
      </c>
      <c r="F368">
        <v>5924</v>
      </c>
      <c r="G368" t="s">
        <v>2530</v>
      </c>
      <c r="H368" t="s">
        <v>2568</v>
      </c>
      <c r="I368" t="s">
        <v>2530</v>
      </c>
    </row>
    <row r="369" spans="1:9" x14ac:dyDescent="0.3">
      <c r="A369">
        <v>2661</v>
      </c>
      <c r="B369" t="s">
        <v>2084</v>
      </c>
      <c r="C369" t="s">
        <v>2529</v>
      </c>
      <c r="D369" t="s">
        <v>1203</v>
      </c>
      <c r="E369" t="s">
        <v>1204</v>
      </c>
      <c r="F369">
        <v>5527</v>
      </c>
      <c r="G369" t="s">
        <v>2530</v>
      </c>
      <c r="H369" t="s">
        <v>2533</v>
      </c>
      <c r="I369" t="s">
        <v>2530</v>
      </c>
    </row>
    <row r="370" spans="1:9" x14ac:dyDescent="0.3">
      <c r="A370">
        <v>2669</v>
      </c>
      <c r="B370" t="s">
        <v>2085</v>
      </c>
      <c r="C370" t="s">
        <v>2529</v>
      </c>
      <c r="D370" t="s">
        <v>1203</v>
      </c>
      <c r="E370" t="s">
        <v>1204</v>
      </c>
      <c r="F370">
        <v>5913</v>
      </c>
      <c r="G370" t="s">
        <v>2537</v>
      </c>
      <c r="H370" t="s">
        <v>2460</v>
      </c>
      <c r="I370" t="s">
        <v>2530</v>
      </c>
    </row>
    <row r="371" spans="1:9" x14ac:dyDescent="0.3">
      <c r="A371">
        <v>2679</v>
      </c>
      <c r="B371" t="s">
        <v>2086</v>
      </c>
      <c r="C371" t="s">
        <v>2529</v>
      </c>
      <c r="D371" t="s">
        <v>1203</v>
      </c>
      <c r="E371" t="s">
        <v>1204</v>
      </c>
      <c r="F371">
        <v>5778</v>
      </c>
      <c r="G371" t="s">
        <v>2537</v>
      </c>
      <c r="H371" t="s">
        <v>2460</v>
      </c>
      <c r="I371" t="s">
        <v>2530</v>
      </c>
    </row>
    <row r="372" spans="1:9" x14ac:dyDescent="0.3">
      <c r="A372">
        <v>2683</v>
      </c>
      <c r="B372" t="s">
        <v>871</v>
      </c>
      <c r="C372" t="s">
        <v>2529</v>
      </c>
      <c r="D372" t="s">
        <v>1203</v>
      </c>
      <c r="E372" t="s">
        <v>1204</v>
      </c>
      <c r="F372">
        <v>6775</v>
      </c>
      <c r="G372" t="s">
        <v>2530</v>
      </c>
      <c r="H372" t="s">
        <v>2654</v>
      </c>
      <c r="I372" t="s">
        <v>2530</v>
      </c>
    </row>
    <row r="373" spans="1:9" x14ac:dyDescent="0.3">
      <c r="A373">
        <v>2690</v>
      </c>
      <c r="B373" t="s">
        <v>2089</v>
      </c>
      <c r="C373" t="s">
        <v>2529</v>
      </c>
      <c r="D373" t="s">
        <v>1203</v>
      </c>
      <c r="E373" t="s">
        <v>1204</v>
      </c>
      <c r="F373">
        <v>5764</v>
      </c>
      <c r="G373" t="s">
        <v>2537</v>
      </c>
      <c r="H373" t="s">
        <v>2460</v>
      </c>
      <c r="I373" t="s">
        <v>2530</v>
      </c>
    </row>
    <row r="374" spans="1:9" x14ac:dyDescent="0.3">
      <c r="A374">
        <v>2691</v>
      </c>
      <c r="B374" t="s">
        <v>2091</v>
      </c>
      <c r="C374" t="s">
        <v>2529</v>
      </c>
      <c r="D374" t="s">
        <v>1203</v>
      </c>
      <c r="E374" t="s">
        <v>1204</v>
      </c>
      <c r="F374">
        <v>5607</v>
      </c>
      <c r="G374" t="s">
        <v>2530</v>
      </c>
      <c r="H374" t="s">
        <v>2553</v>
      </c>
      <c r="I374" t="s">
        <v>2530</v>
      </c>
    </row>
    <row r="375" spans="1:9" x14ac:dyDescent="0.3">
      <c r="A375">
        <v>2697</v>
      </c>
      <c r="B375" t="s">
        <v>2092</v>
      </c>
      <c r="C375" t="s">
        <v>2529</v>
      </c>
      <c r="D375" t="s">
        <v>159</v>
      </c>
      <c r="E375" t="s">
        <v>159</v>
      </c>
      <c r="F375">
        <v>7790</v>
      </c>
      <c r="G375" t="s">
        <v>2537</v>
      </c>
      <c r="H375" t="s">
        <v>2460</v>
      </c>
      <c r="I375" t="s">
        <v>2530</v>
      </c>
    </row>
    <row r="376" spans="1:9" x14ac:dyDescent="0.3">
      <c r="A376">
        <v>2704</v>
      </c>
      <c r="B376" t="s">
        <v>2096</v>
      </c>
      <c r="C376" t="s">
        <v>2529</v>
      </c>
      <c r="D376" t="s">
        <v>159</v>
      </c>
      <c r="E376" t="s">
        <v>159</v>
      </c>
      <c r="F376">
        <v>7853</v>
      </c>
      <c r="G376" t="s">
        <v>2530</v>
      </c>
      <c r="H376" t="s">
        <v>2545</v>
      </c>
      <c r="I376" t="s">
        <v>2530</v>
      </c>
    </row>
    <row r="377" spans="1:9" x14ac:dyDescent="0.3">
      <c r="A377">
        <v>2723</v>
      </c>
      <c r="B377" t="s">
        <v>2098</v>
      </c>
      <c r="C377" t="s">
        <v>2529</v>
      </c>
      <c r="D377" t="s">
        <v>1203</v>
      </c>
      <c r="E377" t="s">
        <v>1204</v>
      </c>
      <c r="F377">
        <v>5513</v>
      </c>
      <c r="G377" t="s">
        <v>2530</v>
      </c>
      <c r="H377" t="s">
        <v>2533</v>
      </c>
      <c r="I377" t="s">
        <v>2530</v>
      </c>
    </row>
    <row r="378" spans="1:9" x14ac:dyDescent="0.3">
      <c r="A378">
        <v>2751</v>
      </c>
      <c r="B378" t="s">
        <v>2099</v>
      </c>
      <c r="C378" t="s">
        <v>2529</v>
      </c>
      <c r="D378" t="s">
        <v>1203</v>
      </c>
      <c r="E378" t="s">
        <v>1204</v>
      </c>
      <c r="F378">
        <v>5933</v>
      </c>
      <c r="G378" t="s">
        <v>2530</v>
      </c>
      <c r="H378" t="s">
        <v>2655</v>
      </c>
      <c r="I378" t="s">
        <v>2530</v>
      </c>
    </row>
    <row r="379" spans="1:9" x14ac:dyDescent="0.3">
      <c r="A379">
        <v>2766</v>
      </c>
      <c r="B379" t="s">
        <v>2101</v>
      </c>
      <c r="C379" t="s">
        <v>2529</v>
      </c>
      <c r="D379" t="s">
        <v>1203</v>
      </c>
      <c r="E379" t="s">
        <v>1204</v>
      </c>
      <c r="F379">
        <v>5594</v>
      </c>
      <c r="G379" t="s">
        <v>2537</v>
      </c>
      <c r="H379" t="s">
        <v>2460</v>
      </c>
      <c r="I379" t="s">
        <v>2530</v>
      </c>
    </row>
    <row r="380" spans="1:9" x14ac:dyDescent="0.3">
      <c r="A380">
        <v>2782</v>
      </c>
      <c r="B380" t="s">
        <v>2103</v>
      </c>
      <c r="C380" t="s">
        <v>2529</v>
      </c>
      <c r="D380" t="s">
        <v>1203</v>
      </c>
      <c r="E380" t="s">
        <v>1204</v>
      </c>
      <c r="F380">
        <v>5688</v>
      </c>
      <c r="G380" t="s">
        <v>2530</v>
      </c>
      <c r="H380" t="s">
        <v>2545</v>
      </c>
      <c r="I380" t="s">
        <v>2530</v>
      </c>
    </row>
    <row r="381" spans="1:9" x14ac:dyDescent="0.3">
      <c r="A381">
        <v>2789</v>
      </c>
      <c r="B381" t="s">
        <v>2106</v>
      </c>
      <c r="C381" t="s">
        <v>2529</v>
      </c>
      <c r="D381" t="s">
        <v>1203</v>
      </c>
      <c r="E381" t="s">
        <v>1204</v>
      </c>
      <c r="F381">
        <v>5726</v>
      </c>
      <c r="G381" t="s">
        <v>2537</v>
      </c>
      <c r="H381" t="s">
        <v>2460</v>
      </c>
      <c r="I381" t="s">
        <v>2530</v>
      </c>
    </row>
    <row r="382" spans="1:9" x14ac:dyDescent="0.3">
      <c r="A382">
        <v>2790</v>
      </c>
      <c r="B382" t="s">
        <v>763</v>
      </c>
      <c r="C382" t="s">
        <v>2529</v>
      </c>
      <c r="D382" t="s">
        <v>1203</v>
      </c>
      <c r="E382" t="s">
        <v>1204</v>
      </c>
      <c r="F382">
        <v>5830</v>
      </c>
      <c r="G382" t="s">
        <v>2530</v>
      </c>
      <c r="H382" t="s">
        <v>2558</v>
      </c>
      <c r="I382" t="s">
        <v>2530</v>
      </c>
    </row>
    <row r="383" spans="1:9" x14ac:dyDescent="0.3">
      <c r="A383">
        <v>2793</v>
      </c>
      <c r="B383" t="s">
        <v>2107</v>
      </c>
      <c r="C383" t="s">
        <v>2529</v>
      </c>
      <c r="D383" t="s">
        <v>1203</v>
      </c>
      <c r="E383" t="s">
        <v>1204</v>
      </c>
      <c r="F383">
        <v>5881</v>
      </c>
      <c r="G383" t="s">
        <v>2530</v>
      </c>
      <c r="H383" t="s">
        <v>2656</v>
      </c>
      <c r="I383" t="s">
        <v>2530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6AF68-184D-4881-BFC3-AD83514952C7}">
  <sheetPr codeName="Sheet32">
    <tabColor rgb="FF7030A0"/>
  </sheetPr>
  <dimension ref="A1:L765"/>
  <sheetViews>
    <sheetView workbookViewId="0"/>
  </sheetViews>
  <sheetFormatPr defaultRowHeight="14.4" x14ac:dyDescent="0.3"/>
  <cols>
    <col min="1" max="1" width="7.6640625" bestFit="1" customWidth="1"/>
    <col min="2" max="2" width="54" bestFit="1" customWidth="1"/>
    <col min="3" max="3" width="57" bestFit="1" customWidth="1"/>
    <col min="4" max="4" width="18.88671875" hidden="1" customWidth="1"/>
    <col min="5" max="5" width="26.5546875" hidden="1" customWidth="1"/>
    <col min="6" max="6" width="14" bestFit="1" customWidth="1"/>
    <col min="7" max="11" width="20.44140625" bestFit="1" customWidth="1"/>
  </cols>
  <sheetData>
    <row r="1" spans="1:12" x14ac:dyDescent="0.3">
      <c r="A1" t="s">
        <v>1191</v>
      </c>
      <c r="B1" t="s">
        <v>1192</v>
      </c>
      <c r="C1" t="s">
        <v>1193</v>
      </c>
      <c r="D1" t="s">
        <v>1194</v>
      </c>
      <c r="E1" t="s">
        <v>1195</v>
      </c>
      <c r="F1" t="s">
        <v>2657</v>
      </c>
      <c r="G1" t="s">
        <v>2658</v>
      </c>
      <c r="H1" t="s">
        <v>2659</v>
      </c>
      <c r="I1" t="s">
        <v>2660</v>
      </c>
      <c r="J1" t="s">
        <v>2661</v>
      </c>
      <c r="K1" t="s">
        <v>2662</v>
      </c>
      <c r="L1" t="s">
        <v>2255</v>
      </c>
    </row>
    <row r="2" spans="1:12" x14ac:dyDescent="0.3">
      <c r="A2">
        <v>13</v>
      </c>
      <c r="B2" t="s">
        <v>1201</v>
      </c>
      <c r="C2" t="s">
        <v>2663</v>
      </c>
      <c r="D2" t="s">
        <v>1203</v>
      </c>
      <c r="E2" t="s">
        <v>1204</v>
      </c>
      <c r="F2" t="s">
        <v>2664</v>
      </c>
      <c r="G2">
        <v>64426</v>
      </c>
      <c r="H2">
        <v>64429</v>
      </c>
      <c r="I2">
        <v>64155</v>
      </c>
      <c r="J2">
        <v>64431</v>
      </c>
      <c r="K2">
        <v>64433</v>
      </c>
      <c r="L2" t="s">
        <v>988</v>
      </c>
    </row>
    <row r="3" spans="1:12" x14ac:dyDescent="0.3">
      <c r="A3">
        <v>13</v>
      </c>
      <c r="B3" t="s">
        <v>1201</v>
      </c>
      <c r="C3" t="s">
        <v>2663</v>
      </c>
      <c r="D3" t="s">
        <v>1203</v>
      </c>
      <c r="E3" t="s">
        <v>1204</v>
      </c>
      <c r="F3" t="s">
        <v>2665</v>
      </c>
      <c r="G3">
        <v>5016</v>
      </c>
      <c r="H3">
        <v>5283</v>
      </c>
      <c r="I3">
        <v>5451</v>
      </c>
      <c r="J3">
        <v>5609</v>
      </c>
      <c r="K3">
        <v>5793</v>
      </c>
      <c r="L3" t="s">
        <v>988</v>
      </c>
    </row>
    <row r="4" spans="1:12" x14ac:dyDescent="0.3">
      <c r="A4">
        <v>23</v>
      </c>
      <c r="B4" t="s">
        <v>801</v>
      </c>
      <c r="C4" t="s">
        <v>2663</v>
      </c>
      <c r="D4" t="s">
        <v>159</v>
      </c>
      <c r="E4" t="s">
        <v>159</v>
      </c>
      <c r="F4" t="s">
        <v>2664</v>
      </c>
      <c r="G4">
        <v>68200</v>
      </c>
      <c r="H4">
        <v>68200</v>
      </c>
      <c r="I4">
        <v>68300</v>
      </c>
      <c r="J4">
        <v>68300</v>
      </c>
      <c r="K4">
        <v>68200</v>
      </c>
      <c r="L4" t="s">
        <v>988</v>
      </c>
    </row>
    <row r="5" spans="1:12" x14ac:dyDescent="0.3">
      <c r="A5">
        <v>23</v>
      </c>
      <c r="B5" t="s">
        <v>801</v>
      </c>
      <c r="C5" t="s">
        <v>2663</v>
      </c>
      <c r="D5" t="s">
        <v>159</v>
      </c>
      <c r="E5" t="s">
        <v>159</v>
      </c>
      <c r="F5" t="s">
        <v>2665</v>
      </c>
      <c r="G5">
        <v>60900</v>
      </c>
      <c r="H5">
        <v>60400</v>
      </c>
      <c r="I5">
        <v>60100</v>
      </c>
      <c r="J5">
        <v>60200</v>
      </c>
      <c r="K5">
        <v>67500</v>
      </c>
      <c r="L5" t="s">
        <v>988</v>
      </c>
    </row>
    <row r="6" spans="1:12" x14ac:dyDescent="0.3">
      <c r="A6">
        <v>30</v>
      </c>
      <c r="B6" t="s">
        <v>1213</v>
      </c>
      <c r="C6" t="s">
        <v>2663</v>
      </c>
      <c r="D6" t="s">
        <v>159</v>
      </c>
      <c r="E6" t="s">
        <v>159</v>
      </c>
      <c r="F6" t="s">
        <v>2665</v>
      </c>
      <c r="G6">
        <v>10433</v>
      </c>
      <c r="H6">
        <v>10526</v>
      </c>
      <c r="I6">
        <v>10621</v>
      </c>
      <c r="J6">
        <v>10717</v>
      </c>
      <c r="K6">
        <v>10812</v>
      </c>
      <c r="L6" t="s">
        <v>988</v>
      </c>
    </row>
    <row r="7" spans="1:12" x14ac:dyDescent="0.3">
      <c r="A7">
        <v>30</v>
      </c>
      <c r="B7" t="s">
        <v>1213</v>
      </c>
      <c r="C7" t="s">
        <v>2663</v>
      </c>
      <c r="D7" t="s">
        <v>159</v>
      </c>
      <c r="E7" t="s">
        <v>159</v>
      </c>
      <c r="F7" t="s">
        <v>2664</v>
      </c>
      <c r="G7">
        <v>10433</v>
      </c>
      <c r="H7">
        <v>10526</v>
      </c>
      <c r="I7">
        <v>10621</v>
      </c>
      <c r="J7">
        <v>10717</v>
      </c>
      <c r="K7">
        <v>10812</v>
      </c>
      <c r="L7" t="s">
        <v>988</v>
      </c>
    </row>
    <row r="8" spans="1:12" x14ac:dyDescent="0.3">
      <c r="A8">
        <v>55</v>
      </c>
      <c r="B8" t="s">
        <v>1217</v>
      </c>
      <c r="C8" t="s">
        <v>2663</v>
      </c>
      <c r="D8" t="s">
        <v>1203</v>
      </c>
      <c r="E8" t="s">
        <v>1204</v>
      </c>
      <c r="F8" t="s">
        <v>2664</v>
      </c>
      <c r="G8">
        <v>19803</v>
      </c>
      <c r="H8">
        <v>20042</v>
      </c>
      <c r="I8">
        <v>20050</v>
      </c>
      <c r="J8">
        <v>20057</v>
      </c>
      <c r="K8">
        <v>20065</v>
      </c>
      <c r="L8" t="s">
        <v>988</v>
      </c>
    </row>
    <row r="9" spans="1:12" x14ac:dyDescent="0.3">
      <c r="A9">
        <v>55</v>
      </c>
      <c r="B9" t="s">
        <v>1217</v>
      </c>
      <c r="C9" t="s">
        <v>2663</v>
      </c>
      <c r="D9" t="s">
        <v>1203</v>
      </c>
      <c r="E9" t="s">
        <v>1204</v>
      </c>
      <c r="F9" t="s">
        <v>2665</v>
      </c>
      <c r="G9">
        <v>8937</v>
      </c>
      <c r="H9">
        <v>9335</v>
      </c>
      <c r="I9">
        <v>9425</v>
      </c>
      <c r="J9">
        <v>9488</v>
      </c>
      <c r="K9">
        <v>9567</v>
      </c>
      <c r="L9" t="s">
        <v>988</v>
      </c>
    </row>
    <row r="10" spans="1:12" x14ac:dyDescent="0.3">
      <c r="A10">
        <v>64</v>
      </c>
      <c r="B10" t="s">
        <v>1220</v>
      </c>
      <c r="C10" t="s">
        <v>2663</v>
      </c>
      <c r="D10" t="s">
        <v>159</v>
      </c>
      <c r="E10" t="s">
        <v>159</v>
      </c>
      <c r="F10" t="s">
        <v>2664</v>
      </c>
      <c r="G10">
        <v>62302</v>
      </c>
      <c r="H10">
        <v>65436</v>
      </c>
      <c r="I10">
        <v>66648</v>
      </c>
      <c r="J10">
        <v>67954</v>
      </c>
      <c r="K10">
        <v>68418</v>
      </c>
      <c r="L10" t="s">
        <v>988</v>
      </c>
    </row>
    <row r="11" spans="1:12" x14ac:dyDescent="0.3">
      <c r="A11">
        <v>64</v>
      </c>
      <c r="B11" t="s">
        <v>1220</v>
      </c>
      <c r="C11" t="s">
        <v>2663</v>
      </c>
      <c r="D11" t="s">
        <v>159</v>
      </c>
      <c r="E11" t="s">
        <v>159</v>
      </c>
      <c r="F11" t="s">
        <v>2665</v>
      </c>
      <c r="G11">
        <v>58878</v>
      </c>
      <c r="H11">
        <v>62700</v>
      </c>
      <c r="I11">
        <v>64178</v>
      </c>
      <c r="J11">
        <v>65771</v>
      </c>
      <c r="K11">
        <v>66337</v>
      </c>
      <c r="L11" t="s">
        <v>988</v>
      </c>
    </row>
    <row r="12" spans="1:12" x14ac:dyDescent="0.3">
      <c r="A12">
        <v>82</v>
      </c>
      <c r="B12" t="s">
        <v>1224</v>
      </c>
      <c r="C12" t="s">
        <v>2663</v>
      </c>
      <c r="D12" t="s">
        <v>159</v>
      </c>
      <c r="E12" t="s">
        <v>159</v>
      </c>
      <c r="F12" t="s">
        <v>2664</v>
      </c>
      <c r="G12">
        <v>21046.432875300001</v>
      </c>
      <c r="H12">
        <v>21058.708426699999</v>
      </c>
      <c r="I12">
        <v>21070.983978100001</v>
      </c>
      <c r="J12">
        <v>21083.259529499999</v>
      </c>
      <c r="K12">
        <v>21098.603968750002</v>
      </c>
      <c r="L12" t="s">
        <v>988</v>
      </c>
    </row>
    <row r="13" spans="1:12" x14ac:dyDescent="0.3">
      <c r="A13">
        <v>82</v>
      </c>
      <c r="B13" t="s">
        <v>1224</v>
      </c>
      <c r="C13" t="s">
        <v>2663</v>
      </c>
      <c r="D13" t="s">
        <v>159</v>
      </c>
      <c r="E13" t="s">
        <v>159</v>
      </c>
      <c r="F13" t="s">
        <v>2665</v>
      </c>
      <c r="G13">
        <v>14356.257362300001</v>
      </c>
      <c r="H13">
        <v>14620.181717400001</v>
      </c>
      <c r="I13">
        <v>14881.03718465</v>
      </c>
      <c r="J13">
        <v>15141.8926519</v>
      </c>
      <c r="K13">
        <v>15408.88589485</v>
      </c>
      <c r="L13" t="s">
        <v>988</v>
      </c>
    </row>
    <row r="14" spans="1:12" x14ac:dyDescent="0.3">
      <c r="A14">
        <v>87</v>
      </c>
      <c r="B14" t="s">
        <v>1228</v>
      </c>
      <c r="C14" t="s">
        <v>2663</v>
      </c>
      <c r="D14" t="s">
        <v>1203</v>
      </c>
      <c r="E14" t="s">
        <v>1204</v>
      </c>
      <c r="F14" t="s">
        <v>2665</v>
      </c>
      <c r="G14">
        <v>15846</v>
      </c>
      <c r="H14">
        <v>16466</v>
      </c>
      <c r="I14">
        <v>17120</v>
      </c>
      <c r="J14">
        <v>17810</v>
      </c>
      <c r="K14">
        <v>18538</v>
      </c>
      <c r="L14" t="s">
        <v>988</v>
      </c>
    </row>
    <row r="15" spans="1:12" x14ac:dyDescent="0.3">
      <c r="A15">
        <v>87</v>
      </c>
      <c r="B15" t="s">
        <v>1228</v>
      </c>
      <c r="C15" t="s">
        <v>2663</v>
      </c>
      <c r="D15" t="s">
        <v>1203</v>
      </c>
      <c r="E15" t="s">
        <v>1204</v>
      </c>
      <c r="F15" t="s">
        <v>2664</v>
      </c>
      <c r="G15">
        <v>15846</v>
      </c>
      <c r="H15">
        <v>16466</v>
      </c>
      <c r="I15">
        <v>17120</v>
      </c>
      <c r="J15">
        <v>17810</v>
      </c>
      <c r="K15">
        <v>18538</v>
      </c>
      <c r="L15" t="s">
        <v>988</v>
      </c>
    </row>
    <row r="16" spans="1:12" x14ac:dyDescent="0.3">
      <c r="A16">
        <v>93</v>
      </c>
      <c r="B16" t="s">
        <v>1231</v>
      </c>
      <c r="C16" t="s">
        <v>2663</v>
      </c>
      <c r="D16" t="s">
        <v>159</v>
      </c>
      <c r="E16" t="s">
        <v>159</v>
      </c>
      <c r="F16" t="s">
        <v>2664</v>
      </c>
      <c r="G16">
        <v>14601</v>
      </c>
      <c r="H16">
        <v>14808</v>
      </c>
      <c r="I16">
        <v>15019</v>
      </c>
      <c r="J16">
        <v>15234</v>
      </c>
      <c r="K16">
        <v>15451</v>
      </c>
      <c r="L16" t="s">
        <v>988</v>
      </c>
    </row>
    <row r="17" spans="1:12" x14ac:dyDescent="0.3">
      <c r="A17">
        <v>93</v>
      </c>
      <c r="B17" t="s">
        <v>1231</v>
      </c>
      <c r="C17" t="s">
        <v>2663</v>
      </c>
      <c r="D17" t="s">
        <v>159</v>
      </c>
      <c r="E17" t="s">
        <v>159</v>
      </c>
      <c r="F17" t="s">
        <v>2665</v>
      </c>
      <c r="G17">
        <v>14601</v>
      </c>
      <c r="H17">
        <v>14808</v>
      </c>
      <c r="I17">
        <v>15019</v>
      </c>
      <c r="J17">
        <v>15234</v>
      </c>
      <c r="K17">
        <v>15451</v>
      </c>
      <c r="L17" t="s">
        <v>988</v>
      </c>
    </row>
    <row r="18" spans="1:12" x14ac:dyDescent="0.3">
      <c r="A18">
        <v>94</v>
      </c>
      <c r="B18" t="s">
        <v>1232</v>
      </c>
      <c r="C18" t="s">
        <v>2663</v>
      </c>
      <c r="D18" t="s">
        <v>159</v>
      </c>
      <c r="E18" t="s">
        <v>159</v>
      </c>
      <c r="F18" t="s">
        <v>2664</v>
      </c>
      <c r="G18">
        <v>4201.3074666499997</v>
      </c>
      <c r="H18">
        <v>4201.3074666499997</v>
      </c>
      <c r="I18">
        <v>4201.3074666499997</v>
      </c>
      <c r="J18">
        <v>4201.3074666499997</v>
      </c>
      <c r="K18">
        <v>4201.3074666499997</v>
      </c>
      <c r="L18" t="s">
        <v>988</v>
      </c>
    </row>
    <row r="19" spans="1:12" x14ac:dyDescent="0.3">
      <c r="A19">
        <v>94</v>
      </c>
      <c r="B19" t="s">
        <v>1232</v>
      </c>
      <c r="C19" t="s">
        <v>2663</v>
      </c>
      <c r="D19" t="s">
        <v>159</v>
      </c>
      <c r="E19" t="s">
        <v>159</v>
      </c>
      <c r="F19" t="s">
        <v>2665</v>
      </c>
      <c r="G19">
        <v>1997.84599035</v>
      </c>
      <c r="H19">
        <v>2102.1881772500001</v>
      </c>
      <c r="I19">
        <v>2215.7370277</v>
      </c>
      <c r="J19">
        <v>2335.4236538499999</v>
      </c>
      <c r="K19">
        <v>2455.1102799999999</v>
      </c>
      <c r="L19" t="s">
        <v>988</v>
      </c>
    </row>
    <row r="20" spans="1:12" x14ac:dyDescent="0.3">
      <c r="A20">
        <v>102</v>
      </c>
      <c r="B20" t="s">
        <v>1237</v>
      </c>
      <c r="C20" t="s">
        <v>2663</v>
      </c>
      <c r="D20" t="s">
        <v>1203</v>
      </c>
      <c r="E20" t="s">
        <v>1204</v>
      </c>
      <c r="F20" t="s">
        <v>2665</v>
      </c>
      <c r="G20">
        <v>3243.8144574500002</v>
      </c>
      <c r="H20">
        <v>3378.8455228500002</v>
      </c>
      <c r="I20">
        <v>3520.0143639500002</v>
      </c>
      <c r="J20">
        <v>3661.1832050500002</v>
      </c>
      <c r="K20">
        <v>0</v>
      </c>
      <c r="L20" t="s">
        <v>988</v>
      </c>
    </row>
    <row r="21" spans="1:12" x14ac:dyDescent="0.3">
      <c r="A21">
        <v>102</v>
      </c>
      <c r="B21" t="s">
        <v>1237</v>
      </c>
      <c r="C21" t="s">
        <v>2663</v>
      </c>
      <c r="D21" t="s">
        <v>1203</v>
      </c>
      <c r="E21" t="s">
        <v>1204</v>
      </c>
      <c r="F21" t="s">
        <v>2664</v>
      </c>
      <c r="G21">
        <v>3243.8144574500002</v>
      </c>
      <c r="H21">
        <v>3378.8455228500002</v>
      </c>
      <c r="I21">
        <v>3520.0143639500002</v>
      </c>
      <c r="J21">
        <v>3661.1832050500002</v>
      </c>
      <c r="K21">
        <v>0</v>
      </c>
      <c r="L21" t="s">
        <v>988</v>
      </c>
    </row>
    <row r="22" spans="1:12" x14ac:dyDescent="0.3">
      <c r="A22">
        <v>107</v>
      </c>
      <c r="B22" t="s">
        <v>1238</v>
      </c>
      <c r="C22" t="s">
        <v>2663</v>
      </c>
      <c r="D22" t="s">
        <v>159</v>
      </c>
      <c r="E22" t="s">
        <v>159</v>
      </c>
      <c r="F22" t="s">
        <v>2665</v>
      </c>
      <c r="G22">
        <v>5527.0670178500004</v>
      </c>
      <c r="H22">
        <v>5855.4380178000001</v>
      </c>
      <c r="I22">
        <v>6076.3979429999999</v>
      </c>
      <c r="J22">
        <v>6315.7711952999998</v>
      </c>
      <c r="K22">
        <v>6567.4199989999997</v>
      </c>
      <c r="L22" t="s">
        <v>988</v>
      </c>
    </row>
    <row r="23" spans="1:12" x14ac:dyDescent="0.3">
      <c r="A23">
        <v>107</v>
      </c>
      <c r="B23" t="s">
        <v>1238</v>
      </c>
      <c r="C23" t="s">
        <v>2663</v>
      </c>
      <c r="D23" t="s">
        <v>159</v>
      </c>
      <c r="E23" t="s">
        <v>159</v>
      </c>
      <c r="F23" t="s">
        <v>2664</v>
      </c>
      <c r="G23">
        <v>5527.0670178500004</v>
      </c>
      <c r="H23">
        <v>5855.4380178000001</v>
      </c>
      <c r="I23">
        <v>6076.3979429999999</v>
      </c>
      <c r="J23">
        <v>6315.7711952999998</v>
      </c>
      <c r="K23">
        <v>6567.4199989999997</v>
      </c>
      <c r="L23" t="s">
        <v>988</v>
      </c>
    </row>
    <row r="24" spans="1:12" x14ac:dyDescent="0.3">
      <c r="A24">
        <v>110</v>
      </c>
      <c r="B24" t="s">
        <v>1239</v>
      </c>
      <c r="C24" t="s">
        <v>2663</v>
      </c>
      <c r="D24" t="s">
        <v>1203</v>
      </c>
      <c r="E24" t="s">
        <v>1204</v>
      </c>
      <c r="F24" t="s">
        <v>2665</v>
      </c>
      <c r="G24">
        <v>9642</v>
      </c>
      <c r="H24">
        <v>10324</v>
      </c>
      <c r="I24">
        <v>11055.5423400042</v>
      </c>
      <c r="J24">
        <v>11838</v>
      </c>
      <c r="K24">
        <v>0</v>
      </c>
      <c r="L24" t="s">
        <v>988</v>
      </c>
    </row>
    <row r="25" spans="1:12" x14ac:dyDescent="0.3">
      <c r="A25">
        <v>110</v>
      </c>
      <c r="B25" t="s">
        <v>1239</v>
      </c>
      <c r="C25" t="s">
        <v>2663</v>
      </c>
      <c r="D25" t="s">
        <v>1203</v>
      </c>
      <c r="E25" t="s">
        <v>1204</v>
      </c>
      <c r="F25" t="s">
        <v>2664</v>
      </c>
      <c r="G25">
        <v>9642</v>
      </c>
      <c r="H25">
        <v>10324</v>
      </c>
      <c r="I25">
        <v>11056</v>
      </c>
      <c r="J25">
        <v>11838</v>
      </c>
      <c r="K25">
        <v>0</v>
      </c>
      <c r="L25" t="s">
        <v>988</v>
      </c>
    </row>
    <row r="26" spans="1:12" x14ac:dyDescent="0.3">
      <c r="A26">
        <v>117</v>
      </c>
      <c r="B26" t="s">
        <v>1240</v>
      </c>
      <c r="C26" t="s">
        <v>2663</v>
      </c>
      <c r="D26" t="s">
        <v>159</v>
      </c>
      <c r="E26" t="s">
        <v>159</v>
      </c>
      <c r="F26" t="s">
        <v>2665</v>
      </c>
      <c r="G26">
        <v>18551.8</v>
      </c>
      <c r="H26">
        <v>18853.46</v>
      </c>
      <c r="I26">
        <v>19160.04</v>
      </c>
      <c r="J26">
        <v>19471.59</v>
      </c>
      <c r="K26">
        <v>19788.21</v>
      </c>
      <c r="L26" t="s">
        <v>988</v>
      </c>
    </row>
    <row r="27" spans="1:12" x14ac:dyDescent="0.3">
      <c r="A27">
        <v>117</v>
      </c>
      <c r="B27" t="s">
        <v>1240</v>
      </c>
      <c r="C27" t="s">
        <v>2663</v>
      </c>
      <c r="D27" t="s">
        <v>159</v>
      </c>
      <c r="E27" t="s">
        <v>159</v>
      </c>
      <c r="F27" t="s">
        <v>2664</v>
      </c>
      <c r="G27">
        <v>38450</v>
      </c>
      <c r="H27">
        <v>38450</v>
      </c>
      <c r="I27">
        <v>38450</v>
      </c>
      <c r="J27">
        <v>38450</v>
      </c>
      <c r="K27">
        <v>38450</v>
      </c>
      <c r="L27" t="s">
        <v>988</v>
      </c>
    </row>
    <row r="28" spans="1:12" x14ac:dyDescent="0.3">
      <c r="A28">
        <v>123</v>
      </c>
      <c r="B28" t="s">
        <v>1242</v>
      </c>
      <c r="C28" t="s">
        <v>2663</v>
      </c>
      <c r="D28" t="s">
        <v>1203</v>
      </c>
      <c r="E28" t="s">
        <v>1204</v>
      </c>
      <c r="F28" t="s">
        <v>2665</v>
      </c>
      <c r="G28">
        <v>52430</v>
      </c>
      <c r="H28">
        <v>63834</v>
      </c>
      <c r="I28">
        <v>68952</v>
      </c>
      <c r="J28">
        <v>74550</v>
      </c>
      <c r="K28">
        <v>0</v>
      </c>
      <c r="L28" t="s">
        <v>988</v>
      </c>
    </row>
    <row r="29" spans="1:12" x14ac:dyDescent="0.3">
      <c r="A29">
        <v>123</v>
      </c>
      <c r="B29" t="s">
        <v>1242</v>
      </c>
      <c r="C29" t="s">
        <v>2663</v>
      </c>
      <c r="D29" t="s">
        <v>1203</v>
      </c>
      <c r="E29" t="s">
        <v>1204</v>
      </c>
      <c r="F29" t="s">
        <v>2664</v>
      </c>
      <c r="G29">
        <v>52430</v>
      </c>
      <c r="H29">
        <v>63834</v>
      </c>
      <c r="I29">
        <v>68952</v>
      </c>
      <c r="J29">
        <v>74550</v>
      </c>
      <c r="K29">
        <v>0</v>
      </c>
      <c r="L29" t="s">
        <v>988</v>
      </c>
    </row>
    <row r="30" spans="1:12" x14ac:dyDescent="0.3">
      <c r="A30">
        <v>124</v>
      </c>
      <c r="B30" t="s">
        <v>1246</v>
      </c>
      <c r="C30" t="s">
        <v>2663</v>
      </c>
      <c r="D30" t="s">
        <v>1203</v>
      </c>
      <c r="E30" t="s">
        <v>1204</v>
      </c>
      <c r="F30" t="s">
        <v>2665</v>
      </c>
      <c r="G30">
        <v>3722.5609620499999</v>
      </c>
      <c r="H30">
        <v>3596.7365602</v>
      </c>
      <c r="I30">
        <v>3811.5587096999998</v>
      </c>
      <c r="J30">
        <v>4029.44974705</v>
      </c>
      <c r="K30">
        <v>0</v>
      </c>
      <c r="L30" t="s">
        <v>988</v>
      </c>
    </row>
    <row r="31" spans="1:12" x14ac:dyDescent="0.3">
      <c r="A31">
        <v>124</v>
      </c>
      <c r="B31" t="s">
        <v>1246</v>
      </c>
      <c r="C31" t="s">
        <v>2663</v>
      </c>
      <c r="D31" t="s">
        <v>1203</v>
      </c>
      <c r="E31" t="s">
        <v>1204</v>
      </c>
      <c r="F31" t="s">
        <v>2664</v>
      </c>
      <c r="G31">
        <v>3722.5609620499999</v>
      </c>
      <c r="H31">
        <v>3596.7365602</v>
      </c>
      <c r="I31">
        <v>3811.5587096999998</v>
      </c>
      <c r="J31">
        <v>4029.44974705</v>
      </c>
      <c r="K31">
        <v>0</v>
      </c>
      <c r="L31" t="s">
        <v>988</v>
      </c>
    </row>
    <row r="32" spans="1:12" x14ac:dyDescent="0.3">
      <c r="A32">
        <v>129</v>
      </c>
      <c r="B32" t="s">
        <v>1250</v>
      </c>
      <c r="C32" t="s">
        <v>2663</v>
      </c>
      <c r="D32" t="s">
        <v>159</v>
      </c>
      <c r="E32" t="s">
        <v>159</v>
      </c>
      <c r="F32" t="s">
        <v>2665</v>
      </c>
      <c r="G32">
        <v>12358</v>
      </c>
      <c r="H32">
        <v>14446</v>
      </c>
      <c r="I32">
        <v>16452</v>
      </c>
      <c r="J32">
        <v>18372</v>
      </c>
      <c r="K32">
        <v>20201</v>
      </c>
      <c r="L32" t="s">
        <v>988</v>
      </c>
    </row>
    <row r="33" spans="1:12" x14ac:dyDescent="0.3">
      <c r="A33">
        <v>129</v>
      </c>
      <c r="B33" t="s">
        <v>1250</v>
      </c>
      <c r="C33" t="s">
        <v>2663</v>
      </c>
      <c r="D33" t="s">
        <v>159</v>
      </c>
      <c r="E33" t="s">
        <v>159</v>
      </c>
      <c r="F33" t="s">
        <v>2664</v>
      </c>
      <c r="G33">
        <v>56358</v>
      </c>
      <c r="H33">
        <v>52387</v>
      </c>
      <c r="I33">
        <v>44066</v>
      </c>
      <c r="J33">
        <v>33124</v>
      </c>
      <c r="K33">
        <v>21098</v>
      </c>
      <c r="L33" t="s">
        <v>988</v>
      </c>
    </row>
    <row r="34" spans="1:12" x14ac:dyDescent="0.3">
      <c r="A34">
        <v>159</v>
      </c>
      <c r="B34" t="s">
        <v>1251</v>
      </c>
      <c r="C34" t="s">
        <v>2663</v>
      </c>
      <c r="D34" t="s">
        <v>1203</v>
      </c>
      <c r="E34" t="s">
        <v>1204</v>
      </c>
      <c r="F34" t="s">
        <v>2664</v>
      </c>
      <c r="G34">
        <v>18561</v>
      </c>
      <c r="H34">
        <v>18475</v>
      </c>
      <c r="I34">
        <v>23172</v>
      </c>
      <c r="J34">
        <v>24734</v>
      </c>
      <c r="K34">
        <v>26266</v>
      </c>
      <c r="L34" t="s">
        <v>988</v>
      </c>
    </row>
    <row r="35" spans="1:12" x14ac:dyDescent="0.3">
      <c r="A35">
        <v>159</v>
      </c>
      <c r="B35" t="s">
        <v>1251</v>
      </c>
      <c r="C35" t="s">
        <v>2663</v>
      </c>
      <c r="D35" t="s">
        <v>1203</v>
      </c>
      <c r="E35" t="s">
        <v>1204</v>
      </c>
      <c r="F35" t="s">
        <v>2665</v>
      </c>
      <c r="G35">
        <v>16929</v>
      </c>
      <c r="H35">
        <v>17873</v>
      </c>
      <c r="I35">
        <v>18869</v>
      </c>
      <c r="J35">
        <v>19846</v>
      </c>
      <c r="K35">
        <v>20660</v>
      </c>
      <c r="L35" t="s">
        <v>988</v>
      </c>
    </row>
    <row r="36" spans="1:12" x14ac:dyDescent="0.3">
      <c r="A36">
        <v>167</v>
      </c>
      <c r="B36" t="s">
        <v>1257</v>
      </c>
      <c r="C36" t="s">
        <v>2663</v>
      </c>
      <c r="D36" t="s">
        <v>1203</v>
      </c>
      <c r="E36" t="s">
        <v>1204</v>
      </c>
      <c r="F36" t="s">
        <v>2665</v>
      </c>
      <c r="G36">
        <v>9969</v>
      </c>
      <c r="H36">
        <v>10181</v>
      </c>
      <c r="I36">
        <v>10397</v>
      </c>
      <c r="J36">
        <v>10616</v>
      </c>
      <c r="K36">
        <v>10843</v>
      </c>
      <c r="L36" t="s">
        <v>988</v>
      </c>
    </row>
    <row r="37" spans="1:12" x14ac:dyDescent="0.3">
      <c r="A37">
        <v>167</v>
      </c>
      <c r="B37" t="s">
        <v>1257</v>
      </c>
      <c r="C37" t="s">
        <v>2663</v>
      </c>
      <c r="D37" t="s">
        <v>1203</v>
      </c>
      <c r="E37" t="s">
        <v>1204</v>
      </c>
      <c r="F37" t="s">
        <v>2664</v>
      </c>
      <c r="G37">
        <v>24474</v>
      </c>
      <c r="H37">
        <v>25474</v>
      </c>
      <c r="I37">
        <v>25474</v>
      </c>
      <c r="J37">
        <v>25474</v>
      </c>
      <c r="K37">
        <v>25474</v>
      </c>
      <c r="L37" t="s">
        <v>988</v>
      </c>
    </row>
    <row r="38" spans="1:12" x14ac:dyDescent="0.3">
      <c r="A38">
        <v>170</v>
      </c>
      <c r="B38" t="s">
        <v>1258</v>
      </c>
      <c r="C38" t="s">
        <v>2663</v>
      </c>
      <c r="D38" t="s">
        <v>1203</v>
      </c>
      <c r="E38" t="s">
        <v>1204</v>
      </c>
      <c r="F38" t="s">
        <v>2664</v>
      </c>
      <c r="G38">
        <v>6548</v>
      </c>
      <c r="H38">
        <v>6548</v>
      </c>
      <c r="I38">
        <v>6548</v>
      </c>
      <c r="J38">
        <v>6548</v>
      </c>
      <c r="K38">
        <v>6548</v>
      </c>
      <c r="L38" t="s">
        <v>988</v>
      </c>
    </row>
    <row r="39" spans="1:12" x14ac:dyDescent="0.3">
      <c r="A39">
        <v>170</v>
      </c>
      <c r="B39" t="s">
        <v>1258</v>
      </c>
      <c r="C39" t="s">
        <v>2663</v>
      </c>
      <c r="D39" t="s">
        <v>1203</v>
      </c>
      <c r="E39" t="s">
        <v>1204</v>
      </c>
      <c r="F39" t="s">
        <v>2665</v>
      </c>
      <c r="G39">
        <v>6003</v>
      </c>
      <c r="H39">
        <v>6007</v>
      </c>
      <c r="I39">
        <v>6011</v>
      </c>
      <c r="J39">
        <v>6015</v>
      </c>
      <c r="K39">
        <v>6018</v>
      </c>
      <c r="L39" t="s">
        <v>988</v>
      </c>
    </row>
    <row r="40" spans="1:12" x14ac:dyDescent="0.3">
      <c r="A40">
        <v>178</v>
      </c>
      <c r="B40" t="s">
        <v>1261</v>
      </c>
      <c r="C40" t="s">
        <v>2663</v>
      </c>
      <c r="D40" t="s">
        <v>1203</v>
      </c>
      <c r="E40" t="s">
        <v>1204</v>
      </c>
      <c r="F40" t="s">
        <v>2664</v>
      </c>
      <c r="G40">
        <v>28646</v>
      </c>
      <c r="H40">
        <v>28646</v>
      </c>
      <c r="I40">
        <v>28646</v>
      </c>
      <c r="J40">
        <v>28646</v>
      </c>
      <c r="K40">
        <v>28646</v>
      </c>
      <c r="L40" t="s">
        <v>988</v>
      </c>
    </row>
    <row r="41" spans="1:12" x14ac:dyDescent="0.3">
      <c r="A41">
        <v>178</v>
      </c>
      <c r="B41" t="s">
        <v>1261</v>
      </c>
      <c r="C41" t="s">
        <v>2663</v>
      </c>
      <c r="D41" t="s">
        <v>1203</v>
      </c>
      <c r="E41" t="s">
        <v>1204</v>
      </c>
      <c r="F41" t="s">
        <v>2665</v>
      </c>
      <c r="G41">
        <v>10036</v>
      </c>
      <c r="H41">
        <v>10086</v>
      </c>
      <c r="I41">
        <v>10202</v>
      </c>
      <c r="J41">
        <v>10312</v>
      </c>
      <c r="K41">
        <v>10556</v>
      </c>
      <c r="L41" t="s">
        <v>988</v>
      </c>
    </row>
    <row r="42" spans="1:12" x14ac:dyDescent="0.3">
      <c r="A42">
        <v>193</v>
      </c>
      <c r="B42" t="s">
        <v>1265</v>
      </c>
      <c r="C42" t="s">
        <v>2663</v>
      </c>
      <c r="D42" t="s">
        <v>1203</v>
      </c>
      <c r="E42" t="s">
        <v>1204</v>
      </c>
      <c r="F42" t="s">
        <v>2665</v>
      </c>
      <c r="G42">
        <v>11933</v>
      </c>
      <c r="H42">
        <v>12131</v>
      </c>
      <c r="I42">
        <v>12340</v>
      </c>
      <c r="J42">
        <v>12582</v>
      </c>
      <c r="K42">
        <v>12768</v>
      </c>
      <c r="L42" t="s">
        <v>988</v>
      </c>
    </row>
    <row r="43" spans="1:12" x14ac:dyDescent="0.3">
      <c r="A43">
        <v>193</v>
      </c>
      <c r="B43" t="s">
        <v>1265</v>
      </c>
      <c r="C43" t="s">
        <v>2663</v>
      </c>
      <c r="D43" t="s">
        <v>1203</v>
      </c>
      <c r="E43" t="s">
        <v>1204</v>
      </c>
      <c r="F43" t="s">
        <v>2664</v>
      </c>
      <c r="G43">
        <v>11933</v>
      </c>
      <c r="H43">
        <v>12131</v>
      </c>
      <c r="I43">
        <v>12340</v>
      </c>
      <c r="J43">
        <v>12582</v>
      </c>
      <c r="K43">
        <v>12768</v>
      </c>
      <c r="L43" t="s">
        <v>988</v>
      </c>
    </row>
    <row r="44" spans="1:12" x14ac:dyDescent="0.3">
      <c r="A44">
        <v>197</v>
      </c>
      <c r="B44" t="s">
        <v>1268</v>
      </c>
      <c r="C44" t="s">
        <v>2663</v>
      </c>
      <c r="D44" t="s">
        <v>159</v>
      </c>
      <c r="E44" t="s">
        <v>159</v>
      </c>
      <c r="F44" t="s">
        <v>2664</v>
      </c>
      <c r="G44">
        <v>1185</v>
      </c>
      <c r="H44">
        <v>1206</v>
      </c>
      <c r="I44">
        <v>1227</v>
      </c>
      <c r="J44">
        <v>1249</v>
      </c>
      <c r="K44">
        <v>1271</v>
      </c>
      <c r="L44" t="s">
        <v>988</v>
      </c>
    </row>
    <row r="45" spans="1:12" x14ac:dyDescent="0.3">
      <c r="A45">
        <v>197</v>
      </c>
      <c r="B45" t="s">
        <v>1268</v>
      </c>
      <c r="C45" t="s">
        <v>2663</v>
      </c>
      <c r="D45" t="s">
        <v>159</v>
      </c>
      <c r="E45" t="s">
        <v>159</v>
      </c>
      <c r="F45" t="s">
        <v>2665</v>
      </c>
      <c r="G45">
        <v>1185</v>
      </c>
      <c r="H45">
        <v>1206</v>
      </c>
      <c r="I45">
        <v>1227</v>
      </c>
      <c r="J45">
        <v>1249</v>
      </c>
      <c r="K45">
        <v>1271</v>
      </c>
      <c r="L45" t="s">
        <v>988</v>
      </c>
    </row>
    <row r="46" spans="1:12" x14ac:dyDescent="0.3">
      <c r="A46">
        <v>198</v>
      </c>
      <c r="B46" t="s">
        <v>1270</v>
      </c>
      <c r="C46" t="s">
        <v>2663</v>
      </c>
      <c r="D46" t="s">
        <v>159</v>
      </c>
      <c r="E46" t="s">
        <v>159</v>
      </c>
      <c r="F46" t="s">
        <v>2664</v>
      </c>
      <c r="G46">
        <v>3100</v>
      </c>
      <c r="H46">
        <v>3100</v>
      </c>
      <c r="I46">
        <v>3100</v>
      </c>
      <c r="J46">
        <v>3100</v>
      </c>
      <c r="K46">
        <v>3100</v>
      </c>
      <c r="L46" t="s">
        <v>988</v>
      </c>
    </row>
    <row r="47" spans="1:12" x14ac:dyDescent="0.3">
      <c r="A47">
        <v>198</v>
      </c>
      <c r="B47" t="s">
        <v>1270</v>
      </c>
      <c r="C47" t="s">
        <v>2663</v>
      </c>
      <c r="D47" t="s">
        <v>159</v>
      </c>
      <c r="E47" t="s">
        <v>159</v>
      </c>
      <c r="F47" t="s">
        <v>2665</v>
      </c>
      <c r="G47">
        <v>2146.71566479681</v>
      </c>
      <c r="H47">
        <v>2164</v>
      </c>
      <c r="I47">
        <v>2190</v>
      </c>
      <c r="J47">
        <v>2231</v>
      </c>
      <c r="K47">
        <v>2283</v>
      </c>
      <c r="L47" t="s">
        <v>988</v>
      </c>
    </row>
    <row r="48" spans="1:12" x14ac:dyDescent="0.3">
      <c r="A48">
        <v>241</v>
      </c>
      <c r="B48" t="s">
        <v>1271</v>
      </c>
      <c r="C48" t="s">
        <v>2663</v>
      </c>
      <c r="D48" t="s">
        <v>1203</v>
      </c>
      <c r="E48" t="s">
        <v>1204</v>
      </c>
      <c r="F48" t="s">
        <v>2665</v>
      </c>
      <c r="G48">
        <v>3461</v>
      </c>
      <c r="H48">
        <v>3697</v>
      </c>
      <c r="I48">
        <v>3915</v>
      </c>
      <c r="J48">
        <v>4124</v>
      </c>
      <c r="K48">
        <v>4318</v>
      </c>
      <c r="L48" t="s">
        <v>988</v>
      </c>
    </row>
    <row r="49" spans="1:12" x14ac:dyDescent="0.3">
      <c r="A49">
        <v>241</v>
      </c>
      <c r="B49" t="s">
        <v>1271</v>
      </c>
      <c r="C49" t="s">
        <v>2663</v>
      </c>
      <c r="D49" t="s">
        <v>1203</v>
      </c>
      <c r="E49" t="s">
        <v>1204</v>
      </c>
      <c r="F49" t="s">
        <v>2664</v>
      </c>
      <c r="G49">
        <v>3461</v>
      </c>
      <c r="H49">
        <v>3697</v>
      </c>
      <c r="I49">
        <v>3915</v>
      </c>
      <c r="J49">
        <v>4124</v>
      </c>
      <c r="K49">
        <v>4318</v>
      </c>
      <c r="L49" t="s">
        <v>988</v>
      </c>
    </row>
    <row r="50" spans="1:12" x14ac:dyDescent="0.3">
      <c r="A50">
        <v>262</v>
      </c>
      <c r="B50" t="s">
        <v>1273</v>
      </c>
      <c r="C50" t="s">
        <v>2663</v>
      </c>
      <c r="D50" t="s">
        <v>1203</v>
      </c>
      <c r="E50" t="s">
        <v>1204</v>
      </c>
      <c r="F50" t="s">
        <v>2664</v>
      </c>
      <c r="G50">
        <v>15123.479324800001</v>
      </c>
      <c r="H50">
        <v>15123.479324800001</v>
      </c>
      <c r="I50">
        <v>15123.479324800001</v>
      </c>
      <c r="J50">
        <v>15123.479324800001</v>
      </c>
      <c r="K50">
        <v>15123.479324800001</v>
      </c>
      <c r="L50" t="s">
        <v>988</v>
      </c>
    </row>
    <row r="51" spans="1:12" x14ac:dyDescent="0.3">
      <c r="A51">
        <v>262</v>
      </c>
      <c r="B51" t="s">
        <v>1273</v>
      </c>
      <c r="C51" t="s">
        <v>2663</v>
      </c>
      <c r="D51" t="s">
        <v>1203</v>
      </c>
      <c r="E51" t="s">
        <v>1204</v>
      </c>
      <c r="F51" t="s">
        <v>2665</v>
      </c>
      <c r="G51">
        <v>6904.9976624999999</v>
      </c>
      <c r="H51">
        <v>7165.8531297500003</v>
      </c>
      <c r="I51">
        <v>7429.7774848500003</v>
      </c>
      <c r="J51">
        <v>7712.1151670500003</v>
      </c>
      <c r="K51">
        <v>7997.5217370999999</v>
      </c>
      <c r="L51" t="s">
        <v>988</v>
      </c>
    </row>
    <row r="52" spans="1:12" x14ac:dyDescent="0.3">
      <c r="A52">
        <v>263</v>
      </c>
      <c r="B52" t="s">
        <v>1278</v>
      </c>
      <c r="C52" t="s">
        <v>2663</v>
      </c>
      <c r="D52" t="s">
        <v>159</v>
      </c>
      <c r="E52" t="s">
        <v>159</v>
      </c>
      <c r="F52" t="s">
        <v>2665</v>
      </c>
      <c r="G52">
        <v>9543</v>
      </c>
      <c r="H52">
        <v>9695</v>
      </c>
      <c r="I52">
        <v>9691</v>
      </c>
      <c r="J52">
        <v>9725</v>
      </c>
      <c r="K52">
        <v>9745</v>
      </c>
      <c r="L52" t="s">
        <v>988</v>
      </c>
    </row>
    <row r="53" spans="1:12" x14ac:dyDescent="0.3">
      <c r="A53">
        <v>263</v>
      </c>
      <c r="B53" t="s">
        <v>1278</v>
      </c>
      <c r="C53" t="s">
        <v>2663</v>
      </c>
      <c r="D53" t="s">
        <v>159</v>
      </c>
      <c r="E53" t="s">
        <v>159</v>
      </c>
      <c r="F53" t="s">
        <v>2664</v>
      </c>
      <c r="G53">
        <v>9543</v>
      </c>
      <c r="H53">
        <v>9695</v>
      </c>
      <c r="I53">
        <v>9691</v>
      </c>
      <c r="J53">
        <v>9725</v>
      </c>
      <c r="K53">
        <v>9745</v>
      </c>
      <c r="L53" t="s">
        <v>988</v>
      </c>
    </row>
    <row r="54" spans="1:12" x14ac:dyDescent="0.3">
      <c r="A54">
        <v>264</v>
      </c>
      <c r="B54" t="s">
        <v>1283</v>
      </c>
      <c r="C54" t="s">
        <v>2663</v>
      </c>
      <c r="D54" t="s">
        <v>159</v>
      </c>
      <c r="E54" t="s">
        <v>159</v>
      </c>
      <c r="F54" t="s">
        <v>2665</v>
      </c>
      <c r="G54">
        <v>12827.951213</v>
      </c>
      <c r="H54">
        <v>13631.9998297</v>
      </c>
      <c r="I54">
        <v>14469.80621275</v>
      </c>
      <c r="J54">
        <v>15344.439249999999</v>
      </c>
      <c r="K54">
        <v>16120.867876050001</v>
      </c>
      <c r="L54" t="s">
        <v>988</v>
      </c>
    </row>
    <row r="55" spans="1:12" x14ac:dyDescent="0.3">
      <c r="A55">
        <v>264</v>
      </c>
      <c r="B55" t="s">
        <v>1283</v>
      </c>
      <c r="C55" t="s">
        <v>2663</v>
      </c>
      <c r="D55" t="s">
        <v>159</v>
      </c>
      <c r="E55" t="s">
        <v>159</v>
      </c>
      <c r="F55" t="s">
        <v>2664</v>
      </c>
      <c r="G55">
        <v>21519.0416042</v>
      </c>
      <c r="H55">
        <v>21666.348221</v>
      </c>
      <c r="I55">
        <v>21813.654837800001</v>
      </c>
      <c r="J55">
        <v>21960.961454600001</v>
      </c>
      <c r="K55">
        <v>21960.961454600001</v>
      </c>
      <c r="L55" t="s">
        <v>988</v>
      </c>
    </row>
    <row r="56" spans="1:12" x14ac:dyDescent="0.3">
      <c r="A56">
        <v>283</v>
      </c>
      <c r="B56" t="s">
        <v>1288</v>
      </c>
      <c r="C56" t="s">
        <v>2663</v>
      </c>
      <c r="D56" t="s">
        <v>1203</v>
      </c>
      <c r="E56" t="s">
        <v>1204</v>
      </c>
      <c r="F56" t="s">
        <v>2665</v>
      </c>
      <c r="G56">
        <v>14303</v>
      </c>
      <c r="H56">
        <v>13541</v>
      </c>
      <c r="I56">
        <v>13665</v>
      </c>
      <c r="J56">
        <v>13769</v>
      </c>
      <c r="K56">
        <v>13848</v>
      </c>
      <c r="L56" t="s">
        <v>988</v>
      </c>
    </row>
    <row r="57" spans="1:12" x14ac:dyDescent="0.3">
      <c r="A57">
        <v>283</v>
      </c>
      <c r="B57" t="s">
        <v>1288</v>
      </c>
      <c r="C57" t="s">
        <v>2663</v>
      </c>
      <c r="D57" t="s">
        <v>1203</v>
      </c>
      <c r="E57" t="s">
        <v>1204</v>
      </c>
      <c r="F57" t="s">
        <v>2664</v>
      </c>
      <c r="G57">
        <v>14303</v>
      </c>
      <c r="H57">
        <v>13541</v>
      </c>
      <c r="I57">
        <v>13665</v>
      </c>
      <c r="J57">
        <v>13769</v>
      </c>
      <c r="K57">
        <v>13848</v>
      </c>
      <c r="L57" t="s">
        <v>988</v>
      </c>
    </row>
    <row r="58" spans="1:12" x14ac:dyDescent="0.3">
      <c r="A58">
        <v>285</v>
      </c>
      <c r="B58" t="s">
        <v>1290</v>
      </c>
      <c r="C58" t="s">
        <v>2663</v>
      </c>
      <c r="D58" t="s">
        <v>1203</v>
      </c>
      <c r="E58" t="s">
        <v>1204</v>
      </c>
      <c r="F58" t="s">
        <v>2665</v>
      </c>
      <c r="G58">
        <v>28402</v>
      </c>
      <c r="H58">
        <v>30316</v>
      </c>
      <c r="I58">
        <v>31726</v>
      </c>
      <c r="J58">
        <v>32052</v>
      </c>
      <c r="K58">
        <v>32350</v>
      </c>
      <c r="L58" t="s">
        <v>988</v>
      </c>
    </row>
    <row r="59" spans="1:12" x14ac:dyDescent="0.3">
      <c r="A59">
        <v>285</v>
      </c>
      <c r="B59" t="s">
        <v>1290</v>
      </c>
      <c r="C59" t="s">
        <v>2663</v>
      </c>
      <c r="D59" t="s">
        <v>1203</v>
      </c>
      <c r="E59" t="s">
        <v>1204</v>
      </c>
      <c r="F59" t="s">
        <v>2664</v>
      </c>
      <c r="G59">
        <v>28402</v>
      </c>
      <c r="H59">
        <v>30316</v>
      </c>
      <c r="I59">
        <v>31726</v>
      </c>
      <c r="J59">
        <v>32052</v>
      </c>
      <c r="K59">
        <v>32350</v>
      </c>
      <c r="L59" t="s">
        <v>988</v>
      </c>
    </row>
    <row r="60" spans="1:12" x14ac:dyDescent="0.3">
      <c r="A60">
        <v>286</v>
      </c>
      <c r="B60" t="s">
        <v>1295</v>
      </c>
      <c r="C60" t="s">
        <v>2663</v>
      </c>
      <c r="D60" t="s">
        <v>1203</v>
      </c>
      <c r="E60" t="s">
        <v>1204</v>
      </c>
      <c r="F60" t="s">
        <v>2664</v>
      </c>
      <c r="G60">
        <v>5858.5069056499997</v>
      </c>
      <c r="H60">
        <v>5858.5069056499997</v>
      </c>
      <c r="I60">
        <v>5858.5069056499997</v>
      </c>
      <c r="J60">
        <v>5858.5069056499997</v>
      </c>
      <c r="K60">
        <v>5858.5069056499997</v>
      </c>
      <c r="L60" t="s">
        <v>988</v>
      </c>
    </row>
    <row r="61" spans="1:12" x14ac:dyDescent="0.3">
      <c r="A61">
        <v>286</v>
      </c>
      <c r="B61" t="s">
        <v>1295</v>
      </c>
      <c r="C61" t="s">
        <v>2663</v>
      </c>
      <c r="D61" t="s">
        <v>1203</v>
      </c>
      <c r="E61" t="s">
        <v>1204</v>
      </c>
      <c r="F61" t="s">
        <v>2665</v>
      </c>
      <c r="G61">
        <v>4704.6050740500004</v>
      </c>
      <c r="H61">
        <v>4821.2228123499999</v>
      </c>
      <c r="I61">
        <v>4962.3916534500004</v>
      </c>
      <c r="J61">
        <v>5118.9049338000004</v>
      </c>
      <c r="K61">
        <v>5281.5559898499996</v>
      </c>
      <c r="L61" t="s">
        <v>988</v>
      </c>
    </row>
    <row r="62" spans="1:12" x14ac:dyDescent="0.3">
      <c r="A62">
        <v>351</v>
      </c>
      <c r="B62" t="s">
        <v>1297</v>
      </c>
      <c r="C62" t="s">
        <v>2663</v>
      </c>
      <c r="D62" t="s">
        <v>1203</v>
      </c>
      <c r="E62" t="s">
        <v>1204</v>
      </c>
      <c r="F62" t="s">
        <v>2665</v>
      </c>
      <c r="G62">
        <v>12954</v>
      </c>
      <c r="H62">
        <v>22347</v>
      </c>
      <c r="I62">
        <v>29152</v>
      </c>
      <c r="J62">
        <v>36489</v>
      </c>
      <c r="K62">
        <v>44906</v>
      </c>
      <c r="L62" t="s">
        <v>988</v>
      </c>
    </row>
    <row r="63" spans="1:12" x14ac:dyDescent="0.3">
      <c r="A63">
        <v>351</v>
      </c>
      <c r="B63" t="s">
        <v>1297</v>
      </c>
      <c r="C63" t="s">
        <v>2663</v>
      </c>
      <c r="D63" t="s">
        <v>1203</v>
      </c>
      <c r="E63" t="s">
        <v>1204</v>
      </c>
      <c r="F63" t="s">
        <v>2664</v>
      </c>
      <c r="G63">
        <v>110624</v>
      </c>
      <c r="H63">
        <v>110748</v>
      </c>
      <c r="I63">
        <v>110872</v>
      </c>
      <c r="J63">
        <v>110996</v>
      </c>
      <c r="K63">
        <v>111102</v>
      </c>
      <c r="L63" t="s">
        <v>988</v>
      </c>
    </row>
    <row r="64" spans="1:12" x14ac:dyDescent="0.3">
      <c r="A64">
        <v>353</v>
      </c>
      <c r="B64" t="s">
        <v>1298</v>
      </c>
      <c r="C64" t="s">
        <v>2663</v>
      </c>
      <c r="D64" t="s">
        <v>1203</v>
      </c>
      <c r="E64" t="s">
        <v>1204</v>
      </c>
      <c r="F64" t="s">
        <v>2664</v>
      </c>
      <c r="G64">
        <v>10081.296587250001</v>
      </c>
      <c r="H64">
        <v>10081.296587250001</v>
      </c>
      <c r="I64">
        <v>10081.296587250001</v>
      </c>
      <c r="J64">
        <v>10081.296587250001</v>
      </c>
      <c r="K64">
        <v>10081.296587250001</v>
      </c>
      <c r="L64" t="s">
        <v>988</v>
      </c>
    </row>
    <row r="65" spans="1:12" x14ac:dyDescent="0.3">
      <c r="A65">
        <v>353</v>
      </c>
      <c r="B65" t="s">
        <v>1298</v>
      </c>
      <c r="C65" t="s">
        <v>2663</v>
      </c>
      <c r="D65" t="s">
        <v>1203</v>
      </c>
      <c r="E65" t="s">
        <v>1204</v>
      </c>
      <c r="F65" t="s">
        <v>2665</v>
      </c>
      <c r="G65">
        <v>7193.4731204</v>
      </c>
      <c r="H65">
        <v>7650.7374100500001</v>
      </c>
      <c r="I65">
        <v>8077.3128212000001</v>
      </c>
      <c r="J65">
        <v>8482.4060174000006</v>
      </c>
      <c r="K65">
        <v>8856.8103351000009</v>
      </c>
      <c r="L65" t="s">
        <v>988</v>
      </c>
    </row>
    <row r="66" spans="1:12" x14ac:dyDescent="0.3">
      <c r="A66">
        <v>368</v>
      </c>
      <c r="B66" t="s">
        <v>1299</v>
      </c>
      <c r="C66" t="s">
        <v>2663</v>
      </c>
      <c r="D66" t="s">
        <v>1203</v>
      </c>
      <c r="E66" t="s">
        <v>1204</v>
      </c>
      <c r="F66" t="s">
        <v>2665</v>
      </c>
      <c r="G66">
        <v>21596</v>
      </c>
      <c r="H66">
        <v>21894</v>
      </c>
      <c r="I66">
        <v>22194</v>
      </c>
      <c r="J66">
        <v>22405</v>
      </c>
      <c r="K66">
        <v>22618</v>
      </c>
      <c r="L66" t="s">
        <v>988</v>
      </c>
    </row>
    <row r="67" spans="1:12" x14ac:dyDescent="0.3">
      <c r="A67">
        <v>368</v>
      </c>
      <c r="B67" t="s">
        <v>1299</v>
      </c>
      <c r="C67" t="s">
        <v>2663</v>
      </c>
      <c r="D67" t="s">
        <v>1203</v>
      </c>
      <c r="E67" t="s">
        <v>1204</v>
      </c>
      <c r="F67" t="s">
        <v>2664</v>
      </c>
      <c r="G67">
        <v>21596</v>
      </c>
      <c r="H67">
        <v>21894</v>
      </c>
      <c r="I67">
        <v>22194</v>
      </c>
      <c r="J67">
        <v>22406</v>
      </c>
      <c r="K67">
        <v>22618</v>
      </c>
      <c r="L67" t="s">
        <v>988</v>
      </c>
    </row>
    <row r="68" spans="1:12" x14ac:dyDescent="0.3">
      <c r="A68">
        <v>369</v>
      </c>
      <c r="B68" t="s">
        <v>1305</v>
      </c>
      <c r="C68" t="s">
        <v>2663</v>
      </c>
      <c r="D68" t="s">
        <v>1203</v>
      </c>
      <c r="E68" t="s">
        <v>1204</v>
      </c>
      <c r="F68" t="s">
        <v>2664</v>
      </c>
      <c r="G68">
        <v>9892</v>
      </c>
      <c r="H68">
        <v>17166</v>
      </c>
      <c r="I68">
        <v>17166</v>
      </c>
      <c r="J68">
        <v>17166</v>
      </c>
      <c r="K68">
        <v>17166</v>
      </c>
      <c r="L68" t="s">
        <v>988</v>
      </c>
    </row>
    <row r="69" spans="1:12" x14ac:dyDescent="0.3">
      <c r="A69">
        <v>369</v>
      </c>
      <c r="B69" t="s">
        <v>1305</v>
      </c>
      <c r="C69" t="s">
        <v>2663</v>
      </c>
      <c r="D69" t="s">
        <v>1203</v>
      </c>
      <c r="E69" t="s">
        <v>1204</v>
      </c>
      <c r="F69" t="s">
        <v>2665</v>
      </c>
      <c r="G69">
        <v>11620</v>
      </c>
      <c r="H69">
        <v>13084</v>
      </c>
      <c r="I69">
        <v>13698</v>
      </c>
      <c r="J69">
        <v>14308</v>
      </c>
      <c r="K69">
        <v>14921</v>
      </c>
      <c r="L69" t="s">
        <v>988</v>
      </c>
    </row>
    <row r="70" spans="1:12" x14ac:dyDescent="0.3">
      <c r="A70">
        <v>372</v>
      </c>
      <c r="B70" t="s">
        <v>1310</v>
      </c>
      <c r="C70" t="s">
        <v>2663</v>
      </c>
      <c r="D70" t="s">
        <v>1203</v>
      </c>
      <c r="E70" t="s">
        <v>1204</v>
      </c>
      <c r="F70" t="s">
        <v>2664</v>
      </c>
      <c r="G70">
        <v>142829.10942684999</v>
      </c>
      <c r="H70">
        <v>137599.72453045001</v>
      </c>
      <c r="I70">
        <v>139097.34180125</v>
      </c>
      <c r="J70">
        <v>141110.53223084999</v>
      </c>
      <c r="K70">
        <v>0</v>
      </c>
      <c r="L70" t="s">
        <v>988</v>
      </c>
    </row>
    <row r="71" spans="1:12" x14ac:dyDescent="0.3">
      <c r="A71">
        <v>372</v>
      </c>
      <c r="B71" t="s">
        <v>1310</v>
      </c>
      <c r="C71" t="s">
        <v>2663</v>
      </c>
      <c r="D71" t="s">
        <v>1203</v>
      </c>
      <c r="E71" t="s">
        <v>1204</v>
      </c>
      <c r="F71" t="s">
        <v>2665</v>
      </c>
      <c r="G71">
        <v>31548.167098000002</v>
      </c>
      <c r="H71">
        <v>34564.883854549997</v>
      </c>
      <c r="I71">
        <v>36949.409714000001</v>
      </c>
      <c r="J71">
        <v>39889.404274300003</v>
      </c>
      <c r="K71">
        <v>0</v>
      </c>
      <c r="L71" t="s">
        <v>988</v>
      </c>
    </row>
    <row r="72" spans="1:12" x14ac:dyDescent="0.3">
      <c r="A72">
        <v>373</v>
      </c>
      <c r="B72" t="s">
        <v>1339</v>
      </c>
      <c r="C72" t="s">
        <v>2663</v>
      </c>
      <c r="D72" t="s">
        <v>1203</v>
      </c>
      <c r="E72" t="s">
        <v>1204</v>
      </c>
      <c r="F72" t="s">
        <v>2665</v>
      </c>
      <c r="G72">
        <v>10069.021035850001</v>
      </c>
      <c r="H72">
        <v>11428.538353399999</v>
      </c>
      <c r="I72">
        <v>11674.0493814</v>
      </c>
      <c r="J72">
        <v>11925.6981851</v>
      </c>
      <c r="K72">
        <v>0</v>
      </c>
      <c r="L72" t="s">
        <v>988</v>
      </c>
    </row>
    <row r="73" spans="1:12" x14ac:dyDescent="0.3">
      <c r="A73">
        <v>373</v>
      </c>
      <c r="B73" t="s">
        <v>1339</v>
      </c>
      <c r="C73" t="s">
        <v>2663</v>
      </c>
      <c r="D73" t="s">
        <v>1203</v>
      </c>
      <c r="E73" t="s">
        <v>1204</v>
      </c>
      <c r="F73" t="s">
        <v>2664</v>
      </c>
      <c r="G73">
        <v>12082.21146545</v>
      </c>
      <c r="H73">
        <v>12143.58922245</v>
      </c>
      <c r="I73">
        <v>12438.202456049999</v>
      </c>
      <c r="J73">
        <v>12742.0223532</v>
      </c>
      <c r="K73">
        <v>0</v>
      </c>
      <c r="L73" t="s">
        <v>988</v>
      </c>
    </row>
    <row r="74" spans="1:12" x14ac:dyDescent="0.3">
      <c r="A74">
        <v>376</v>
      </c>
      <c r="B74" t="s">
        <v>1342</v>
      </c>
      <c r="C74" t="s">
        <v>2663</v>
      </c>
      <c r="D74" t="s">
        <v>1203</v>
      </c>
      <c r="E74" t="s">
        <v>1204</v>
      </c>
      <c r="F74" t="s">
        <v>2664</v>
      </c>
      <c r="G74">
        <v>18559.3</v>
      </c>
      <c r="H74">
        <v>18559.3</v>
      </c>
      <c r="I74">
        <v>18559.3</v>
      </c>
      <c r="J74">
        <v>18559.3</v>
      </c>
      <c r="K74">
        <v>18559.3</v>
      </c>
      <c r="L74" t="s">
        <v>988</v>
      </c>
    </row>
    <row r="75" spans="1:12" x14ac:dyDescent="0.3">
      <c r="A75">
        <v>376</v>
      </c>
      <c r="B75" t="s">
        <v>1342</v>
      </c>
      <c r="C75" t="s">
        <v>2663</v>
      </c>
      <c r="D75" t="s">
        <v>1203</v>
      </c>
      <c r="E75" t="s">
        <v>1204</v>
      </c>
      <c r="F75" t="s">
        <v>2665</v>
      </c>
      <c r="G75">
        <v>16660</v>
      </c>
      <c r="H75">
        <v>16772</v>
      </c>
      <c r="I75">
        <v>16878</v>
      </c>
      <c r="J75">
        <v>16976</v>
      </c>
      <c r="K75">
        <v>17078</v>
      </c>
      <c r="L75" t="s">
        <v>988</v>
      </c>
    </row>
    <row r="76" spans="1:12" x14ac:dyDescent="0.3">
      <c r="A76">
        <v>384</v>
      </c>
      <c r="B76" t="s">
        <v>1343</v>
      </c>
      <c r="C76" t="s">
        <v>2663</v>
      </c>
      <c r="D76" t="s">
        <v>1203</v>
      </c>
      <c r="E76" t="s">
        <v>1204</v>
      </c>
      <c r="F76" t="s">
        <v>2665</v>
      </c>
      <c r="G76">
        <v>672.74756999299996</v>
      </c>
      <c r="H76">
        <v>654.22093718600001</v>
      </c>
      <c r="I76">
        <v>659.23817398000006</v>
      </c>
      <c r="J76">
        <v>663.69685228399999</v>
      </c>
      <c r="K76">
        <v>669.77216176100001</v>
      </c>
      <c r="L76" t="s">
        <v>988</v>
      </c>
    </row>
    <row r="77" spans="1:12" x14ac:dyDescent="0.3">
      <c r="A77">
        <v>384</v>
      </c>
      <c r="B77" t="s">
        <v>1343</v>
      </c>
      <c r="C77" t="s">
        <v>2663</v>
      </c>
      <c r="D77" t="s">
        <v>1203</v>
      </c>
      <c r="E77" t="s">
        <v>1204</v>
      </c>
      <c r="F77" t="s">
        <v>2664</v>
      </c>
      <c r="G77">
        <v>673</v>
      </c>
      <c r="H77">
        <v>654</v>
      </c>
      <c r="I77">
        <v>659</v>
      </c>
      <c r="J77">
        <v>664</v>
      </c>
      <c r="K77">
        <v>670</v>
      </c>
      <c r="L77" t="s">
        <v>988</v>
      </c>
    </row>
    <row r="78" spans="1:12" x14ac:dyDescent="0.3">
      <c r="A78">
        <v>386</v>
      </c>
      <c r="B78" t="s">
        <v>1345</v>
      </c>
      <c r="C78" t="s">
        <v>2663</v>
      </c>
      <c r="D78" t="s">
        <v>1203</v>
      </c>
      <c r="E78" t="s">
        <v>1204</v>
      </c>
      <c r="F78" t="s">
        <v>2665</v>
      </c>
      <c r="G78">
        <v>60439</v>
      </c>
      <c r="H78">
        <v>62680.94</v>
      </c>
      <c r="I78">
        <v>65408.12</v>
      </c>
      <c r="J78">
        <v>67871.28</v>
      </c>
      <c r="K78">
        <v>70314.47</v>
      </c>
      <c r="L78" t="s">
        <v>988</v>
      </c>
    </row>
    <row r="79" spans="1:12" x14ac:dyDescent="0.3">
      <c r="A79">
        <v>386</v>
      </c>
      <c r="B79" t="s">
        <v>1345</v>
      </c>
      <c r="C79" t="s">
        <v>2663</v>
      </c>
      <c r="D79" t="s">
        <v>1203</v>
      </c>
      <c r="E79" t="s">
        <v>1204</v>
      </c>
      <c r="F79" t="s">
        <v>2664</v>
      </c>
      <c r="G79">
        <v>60439</v>
      </c>
      <c r="H79">
        <v>62681</v>
      </c>
      <c r="I79">
        <v>65408</v>
      </c>
      <c r="J79">
        <v>67871</v>
      </c>
      <c r="K79">
        <v>70314</v>
      </c>
      <c r="L79" t="s">
        <v>988</v>
      </c>
    </row>
    <row r="80" spans="1:12" x14ac:dyDescent="0.3">
      <c r="A80">
        <v>387</v>
      </c>
      <c r="B80" t="s">
        <v>1347</v>
      </c>
      <c r="C80" t="s">
        <v>2663</v>
      </c>
      <c r="D80" t="s">
        <v>1203</v>
      </c>
      <c r="E80" t="s">
        <v>1204</v>
      </c>
      <c r="F80" t="s">
        <v>2665</v>
      </c>
      <c r="G80">
        <v>12796.285</v>
      </c>
      <c r="H80">
        <v>12699.056</v>
      </c>
      <c r="I80">
        <v>12730.383</v>
      </c>
      <c r="J80">
        <v>12675.34</v>
      </c>
      <c r="K80">
        <v>12694.276</v>
      </c>
      <c r="L80" t="s">
        <v>988</v>
      </c>
    </row>
    <row r="81" spans="1:12" x14ac:dyDescent="0.3">
      <c r="A81">
        <v>387</v>
      </c>
      <c r="B81" t="s">
        <v>1347</v>
      </c>
      <c r="C81" t="s">
        <v>2663</v>
      </c>
      <c r="D81" t="s">
        <v>1203</v>
      </c>
      <c r="E81" t="s">
        <v>1204</v>
      </c>
      <c r="F81" t="s">
        <v>2664</v>
      </c>
      <c r="G81">
        <v>12796</v>
      </c>
      <c r="H81">
        <v>12699</v>
      </c>
      <c r="I81">
        <v>12730</v>
      </c>
      <c r="J81">
        <v>12675</v>
      </c>
      <c r="K81">
        <v>12694</v>
      </c>
      <c r="L81" t="s">
        <v>988</v>
      </c>
    </row>
    <row r="82" spans="1:12" x14ac:dyDescent="0.3">
      <c r="A82">
        <v>388</v>
      </c>
      <c r="B82" t="s">
        <v>1348</v>
      </c>
      <c r="C82" t="s">
        <v>2663</v>
      </c>
      <c r="D82" t="s">
        <v>1203</v>
      </c>
      <c r="E82" t="s">
        <v>1204</v>
      </c>
      <c r="F82" t="s">
        <v>2665</v>
      </c>
      <c r="G82">
        <v>23376.126</v>
      </c>
      <c r="H82">
        <v>24511.424999999999</v>
      </c>
      <c r="I82">
        <v>25571.149000000001</v>
      </c>
      <c r="J82">
        <v>26097.78</v>
      </c>
      <c r="K82">
        <v>26473.795999999998</v>
      </c>
      <c r="L82" t="s">
        <v>988</v>
      </c>
    </row>
    <row r="83" spans="1:12" x14ac:dyDescent="0.3">
      <c r="A83">
        <v>388</v>
      </c>
      <c r="B83" t="s">
        <v>1348</v>
      </c>
      <c r="C83" t="s">
        <v>2663</v>
      </c>
      <c r="D83" t="s">
        <v>1203</v>
      </c>
      <c r="E83" t="s">
        <v>1204</v>
      </c>
      <c r="F83" t="s">
        <v>2664</v>
      </c>
      <c r="G83">
        <v>23376.128000000001</v>
      </c>
      <c r="H83">
        <v>24511.424999999999</v>
      </c>
      <c r="I83">
        <v>25571.148000000001</v>
      </c>
      <c r="J83">
        <v>26097.780999999999</v>
      </c>
      <c r="K83">
        <v>26473.795999999998</v>
      </c>
      <c r="L83" t="s">
        <v>988</v>
      </c>
    </row>
    <row r="84" spans="1:12" x14ac:dyDescent="0.3">
      <c r="A84">
        <v>390</v>
      </c>
      <c r="B84" t="s">
        <v>1349</v>
      </c>
      <c r="C84" t="s">
        <v>2663</v>
      </c>
      <c r="D84" t="s">
        <v>1203</v>
      </c>
      <c r="E84" t="s">
        <v>1204</v>
      </c>
      <c r="F84" t="s">
        <v>2664</v>
      </c>
      <c r="G84">
        <v>1335</v>
      </c>
      <c r="H84">
        <v>1295</v>
      </c>
      <c r="I84">
        <v>1302</v>
      </c>
      <c r="J84">
        <v>1307</v>
      </c>
      <c r="K84">
        <v>1321</v>
      </c>
      <c r="L84" t="s">
        <v>988</v>
      </c>
    </row>
    <row r="85" spans="1:12" x14ac:dyDescent="0.3">
      <c r="A85">
        <v>390</v>
      </c>
      <c r="B85" t="s">
        <v>1349</v>
      </c>
      <c r="C85" t="s">
        <v>2663</v>
      </c>
      <c r="D85" t="s">
        <v>1203</v>
      </c>
      <c r="E85" t="s">
        <v>1204</v>
      </c>
      <c r="F85" t="s">
        <v>2665</v>
      </c>
      <c r="G85">
        <v>1335.143</v>
      </c>
      <c r="H85">
        <v>1295.3440000000001</v>
      </c>
      <c r="I85">
        <v>1301.8810000000001</v>
      </c>
      <c r="J85">
        <v>1307.3240000000001</v>
      </c>
      <c r="K85">
        <v>1320.5340000000001</v>
      </c>
      <c r="L85" t="s">
        <v>988</v>
      </c>
    </row>
    <row r="86" spans="1:12" x14ac:dyDescent="0.3">
      <c r="A86">
        <v>391</v>
      </c>
      <c r="B86" t="s">
        <v>1350</v>
      </c>
      <c r="C86" t="s">
        <v>2663</v>
      </c>
      <c r="D86" t="s">
        <v>1203</v>
      </c>
      <c r="E86" t="s">
        <v>1204</v>
      </c>
      <c r="F86" t="s">
        <v>2665</v>
      </c>
      <c r="G86">
        <v>33108.400999999998</v>
      </c>
      <c r="H86">
        <v>32846.885999999999</v>
      </c>
      <c r="I86">
        <v>32885.699999999997</v>
      </c>
      <c r="J86">
        <v>32936.646000000001</v>
      </c>
      <c r="K86">
        <v>33086.262999999999</v>
      </c>
      <c r="L86" t="s">
        <v>988</v>
      </c>
    </row>
    <row r="87" spans="1:12" x14ac:dyDescent="0.3">
      <c r="A87">
        <v>391</v>
      </c>
      <c r="B87" t="s">
        <v>1350</v>
      </c>
      <c r="C87" t="s">
        <v>2663</v>
      </c>
      <c r="D87" t="s">
        <v>1203</v>
      </c>
      <c r="E87" t="s">
        <v>1204</v>
      </c>
      <c r="F87" t="s">
        <v>2664</v>
      </c>
      <c r="G87">
        <v>33108</v>
      </c>
      <c r="H87">
        <v>32847</v>
      </c>
      <c r="I87">
        <v>32886</v>
      </c>
      <c r="J87">
        <v>32937</v>
      </c>
      <c r="K87">
        <v>33086</v>
      </c>
      <c r="L87" t="s">
        <v>988</v>
      </c>
    </row>
    <row r="88" spans="1:12" x14ac:dyDescent="0.3">
      <c r="A88">
        <v>392</v>
      </c>
      <c r="B88" t="s">
        <v>1351</v>
      </c>
      <c r="C88" t="s">
        <v>2663</v>
      </c>
      <c r="D88" t="s">
        <v>1203</v>
      </c>
      <c r="E88" t="s">
        <v>1204</v>
      </c>
      <c r="F88" t="s">
        <v>2665</v>
      </c>
      <c r="G88">
        <v>13868.16</v>
      </c>
      <c r="H88">
        <v>13548.75</v>
      </c>
      <c r="I88">
        <v>13551.99</v>
      </c>
      <c r="J88">
        <v>13567.01</v>
      </c>
      <c r="K88">
        <v>13660.75</v>
      </c>
      <c r="L88" t="s">
        <v>988</v>
      </c>
    </row>
    <row r="89" spans="1:12" x14ac:dyDescent="0.3">
      <c r="A89">
        <v>392</v>
      </c>
      <c r="B89" t="s">
        <v>1351</v>
      </c>
      <c r="C89" t="s">
        <v>2663</v>
      </c>
      <c r="D89" t="s">
        <v>1203</v>
      </c>
      <c r="E89" t="s">
        <v>1204</v>
      </c>
      <c r="F89" t="s">
        <v>2664</v>
      </c>
      <c r="G89">
        <v>13868</v>
      </c>
      <c r="H89">
        <v>13549</v>
      </c>
      <c r="I89">
        <v>13552</v>
      </c>
      <c r="J89">
        <v>13567</v>
      </c>
      <c r="K89">
        <v>13661</v>
      </c>
      <c r="L89" t="s">
        <v>988</v>
      </c>
    </row>
    <row r="90" spans="1:12" x14ac:dyDescent="0.3">
      <c r="A90">
        <v>396</v>
      </c>
      <c r="B90" t="s">
        <v>1353</v>
      </c>
      <c r="C90" t="s">
        <v>2663</v>
      </c>
      <c r="D90" t="s">
        <v>1203</v>
      </c>
      <c r="E90" t="s">
        <v>1204</v>
      </c>
      <c r="F90" t="s">
        <v>2664</v>
      </c>
      <c r="G90">
        <v>10853</v>
      </c>
      <c r="H90">
        <v>10686</v>
      </c>
      <c r="I90">
        <v>10678</v>
      </c>
      <c r="J90">
        <v>10673</v>
      </c>
      <c r="K90">
        <v>10757</v>
      </c>
      <c r="L90" t="s">
        <v>988</v>
      </c>
    </row>
    <row r="91" spans="1:12" x14ac:dyDescent="0.3">
      <c r="A91">
        <v>396</v>
      </c>
      <c r="B91" t="s">
        <v>1353</v>
      </c>
      <c r="C91" t="s">
        <v>2663</v>
      </c>
      <c r="D91" t="s">
        <v>1203</v>
      </c>
      <c r="E91" t="s">
        <v>1204</v>
      </c>
      <c r="F91" t="s">
        <v>2665</v>
      </c>
      <c r="G91">
        <v>10853.384</v>
      </c>
      <c r="H91">
        <v>10686.474</v>
      </c>
      <c r="I91">
        <v>10678.22</v>
      </c>
      <c r="J91">
        <v>10672.588</v>
      </c>
      <c r="K91">
        <v>10757.196</v>
      </c>
      <c r="L91" t="s">
        <v>988</v>
      </c>
    </row>
    <row r="92" spans="1:12" x14ac:dyDescent="0.3">
      <c r="A92">
        <v>397</v>
      </c>
      <c r="B92" t="s">
        <v>1354</v>
      </c>
      <c r="C92" t="s">
        <v>2663</v>
      </c>
      <c r="D92" t="s">
        <v>1203</v>
      </c>
      <c r="E92" t="s">
        <v>1204</v>
      </c>
      <c r="F92" t="s">
        <v>2664</v>
      </c>
      <c r="G92">
        <v>766</v>
      </c>
      <c r="H92">
        <v>764</v>
      </c>
      <c r="I92">
        <v>760</v>
      </c>
      <c r="J92">
        <v>757</v>
      </c>
      <c r="K92">
        <v>755</v>
      </c>
      <c r="L92" t="s">
        <v>988</v>
      </c>
    </row>
    <row r="93" spans="1:12" x14ac:dyDescent="0.3">
      <c r="A93">
        <v>397</v>
      </c>
      <c r="B93" t="s">
        <v>1354</v>
      </c>
      <c r="C93" t="s">
        <v>2663</v>
      </c>
      <c r="D93" t="s">
        <v>1203</v>
      </c>
      <c r="E93" t="s">
        <v>1204</v>
      </c>
      <c r="F93" t="s">
        <v>2665</v>
      </c>
      <c r="G93">
        <v>766.42700000000002</v>
      </c>
      <c r="H93">
        <v>763.68299999999999</v>
      </c>
      <c r="I93">
        <v>760.36199999999997</v>
      </c>
      <c r="J93">
        <v>757.04600000000005</v>
      </c>
      <c r="K93">
        <v>754.95500000000004</v>
      </c>
      <c r="L93" t="s">
        <v>988</v>
      </c>
    </row>
    <row r="94" spans="1:12" x14ac:dyDescent="0.3">
      <c r="A94">
        <v>398</v>
      </c>
      <c r="B94" t="s">
        <v>1355</v>
      </c>
      <c r="C94" t="s">
        <v>2663</v>
      </c>
      <c r="D94" t="s">
        <v>1203</v>
      </c>
      <c r="E94" t="s">
        <v>1204</v>
      </c>
      <c r="F94" t="s">
        <v>2664</v>
      </c>
      <c r="G94">
        <v>1662</v>
      </c>
      <c r="H94">
        <v>1671</v>
      </c>
      <c r="I94">
        <v>1711</v>
      </c>
      <c r="J94">
        <v>1750</v>
      </c>
      <c r="K94">
        <v>1797</v>
      </c>
      <c r="L94" t="s">
        <v>988</v>
      </c>
    </row>
    <row r="95" spans="1:12" x14ac:dyDescent="0.3">
      <c r="A95">
        <v>398</v>
      </c>
      <c r="B95" t="s">
        <v>1355</v>
      </c>
      <c r="C95" t="s">
        <v>2663</v>
      </c>
      <c r="D95" t="s">
        <v>1203</v>
      </c>
      <c r="E95" t="s">
        <v>1204</v>
      </c>
      <c r="F95" t="s">
        <v>2665</v>
      </c>
      <c r="G95">
        <v>1661.76</v>
      </c>
      <c r="H95">
        <v>1671.21</v>
      </c>
      <c r="I95">
        <v>1710.63</v>
      </c>
      <c r="J95">
        <v>1749.94</v>
      </c>
      <c r="K95">
        <v>1797.22</v>
      </c>
      <c r="L95" t="s">
        <v>988</v>
      </c>
    </row>
    <row r="96" spans="1:12" x14ac:dyDescent="0.3">
      <c r="A96">
        <v>401</v>
      </c>
      <c r="B96" t="s">
        <v>1356</v>
      </c>
      <c r="C96" t="s">
        <v>2663</v>
      </c>
      <c r="D96" t="s">
        <v>1203</v>
      </c>
      <c r="E96" t="s">
        <v>1204</v>
      </c>
      <c r="F96" t="s">
        <v>2664</v>
      </c>
      <c r="G96">
        <v>9333</v>
      </c>
      <c r="H96">
        <v>9361</v>
      </c>
      <c r="I96">
        <v>9515</v>
      </c>
      <c r="J96">
        <v>9555</v>
      </c>
      <c r="K96">
        <v>9632</v>
      </c>
      <c r="L96" t="s">
        <v>988</v>
      </c>
    </row>
    <row r="97" spans="1:12" x14ac:dyDescent="0.3">
      <c r="A97">
        <v>401</v>
      </c>
      <c r="B97" t="s">
        <v>1356</v>
      </c>
      <c r="C97" t="s">
        <v>2663</v>
      </c>
      <c r="D97" t="s">
        <v>1203</v>
      </c>
      <c r="E97" t="s">
        <v>1204</v>
      </c>
      <c r="F97" t="s">
        <v>2665</v>
      </c>
      <c r="G97">
        <v>9333.41</v>
      </c>
      <c r="H97">
        <v>9360.56</v>
      </c>
      <c r="I97">
        <v>9515.35</v>
      </c>
      <c r="J97">
        <v>9555.26</v>
      </c>
      <c r="K97">
        <v>9632.42</v>
      </c>
      <c r="L97" t="s">
        <v>988</v>
      </c>
    </row>
    <row r="98" spans="1:12" x14ac:dyDescent="0.3">
      <c r="A98">
        <v>402</v>
      </c>
      <c r="B98" t="s">
        <v>1357</v>
      </c>
      <c r="C98" t="s">
        <v>2663</v>
      </c>
      <c r="D98" t="s">
        <v>1203</v>
      </c>
      <c r="E98" t="s">
        <v>1204</v>
      </c>
      <c r="F98" t="s">
        <v>2664</v>
      </c>
      <c r="G98">
        <v>13107</v>
      </c>
      <c r="H98">
        <v>13103</v>
      </c>
      <c r="I98">
        <v>13424</v>
      </c>
      <c r="J98">
        <v>13766</v>
      </c>
      <c r="K98">
        <v>14197</v>
      </c>
      <c r="L98" t="s">
        <v>988</v>
      </c>
    </row>
    <row r="99" spans="1:12" x14ac:dyDescent="0.3">
      <c r="A99">
        <v>402</v>
      </c>
      <c r="B99" t="s">
        <v>1357</v>
      </c>
      <c r="C99" t="s">
        <v>2663</v>
      </c>
      <c r="D99" t="s">
        <v>1203</v>
      </c>
      <c r="E99" t="s">
        <v>1204</v>
      </c>
      <c r="F99" t="s">
        <v>2665</v>
      </c>
      <c r="G99">
        <v>13106.893</v>
      </c>
      <c r="H99">
        <v>13103.293</v>
      </c>
      <c r="I99">
        <v>13423.877</v>
      </c>
      <c r="J99">
        <v>13766.093000000001</v>
      </c>
      <c r="K99">
        <v>14197.357</v>
      </c>
      <c r="L99" t="s">
        <v>988</v>
      </c>
    </row>
    <row r="100" spans="1:12" x14ac:dyDescent="0.3">
      <c r="A100">
        <v>405</v>
      </c>
      <c r="B100" t="s">
        <v>1358</v>
      </c>
      <c r="C100" t="s">
        <v>2663</v>
      </c>
      <c r="D100" t="s">
        <v>1203</v>
      </c>
      <c r="E100" t="s">
        <v>1204</v>
      </c>
      <c r="F100" t="s">
        <v>2664</v>
      </c>
      <c r="G100">
        <v>1967</v>
      </c>
      <c r="H100">
        <v>1942</v>
      </c>
      <c r="I100">
        <v>1922</v>
      </c>
      <c r="J100">
        <v>1905</v>
      </c>
      <c r="K100">
        <v>1897</v>
      </c>
      <c r="L100" t="s">
        <v>988</v>
      </c>
    </row>
    <row r="101" spans="1:12" x14ac:dyDescent="0.3">
      <c r="A101">
        <v>405</v>
      </c>
      <c r="B101" t="s">
        <v>1358</v>
      </c>
      <c r="C101" t="s">
        <v>2663</v>
      </c>
      <c r="D101" t="s">
        <v>1203</v>
      </c>
      <c r="E101" t="s">
        <v>1204</v>
      </c>
      <c r="F101" t="s">
        <v>2665</v>
      </c>
      <c r="G101">
        <v>1966.7909999999999</v>
      </c>
      <c r="H101">
        <v>1941.5219999999999</v>
      </c>
      <c r="I101">
        <v>1921.502</v>
      </c>
      <c r="J101">
        <v>1905.4190000000001</v>
      </c>
      <c r="K101">
        <v>1897.2760000000001</v>
      </c>
      <c r="L101" t="s">
        <v>988</v>
      </c>
    </row>
    <row r="102" spans="1:12" x14ac:dyDescent="0.3">
      <c r="A102">
        <v>420</v>
      </c>
      <c r="B102" t="s">
        <v>1359</v>
      </c>
      <c r="C102" t="s">
        <v>2663</v>
      </c>
      <c r="D102" t="s">
        <v>1203</v>
      </c>
      <c r="E102" t="s">
        <v>1204</v>
      </c>
      <c r="F102" t="s">
        <v>2664</v>
      </c>
      <c r="G102">
        <v>14418</v>
      </c>
      <c r="H102">
        <v>14530</v>
      </c>
      <c r="I102">
        <v>14786</v>
      </c>
      <c r="J102">
        <v>14977</v>
      </c>
      <c r="K102">
        <v>15279</v>
      </c>
      <c r="L102" t="s">
        <v>988</v>
      </c>
    </row>
    <row r="103" spans="1:12" x14ac:dyDescent="0.3">
      <c r="A103">
        <v>420</v>
      </c>
      <c r="B103" t="s">
        <v>1359</v>
      </c>
      <c r="C103" t="s">
        <v>2663</v>
      </c>
      <c r="D103" t="s">
        <v>1203</v>
      </c>
      <c r="E103" t="s">
        <v>1204</v>
      </c>
      <c r="F103" t="s">
        <v>2665</v>
      </c>
      <c r="G103">
        <v>14417.705</v>
      </c>
      <c r="H103">
        <v>14529.728999999999</v>
      </c>
      <c r="I103">
        <v>14786.092000000001</v>
      </c>
      <c r="J103">
        <v>14977.365</v>
      </c>
      <c r="K103">
        <v>15278.55</v>
      </c>
      <c r="L103" t="s">
        <v>988</v>
      </c>
    </row>
    <row r="104" spans="1:12" x14ac:dyDescent="0.3">
      <c r="A104">
        <v>412</v>
      </c>
      <c r="B104" t="s">
        <v>1360</v>
      </c>
      <c r="C104" t="s">
        <v>2663</v>
      </c>
      <c r="D104" t="s">
        <v>1203</v>
      </c>
      <c r="E104" t="s">
        <v>1204</v>
      </c>
      <c r="F104" t="s">
        <v>2664</v>
      </c>
      <c r="G104">
        <v>2654</v>
      </c>
      <c r="H104">
        <v>2599</v>
      </c>
      <c r="I104">
        <v>2594</v>
      </c>
      <c r="J104">
        <v>2587</v>
      </c>
      <c r="K104">
        <v>2586</v>
      </c>
      <c r="L104" t="s">
        <v>988</v>
      </c>
    </row>
    <row r="105" spans="1:12" x14ac:dyDescent="0.3">
      <c r="A105">
        <v>412</v>
      </c>
      <c r="B105" t="s">
        <v>1360</v>
      </c>
      <c r="C105" t="s">
        <v>2663</v>
      </c>
      <c r="D105" t="s">
        <v>1203</v>
      </c>
      <c r="E105" t="s">
        <v>1204</v>
      </c>
      <c r="F105" t="s">
        <v>2665</v>
      </c>
      <c r="G105">
        <v>2654.0079999999998</v>
      </c>
      <c r="H105">
        <v>2599.3910000000001</v>
      </c>
      <c r="I105">
        <v>2593.6550000000002</v>
      </c>
      <c r="J105">
        <v>2586.9209999999998</v>
      </c>
      <c r="K105">
        <v>2585.7669999999998</v>
      </c>
      <c r="L105" t="s">
        <v>988</v>
      </c>
    </row>
    <row r="106" spans="1:12" x14ac:dyDescent="0.3">
      <c r="A106">
        <v>413</v>
      </c>
      <c r="B106" t="s">
        <v>1361</v>
      </c>
      <c r="C106" t="s">
        <v>2663</v>
      </c>
      <c r="D106" t="s">
        <v>1203</v>
      </c>
      <c r="E106" t="s">
        <v>1204</v>
      </c>
      <c r="F106" t="s">
        <v>2664</v>
      </c>
      <c r="G106">
        <v>17873</v>
      </c>
      <c r="H106">
        <v>17976</v>
      </c>
      <c r="I106">
        <v>18144</v>
      </c>
      <c r="J106">
        <v>18264</v>
      </c>
      <c r="K106">
        <v>18494</v>
      </c>
      <c r="L106" t="s">
        <v>988</v>
      </c>
    </row>
    <row r="107" spans="1:12" x14ac:dyDescent="0.3">
      <c r="A107">
        <v>413</v>
      </c>
      <c r="B107" t="s">
        <v>1361</v>
      </c>
      <c r="C107" t="s">
        <v>2663</v>
      </c>
      <c r="D107" t="s">
        <v>1203</v>
      </c>
      <c r="E107" t="s">
        <v>1204</v>
      </c>
      <c r="F107" t="s">
        <v>2665</v>
      </c>
      <c r="G107">
        <v>17873.07</v>
      </c>
      <c r="H107">
        <v>17975.55</v>
      </c>
      <c r="I107">
        <v>18143.73</v>
      </c>
      <c r="J107">
        <v>18263.75</v>
      </c>
      <c r="K107">
        <v>18494.21</v>
      </c>
      <c r="L107" t="s">
        <v>988</v>
      </c>
    </row>
    <row r="108" spans="1:12" x14ac:dyDescent="0.3">
      <c r="A108">
        <v>416</v>
      </c>
      <c r="B108" t="s">
        <v>1362</v>
      </c>
      <c r="C108" t="s">
        <v>2663</v>
      </c>
      <c r="D108" t="s">
        <v>1203</v>
      </c>
      <c r="E108" t="s">
        <v>1204</v>
      </c>
      <c r="F108" t="s">
        <v>2664</v>
      </c>
      <c r="G108">
        <v>359.59199999999998</v>
      </c>
      <c r="H108">
        <v>343.58600000000001</v>
      </c>
      <c r="I108">
        <v>339.42399999999998</v>
      </c>
      <c r="J108">
        <v>334.99700000000001</v>
      </c>
      <c r="K108">
        <v>333.74400000000003</v>
      </c>
      <c r="L108" t="s">
        <v>988</v>
      </c>
    </row>
    <row r="109" spans="1:12" x14ac:dyDescent="0.3">
      <c r="A109">
        <v>416</v>
      </c>
      <c r="B109" t="s">
        <v>1362</v>
      </c>
      <c r="C109" t="s">
        <v>2663</v>
      </c>
      <c r="D109" t="s">
        <v>1203</v>
      </c>
      <c r="E109" t="s">
        <v>1204</v>
      </c>
      <c r="F109" t="s">
        <v>2665</v>
      </c>
      <c r="G109">
        <v>359.59199999999998</v>
      </c>
      <c r="H109">
        <v>343.58800000000002</v>
      </c>
      <c r="I109">
        <v>339.42399999999998</v>
      </c>
      <c r="J109">
        <v>334.99700000000001</v>
      </c>
      <c r="K109">
        <v>333.74299999999999</v>
      </c>
      <c r="L109" t="s">
        <v>988</v>
      </c>
    </row>
    <row r="110" spans="1:12" x14ac:dyDescent="0.3">
      <c r="A110">
        <v>417</v>
      </c>
      <c r="B110" t="s">
        <v>1363</v>
      </c>
      <c r="C110" t="s">
        <v>2663</v>
      </c>
      <c r="D110" t="s">
        <v>1203</v>
      </c>
      <c r="E110" t="s">
        <v>1204</v>
      </c>
      <c r="F110" t="s">
        <v>2664</v>
      </c>
      <c r="G110">
        <v>16608.581999999999</v>
      </c>
      <c r="H110">
        <v>16988.044999999998</v>
      </c>
      <c r="I110">
        <v>17575.18</v>
      </c>
      <c r="J110">
        <v>18174.584999999999</v>
      </c>
      <c r="K110">
        <v>18852.75</v>
      </c>
      <c r="L110" t="s">
        <v>988</v>
      </c>
    </row>
    <row r="111" spans="1:12" x14ac:dyDescent="0.3">
      <c r="A111">
        <v>417</v>
      </c>
      <c r="B111" t="s">
        <v>1363</v>
      </c>
      <c r="C111" t="s">
        <v>2663</v>
      </c>
      <c r="D111" t="s">
        <v>1203</v>
      </c>
      <c r="E111" t="s">
        <v>1204</v>
      </c>
      <c r="F111" t="s">
        <v>2665</v>
      </c>
      <c r="G111">
        <v>16608.581999999999</v>
      </c>
      <c r="H111">
        <v>16988.044999999998</v>
      </c>
      <c r="I111">
        <v>17575.182000000001</v>
      </c>
      <c r="J111">
        <v>18174.583999999999</v>
      </c>
      <c r="K111">
        <v>18852.75</v>
      </c>
      <c r="L111" t="s">
        <v>988</v>
      </c>
    </row>
    <row r="112" spans="1:12" x14ac:dyDescent="0.3">
      <c r="A112">
        <v>421</v>
      </c>
      <c r="B112" t="s">
        <v>1364</v>
      </c>
      <c r="C112" t="s">
        <v>2663</v>
      </c>
      <c r="D112" t="s">
        <v>1203</v>
      </c>
      <c r="E112" t="s">
        <v>1204</v>
      </c>
      <c r="F112" t="s">
        <v>2664</v>
      </c>
      <c r="G112">
        <v>4434</v>
      </c>
      <c r="H112">
        <v>4397</v>
      </c>
      <c r="I112">
        <v>4540</v>
      </c>
      <c r="J112">
        <v>4659</v>
      </c>
      <c r="K112">
        <v>4800</v>
      </c>
      <c r="L112" t="s">
        <v>988</v>
      </c>
    </row>
    <row r="113" spans="1:12" x14ac:dyDescent="0.3">
      <c r="A113">
        <v>421</v>
      </c>
      <c r="B113" t="s">
        <v>1364</v>
      </c>
      <c r="C113" t="s">
        <v>2663</v>
      </c>
      <c r="D113" t="s">
        <v>1203</v>
      </c>
      <c r="E113" t="s">
        <v>1204</v>
      </c>
      <c r="F113" t="s">
        <v>2665</v>
      </c>
      <c r="G113">
        <v>4433.6930000000002</v>
      </c>
      <c r="H113">
        <v>4396.8230000000003</v>
      </c>
      <c r="I113">
        <v>4539.7039999999997</v>
      </c>
      <c r="J113">
        <v>4659.2510000000002</v>
      </c>
      <c r="K113">
        <v>4799.7740000000003</v>
      </c>
      <c r="L113" t="s">
        <v>988</v>
      </c>
    </row>
    <row r="114" spans="1:12" x14ac:dyDescent="0.3">
      <c r="A114">
        <v>422</v>
      </c>
      <c r="B114" t="s">
        <v>1365</v>
      </c>
      <c r="C114" t="s">
        <v>2663</v>
      </c>
      <c r="D114" t="s">
        <v>1203</v>
      </c>
      <c r="E114" t="s">
        <v>1204</v>
      </c>
      <c r="F114" t="s">
        <v>2664</v>
      </c>
      <c r="G114">
        <v>7543</v>
      </c>
      <c r="H114">
        <v>7483</v>
      </c>
      <c r="I114">
        <v>7635</v>
      </c>
      <c r="J114">
        <v>8000</v>
      </c>
      <c r="K114">
        <v>8423</v>
      </c>
      <c r="L114" t="s">
        <v>988</v>
      </c>
    </row>
    <row r="115" spans="1:12" x14ac:dyDescent="0.3">
      <c r="A115">
        <v>422</v>
      </c>
      <c r="B115" t="s">
        <v>1365</v>
      </c>
      <c r="C115" t="s">
        <v>2663</v>
      </c>
      <c r="D115" t="s">
        <v>1203</v>
      </c>
      <c r="E115" t="s">
        <v>1204</v>
      </c>
      <c r="F115" t="s">
        <v>2665</v>
      </c>
      <c r="G115">
        <v>7543.1530000000002</v>
      </c>
      <c r="H115">
        <v>7482.5860000000002</v>
      </c>
      <c r="I115">
        <v>7634.7240000000002</v>
      </c>
      <c r="J115">
        <v>8000.0420000000004</v>
      </c>
      <c r="K115">
        <v>8422.9249999999993</v>
      </c>
      <c r="L115" t="s">
        <v>988</v>
      </c>
    </row>
    <row r="116" spans="1:12" x14ac:dyDescent="0.3">
      <c r="A116">
        <v>424</v>
      </c>
      <c r="B116" t="s">
        <v>1366</v>
      </c>
      <c r="C116" t="s">
        <v>2663</v>
      </c>
      <c r="D116" t="s">
        <v>1203</v>
      </c>
      <c r="E116" t="s">
        <v>1204</v>
      </c>
      <c r="F116" t="s">
        <v>2664</v>
      </c>
      <c r="G116">
        <v>23733</v>
      </c>
      <c r="H116">
        <v>23588</v>
      </c>
      <c r="I116">
        <v>23548</v>
      </c>
      <c r="J116">
        <v>23480</v>
      </c>
      <c r="K116">
        <v>23517</v>
      </c>
      <c r="L116" t="s">
        <v>988</v>
      </c>
    </row>
    <row r="117" spans="1:12" x14ac:dyDescent="0.3">
      <c r="A117">
        <v>424</v>
      </c>
      <c r="B117" t="s">
        <v>1366</v>
      </c>
      <c r="C117" t="s">
        <v>2663</v>
      </c>
      <c r="D117" t="s">
        <v>1203</v>
      </c>
      <c r="E117" t="s">
        <v>1204</v>
      </c>
      <c r="F117" t="s">
        <v>2665</v>
      </c>
      <c r="G117">
        <v>23733</v>
      </c>
      <c r="H117">
        <v>23588</v>
      </c>
      <c r="I117">
        <v>23548</v>
      </c>
      <c r="J117">
        <v>23480</v>
      </c>
      <c r="K117">
        <v>23517.279999999999</v>
      </c>
      <c r="L117" t="s">
        <v>988</v>
      </c>
    </row>
    <row r="118" spans="1:12" x14ac:dyDescent="0.3">
      <c r="A118">
        <v>427</v>
      </c>
      <c r="B118" t="s">
        <v>1367</v>
      </c>
      <c r="C118" t="s">
        <v>2663</v>
      </c>
      <c r="D118" t="s">
        <v>1203</v>
      </c>
      <c r="E118" t="s">
        <v>1204</v>
      </c>
      <c r="F118" t="s">
        <v>2665</v>
      </c>
      <c r="G118">
        <v>32519.69</v>
      </c>
      <c r="H118">
        <v>35275.529000000002</v>
      </c>
      <c r="I118">
        <v>38310.167000000001</v>
      </c>
      <c r="J118">
        <v>41258.209000000003</v>
      </c>
      <c r="K118">
        <v>44529.499000000003</v>
      </c>
      <c r="L118" t="s">
        <v>988</v>
      </c>
    </row>
    <row r="119" spans="1:12" x14ac:dyDescent="0.3">
      <c r="A119">
        <v>427</v>
      </c>
      <c r="B119" t="s">
        <v>1367</v>
      </c>
      <c r="C119" t="s">
        <v>2663</v>
      </c>
      <c r="D119" t="s">
        <v>1203</v>
      </c>
      <c r="E119" t="s">
        <v>1204</v>
      </c>
      <c r="F119" t="s">
        <v>2664</v>
      </c>
      <c r="G119">
        <v>32520</v>
      </c>
      <c r="H119">
        <v>35276</v>
      </c>
      <c r="I119">
        <v>38310</v>
      </c>
      <c r="J119">
        <v>41258</v>
      </c>
      <c r="K119">
        <v>44529</v>
      </c>
      <c r="L119" t="s">
        <v>988</v>
      </c>
    </row>
    <row r="120" spans="1:12" x14ac:dyDescent="0.3">
      <c r="A120">
        <v>428</v>
      </c>
      <c r="B120" t="s">
        <v>1368</v>
      </c>
      <c r="C120" t="s">
        <v>2663</v>
      </c>
      <c r="D120" t="s">
        <v>1203</v>
      </c>
      <c r="E120" t="s">
        <v>1204</v>
      </c>
      <c r="F120" t="s">
        <v>2665</v>
      </c>
      <c r="G120">
        <v>7378.5609999999997</v>
      </c>
      <c r="H120">
        <v>7254.2730000000001</v>
      </c>
      <c r="I120">
        <v>7257.2070000000003</v>
      </c>
      <c r="J120">
        <v>7251.768</v>
      </c>
      <c r="K120">
        <v>7272.4129999999996</v>
      </c>
      <c r="L120" t="s">
        <v>988</v>
      </c>
    </row>
    <row r="121" spans="1:12" x14ac:dyDescent="0.3">
      <c r="A121">
        <v>428</v>
      </c>
      <c r="B121" t="s">
        <v>1368</v>
      </c>
      <c r="C121" t="s">
        <v>2663</v>
      </c>
      <c r="D121" t="s">
        <v>1203</v>
      </c>
      <c r="E121" t="s">
        <v>1204</v>
      </c>
      <c r="F121" t="s">
        <v>2664</v>
      </c>
      <c r="G121">
        <v>7379</v>
      </c>
      <c r="H121">
        <v>7254</v>
      </c>
      <c r="I121">
        <v>7257</v>
      </c>
      <c r="J121">
        <v>7252</v>
      </c>
      <c r="K121">
        <v>7272</v>
      </c>
      <c r="L121" t="s">
        <v>988</v>
      </c>
    </row>
    <row r="122" spans="1:12" x14ac:dyDescent="0.3">
      <c r="A122">
        <v>429</v>
      </c>
      <c r="B122" t="s">
        <v>1369</v>
      </c>
      <c r="C122" t="s">
        <v>2663</v>
      </c>
      <c r="D122" t="s">
        <v>1203</v>
      </c>
      <c r="E122" t="s">
        <v>1204</v>
      </c>
      <c r="F122" t="s">
        <v>2665</v>
      </c>
      <c r="G122">
        <v>1526.7370000000001</v>
      </c>
      <c r="H122">
        <v>1616.7360000000001</v>
      </c>
      <c r="I122">
        <v>1615.1379999999999</v>
      </c>
      <c r="J122">
        <v>1875.6890000000001</v>
      </c>
      <c r="K122">
        <v>1880.8140000000001</v>
      </c>
      <c r="L122" t="s">
        <v>988</v>
      </c>
    </row>
    <row r="123" spans="1:12" x14ac:dyDescent="0.3">
      <c r="A123">
        <v>429</v>
      </c>
      <c r="B123" t="s">
        <v>1369</v>
      </c>
      <c r="C123" t="s">
        <v>2663</v>
      </c>
      <c r="D123" t="s">
        <v>1203</v>
      </c>
      <c r="E123" t="s">
        <v>1204</v>
      </c>
      <c r="F123" t="s">
        <v>2664</v>
      </c>
      <c r="G123">
        <v>1527</v>
      </c>
      <c r="H123">
        <v>1617</v>
      </c>
      <c r="I123">
        <v>1615</v>
      </c>
      <c r="J123">
        <v>1876</v>
      </c>
      <c r="K123">
        <v>1881</v>
      </c>
      <c r="L123" t="s">
        <v>988</v>
      </c>
    </row>
    <row r="124" spans="1:12" x14ac:dyDescent="0.3">
      <c r="A124">
        <v>443</v>
      </c>
      <c r="B124" t="s">
        <v>1370</v>
      </c>
      <c r="C124" t="s">
        <v>2663</v>
      </c>
      <c r="D124" t="s">
        <v>1203</v>
      </c>
      <c r="E124" t="s">
        <v>1204</v>
      </c>
      <c r="F124" t="s">
        <v>2665</v>
      </c>
      <c r="G124">
        <v>6670</v>
      </c>
      <c r="H124">
        <v>6536</v>
      </c>
      <c r="I124">
        <v>6664</v>
      </c>
      <c r="J124">
        <v>6724</v>
      </c>
      <c r="K124">
        <v>6786</v>
      </c>
      <c r="L124" t="s">
        <v>988</v>
      </c>
    </row>
    <row r="125" spans="1:12" x14ac:dyDescent="0.3">
      <c r="A125">
        <v>443</v>
      </c>
      <c r="B125" t="s">
        <v>1370</v>
      </c>
      <c r="C125" t="s">
        <v>2663</v>
      </c>
      <c r="D125" t="s">
        <v>1203</v>
      </c>
      <c r="E125" t="s">
        <v>1204</v>
      </c>
      <c r="F125" t="s">
        <v>2664</v>
      </c>
      <c r="G125">
        <v>6669</v>
      </c>
      <c r="H125">
        <v>6536</v>
      </c>
      <c r="I125">
        <v>6664</v>
      </c>
      <c r="J125">
        <v>6725</v>
      </c>
      <c r="K125">
        <v>6787</v>
      </c>
      <c r="L125" t="s">
        <v>988</v>
      </c>
    </row>
    <row r="126" spans="1:12" x14ac:dyDescent="0.3">
      <c r="A126">
        <v>445</v>
      </c>
      <c r="B126" t="s">
        <v>1371</v>
      </c>
      <c r="C126" t="s">
        <v>2663</v>
      </c>
      <c r="D126" t="s">
        <v>1203</v>
      </c>
      <c r="E126" t="s">
        <v>1204</v>
      </c>
      <c r="F126" t="s">
        <v>2665</v>
      </c>
      <c r="G126">
        <v>1055</v>
      </c>
      <c r="H126">
        <v>1083</v>
      </c>
      <c r="I126">
        <v>1123</v>
      </c>
      <c r="J126">
        <v>1163</v>
      </c>
      <c r="K126">
        <v>1173</v>
      </c>
      <c r="L126" t="s">
        <v>988</v>
      </c>
    </row>
    <row r="127" spans="1:12" x14ac:dyDescent="0.3">
      <c r="A127">
        <v>445</v>
      </c>
      <c r="B127" t="s">
        <v>1371</v>
      </c>
      <c r="C127" t="s">
        <v>2663</v>
      </c>
      <c r="D127" t="s">
        <v>1203</v>
      </c>
      <c r="E127" t="s">
        <v>1204</v>
      </c>
      <c r="F127" t="s">
        <v>2664</v>
      </c>
      <c r="G127">
        <v>746</v>
      </c>
      <c r="H127">
        <v>796</v>
      </c>
      <c r="I127">
        <v>846</v>
      </c>
      <c r="J127">
        <v>846</v>
      </c>
      <c r="K127">
        <v>846</v>
      </c>
      <c r="L127" t="s">
        <v>988</v>
      </c>
    </row>
    <row r="128" spans="1:12" x14ac:dyDescent="0.3">
      <c r="A128">
        <v>467</v>
      </c>
      <c r="B128" t="s">
        <v>1374</v>
      </c>
      <c r="C128" t="s">
        <v>2663</v>
      </c>
      <c r="D128" t="s">
        <v>1203</v>
      </c>
      <c r="E128" t="s">
        <v>1204</v>
      </c>
      <c r="F128" t="s">
        <v>2665</v>
      </c>
      <c r="G128">
        <v>17765</v>
      </c>
      <c r="H128">
        <v>17841</v>
      </c>
      <c r="I128">
        <v>18165</v>
      </c>
      <c r="J128">
        <v>18242</v>
      </c>
      <c r="K128">
        <v>0</v>
      </c>
      <c r="L128" t="s">
        <v>988</v>
      </c>
    </row>
    <row r="129" spans="1:12" x14ac:dyDescent="0.3">
      <c r="A129">
        <v>467</v>
      </c>
      <c r="B129" t="s">
        <v>1374</v>
      </c>
      <c r="C129" t="s">
        <v>2663</v>
      </c>
      <c r="D129" t="s">
        <v>1203</v>
      </c>
      <c r="E129" t="s">
        <v>1204</v>
      </c>
      <c r="F129" t="s">
        <v>2664</v>
      </c>
      <c r="G129">
        <v>26800</v>
      </c>
      <c r="H129">
        <v>26800</v>
      </c>
      <c r="I129">
        <v>26800</v>
      </c>
      <c r="J129">
        <v>26800</v>
      </c>
      <c r="K129">
        <v>0</v>
      </c>
      <c r="L129" t="s">
        <v>988</v>
      </c>
    </row>
    <row r="130" spans="1:12" x14ac:dyDescent="0.3">
      <c r="A130">
        <v>478</v>
      </c>
      <c r="B130" t="s">
        <v>1375</v>
      </c>
      <c r="C130" t="s">
        <v>2663</v>
      </c>
      <c r="D130" t="s">
        <v>159</v>
      </c>
      <c r="E130" t="s">
        <v>159</v>
      </c>
      <c r="F130" t="s">
        <v>2665</v>
      </c>
      <c r="G130">
        <v>20520</v>
      </c>
      <c r="H130">
        <v>20873</v>
      </c>
      <c r="I130">
        <v>21304</v>
      </c>
      <c r="J130">
        <v>21737</v>
      </c>
      <c r="K130">
        <v>22263</v>
      </c>
      <c r="L130" t="s">
        <v>988</v>
      </c>
    </row>
    <row r="131" spans="1:12" x14ac:dyDescent="0.3">
      <c r="A131">
        <v>478</v>
      </c>
      <c r="B131" t="s">
        <v>1375</v>
      </c>
      <c r="C131" t="s">
        <v>2663</v>
      </c>
      <c r="D131" t="s">
        <v>159</v>
      </c>
      <c r="E131" t="s">
        <v>159</v>
      </c>
      <c r="F131" t="s">
        <v>2664</v>
      </c>
      <c r="G131">
        <v>20520</v>
      </c>
      <c r="H131">
        <v>20873</v>
      </c>
      <c r="I131">
        <v>21304</v>
      </c>
      <c r="J131">
        <v>21737</v>
      </c>
      <c r="K131">
        <v>22263</v>
      </c>
      <c r="L131" t="s">
        <v>988</v>
      </c>
    </row>
    <row r="132" spans="1:12" x14ac:dyDescent="0.3">
      <c r="A132">
        <v>481</v>
      </c>
      <c r="B132" t="s">
        <v>1379</v>
      </c>
      <c r="C132" t="s">
        <v>2663</v>
      </c>
      <c r="D132" t="s">
        <v>1203</v>
      </c>
      <c r="E132" t="s">
        <v>1204</v>
      </c>
      <c r="F132" t="s">
        <v>2664</v>
      </c>
      <c r="G132">
        <v>43920</v>
      </c>
      <c r="H132">
        <v>43920</v>
      </c>
      <c r="I132">
        <v>43920</v>
      </c>
      <c r="J132">
        <v>43920</v>
      </c>
      <c r="K132">
        <v>43920</v>
      </c>
      <c r="L132" t="s">
        <v>988</v>
      </c>
    </row>
    <row r="133" spans="1:12" x14ac:dyDescent="0.3">
      <c r="A133">
        <v>481</v>
      </c>
      <c r="B133" t="s">
        <v>1379</v>
      </c>
      <c r="C133" t="s">
        <v>2663</v>
      </c>
      <c r="D133" t="s">
        <v>1203</v>
      </c>
      <c r="E133" t="s">
        <v>1204</v>
      </c>
      <c r="F133" t="s">
        <v>2665</v>
      </c>
      <c r="G133">
        <v>8860</v>
      </c>
      <c r="H133">
        <v>8950</v>
      </c>
      <c r="I133">
        <v>9070</v>
      </c>
      <c r="J133">
        <v>9160</v>
      </c>
      <c r="K133">
        <v>9280</v>
      </c>
      <c r="L133" t="s">
        <v>988</v>
      </c>
    </row>
    <row r="134" spans="1:12" x14ac:dyDescent="0.3">
      <c r="A134">
        <v>485</v>
      </c>
      <c r="B134" t="s">
        <v>1381</v>
      </c>
      <c r="C134" t="s">
        <v>2663</v>
      </c>
      <c r="D134" t="s">
        <v>1203</v>
      </c>
      <c r="E134" t="s">
        <v>1204</v>
      </c>
      <c r="F134" t="s">
        <v>2664</v>
      </c>
      <c r="G134">
        <v>4586</v>
      </c>
      <c r="H134">
        <v>5586</v>
      </c>
      <c r="I134">
        <v>5586</v>
      </c>
      <c r="J134">
        <v>5586</v>
      </c>
      <c r="K134">
        <v>5586</v>
      </c>
      <c r="L134" t="s">
        <v>988</v>
      </c>
    </row>
    <row r="135" spans="1:12" x14ac:dyDescent="0.3">
      <c r="A135">
        <v>485</v>
      </c>
      <c r="B135" t="s">
        <v>1381</v>
      </c>
      <c r="C135" t="s">
        <v>2663</v>
      </c>
      <c r="D135" t="s">
        <v>1203</v>
      </c>
      <c r="E135" t="s">
        <v>1204</v>
      </c>
      <c r="F135" t="s">
        <v>2665</v>
      </c>
      <c r="G135">
        <v>4111</v>
      </c>
      <c r="H135">
        <v>5170</v>
      </c>
      <c r="I135">
        <v>5381</v>
      </c>
      <c r="J135">
        <v>5452</v>
      </c>
      <c r="K135">
        <v>5530</v>
      </c>
      <c r="L135" t="s">
        <v>988</v>
      </c>
    </row>
    <row r="136" spans="1:12" x14ac:dyDescent="0.3">
      <c r="A136">
        <v>495</v>
      </c>
      <c r="B136" t="s">
        <v>1382</v>
      </c>
      <c r="C136" t="s">
        <v>2663</v>
      </c>
      <c r="D136" t="s">
        <v>1203</v>
      </c>
      <c r="E136" t="s">
        <v>1204</v>
      </c>
      <c r="F136" t="s">
        <v>2664</v>
      </c>
      <c r="G136">
        <v>11907</v>
      </c>
      <c r="H136">
        <v>11907</v>
      </c>
      <c r="I136">
        <v>11907</v>
      </c>
      <c r="J136">
        <v>11907</v>
      </c>
      <c r="K136">
        <v>0</v>
      </c>
      <c r="L136" t="s">
        <v>988</v>
      </c>
    </row>
    <row r="137" spans="1:12" x14ac:dyDescent="0.3">
      <c r="A137">
        <v>495</v>
      </c>
      <c r="B137" t="s">
        <v>1382</v>
      </c>
      <c r="C137" t="s">
        <v>2663</v>
      </c>
      <c r="D137" t="s">
        <v>1203</v>
      </c>
      <c r="E137" t="s">
        <v>1204</v>
      </c>
      <c r="F137" t="s">
        <v>2665</v>
      </c>
      <c r="G137">
        <v>10169</v>
      </c>
      <c r="H137">
        <v>10169</v>
      </c>
      <c r="I137">
        <v>10169</v>
      </c>
      <c r="J137">
        <v>10169</v>
      </c>
      <c r="K137">
        <v>0</v>
      </c>
      <c r="L137" t="s">
        <v>988</v>
      </c>
    </row>
    <row r="138" spans="1:12" x14ac:dyDescent="0.3">
      <c r="A138">
        <v>1050</v>
      </c>
      <c r="B138" t="s">
        <v>1385</v>
      </c>
      <c r="C138" t="s">
        <v>2663</v>
      </c>
      <c r="D138" t="s">
        <v>1203</v>
      </c>
      <c r="E138" t="s">
        <v>1204</v>
      </c>
      <c r="F138" t="s">
        <v>2664</v>
      </c>
      <c r="G138">
        <v>2761</v>
      </c>
      <c r="H138">
        <v>2761</v>
      </c>
      <c r="I138">
        <v>2761</v>
      </c>
      <c r="J138">
        <v>2761</v>
      </c>
      <c r="K138">
        <v>0</v>
      </c>
      <c r="L138" t="s">
        <v>988</v>
      </c>
    </row>
    <row r="139" spans="1:12" x14ac:dyDescent="0.3">
      <c r="A139">
        <v>1050</v>
      </c>
      <c r="B139" t="s">
        <v>1385</v>
      </c>
      <c r="C139" t="s">
        <v>2663</v>
      </c>
      <c r="D139" t="s">
        <v>1203</v>
      </c>
      <c r="E139" t="s">
        <v>1204</v>
      </c>
      <c r="F139" t="s">
        <v>2665</v>
      </c>
      <c r="G139">
        <v>1850</v>
      </c>
      <c r="H139">
        <v>1850</v>
      </c>
      <c r="I139">
        <v>1850</v>
      </c>
      <c r="J139">
        <v>1850</v>
      </c>
      <c r="K139">
        <v>0</v>
      </c>
      <c r="L139" t="s">
        <v>988</v>
      </c>
    </row>
    <row r="140" spans="1:12" x14ac:dyDescent="0.3">
      <c r="A140">
        <v>522</v>
      </c>
      <c r="B140" t="s">
        <v>1387</v>
      </c>
      <c r="C140" t="s">
        <v>2663</v>
      </c>
      <c r="D140" t="s">
        <v>1203</v>
      </c>
      <c r="E140" t="s">
        <v>1204</v>
      </c>
      <c r="F140" t="s">
        <v>2664</v>
      </c>
      <c r="G140">
        <v>25342.8758653</v>
      </c>
      <c r="H140">
        <v>25342.8758653</v>
      </c>
      <c r="I140">
        <v>25342.8758653</v>
      </c>
      <c r="J140">
        <v>25342.8758653</v>
      </c>
      <c r="K140">
        <v>0</v>
      </c>
      <c r="L140" t="s">
        <v>988</v>
      </c>
    </row>
    <row r="141" spans="1:12" x14ac:dyDescent="0.3">
      <c r="A141">
        <v>522</v>
      </c>
      <c r="B141" t="s">
        <v>1387</v>
      </c>
      <c r="C141" t="s">
        <v>2663</v>
      </c>
      <c r="D141" t="s">
        <v>1203</v>
      </c>
      <c r="E141" t="s">
        <v>1204</v>
      </c>
      <c r="F141" t="s">
        <v>2665</v>
      </c>
      <c r="G141">
        <v>9194.3879985999993</v>
      </c>
      <c r="H141">
        <v>10827.036334799999</v>
      </c>
      <c r="I141">
        <v>12742.0223532</v>
      </c>
      <c r="J141">
        <v>12742.0223532</v>
      </c>
      <c r="K141">
        <v>0</v>
      </c>
      <c r="L141" t="s">
        <v>988</v>
      </c>
    </row>
    <row r="142" spans="1:12" x14ac:dyDescent="0.3">
      <c r="A142">
        <v>524</v>
      </c>
      <c r="B142" t="s">
        <v>1388</v>
      </c>
      <c r="C142" t="s">
        <v>2663</v>
      </c>
      <c r="D142" t="s">
        <v>1203</v>
      </c>
      <c r="E142" t="s">
        <v>1204</v>
      </c>
      <c r="F142" t="s">
        <v>2664</v>
      </c>
      <c r="G142">
        <v>12357</v>
      </c>
      <c r="H142">
        <v>13039</v>
      </c>
      <c r="I142">
        <v>13351</v>
      </c>
      <c r="J142">
        <v>13564</v>
      </c>
      <c r="K142">
        <v>13776</v>
      </c>
      <c r="L142" t="s">
        <v>988</v>
      </c>
    </row>
    <row r="143" spans="1:12" x14ac:dyDescent="0.3">
      <c r="A143">
        <v>524</v>
      </c>
      <c r="B143" t="s">
        <v>1388</v>
      </c>
      <c r="C143" t="s">
        <v>2663</v>
      </c>
      <c r="D143" t="s">
        <v>1203</v>
      </c>
      <c r="E143" t="s">
        <v>1204</v>
      </c>
      <c r="F143" t="s">
        <v>2665</v>
      </c>
      <c r="G143">
        <v>12357</v>
      </c>
      <c r="H143">
        <v>13039</v>
      </c>
      <c r="I143">
        <v>13351</v>
      </c>
      <c r="J143">
        <v>13564</v>
      </c>
      <c r="K143">
        <v>13776</v>
      </c>
      <c r="L143" t="s">
        <v>988</v>
      </c>
    </row>
    <row r="144" spans="1:12" x14ac:dyDescent="0.3">
      <c r="A144">
        <v>545</v>
      </c>
      <c r="B144" t="s">
        <v>1390</v>
      </c>
      <c r="C144" t="s">
        <v>2663</v>
      </c>
      <c r="D144" t="s">
        <v>1203</v>
      </c>
      <c r="E144" t="s">
        <v>1204</v>
      </c>
      <c r="F144" t="s">
        <v>2665</v>
      </c>
      <c r="G144">
        <v>20843</v>
      </c>
      <c r="H144">
        <v>22310</v>
      </c>
      <c r="I144">
        <v>23087</v>
      </c>
      <c r="J144">
        <v>23964</v>
      </c>
      <c r="K144">
        <v>25108</v>
      </c>
      <c r="L144" t="s">
        <v>988</v>
      </c>
    </row>
    <row r="145" spans="1:12" x14ac:dyDescent="0.3">
      <c r="A145">
        <v>545</v>
      </c>
      <c r="B145" t="s">
        <v>1390</v>
      </c>
      <c r="C145" t="s">
        <v>2663</v>
      </c>
      <c r="D145" t="s">
        <v>1203</v>
      </c>
      <c r="E145" t="s">
        <v>1204</v>
      </c>
      <c r="F145" t="s">
        <v>2664</v>
      </c>
      <c r="G145">
        <v>20843</v>
      </c>
      <c r="H145">
        <v>22310</v>
      </c>
      <c r="I145">
        <v>23087</v>
      </c>
      <c r="J145">
        <v>23964</v>
      </c>
      <c r="K145">
        <v>25108</v>
      </c>
      <c r="L145" t="s">
        <v>988</v>
      </c>
    </row>
    <row r="146" spans="1:12" x14ac:dyDescent="0.3">
      <c r="A146">
        <v>547</v>
      </c>
      <c r="B146" t="s">
        <v>1391</v>
      </c>
      <c r="C146" t="s">
        <v>2663</v>
      </c>
      <c r="D146" t="s">
        <v>1203</v>
      </c>
      <c r="E146" t="s">
        <v>1204</v>
      </c>
      <c r="F146" t="s">
        <v>2664</v>
      </c>
      <c r="G146">
        <v>31684</v>
      </c>
      <c r="H146">
        <v>33684</v>
      </c>
      <c r="I146">
        <v>33684</v>
      </c>
      <c r="J146">
        <v>33684</v>
      </c>
      <c r="K146">
        <v>33684</v>
      </c>
      <c r="L146" t="s">
        <v>988</v>
      </c>
    </row>
    <row r="147" spans="1:12" x14ac:dyDescent="0.3">
      <c r="A147">
        <v>547</v>
      </c>
      <c r="B147" t="s">
        <v>1391</v>
      </c>
      <c r="C147" t="s">
        <v>2663</v>
      </c>
      <c r="D147" t="s">
        <v>1203</v>
      </c>
      <c r="E147" t="s">
        <v>1204</v>
      </c>
      <c r="F147" t="s">
        <v>2665</v>
      </c>
      <c r="G147">
        <v>17119.5</v>
      </c>
      <c r="H147">
        <v>17334</v>
      </c>
      <c r="I147">
        <v>17677.7</v>
      </c>
      <c r="J147">
        <v>17725.7</v>
      </c>
      <c r="K147">
        <v>17768.8</v>
      </c>
      <c r="L147" t="s">
        <v>988</v>
      </c>
    </row>
    <row r="148" spans="1:12" x14ac:dyDescent="0.3">
      <c r="A148">
        <v>2979</v>
      </c>
      <c r="B148" t="s">
        <v>1396</v>
      </c>
      <c r="C148" t="s">
        <v>2663</v>
      </c>
      <c r="D148" t="s">
        <v>1203</v>
      </c>
      <c r="E148" t="s">
        <v>1204</v>
      </c>
      <c r="F148" t="s">
        <v>2665</v>
      </c>
      <c r="G148">
        <v>3308.2611022999999</v>
      </c>
      <c r="H148">
        <v>4284.1674386000004</v>
      </c>
      <c r="I148">
        <v>5539.3425692500005</v>
      </c>
      <c r="J148">
        <v>7175.0597932999999</v>
      </c>
      <c r="K148">
        <v>9289.5235219499991</v>
      </c>
      <c r="L148" t="s">
        <v>988</v>
      </c>
    </row>
    <row r="149" spans="1:12" x14ac:dyDescent="0.3">
      <c r="A149">
        <v>2979</v>
      </c>
      <c r="B149" t="s">
        <v>1396</v>
      </c>
      <c r="C149" t="s">
        <v>2663</v>
      </c>
      <c r="D149" t="s">
        <v>1203</v>
      </c>
      <c r="E149" t="s">
        <v>1204</v>
      </c>
      <c r="F149" t="s">
        <v>2664</v>
      </c>
      <c r="G149">
        <v>10839.311886199999</v>
      </c>
      <c r="H149">
        <v>10839.311886199999</v>
      </c>
      <c r="I149">
        <v>10839.311886199999</v>
      </c>
      <c r="J149">
        <v>10839.311886199999</v>
      </c>
      <c r="K149">
        <v>10839.311886199999</v>
      </c>
      <c r="L149" t="s">
        <v>988</v>
      </c>
    </row>
    <row r="150" spans="1:12" x14ac:dyDescent="0.3">
      <c r="A150">
        <v>561</v>
      </c>
      <c r="B150" t="s">
        <v>1397</v>
      </c>
      <c r="C150" t="s">
        <v>2663</v>
      </c>
      <c r="D150" t="s">
        <v>159</v>
      </c>
      <c r="E150" t="s">
        <v>159</v>
      </c>
      <c r="F150" t="s">
        <v>2665</v>
      </c>
      <c r="G150">
        <v>11849</v>
      </c>
      <c r="H150">
        <v>12173</v>
      </c>
      <c r="I150">
        <v>12437</v>
      </c>
      <c r="J150">
        <v>12906</v>
      </c>
      <c r="K150">
        <v>13355.4</v>
      </c>
      <c r="L150" t="s">
        <v>988</v>
      </c>
    </row>
    <row r="151" spans="1:12" x14ac:dyDescent="0.3">
      <c r="A151">
        <v>561</v>
      </c>
      <c r="B151" t="s">
        <v>1397</v>
      </c>
      <c r="C151" t="s">
        <v>2663</v>
      </c>
      <c r="D151" t="s">
        <v>159</v>
      </c>
      <c r="E151" t="s">
        <v>159</v>
      </c>
      <c r="F151" t="s">
        <v>2664</v>
      </c>
      <c r="G151">
        <v>11849</v>
      </c>
      <c r="H151">
        <v>12173</v>
      </c>
      <c r="I151">
        <v>12437</v>
      </c>
      <c r="J151">
        <v>12906</v>
      </c>
      <c r="K151">
        <v>13355</v>
      </c>
      <c r="L151" t="s">
        <v>988</v>
      </c>
    </row>
    <row r="152" spans="1:12" x14ac:dyDescent="0.3">
      <c r="A152">
        <v>572</v>
      </c>
      <c r="B152" t="s">
        <v>1399</v>
      </c>
      <c r="C152" t="s">
        <v>2663</v>
      </c>
      <c r="D152" t="s">
        <v>159</v>
      </c>
      <c r="E152" t="s">
        <v>159</v>
      </c>
      <c r="F152" t="s">
        <v>2664</v>
      </c>
      <c r="G152">
        <v>1632.6483361999999</v>
      </c>
      <c r="H152">
        <v>1733.92163525</v>
      </c>
      <c r="I152">
        <v>1749.2660745000001</v>
      </c>
      <c r="J152">
        <v>1789.16161655</v>
      </c>
      <c r="K152">
        <v>0</v>
      </c>
      <c r="L152" t="s">
        <v>988</v>
      </c>
    </row>
    <row r="153" spans="1:12" x14ac:dyDescent="0.3">
      <c r="A153">
        <v>572</v>
      </c>
      <c r="B153" t="s">
        <v>1399</v>
      </c>
      <c r="C153" t="s">
        <v>2663</v>
      </c>
      <c r="D153" t="s">
        <v>159</v>
      </c>
      <c r="E153" t="s">
        <v>159</v>
      </c>
      <c r="F153" t="s">
        <v>2665</v>
      </c>
      <c r="G153">
        <v>1632.6483361999999</v>
      </c>
      <c r="H153">
        <v>1733.92163525</v>
      </c>
      <c r="I153">
        <v>1749.2660745000001</v>
      </c>
      <c r="J153">
        <v>1789.16161655</v>
      </c>
      <c r="K153">
        <v>0</v>
      </c>
      <c r="L153" t="s">
        <v>988</v>
      </c>
    </row>
    <row r="154" spans="1:12" x14ac:dyDescent="0.3">
      <c r="A154">
        <v>574</v>
      </c>
      <c r="B154" t="s">
        <v>1401</v>
      </c>
      <c r="C154" t="s">
        <v>2663</v>
      </c>
      <c r="D154" t="s">
        <v>1203</v>
      </c>
      <c r="E154" t="s">
        <v>1204</v>
      </c>
      <c r="F154" t="s">
        <v>2664</v>
      </c>
      <c r="G154">
        <v>50739</v>
      </c>
      <c r="H154">
        <v>58937</v>
      </c>
      <c r="I154">
        <v>65034</v>
      </c>
      <c r="J154">
        <v>74650</v>
      </c>
      <c r="K154">
        <v>0</v>
      </c>
      <c r="L154" t="s">
        <v>988</v>
      </c>
    </row>
    <row r="155" spans="1:12" x14ac:dyDescent="0.3">
      <c r="A155">
        <v>574</v>
      </c>
      <c r="B155" t="s">
        <v>1401</v>
      </c>
      <c r="C155" t="s">
        <v>2663</v>
      </c>
      <c r="D155" t="s">
        <v>1203</v>
      </c>
      <c r="E155" t="s">
        <v>1204</v>
      </c>
      <c r="F155" t="s">
        <v>2665</v>
      </c>
      <c r="G155">
        <v>39737</v>
      </c>
      <c r="H155">
        <v>42823</v>
      </c>
      <c r="I155">
        <v>46422</v>
      </c>
      <c r="J155">
        <v>52598</v>
      </c>
      <c r="K155">
        <v>0</v>
      </c>
      <c r="L155" t="s">
        <v>988</v>
      </c>
    </row>
    <row r="156" spans="1:12" x14ac:dyDescent="0.3">
      <c r="A156">
        <v>575</v>
      </c>
      <c r="B156" t="s">
        <v>1403</v>
      </c>
      <c r="C156" t="s">
        <v>2663</v>
      </c>
      <c r="D156" t="s">
        <v>1203</v>
      </c>
      <c r="E156" t="s">
        <v>1204</v>
      </c>
      <c r="F156" t="s">
        <v>2664</v>
      </c>
      <c r="G156">
        <v>10869</v>
      </c>
      <c r="H156">
        <v>12819</v>
      </c>
      <c r="I156">
        <v>14731</v>
      </c>
      <c r="J156">
        <v>16819</v>
      </c>
      <c r="K156">
        <v>18746</v>
      </c>
      <c r="L156" t="s">
        <v>988</v>
      </c>
    </row>
    <row r="157" spans="1:12" x14ac:dyDescent="0.3">
      <c r="A157">
        <v>575</v>
      </c>
      <c r="B157" t="s">
        <v>1403</v>
      </c>
      <c r="C157" t="s">
        <v>2663</v>
      </c>
      <c r="D157" t="s">
        <v>1203</v>
      </c>
      <c r="E157" t="s">
        <v>1204</v>
      </c>
      <c r="F157" t="s">
        <v>2665</v>
      </c>
      <c r="G157">
        <v>10869</v>
      </c>
      <c r="H157">
        <v>12819</v>
      </c>
      <c r="I157">
        <v>14731</v>
      </c>
      <c r="J157">
        <v>16819</v>
      </c>
      <c r="K157">
        <v>18746</v>
      </c>
      <c r="L157" t="s">
        <v>988</v>
      </c>
    </row>
    <row r="158" spans="1:12" x14ac:dyDescent="0.3">
      <c r="A158">
        <v>577</v>
      </c>
      <c r="B158" t="s">
        <v>821</v>
      </c>
      <c r="C158" t="s">
        <v>2663</v>
      </c>
      <c r="D158" t="s">
        <v>1203</v>
      </c>
      <c r="E158" t="s">
        <v>1204</v>
      </c>
      <c r="F158" t="s">
        <v>2665</v>
      </c>
      <c r="G158">
        <v>137061</v>
      </c>
      <c r="H158">
        <v>144982</v>
      </c>
      <c r="I158">
        <v>152729</v>
      </c>
      <c r="J158">
        <v>158982</v>
      </c>
      <c r="K158">
        <v>164966</v>
      </c>
      <c r="L158" t="s">
        <v>988</v>
      </c>
    </row>
    <row r="159" spans="1:12" x14ac:dyDescent="0.3">
      <c r="A159">
        <v>577</v>
      </c>
      <c r="B159" t="s">
        <v>821</v>
      </c>
      <c r="C159" t="s">
        <v>2663</v>
      </c>
      <c r="D159" t="s">
        <v>1203</v>
      </c>
      <c r="E159" t="s">
        <v>1204</v>
      </c>
      <c r="F159" t="s">
        <v>2664</v>
      </c>
      <c r="G159">
        <v>137061</v>
      </c>
      <c r="H159">
        <v>144982</v>
      </c>
      <c r="I159">
        <v>152729</v>
      </c>
      <c r="J159">
        <v>158982</v>
      </c>
      <c r="K159">
        <v>164966</v>
      </c>
      <c r="L159" t="s">
        <v>988</v>
      </c>
    </row>
    <row r="160" spans="1:12" x14ac:dyDescent="0.3">
      <c r="A160">
        <v>578</v>
      </c>
      <c r="B160" t="s">
        <v>896</v>
      </c>
      <c r="C160" t="s">
        <v>2663</v>
      </c>
      <c r="D160" t="s">
        <v>1203</v>
      </c>
      <c r="E160" t="s">
        <v>1204</v>
      </c>
      <c r="F160" t="s">
        <v>2664</v>
      </c>
      <c r="G160">
        <v>10001.50550315</v>
      </c>
      <c r="H160">
        <v>10001.50550315</v>
      </c>
      <c r="I160">
        <v>10001.50550315</v>
      </c>
      <c r="J160">
        <v>10001.50550315</v>
      </c>
      <c r="K160">
        <v>0</v>
      </c>
      <c r="L160" t="s">
        <v>988</v>
      </c>
    </row>
    <row r="161" spans="1:12" x14ac:dyDescent="0.3">
      <c r="A161">
        <v>578</v>
      </c>
      <c r="B161" t="s">
        <v>896</v>
      </c>
      <c r="C161" t="s">
        <v>2663</v>
      </c>
      <c r="D161" t="s">
        <v>1203</v>
      </c>
      <c r="E161" t="s">
        <v>1204</v>
      </c>
      <c r="F161" t="s">
        <v>2665</v>
      </c>
      <c r="G161">
        <v>4627.8828777999997</v>
      </c>
      <c r="H161">
        <v>5253.9359992</v>
      </c>
      <c r="I161">
        <v>5968.98686825</v>
      </c>
      <c r="J161">
        <v>6773.03548495</v>
      </c>
      <c r="K161">
        <v>0</v>
      </c>
      <c r="L161" t="s">
        <v>988</v>
      </c>
    </row>
    <row r="162" spans="1:12" x14ac:dyDescent="0.3">
      <c r="A162">
        <v>583</v>
      </c>
      <c r="B162" t="s">
        <v>1406</v>
      </c>
      <c r="C162" t="s">
        <v>2663</v>
      </c>
      <c r="D162" t="s">
        <v>159</v>
      </c>
      <c r="E162" t="s">
        <v>159</v>
      </c>
      <c r="F162" t="s">
        <v>2664</v>
      </c>
      <c r="G162">
        <v>2353.83698095</v>
      </c>
      <c r="H162">
        <v>2332.3547659999999</v>
      </c>
      <c r="I162">
        <v>2307.8036631999998</v>
      </c>
      <c r="J162">
        <v>2274.0458968500002</v>
      </c>
      <c r="K162">
        <v>2274.0458968500002</v>
      </c>
      <c r="L162" t="s">
        <v>988</v>
      </c>
    </row>
    <row r="163" spans="1:12" x14ac:dyDescent="0.3">
      <c r="A163">
        <v>583</v>
      </c>
      <c r="B163" t="s">
        <v>1406</v>
      </c>
      <c r="C163" t="s">
        <v>2663</v>
      </c>
      <c r="D163" t="s">
        <v>159</v>
      </c>
      <c r="E163" t="s">
        <v>159</v>
      </c>
      <c r="F163" t="s">
        <v>2665</v>
      </c>
      <c r="G163">
        <v>2163.5659342499998</v>
      </c>
      <c r="H163">
        <v>2132.8770557500002</v>
      </c>
      <c r="I163">
        <v>2117.5326165000001</v>
      </c>
      <c r="J163">
        <v>2050.0170837999999</v>
      </c>
      <c r="K163">
        <v>2037.7415324000001</v>
      </c>
      <c r="L163" t="s">
        <v>988</v>
      </c>
    </row>
    <row r="164" spans="1:12" x14ac:dyDescent="0.3">
      <c r="A164">
        <v>596</v>
      </c>
      <c r="B164" t="s">
        <v>1413</v>
      </c>
      <c r="C164" t="s">
        <v>2663</v>
      </c>
      <c r="D164" t="s">
        <v>1203</v>
      </c>
      <c r="E164" t="s">
        <v>1204</v>
      </c>
      <c r="F164" t="s">
        <v>2664</v>
      </c>
      <c r="G164">
        <v>11222</v>
      </c>
      <c r="H164">
        <v>11825</v>
      </c>
      <c r="I164">
        <v>12427</v>
      </c>
      <c r="J164">
        <v>12762</v>
      </c>
      <c r="K164">
        <v>13096</v>
      </c>
      <c r="L164" t="s">
        <v>988</v>
      </c>
    </row>
    <row r="165" spans="1:12" x14ac:dyDescent="0.3">
      <c r="A165">
        <v>596</v>
      </c>
      <c r="B165" t="s">
        <v>1413</v>
      </c>
      <c r="C165" t="s">
        <v>2663</v>
      </c>
      <c r="D165" t="s">
        <v>1203</v>
      </c>
      <c r="E165" t="s">
        <v>1204</v>
      </c>
      <c r="F165" t="s">
        <v>2665</v>
      </c>
      <c r="G165">
        <v>9759</v>
      </c>
      <c r="H165">
        <v>10283</v>
      </c>
      <c r="I165">
        <v>10805</v>
      </c>
      <c r="J165">
        <v>11097</v>
      </c>
      <c r="K165">
        <v>11387</v>
      </c>
      <c r="L165" t="s">
        <v>988</v>
      </c>
    </row>
    <row r="166" spans="1:12" x14ac:dyDescent="0.3">
      <c r="A166">
        <v>613</v>
      </c>
      <c r="B166" t="s">
        <v>804</v>
      </c>
      <c r="C166" t="s">
        <v>2663</v>
      </c>
      <c r="D166" t="s">
        <v>1203</v>
      </c>
      <c r="E166" t="s">
        <v>1204</v>
      </c>
      <c r="F166" t="s">
        <v>2665</v>
      </c>
      <c r="G166">
        <v>91600</v>
      </c>
      <c r="H166">
        <v>98600</v>
      </c>
      <c r="I166">
        <v>102400</v>
      </c>
      <c r="J166">
        <v>106100</v>
      </c>
      <c r="K166">
        <v>107700</v>
      </c>
      <c r="L166" t="s">
        <v>988</v>
      </c>
    </row>
    <row r="167" spans="1:12" x14ac:dyDescent="0.3">
      <c r="A167">
        <v>613</v>
      </c>
      <c r="B167" t="s">
        <v>804</v>
      </c>
      <c r="C167" t="s">
        <v>2663</v>
      </c>
      <c r="D167" t="s">
        <v>1203</v>
      </c>
      <c r="E167" t="s">
        <v>1204</v>
      </c>
      <c r="F167" t="s">
        <v>2664</v>
      </c>
      <c r="G167">
        <v>91600</v>
      </c>
      <c r="H167">
        <v>98600</v>
      </c>
      <c r="I167">
        <v>102400</v>
      </c>
      <c r="J167">
        <v>106100</v>
      </c>
      <c r="K167">
        <v>107700</v>
      </c>
      <c r="L167" t="s">
        <v>988</v>
      </c>
    </row>
    <row r="168" spans="1:12" x14ac:dyDescent="0.3">
      <c r="A168">
        <v>624</v>
      </c>
      <c r="B168" t="s">
        <v>1425</v>
      </c>
      <c r="C168" t="s">
        <v>2663</v>
      </c>
      <c r="D168" t="s">
        <v>1203</v>
      </c>
      <c r="E168" t="s">
        <v>1204</v>
      </c>
      <c r="F168" t="s">
        <v>2664</v>
      </c>
      <c r="G168">
        <v>46222</v>
      </c>
      <c r="H168">
        <v>46222</v>
      </c>
      <c r="I168">
        <v>46222</v>
      </c>
      <c r="J168">
        <v>46222</v>
      </c>
      <c r="K168">
        <v>46222</v>
      </c>
      <c r="L168" t="s">
        <v>988</v>
      </c>
    </row>
    <row r="169" spans="1:12" x14ac:dyDescent="0.3">
      <c r="A169">
        <v>624</v>
      </c>
      <c r="B169" t="s">
        <v>1425</v>
      </c>
      <c r="C169" t="s">
        <v>2663</v>
      </c>
      <c r="D169" t="s">
        <v>1203</v>
      </c>
      <c r="E169" t="s">
        <v>1204</v>
      </c>
      <c r="F169" t="s">
        <v>2665</v>
      </c>
      <c r="G169">
        <v>37555</v>
      </c>
      <c r="H169">
        <v>37768</v>
      </c>
      <c r="I169">
        <v>38017</v>
      </c>
      <c r="J169">
        <v>38216</v>
      </c>
      <c r="K169">
        <v>38351</v>
      </c>
      <c r="L169" t="s">
        <v>988</v>
      </c>
    </row>
    <row r="170" spans="1:12" x14ac:dyDescent="0.3">
      <c r="A170">
        <v>644</v>
      </c>
      <c r="B170" t="s">
        <v>1434</v>
      </c>
      <c r="C170" t="s">
        <v>2663</v>
      </c>
      <c r="D170" t="s">
        <v>159</v>
      </c>
      <c r="E170" t="s">
        <v>159</v>
      </c>
      <c r="F170" t="s">
        <v>2664</v>
      </c>
      <c r="G170">
        <v>5607</v>
      </c>
      <c r="H170">
        <v>5636</v>
      </c>
      <c r="I170">
        <v>5665</v>
      </c>
      <c r="J170">
        <v>5695</v>
      </c>
      <c r="K170">
        <v>5724</v>
      </c>
      <c r="L170" t="s">
        <v>988</v>
      </c>
    </row>
    <row r="171" spans="1:12" x14ac:dyDescent="0.3">
      <c r="A171">
        <v>644</v>
      </c>
      <c r="B171" t="s">
        <v>1434</v>
      </c>
      <c r="C171" t="s">
        <v>2663</v>
      </c>
      <c r="D171" t="s">
        <v>159</v>
      </c>
      <c r="E171" t="s">
        <v>159</v>
      </c>
      <c r="F171" t="s">
        <v>2665</v>
      </c>
      <c r="G171">
        <v>5607</v>
      </c>
      <c r="H171">
        <v>5636</v>
      </c>
      <c r="I171">
        <v>5665</v>
      </c>
      <c r="J171">
        <v>5695</v>
      </c>
      <c r="K171">
        <v>5724</v>
      </c>
      <c r="L171" t="s">
        <v>988</v>
      </c>
    </row>
    <row r="172" spans="1:12" x14ac:dyDescent="0.3">
      <c r="A172">
        <v>649</v>
      </c>
      <c r="B172" t="s">
        <v>1436</v>
      </c>
      <c r="C172" t="s">
        <v>2663</v>
      </c>
      <c r="D172" t="s">
        <v>159</v>
      </c>
      <c r="E172" t="s">
        <v>159</v>
      </c>
      <c r="F172" t="s">
        <v>2665</v>
      </c>
      <c r="G172">
        <v>2482.73027065</v>
      </c>
      <c r="H172">
        <v>2458.1791678499999</v>
      </c>
      <c r="I172">
        <v>2439.7658407499998</v>
      </c>
      <c r="J172">
        <v>2424.4214014999998</v>
      </c>
      <c r="K172">
        <v>2412.1458501000002</v>
      </c>
      <c r="L172" t="s">
        <v>988</v>
      </c>
    </row>
    <row r="173" spans="1:12" x14ac:dyDescent="0.3">
      <c r="A173">
        <v>649</v>
      </c>
      <c r="B173" t="s">
        <v>1436</v>
      </c>
      <c r="C173" t="s">
        <v>2663</v>
      </c>
      <c r="D173" t="s">
        <v>159</v>
      </c>
      <c r="E173" t="s">
        <v>159</v>
      </c>
      <c r="F173" t="s">
        <v>2664</v>
      </c>
      <c r="G173">
        <v>2482.73027065</v>
      </c>
      <c r="H173">
        <v>2458.1791678499999</v>
      </c>
      <c r="I173">
        <v>2439.7658407499998</v>
      </c>
      <c r="J173">
        <v>2424.4214014999998</v>
      </c>
      <c r="K173">
        <v>2412.1458501000002</v>
      </c>
      <c r="L173" t="s">
        <v>988</v>
      </c>
    </row>
    <row r="174" spans="1:12" x14ac:dyDescent="0.3">
      <c r="A174">
        <v>651</v>
      </c>
      <c r="B174" t="s">
        <v>1437</v>
      </c>
      <c r="C174" t="s">
        <v>2663</v>
      </c>
      <c r="D174" t="s">
        <v>1203</v>
      </c>
      <c r="E174" t="s">
        <v>1204</v>
      </c>
      <c r="F174" t="s">
        <v>2664</v>
      </c>
      <c r="G174">
        <v>5748</v>
      </c>
      <c r="H174">
        <v>5748</v>
      </c>
      <c r="I174">
        <v>5748</v>
      </c>
      <c r="J174">
        <v>5748</v>
      </c>
      <c r="K174">
        <v>5748</v>
      </c>
      <c r="L174" t="s">
        <v>988</v>
      </c>
    </row>
    <row r="175" spans="1:12" x14ac:dyDescent="0.3">
      <c r="A175">
        <v>651</v>
      </c>
      <c r="B175" t="s">
        <v>1437</v>
      </c>
      <c r="C175" t="s">
        <v>2663</v>
      </c>
      <c r="D175" t="s">
        <v>1203</v>
      </c>
      <c r="E175" t="s">
        <v>1204</v>
      </c>
      <c r="F175" t="s">
        <v>2665</v>
      </c>
      <c r="G175">
        <v>3978.74</v>
      </c>
      <c r="H175">
        <v>4041.48</v>
      </c>
      <c r="I175">
        <v>4105.21</v>
      </c>
      <c r="J175">
        <v>4169.9399999999996</v>
      </c>
      <c r="K175">
        <v>4235.6899999999996</v>
      </c>
      <c r="L175" t="s">
        <v>988</v>
      </c>
    </row>
    <row r="176" spans="1:12" x14ac:dyDescent="0.3">
      <c r="A176">
        <v>654</v>
      </c>
      <c r="B176" t="s">
        <v>1439</v>
      </c>
      <c r="C176" t="s">
        <v>2663</v>
      </c>
      <c r="D176" t="s">
        <v>159</v>
      </c>
      <c r="E176" t="s">
        <v>159</v>
      </c>
      <c r="F176" t="s">
        <v>2664</v>
      </c>
      <c r="G176">
        <v>1543.94856095451</v>
      </c>
      <c r="H176">
        <v>1570.46371219967</v>
      </c>
      <c r="I176">
        <v>1596.97886344483</v>
      </c>
      <c r="J176">
        <v>1623.4940146899901</v>
      </c>
      <c r="K176">
        <v>0</v>
      </c>
      <c r="L176" t="s">
        <v>988</v>
      </c>
    </row>
    <row r="177" spans="1:12" x14ac:dyDescent="0.3">
      <c r="A177">
        <v>654</v>
      </c>
      <c r="B177" t="s">
        <v>1439</v>
      </c>
      <c r="C177" t="s">
        <v>2663</v>
      </c>
      <c r="D177" t="s">
        <v>159</v>
      </c>
      <c r="E177" t="s">
        <v>159</v>
      </c>
      <c r="F177" t="s">
        <v>2665</v>
      </c>
      <c r="G177">
        <v>745.56473070025595</v>
      </c>
      <c r="H177">
        <v>781.37740251189996</v>
      </c>
      <c r="I177">
        <v>819.01284749139302</v>
      </c>
      <c r="J177">
        <v>858.56978005462702</v>
      </c>
      <c r="K177">
        <v>0</v>
      </c>
      <c r="L177" t="s">
        <v>988</v>
      </c>
    </row>
    <row r="178" spans="1:12" x14ac:dyDescent="0.3">
      <c r="A178">
        <v>664</v>
      </c>
      <c r="B178" t="s">
        <v>1441</v>
      </c>
      <c r="C178" t="s">
        <v>2663</v>
      </c>
      <c r="D178" t="s">
        <v>1203</v>
      </c>
      <c r="E178" t="s">
        <v>1204</v>
      </c>
      <c r="F178" t="s">
        <v>2664</v>
      </c>
      <c r="G178">
        <v>57369</v>
      </c>
      <c r="H178">
        <v>62092</v>
      </c>
      <c r="I178">
        <v>63650</v>
      </c>
      <c r="J178">
        <v>64949</v>
      </c>
      <c r="K178">
        <v>64949</v>
      </c>
      <c r="L178" t="s">
        <v>988</v>
      </c>
    </row>
    <row r="179" spans="1:12" x14ac:dyDescent="0.3">
      <c r="A179">
        <v>664</v>
      </c>
      <c r="B179" t="s">
        <v>1441</v>
      </c>
      <c r="C179" t="s">
        <v>2663</v>
      </c>
      <c r="D179" t="s">
        <v>1203</v>
      </c>
      <c r="E179" t="s">
        <v>1204</v>
      </c>
      <c r="F179" t="s">
        <v>2665</v>
      </c>
      <c r="G179">
        <v>53369</v>
      </c>
      <c r="H179">
        <v>58092</v>
      </c>
      <c r="I179">
        <v>59650</v>
      </c>
      <c r="J179">
        <v>60949</v>
      </c>
      <c r="K179">
        <v>60949</v>
      </c>
      <c r="L179" t="s">
        <v>988</v>
      </c>
    </row>
    <row r="180" spans="1:12" x14ac:dyDescent="0.3">
      <c r="A180">
        <v>673</v>
      </c>
      <c r="B180" t="s">
        <v>1442</v>
      </c>
      <c r="C180" t="s">
        <v>2663</v>
      </c>
      <c r="D180" t="s">
        <v>159</v>
      </c>
      <c r="E180" t="s">
        <v>159</v>
      </c>
      <c r="F180" t="s">
        <v>2665</v>
      </c>
      <c r="G180">
        <v>8236.8949893999998</v>
      </c>
      <c r="H180">
        <v>8135.6216903499999</v>
      </c>
      <c r="I180">
        <v>8117.2083632499998</v>
      </c>
      <c r="J180">
        <v>8150.9661296000004</v>
      </c>
      <c r="K180">
        <v>8193.9305595000005</v>
      </c>
      <c r="L180" t="s">
        <v>988</v>
      </c>
    </row>
    <row r="181" spans="1:12" x14ac:dyDescent="0.3">
      <c r="A181">
        <v>673</v>
      </c>
      <c r="B181" t="s">
        <v>1442</v>
      </c>
      <c r="C181" t="s">
        <v>2663</v>
      </c>
      <c r="D181" t="s">
        <v>159</v>
      </c>
      <c r="E181" t="s">
        <v>159</v>
      </c>
      <c r="F181" t="s">
        <v>2664</v>
      </c>
      <c r="G181">
        <v>11747.7026898</v>
      </c>
      <c r="H181">
        <v>11747.7026898</v>
      </c>
      <c r="I181">
        <v>15553.1236238</v>
      </c>
      <c r="J181">
        <v>15553.1236238</v>
      </c>
      <c r="K181">
        <v>15553.1236238</v>
      </c>
      <c r="L181" t="s">
        <v>988</v>
      </c>
    </row>
    <row r="182" spans="1:12" x14ac:dyDescent="0.3">
      <c r="A182">
        <v>678</v>
      </c>
      <c r="B182" t="s">
        <v>1445</v>
      </c>
      <c r="C182" t="s">
        <v>2663</v>
      </c>
      <c r="D182" t="s">
        <v>159</v>
      </c>
      <c r="E182" t="s">
        <v>159</v>
      </c>
      <c r="F182" t="s">
        <v>2665</v>
      </c>
      <c r="G182">
        <v>10912</v>
      </c>
      <c r="H182">
        <v>11470</v>
      </c>
      <c r="I182">
        <v>12056</v>
      </c>
      <c r="J182">
        <v>12672</v>
      </c>
      <c r="K182">
        <v>13318</v>
      </c>
      <c r="L182" t="s">
        <v>988</v>
      </c>
    </row>
    <row r="183" spans="1:12" x14ac:dyDescent="0.3">
      <c r="A183">
        <v>678</v>
      </c>
      <c r="B183" t="s">
        <v>1445</v>
      </c>
      <c r="C183" t="s">
        <v>2663</v>
      </c>
      <c r="D183" t="s">
        <v>159</v>
      </c>
      <c r="E183" t="s">
        <v>159</v>
      </c>
      <c r="F183" t="s">
        <v>2664</v>
      </c>
      <c r="G183">
        <v>23725</v>
      </c>
      <c r="H183">
        <v>23725</v>
      </c>
      <c r="I183">
        <v>23725</v>
      </c>
      <c r="J183">
        <v>23725</v>
      </c>
      <c r="K183">
        <v>23725</v>
      </c>
      <c r="L183" t="s">
        <v>988</v>
      </c>
    </row>
    <row r="184" spans="1:12" x14ac:dyDescent="0.3">
      <c r="A184">
        <v>699</v>
      </c>
      <c r="B184" t="s">
        <v>1449</v>
      </c>
      <c r="C184" t="s">
        <v>2663</v>
      </c>
      <c r="D184" t="s">
        <v>159</v>
      </c>
      <c r="E184" t="s">
        <v>159</v>
      </c>
      <c r="F184" t="s">
        <v>2664</v>
      </c>
      <c r="G184">
        <v>1120.30531457957</v>
      </c>
      <c r="H184">
        <v>1193.59732485256</v>
      </c>
      <c r="I184">
        <v>1266.8893351255399</v>
      </c>
      <c r="J184">
        <v>1340.17904971443</v>
      </c>
      <c r="K184">
        <v>1413.4710599874199</v>
      </c>
      <c r="L184" t="s">
        <v>988</v>
      </c>
    </row>
    <row r="185" spans="1:12" x14ac:dyDescent="0.3">
      <c r="A185">
        <v>699</v>
      </c>
      <c r="B185" t="s">
        <v>1449</v>
      </c>
      <c r="C185" t="s">
        <v>2663</v>
      </c>
      <c r="D185" t="s">
        <v>159</v>
      </c>
      <c r="E185" t="s">
        <v>159</v>
      </c>
      <c r="F185" t="s">
        <v>2665</v>
      </c>
      <c r="G185">
        <v>1005.79659214593</v>
      </c>
      <c r="H185">
        <v>1185.9802450403099</v>
      </c>
      <c r="I185">
        <v>1294.1184441228399</v>
      </c>
      <c r="J185">
        <v>1325.6749176307201</v>
      </c>
      <c r="K185">
        <v>1358.0279935179899</v>
      </c>
      <c r="L185" t="s">
        <v>988</v>
      </c>
    </row>
    <row r="186" spans="1:12" x14ac:dyDescent="0.3">
      <c r="A186">
        <v>711</v>
      </c>
      <c r="B186" t="s">
        <v>1453</v>
      </c>
      <c r="C186" t="s">
        <v>2663</v>
      </c>
      <c r="D186" t="s">
        <v>1203</v>
      </c>
      <c r="E186" t="s">
        <v>1204</v>
      </c>
      <c r="F186" t="s">
        <v>2664</v>
      </c>
      <c r="G186">
        <v>13655</v>
      </c>
      <c r="H186">
        <v>14403</v>
      </c>
      <c r="I186">
        <v>15207</v>
      </c>
      <c r="J186">
        <v>16070</v>
      </c>
      <c r="K186">
        <v>16997</v>
      </c>
      <c r="L186" t="s">
        <v>988</v>
      </c>
    </row>
    <row r="187" spans="1:12" x14ac:dyDescent="0.3">
      <c r="A187">
        <v>711</v>
      </c>
      <c r="B187" t="s">
        <v>1453</v>
      </c>
      <c r="C187" t="s">
        <v>2663</v>
      </c>
      <c r="D187" t="s">
        <v>1203</v>
      </c>
      <c r="E187" t="s">
        <v>1204</v>
      </c>
      <c r="F187" t="s">
        <v>2665</v>
      </c>
      <c r="G187">
        <v>13655</v>
      </c>
      <c r="H187">
        <v>14403</v>
      </c>
      <c r="I187">
        <v>15207</v>
      </c>
      <c r="J187">
        <v>16070</v>
      </c>
      <c r="K187">
        <v>16997</v>
      </c>
      <c r="L187" t="s">
        <v>988</v>
      </c>
    </row>
    <row r="188" spans="1:12" x14ac:dyDescent="0.3">
      <c r="A188">
        <v>727</v>
      </c>
      <c r="B188" t="s">
        <v>825</v>
      </c>
      <c r="C188" t="s">
        <v>2663</v>
      </c>
      <c r="D188" t="s">
        <v>1203</v>
      </c>
      <c r="E188" t="s">
        <v>1204</v>
      </c>
      <c r="F188" t="s">
        <v>2665</v>
      </c>
      <c r="G188">
        <v>39641</v>
      </c>
      <c r="H188">
        <v>41175</v>
      </c>
      <c r="I188">
        <v>42677</v>
      </c>
      <c r="J188">
        <v>43907</v>
      </c>
      <c r="K188">
        <v>44978</v>
      </c>
      <c r="L188" t="s">
        <v>988</v>
      </c>
    </row>
    <row r="189" spans="1:12" x14ac:dyDescent="0.3">
      <c r="A189">
        <v>727</v>
      </c>
      <c r="B189" t="s">
        <v>825</v>
      </c>
      <c r="C189" t="s">
        <v>2663</v>
      </c>
      <c r="D189" t="s">
        <v>1203</v>
      </c>
      <c r="E189" t="s">
        <v>1204</v>
      </c>
      <c r="F189" t="s">
        <v>2664</v>
      </c>
      <c r="G189">
        <v>39641</v>
      </c>
      <c r="H189">
        <v>41175</v>
      </c>
      <c r="I189">
        <v>42677</v>
      </c>
      <c r="J189">
        <v>43907</v>
      </c>
      <c r="K189">
        <v>44978</v>
      </c>
      <c r="L189" t="s">
        <v>988</v>
      </c>
    </row>
    <row r="190" spans="1:12" x14ac:dyDescent="0.3">
      <c r="A190">
        <v>731</v>
      </c>
      <c r="B190" t="s">
        <v>1458</v>
      </c>
      <c r="C190" t="s">
        <v>2663</v>
      </c>
      <c r="D190" t="s">
        <v>1203</v>
      </c>
      <c r="E190" t="s">
        <v>1204</v>
      </c>
      <c r="F190" t="s">
        <v>2664</v>
      </c>
      <c r="G190">
        <v>11471.5027833</v>
      </c>
      <c r="H190">
        <v>12616.197951349999</v>
      </c>
      <c r="I190">
        <v>13757.824231549999</v>
      </c>
      <c r="J190">
        <v>16556.649950750001</v>
      </c>
      <c r="K190">
        <v>0</v>
      </c>
      <c r="L190" t="s">
        <v>988</v>
      </c>
    </row>
    <row r="191" spans="1:12" x14ac:dyDescent="0.3">
      <c r="A191">
        <v>731</v>
      </c>
      <c r="B191" t="s">
        <v>1458</v>
      </c>
      <c r="C191" t="s">
        <v>2663</v>
      </c>
      <c r="D191" t="s">
        <v>1203</v>
      </c>
      <c r="E191" t="s">
        <v>1204</v>
      </c>
      <c r="F191" t="s">
        <v>2665</v>
      </c>
      <c r="G191">
        <v>7917.7306529999996</v>
      </c>
      <c r="H191">
        <v>10007.643278850001</v>
      </c>
      <c r="I191">
        <v>12030.040371999999</v>
      </c>
      <c r="J191">
        <v>14055.506353000001</v>
      </c>
      <c r="K191">
        <v>0</v>
      </c>
      <c r="L191" t="s">
        <v>988</v>
      </c>
    </row>
    <row r="192" spans="1:12" x14ac:dyDescent="0.3">
      <c r="A192">
        <v>737</v>
      </c>
      <c r="B192" t="s">
        <v>1460</v>
      </c>
      <c r="C192" t="s">
        <v>2663</v>
      </c>
      <c r="D192" t="s">
        <v>1203</v>
      </c>
      <c r="E192" t="s">
        <v>1204</v>
      </c>
      <c r="F192" t="s">
        <v>2665</v>
      </c>
      <c r="G192">
        <v>5662.0980832499999</v>
      </c>
      <c r="H192">
        <v>6202.2223448499999</v>
      </c>
      <c r="I192">
        <v>6797.58658775</v>
      </c>
      <c r="J192">
        <v>7448.1908119500004</v>
      </c>
      <c r="K192">
        <v>0</v>
      </c>
      <c r="L192" t="s">
        <v>988</v>
      </c>
    </row>
    <row r="193" spans="1:12" x14ac:dyDescent="0.3">
      <c r="A193">
        <v>737</v>
      </c>
      <c r="B193" t="s">
        <v>1460</v>
      </c>
      <c r="C193" t="s">
        <v>2663</v>
      </c>
      <c r="D193" t="s">
        <v>1203</v>
      </c>
      <c r="E193" t="s">
        <v>1204</v>
      </c>
      <c r="F193" t="s">
        <v>2664</v>
      </c>
      <c r="G193">
        <v>5662.0980832499999</v>
      </c>
      <c r="H193">
        <v>6202.2223448499999</v>
      </c>
      <c r="I193">
        <v>6797.58658775</v>
      </c>
      <c r="J193">
        <v>7448.1908119500004</v>
      </c>
      <c r="K193">
        <v>0</v>
      </c>
      <c r="L193" t="s">
        <v>988</v>
      </c>
    </row>
    <row r="194" spans="1:12" x14ac:dyDescent="0.3">
      <c r="A194">
        <v>739</v>
      </c>
      <c r="B194" t="s">
        <v>1463</v>
      </c>
      <c r="C194" t="s">
        <v>2663</v>
      </c>
      <c r="D194" t="s">
        <v>159</v>
      </c>
      <c r="E194" t="s">
        <v>159</v>
      </c>
      <c r="F194" t="s">
        <v>2664</v>
      </c>
      <c r="G194">
        <v>7672.2196249999997</v>
      </c>
      <c r="H194">
        <v>7672.2196249999997</v>
      </c>
      <c r="I194">
        <v>7672.2196249999997</v>
      </c>
      <c r="J194">
        <v>7672.2196249999997</v>
      </c>
      <c r="K194">
        <v>7672.2196249999997</v>
      </c>
      <c r="L194" t="s">
        <v>988</v>
      </c>
    </row>
    <row r="195" spans="1:12" x14ac:dyDescent="0.3">
      <c r="A195">
        <v>739</v>
      </c>
      <c r="B195" t="s">
        <v>1463</v>
      </c>
      <c r="C195" t="s">
        <v>2663</v>
      </c>
      <c r="D195" t="s">
        <v>159</v>
      </c>
      <c r="E195" t="s">
        <v>159</v>
      </c>
      <c r="F195" t="s">
        <v>2665</v>
      </c>
      <c r="G195">
        <v>4367.0274105500002</v>
      </c>
      <c r="H195">
        <v>5048.3205132499997</v>
      </c>
      <c r="I195">
        <v>5748.0269430500002</v>
      </c>
      <c r="J195">
        <v>6628.7977559999999</v>
      </c>
      <c r="K195">
        <v>7644.5996343500001</v>
      </c>
      <c r="L195" t="s">
        <v>988</v>
      </c>
    </row>
    <row r="196" spans="1:12" x14ac:dyDescent="0.3">
      <c r="A196">
        <v>759</v>
      </c>
      <c r="B196" t="s">
        <v>1467</v>
      </c>
      <c r="C196" t="s">
        <v>2663</v>
      </c>
      <c r="D196" t="s">
        <v>159</v>
      </c>
      <c r="E196" t="s">
        <v>159</v>
      </c>
      <c r="F196" t="s">
        <v>2665</v>
      </c>
      <c r="G196">
        <v>15036</v>
      </c>
      <c r="H196">
        <v>16405</v>
      </c>
      <c r="I196">
        <v>16849</v>
      </c>
      <c r="J196">
        <v>16864</v>
      </c>
      <c r="K196">
        <v>17078</v>
      </c>
      <c r="L196" t="s">
        <v>988</v>
      </c>
    </row>
    <row r="197" spans="1:12" x14ac:dyDescent="0.3">
      <c r="A197">
        <v>759</v>
      </c>
      <c r="B197" t="s">
        <v>1467</v>
      </c>
      <c r="C197" t="s">
        <v>2663</v>
      </c>
      <c r="D197" t="s">
        <v>159</v>
      </c>
      <c r="E197" t="s">
        <v>159</v>
      </c>
      <c r="F197" t="s">
        <v>2664</v>
      </c>
      <c r="G197">
        <v>15037</v>
      </c>
      <c r="H197">
        <v>16407</v>
      </c>
      <c r="I197">
        <v>16851</v>
      </c>
      <c r="J197">
        <v>16864</v>
      </c>
      <c r="K197">
        <v>17078</v>
      </c>
      <c r="L197" t="s">
        <v>988</v>
      </c>
    </row>
    <row r="198" spans="1:12" x14ac:dyDescent="0.3">
      <c r="A198">
        <v>775</v>
      </c>
      <c r="B198" t="s">
        <v>924</v>
      </c>
      <c r="C198" t="s">
        <v>2663</v>
      </c>
      <c r="D198" t="s">
        <v>1203</v>
      </c>
      <c r="E198" t="s">
        <v>1204</v>
      </c>
      <c r="F198" t="s">
        <v>2664</v>
      </c>
      <c r="G198">
        <v>215067.66052800001</v>
      </c>
      <c r="H198">
        <v>219548.23678899999</v>
      </c>
      <c r="I198">
        <v>227386.1763579</v>
      </c>
      <c r="J198">
        <v>239710.8299635</v>
      </c>
      <c r="K198">
        <v>248671.98248549999</v>
      </c>
      <c r="L198" t="s">
        <v>988</v>
      </c>
    </row>
    <row r="199" spans="1:12" x14ac:dyDescent="0.3">
      <c r="A199">
        <v>775</v>
      </c>
      <c r="B199" t="s">
        <v>924</v>
      </c>
      <c r="C199" t="s">
        <v>2663</v>
      </c>
      <c r="D199" t="s">
        <v>1203</v>
      </c>
      <c r="E199" t="s">
        <v>1204</v>
      </c>
      <c r="F199" t="s">
        <v>2665</v>
      </c>
      <c r="G199">
        <v>218971.28587319999</v>
      </c>
      <c r="H199">
        <v>226971.87649815</v>
      </c>
      <c r="I199">
        <v>235113.63596419999</v>
      </c>
      <c r="J199">
        <v>247257.22518665</v>
      </c>
      <c r="K199">
        <v>256218.37770864999</v>
      </c>
      <c r="L199" t="s">
        <v>988</v>
      </c>
    </row>
    <row r="200" spans="1:12" x14ac:dyDescent="0.3">
      <c r="A200">
        <v>784</v>
      </c>
      <c r="B200" t="s">
        <v>1475</v>
      </c>
      <c r="C200" t="s">
        <v>2663</v>
      </c>
      <c r="D200" t="s">
        <v>159</v>
      </c>
      <c r="E200" t="s">
        <v>159</v>
      </c>
      <c r="F200" t="s">
        <v>2665</v>
      </c>
      <c r="G200">
        <v>8402</v>
      </c>
      <c r="H200">
        <v>9186</v>
      </c>
      <c r="I200">
        <v>10044</v>
      </c>
      <c r="J200">
        <v>10980</v>
      </c>
      <c r="K200">
        <v>12005</v>
      </c>
      <c r="L200" t="s">
        <v>988</v>
      </c>
    </row>
    <row r="201" spans="1:12" x14ac:dyDescent="0.3">
      <c r="A201">
        <v>784</v>
      </c>
      <c r="B201" t="s">
        <v>1475</v>
      </c>
      <c r="C201" t="s">
        <v>2663</v>
      </c>
      <c r="D201" t="s">
        <v>159</v>
      </c>
      <c r="E201" t="s">
        <v>159</v>
      </c>
      <c r="F201" t="s">
        <v>2664</v>
      </c>
      <c r="G201">
        <v>16806</v>
      </c>
      <c r="H201">
        <v>16806</v>
      </c>
      <c r="I201">
        <v>16806</v>
      </c>
      <c r="J201">
        <v>16806</v>
      </c>
      <c r="K201">
        <v>16806</v>
      </c>
      <c r="L201" t="s">
        <v>988</v>
      </c>
    </row>
    <row r="202" spans="1:12" x14ac:dyDescent="0.3">
      <c r="A202">
        <v>785</v>
      </c>
      <c r="B202" t="s">
        <v>1476</v>
      </c>
      <c r="C202" t="s">
        <v>2663</v>
      </c>
      <c r="D202" t="s">
        <v>1203</v>
      </c>
      <c r="E202" t="s">
        <v>1204</v>
      </c>
      <c r="F202" t="s">
        <v>2664</v>
      </c>
      <c r="G202">
        <v>850</v>
      </c>
      <c r="H202">
        <v>900</v>
      </c>
      <c r="I202">
        <v>950</v>
      </c>
      <c r="J202">
        <v>1000</v>
      </c>
      <c r="K202">
        <v>1050</v>
      </c>
      <c r="L202" t="s">
        <v>988</v>
      </c>
    </row>
    <row r="203" spans="1:12" x14ac:dyDescent="0.3">
      <c r="A203">
        <v>785</v>
      </c>
      <c r="B203" t="s">
        <v>1476</v>
      </c>
      <c r="C203" t="s">
        <v>2663</v>
      </c>
      <c r="D203" t="s">
        <v>1203</v>
      </c>
      <c r="E203" t="s">
        <v>1204</v>
      </c>
      <c r="F203" t="s">
        <v>2665</v>
      </c>
      <c r="G203">
        <v>850</v>
      </c>
      <c r="H203">
        <v>900</v>
      </c>
      <c r="I203">
        <v>950</v>
      </c>
      <c r="J203">
        <v>999.8</v>
      </c>
      <c r="K203">
        <v>1050</v>
      </c>
      <c r="L203" t="s">
        <v>988</v>
      </c>
    </row>
    <row r="204" spans="1:12" x14ac:dyDescent="0.3">
      <c r="A204">
        <v>787</v>
      </c>
      <c r="B204" t="s">
        <v>1478</v>
      </c>
      <c r="C204" t="s">
        <v>2663</v>
      </c>
      <c r="D204" t="s">
        <v>1203</v>
      </c>
      <c r="E204" t="s">
        <v>1204</v>
      </c>
      <c r="F204" t="s">
        <v>2665</v>
      </c>
      <c r="G204">
        <v>2123.92234789248</v>
      </c>
      <c r="H204">
        <v>2212.91917487613</v>
      </c>
      <c r="I204">
        <v>2389.2194165277901</v>
      </c>
      <c r="J204">
        <v>2843.8963268314601</v>
      </c>
      <c r="K204">
        <v>3306.87918210115</v>
      </c>
      <c r="L204" t="s">
        <v>988</v>
      </c>
    </row>
    <row r="205" spans="1:12" x14ac:dyDescent="0.3">
      <c r="A205">
        <v>787</v>
      </c>
      <c r="B205" t="s">
        <v>1478</v>
      </c>
      <c r="C205" t="s">
        <v>2663</v>
      </c>
      <c r="D205" t="s">
        <v>1203</v>
      </c>
      <c r="E205" t="s">
        <v>1204</v>
      </c>
      <c r="F205" t="s">
        <v>2664</v>
      </c>
      <c r="G205">
        <v>3899.1815955932002</v>
      </c>
      <c r="H205">
        <v>3899.1815955932002</v>
      </c>
      <c r="I205">
        <v>3899.1815955932002</v>
      </c>
      <c r="J205">
        <v>3899.1815955932002</v>
      </c>
      <c r="K205">
        <v>3899.1815955932002</v>
      </c>
      <c r="L205" t="s">
        <v>988</v>
      </c>
    </row>
    <row r="206" spans="1:12" x14ac:dyDescent="0.3">
      <c r="A206">
        <v>793</v>
      </c>
      <c r="B206" t="s">
        <v>1479</v>
      </c>
      <c r="C206" t="s">
        <v>2663</v>
      </c>
      <c r="D206" t="s">
        <v>1203</v>
      </c>
      <c r="E206" t="s">
        <v>1204</v>
      </c>
      <c r="F206" t="s">
        <v>2665</v>
      </c>
      <c r="G206">
        <v>19700</v>
      </c>
      <c r="H206">
        <v>20370</v>
      </c>
      <c r="I206">
        <v>21039</v>
      </c>
      <c r="J206">
        <v>21661</v>
      </c>
      <c r="K206">
        <v>22283</v>
      </c>
      <c r="L206" t="s">
        <v>988</v>
      </c>
    </row>
    <row r="207" spans="1:12" x14ac:dyDescent="0.3">
      <c r="A207">
        <v>793</v>
      </c>
      <c r="B207" t="s">
        <v>1479</v>
      </c>
      <c r="C207" t="s">
        <v>2663</v>
      </c>
      <c r="D207" t="s">
        <v>1203</v>
      </c>
      <c r="E207" t="s">
        <v>1204</v>
      </c>
      <c r="F207" t="s">
        <v>2664</v>
      </c>
      <c r="G207">
        <v>22657</v>
      </c>
      <c r="H207">
        <v>23426</v>
      </c>
      <c r="I207">
        <v>24195</v>
      </c>
      <c r="J207">
        <v>24910</v>
      </c>
      <c r="K207">
        <v>25625</v>
      </c>
      <c r="L207" t="s">
        <v>988</v>
      </c>
    </row>
    <row r="208" spans="1:12" x14ac:dyDescent="0.3">
      <c r="A208">
        <v>794</v>
      </c>
      <c r="B208" t="s">
        <v>1483</v>
      </c>
      <c r="C208" t="s">
        <v>2663</v>
      </c>
      <c r="D208" t="s">
        <v>159</v>
      </c>
      <c r="E208" t="s">
        <v>159</v>
      </c>
      <c r="F208" t="s">
        <v>2664</v>
      </c>
      <c r="G208">
        <v>145930</v>
      </c>
      <c r="H208">
        <v>157320</v>
      </c>
      <c r="I208">
        <v>168900</v>
      </c>
      <c r="J208">
        <v>178700</v>
      </c>
      <c r="K208">
        <v>187100</v>
      </c>
      <c r="L208" t="s">
        <v>988</v>
      </c>
    </row>
    <row r="209" spans="1:12" x14ac:dyDescent="0.3">
      <c r="A209">
        <v>794</v>
      </c>
      <c r="B209" t="s">
        <v>1483</v>
      </c>
      <c r="C209" t="s">
        <v>2663</v>
      </c>
      <c r="D209" t="s">
        <v>159</v>
      </c>
      <c r="E209" t="s">
        <v>159</v>
      </c>
      <c r="F209" t="s">
        <v>2665</v>
      </c>
      <c r="G209">
        <v>145930</v>
      </c>
      <c r="H209">
        <v>157320</v>
      </c>
      <c r="I209">
        <v>168900</v>
      </c>
      <c r="J209">
        <v>178700</v>
      </c>
      <c r="K209">
        <v>187100</v>
      </c>
      <c r="L209" t="s">
        <v>988</v>
      </c>
    </row>
    <row r="210" spans="1:12" x14ac:dyDescent="0.3">
      <c r="A210">
        <v>814</v>
      </c>
      <c r="B210" t="s">
        <v>1485</v>
      </c>
      <c r="C210" t="s">
        <v>2663</v>
      </c>
      <c r="D210" t="s">
        <v>1203</v>
      </c>
      <c r="E210" t="s">
        <v>1204</v>
      </c>
      <c r="F210" t="s">
        <v>2664</v>
      </c>
      <c r="G210">
        <v>7905</v>
      </c>
      <c r="H210">
        <v>8143</v>
      </c>
      <c r="I210">
        <v>8334</v>
      </c>
      <c r="J210">
        <v>8755</v>
      </c>
      <c r="K210">
        <v>9176</v>
      </c>
      <c r="L210" t="s">
        <v>988</v>
      </c>
    </row>
    <row r="211" spans="1:12" x14ac:dyDescent="0.3">
      <c r="A211">
        <v>814</v>
      </c>
      <c r="B211" t="s">
        <v>1485</v>
      </c>
      <c r="C211" t="s">
        <v>2663</v>
      </c>
      <c r="D211" t="s">
        <v>1203</v>
      </c>
      <c r="E211" t="s">
        <v>1204</v>
      </c>
      <c r="F211" t="s">
        <v>2665</v>
      </c>
      <c r="G211">
        <v>7905</v>
      </c>
      <c r="H211">
        <v>8143</v>
      </c>
      <c r="I211">
        <v>8334</v>
      </c>
      <c r="J211">
        <v>8755</v>
      </c>
      <c r="K211">
        <v>9176</v>
      </c>
      <c r="L211" t="s">
        <v>988</v>
      </c>
    </row>
    <row r="212" spans="1:12" x14ac:dyDescent="0.3">
      <c r="A212">
        <v>816</v>
      </c>
      <c r="B212" t="s">
        <v>765</v>
      </c>
      <c r="C212" t="s">
        <v>2663</v>
      </c>
      <c r="D212" t="s">
        <v>1203</v>
      </c>
      <c r="E212" t="s">
        <v>1204</v>
      </c>
      <c r="F212" t="s">
        <v>2665</v>
      </c>
      <c r="G212">
        <v>38980</v>
      </c>
      <c r="H212">
        <v>39770</v>
      </c>
      <c r="I212">
        <v>40920</v>
      </c>
      <c r="J212">
        <v>42130</v>
      </c>
      <c r="K212">
        <v>43320</v>
      </c>
      <c r="L212" t="s">
        <v>988</v>
      </c>
    </row>
    <row r="213" spans="1:12" x14ac:dyDescent="0.3">
      <c r="A213">
        <v>816</v>
      </c>
      <c r="B213" t="s">
        <v>765</v>
      </c>
      <c r="C213" t="s">
        <v>2663</v>
      </c>
      <c r="D213" t="s">
        <v>1203</v>
      </c>
      <c r="E213" t="s">
        <v>1204</v>
      </c>
      <c r="F213" t="s">
        <v>2664</v>
      </c>
      <c r="G213">
        <v>70800</v>
      </c>
      <c r="H213">
        <v>70800</v>
      </c>
      <c r="I213">
        <v>78300</v>
      </c>
      <c r="J213">
        <v>78300</v>
      </c>
      <c r="K213">
        <v>78300</v>
      </c>
      <c r="L213" t="s">
        <v>988</v>
      </c>
    </row>
    <row r="214" spans="1:12" x14ac:dyDescent="0.3">
      <c r="A214">
        <v>827</v>
      </c>
      <c r="B214" t="s">
        <v>1488</v>
      </c>
      <c r="C214" t="s">
        <v>2663</v>
      </c>
      <c r="D214" t="s">
        <v>1203</v>
      </c>
      <c r="E214" t="s">
        <v>1204</v>
      </c>
      <c r="F214" t="s">
        <v>2664</v>
      </c>
      <c r="G214">
        <v>13570</v>
      </c>
      <c r="H214">
        <v>12743</v>
      </c>
      <c r="I214">
        <v>12009</v>
      </c>
      <c r="J214">
        <v>11340</v>
      </c>
      <c r="K214">
        <v>0</v>
      </c>
      <c r="L214" t="s">
        <v>988</v>
      </c>
    </row>
    <row r="215" spans="1:12" x14ac:dyDescent="0.3">
      <c r="A215">
        <v>827</v>
      </c>
      <c r="B215" t="s">
        <v>1488</v>
      </c>
      <c r="C215" t="s">
        <v>2663</v>
      </c>
      <c r="D215" t="s">
        <v>1203</v>
      </c>
      <c r="E215" t="s">
        <v>1204</v>
      </c>
      <c r="F215" t="s">
        <v>2665</v>
      </c>
      <c r="G215">
        <v>13570</v>
      </c>
      <c r="H215">
        <v>12743</v>
      </c>
      <c r="I215">
        <v>12009</v>
      </c>
      <c r="J215">
        <v>11340</v>
      </c>
      <c r="K215">
        <v>0</v>
      </c>
      <c r="L215" t="s">
        <v>988</v>
      </c>
    </row>
    <row r="216" spans="1:12" x14ac:dyDescent="0.3">
      <c r="A216">
        <v>830</v>
      </c>
      <c r="B216" t="s">
        <v>1491</v>
      </c>
      <c r="C216" t="s">
        <v>2663</v>
      </c>
      <c r="D216" t="s">
        <v>159</v>
      </c>
      <c r="E216" t="s">
        <v>159</v>
      </c>
      <c r="F216" t="s">
        <v>2665</v>
      </c>
      <c r="G216">
        <v>8737</v>
      </c>
      <c r="H216">
        <v>9135.74</v>
      </c>
      <c r="I216">
        <v>9151</v>
      </c>
      <c r="J216">
        <v>9171.7999999999993</v>
      </c>
      <c r="K216">
        <v>9155.5300000000007</v>
      </c>
      <c r="L216" t="s">
        <v>988</v>
      </c>
    </row>
    <row r="217" spans="1:12" x14ac:dyDescent="0.3">
      <c r="A217">
        <v>830</v>
      </c>
      <c r="B217" t="s">
        <v>1491</v>
      </c>
      <c r="C217" t="s">
        <v>2663</v>
      </c>
      <c r="D217" t="s">
        <v>159</v>
      </c>
      <c r="E217" t="s">
        <v>159</v>
      </c>
      <c r="F217" t="s">
        <v>2664</v>
      </c>
      <c r="G217">
        <v>8737</v>
      </c>
      <c r="H217">
        <v>9136</v>
      </c>
      <c r="I217">
        <v>9151</v>
      </c>
      <c r="J217">
        <v>9172</v>
      </c>
      <c r="K217">
        <v>9156</v>
      </c>
      <c r="L217" t="s">
        <v>988</v>
      </c>
    </row>
    <row r="218" spans="1:12" x14ac:dyDescent="0.3">
      <c r="A218">
        <v>835</v>
      </c>
      <c r="B218" t="s">
        <v>1493</v>
      </c>
      <c r="C218" t="s">
        <v>2663</v>
      </c>
      <c r="D218" t="s">
        <v>1203</v>
      </c>
      <c r="E218" t="s">
        <v>1204</v>
      </c>
      <c r="F218" t="s">
        <v>2664</v>
      </c>
      <c r="G218">
        <v>13000</v>
      </c>
      <c r="H218">
        <v>13000</v>
      </c>
      <c r="I218">
        <v>13000</v>
      </c>
      <c r="J218">
        <v>13000</v>
      </c>
      <c r="K218">
        <v>13000</v>
      </c>
      <c r="L218" t="s">
        <v>988</v>
      </c>
    </row>
    <row r="219" spans="1:12" x14ac:dyDescent="0.3">
      <c r="A219">
        <v>835</v>
      </c>
      <c r="B219" t="s">
        <v>1493</v>
      </c>
      <c r="C219" t="s">
        <v>2663</v>
      </c>
      <c r="D219" t="s">
        <v>1203</v>
      </c>
      <c r="E219" t="s">
        <v>1204</v>
      </c>
      <c r="F219" t="s">
        <v>2665</v>
      </c>
      <c r="G219">
        <v>7300</v>
      </c>
      <c r="H219">
        <v>7910</v>
      </c>
      <c r="I219">
        <v>8020</v>
      </c>
      <c r="J219">
        <v>8130</v>
      </c>
      <c r="K219">
        <v>8180</v>
      </c>
      <c r="L219" t="s">
        <v>988</v>
      </c>
    </row>
    <row r="220" spans="1:12" x14ac:dyDescent="0.3">
      <c r="A220">
        <v>842</v>
      </c>
      <c r="B220" t="s">
        <v>1495</v>
      </c>
      <c r="C220" t="s">
        <v>2663</v>
      </c>
      <c r="D220" t="s">
        <v>159</v>
      </c>
      <c r="E220" t="s">
        <v>159</v>
      </c>
      <c r="F220" t="s">
        <v>2664</v>
      </c>
      <c r="G220">
        <v>47218</v>
      </c>
      <c r="H220">
        <v>51675</v>
      </c>
      <c r="I220">
        <v>53261</v>
      </c>
      <c r="J220">
        <v>54298</v>
      </c>
      <c r="K220">
        <v>55328</v>
      </c>
      <c r="L220" t="s">
        <v>988</v>
      </c>
    </row>
    <row r="221" spans="1:12" x14ac:dyDescent="0.3">
      <c r="A221">
        <v>842</v>
      </c>
      <c r="B221" t="s">
        <v>1495</v>
      </c>
      <c r="C221" t="s">
        <v>2663</v>
      </c>
      <c r="D221" t="s">
        <v>159</v>
      </c>
      <c r="E221" t="s">
        <v>159</v>
      </c>
      <c r="F221" t="s">
        <v>2665</v>
      </c>
      <c r="G221">
        <v>38932</v>
      </c>
      <c r="H221">
        <v>41994</v>
      </c>
      <c r="I221">
        <v>45313</v>
      </c>
      <c r="J221">
        <v>48085</v>
      </c>
      <c r="K221">
        <v>50967</v>
      </c>
      <c r="L221" t="s">
        <v>988</v>
      </c>
    </row>
    <row r="222" spans="1:12" x14ac:dyDescent="0.3">
      <c r="A222">
        <v>851</v>
      </c>
      <c r="B222" t="s">
        <v>1501</v>
      </c>
      <c r="C222" t="s">
        <v>2663</v>
      </c>
      <c r="D222" t="s">
        <v>1203</v>
      </c>
      <c r="E222" t="s">
        <v>1204</v>
      </c>
      <c r="F222" t="s">
        <v>2665</v>
      </c>
      <c r="G222">
        <v>29775</v>
      </c>
      <c r="H222">
        <v>30190</v>
      </c>
      <c r="I222">
        <v>33923</v>
      </c>
      <c r="J222">
        <v>34267</v>
      </c>
      <c r="K222">
        <v>35263</v>
      </c>
      <c r="L222" t="s">
        <v>988</v>
      </c>
    </row>
    <row r="223" spans="1:12" x14ac:dyDescent="0.3">
      <c r="A223">
        <v>851</v>
      </c>
      <c r="B223" t="s">
        <v>1501</v>
      </c>
      <c r="C223" t="s">
        <v>2663</v>
      </c>
      <c r="D223" t="s">
        <v>1203</v>
      </c>
      <c r="E223" t="s">
        <v>1204</v>
      </c>
      <c r="F223" t="s">
        <v>2664</v>
      </c>
      <c r="G223">
        <v>32889</v>
      </c>
      <c r="H223">
        <v>33886</v>
      </c>
      <c r="I223">
        <v>37537</v>
      </c>
      <c r="J223">
        <v>37802</v>
      </c>
      <c r="K223">
        <v>38718</v>
      </c>
      <c r="L223" t="s">
        <v>988</v>
      </c>
    </row>
    <row r="224" spans="1:12" x14ac:dyDescent="0.3">
      <c r="A224">
        <v>856</v>
      </c>
      <c r="B224" t="s">
        <v>1505</v>
      </c>
      <c r="C224" t="s">
        <v>2663</v>
      </c>
      <c r="D224" t="s">
        <v>1203</v>
      </c>
      <c r="E224" t="s">
        <v>1204</v>
      </c>
      <c r="F224" t="s">
        <v>2664</v>
      </c>
      <c r="G224">
        <v>6610.3844288999999</v>
      </c>
      <c r="H224">
        <v>6610.3844288999999</v>
      </c>
      <c r="I224">
        <v>6610.3844288999999</v>
      </c>
      <c r="J224">
        <v>6610.3844288999999</v>
      </c>
      <c r="K224">
        <v>6610.3844288999999</v>
      </c>
      <c r="L224" t="s">
        <v>988</v>
      </c>
    </row>
    <row r="225" spans="1:12" x14ac:dyDescent="0.3">
      <c r="A225">
        <v>856</v>
      </c>
      <c r="B225" t="s">
        <v>1505</v>
      </c>
      <c r="C225" t="s">
        <v>2663</v>
      </c>
      <c r="D225" t="s">
        <v>1203</v>
      </c>
      <c r="E225" t="s">
        <v>1204</v>
      </c>
      <c r="F225" t="s">
        <v>2665</v>
      </c>
      <c r="G225">
        <v>4955.4498290375204</v>
      </c>
      <c r="H225">
        <v>5050.6040436951098</v>
      </c>
      <c r="I225">
        <v>5157.5641340025304</v>
      </c>
      <c r="J225">
        <v>5286.2108203227599</v>
      </c>
      <c r="K225">
        <v>5540.1806053386099</v>
      </c>
      <c r="L225" t="s">
        <v>988</v>
      </c>
    </row>
    <row r="226" spans="1:12" x14ac:dyDescent="0.3">
      <c r="A226">
        <v>859</v>
      </c>
      <c r="B226" t="s">
        <v>1507</v>
      </c>
      <c r="C226" t="s">
        <v>2663</v>
      </c>
      <c r="D226" t="s">
        <v>1203</v>
      </c>
      <c r="E226" t="s">
        <v>1204</v>
      </c>
      <c r="F226" t="s">
        <v>2665</v>
      </c>
      <c r="G226">
        <v>3124.1278312999998</v>
      </c>
      <c r="H226">
        <v>3213.1255789500001</v>
      </c>
      <c r="I226">
        <v>3311.32999015</v>
      </c>
      <c r="J226">
        <v>3409.5344013499998</v>
      </c>
      <c r="K226">
        <v>3498.5321490000001</v>
      </c>
      <c r="L226" t="s">
        <v>988</v>
      </c>
    </row>
    <row r="227" spans="1:12" x14ac:dyDescent="0.3">
      <c r="A227">
        <v>859</v>
      </c>
      <c r="B227" t="s">
        <v>1507</v>
      </c>
      <c r="C227" t="s">
        <v>2663</v>
      </c>
      <c r="D227" t="s">
        <v>1203</v>
      </c>
      <c r="E227" t="s">
        <v>1204</v>
      </c>
      <c r="F227" t="s">
        <v>2664</v>
      </c>
      <c r="G227">
        <v>7841.0084567499998</v>
      </c>
      <c r="H227">
        <v>7841.0084567499998</v>
      </c>
      <c r="I227">
        <v>7841.0084567499998</v>
      </c>
      <c r="J227">
        <v>7841.0084567499998</v>
      </c>
      <c r="K227">
        <v>7841.0084567499998</v>
      </c>
      <c r="L227" t="s">
        <v>988</v>
      </c>
    </row>
    <row r="228" spans="1:12" x14ac:dyDescent="0.3">
      <c r="A228">
        <v>866</v>
      </c>
      <c r="B228" t="s">
        <v>1510</v>
      </c>
      <c r="C228" t="s">
        <v>2663</v>
      </c>
      <c r="D228" t="s">
        <v>1203</v>
      </c>
      <c r="E228" t="s">
        <v>1204</v>
      </c>
      <c r="F228" t="s">
        <v>2664</v>
      </c>
      <c r="G228">
        <v>25968</v>
      </c>
      <c r="H228">
        <v>25968</v>
      </c>
      <c r="I228">
        <v>25968</v>
      </c>
      <c r="J228">
        <v>25968</v>
      </c>
      <c r="K228">
        <v>0</v>
      </c>
      <c r="L228" t="s">
        <v>988</v>
      </c>
    </row>
    <row r="229" spans="1:12" x14ac:dyDescent="0.3">
      <c r="A229">
        <v>866</v>
      </c>
      <c r="B229" t="s">
        <v>1510</v>
      </c>
      <c r="C229" t="s">
        <v>2663</v>
      </c>
      <c r="D229" t="s">
        <v>1203</v>
      </c>
      <c r="E229" t="s">
        <v>1204</v>
      </c>
      <c r="F229" t="s">
        <v>2665</v>
      </c>
      <c r="G229">
        <v>10530</v>
      </c>
      <c r="H229">
        <v>10614</v>
      </c>
      <c r="I229">
        <v>10701</v>
      </c>
      <c r="J229">
        <v>10792</v>
      </c>
      <c r="K229">
        <v>0</v>
      </c>
      <c r="L229" t="s">
        <v>988</v>
      </c>
    </row>
    <row r="230" spans="1:12" x14ac:dyDescent="0.3">
      <c r="A230">
        <v>867</v>
      </c>
      <c r="B230" t="s">
        <v>1513</v>
      </c>
      <c r="C230" t="s">
        <v>2663</v>
      </c>
      <c r="D230" t="s">
        <v>1203</v>
      </c>
      <c r="E230" t="s">
        <v>1204</v>
      </c>
      <c r="F230" t="s">
        <v>2665</v>
      </c>
      <c r="G230">
        <v>21807.5170621</v>
      </c>
      <c r="H230">
        <v>23470.854276800001</v>
      </c>
      <c r="I230">
        <v>23866.740809449999</v>
      </c>
      <c r="J230">
        <v>25020.642641049999</v>
      </c>
      <c r="K230">
        <v>25591.455781150002</v>
      </c>
      <c r="L230" t="s">
        <v>988</v>
      </c>
    </row>
    <row r="231" spans="1:12" x14ac:dyDescent="0.3">
      <c r="A231">
        <v>867</v>
      </c>
      <c r="B231" t="s">
        <v>1513</v>
      </c>
      <c r="C231" t="s">
        <v>2663</v>
      </c>
      <c r="D231" t="s">
        <v>1203</v>
      </c>
      <c r="E231" t="s">
        <v>1204</v>
      </c>
      <c r="F231" t="s">
        <v>2664</v>
      </c>
      <c r="G231">
        <v>47837.823805799999</v>
      </c>
      <c r="H231">
        <v>47837.823805799999</v>
      </c>
      <c r="I231">
        <v>47837.823805799999</v>
      </c>
      <c r="J231">
        <v>47837.823805799999</v>
      </c>
      <c r="K231">
        <v>47837.823805799999</v>
      </c>
      <c r="L231" t="s">
        <v>988</v>
      </c>
    </row>
    <row r="232" spans="1:12" x14ac:dyDescent="0.3">
      <c r="A232">
        <v>873</v>
      </c>
      <c r="B232" t="s">
        <v>1516</v>
      </c>
      <c r="C232" t="s">
        <v>2663</v>
      </c>
      <c r="D232" t="s">
        <v>159</v>
      </c>
      <c r="E232" t="s">
        <v>159</v>
      </c>
      <c r="F232" t="s">
        <v>2665</v>
      </c>
      <c r="G232">
        <v>9475</v>
      </c>
      <c r="H232">
        <v>9799</v>
      </c>
      <c r="I232">
        <v>10381</v>
      </c>
      <c r="J232">
        <v>10590</v>
      </c>
      <c r="K232">
        <v>10690</v>
      </c>
      <c r="L232" t="s">
        <v>988</v>
      </c>
    </row>
    <row r="233" spans="1:12" x14ac:dyDescent="0.3">
      <c r="A233">
        <v>873</v>
      </c>
      <c r="B233" t="s">
        <v>1516</v>
      </c>
      <c r="C233" t="s">
        <v>2663</v>
      </c>
      <c r="D233" t="s">
        <v>159</v>
      </c>
      <c r="E233" t="s">
        <v>159</v>
      </c>
      <c r="F233" t="s">
        <v>2664</v>
      </c>
      <c r="G233">
        <v>9475</v>
      </c>
      <c r="H233">
        <v>9799</v>
      </c>
      <c r="I233">
        <v>10381</v>
      </c>
      <c r="J233">
        <v>10590</v>
      </c>
      <c r="K233">
        <v>10690</v>
      </c>
      <c r="L233" t="s">
        <v>988</v>
      </c>
    </row>
    <row r="234" spans="1:12" x14ac:dyDescent="0.3">
      <c r="A234">
        <v>904</v>
      </c>
      <c r="B234" t="s">
        <v>862</v>
      </c>
      <c r="C234" t="s">
        <v>2663</v>
      </c>
      <c r="D234" t="s">
        <v>1203</v>
      </c>
      <c r="E234" t="s">
        <v>1204</v>
      </c>
      <c r="F234" t="s">
        <v>2664</v>
      </c>
      <c r="G234">
        <v>38350</v>
      </c>
      <c r="H234">
        <v>38350</v>
      </c>
      <c r="I234">
        <v>38350</v>
      </c>
      <c r="J234">
        <v>38350</v>
      </c>
      <c r="K234">
        <v>38350</v>
      </c>
      <c r="L234" t="s">
        <v>988</v>
      </c>
    </row>
    <row r="235" spans="1:12" x14ac:dyDescent="0.3">
      <c r="A235">
        <v>904</v>
      </c>
      <c r="B235" t="s">
        <v>862</v>
      </c>
      <c r="C235" t="s">
        <v>2663</v>
      </c>
      <c r="D235" t="s">
        <v>1203</v>
      </c>
      <c r="E235" t="s">
        <v>1204</v>
      </c>
      <c r="F235" t="s">
        <v>2665</v>
      </c>
      <c r="G235">
        <v>20518</v>
      </c>
      <c r="H235">
        <v>22745</v>
      </c>
      <c r="I235">
        <v>24214</v>
      </c>
      <c r="J235">
        <v>25145</v>
      </c>
      <c r="K235">
        <v>25520</v>
      </c>
      <c r="L235" t="s">
        <v>988</v>
      </c>
    </row>
    <row r="236" spans="1:12" x14ac:dyDescent="0.3">
      <c r="A236">
        <v>920</v>
      </c>
      <c r="B236" t="s">
        <v>1519</v>
      </c>
      <c r="C236" t="s">
        <v>2663</v>
      </c>
      <c r="D236" t="s">
        <v>1203</v>
      </c>
      <c r="E236" t="s">
        <v>1204</v>
      </c>
      <c r="F236" t="s">
        <v>2664</v>
      </c>
      <c r="G236">
        <v>1417.8261867000001</v>
      </c>
      <c r="H236">
        <v>1537.51281285</v>
      </c>
      <c r="I236">
        <v>1660.26832685</v>
      </c>
      <c r="J236">
        <v>1795.29939225</v>
      </c>
      <c r="K236">
        <v>1945.6748969</v>
      </c>
      <c r="L236" t="s">
        <v>988</v>
      </c>
    </row>
    <row r="237" spans="1:12" x14ac:dyDescent="0.3">
      <c r="A237">
        <v>920</v>
      </c>
      <c r="B237" t="s">
        <v>1519</v>
      </c>
      <c r="C237" t="s">
        <v>2663</v>
      </c>
      <c r="D237" t="s">
        <v>1203</v>
      </c>
      <c r="E237" t="s">
        <v>1204</v>
      </c>
      <c r="F237" t="s">
        <v>2665</v>
      </c>
      <c r="G237">
        <v>1417.3044757655</v>
      </c>
      <c r="H237">
        <v>1537.51281285</v>
      </c>
      <c r="I237">
        <v>1660.26832685</v>
      </c>
      <c r="J237">
        <v>1795.29939225</v>
      </c>
      <c r="K237">
        <v>1945.6748969</v>
      </c>
      <c r="L237" t="s">
        <v>988</v>
      </c>
    </row>
    <row r="238" spans="1:12" x14ac:dyDescent="0.3">
      <c r="A238">
        <v>924</v>
      </c>
      <c r="B238" t="s">
        <v>1523</v>
      </c>
      <c r="C238" t="s">
        <v>2663</v>
      </c>
      <c r="D238" t="s">
        <v>159</v>
      </c>
      <c r="E238" t="s">
        <v>159</v>
      </c>
      <c r="F238" t="s">
        <v>2664</v>
      </c>
      <c r="G238">
        <v>9989</v>
      </c>
      <c r="H238">
        <v>9911</v>
      </c>
      <c r="I238">
        <v>10024</v>
      </c>
      <c r="J238">
        <v>10118</v>
      </c>
      <c r="K238">
        <v>10118</v>
      </c>
      <c r="L238" t="s">
        <v>988</v>
      </c>
    </row>
    <row r="239" spans="1:12" x14ac:dyDescent="0.3">
      <c r="A239">
        <v>924</v>
      </c>
      <c r="B239" t="s">
        <v>1523</v>
      </c>
      <c r="C239" t="s">
        <v>2663</v>
      </c>
      <c r="D239" t="s">
        <v>159</v>
      </c>
      <c r="E239" t="s">
        <v>159</v>
      </c>
      <c r="F239" t="s">
        <v>2665</v>
      </c>
      <c r="G239">
        <v>9989</v>
      </c>
      <c r="H239">
        <v>9910</v>
      </c>
      <c r="I239">
        <v>10024</v>
      </c>
      <c r="J239">
        <v>10117</v>
      </c>
      <c r="K239">
        <v>10118</v>
      </c>
      <c r="L239" t="s">
        <v>988</v>
      </c>
    </row>
    <row r="240" spans="1:12" x14ac:dyDescent="0.3">
      <c r="A240">
        <v>934</v>
      </c>
      <c r="B240" t="s">
        <v>899</v>
      </c>
      <c r="C240" t="s">
        <v>2663</v>
      </c>
      <c r="D240" t="s">
        <v>159</v>
      </c>
      <c r="E240" t="s">
        <v>159</v>
      </c>
      <c r="F240" t="s">
        <v>2665</v>
      </c>
      <c r="G240">
        <v>199204</v>
      </c>
      <c r="H240">
        <v>212756</v>
      </c>
      <c r="I240">
        <v>222310</v>
      </c>
      <c r="J240">
        <v>231876</v>
      </c>
      <c r="K240">
        <v>241447</v>
      </c>
      <c r="L240" t="s">
        <v>988</v>
      </c>
    </row>
    <row r="241" spans="1:12" x14ac:dyDescent="0.3">
      <c r="A241">
        <v>934</v>
      </c>
      <c r="B241" t="s">
        <v>899</v>
      </c>
      <c r="C241" t="s">
        <v>2663</v>
      </c>
      <c r="D241" t="s">
        <v>159</v>
      </c>
      <c r="E241" t="s">
        <v>159</v>
      </c>
      <c r="F241" t="s">
        <v>2664</v>
      </c>
      <c r="G241">
        <v>329030</v>
      </c>
      <c r="H241">
        <v>341140</v>
      </c>
      <c r="I241">
        <v>346610</v>
      </c>
      <c r="J241">
        <v>352000</v>
      </c>
      <c r="K241">
        <v>357330</v>
      </c>
      <c r="L241" t="s">
        <v>988</v>
      </c>
    </row>
    <row r="242" spans="1:12" x14ac:dyDescent="0.3">
      <c r="A242">
        <v>967</v>
      </c>
      <c r="B242" t="s">
        <v>1528</v>
      </c>
      <c r="C242" t="s">
        <v>2663</v>
      </c>
      <c r="D242" t="s">
        <v>1203</v>
      </c>
      <c r="E242" t="s">
        <v>1204</v>
      </c>
      <c r="F242" t="s">
        <v>2664</v>
      </c>
      <c r="G242">
        <v>25655</v>
      </c>
      <c r="H242">
        <v>27445</v>
      </c>
      <c r="I242">
        <v>27561</v>
      </c>
      <c r="J242">
        <v>27672</v>
      </c>
      <c r="K242">
        <v>27849</v>
      </c>
      <c r="L242" t="s">
        <v>988</v>
      </c>
    </row>
    <row r="243" spans="1:12" x14ac:dyDescent="0.3">
      <c r="A243">
        <v>967</v>
      </c>
      <c r="B243" t="s">
        <v>1528</v>
      </c>
      <c r="C243" t="s">
        <v>2663</v>
      </c>
      <c r="D243" t="s">
        <v>1203</v>
      </c>
      <c r="E243" t="s">
        <v>1204</v>
      </c>
      <c r="F243" t="s">
        <v>2665</v>
      </c>
      <c r="G243">
        <v>25655</v>
      </c>
      <c r="H243">
        <v>27445</v>
      </c>
      <c r="I243">
        <v>27561</v>
      </c>
      <c r="J243">
        <v>27672</v>
      </c>
      <c r="K243">
        <v>27849</v>
      </c>
      <c r="L243" t="s">
        <v>988</v>
      </c>
    </row>
    <row r="244" spans="1:12" x14ac:dyDescent="0.3">
      <c r="A244">
        <v>972</v>
      </c>
      <c r="B244" t="s">
        <v>1529</v>
      </c>
      <c r="C244" t="s">
        <v>2663</v>
      </c>
      <c r="D244" t="s">
        <v>1203</v>
      </c>
      <c r="E244" t="s">
        <v>1204</v>
      </c>
      <c r="F244" t="s">
        <v>2665</v>
      </c>
      <c r="G244">
        <v>5552.2386563590999</v>
      </c>
      <c r="H244">
        <v>5678.4459530950899</v>
      </c>
      <c r="I244">
        <v>5968.2556695886296</v>
      </c>
      <c r="J244">
        <v>6279.8011148191899</v>
      </c>
      <c r="K244">
        <v>6614.7124684420296</v>
      </c>
      <c r="L244" t="s">
        <v>988</v>
      </c>
    </row>
    <row r="245" spans="1:12" x14ac:dyDescent="0.3">
      <c r="A245">
        <v>972</v>
      </c>
      <c r="B245" t="s">
        <v>1529</v>
      </c>
      <c r="C245" t="s">
        <v>2663</v>
      </c>
      <c r="D245" t="s">
        <v>1203</v>
      </c>
      <c r="E245" t="s">
        <v>1204</v>
      </c>
      <c r="F245" t="s">
        <v>2664</v>
      </c>
      <c r="G245">
        <v>5552</v>
      </c>
      <c r="H245">
        <v>5678</v>
      </c>
      <c r="I245">
        <v>5968</v>
      </c>
      <c r="J245">
        <v>6280</v>
      </c>
      <c r="K245">
        <v>6615</v>
      </c>
      <c r="L245" t="s">
        <v>988</v>
      </c>
    </row>
    <row r="246" spans="1:12" x14ac:dyDescent="0.3">
      <c r="A246">
        <v>977</v>
      </c>
      <c r="B246" t="s">
        <v>1531</v>
      </c>
      <c r="C246" t="s">
        <v>2663</v>
      </c>
      <c r="D246" t="s">
        <v>1203</v>
      </c>
      <c r="E246" t="s">
        <v>1204</v>
      </c>
      <c r="F246" t="s">
        <v>2664</v>
      </c>
      <c r="G246">
        <v>22588</v>
      </c>
      <c r="H246">
        <v>22958</v>
      </c>
      <c r="I246">
        <v>22880</v>
      </c>
      <c r="J246">
        <v>22744</v>
      </c>
      <c r="K246">
        <v>22792</v>
      </c>
      <c r="L246" t="s">
        <v>988</v>
      </c>
    </row>
    <row r="247" spans="1:12" x14ac:dyDescent="0.3">
      <c r="A247">
        <v>977</v>
      </c>
      <c r="B247" t="s">
        <v>1531</v>
      </c>
      <c r="C247" t="s">
        <v>2663</v>
      </c>
      <c r="D247" t="s">
        <v>1203</v>
      </c>
      <c r="E247" t="s">
        <v>1204</v>
      </c>
      <c r="F247" t="s">
        <v>2665</v>
      </c>
      <c r="G247">
        <v>22588.1</v>
      </c>
      <c r="H247">
        <v>22958</v>
      </c>
      <c r="I247">
        <v>22880</v>
      </c>
      <c r="J247">
        <v>22744</v>
      </c>
      <c r="K247">
        <v>22792</v>
      </c>
      <c r="L247" t="s">
        <v>988</v>
      </c>
    </row>
    <row r="248" spans="1:12" x14ac:dyDescent="0.3">
      <c r="A248">
        <v>990</v>
      </c>
      <c r="B248" t="s">
        <v>1537</v>
      </c>
      <c r="C248" t="s">
        <v>2663</v>
      </c>
      <c r="D248" t="s">
        <v>1203</v>
      </c>
      <c r="E248" t="s">
        <v>1204</v>
      </c>
      <c r="F248" t="s">
        <v>2665</v>
      </c>
      <c r="G248">
        <v>9174.9</v>
      </c>
      <c r="H248">
        <v>9255.1</v>
      </c>
      <c r="I248">
        <v>9338.2999999999993</v>
      </c>
      <c r="J248">
        <v>9424</v>
      </c>
      <c r="K248">
        <v>9515.7999999999993</v>
      </c>
      <c r="L248" t="s">
        <v>988</v>
      </c>
    </row>
    <row r="249" spans="1:12" x14ac:dyDescent="0.3">
      <c r="A249">
        <v>990</v>
      </c>
      <c r="B249" t="s">
        <v>1537</v>
      </c>
      <c r="C249" t="s">
        <v>2663</v>
      </c>
      <c r="D249" t="s">
        <v>1203</v>
      </c>
      <c r="E249" t="s">
        <v>1204</v>
      </c>
      <c r="F249" t="s">
        <v>2664</v>
      </c>
      <c r="G249">
        <v>20000</v>
      </c>
      <c r="H249">
        <v>20000</v>
      </c>
      <c r="I249">
        <v>20000</v>
      </c>
      <c r="J249">
        <v>20000</v>
      </c>
      <c r="K249">
        <v>20000</v>
      </c>
      <c r="L249" t="s">
        <v>988</v>
      </c>
    </row>
    <row r="250" spans="1:12" x14ac:dyDescent="0.3">
      <c r="A250">
        <v>995</v>
      </c>
      <c r="B250" t="s">
        <v>1540</v>
      </c>
      <c r="C250" t="s">
        <v>2663</v>
      </c>
      <c r="D250" t="s">
        <v>1203</v>
      </c>
      <c r="E250" t="s">
        <v>1204</v>
      </c>
      <c r="F250" t="s">
        <v>2664</v>
      </c>
      <c r="G250">
        <v>23673</v>
      </c>
      <c r="H250">
        <v>24069</v>
      </c>
      <c r="I250">
        <v>24464</v>
      </c>
      <c r="J250">
        <v>24464</v>
      </c>
      <c r="K250">
        <v>24464</v>
      </c>
      <c r="L250" t="s">
        <v>988</v>
      </c>
    </row>
    <row r="251" spans="1:12" x14ac:dyDescent="0.3">
      <c r="A251">
        <v>995</v>
      </c>
      <c r="B251" t="s">
        <v>1540</v>
      </c>
      <c r="C251" t="s">
        <v>2663</v>
      </c>
      <c r="D251" t="s">
        <v>1203</v>
      </c>
      <c r="E251" t="s">
        <v>1204</v>
      </c>
      <c r="F251" t="s">
        <v>2665</v>
      </c>
      <c r="G251">
        <v>10318</v>
      </c>
      <c r="H251">
        <v>11382</v>
      </c>
      <c r="I251">
        <v>12499</v>
      </c>
      <c r="J251">
        <v>13274</v>
      </c>
      <c r="K251">
        <v>14109</v>
      </c>
      <c r="L251" t="s">
        <v>988</v>
      </c>
    </row>
    <row r="252" spans="1:12" x14ac:dyDescent="0.3">
      <c r="A252">
        <v>1004</v>
      </c>
      <c r="B252" t="s">
        <v>1541</v>
      </c>
      <c r="C252" t="s">
        <v>2663</v>
      </c>
      <c r="D252" t="s">
        <v>1203</v>
      </c>
      <c r="E252" t="s">
        <v>1204</v>
      </c>
      <c r="F252" t="s">
        <v>2664</v>
      </c>
      <c r="G252">
        <v>45008</v>
      </c>
      <c r="H252">
        <v>45008</v>
      </c>
      <c r="I252">
        <v>45008</v>
      </c>
      <c r="J252">
        <v>45008</v>
      </c>
      <c r="K252">
        <v>45008</v>
      </c>
      <c r="L252" t="s">
        <v>988</v>
      </c>
    </row>
    <row r="253" spans="1:12" x14ac:dyDescent="0.3">
      <c r="A253">
        <v>1004</v>
      </c>
      <c r="B253" t="s">
        <v>1541</v>
      </c>
      <c r="C253" t="s">
        <v>2663</v>
      </c>
      <c r="D253" t="s">
        <v>1203</v>
      </c>
      <c r="E253" t="s">
        <v>1204</v>
      </c>
      <c r="F253" t="s">
        <v>2665</v>
      </c>
      <c r="G253">
        <v>23497</v>
      </c>
      <c r="H253">
        <v>26430</v>
      </c>
      <c r="I253">
        <v>26649</v>
      </c>
      <c r="J253">
        <v>26868</v>
      </c>
      <c r="K253">
        <v>27091</v>
      </c>
      <c r="L253" t="s">
        <v>988</v>
      </c>
    </row>
    <row r="254" spans="1:12" x14ac:dyDescent="0.3">
      <c r="A254">
        <v>1005</v>
      </c>
      <c r="B254" t="s">
        <v>1542</v>
      </c>
      <c r="C254" t="s">
        <v>2663</v>
      </c>
      <c r="D254" t="s">
        <v>1203</v>
      </c>
      <c r="E254" t="s">
        <v>1204</v>
      </c>
      <c r="F254" t="s">
        <v>2665</v>
      </c>
      <c r="G254">
        <v>11090</v>
      </c>
      <c r="H254">
        <v>11211</v>
      </c>
      <c r="I254">
        <v>11333</v>
      </c>
      <c r="J254">
        <v>11456</v>
      </c>
      <c r="K254">
        <v>11581</v>
      </c>
      <c r="L254" t="s">
        <v>988</v>
      </c>
    </row>
    <row r="255" spans="1:12" x14ac:dyDescent="0.3">
      <c r="A255">
        <v>1005</v>
      </c>
      <c r="B255" t="s">
        <v>1542</v>
      </c>
      <c r="C255" t="s">
        <v>2663</v>
      </c>
      <c r="D255" t="s">
        <v>1203</v>
      </c>
      <c r="E255" t="s">
        <v>1204</v>
      </c>
      <c r="F255" t="s">
        <v>2664</v>
      </c>
      <c r="G255">
        <v>11090</v>
      </c>
      <c r="H255">
        <v>11211</v>
      </c>
      <c r="I255">
        <v>11333</v>
      </c>
      <c r="J255">
        <v>11456</v>
      </c>
      <c r="K255">
        <v>11581</v>
      </c>
      <c r="L255" t="s">
        <v>988</v>
      </c>
    </row>
    <row r="256" spans="1:12" x14ac:dyDescent="0.3">
      <c r="A256">
        <v>1029</v>
      </c>
      <c r="B256" t="s">
        <v>1543</v>
      </c>
      <c r="C256" t="s">
        <v>2663</v>
      </c>
      <c r="D256" t="s">
        <v>1203</v>
      </c>
      <c r="E256" t="s">
        <v>1204</v>
      </c>
      <c r="F256" t="s">
        <v>2665</v>
      </c>
      <c r="G256">
        <v>5219</v>
      </c>
      <c r="H256">
        <v>5262</v>
      </c>
      <c r="I256">
        <v>5306</v>
      </c>
      <c r="J256">
        <v>5350</v>
      </c>
      <c r="K256">
        <v>5394</v>
      </c>
      <c r="L256" t="s">
        <v>988</v>
      </c>
    </row>
    <row r="257" spans="1:12" x14ac:dyDescent="0.3">
      <c r="A257">
        <v>1029</v>
      </c>
      <c r="B257" t="s">
        <v>1543</v>
      </c>
      <c r="C257" t="s">
        <v>2663</v>
      </c>
      <c r="D257" t="s">
        <v>1203</v>
      </c>
      <c r="E257" t="s">
        <v>1204</v>
      </c>
      <c r="F257" t="s">
        <v>2664</v>
      </c>
      <c r="G257">
        <v>5219</v>
      </c>
      <c r="H257">
        <v>5262</v>
      </c>
      <c r="I257">
        <v>5306</v>
      </c>
      <c r="J257">
        <v>5350</v>
      </c>
      <c r="K257">
        <v>5394</v>
      </c>
      <c r="L257" t="s">
        <v>988</v>
      </c>
    </row>
    <row r="258" spans="1:12" x14ac:dyDescent="0.3">
      <c r="A258">
        <v>1030</v>
      </c>
      <c r="B258" t="s">
        <v>1544</v>
      </c>
      <c r="C258" t="s">
        <v>2663</v>
      </c>
      <c r="D258" t="s">
        <v>1203</v>
      </c>
      <c r="E258" t="s">
        <v>1204</v>
      </c>
      <c r="F258" t="s">
        <v>2665</v>
      </c>
      <c r="G258">
        <v>5435</v>
      </c>
      <c r="H258">
        <v>5528</v>
      </c>
      <c r="I258">
        <v>5622</v>
      </c>
      <c r="J258">
        <v>5718</v>
      </c>
      <c r="K258">
        <v>5815</v>
      </c>
      <c r="L258" t="s">
        <v>988</v>
      </c>
    </row>
    <row r="259" spans="1:12" x14ac:dyDescent="0.3">
      <c r="A259">
        <v>1030</v>
      </c>
      <c r="B259" t="s">
        <v>1544</v>
      </c>
      <c r="C259" t="s">
        <v>2663</v>
      </c>
      <c r="D259" t="s">
        <v>1203</v>
      </c>
      <c r="E259" t="s">
        <v>1204</v>
      </c>
      <c r="F259" t="s">
        <v>2664</v>
      </c>
      <c r="G259">
        <v>5435</v>
      </c>
      <c r="H259">
        <v>5528</v>
      </c>
      <c r="I259">
        <v>5622</v>
      </c>
      <c r="J259">
        <v>5718</v>
      </c>
      <c r="K259">
        <v>5815</v>
      </c>
      <c r="L259" t="s">
        <v>988</v>
      </c>
    </row>
    <row r="260" spans="1:12" x14ac:dyDescent="0.3">
      <c r="A260">
        <v>1031</v>
      </c>
      <c r="B260" t="s">
        <v>1545</v>
      </c>
      <c r="C260" t="s">
        <v>2663</v>
      </c>
      <c r="D260" t="s">
        <v>1203</v>
      </c>
      <c r="E260" t="s">
        <v>1204</v>
      </c>
      <c r="F260" t="s">
        <v>2664</v>
      </c>
      <c r="G260">
        <v>1774</v>
      </c>
      <c r="H260">
        <v>1804</v>
      </c>
      <c r="I260">
        <v>1836</v>
      </c>
      <c r="J260">
        <v>1867</v>
      </c>
      <c r="K260">
        <v>1899</v>
      </c>
      <c r="L260" t="s">
        <v>988</v>
      </c>
    </row>
    <row r="261" spans="1:12" x14ac:dyDescent="0.3">
      <c r="A261">
        <v>1031</v>
      </c>
      <c r="B261" t="s">
        <v>1545</v>
      </c>
      <c r="C261" t="s">
        <v>2663</v>
      </c>
      <c r="D261" t="s">
        <v>1203</v>
      </c>
      <c r="E261" t="s">
        <v>1204</v>
      </c>
      <c r="F261" t="s">
        <v>2665</v>
      </c>
      <c r="G261">
        <v>1774</v>
      </c>
      <c r="H261">
        <v>1804</v>
      </c>
      <c r="I261">
        <v>1836</v>
      </c>
      <c r="J261">
        <v>1867</v>
      </c>
      <c r="K261">
        <v>1899</v>
      </c>
      <c r="L261" t="s">
        <v>988</v>
      </c>
    </row>
    <row r="262" spans="1:12" x14ac:dyDescent="0.3">
      <c r="A262">
        <v>1032</v>
      </c>
      <c r="B262" t="s">
        <v>1546</v>
      </c>
      <c r="C262" t="s">
        <v>2663</v>
      </c>
      <c r="D262" t="s">
        <v>1203</v>
      </c>
      <c r="E262" t="s">
        <v>1204</v>
      </c>
      <c r="F262" t="s">
        <v>2665</v>
      </c>
      <c r="G262">
        <v>4776</v>
      </c>
      <c r="H262">
        <v>4807</v>
      </c>
      <c r="I262">
        <v>4839</v>
      </c>
      <c r="J262">
        <v>4871</v>
      </c>
      <c r="K262">
        <v>4903</v>
      </c>
      <c r="L262" t="s">
        <v>988</v>
      </c>
    </row>
    <row r="263" spans="1:12" x14ac:dyDescent="0.3">
      <c r="A263">
        <v>1032</v>
      </c>
      <c r="B263" t="s">
        <v>1546</v>
      </c>
      <c r="C263" t="s">
        <v>2663</v>
      </c>
      <c r="D263" t="s">
        <v>1203</v>
      </c>
      <c r="E263" t="s">
        <v>1204</v>
      </c>
      <c r="F263" t="s">
        <v>2664</v>
      </c>
      <c r="G263">
        <v>4776</v>
      </c>
      <c r="H263">
        <v>4807</v>
      </c>
      <c r="I263">
        <v>4839</v>
      </c>
      <c r="J263">
        <v>4871</v>
      </c>
      <c r="K263">
        <v>4903</v>
      </c>
      <c r="L263" t="s">
        <v>988</v>
      </c>
    </row>
    <row r="264" spans="1:12" x14ac:dyDescent="0.3">
      <c r="A264">
        <v>1034</v>
      </c>
      <c r="B264" t="s">
        <v>1547</v>
      </c>
      <c r="C264" t="s">
        <v>2663</v>
      </c>
      <c r="D264" t="s">
        <v>1203</v>
      </c>
      <c r="E264" t="s">
        <v>1204</v>
      </c>
      <c r="F264" t="s">
        <v>2665</v>
      </c>
      <c r="G264">
        <v>10451</v>
      </c>
      <c r="H264">
        <v>10623</v>
      </c>
      <c r="I264">
        <v>10798</v>
      </c>
      <c r="J264">
        <v>10977</v>
      </c>
      <c r="K264">
        <v>11158</v>
      </c>
      <c r="L264" t="s">
        <v>988</v>
      </c>
    </row>
    <row r="265" spans="1:12" x14ac:dyDescent="0.3">
      <c r="A265">
        <v>1034</v>
      </c>
      <c r="B265" t="s">
        <v>1547</v>
      </c>
      <c r="C265" t="s">
        <v>2663</v>
      </c>
      <c r="D265" t="s">
        <v>1203</v>
      </c>
      <c r="E265" t="s">
        <v>1204</v>
      </c>
      <c r="F265" t="s">
        <v>2664</v>
      </c>
      <c r="G265">
        <v>10451</v>
      </c>
      <c r="H265">
        <v>10623</v>
      </c>
      <c r="I265">
        <v>10798</v>
      </c>
      <c r="J265">
        <v>10977</v>
      </c>
      <c r="K265">
        <v>11158</v>
      </c>
      <c r="L265" t="s">
        <v>988</v>
      </c>
    </row>
    <row r="266" spans="1:12" x14ac:dyDescent="0.3">
      <c r="A266">
        <v>1036</v>
      </c>
      <c r="B266" t="s">
        <v>1548</v>
      </c>
      <c r="C266" t="s">
        <v>2663</v>
      </c>
      <c r="D266" t="s">
        <v>1203</v>
      </c>
      <c r="E266" t="s">
        <v>1204</v>
      </c>
      <c r="F266" t="s">
        <v>2664</v>
      </c>
      <c r="G266">
        <v>13605</v>
      </c>
      <c r="H266">
        <v>13949</v>
      </c>
      <c r="I266">
        <v>14301</v>
      </c>
      <c r="J266">
        <v>14662</v>
      </c>
      <c r="K266">
        <v>15032</v>
      </c>
      <c r="L266" t="s">
        <v>988</v>
      </c>
    </row>
    <row r="267" spans="1:12" x14ac:dyDescent="0.3">
      <c r="A267">
        <v>1036</v>
      </c>
      <c r="B267" t="s">
        <v>1548</v>
      </c>
      <c r="C267" t="s">
        <v>2663</v>
      </c>
      <c r="D267" t="s">
        <v>1203</v>
      </c>
      <c r="E267" t="s">
        <v>1204</v>
      </c>
      <c r="F267" t="s">
        <v>2665</v>
      </c>
      <c r="G267">
        <v>13605</v>
      </c>
      <c r="H267">
        <v>13949</v>
      </c>
      <c r="I267">
        <v>14301</v>
      </c>
      <c r="J267">
        <v>14662</v>
      </c>
      <c r="K267">
        <v>15032</v>
      </c>
      <c r="L267" t="s">
        <v>988</v>
      </c>
    </row>
    <row r="268" spans="1:12" x14ac:dyDescent="0.3">
      <c r="A268">
        <v>1038</v>
      </c>
      <c r="B268" t="s">
        <v>1549</v>
      </c>
      <c r="C268" t="s">
        <v>2663</v>
      </c>
      <c r="D268" t="s">
        <v>1203</v>
      </c>
      <c r="E268" t="s">
        <v>1204</v>
      </c>
      <c r="F268" t="s">
        <v>2664</v>
      </c>
      <c r="G268">
        <v>5002</v>
      </c>
      <c r="H268">
        <v>5086</v>
      </c>
      <c r="I268">
        <v>5175</v>
      </c>
      <c r="J268">
        <v>5269</v>
      </c>
      <c r="K268">
        <v>5370</v>
      </c>
      <c r="L268" t="s">
        <v>988</v>
      </c>
    </row>
    <row r="269" spans="1:12" x14ac:dyDescent="0.3">
      <c r="A269">
        <v>1038</v>
      </c>
      <c r="B269" t="s">
        <v>1549</v>
      </c>
      <c r="C269" t="s">
        <v>2663</v>
      </c>
      <c r="D269" t="s">
        <v>1203</v>
      </c>
      <c r="E269" t="s">
        <v>1204</v>
      </c>
      <c r="F269" t="s">
        <v>2665</v>
      </c>
      <c r="G269">
        <v>5002</v>
      </c>
      <c r="H269">
        <v>5086</v>
      </c>
      <c r="I269">
        <v>5175</v>
      </c>
      <c r="J269">
        <v>5269</v>
      </c>
      <c r="K269">
        <v>5370</v>
      </c>
      <c r="L269" t="s">
        <v>988</v>
      </c>
    </row>
    <row r="270" spans="1:12" x14ac:dyDescent="0.3">
      <c r="A270">
        <v>1041</v>
      </c>
      <c r="B270" t="s">
        <v>1550</v>
      </c>
      <c r="C270" t="s">
        <v>2663</v>
      </c>
      <c r="D270" t="s">
        <v>1203</v>
      </c>
      <c r="E270" t="s">
        <v>1204</v>
      </c>
      <c r="F270" t="s">
        <v>2664</v>
      </c>
      <c r="G270">
        <v>4843</v>
      </c>
      <c r="H270">
        <v>4945</v>
      </c>
      <c r="I270">
        <v>5049</v>
      </c>
      <c r="J270">
        <v>5155</v>
      </c>
      <c r="K270">
        <v>5264</v>
      </c>
      <c r="L270" t="s">
        <v>988</v>
      </c>
    </row>
    <row r="271" spans="1:12" x14ac:dyDescent="0.3">
      <c r="A271">
        <v>1041</v>
      </c>
      <c r="B271" t="s">
        <v>1550</v>
      </c>
      <c r="C271" t="s">
        <v>2663</v>
      </c>
      <c r="D271" t="s">
        <v>1203</v>
      </c>
      <c r="E271" t="s">
        <v>1204</v>
      </c>
      <c r="F271" t="s">
        <v>2665</v>
      </c>
      <c r="G271">
        <v>4843</v>
      </c>
      <c r="H271">
        <v>4945</v>
      </c>
      <c r="I271">
        <v>5049</v>
      </c>
      <c r="J271">
        <v>5155</v>
      </c>
      <c r="K271">
        <v>5264</v>
      </c>
      <c r="L271" t="s">
        <v>988</v>
      </c>
    </row>
    <row r="272" spans="1:12" x14ac:dyDescent="0.3">
      <c r="A272">
        <v>1049</v>
      </c>
      <c r="B272" t="s">
        <v>1551</v>
      </c>
      <c r="C272" t="s">
        <v>2663</v>
      </c>
      <c r="D272" t="s">
        <v>1203</v>
      </c>
      <c r="E272" t="s">
        <v>1204</v>
      </c>
      <c r="F272" t="s">
        <v>2664</v>
      </c>
      <c r="G272">
        <v>4565</v>
      </c>
      <c r="H272">
        <v>4567</v>
      </c>
      <c r="I272">
        <v>4569</v>
      </c>
      <c r="J272">
        <v>4571</v>
      </c>
      <c r="K272">
        <v>4574</v>
      </c>
      <c r="L272" t="s">
        <v>988</v>
      </c>
    </row>
    <row r="273" spans="1:12" x14ac:dyDescent="0.3">
      <c r="A273">
        <v>1049</v>
      </c>
      <c r="B273" t="s">
        <v>1551</v>
      </c>
      <c r="C273" t="s">
        <v>2663</v>
      </c>
      <c r="D273" t="s">
        <v>1203</v>
      </c>
      <c r="E273" t="s">
        <v>1204</v>
      </c>
      <c r="F273" t="s">
        <v>2665</v>
      </c>
      <c r="G273">
        <v>4565</v>
      </c>
      <c r="H273">
        <v>4567</v>
      </c>
      <c r="I273">
        <v>4569</v>
      </c>
      <c r="J273">
        <v>4571</v>
      </c>
      <c r="K273">
        <v>4574</v>
      </c>
      <c r="L273" t="s">
        <v>988</v>
      </c>
    </row>
    <row r="274" spans="1:12" x14ac:dyDescent="0.3">
      <c r="A274">
        <v>1052</v>
      </c>
      <c r="B274" t="s">
        <v>1552</v>
      </c>
      <c r="C274" t="s">
        <v>2663</v>
      </c>
      <c r="D274" t="s">
        <v>1203</v>
      </c>
      <c r="E274" t="s">
        <v>1204</v>
      </c>
      <c r="F274" t="s">
        <v>2665</v>
      </c>
      <c r="G274">
        <v>6105</v>
      </c>
      <c r="H274">
        <v>6266</v>
      </c>
      <c r="I274">
        <v>6432</v>
      </c>
      <c r="J274">
        <v>6603</v>
      </c>
      <c r="K274">
        <v>6777</v>
      </c>
      <c r="L274" t="s">
        <v>988</v>
      </c>
    </row>
    <row r="275" spans="1:12" x14ac:dyDescent="0.3">
      <c r="A275">
        <v>1052</v>
      </c>
      <c r="B275" t="s">
        <v>1552</v>
      </c>
      <c r="C275" t="s">
        <v>2663</v>
      </c>
      <c r="D275" t="s">
        <v>1203</v>
      </c>
      <c r="E275" t="s">
        <v>1204</v>
      </c>
      <c r="F275" t="s">
        <v>2664</v>
      </c>
      <c r="G275">
        <v>6105</v>
      </c>
      <c r="H275">
        <v>6266</v>
      </c>
      <c r="I275">
        <v>6432</v>
      </c>
      <c r="J275">
        <v>6603</v>
      </c>
      <c r="K275">
        <v>6777</v>
      </c>
      <c r="L275" t="s">
        <v>988</v>
      </c>
    </row>
    <row r="276" spans="1:12" x14ac:dyDescent="0.3">
      <c r="A276">
        <v>1053</v>
      </c>
      <c r="B276" t="s">
        <v>1553</v>
      </c>
      <c r="C276" t="s">
        <v>2663</v>
      </c>
      <c r="D276" t="s">
        <v>1203</v>
      </c>
      <c r="E276" t="s">
        <v>1204</v>
      </c>
      <c r="F276" t="s">
        <v>2664</v>
      </c>
      <c r="G276">
        <v>6657</v>
      </c>
      <c r="H276">
        <v>6683</v>
      </c>
      <c r="I276">
        <v>6709</v>
      </c>
      <c r="J276">
        <v>6736</v>
      </c>
      <c r="K276">
        <v>6762</v>
      </c>
      <c r="L276" t="s">
        <v>988</v>
      </c>
    </row>
    <row r="277" spans="1:12" x14ac:dyDescent="0.3">
      <c r="A277">
        <v>1053</v>
      </c>
      <c r="B277" t="s">
        <v>1553</v>
      </c>
      <c r="C277" t="s">
        <v>2663</v>
      </c>
      <c r="D277" t="s">
        <v>1203</v>
      </c>
      <c r="E277" t="s">
        <v>1204</v>
      </c>
      <c r="F277" t="s">
        <v>2665</v>
      </c>
      <c r="G277">
        <v>6657</v>
      </c>
      <c r="H277">
        <v>6683</v>
      </c>
      <c r="I277">
        <v>6709</v>
      </c>
      <c r="J277">
        <v>6736</v>
      </c>
      <c r="K277">
        <v>6762</v>
      </c>
      <c r="L277" t="s">
        <v>988</v>
      </c>
    </row>
    <row r="278" spans="1:12" x14ac:dyDescent="0.3">
      <c r="A278">
        <v>1054</v>
      </c>
      <c r="B278" t="s">
        <v>1554</v>
      </c>
      <c r="C278" t="s">
        <v>2663</v>
      </c>
      <c r="D278" t="s">
        <v>1203</v>
      </c>
      <c r="E278" t="s">
        <v>1204</v>
      </c>
      <c r="F278" t="s">
        <v>2665</v>
      </c>
      <c r="G278">
        <v>10753</v>
      </c>
      <c r="H278">
        <v>10796</v>
      </c>
      <c r="I278">
        <v>10840</v>
      </c>
      <c r="J278">
        <v>10883</v>
      </c>
      <c r="K278">
        <v>10927</v>
      </c>
      <c r="L278" t="s">
        <v>988</v>
      </c>
    </row>
    <row r="279" spans="1:12" x14ac:dyDescent="0.3">
      <c r="A279">
        <v>1054</v>
      </c>
      <c r="B279" t="s">
        <v>1554</v>
      </c>
      <c r="C279" t="s">
        <v>2663</v>
      </c>
      <c r="D279" t="s">
        <v>1203</v>
      </c>
      <c r="E279" t="s">
        <v>1204</v>
      </c>
      <c r="F279" t="s">
        <v>2664</v>
      </c>
      <c r="G279">
        <v>10753</v>
      </c>
      <c r="H279">
        <v>10796</v>
      </c>
      <c r="I279">
        <v>10840</v>
      </c>
      <c r="J279">
        <v>10883</v>
      </c>
      <c r="K279">
        <v>10927</v>
      </c>
      <c r="L279" t="s">
        <v>988</v>
      </c>
    </row>
    <row r="280" spans="1:12" x14ac:dyDescent="0.3">
      <c r="A280">
        <v>1057</v>
      </c>
      <c r="B280" t="s">
        <v>1555</v>
      </c>
      <c r="C280" t="s">
        <v>2663</v>
      </c>
      <c r="D280" t="s">
        <v>1203</v>
      </c>
      <c r="E280" t="s">
        <v>1204</v>
      </c>
      <c r="F280" t="s">
        <v>2664</v>
      </c>
      <c r="G280">
        <v>6062</v>
      </c>
      <c r="H280">
        <v>6189</v>
      </c>
      <c r="I280">
        <v>6318</v>
      </c>
      <c r="J280">
        <v>6450</v>
      </c>
      <c r="K280">
        <v>6585</v>
      </c>
      <c r="L280" t="s">
        <v>988</v>
      </c>
    </row>
    <row r="281" spans="1:12" x14ac:dyDescent="0.3">
      <c r="A281">
        <v>1057</v>
      </c>
      <c r="B281" t="s">
        <v>1555</v>
      </c>
      <c r="C281" t="s">
        <v>2663</v>
      </c>
      <c r="D281" t="s">
        <v>1203</v>
      </c>
      <c r="E281" t="s">
        <v>1204</v>
      </c>
      <c r="F281" t="s">
        <v>2665</v>
      </c>
      <c r="G281">
        <v>6062</v>
      </c>
      <c r="H281">
        <v>6189</v>
      </c>
      <c r="I281">
        <v>6318</v>
      </c>
      <c r="J281">
        <v>6450</v>
      </c>
      <c r="K281">
        <v>6585</v>
      </c>
      <c r="L281" t="s">
        <v>988</v>
      </c>
    </row>
    <row r="282" spans="1:12" x14ac:dyDescent="0.3">
      <c r="A282">
        <v>1058</v>
      </c>
      <c r="B282" t="s">
        <v>1556</v>
      </c>
      <c r="C282" t="s">
        <v>2663</v>
      </c>
      <c r="D282" t="s">
        <v>1203</v>
      </c>
      <c r="E282" t="s">
        <v>1204</v>
      </c>
      <c r="F282" t="s">
        <v>2664</v>
      </c>
      <c r="G282">
        <v>2954</v>
      </c>
      <c r="H282">
        <v>2988</v>
      </c>
      <c r="I282">
        <v>3022</v>
      </c>
      <c r="J282">
        <v>3056</v>
      </c>
      <c r="K282">
        <v>3091</v>
      </c>
      <c r="L282" t="s">
        <v>988</v>
      </c>
    </row>
    <row r="283" spans="1:12" x14ac:dyDescent="0.3">
      <c r="A283">
        <v>1058</v>
      </c>
      <c r="B283" t="s">
        <v>1556</v>
      </c>
      <c r="C283" t="s">
        <v>2663</v>
      </c>
      <c r="D283" t="s">
        <v>1203</v>
      </c>
      <c r="E283" t="s">
        <v>1204</v>
      </c>
      <c r="F283" t="s">
        <v>2665</v>
      </c>
      <c r="G283">
        <v>2954</v>
      </c>
      <c r="H283">
        <v>2988</v>
      </c>
      <c r="I283">
        <v>3022</v>
      </c>
      <c r="J283">
        <v>3056</v>
      </c>
      <c r="K283">
        <v>3091</v>
      </c>
      <c r="L283" t="s">
        <v>988</v>
      </c>
    </row>
    <row r="284" spans="1:12" x14ac:dyDescent="0.3">
      <c r="A284">
        <v>1059</v>
      </c>
      <c r="B284" t="s">
        <v>1557</v>
      </c>
      <c r="C284" t="s">
        <v>2663</v>
      </c>
      <c r="D284" t="s">
        <v>1203</v>
      </c>
      <c r="E284" t="s">
        <v>1204</v>
      </c>
      <c r="F284" t="s">
        <v>2664</v>
      </c>
      <c r="G284">
        <v>2426</v>
      </c>
      <c r="H284">
        <v>2452</v>
      </c>
      <c r="I284">
        <v>2477</v>
      </c>
      <c r="J284">
        <v>2504</v>
      </c>
      <c r="K284">
        <v>2530</v>
      </c>
      <c r="L284" t="s">
        <v>988</v>
      </c>
    </row>
    <row r="285" spans="1:12" x14ac:dyDescent="0.3">
      <c r="A285">
        <v>1059</v>
      </c>
      <c r="B285" t="s">
        <v>1557</v>
      </c>
      <c r="C285" t="s">
        <v>2663</v>
      </c>
      <c r="D285" t="s">
        <v>1203</v>
      </c>
      <c r="E285" t="s">
        <v>1204</v>
      </c>
      <c r="F285" t="s">
        <v>2665</v>
      </c>
      <c r="G285">
        <v>2426</v>
      </c>
      <c r="H285">
        <v>2452</v>
      </c>
      <c r="I285">
        <v>2477</v>
      </c>
      <c r="J285">
        <v>2504</v>
      </c>
      <c r="K285">
        <v>2530</v>
      </c>
      <c r="L285" t="s">
        <v>988</v>
      </c>
    </row>
    <row r="286" spans="1:12" x14ac:dyDescent="0.3">
      <c r="A286">
        <v>1060</v>
      </c>
      <c r="B286" t="s">
        <v>1558</v>
      </c>
      <c r="C286" t="s">
        <v>2663</v>
      </c>
      <c r="D286" t="s">
        <v>1203</v>
      </c>
      <c r="E286" t="s">
        <v>1204</v>
      </c>
      <c r="F286" t="s">
        <v>2665</v>
      </c>
      <c r="G286">
        <v>27439</v>
      </c>
      <c r="H286">
        <v>27847</v>
      </c>
      <c r="I286">
        <v>28261</v>
      </c>
      <c r="J286">
        <v>28681</v>
      </c>
      <c r="K286">
        <v>29108</v>
      </c>
      <c r="L286" t="s">
        <v>988</v>
      </c>
    </row>
    <row r="287" spans="1:12" x14ac:dyDescent="0.3">
      <c r="A287">
        <v>1060</v>
      </c>
      <c r="B287" t="s">
        <v>1558</v>
      </c>
      <c r="C287" t="s">
        <v>2663</v>
      </c>
      <c r="D287" t="s">
        <v>1203</v>
      </c>
      <c r="E287" t="s">
        <v>1204</v>
      </c>
      <c r="F287" t="s">
        <v>2664</v>
      </c>
      <c r="G287">
        <v>27439</v>
      </c>
      <c r="H287">
        <v>27847</v>
      </c>
      <c r="I287">
        <v>28261</v>
      </c>
      <c r="J287">
        <v>28681</v>
      </c>
      <c r="K287">
        <v>29108</v>
      </c>
      <c r="L287" t="s">
        <v>988</v>
      </c>
    </row>
    <row r="288" spans="1:12" x14ac:dyDescent="0.3">
      <c r="A288">
        <v>1062</v>
      </c>
      <c r="B288" t="s">
        <v>1559</v>
      </c>
      <c r="C288" t="s">
        <v>2663</v>
      </c>
      <c r="D288" t="s">
        <v>1203</v>
      </c>
      <c r="E288" t="s">
        <v>1204</v>
      </c>
      <c r="F288" t="s">
        <v>2665</v>
      </c>
      <c r="G288">
        <v>14387</v>
      </c>
      <c r="H288">
        <v>14777</v>
      </c>
      <c r="I288">
        <v>15176</v>
      </c>
      <c r="J288">
        <v>15587</v>
      </c>
      <c r="K288">
        <v>16009</v>
      </c>
      <c r="L288" t="s">
        <v>988</v>
      </c>
    </row>
    <row r="289" spans="1:12" x14ac:dyDescent="0.3">
      <c r="A289">
        <v>1062</v>
      </c>
      <c r="B289" t="s">
        <v>1559</v>
      </c>
      <c r="C289" t="s">
        <v>2663</v>
      </c>
      <c r="D289" t="s">
        <v>1203</v>
      </c>
      <c r="E289" t="s">
        <v>1204</v>
      </c>
      <c r="F289" t="s">
        <v>2664</v>
      </c>
      <c r="G289">
        <v>14387</v>
      </c>
      <c r="H289">
        <v>14777</v>
      </c>
      <c r="I289">
        <v>15176</v>
      </c>
      <c r="J289">
        <v>15587</v>
      </c>
      <c r="K289">
        <v>16009</v>
      </c>
      <c r="L289" t="s">
        <v>988</v>
      </c>
    </row>
    <row r="290" spans="1:12" x14ac:dyDescent="0.3">
      <c r="A290">
        <v>1068</v>
      </c>
      <c r="B290" t="s">
        <v>1560</v>
      </c>
      <c r="C290" t="s">
        <v>2663</v>
      </c>
      <c r="D290" t="s">
        <v>159</v>
      </c>
      <c r="E290" t="s">
        <v>159</v>
      </c>
      <c r="F290" t="s">
        <v>2665</v>
      </c>
      <c r="G290">
        <v>11634</v>
      </c>
      <c r="H290">
        <v>12097</v>
      </c>
      <c r="I290">
        <v>12333</v>
      </c>
      <c r="J290">
        <v>12509</v>
      </c>
      <c r="K290">
        <v>0</v>
      </c>
      <c r="L290" t="s">
        <v>988</v>
      </c>
    </row>
    <row r="291" spans="1:12" x14ac:dyDescent="0.3">
      <c r="A291">
        <v>1068</v>
      </c>
      <c r="B291" t="s">
        <v>1560</v>
      </c>
      <c r="C291" t="s">
        <v>2663</v>
      </c>
      <c r="D291" t="s">
        <v>159</v>
      </c>
      <c r="E291" t="s">
        <v>159</v>
      </c>
      <c r="F291" t="s">
        <v>2664</v>
      </c>
      <c r="G291">
        <v>16240</v>
      </c>
      <c r="H291">
        <v>16244</v>
      </c>
      <c r="I291">
        <v>16244</v>
      </c>
      <c r="J291">
        <v>16244</v>
      </c>
      <c r="K291">
        <v>0</v>
      </c>
      <c r="L291" t="s">
        <v>988</v>
      </c>
    </row>
    <row r="292" spans="1:12" x14ac:dyDescent="0.3">
      <c r="A292">
        <v>1083</v>
      </c>
      <c r="B292" t="s">
        <v>1561</v>
      </c>
      <c r="C292" t="s">
        <v>2663</v>
      </c>
      <c r="D292" t="s">
        <v>1203</v>
      </c>
      <c r="E292" t="s">
        <v>1204</v>
      </c>
      <c r="F292" t="s">
        <v>2665</v>
      </c>
      <c r="G292">
        <v>10320.669839550001</v>
      </c>
      <c r="H292">
        <v>9740.6500359000001</v>
      </c>
      <c r="I292">
        <v>8669.6081762499998</v>
      </c>
      <c r="J292">
        <v>7518.7752325000001</v>
      </c>
      <c r="K292">
        <v>6773.03548495</v>
      </c>
      <c r="L292" t="s">
        <v>988</v>
      </c>
    </row>
    <row r="293" spans="1:12" x14ac:dyDescent="0.3">
      <c r="A293">
        <v>1083</v>
      </c>
      <c r="B293" t="s">
        <v>1561</v>
      </c>
      <c r="C293" t="s">
        <v>2663</v>
      </c>
      <c r="D293" t="s">
        <v>1203</v>
      </c>
      <c r="E293" t="s">
        <v>1204</v>
      </c>
      <c r="F293" t="s">
        <v>2664</v>
      </c>
      <c r="G293">
        <v>36332.563256150002</v>
      </c>
      <c r="H293">
        <v>38913.497938</v>
      </c>
      <c r="I293">
        <v>38913.497938</v>
      </c>
      <c r="J293">
        <v>38913.497938</v>
      </c>
      <c r="K293">
        <v>38913.497938</v>
      </c>
      <c r="L293" t="s">
        <v>988</v>
      </c>
    </row>
    <row r="294" spans="1:12" x14ac:dyDescent="0.3">
      <c r="A294">
        <v>1094</v>
      </c>
      <c r="B294" t="s">
        <v>1564</v>
      </c>
      <c r="C294" t="s">
        <v>2663</v>
      </c>
      <c r="D294" t="s">
        <v>1203</v>
      </c>
      <c r="E294" t="s">
        <v>1204</v>
      </c>
      <c r="F294" t="s">
        <v>2665</v>
      </c>
      <c r="G294">
        <v>2703.6901958499998</v>
      </c>
      <c r="H294">
        <v>2844.8590369499998</v>
      </c>
      <c r="I294">
        <v>2986.0278780499998</v>
      </c>
      <c r="J294">
        <v>3130.2656069999998</v>
      </c>
      <c r="K294">
        <v>3280.6411116499999</v>
      </c>
      <c r="L294" t="s">
        <v>988</v>
      </c>
    </row>
    <row r="295" spans="1:12" x14ac:dyDescent="0.3">
      <c r="A295">
        <v>1094</v>
      </c>
      <c r="B295" t="s">
        <v>1564</v>
      </c>
      <c r="C295" t="s">
        <v>2663</v>
      </c>
      <c r="D295" t="s">
        <v>1203</v>
      </c>
      <c r="E295" t="s">
        <v>1204</v>
      </c>
      <c r="F295" t="s">
        <v>2664</v>
      </c>
      <c r="G295">
        <v>9722.2367087999992</v>
      </c>
      <c r="H295">
        <v>9722.2367087999992</v>
      </c>
      <c r="I295">
        <v>9722.2367087999992</v>
      </c>
      <c r="J295">
        <v>9722.2367087999992</v>
      </c>
      <c r="K295">
        <v>9722.2367087999992</v>
      </c>
      <c r="L295" t="s">
        <v>988</v>
      </c>
    </row>
    <row r="296" spans="1:12" x14ac:dyDescent="0.3">
      <c r="A296">
        <v>1109</v>
      </c>
      <c r="B296" t="s">
        <v>1566</v>
      </c>
      <c r="C296" t="s">
        <v>2663</v>
      </c>
      <c r="D296" t="s">
        <v>1203</v>
      </c>
      <c r="E296" t="s">
        <v>1204</v>
      </c>
      <c r="F296" t="s">
        <v>2664</v>
      </c>
      <c r="G296">
        <v>435.78207470000001</v>
      </c>
      <c r="H296">
        <v>448.05762609999999</v>
      </c>
      <c r="I296">
        <v>463.40206534999999</v>
      </c>
      <c r="J296">
        <v>487.95316815000001</v>
      </c>
      <c r="K296">
        <v>521.71093450000001</v>
      </c>
      <c r="L296" t="s">
        <v>988</v>
      </c>
    </row>
    <row r="297" spans="1:12" x14ac:dyDescent="0.3">
      <c r="A297">
        <v>1109</v>
      </c>
      <c r="B297" t="s">
        <v>1566</v>
      </c>
      <c r="C297" t="s">
        <v>2663</v>
      </c>
      <c r="D297" t="s">
        <v>1203</v>
      </c>
      <c r="E297" t="s">
        <v>1204</v>
      </c>
      <c r="F297" t="s">
        <v>2665</v>
      </c>
      <c r="G297">
        <v>435.78207470000001</v>
      </c>
      <c r="H297">
        <v>444.98873824999998</v>
      </c>
      <c r="I297">
        <v>463.40206534999999</v>
      </c>
      <c r="J297">
        <v>487.95316815000001</v>
      </c>
      <c r="K297">
        <v>521.71093450000001</v>
      </c>
      <c r="L297" t="s">
        <v>988</v>
      </c>
    </row>
    <row r="298" spans="1:12" x14ac:dyDescent="0.3">
      <c r="A298">
        <v>1110</v>
      </c>
      <c r="B298" t="s">
        <v>1571</v>
      </c>
      <c r="C298" t="s">
        <v>2663</v>
      </c>
      <c r="D298" t="s">
        <v>1203</v>
      </c>
      <c r="E298" t="s">
        <v>1204</v>
      </c>
      <c r="F298" t="s">
        <v>2664</v>
      </c>
      <c r="G298">
        <v>1624</v>
      </c>
      <c r="H298">
        <v>1624</v>
      </c>
      <c r="I298">
        <v>1624</v>
      </c>
      <c r="J298">
        <v>1674</v>
      </c>
      <c r="K298">
        <v>1724</v>
      </c>
      <c r="L298" t="s">
        <v>988</v>
      </c>
    </row>
    <row r="299" spans="1:12" x14ac:dyDescent="0.3">
      <c r="A299">
        <v>1110</v>
      </c>
      <c r="B299" t="s">
        <v>1571</v>
      </c>
      <c r="C299" t="s">
        <v>2663</v>
      </c>
      <c r="D299" t="s">
        <v>1203</v>
      </c>
      <c r="E299" t="s">
        <v>1204</v>
      </c>
      <c r="F299" t="s">
        <v>2665</v>
      </c>
      <c r="G299">
        <v>1375</v>
      </c>
      <c r="H299">
        <v>1464</v>
      </c>
      <c r="I299">
        <v>1550</v>
      </c>
      <c r="J299">
        <v>1636</v>
      </c>
      <c r="K299">
        <v>1723</v>
      </c>
      <c r="L299" t="s">
        <v>988</v>
      </c>
    </row>
    <row r="300" spans="1:12" x14ac:dyDescent="0.3">
      <c r="A300">
        <v>1125</v>
      </c>
      <c r="B300" t="s">
        <v>1572</v>
      </c>
      <c r="C300" t="s">
        <v>2663</v>
      </c>
      <c r="D300" t="s">
        <v>1203</v>
      </c>
      <c r="E300" t="s">
        <v>1204</v>
      </c>
      <c r="F300" t="s">
        <v>2665</v>
      </c>
      <c r="G300">
        <v>11623</v>
      </c>
      <c r="H300">
        <v>12172</v>
      </c>
      <c r="I300">
        <v>12748</v>
      </c>
      <c r="J300">
        <v>13351</v>
      </c>
      <c r="K300">
        <v>13983</v>
      </c>
      <c r="L300" t="s">
        <v>988</v>
      </c>
    </row>
    <row r="301" spans="1:12" x14ac:dyDescent="0.3">
      <c r="A301">
        <v>1125</v>
      </c>
      <c r="B301" t="s">
        <v>1572</v>
      </c>
      <c r="C301" t="s">
        <v>2663</v>
      </c>
      <c r="D301" t="s">
        <v>1203</v>
      </c>
      <c r="E301" t="s">
        <v>1204</v>
      </c>
      <c r="F301" t="s">
        <v>2664</v>
      </c>
      <c r="G301">
        <v>15110</v>
      </c>
      <c r="H301">
        <v>15351</v>
      </c>
      <c r="I301">
        <v>15602</v>
      </c>
      <c r="J301">
        <v>15866</v>
      </c>
      <c r="K301">
        <v>16142</v>
      </c>
      <c r="L301" t="s">
        <v>988</v>
      </c>
    </row>
    <row r="302" spans="1:12" x14ac:dyDescent="0.3">
      <c r="A302">
        <v>1142</v>
      </c>
      <c r="B302" t="s">
        <v>1574</v>
      </c>
      <c r="C302" t="s">
        <v>2663</v>
      </c>
      <c r="D302" t="s">
        <v>1203</v>
      </c>
      <c r="E302" t="s">
        <v>1204</v>
      </c>
      <c r="F302" t="s">
        <v>2665</v>
      </c>
      <c r="G302">
        <v>3925.1419999999998</v>
      </c>
      <c r="H302">
        <v>3906.0830000000001</v>
      </c>
      <c r="I302">
        <v>3912.4540000000002</v>
      </c>
      <c r="J302">
        <v>3923.3380000000002</v>
      </c>
      <c r="K302">
        <v>3957.819</v>
      </c>
      <c r="L302" t="s">
        <v>988</v>
      </c>
    </row>
    <row r="303" spans="1:12" x14ac:dyDescent="0.3">
      <c r="A303">
        <v>1142</v>
      </c>
      <c r="B303" t="s">
        <v>1574</v>
      </c>
      <c r="C303" t="s">
        <v>2663</v>
      </c>
      <c r="D303" t="s">
        <v>1203</v>
      </c>
      <c r="E303" t="s">
        <v>1204</v>
      </c>
      <c r="F303" t="s">
        <v>2664</v>
      </c>
      <c r="G303">
        <v>3925</v>
      </c>
      <c r="H303">
        <v>3906</v>
      </c>
      <c r="I303">
        <v>3912</v>
      </c>
      <c r="J303">
        <v>3923</v>
      </c>
      <c r="K303">
        <v>3958</v>
      </c>
      <c r="L303" t="s">
        <v>988</v>
      </c>
    </row>
    <row r="304" spans="1:12" x14ac:dyDescent="0.3">
      <c r="A304">
        <v>1143</v>
      </c>
      <c r="B304" t="s">
        <v>1575</v>
      </c>
      <c r="C304" t="s">
        <v>2663</v>
      </c>
      <c r="D304" t="s">
        <v>1203</v>
      </c>
      <c r="E304" t="s">
        <v>1204</v>
      </c>
      <c r="F304" t="s">
        <v>2664</v>
      </c>
      <c r="G304">
        <v>20141.110959549998</v>
      </c>
      <c r="H304">
        <v>21058.708426699999</v>
      </c>
      <c r="I304">
        <v>22240.23024895</v>
      </c>
      <c r="J304">
        <v>23541.43869735</v>
      </c>
      <c r="K304">
        <v>0</v>
      </c>
      <c r="L304" t="s">
        <v>988</v>
      </c>
    </row>
    <row r="305" spans="1:12" x14ac:dyDescent="0.3">
      <c r="A305">
        <v>1143</v>
      </c>
      <c r="B305" t="s">
        <v>1575</v>
      </c>
      <c r="C305" t="s">
        <v>2663</v>
      </c>
      <c r="D305" t="s">
        <v>1203</v>
      </c>
      <c r="E305" t="s">
        <v>1204</v>
      </c>
      <c r="F305" t="s">
        <v>2665</v>
      </c>
      <c r="G305">
        <v>20134.973183850001</v>
      </c>
      <c r="H305">
        <v>21058.708426699999</v>
      </c>
      <c r="I305">
        <v>22237.161361099999</v>
      </c>
      <c r="J305">
        <v>23541.43869735</v>
      </c>
      <c r="K305">
        <v>0</v>
      </c>
      <c r="L305" t="s">
        <v>988</v>
      </c>
    </row>
    <row r="306" spans="1:12" x14ac:dyDescent="0.3">
      <c r="A306">
        <v>1144</v>
      </c>
      <c r="B306" t="s">
        <v>1581</v>
      </c>
      <c r="C306" t="s">
        <v>2663</v>
      </c>
      <c r="D306" t="s">
        <v>1203</v>
      </c>
      <c r="E306" t="s">
        <v>1204</v>
      </c>
      <c r="F306" t="s">
        <v>2665</v>
      </c>
      <c r="G306">
        <v>2212.66813985</v>
      </c>
      <c r="H306">
        <v>2611.6235603499999</v>
      </c>
      <c r="I306">
        <v>2734.3790743499999</v>
      </c>
      <c r="J306">
        <v>2866.3412518999999</v>
      </c>
      <c r="K306">
        <v>3013.6478686999999</v>
      </c>
      <c r="L306" t="s">
        <v>988</v>
      </c>
    </row>
    <row r="307" spans="1:12" x14ac:dyDescent="0.3">
      <c r="A307">
        <v>1144</v>
      </c>
      <c r="B307" t="s">
        <v>1581</v>
      </c>
      <c r="C307" t="s">
        <v>2663</v>
      </c>
      <c r="D307" t="s">
        <v>1203</v>
      </c>
      <c r="E307" t="s">
        <v>1204</v>
      </c>
      <c r="F307" t="s">
        <v>2664</v>
      </c>
      <c r="G307">
        <v>5603.7892141000002</v>
      </c>
      <c r="H307">
        <v>6328.0467466999999</v>
      </c>
      <c r="I307">
        <v>6328.0467466999999</v>
      </c>
      <c r="J307">
        <v>7227.2308867499996</v>
      </c>
      <c r="K307">
        <v>7227.2308867499996</v>
      </c>
      <c r="L307" t="s">
        <v>988</v>
      </c>
    </row>
    <row r="308" spans="1:12" x14ac:dyDescent="0.3">
      <c r="A308">
        <v>1154</v>
      </c>
      <c r="B308" t="s">
        <v>1586</v>
      </c>
      <c r="C308" t="s">
        <v>2663</v>
      </c>
      <c r="D308" t="s">
        <v>159</v>
      </c>
      <c r="E308" t="s">
        <v>159</v>
      </c>
      <c r="F308" t="s">
        <v>2664</v>
      </c>
      <c r="G308">
        <v>31033</v>
      </c>
      <c r="H308">
        <v>31964</v>
      </c>
      <c r="I308">
        <v>32674</v>
      </c>
      <c r="J308">
        <v>33114</v>
      </c>
      <c r="K308">
        <v>33468</v>
      </c>
      <c r="L308" t="s">
        <v>988</v>
      </c>
    </row>
    <row r="309" spans="1:12" x14ac:dyDescent="0.3">
      <c r="A309">
        <v>1154</v>
      </c>
      <c r="B309" t="s">
        <v>1586</v>
      </c>
      <c r="C309" t="s">
        <v>2663</v>
      </c>
      <c r="D309" t="s">
        <v>159</v>
      </c>
      <c r="E309" t="s">
        <v>159</v>
      </c>
      <c r="F309" t="s">
        <v>2665</v>
      </c>
      <c r="G309">
        <v>31033</v>
      </c>
      <c r="H309">
        <v>31964</v>
      </c>
      <c r="I309">
        <v>32674</v>
      </c>
      <c r="J309">
        <v>33114</v>
      </c>
      <c r="K309">
        <v>33468</v>
      </c>
      <c r="L309" t="s">
        <v>988</v>
      </c>
    </row>
    <row r="310" spans="1:12" x14ac:dyDescent="0.3">
      <c r="A310">
        <v>1157</v>
      </c>
      <c r="B310" t="s">
        <v>1587</v>
      </c>
      <c r="C310" t="s">
        <v>2663</v>
      </c>
      <c r="D310" t="s">
        <v>1203</v>
      </c>
      <c r="E310" t="s">
        <v>1204</v>
      </c>
      <c r="F310" t="s">
        <v>2664</v>
      </c>
      <c r="G310">
        <v>4167</v>
      </c>
      <c r="H310">
        <v>4245</v>
      </c>
      <c r="I310">
        <v>4324</v>
      </c>
      <c r="J310">
        <v>4405</v>
      </c>
      <c r="K310">
        <v>4488</v>
      </c>
      <c r="L310" t="s">
        <v>988</v>
      </c>
    </row>
    <row r="311" spans="1:12" x14ac:dyDescent="0.3">
      <c r="A311">
        <v>1157</v>
      </c>
      <c r="B311" t="s">
        <v>1587</v>
      </c>
      <c r="C311" t="s">
        <v>2663</v>
      </c>
      <c r="D311" t="s">
        <v>1203</v>
      </c>
      <c r="E311" t="s">
        <v>1204</v>
      </c>
      <c r="F311" t="s">
        <v>2665</v>
      </c>
      <c r="G311">
        <v>4167</v>
      </c>
      <c r="H311">
        <v>4245</v>
      </c>
      <c r="I311">
        <v>4324</v>
      </c>
      <c r="J311">
        <v>4405</v>
      </c>
      <c r="K311">
        <v>4488</v>
      </c>
      <c r="L311" t="s">
        <v>988</v>
      </c>
    </row>
    <row r="312" spans="1:12" x14ac:dyDescent="0.3">
      <c r="A312">
        <v>1166</v>
      </c>
      <c r="B312" t="s">
        <v>1589</v>
      </c>
      <c r="C312" t="s">
        <v>2663</v>
      </c>
      <c r="D312" t="s">
        <v>1203</v>
      </c>
      <c r="E312" t="s">
        <v>1204</v>
      </c>
      <c r="F312" t="s">
        <v>2664</v>
      </c>
      <c r="G312">
        <v>15750</v>
      </c>
      <c r="H312">
        <v>17290</v>
      </c>
      <c r="I312">
        <v>18490</v>
      </c>
      <c r="J312">
        <v>19740</v>
      </c>
      <c r="K312">
        <v>20920</v>
      </c>
      <c r="L312" t="s">
        <v>988</v>
      </c>
    </row>
    <row r="313" spans="1:12" x14ac:dyDescent="0.3">
      <c r="A313">
        <v>1166</v>
      </c>
      <c r="B313" t="s">
        <v>1589</v>
      </c>
      <c r="C313" t="s">
        <v>2663</v>
      </c>
      <c r="D313" t="s">
        <v>1203</v>
      </c>
      <c r="E313" t="s">
        <v>1204</v>
      </c>
      <c r="F313" t="s">
        <v>2665</v>
      </c>
      <c r="G313">
        <v>15750</v>
      </c>
      <c r="H313">
        <v>17290</v>
      </c>
      <c r="I313">
        <v>18490</v>
      </c>
      <c r="J313">
        <v>19740</v>
      </c>
      <c r="K313">
        <v>20920</v>
      </c>
      <c r="L313" t="s">
        <v>988</v>
      </c>
    </row>
    <row r="314" spans="1:12" x14ac:dyDescent="0.3">
      <c r="A314">
        <v>1167</v>
      </c>
      <c r="B314" t="s">
        <v>1590</v>
      </c>
      <c r="C314" t="s">
        <v>2663</v>
      </c>
      <c r="D314" t="s">
        <v>1203</v>
      </c>
      <c r="E314" t="s">
        <v>1204</v>
      </c>
      <c r="F314" t="s">
        <v>2665</v>
      </c>
      <c r="G314">
        <v>3056</v>
      </c>
      <c r="H314">
        <v>3149</v>
      </c>
      <c r="I314">
        <v>3222</v>
      </c>
      <c r="J314">
        <v>3292</v>
      </c>
      <c r="K314">
        <v>3354</v>
      </c>
      <c r="L314" t="s">
        <v>988</v>
      </c>
    </row>
    <row r="315" spans="1:12" x14ac:dyDescent="0.3">
      <c r="A315">
        <v>1167</v>
      </c>
      <c r="B315" t="s">
        <v>1590</v>
      </c>
      <c r="C315" t="s">
        <v>2663</v>
      </c>
      <c r="D315" t="s">
        <v>1203</v>
      </c>
      <c r="E315" t="s">
        <v>1204</v>
      </c>
      <c r="F315" t="s">
        <v>2664</v>
      </c>
      <c r="G315">
        <v>3056</v>
      </c>
      <c r="H315">
        <v>3149</v>
      </c>
      <c r="I315">
        <v>3222</v>
      </c>
      <c r="J315">
        <v>3292</v>
      </c>
      <c r="K315">
        <v>3354</v>
      </c>
      <c r="L315" t="s">
        <v>988</v>
      </c>
    </row>
    <row r="316" spans="1:12" x14ac:dyDescent="0.3">
      <c r="A316">
        <v>1181</v>
      </c>
      <c r="B316" t="s">
        <v>1592</v>
      </c>
      <c r="C316" t="s">
        <v>2663</v>
      </c>
      <c r="D316" t="s">
        <v>1203</v>
      </c>
      <c r="E316" t="s">
        <v>1204</v>
      </c>
      <c r="F316" t="s">
        <v>2664</v>
      </c>
      <c r="G316">
        <v>4585</v>
      </c>
      <c r="H316">
        <v>4585</v>
      </c>
      <c r="I316">
        <v>4585</v>
      </c>
      <c r="J316">
        <v>4585</v>
      </c>
      <c r="K316">
        <v>4585</v>
      </c>
      <c r="L316" t="s">
        <v>988</v>
      </c>
    </row>
    <row r="317" spans="1:12" x14ac:dyDescent="0.3">
      <c r="A317">
        <v>1181</v>
      </c>
      <c r="B317" t="s">
        <v>1592</v>
      </c>
      <c r="C317" t="s">
        <v>2663</v>
      </c>
      <c r="D317" t="s">
        <v>1203</v>
      </c>
      <c r="E317" t="s">
        <v>1204</v>
      </c>
      <c r="F317" t="s">
        <v>2665</v>
      </c>
      <c r="G317">
        <v>3564</v>
      </c>
      <c r="H317">
        <v>3738</v>
      </c>
      <c r="I317">
        <v>3715</v>
      </c>
      <c r="J317">
        <v>3689</v>
      </c>
      <c r="K317">
        <v>3669</v>
      </c>
      <c r="L317" t="s">
        <v>988</v>
      </c>
    </row>
    <row r="318" spans="1:12" x14ac:dyDescent="0.3">
      <c r="A318">
        <v>1188</v>
      </c>
      <c r="B318" t="s">
        <v>1593</v>
      </c>
      <c r="C318" t="s">
        <v>2663</v>
      </c>
      <c r="D318" t="s">
        <v>1203</v>
      </c>
      <c r="E318" t="s">
        <v>1204</v>
      </c>
      <c r="F318" t="s">
        <v>2665</v>
      </c>
      <c r="G318">
        <v>3786</v>
      </c>
      <c r="H318">
        <v>4223</v>
      </c>
      <c r="I318">
        <v>4962</v>
      </c>
      <c r="J318">
        <v>5626</v>
      </c>
      <c r="K318">
        <v>0</v>
      </c>
      <c r="L318" t="s">
        <v>988</v>
      </c>
    </row>
    <row r="319" spans="1:12" x14ac:dyDescent="0.3">
      <c r="A319">
        <v>1188</v>
      </c>
      <c r="B319" t="s">
        <v>1593</v>
      </c>
      <c r="C319" t="s">
        <v>2663</v>
      </c>
      <c r="D319" t="s">
        <v>1203</v>
      </c>
      <c r="E319" t="s">
        <v>1204</v>
      </c>
      <c r="F319" t="s">
        <v>2664</v>
      </c>
      <c r="G319">
        <v>3786</v>
      </c>
      <c r="H319">
        <v>4223</v>
      </c>
      <c r="I319">
        <v>4962</v>
      </c>
      <c r="J319">
        <v>5626</v>
      </c>
      <c r="K319">
        <v>0</v>
      </c>
      <c r="L319" t="s">
        <v>988</v>
      </c>
    </row>
    <row r="320" spans="1:12" x14ac:dyDescent="0.3">
      <c r="A320">
        <v>1210</v>
      </c>
      <c r="B320" t="s">
        <v>1595</v>
      </c>
      <c r="C320" t="s">
        <v>2663</v>
      </c>
      <c r="D320" t="s">
        <v>159</v>
      </c>
      <c r="E320" t="s">
        <v>159</v>
      </c>
      <c r="F320" t="s">
        <v>2664</v>
      </c>
      <c r="G320">
        <v>3790.0764947500002</v>
      </c>
      <c r="H320">
        <v>3790.0764947500002</v>
      </c>
      <c r="I320">
        <v>3790.0764947500002</v>
      </c>
      <c r="J320">
        <v>3790.0764947500002</v>
      </c>
      <c r="K320">
        <v>3790.0764947500002</v>
      </c>
      <c r="L320" t="s">
        <v>988</v>
      </c>
    </row>
    <row r="321" spans="1:12" x14ac:dyDescent="0.3">
      <c r="A321">
        <v>1210</v>
      </c>
      <c r="B321" t="s">
        <v>1595</v>
      </c>
      <c r="C321" t="s">
        <v>2663</v>
      </c>
      <c r="D321" t="s">
        <v>159</v>
      </c>
      <c r="E321" t="s">
        <v>159</v>
      </c>
      <c r="F321" t="s">
        <v>2665</v>
      </c>
      <c r="G321">
        <v>2237.2192426500001</v>
      </c>
      <c r="H321">
        <v>2301.6658874999998</v>
      </c>
      <c r="I321">
        <v>2372.2503080500001</v>
      </c>
      <c r="J321">
        <v>2442.8347285999998</v>
      </c>
      <c r="K321">
        <v>2507.28137345</v>
      </c>
      <c r="L321" t="s">
        <v>988</v>
      </c>
    </row>
    <row r="322" spans="1:12" x14ac:dyDescent="0.3">
      <c r="A322">
        <v>1215</v>
      </c>
      <c r="B322" t="s">
        <v>1596</v>
      </c>
      <c r="C322" t="s">
        <v>2663</v>
      </c>
      <c r="D322" t="s">
        <v>1203</v>
      </c>
      <c r="E322" t="s">
        <v>1204</v>
      </c>
      <c r="F322" t="s">
        <v>2664</v>
      </c>
      <c r="G322">
        <v>26399</v>
      </c>
      <c r="H322">
        <v>26524</v>
      </c>
      <c r="I322">
        <v>26339</v>
      </c>
      <c r="J322">
        <v>26093</v>
      </c>
      <c r="K322">
        <v>26054</v>
      </c>
      <c r="L322" t="s">
        <v>988</v>
      </c>
    </row>
    <row r="323" spans="1:12" x14ac:dyDescent="0.3">
      <c r="A323">
        <v>1215</v>
      </c>
      <c r="B323" t="s">
        <v>1596</v>
      </c>
      <c r="C323" t="s">
        <v>2663</v>
      </c>
      <c r="D323" t="s">
        <v>1203</v>
      </c>
      <c r="E323" t="s">
        <v>1204</v>
      </c>
      <c r="F323" t="s">
        <v>2665</v>
      </c>
      <c r="G323">
        <v>26399.1</v>
      </c>
      <c r="H323">
        <v>26524</v>
      </c>
      <c r="I323">
        <v>26337</v>
      </c>
      <c r="J323">
        <v>26093</v>
      </c>
      <c r="K323">
        <v>26054</v>
      </c>
      <c r="L323" t="s">
        <v>988</v>
      </c>
    </row>
    <row r="324" spans="1:12" x14ac:dyDescent="0.3">
      <c r="A324">
        <v>1217</v>
      </c>
      <c r="B324" t="s">
        <v>1598</v>
      </c>
      <c r="C324" t="s">
        <v>2663</v>
      </c>
      <c r="D324" t="s">
        <v>1203</v>
      </c>
      <c r="E324" t="s">
        <v>1204</v>
      </c>
      <c r="F324" t="s">
        <v>2664</v>
      </c>
      <c r="G324">
        <v>5152</v>
      </c>
      <c r="H324">
        <v>5152</v>
      </c>
      <c r="I324">
        <v>5152</v>
      </c>
      <c r="J324">
        <v>5152</v>
      </c>
      <c r="K324">
        <v>5152</v>
      </c>
      <c r="L324" t="s">
        <v>988</v>
      </c>
    </row>
    <row r="325" spans="1:12" x14ac:dyDescent="0.3">
      <c r="A325">
        <v>1217</v>
      </c>
      <c r="B325" t="s">
        <v>1598</v>
      </c>
      <c r="C325" t="s">
        <v>2663</v>
      </c>
      <c r="D325" t="s">
        <v>1203</v>
      </c>
      <c r="E325" t="s">
        <v>1204</v>
      </c>
      <c r="F325" t="s">
        <v>2665</v>
      </c>
      <c r="G325">
        <v>4443</v>
      </c>
      <c r="H325">
        <v>4239</v>
      </c>
      <c r="I325">
        <v>4194</v>
      </c>
      <c r="J325">
        <v>4144</v>
      </c>
      <c r="K325">
        <v>4094</v>
      </c>
      <c r="L325" t="s">
        <v>988</v>
      </c>
    </row>
    <row r="326" spans="1:12" x14ac:dyDescent="0.3">
      <c r="A326">
        <v>1225</v>
      </c>
      <c r="B326" t="s">
        <v>1599</v>
      </c>
      <c r="C326" t="s">
        <v>2663</v>
      </c>
      <c r="D326" t="s">
        <v>1203</v>
      </c>
      <c r="E326" t="s">
        <v>1204</v>
      </c>
      <c r="F326" t="s">
        <v>2664</v>
      </c>
      <c r="G326">
        <v>7825.6640175000002</v>
      </c>
      <c r="H326">
        <v>7825.6640175000002</v>
      </c>
      <c r="I326">
        <v>7825.6640175000002</v>
      </c>
      <c r="J326">
        <v>7825.6640175000002</v>
      </c>
      <c r="K326">
        <v>7825.6640175000002</v>
      </c>
      <c r="L326" t="s">
        <v>988</v>
      </c>
    </row>
    <row r="327" spans="1:12" x14ac:dyDescent="0.3">
      <c r="A327">
        <v>1225</v>
      </c>
      <c r="B327" t="s">
        <v>1599</v>
      </c>
      <c r="C327" t="s">
        <v>2663</v>
      </c>
      <c r="D327" t="s">
        <v>1203</v>
      </c>
      <c r="E327" t="s">
        <v>1204</v>
      </c>
      <c r="F327" t="s">
        <v>2665</v>
      </c>
      <c r="G327">
        <v>3345.0877565000001</v>
      </c>
      <c r="H327">
        <v>3630.4943265500001</v>
      </c>
      <c r="I327">
        <v>3906.6942330500001</v>
      </c>
      <c r="J327">
        <v>4164.4808124499996</v>
      </c>
      <c r="K327">
        <v>4406.9229525999999</v>
      </c>
      <c r="L327" t="s">
        <v>988</v>
      </c>
    </row>
    <row r="328" spans="1:12" x14ac:dyDescent="0.3">
      <c r="A328">
        <v>1234</v>
      </c>
      <c r="B328" t="s">
        <v>1600</v>
      </c>
      <c r="C328" t="s">
        <v>2663</v>
      </c>
      <c r="D328" t="s">
        <v>1203</v>
      </c>
      <c r="E328" t="s">
        <v>1204</v>
      </c>
      <c r="F328" t="s">
        <v>2664</v>
      </c>
      <c r="G328">
        <v>20000</v>
      </c>
      <c r="H328">
        <v>20000</v>
      </c>
      <c r="I328">
        <v>20000</v>
      </c>
      <c r="J328">
        <v>20000</v>
      </c>
      <c r="K328">
        <v>20000</v>
      </c>
      <c r="L328" t="s">
        <v>988</v>
      </c>
    </row>
    <row r="329" spans="1:12" x14ac:dyDescent="0.3">
      <c r="A329">
        <v>1234</v>
      </c>
      <c r="B329" t="s">
        <v>1600</v>
      </c>
      <c r="C329" t="s">
        <v>2663</v>
      </c>
      <c r="D329" t="s">
        <v>1203</v>
      </c>
      <c r="E329" t="s">
        <v>1204</v>
      </c>
      <c r="F329" t="s">
        <v>2665</v>
      </c>
      <c r="G329">
        <v>9887</v>
      </c>
      <c r="H329">
        <v>10267</v>
      </c>
      <c r="I329">
        <v>11017</v>
      </c>
      <c r="J329">
        <v>11359</v>
      </c>
      <c r="K329">
        <v>11803</v>
      </c>
      <c r="L329" t="s">
        <v>988</v>
      </c>
    </row>
    <row r="330" spans="1:12" x14ac:dyDescent="0.3">
      <c r="A330">
        <v>1236</v>
      </c>
      <c r="B330" t="s">
        <v>1603</v>
      </c>
      <c r="C330" t="s">
        <v>2663</v>
      </c>
      <c r="D330" t="s">
        <v>1203</v>
      </c>
      <c r="E330" t="s">
        <v>1204</v>
      </c>
      <c r="F330" t="s">
        <v>2664</v>
      </c>
      <c r="G330">
        <v>24792</v>
      </c>
      <c r="H330">
        <v>31592</v>
      </c>
      <c r="I330">
        <v>33384</v>
      </c>
      <c r="J330">
        <v>34738</v>
      </c>
      <c r="K330">
        <v>35997</v>
      </c>
      <c r="L330" t="s">
        <v>988</v>
      </c>
    </row>
    <row r="331" spans="1:12" x14ac:dyDescent="0.3">
      <c r="A331">
        <v>1236</v>
      </c>
      <c r="B331" t="s">
        <v>1603</v>
      </c>
      <c r="C331" t="s">
        <v>2663</v>
      </c>
      <c r="D331" t="s">
        <v>1203</v>
      </c>
      <c r="E331" t="s">
        <v>1204</v>
      </c>
      <c r="F331" t="s">
        <v>2665</v>
      </c>
      <c r="G331">
        <v>24792</v>
      </c>
      <c r="H331">
        <v>31592</v>
      </c>
      <c r="I331">
        <v>33384</v>
      </c>
      <c r="J331">
        <v>34738</v>
      </c>
      <c r="K331">
        <v>35997</v>
      </c>
      <c r="L331" t="s">
        <v>988</v>
      </c>
    </row>
    <row r="332" spans="1:12" x14ac:dyDescent="0.3">
      <c r="A332">
        <v>1238</v>
      </c>
      <c r="B332" t="s">
        <v>1604</v>
      </c>
      <c r="C332" t="s">
        <v>2663</v>
      </c>
      <c r="D332" t="s">
        <v>1203</v>
      </c>
      <c r="E332" t="s">
        <v>1204</v>
      </c>
      <c r="F332" t="s">
        <v>2665</v>
      </c>
      <c r="G332">
        <v>10962</v>
      </c>
      <c r="H332">
        <v>11041</v>
      </c>
      <c r="I332">
        <v>11145</v>
      </c>
      <c r="J332">
        <v>11268</v>
      </c>
      <c r="K332">
        <v>11405</v>
      </c>
      <c r="L332" t="s">
        <v>988</v>
      </c>
    </row>
    <row r="333" spans="1:12" x14ac:dyDescent="0.3">
      <c r="A333">
        <v>1238</v>
      </c>
      <c r="B333" t="s">
        <v>1604</v>
      </c>
      <c r="C333" t="s">
        <v>2663</v>
      </c>
      <c r="D333" t="s">
        <v>1203</v>
      </c>
      <c r="E333" t="s">
        <v>1204</v>
      </c>
      <c r="F333" t="s">
        <v>2664</v>
      </c>
      <c r="G333">
        <v>12000</v>
      </c>
      <c r="H333">
        <v>12000</v>
      </c>
      <c r="I333">
        <v>12000</v>
      </c>
      <c r="J333">
        <v>12000</v>
      </c>
      <c r="K333">
        <v>12000</v>
      </c>
      <c r="L333" t="s">
        <v>988</v>
      </c>
    </row>
    <row r="334" spans="1:12" x14ac:dyDescent="0.3">
      <c r="A334">
        <v>1245</v>
      </c>
      <c r="B334" t="s">
        <v>1606</v>
      </c>
      <c r="C334" t="s">
        <v>2663</v>
      </c>
      <c r="D334" t="s">
        <v>1203</v>
      </c>
      <c r="E334" t="s">
        <v>1204</v>
      </c>
      <c r="F334" t="s">
        <v>2665</v>
      </c>
      <c r="G334">
        <v>96557</v>
      </c>
      <c r="H334">
        <v>103994</v>
      </c>
      <c r="I334">
        <v>111429</v>
      </c>
      <c r="J334">
        <v>118484</v>
      </c>
      <c r="K334">
        <v>0</v>
      </c>
      <c r="L334" t="s">
        <v>988</v>
      </c>
    </row>
    <row r="335" spans="1:12" x14ac:dyDescent="0.3">
      <c r="A335">
        <v>1245</v>
      </c>
      <c r="B335" t="s">
        <v>1606</v>
      </c>
      <c r="C335" t="s">
        <v>2663</v>
      </c>
      <c r="D335" t="s">
        <v>1203</v>
      </c>
      <c r="E335" t="s">
        <v>1204</v>
      </c>
      <c r="F335" t="s">
        <v>2664</v>
      </c>
      <c r="G335">
        <v>178727</v>
      </c>
      <c r="H335">
        <v>178727</v>
      </c>
      <c r="I335">
        <v>178727</v>
      </c>
      <c r="J335">
        <v>178727</v>
      </c>
      <c r="K335">
        <v>0</v>
      </c>
      <c r="L335" t="s">
        <v>988</v>
      </c>
    </row>
    <row r="336" spans="1:12" x14ac:dyDescent="0.3">
      <c r="A336">
        <v>1273</v>
      </c>
      <c r="B336" t="s">
        <v>1609</v>
      </c>
      <c r="C336" t="s">
        <v>2663</v>
      </c>
      <c r="D336" t="s">
        <v>1203</v>
      </c>
      <c r="E336" t="s">
        <v>1204</v>
      </c>
      <c r="F336" t="s">
        <v>2665</v>
      </c>
      <c r="G336">
        <v>31525</v>
      </c>
      <c r="H336">
        <v>34035</v>
      </c>
      <c r="I336">
        <v>35825</v>
      </c>
      <c r="J336">
        <v>37795</v>
      </c>
      <c r="K336">
        <v>37795</v>
      </c>
      <c r="L336" t="s">
        <v>988</v>
      </c>
    </row>
    <row r="337" spans="1:12" x14ac:dyDescent="0.3">
      <c r="A337">
        <v>1273</v>
      </c>
      <c r="B337" t="s">
        <v>1609</v>
      </c>
      <c r="C337" t="s">
        <v>2663</v>
      </c>
      <c r="D337" t="s">
        <v>1203</v>
      </c>
      <c r="E337" t="s">
        <v>1204</v>
      </c>
      <c r="F337" t="s">
        <v>2664</v>
      </c>
      <c r="G337">
        <v>42093</v>
      </c>
      <c r="H337">
        <v>44093</v>
      </c>
      <c r="I337">
        <v>44093</v>
      </c>
      <c r="J337">
        <v>44093</v>
      </c>
      <c r="K337">
        <v>44093</v>
      </c>
      <c r="L337" t="s">
        <v>988</v>
      </c>
    </row>
    <row r="338" spans="1:12" x14ac:dyDescent="0.3">
      <c r="A338">
        <v>1324</v>
      </c>
      <c r="B338" t="s">
        <v>1619</v>
      </c>
      <c r="C338" t="s">
        <v>2663</v>
      </c>
      <c r="D338" t="s">
        <v>159</v>
      </c>
      <c r="E338" t="s">
        <v>159</v>
      </c>
      <c r="F338" t="s">
        <v>2665</v>
      </c>
      <c r="G338">
        <v>8851</v>
      </c>
      <c r="H338">
        <v>8810</v>
      </c>
      <c r="I338">
        <v>8824.7000000000007</v>
      </c>
      <c r="J338">
        <v>8840</v>
      </c>
      <c r="K338">
        <v>8865</v>
      </c>
      <c r="L338" t="s">
        <v>988</v>
      </c>
    </row>
    <row r="339" spans="1:12" x14ac:dyDescent="0.3">
      <c r="A339">
        <v>1324</v>
      </c>
      <c r="B339" t="s">
        <v>1619</v>
      </c>
      <c r="C339" t="s">
        <v>2663</v>
      </c>
      <c r="D339" t="s">
        <v>159</v>
      </c>
      <c r="E339" t="s">
        <v>159</v>
      </c>
      <c r="F339" t="s">
        <v>2664</v>
      </c>
      <c r="G339">
        <v>8851</v>
      </c>
      <c r="H339">
        <v>8810</v>
      </c>
      <c r="I339">
        <v>8825</v>
      </c>
      <c r="J339">
        <v>8840</v>
      </c>
      <c r="K339">
        <v>8865</v>
      </c>
      <c r="L339" t="s">
        <v>988</v>
      </c>
    </row>
    <row r="340" spans="1:12" x14ac:dyDescent="0.3">
      <c r="A340">
        <v>1327</v>
      </c>
      <c r="B340" t="s">
        <v>1620</v>
      </c>
      <c r="C340" t="s">
        <v>2663</v>
      </c>
      <c r="D340" t="s">
        <v>1203</v>
      </c>
      <c r="E340" t="s">
        <v>1204</v>
      </c>
      <c r="F340" t="s">
        <v>2664</v>
      </c>
      <c r="G340">
        <v>1872</v>
      </c>
      <c r="H340">
        <v>1893</v>
      </c>
      <c r="I340">
        <v>1867</v>
      </c>
      <c r="J340">
        <v>1839</v>
      </c>
      <c r="K340">
        <v>1832</v>
      </c>
      <c r="L340" t="s">
        <v>988</v>
      </c>
    </row>
    <row r="341" spans="1:12" x14ac:dyDescent="0.3">
      <c r="A341">
        <v>1327</v>
      </c>
      <c r="B341" t="s">
        <v>1620</v>
      </c>
      <c r="C341" t="s">
        <v>2663</v>
      </c>
      <c r="D341" t="s">
        <v>1203</v>
      </c>
      <c r="E341" t="s">
        <v>1204</v>
      </c>
      <c r="F341" t="s">
        <v>2665</v>
      </c>
      <c r="G341">
        <v>1872</v>
      </c>
      <c r="H341">
        <v>1893</v>
      </c>
      <c r="I341">
        <v>1867</v>
      </c>
      <c r="J341">
        <v>1839.1</v>
      </c>
      <c r="K341">
        <v>1832.4</v>
      </c>
      <c r="L341" t="s">
        <v>988</v>
      </c>
    </row>
    <row r="342" spans="1:12" x14ac:dyDescent="0.3">
      <c r="A342">
        <v>1333</v>
      </c>
      <c r="B342" t="s">
        <v>1623</v>
      </c>
      <c r="C342" t="s">
        <v>2663</v>
      </c>
      <c r="D342" t="s">
        <v>1203</v>
      </c>
      <c r="E342" t="s">
        <v>1204</v>
      </c>
      <c r="F342" t="s">
        <v>2665</v>
      </c>
      <c r="G342">
        <v>6825</v>
      </c>
      <c r="H342">
        <v>7050</v>
      </c>
      <c r="I342">
        <v>7282</v>
      </c>
      <c r="J342">
        <v>7475</v>
      </c>
      <c r="K342">
        <v>0</v>
      </c>
      <c r="L342" t="s">
        <v>988</v>
      </c>
    </row>
    <row r="343" spans="1:12" x14ac:dyDescent="0.3">
      <c r="A343">
        <v>1333</v>
      </c>
      <c r="B343" t="s">
        <v>1623</v>
      </c>
      <c r="C343" t="s">
        <v>2663</v>
      </c>
      <c r="D343" t="s">
        <v>1203</v>
      </c>
      <c r="E343" t="s">
        <v>1204</v>
      </c>
      <c r="F343" t="s">
        <v>2664</v>
      </c>
      <c r="G343">
        <v>13785</v>
      </c>
      <c r="H343">
        <v>13785</v>
      </c>
      <c r="I343">
        <v>13785</v>
      </c>
      <c r="J343">
        <v>13785</v>
      </c>
      <c r="K343">
        <v>0</v>
      </c>
      <c r="L343" t="s">
        <v>988</v>
      </c>
    </row>
    <row r="344" spans="1:12" x14ac:dyDescent="0.3">
      <c r="A344">
        <v>1335</v>
      </c>
      <c r="B344" t="s">
        <v>1625</v>
      </c>
      <c r="C344" t="s">
        <v>2663</v>
      </c>
      <c r="D344" t="s">
        <v>1203</v>
      </c>
      <c r="E344" t="s">
        <v>1204</v>
      </c>
      <c r="F344" t="s">
        <v>2665</v>
      </c>
      <c r="G344">
        <v>3747</v>
      </c>
      <c r="H344">
        <v>3800</v>
      </c>
      <c r="I344">
        <v>3773</v>
      </c>
      <c r="J344">
        <v>3757</v>
      </c>
      <c r="K344">
        <v>3734</v>
      </c>
      <c r="L344" t="s">
        <v>988</v>
      </c>
    </row>
    <row r="345" spans="1:12" x14ac:dyDescent="0.3">
      <c r="A345">
        <v>1335</v>
      </c>
      <c r="B345" t="s">
        <v>1625</v>
      </c>
      <c r="C345" t="s">
        <v>2663</v>
      </c>
      <c r="D345" t="s">
        <v>1203</v>
      </c>
      <c r="E345" t="s">
        <v>1204</v>
      </c>
      <c r="F345" t="s">
        <v>2664</v>
      </c>
      <c r="G345">
        <v>5015</v>
      </c>
      <c r="H345">
        <v>6015</v>
      </c>
      <c r="I345">
        <v>6015</v>
      </c>
      <c r="J345">
        <v>6015</v>
      </c>
      <c r="K345">
        <v>6015</v>
      </c>
      <c r="L345" t="s">
        <v>988</v>
      </c>
    </row>
    <row r="346" spans="1:12" x14ac:dyDescent="0.3">
      <c r="A346">
        <v>1343</v>
      </c>
      <c r="B346" t="s">
        <v>1626</v>
      </c>
      <c r="C346" t="s">
        <v>2663</v>
      </c>
      <c r="D346" t="s">
        <v>1203</v>
      </c>
      <c r="E346" t="s">
        <v>1204</v>
      </c>
      <c r="F346" t="s">
        <v>2664</v>
      </c>
      <c r="G346">
        <v>3024</v>
      </c>
      <c r="H346">
        <v>3054</v>
      </c>
      <c r="I346">
        <v>3114</v>
      </c>
      <c r="J346">
        <v>3144</v>
      </c>
      <c r="K346">
        <v>3174</v>
      </c>
      <c r="L346" t="s">
        <v>988</v>
      </c>
    </row>
    <row r="347" spans="1:12" x14ac:dyDescent="0.3">
      <c r="A347">
        <v>1343</v>
      </c>
      <c r="B347" t="s">
        <v>1626</v>
      </c>
      <c r="C347" t="s">
        <v>2663</v>
      </c>
      <c r="D347" t="s">
        <v>1203</v>
      </c>
      <c r="E347" t="s">
        <v>1204</v>
      </c>
      <c r="F347" t="s">
        <v>2665</v>
      </c>
      <c r="G347">
        <v>1580.56</v>
      </c>
      <c r="H347">
        <v>1600.39</v>
      </c>
      <c r="I347">
        <v>1627</v>
      </c>
      <c r="J347">
        <v>1647</v>
      </c>
      <c r="K347">
        <v>1668.78</v>
      </c>
      <c r="L347" t="s">
        <v>988</v>
      </c>
    </row>
    <row r="348" spans="1:12" x14ac:dyDescent="0.3">
      <c r="A348">
        <v>1352</v>
      </c>
      <c r="B348" t="s">
        <v>1631</v>
      </c>
      <c r="C348" t="s">
        <v>2663</v>
      </c>
      <c r="D348" t="s">
        <v>1203</v>
      </c>
      <c r="E348" t="s">
        <v>1204</v>
      </c>
      <c r="F348" t="s">
        <v>2664</v>
      </c>
      <c r="G348">
        <v>18320</v>
      </c>
      <c r="H348">
        <v>18880</v>
      </c>
      <c r="I348">
        <v>19410</v>
      </c>
      <c r="J348">
        <v>19910</v>
      </c>
      <c r="K348">
        <v>0</v>
      </c>
      <c r="L348" t="s">
        <v>988</v>
      </c>
    </row>
    <row r="349" spans="1:12" x14ac:dyDescent="0.3">
      <c r="A349">
        <v>1352</v>
      </c>
      <c r="B349" t="s">
        <v>1631</v>
      </c>
      <c r="C349" t="s">
        <v>2663</v>
      </c>
      <c r="D349" t="s">
        <v>1203</v>
      </c>
      <c r="E349" t="s">
        <v>1204</v>
      </c>
      <c r="F349" t="s">
        <v>2665</v>
      </c>
      <c r="G349">
        <v>16969</v>
      </c>
      <c r="H349">
        <v>17486</v>
      </c>
      <c r="I349">
        <v>18035</v>
      </c>
      <c r="J349">
        <v>18616</v>
      </c>
      <c r="K349">
        <v>0</v>
      </c>
      <c r="L349" t="s">
        <v>988</v>
      </c>
    </row>
    <row r="350" spans="1:12" x14ac:dyDescent="0.3">
      <c r="A350">
        <v>1368</v>
      </c>
      <c r="B350" t="s">
        <v>1632</v>
      </c>
      <c r="C350" t="s">
        <v>2663</v>
      </c>
      <c r="D350" t="s">
        <v>1203</v>
      </c>
      <c r="E350" t="s">
        <v>1204</v>
      </c>
      <c r="F350" t="s">
        <v>2664</v>
      </c>
      <c r="G350">
        <v>4136</v>
      </c>
      <c r="H350">
        <v>4276</v>
      </c>
      <c r="I350">
        <v>4264</v>
      </c>
      <c r="J350">
        <v>4317</v>
      </c>
      <c r="K350">
        <v>0</v>
      </c>
      <c r="L350" t="s">
        <v>988</v>
      </c>
    </row>
    <row r="351" spans="1:12" x14ac:dyDescent="0.3">
      <c r="A351">
        <v>1368</v>
      </c>
      <c r="B351" t="s">
        <v>1632</v>
      </c>
      <c r="C351" t="s">
        <v>2663</v>
      </c>
      <c r="D351" t="s">
        <v>1203</v>
      </c>
      <c r="E351" t="s">
        <v>1204</v>
      </c>
      <c r="F351" t="s">
        <v>2665</v>
      </c>
      <c r="G351">
        <v>4136</v>
      </c>
      <c r="H351">
        <v>4276</v>
      </c>
      <c r="I351">
        <v>4264</v>
      </c>
      <c r="J351">
        <v>4317</v>
      </c>
      <c r="K351">
        <v>0</v>
      </c>
      <c r="L351" t="s">
        <v>988</v>
      </c>
    </row>
    <row r="352" spans="1:12" x14ac:dyDescent="0.3">
      <c r="A352">
        <v>1370</v>
      </c>
      <c r="B352" t="s">
        <v>1633</v>
      </c>
      <c r="C352" t="s">
        <v>2663</v>
      </c>
      <c r="D352" t="s">
        <v>1203</v>
      </c>
      <c r="E352" t="s">
        <v>1204</v>
      </c>
      <c r="F352" t="s">
        <v>2665</v>
      </c>
      <c r="G352">
        <v>7138</v>
      </c>
      <c r="H352">
        <v>7071</v>
      </c>
      <c r="I352">
        <v>7005</v>
      </c>
      <c r="J352">
        <v>6939</v>
      </c>
      <c r="K352">
        <v>0</v>
      </c>
      <c r="L352" t="s">
        <v>988</v>
      </c>
    </row>
    <row r="353" spans="1:12" x14ac:dyDescent="0.3">
      <c r="A353">
        <v>1370</v>
      </c>
      <c r="B353" t="s">
        <v>1633</v>
      </c>
      <c r="C353" t="s">
        <v>2663</v>
      </c>
      <c r="D353" t="s">
        <v>1203</v>
      </c>
      <c r="E353" t="s">
        <v>1204</v>
      </c>
      <c r="F353" t="s">
        <v>2664</v>
      </c>
      <c r="G353">
        <v>9882</v>
      </c>
      <c r="H353">
        <v>9882</v>
      </c>
      <c r="I353">
        <v>9882</v>
      </c>
      <c r="J353">
        <v>9882</v>
      </c>
      <c r="K353">
        <v>0</v>
      </c>
      <c r="L353" t="s">
        <v>988</v>
      </c>
    </row>
    <row r="354" spans="1:12" x14ac:dyDescent="0.3">
      <c r="A354">
        <v>1371</v>
      </c>
      <c r="B354" t="s">
        <v>1635</v>
      </c>
      <c r="C354" t="s">
        <v>2663</v>
      </c>
      <c r="D354" t="s">
        <v>1203</v>
      </c>
      <c r="E354" t="s">
        <v>1204</v>
      </c>
      <c r="F354" t="s">
        <v>2664</v>
      </c>
      <c r="G354">
        <v>8025.1417277500004</v>
      </c>
      <c r="H354">
        <v>8025.1417277500004</v>
      </c>
      <c r="I354">
        <v>8025.1417277500004</v>
      </c>
      <c r="J354">
        <v>8025.1417277500004</v>
      </c>
      <c r="K354">
        <v>0</v>
      </c>
      <c r="L354" t="s">
        <v>988</v>
      </c>
    </row>
    <row r="355" spans="1:12" x14ac:dyDescent="0.3">
      <c r="A355">
        <v>1371</v>
      </c>
      <c r="B355" t="s">
        <v>1635</v>
      </c>
      <c r="C355" t="s">
        <v>2663</v>
      </c>
      <c r="D355" t="s">
        <v>1203</v>
      </c>
      <c r="E355" t="s">
        <v>1204</v>
      </c>
      <c r="F355" t="s">
        <v>2665</v>
      </c>
      <c r="G355">
        <v>3808.4898218500002</v>
      </c>
      <c r="H355">
        <v>3968.0719900499998</v>
      </c>
      <c r="I355">
        <v>4136.8608217999999</v>
      </c>
      <c r="J355">
        <v>4308.7185413999996</v>
      </c>
      <c r="K355">
        <v>0</v>
      </c>
      <c r="L355" t="s">
        <v>988</v>
      </c>
    </row>
    <row r="356" spans="1:12" x14ac:dyDescent="0.3">
      <c r="A356">
        <v>1384</v>
      </c>
      <c r="B356" t="s">
        <v>1637</v>
      </c>
      <c r="C356" t="s">
        <v>2663</v>
      </c>
      <c r="D356" t="s">
        <v>1203</v>
      </c>
      <c r="E356" t="s">
        <v>1204</v>
      </c>
      <c r="F356" t="s">
        <v>2664</v>
      </c>
      <c r="G356">
        <v>23185</v>
      </c>
      <c r="H356">
        <v>24241</v>
      </c>
      <c r="I356">
        <v>25358</v>
      </c>
      <c r="J356">
        <v>26539</v>
      </c>
      <c r="K356">
        <v>27787</v>
      </c>
      <c r="L356" t="s">
        <v>988</v>
      </c>
    </row>
    <row r="357" spans="1:12" x14ac:dyDescent="0.3">
      <c r="A357">
        <v>1384</v>
      </c>
      <c r="B357" t="s">
        <v>1637</v>
      </c>
      <c r="C357" t="s">
        <v>2663</v>
      </c>
      <c r="D357" t="s">
        <v>1203</v>
      </c>
      <c r="E357" t="s">
        <v>1204</v>
      </c>
      <c r="F357" t="s">
        <v>2665</v>
      </c>
      <c r="G357">
        <v>23185</v>
      </c>
      <c r="H357">
        <v>24241</v>
      </c>
      <c r="I357">
        <v>25358</v>
      </c>
      <c r="J357">
        <v>26539</v>
      </c>
      <c r="K357">
        <v>27787</v>
      </c>
      <c r="L357" t="s">
        <v>988</v>
      </c>
    </row>
    <row r="358" spans="1:12" x14ac:dyDescent="0.3">
      <c r="A358">
        <v>1388</v>
      </c>
      <c r="B358" t="s">
        <v>1640</v>
      </c>
      <c r="C358" t="s">
        <v>2663</v>
      </c>
      <c r="D358" t="s">
        <v>159</v>
      </c>
      <c r="E358" t="s">
        <v>159</v>
      </c>
      <c r="F358" t="s">
        <v>2664</v>
      </c>
      <c r="G358">
        <v>12603.56</v>
      </c>
      <c r="H358">
        <v>13150.16</v>
      </c>
      <c r="I358">
        <v>13616.56</v>
      </c>
      <c r="J358">
        <v>17862.7</v>
      </c>
      <c r="K358">
        <v>18001.21</v>
      </c>
      <c r="L358" t="s">
        <v>988</v>
      </c>
    </row>
    <row r="359" spans="1:12" x14ac:dyDescent="0.3">
      <c r="A359">
        <v>1388</v>
      </c>
      <c r="B359" t="s">
        <v>1640</v>
      </c>
      <c r="C359" t="s">
        <v>2663</v>
      </c>
      <c r="D359" t="s">
        <v>159</v>
      </c>
      <c r="E359" t="s">
        <v>159</v>
      </c>
      <c r="F359" t="s">
        <v>2665</v>
      </c>
      <c r="G359">
        <v>8678.66</v>
      </c>
      <c r="H359">
        <v>10690.7</v>
      </c>
      <c r="I359">
        <v>12262.56</v>
      </c>
      <c r="J359">
        <v>14187.6</v>
      </c>
      <c r="K359">
        <v>16684.009999999998</v>
      </c>
      <c r="L359" t="s">
        <v>988</v>
      </c>
    </row>
    <row r="360" spans="1:12" x14ac:dyDescent="0.3">
      <c r="A360">
        <v>1869</v>
      </c>
      <c r="B360" t="s">
        <v>1643</v>
      </c>
      <c r="C360" t="s">
        <v>2663</v>
      </c>
      <c r="D360" t="s">
        <v>1203</v>
      </c>
      <c r="E360" t="s">
        <v>1204</v>
      </c>
      <c r="F360" t="s">
        <v>2665</v>
      </c>
      <c r="G360">
        <v>11468</v>
      </c>
      <c r="H360">
        <v>11526</v>
      </c>
      <c r="I360">
        <v>11585</v>
      </c>
      <c r="J360">
        <v>11646</v>
      </c>
      <c r="K360">
        <v>11706</v>
      </c>
      <c r="L360" t="s">
        <v>988</v>
      </c>
    </row>
    <row r="361" spans="1:12" x14ac:dyDescent="0.3">
      <c r="A361">
        <v>1869</v>
      </c>
      <c r="B361" t="s">
        <v>1643</v>
      </c>
      <c r="C361" t="s">
        <v>2663</v>
      </c>
      <c r="D361" t="s">
        <v>1203</v>
      </c>
      <c r="E361" t="s">
        <v>1204</v>
      </c>
      <c r="F361" t="s">
        <v>2664</v>
      </c>
      <c r="G361">
        <v>11468</v>
      </c>
      <c r="H361">
        <v>11526</v>
      </c>
      <c r="I361">
        <v>11585</v>
      </c>
      <c r="J361">
        <v>11646</v>
      </c>
      <c r="K361">
        <v>11706</v>
      </c>
      <c r="L361" t="s">
        <v>988</v>
      </c>
    </row>
    <row r="362" spans="1:12" x14ac:dyDescent="0.3">
      <c r="A362">
        <v>1424</v>
      </c>
      <c r="B362" t="s">
        <v>1644</v>
      </c>
      <c r="C362" t="s">
        <v>2663</v>
      </c>
      <c r="D362" t="s">
        <v>159</v>
      </c>
      <c r="E362" t="s">
        <v>159</v>
      </c>
      <c r="F362" t="s">
        <v>2665</v>
      </c>
      <c r="G362">
        <v>14870</v>
      </c>
      <c r="H362">
        <v>15980</v>
      </c>
      <c r="I362">
        <v>17930</v>
      </c>
      <c r="J362">
        <v>19860</v>
      </c>
      <c r="K362">
        <v>21810</v>
      </c>
      <c r="L362" t="s">
        <v>988</v>
      </c>
    </row>
    <row r="363" spans="1:12" x14ac:dyDescent="0.3">
      <c r="A363">
        <v>1424</v>
      </c>
      <c r="B363" t="s">
        <v>1644</v>
      </c>
      <c r="C363" t="s">
        <v>2663</v>
      </c>
      <c r="D363" t="s">
        <v>159</v>
      </c>
      <c r="E363" t="s">
        <v>159</v>
      </c>
      <c r="F363" t="s">
        <v>2664</v>
      </c>
      <c r="G363">
        <v>14870</v>
      </c>
      <c r="H363">
        <v>15980</v>
      </c>
      <c r="I363">
        <v>17930</v>
      </c>
      <c r="J363">
        <v>19860</v>
      </c>
      <c r="K363">
        <v>21810</v>
      </c>
      <c r="L363" t="s">
        <v>988</v>
      </c>
    </row>
    <row r="364" spans="1:12" x14ac:dyDescent="0.3">
      <c r="A364">
        <v>1425</v>
      </c>
      <c r="B364" t="s">
        <v>1647</v>
      </c>
      <c r="C364" t="s">
        <v>2663</v>
      </c>
      <c r="D364" t="s">
        <v>159</v>
      </c>
      <c r="E364" t="s">
        <v>159</v>
      </c>
      <c r="F364" t="s">
        <v>2665</v>
      </c>
      <c r="G364">
        <v>2094.6</v>
      </c>
      <c r="H364">
        <v>2127.6</v>
      </c>
      <c r="I364">
        <v>2161.1999999999998</v>
      </c>
      <c r="J364">
        <v>2195.1999999999998</v>
      </c>
      <c r="K364">
        <v>2229.8000000000002</v>
      </c>
      <c r="L364" t="s">
        <v>988</v>
      </c>
    </row>
    <row r="365" spans="1:12" x14ac:dyDescent="0.3">
      <c r="A365">
        <v>1425</v>
      </c>
      <c r="B365" t="s">
        <v>1647</v>
      </c>
      <c r="C365" t="s">
        <v>2663</v>
      </c>
      <c r="D365" t="s">
        <v>159</v>
      </c>
      <c r="E365" t="s">
        <v>159</v>
      </c>
      <c r="F365" t="s">
        <v>2664</v>
      </c>
      <c r="G365">
        <v>3733</v>
      </c>
      <c r="H365">
        <v>3733</v>
      </c>
      <c r="I365">
        <v>3733</v>
      </c>
      <c r="J365">
        <v>3733</v>
      </c>
      <c r="K365">
        <v>3733</v>
      </c>
      <c r="L365" t="s">
        <v>988</v>
      </c>
    </row>
    <row r="366" spans="1:12" x14ac:dyDescent="0.3">
      <c r="A366">
        <v>1427</v>
      </c>
      <c r="B366" t="s">
        <v>1650</v>
      </c>
      <c r="C366" t="s">
        <v>2663</v>
      </c>
      <c r="D366" t="s">
        <v>159</v>
      </c>
      <c r="E366" t="s">
        <v>159</v>
      </c>
      <c r="F366" t="s">
        <v>2664</v>
      </c>
      <c r="G366">
        <v>4653</v>
      </c>
      <c r="H366">
        <v>5131</v>
      </c>
      <c r="I366">
        <v>5610</v>
      </c>
      <c r="J366">
        <v>6088</v>
      </c>
      <c r="K366">
        <v>6566</v>
      </c>
      <c r="L366" t="s">
        <v>988</v>
      </c>
    </row>
    <row r="367" spans="1:12" x14ac:dyDescent="0.3">
      <c r="A367">
        <v>1427</v>
      </c>
      <c r="B367" t="s">
        <v>1650</v>
      </c>
      <c r="C367" t="s">
        <v>2663</v>
      </c>
      <c r="D367" t="s">
        <v>159</v>
      </c>
      <c r="E367" t="s">
        <v>159</v>
      </c>
      <c r="F367" t="s">
        <v>2665</v>
      </c>
      <c r="G367">
        <v>4046</v>
      </c>
      <c r="H367">
        <v>4462</v>
      </c>
      <c r="I367">
        <v>4878</v>
      </c>
      <c r="J367">
        <v>5294</v>
      </c>
      <c r="K367">
        <v>5709</v>
      </c>
      <c r="L367" t="s">
        <v>988</v>
      </c>
    </row>
    <row r="368" spans="1:12" x14ac:dyDescent="0.3">
      <c r="A368">
        <v>1443</v>
      </c>
      <c r="B368" t="s">
        <v>1651</v>
      </c>
      <c r="C368" t="s">
        <v>2663</v>
      </c>
      <c r="D368" t="s">
        <v>1203</v>
      </c>
      <c r="E368" t="s">
        <v>1204</v>
      </c>
      <c r="F368" t="s">
        <v>2664</v>
      </c>
      <c r="G368">
        <v>8335.0994006000001</v>
      </c>
      <c r="H368">
        <v>8562.1971014999999</v>
      </c>
      <c r="I368">
        <v>8783.1570267000006</v>
      </c>
      <c r="J368">
        <v>9004.1169518999995</v>
      </c>
      <c r="K368">
        <v>9004.1169518999995</v>
      </c>
      <c r="L368" t="s">
        <v>988</v>
      </c>
    </row>
    <row r="369" spans="1:12" x14ac:dyDescent="0.3">
      <c r="A369">
        <v>1443</v>
      </c>
      <c r="B369" t="s">
        <v>1651</v>
      </c>
      <c r="C369" t="s">
        <v>2663</v>
      </c>
      <c r="D369" t="s">
        <v>1203</v>
      </c>
      <c r="E369" t="s">
        <v>1204</v>
      </c>
      <c r="F369" t="s">
        <v>2665</v>
      </c>
      <c r="G369">
        <v>8332.0305127499996</v>
      </c>
      <c r="H369">
        <v>8556.0593258000008</v>
      </c>
      <c r="I369">
        <v>8780.0881388500002</v>
      </c>
      <c r="J369">
        <v>8997.9791762000004</v>
      </c>
      <c r="K369">
        <v>8997.9791762000004</v>
      </c>
      <c r="L369" t="s">
        <v>988</v>
      </c>
    </row>
    <row r="370" spans="1:12" x14ac:dyDescent="0.3">
      <c r="A370">
        <v>1450</v>
      </c>
      <c r="B370" t="s">
        <v>1660</v>
      </c>
      <c r="C370" t="s">
        <v>2663</v>
      </c>
      <c r="D370" t="s">
        <v>1203</v>
      </c>
      <c r="E370" t="s">
        <v>1204</v>
      </c>
      <c r="F370" t="s">
        <v>2664</v>
      </c>
      <c r="G370">
        <v>26844</v>
      </c>
      <c r="H370">
        <v>26912</v>
      </c>
      <c r="I370">
        <v>26980</v>
      </c>
      <c r="J370">
        <v>27049</v>
      </c>
      <c r="K370">
        <v>27119</v>
      </c>
      <c r="L370" t="s">
        <v>988</v>
      </c>
    </row>
    <row r="371" spans="1:12" x14ac:dyDescent="0.3">
      <c r="A371">
        <v>1450</v>
      </c>
      <c r="B371" t="s">
        <v>1660</v>
      </c>
      <c r="C371" t="s">
        <v>2663</v>
      </c>
      <c r="D371" t="s">
        <v>1203</v>
      </c>
      <c r="E371" t="s">
        <v>1204</v>
      </c>
      <c r="F371" t="s">
        <v>2665</v>
      </c>
      <c r="G371">
        <v>19409</v>
      </c>
      <c r="H371">
        <v>20258</v>
      </c>
      <c r="I371">
        <v>21156</v>
      </c>
      <c r="J371">
        <v>22106</v>
      </c>
      <c r="K371">
        <v>23111</v>
      </c>
      <c r="L371" t="s">
        <v>988</v>
      </c>
    </row>
    <row r="372" spans="1:12" x14ac:dyDescent="0.3">
      <c r="A372">
        <v>1452</v>
      </c>
      <c r="B372" t="s">
        <v>1661</v>
      </c>
      <c r="C372" t="s">
        <v>2663</v>
      </c>
      <c r="D372" t="s">
        <v>1203</v>
      </c>
      <c r="E372" t="s">
        <v>1204</v>
      </c>
      <c r="F372" t="s">
        <v>2665</v>
      </c>
      <c r="G372">
        <v>5628</v>
      </c>
      <c r="H372">
        <v>5798</v>
      </c>
      <c r="I372">
        <v>5967</v>
      </c>
      <c r="J372">
        <v>6130</v>
      </c>
      <c r="K372">
        <v>6292</v>
      </c>
      <c r="L372" t="s">
        <v>988</v>
      </c>
    </row>
    <row r="373" spans="1:12" x14ac:dyDescent="0.3">
      <c r="A373">
        <v>1452</v>
      </c>
      <c r="B373" t="s">
        <v>1661</v>
      </c>
      <c r="C373" t="s">
        <v>2663</v>
      </c>
      <c r="D373" t="s">
        <v>1203</v>
      </c>
      <c r="E373" t="s">
        <v>1204</v>
      </c>
      <c r="F373" t="s">
        <v>2664</v>
      </c>
      <c r="G373">
        <v>6472</v>
      </c>
      <c r="H373">
        <v>6668</v>
      </c>
      <c r="I373">
        <v>6863</v>
      </c>
      <c r="J373">
        <v>7049</v>
      </c>
      <c r="K373">
        <v>7236</v>
      </c>
      <c r="L373" t="s">
        <v>988</v>
      </c>
    </row>
    <row r="374" spans="1:12" x14ac:dyDescent="0.3">
      <c r="A374">
        <v>1456</v>
      </c>
      <c r="B374" t="s">
        <v>1664</v>
      </c>
      <c r="C374" t="s">
        <v>2663</v>
      </c>
      <c r="D374" t="s">
        <v>159</v>
      </c>
      <c r="E374" t="s">
        <v>159</v>
      </c>
      <c r="F374" t="s">
        <v>2665</v>
      </c>
      <c r="G374">
        <v>2216</v>
      </c>
      <c r="H374">
        <v>2215</v>
      </c>
      <c r="I374">
        <v>2214</v>
      </c>
      <c r="J374">
        <v>2212</v>
      </c>
      <c r="K374">
        <v>2209</v>
      </c>
      <c r="L374" t="s">
        <v>988</v>
      </c>
    </row>
    <row r="375" spans="1:12" x14ac:dyDescent="0.3">
      <c r="A375">
        <v>1456</v>
      </c>
      <c r="B375" t="s">
        <v>1664</v>
      </c>
      <c r="C375" t="s">
        <v>2663</v>
      </c>
      <c r="D375" t="s">
        <v>159</v>
      </c>
      <c r="E375" t="s">
        <v>159</v>
      </c>
      <c r="F375" t="s">
        <v>2664</v>
      </c>
      <c r="G375">
        <v>4000</v>
      </c>
      <c r="H375">
        <v>4000</v>
      </c>
      <c r="I375">
        <v>4000</v>
      </c>
      <c r="J375">
        <v>4000</v>
      </c>
      <c r="K375">
        <v>4000</v>
      </c>
      <c r="L375" t="s">
        <v>988</v>
      </c>
    </row>
    <row r="376" spans="1:12" x14ac:dyDescent="0.3">
      <c r="A376">
        <v>1459</v>
      </c>
      <c r="B376" t="s">
        <v>1665</v>
      </c>
      <c r="C376" t="s">
        <v>2663</v>
      </c>
      <c r="D376" t="s">
        <v>1203</v>
      </c>
      <c r="E376" t="s">
        <v>1204</v>
      </c>
      <c r="F376" t="s">
        <v>2665</v>
      </c>
      <c r="G376">
        <v>5588.06</v>
      </c>
      <c r="H376">
        <v>5638.06</v>
      </c>
      <c r="I376">
        <v>5690.06</v>
      </c>
      <c r="J376">
        <v>5740.06</v>
      </c>
      <c r="K376">
        <v>5792.06</v>
      </c>
      <c r="L376" t="s">
        <v>988</v>
      </c>
    </row>
    <row r="377" spans="1:12" x14ac:dyDescent="0.3">
      <c r="A377">
        <v>1459</v>
      </c>
      <c r="B377" t="s">
        <v>1665</v>
      </c>
      <c r="C377" t="s">
        <v>2663</v>
      </c>
      <c r="D377" t="s">
        <v>1203</v>
      </c>
      <c r="E377" t="s">
        <v>1204</v>
      </c>
      <c r="F377" t="s">
        <v>2664</v>
      </c>
      <c r="G377">
        <v>5589.06</v>
      </c>
      <c r="H377">
        <v>5639.06</v>
      </c>
      <c r="I377">
        <v>5689.06</v>
      </c>
      <c r="J377">
        <v>5740.06</v>
      </c>
      <c r="K377">
        <v>5792.06</v>
      </c>
      <c r="L377" t="s">
        <v>988</v>
      </c>
    </row>
    <row r="378" spans="1:12" x14ac:dyDescent="0.3">
      <c r="A378">
        <v>1464</v>
      </c>
      <c r="B378" t="s">
        <v>1667</v>
      </c>
      <c r="C378" t="s">
        <v>2663</v>
      </c>
      <c r="D378" t="s">
        <v>1203</v>
      </c>
      <c r="E378" t="s">
        <v>1204</v>
      </c>
      <c r="F378" t="s">
        <v>2664</v>
      </c>
      <c r="G378">
        <v>84752</v>
      </c>
      <c r="H378">
        <v>84752</v>
      </c>
      <c r="I378">
        <v>88752</v>
      </c>
      <c r="J378">
        <v>88752</v>
      </c>
      <c r="K378">
        <v>88752</v>
      </c>
      <c r="L378" t="s">
        <v>988</v>
      </c>
    </row>
    <row r="379" spans="1:12" x14ac:dyDescent="0.3">
      <c r="A379">
        <v>1464</v>
      </c>
      <c r="B379" t="s">
        <v>1667</v>
      </c>
      <c r="C379" t="s">
        <v>2663</v>
      </c>
      <c r="D379" t="s">
        <v>1203</v>
      </c>
      <c r="E379" t="s">
        <v>1204</v>
      </c>
      <c r="F379" t="s">
        <v>2665</v>
      </c>
      <c r="G379">
        <v>53965</v>
      </c>
      <c r="H379">
        <v>51861</v>
      </c>
      <c r="I379">
        <v>51690</v>
      </c>
      <c r="J379">
        <v>51042</v>
      </c>
      <c r="K379">
        <v>51654</v>
      </c>
      <c r="L379" t="s">
        <v>988</v>
      </c>
    </row>
    <row r="380" spans="1:12" x14ac:dyDescent="0.3">
      <c r="A380">
        <v>1473</v>
      </c>
      <c r="B380" t="s">
        <v>1669</v>
      </c>
      <c r="C380" t="s">
        <v>2663</v>
      </c>
      <c r="D380" t="s">
        <v>159</v>
      </c>
      <c r="E380" t="s">
        <v>159</v>
      </c>
      <c r="F380" t="s">
        <v>2664</v>
      </c>
      <c r="G380">
        <v>669200</v>
      </c>
      <c r="H380">
        <v>686800</v>
      </c>
      <c r="I380">
        <v>705400</v>
      </c>
      <c r="J380">
        <v>724400</v>
      </c>
      <c r="K380">
        <v>737100</v>
      </c>
      <c r="L380" t="s">
        <v>988</v>
      </c>
    </row>
    <row r="381" spans="1:12" x14ac:dyDescent="0.3">
      <c r="A381">
        <v>1473</v>
      </c>
      <c r="B381" t="s">
        <v>1669</v>
      </c>
      <c r="C381" t="s">
        <v>2663</v>
      </c>
      <c r="D381" t="s">
        <v>159</v>
      </c>
      <c r="E381" t="s">
        <v>159</v>
      </c>
      <c r="F381" t="s">
        <v>2665</v>
      </c>
      <c r="G381">
        <v>669255</v>
      </c>
      <c r="H381">
        <v>686783</v>
      </c>
      <c r="I381">
        <v>705456</v>
      </c>
      <c r="J381">
        <v>724457</v>
      </c>
      <c r="K381">
        <v>737122</v>
      </c>
      <c r="L381" t="s">
        <v>988</v>
      </c>
    </row>
    <row r="382" spans="1:12" x14ac:dyDescent="0.3">
      <c r="A382">
        <v>1481</v>
      </c>
      <c r="B382" t="s">
        <v>1670</v>
      </c>
      <c r="C382" t="s">
        <v>2663</v>
      </c>
      <c r="D382" t="s">
        <v>1203</v>
      </c>
      <c r="E382" t="s">
        <v>1204</v>
      </c>
      <c r="F382" t="s">
        <v>2665</v>
      </c>
      <c r="G382">
        <v>9019</v>
      </c>
      <c r="H382">
        <v>9254</v>
      </c>
      <c r="I382">
        <v>9429</v>
      </c>
      <c r="J382">
        <v>9607</v>
      </c>
      <c r="K382">
        <v>0</v>
      </c>
      <c r="L382" t="s">
        <v>988</v>
      </c>
    </row>
    <row r="383" spans="1:12" x14ac:dyDescent="0.3">
      <c r="A383">
        <v>1481</v>
      </c>
      <c r="B383" t="s">
        <v>1670</v>
      </c>
      <c r="C383" t="s">
        <v>2663</v>
      </c>
      <c r="D383" t="s">
        <v>1203</v>
      </c>
      <c r="E383" t="s">
        <v>1204</v>
      </c>
      <c r="F383" t="s">
        <v>2664</v>
      </c>
      <c r="G383">
        <v>9019</v>
      </c>
      <c r="H383">
        <v>9254</v>
      </c>
      <c r="I383">
        <v>9429</v>
      </c>
      <c r="J383">
        <v>9607</v>
      </c>
      <c r="K383">
        <v>0</v>
      </c>
      <c r="L383" t="s">
        <v>988</v>
      </c>
    </row>
    <row r="384" spans="1:12" x14ac:dyDescent="0.3">
      <c r="A384">
        <v>1484</v>
      </c>
      <c r="B384" t="s">
        <v>1674</v>
      </c>
      <c r="C384" t="s">
        <v>2663</v>
      </c>
      <c r="D384" t="s">
        <v>1203</v>
      </c>
      <c r="E384" t="s">
        <v>1204</v>
      </c>
      <c r="F384" t="s">
        <v>2664</v>
      </c>
      <c r="G384">
        <v>83095</v>
      </c>
      <c r="H384">
        <v>81733</v>
      </c>
      <c r="I384">
        <v>80333</v>
      </c>
      <c r="J384">
        <v>79033</v>
      </c>
      <c r="K384">
        <v>79033</v>
      </c>
      <c r="L384" t="s">
        <v>988</v>
      </c>
    </row>
    <row r="385" spans="1:12" x14ac:dyDescent="0.3">
      <c r="A385">
        <v>1484</v>
      </c>
      <c r="B385" t="s">
        <v>1674</v>
      </c>
      <c r="C385" t="s">
        <v>2663</v>
      </c>
      <c r="D385" t="s">
        <v>1203</v>
      </c>
      <c r="E385" t="s">
        <v>1204</v>
      </c>
      <c r="F385" t="s">
        <v>2665</v>
      </c>
      <c r="G385">
        <v>55165</v>
      </c>
      <c r="H385">
        <v>58003</v>
      </c>
      <c r="I385">
        <v>61102</v>
      </c>
      <c r="J385">
        <v>64402</v>
      </c>
      <c r="K385">
        <v>67601</v>
      </c>
      <c r="L385" t="s">
        <v>988</v>
      </c>
    </row>
    <row r="386" spans="1:12" x14ac:dyDescent="0.3">
      <c r="A386">
        <v>1487</v>
      </c>
      <c r="B386" t="s">
        <v>1677</v>
      </c>
      <c r="C386" t="s">
        <v>2663</v>
      </c>
      <c r="D386" t="s">
        <v>1203</v>
      </c>
      <c r="E386" t="s">
        <v>1204</v>
      </c>
      <c r="F386" t="s">
        <v>2665</v>
      </c>
      <c r="G386">
        <v>8340</v>
      </c>
      <c r="H386">
        <v>8985</v>
      </c>
      <c r="I386">
        <v>9680</v>
      </c>
      <c r="J386">
        <v>10428</v>
      </c>
      <c r="K386">
        <v>11234</v>
      </c>
      <c r="L386" t="s">
        <v>988</v>
      </c>
    </row>
    <row r="387" spans="1:12" x14ac:dyDescent="0.3">
      <c r="A387">
        <v>1487</v>
      </c>
      <c r="B387" t="s">
        <v>1677</v>
      </c>
      <c r="C387" t="s">
        <v>2663</v>
      </c>
      <c r="D387" t="s">
        <v>1203</v>
      </c>
      <c r="E387" t="s">
        <v>1204</v>
      </c>
      <c r="F387" t="s">
        <v>2664</v>
      </c>
      <c r="G387">
        <v>8340</v>
      </c>
      <c r="H387">
        <v>8985</v>
      </c>
      <c r="I387">
        <v>9679</v>
      </c>
      <c r="J387">
        <v>10427</v>
      </c>
      <c r="K387">
        <v>11233</v>
      </c>
      <c r="L387" t="s">
        <v>988</v>
      </c>
    </row>
    <row r="388" spans="1:12" x14ac:dyDescent="0.3">
      <c r="A388">
        <v>1506</v>
      </c>
      <c r="B388" t="s">
        <v>1678</v>
      </c>
      <c r="C388" t="s">
        <v>2663</v>
      </c>
      <c r="D388" t="s">
        <v>159</v>
      </c>
      <c r="E388" t="s">
        <v>159</v>
      </c>
      <c r="F388" t="s">
        <v>2665</v>
      </c>
      <c r="G388">
        <v>6203</v>
      </c>
      <c r="H388">
        <v>6266</v>
      </c>
      <c r="I388">
        <v>6330</v>
      </c>
      <c r="J388">
        <v>6394</v>
      </c>
      <c r="K388">
        <v>6459</v>
      </c>
      <c r="L388" t="s">
        <v>988</v>
      </c>
    </row>
    <row r="389" spans="1:12" x14ac:dyDescent="0.3">
      <c r="A389">
        <v>1506</v>
      </c>
      <c r="B389" t="s">
        <v>1678</v>
      </c>
      <c r="C389" t="s">
        <v>2663</v>
      </c>
      <c r="D389" t="s">
        <v>159</v>
      </c>
      <c r="E389" t="s">
        <v>159</v>
      </c>
      <c r="F389" t="s">
        <v>2664</v>
      </c>
      <c r="G389">
        <v>7942</v>
      </c>
      <c r="H389">
        <v>7943</v>
      </c>
      <c r="I389">
        <v>7944</v>
      </c>
      <c r="J389">
        <v>7945</v>
      </c>
      <c r="K389">
        <v>7946</v>
      </c>
      <c r="L389" t="s">
        <v>988</v>
      </c>
    </row>
    <row r="390" spans="1:12" x14ac:dyDescent="0.3">
      <c r="A390">
        <v>1533</v>
      </c>
      <c r="B390" t="s">
        <v>1679</v>
      </c>
      <c r="C390" t="s">
        <v>2663</v>
      </c>
      <c r="D390" t="s">
        <v>1203</v>
      </c>
      <c r="E390" t="s">
        <v>1204</v>
      </c>
      <c r="F390" t="s">
        <v>2664</v>
      </c>
      <c r="G390">
        <v>2563</v>
      </c>
      <c r="H390">
        <v>3280</v>
      </c>
      <c r="I390">
        <v>3495</v>
      </c>
      <c r="J390">
        <v>3764</v>
      </c>
      <c r="K390">
        <v>0</v>
      </c>
      <c r="L390" t="s">
        <v>988</v>
      </c>
    </row>
    <row r="391" spans="1:12" x14ac:dyDescent="0.3">
      <c r="A391">
        <v>1533</v>
      </c>
      <c r="B391" t="s">
        <v>1679</v>
      </c>
      <c r="C391" t="s">
        <v>2663</v>
      </c>
      <c r="D391" t="s">
        <v>1203</v>
      </c>
      <c r="E391" t="s">
        <v>1204</v>
      </c>
      <c r="F391" t="s">
        <v>2665</v>
      </c>
      <c r="G391">
        <v>2544</v>
      </c>
      <c r="H391">
        <v>2885</v>
      </c>
      <c r="I391">
        <v>3257</v>
      </c>
      <c r="J391">
        <v>3628</v>
      </c>
      <c r="K391">
        <v>0</v>
      </c>
      <c r="L391" t="s">
        <v>988</v>
      </c>
    </row>
    <row r="392" spans="1:12" x14ac:dyDescent="0.3">
      <c r="A392">
        <v>1536</v>
      </c>
      <c r="B392" t="s">
        <v>1684</v>
      </c>
      <c r="C392" t="s">
        <v>2663</v>
      </c>
      <c r="D392" t="s">
        <v>1203</v>
      </c>
      <c r="E392" t="s">
        <v>1204</v>
      </c>
      <c r="F392" t="s">
        <v>2664</v>
      </c>
      <c r="G392">
        <v>5450</v>
      </c>
      <c r="H392">
        <v>5525</v>
      </c>
      <c r="I392">
        <v>5601</v>
      </c>
      <c r="J392">
        <v>5677</v>
      </c>
      <c r="K392">
        <v>5740</v>
      </c>
      <c r="L392" t="s">
        <v>988</v>
      </c>
    </row>
    <row r="393" spans="1:12" x14ac:dyDescent="0.3">
      <c r="A393">
        <v>1536</v>
      </c>
      <c r="B393" t="s">
        <v>1684</v>
      </c>
      <c r="C393" t="s">
        <v>2663</v>
      </c>
      <c r="D393" t="s">
        <v>1203</v>
      </c>
      <c r="E393" t="s">
        <v>1204</v>
      </c>
      <c r="F393" t="s">
        <v>2665</v>
      </c>
      <c r="G393">
        <v>5450</v>
      </c>
      <c r="H393">
        <v>5525</v>
      </c>
      <c r="I393">
        <v>5601</v>
      </c>
      <c r="J393">
        <v>5677</v>
      </c>
      <c r="K393">
        <v>5740</v>
      </c>
      <c r="L393" t="s">
        <v>988</v>
      </c>
    </row>
    <row r="394" spans="1:12" x14ac:dyDescent="0.3">
      <c r="A394">
        <v>1546</v>
      </c>
      <c r="B394" t="s">
        <v>1686</v>
      </c>
      <c r="C394" t="s">
        <v>2663</v>
      </c>
      <c r="D394" t="s">
        <v>1203</v>
      </c>
      <c r="E394" t="s">
        <v>1204</v>
      </c>
      <c r="F394" t="s">
        <v>2665</v>
      </c>
      <c r="G394">
        <v>38019</v>
      </c>
      <c r="H394">
        <v>38046</v>
      </c>
      <c r="I394">
        <v>37974.57</v>
      </c>
      <c r="J394">
        <v>38051.21</v>
      </c>
      <c r="K394">
        <v>38207.56</v>
      </c>
      <c r="L394" t="s">
        <v>988</v>
      </c>
    </row>
    <row r="395" spans="1:12" x14ac:dyDescent="0.3">
      <c r="A395">
        <v>1546</v>
      </c>
      <c r="B395" t="s">
        <v>1686</v>
      </c>
      <c r="C395" t="s">
        <v>2663</v>
      </c>
      <c r="D395" t="s">
        <v>1203</v>
      </c>
      <c r="E395" t="s">
        <v>1204</v>
      </c>
      <c r="F395" t="s">
        <v>2664</v>
      </c>
      <c r="G395">
        <v>84761.06</v>
      </c>
      <c r="H395">
        <v>85017.32</v>
      </c>
      <c r="I395">
        <v>84750.7</v>
      </c>
      <c r="J395">
        <v>84784.09</v>
      </c>
      <c r="K395">
        <v>84852.49</v>
      </c>
      <c r="L395" t="s">
        <v>988</v>
      </c>
    </row>
    <row r="396" spans="1:12" x14ac:dyDescent="0.3">
      <c r="A396">
        <v>1547</v>
      </c>
      <c r="B396" t="s">
        <v>1693</v>
      </c>
      <c r="C396" t="s">
        <v>2663</v>
      </c>
      <c r="D396" t="s">
        <v>1203</v>
      </c>
      <c r="E396" t="s">
        <v>1204</v>
      </c>
      <c r="F396" t="s">
        <v>2665</v>
      </c>
      <c r="G396">
        <v>6452</v>
      </c>
      <c r="H396">
        <v>8251</v>
      </c>
      <c r="I396">
        <v>9328</v>
      </c>
      <c r="J396">
        <v>10032</v>
      </c>
      <c r="K396">
        <v>0</v>
      </c>
      <c r="L396" t="s">
        <v>988</v>
      </c>
    </row>
    <row r="397" spans="1:12" x14ac:dyDescent="0.3">
      <c r="A397">
        <v>1547</v>
      </c>
      <c r="B397" t="s">
        <v>1693</v>
      </c>
      <c r="C397" t="s">
        <v>2663</v>
      </c>
      <c r="D397" t="s">
        <v>1203</v>
      </c>
      <c r="E397" t="s">
        <v>1204</v>
      </c>
      <c r="F397" t="s">
        <v>2664</v>
      </c>
      <c r="G397">
        <v>11850</v>
      </c>
      <c r="H397">
        <v>12203</v>
      </c>
      <c r="I397">
        <v>12784</v>
      </c>
      <c r="J397">
        <v>13003</v>
      </c>
      <c r="K397">
        <v>0</v>
      </c>
      <c r="L397" t="s">
        <v>988</v>
      </c>
    </row>
    <row r="398" spans="1:12" x14ac:dyDescent="0.3">
      <c r="A398">
        <v>1554</v>
      </c>
      <c r="B398" t="s">
        <v>1694</v>
      </c>
      <c r="C398" t="s">
        <v>2663</v>
      </c>
      <c r="D398" t="s">
        <v>1203</v>
      </c>
      <c r="E398" t="s">
        <v>1204</v>
      </c>
      <c r="F398" t="s">
        <v>2664</v>
      </c>
      <c r="G398">
        <v>4460</v>
      </c>
      <c r="H398">
        <v>4266</v>
      </c>
      <c r="I398">
        <v>4070</v>
      </c>
      <c r="J398">
        <v>3918</v>
      </c>
      <c r="K398">
        <v>3984</v>
      </c>
      <c r="L398" t="s">
        <v>988</v>
      </c>
    </row>
    <row r="399" spans="1:12" x14ac:dyDescent="0.3">
      <c r="A399">
        <v>1554</v>
      </c>
      <c r="B399" t="s">
        <v>1694</v>
      </c>
      <c r="C399" t="s">
        <v>2663</v>
      </c>
      <c r="D399" t="s">
        <v>1203</v>
      </c>
      <c r="E399" t="s">
        <v>1204</v>
      </c>
      <c r="F399" t="s">
        <v>2665</v>
      </c>
      <c r="G399">
        <v>4460</v>
      </c>
      <c r="H399">
        <v>4266</v>
      </c>
      <c r="I399">
        <v>4070</v>
      </c>
      <c r="J399">
        <v>3918</v>
      </c>
      <c r="K399">
        <v>3984</v>
      </c>
      <c r="L399" t="s">
        <v>988</v>
      </c>
    </row>
    <row r="400" spans="1:12" x14ac:dyDescent="0.3">
      <c r="A400">
        <v>1570</v>
      </c>
      <c r="B400" t="s">
        <v>1697</v>
      </c>
      <c r="C400" t="s">
        <v>2663</v>
      </c>
      <c r="D400" t="s">
        <v>159</v>
      </c>
      <c r="E400" t="s">
        <v>159</v>
      </c>
      <c r="F400" t="s">
        <v>2664</v>
      </c>
      <c r="G400">
        <v>2912.37456965</v>
      </c>
      <c r="H400">
        <v>2912.37456965</v>
      </c>
      <c r="I400">
        <v>2912.37456965</v>
      </c>
      <c r="J400">
        <v>2912.37456965</v>
      </c>
      <c r="K400">
        <v>0</v>
      </c>
      <c r="L400" t="s">
        <v>988</v>
      </c>
    </row>
    <row r="401" spans="1:12" x14ac:dyDescent="0.3">
      <c r="A401">
        <v>1570</v>
      </c>
      <c r="B401" t="s">
        <v>1697</v>
      </c>
      <c r="C401" t="s">
        <v>2663</v>
      </c>
      <c r="D401" t="s">
        <v>159</v>
      </c>
      <c r="E401" t="s">
        <v>159</v>
      </c>
      <c r="F401" t="s">
        <v>2665</v>
      </c>
      <c r="G401">
        <v>2053.0859716499999</v>
      </c>
      <c r="H401">
        <v>2142.0837193000002</v>
      </c>
      <c r="I401">
        <v>2240.2881305000001</v>
      </c>
      <c r="J401">
        <v>2338.4925416999999</v>
      </c>
      <c r="K401">
        <v>0</v>
      </c>
      <c r="L401" t="s">
        <v>988</v>
      </c>
    </row>
    <row r="402" spans="1:12" x14ac:dyDescent="0.3">
      <c r="A402">
        <v>1587</v>
      </c>
      <c r="B402" t="s">
        <v>1699</v>
      </c>
      <c r="C402" t="s">
        <v>2663</v>
      </c>
      <c r="D402" t="s">
        <v>159</v>
      </c>
      <c r="E402" t="s">
        <v>159</v>
      </c>
      <c r="F402" t="s">
        <v>2664</v>
      </c>
      <c r="G402">
        <v>5149.5938122999996</v>
      </c>
      <c r="H402">
        <v>5370.5537375000004</v>
      </c>
      <c r="I402">
        <v>5370.5537375000004</v>
      </c>
      <c r="J402">
        <v>5370.5537375000004</v>
      </c>
      <c r="K402">
        <v>5370.5537375000004</v>
      </c>
      <c r="L402" t="s">
        <v>988</v>
      </c>
    </row>
    <row r="403" spans="1:12" x14ac:dyDescent="0.3">
      <c r="A403">
        <v>1587</v>
      </c>
      <c r="B403" t="s">
        <v>1699</v>
      </c>
      <c r="C403" t="s">
        <v>2663</v>
      </c>
      <c r="D403" t="s">
        <v>159</v>
      </c>
      <c r="E403" t="s">
        <v>159</v>
      </c>
      <c r="F403" t="s">
        <v>2665</v>
      </c>
      <c r="G403">
        <v>3977.2786535999999</v>
      </c>
      <c r="H403">
        <v>4127.6541582500004</v>
      </c>
      <c r="I403">
        <v>4327.1318684999997</v>
      </c>
      <c r="J403">
        <v>4552.0199701479996</v>
      </c>
      <c r="K403">
        <v>0</v>
      </c>
      <c r="L403" t="s">
        <v>988</v>
      </c>
    </row>
    <row r="404" spans="1:12" x14ac:dyDescent="0.3">
      <c r="A404">
        <v>1589</v>
      </c>
      <c r="B404" t="s">
        <v>1703</v>
      </c>
      <c r="C404" t="s">
        <v>2663</v>
      </c>
      <c r="D404" t="s">
        <v>1203</v>
      </c>
      <c r="E404" t="s">
        <v>1204</v>
      </c>
      <c r="F404" t="s">
        <v>2665</v>
      </c>
      <c r="G404">
        <v>24418</v>
      </c>
      <c r="H404">
        <v>26751</v>
      </c>
      <c r="I404">
        <v>28995</v>
      </c>
      <c r="J404">
        <v>31825</v>
      </c>
      <c r="K404">
        <v>0</v>
      </c>
      <c r="L404" t="s">
        <v>988</v>
      </c>
    </row>
    <row r="405" spans="1:12" x14ac:dyDescent="0.3">
      <c r="A405">
        <v>1589</v>
      </c>
      <c r="B405" t="s">
        <v>1703</v>
      </c>
      <c r="C405" t="s">
        <v>2663</v>
      </c>
      <c r="D405" t="s">
        <v>1203</v>
      </c>
      <c r="E405" t="s">
        <v>1204</v>
      </c>
      <c r="F405" t="s">
        <v>2664</v>
      </c>
      <c r="G405">
        <v>24418</v>
      </c>
      <c r="H405">
        <v>26751</v>
      </c>
      <c r="I405">
        <v>28995</v>
      </c>
      <c r="J405">
        <v>31825</v>
      </c>
      <c r="K405">
        <v>0</v>
      </c>
      <c r="L405" t="s">
        <v>988</v>
      </c>
    </row>
    <row r="406" spans="1:12" x14ac:dyDescent="0.3">
      <c r="A406">
        <v>1596</v>
      </c>
      <c r="B406" t="s">
        <v>1704</v>
      </c>
      <c r="C406" t="s">
        <v>2663</v>
      </c>
      <c r="D406" t="s">
        <v>1203</v>
      </c>
      <c r="E406" t="s">
        <v>1204</v>
      </c>
      <c r="F406" t="s">
        <v>2664</v>
      </c>
      <c r="G406">
        <v>17454</v>
      </c>
      <c r="H406">
        <v>19109</v>
      </c>
      <c r="I406">
        <v>20101</v>
      </c>
      <c r="J406">
        <v>20476</v>
      </c>
      <c r="K406">
        <v>20851</v>
      </c>
      <c r="L406" t="s">
        <v>988</v>
      </c>
    </row>
    <row r="407" spans="1:12" x14ac:dyDescent="0.3">
      <c r="A407">
        <v>1596</v>
      </c>
      <c r="B407" t="s">
        <v>1704</v>
      </c>
      <c r="C407" t="s">
        <v>2663</v>
      </c>
      <c r="D407" t="s">
        <v>1203</v>
      </c>
      <c r="E407" t="s">
        <v>1204</v>
      </c>
      <c r="F407" t="s">
        <v>2665</v>
      </c>
      <c r="G407">
        <v>17453.8</v>
      </c>
      <c r="H407">
        <v>19109</v>
      </c>
      <c r="I407">
        <v>20100.7</v>
      </c>
      <c r="J407">
        <v>20476</v>
      </c>
      <c r="K407">
        <v>20851</v>
      </c>
      <c r="L407" t="s">
        <v>988</v>
      </c>
    </row>
    <row r="408" spans="1:12" x14ac:dyDescent="0.3">
      <c r="A408">
        <v>1605</v>
      </c>
      <c r="B408" t="s">
        <v>1706</v>
      </c>
      <c r="C408" t="s">
        <v>2663</v>
      </c>
      <c r="D408" t="s">
        <v>1203</v>
      </c>
      <c r="E408" t="s">
        <v>1204</v>
      </c>
      <c r="F408" t="s">
        <v>2665</v>
      </c>
      <c r="G408">
        <v>3200.85002755</v>
      </c>
      <c r="H408">
        <v>3182.43670045</v>
      </c>
      <c r="I408">
        <v>3228.4700182000001</v>
      </c>
      <c r="J408">
        <v>3234.6077939000002</v>
      </c>
      <c r="K408">
        <v>3283.7099994999999</v>
      </c>
      <c r="L408" t="s">
        <v>988</v>
      </c>
    </row>
    <row r="409" spans="1:12" x14ac:dyDescent="0.3">
      <c r="A409">
        <v>1605</v>
      </c>
      <c r="B409" t="s">
        <v>1706</v>
      </c>
      <c r="C409" t="s">
        <v>2663</v>
      </c>
      <c r="D409" t="s">
        <v>1203</v>
      </c>
      <c r="E409" t="s">
        <v>1204</v>
      </c>
      <c r="F409" t="s">
        <v>2664</v>
      </c>
      <c r="G409">
        <v>3203.9189154000001</v>
      </c>
      <c r="H409">
        <v>3182.43670045</v>
      </c>
      <c r="I409">
        <v>3225.4011303500001</v>
      </c>
      <c r="J409">
        <v>3237.6766817500002</v>
      </c>
      <c r="K409">
        <v>3280.6411116499999</v>
      </c>
      <c r="L409" t="s">
        <v>988</v>
      </c>
    </row>
    <row r="410" spans="1:12" x14ac:dyDescent="0.3">
      <c r="A410">
        <v>1613</v>
      </c>
      <c r="B410" t="s">
        <v>1707</v>
      </c>
      <c r="C410" t="s">
        <v>2663</v>
      </c>
      <c r="D410" t="s">
        <v>1203</v>
      </c>
      <c r="E410" t="s">
        <v>1204</v>
      </c>
      <c r="F410" t="s">
        <v>2664</v>
      </c>
      <c r="G410">
        <v>3529.2210275000002</v>
      </c>
      <c r="H410">
        <v>3529.2210275000002</v>
      </c>
      <c r="I410">
        <v>3529.2210275000002</v>
      </c>
      <c r="J410">
        <v>3529.2210275000002</v>
      </c>
      <c r="K410">
        <v>3529.2210275000002</v>
      </c>
      <c r="L410" t="s">
        <v>988</v>
      </c>
    </row>
    <row r="411" spans="1:12" x14ac:dyDescent="0.3">
      <c r="A411">
        <v>1613</v>
      </c>
      <c r="B411" t="s">
        <v>1707</v>
      </c>
      <c r="C411" t="s">
        <v>2663</v>
      </c>
      <c r="D411" t="s">
        <v>1203</v>
      </c>
      <c r="E411" t="s">
        <v>1204</v>
      </c>
      <c r="F411" t="s">
        <v>2665</v>
      </c>
      <c r="G411">
        <v>2563.3500126191998</v>
      </c>
      <c r="H411">
        <v>2802.1398018844302</v>
      </c>
      <c r="I411">
        <v>2751.2081259772999</v>
      </c>
      <c r="J411">
        <v>3157.5113787537198</v>
      </c>
      <c r="K411">
        <v>3589.2848935217198</v>
      </c>
      <c r="L411" t="s">
        <v>988</v>
      </c>
    </row>
    <row r="412" spans="1:12" x14ac:dyDescent="0.3">
      <c r="A412">
        <v>1619</v>
      </c>
      <c r="B412" t="s">
        <v>1713</v>
      </c>
      <c r="C412" t="s">
        <v>2663</v>
      </c>
      <c r="D412" t="s">
        <v>1203</v>
      </c>
      <c r="E412" t="s">
        <v>1204</v>
      </c>
      <c r="F412" t="s">
        <v>2664</v>
      </c>
      <c r="G412">
        <v>13272.93995125</v>
      </c>
      <c r="H412">
        <v>13733.273128749999</v>
      </c>
      <c r="I412">
        <v>14196.6751941</v>
      </c>
      <c r="J412">
        <v>14657.008371600001</v>
      </c>
      <c r="K412">
        <v>15089.721558450001</v>
      </c>
      <c r="L412" t="s">
        <v>988</v>
      </c>
    </row>
    <row r="413" spans="1:12" x14ac:dyDescent="0.3">
      <c r="A413">
        <v>1619</v>
      </c>
      <c r="B413" t="s">
        <v>1713</v>
      </c>
      <c r="C413" t="s">
        <v>2663</v>
      </c>
      <c r="D413" t="s">
        <v>1203</v>
      </c>
      <c r="E413" t="s">
        <v>1204</v>
      </c>
      <c r="F413" t="s">
        <v>2665</v>
      </c>
      <c r="G413">
        <v>13272.93995125</v>
      </c>
      <c r="H413">
        <v>13733.273128749999</v>
      </c>
      <c r="I413">
        <v>14196.6751941</v>
      </c>
      <c r="J413">
        <v>14657.008371600001</v>
      </c>
      <c r="K413">
        <v>15089.721558450001</v>
      </c>
      <c r="L413" t="s">
        <v>988</v>
      </c>
    </row>
    <row r="414" spans="1:12" x14ac:dyDescent="0.3">
      <c r="A414">
        <v>1626</v>
      </c>
      <c r="B414" t="s">
        <v>1716</v>
      </c>
      <c r="C414" t="s">
        <v>2663</v>
      </c>
      <c r="D414" t="s">
        <v>1203</v>
      </c>
      <c r="E414" t="s">
        <v>1204</v>
      </c>
      <c r="F414" t="s">
        <v>2665</v>
      </c>
      <c r="G414">
        <v>8996</v>
      </c>
      <c r="H414">
        <v>10874</v>
      </c>
      <c r="I414">
        <v>12713</v>
      </c>
      <c r="J414">
        <v>15104</v>
      </c>
      <c r="K414">
        <v>17494</v>
      </c>
      <c r="L414" t="s">
        <v>988</v>
      </c>
    </row>
    <row r="415" spans="1:12" x14ac:dyDescent="0.3">
      <c r="A415">
        <v>1626</v>
      </c>
      <c r="B415" t="s">
        <v>1716</v>
      </c>
      <c r="C415" t="s">
        <v>2663</v>
      </c>
      <c r="D415" t="s">
        <v>1203</v>
      </c>
      <c r="E415" t="s">
        <v>1204</v>
      </c>
      <c r="F415" t="s">
        <v>2664</v>
      </c>
      <c r="G415">
        <v>8996</v>
      </c>
      <c r="H415">
        <v>10874</v>
      </c>
      <c r="I415">
        <v>12713</v>
      </c>
      <c r="J415">
        <v>15104</v>
      </c>
      <c r="K415">
        <v>17494</v>
      </c>
      <c r="L415" t="s">
        <v>988</v>
      </c>
    </row>
    <row r="416" spans="1:12" x14ac:dyDescent="0.3">
      <c r="A416">
        <v>1631</v>
      </c>
      <c r="B416" t="s">
        <v>1717</v>
      </c>
      <c r="C416" t="s">
        <v>2663</v>
      </c>
      <c r="D416" t="s">
        <v>159</v>
      </c>
      <c r="E416" t="s">
        <v>159</v>
      </c>
      <c r="F416" t="s">
        <v>2665</v>
      </c>
      <c r="G416">
        <v>63667</v>
      </c>
      <c r="H416">
        <v>68289</v>
      </c>
      <c r="I416">
        <v>72911</v>
      </c>
      <c r="J416">
        <v>77532</v>
      </c>
      <c r="K416">
        <v>82156</v>
      </c>
      <c r="L416" t="s">
        <v>988</v>
      </c>
    </row>
    <row r="417" spans="1:12" x14ac:dyDescent="0.3">
      <c r="A417">
        <v>1631</v>
      </c>
      <c r="B417" t="s">
        <v>1717</v>
      </c>
      <c r="C417" t="s">
        <v>2663</v>
      </c>
      <c r="D417" t="s">
        <v>159</v>
      </c>
      <c r="E417" t="s">
        <v>159</v>
      </c>
      <c r="F417" t="s">
        <v>2664</v>
      </c>
      <c r="G417">
        <v>63666</v>
      </c>
      <c r="H417">
        <v>68289</v>
      </c>
      <c r="I417">
        <v>72911</v>
      </c>
      <c r="J417">
        <v>77533</v>
      </c>
      <c r="K417">
        <v>82156</v>
      </c>
      <c r="L417" t="s">
        <v>988</v>
      </c>
    </row>
    <row r="418" spans="1:12" x14ac:dyDescent="0.3">
      <c r="A418">
        <v>1639</v>
      </c>
      <c r="B418" t="s">
        <v>1719</v>
      </c>
      <c r="C418" t="s">
        <v>2663</v>
      </c>
      <c r="D418" t="s">
        <v>1203</v>
      </c>
      <c r="E418" t="s">
        <v>1204</v>
      </c>
      <c r="F418" t="s">
        <v>2665</v>
      </c>
      <c r="G418">
        <v>7469</v>
      </c>
      <c r="H418">
        <v>7855</v>
      </c>
      <c r="I418">
        <v>7995</v>
      </c>
      <c r="J418">
        <v>8137</v>
      </c>
      <c r="K418">
        <v>8282</v>
      </c>
      <c r="L418" t="s">
        <v>988</v>
      </c>
    </row>
    <row r="419" spans="1:12" x14ac:dyDescent="0.3">
      <c r="A419">
        <v>1639</v>
      </c>
      <c r="B419" t="s">
        <v>1719</v>
      </c>
      <c r="C419" t="s">
        <v>2663</v>
      </c>
      <c r="D419" t="s">
        <v>1203</v>
      </c>
      <c r="E419" t="s">
        <v>1204</v>
      </c>
      <c r="F419" t="s">
        <v>2664</v>
      </c>
      <c r="G419">
        <v>7469</v>
      </c>
      <c r="H419">
        <v>7855</v>
      </c>
      <c r="I419">
        <v>7995</v>
      </c>
      <c r="J419">
        <v>8137</v>
      </c>
      <c r="K419">
        <v>8282</v>
      </c>
      <c r="L419" t="s">
        <v>988</v>
      </c>
    </row>
    <row r="420" spans="1:12" x14ac:dyDescent="0.3">
      <c r="A420">
        <v>1642</v>
      </c>
      <c r="B420" t="s">
        <v>1720</v>
      </c>
      <c r="C420" t="s">
        <v>2663</v>
      </c>
      <c r="D420" t="s">
        <v>1203</v>
      </c>
      <c r="E420" t="s">
        <v>1204</v>
      </c>
      <c r="F420" t="s">
        <v>2665</v>
      </c>
      <c r="G420">
        <v>14232</v>
      </c>
      <c r="H420">
        <v>14564</v>
      </c>
      <c r="I420">
        <v>15175</v>
      </c>
      <c r="J420">
        <v>15437</v>
      </c>
      <c r="K420">
        <v>15706</v>
      </c>
      <c r="L420" t="s">
        <v>988</v>
      </c>
    </row>
    <row r="421" spans="1:12" x14ac:dyDescent="0.3">
      <c r="A421">
        <v>1642</v>
      </c>
      <c r="B421" t="s">
        <v>1720</v>
      </c>
      <c r="C421" t="s">
        <v>2663</v>
      </c>
      <c r="D421" t="s">
        <v>1203</v>
      </c>
      <c r="E421" t="s">
        <v>1204</v>
      </c>
      <c r="F421" t="s">
        <v>2664</v>
      </c>
      <c r="G421">
        <v>14232</v>
      </c>
      <c r="H421">
        <v>14564</v>
      </c>
      <c r="I421">
        <v>15175</v>
      </c>
      <c r="J421">
        <v>15437</v>
      </c>
      <c r="K421">
        <v>15706</v>
      </c>
      <c r="L421" t="s">
        <v>988</v>
      </c>
    </row>
    <row r="422" spans="1:12" x14ac:dyDescent="0.3">
      <c r="A422">
        <v>1644</v>
      </c>
      <c r="B422" t="s">
        <v>1721</v>
      </c>
      <c r="C422" t="s">
        <v>2663</v>
      </c>
      <c r="D422" t="s">
        <v>1203</v>
      </c>
      <c r="E422" t="s">
        <v>1204</v>
      </c>
      <c r="F422" t="s">
        <v>2664</v>
      </c>
      <c r="G422">
        <v>4379</v>
      </c>
      <c r="H422">
        <v>4379</v>
      </c>
      <c r="I422">
        <v>4379</v>
      </c>
      <c r="J422">
        <v>4379</v>
      </c>
      <c r="K422">
        <v>4379</v>
      </c>
      <c r="L422" t="s">
        <v>988</v>
      </c>
    </row>
    <row r="423" spans="1:12" x14ac:dyDescent="0.3">
      <c r="A423">
        <v>1644</v>
      </c>
      <c r="B423" t="s">
        <v>1721</v>
      </c>
      <c r="C423" t="s">
        <v>2663</v>
      </c>
      <c r="D423" t="s">
        <v>1203</v>
      </c>
      <c r="E423" t="s">
        <v>1204</v>
      </c>
      <c r="F423" t="s">
        <v>2665</v>
      </c>
      <c r="G423">
        <v>2997.5</v>
      </c>
      <c r="H423">
        <v>3027.5</v>
      </c>
      <c r="I423">
        <v>3057.5</v>
      </c>
      <c r="J423">
        <v>3086.5</v>
      </c>
      <c r="K423">
        <v>3116.5</v>
      </c>
      <c r="L423" t="s">
        <v>988</v>
      </c>
    </row>
    <row r="424" spans="1:12" x14ac:dyDescent="0.3">
      <c r="A424">
        <v>1645</v>
      </c>
      <c r="B424" t="s">
        <v>1722</v>
      </c>
      <c r="C424" t="s">
        <v>2663</v>
      </c>
      <c r="D424" t="s">
        <v>159</v>
      </c>
      <c r="E424" t="s">
        <v>159</v>
      </c>
      <c r="F424" t="s">
        <v>2664</v>
      </c>
      <c r="G424">
        <v>8447.26</v>
      </c>
      <c r="H424">
        <v>8930</v>
      </c>
      <c r="I424">
        <v>8913</v>
      </c>
      <c r="J424">
        <v>8895.36</v>
      </c>
      <c r="K424">
        <v>0</v>
      </c>
      <c r="L424" t="s">
        <v>988</v>
      </c>
    </row>
    <row r="425" spans="1:12" x14ac:dyDescent="0.3">
      <c r="A425">
        <v>1645</v>
      </c>
      <c r="B425" t="s">
        <v>1722</v>
      </c>
      <c r="C425" t="s">
        <v>2663</v>
      </c>
      <c r="D425" t="s">
        <v>159</v>
      </c>
      <c r="E425" t="s">
        <v>159</v>
      </c>
      <c r="F425" t="s">
        <v>2665</v>
      </c>
      <c r="G425">
        <v>4634.51</v>
      </c>
      <c r="H425">
        <v>5264.19</v>
      </c>
      <c r="I425">
        <v>5369.27</v>
      </c>
      <c r="J425">
        <v>5498.95</v>
      </c>
      <c r="K425">
        <v>0</v>
      </c>
      <c r="L425" t="s">
        <v>988</v>
      </c>
    </row>
    <row r="426" spans="1:12" x14ac:dyDescent="0.3">
      <c r="A426">
        <v>1650</v>
      </c>
      <c r="B426" t="s">
        <v>1724</v>
      </c>
      <c r="C426" t="s">
        <v>2663</v>
      </c>
      <c r="D426" t="s">
        <v>1203</v>
      </c>
      <c r="E426" t="s">
        <v>1204</v>
      </c>
      <c r="F426" t="s">
        <v>2664</v>
      </c>
      <c r="G426">
        <v>8421</v>
      </c>
      <c r="H426">
        <v>8514</v>
      </c>
      <c r="I426">
        <v>8611</v>
      </c>
      <c r="J426">
        <v>8706</v>
      </c>
      <c r="K426">
        <v>8804</v>
      </c>
      <c r="L426" t="s">
        <v>988</v>
      </c>
    </row>
    <row r="427" spans="1:12" x14ac:dyDescent="0.3">
      <c r="A427">
        <v>1650</v>
      </c>
      <c r="B427" t="s">
        <v>1724</v>
      </c>
      <c r="C427" t="s">
        <v>2663</v>
      </c>
      <c r="D427" t="s">
        <v>1203</v>
      </c>
      <c r="E427" t="s">
        <v>1204</v>
      </c>
      <c r="F427" t="s">
        <v>2665</v>
      </c>
      <c r="G427">
        <v>8421</v>
      </c>
      <c r="H427">
        <v>8514</v>
      </c>
      <c r="I427">
        <v>8611</v>
      </c>
      <c r="J427">
        <v>8706</v>
      </c>
      <c r="K427">
        <v>8804</v>
      </c>
      <c r="L427" t="s">
        <v>988</v>
      </c>
    </row>
    <row r="428" spans="1:12" x14ac:dyDescent="0.3">
      <c r="A428">
        <v>1656</v>
      </c>
      <c r="B428" t="s">
        <v>1725</v>
      </c>
      <c r="C428" t="s">
        <v>2663</v>
      </c>
      <c r="D428" t="s">
        <v>1203</v>
      </c>
      <c r="E428" t="s">
        <v>1204</v>
      </c>
      <c r="F428" t="s">
        <v>2664</v>
      </c>
      <c r="G428">
        <v>24800</v>
      </c>
      <c r="H428">
        <v>25500</v>
      </c>
      <c r="I428">
        <v>26300</v>
      </c>
      <c r="J428">
        <v>27000</v>
      </c>
      <c r="K428">
        <v>27700</v>
      </c>
      <c r="L428" t="s">
        <v>988</v>
      </c>
    </row>
    <row r="429" spans="1:12" x14ac:dyDescent="0.3">
      <c r="A429">
        <v>1656</v>
      </c>
      <c r="B429" t="s">
        <v>1725</v>
      </c>
      <c r="C429" t="s">
        <v>2663</v>
      </c>
      <c r="D429" t="s">
        <v>1203</v>
      </c>
      <c r="E429" t="s">
        <v>1204</v>
      </c>
      <c r="F429" t="s">
        <v>2665</v>
      </c>
      <c r="G429">
        <v>8671</v>
      </c>
      <c r="H429">
        <v>10182</v>
      </c>
      <c r="I429">
        <v>11623</v>
      </c>
      <c r="J429">
        <v>13008</v>
      </c>
      <c r="K429">
        <v>14373</v>
      </c>
      <c r="L429" t="s">
        <v>988</v>
      </c>
    </row>
    <row r="430" spans="1:12" x14ac:dyDescent="0.3">
      <c r="A430">
        <v>1660</v>
      </c>
      <c r="B430" t="s">
        <v>1727</v>
      </c>
      <c r="C430" t="s">
        <v>2663</v>
      </c>
      <c r="D430" t="s">
        <v>1203</v>
      </c>
      <c r="E430" t="s">
        <v>1204</v>
      </c>
      <c r="F430" t="s">
        <v>2665</v>
      </c>
      <c r="G430">
        <v>1332</v>
      </c>
      <c r="H430">
        <v>1367</v>
      </c>
      <c r="I430">
        <v>1400</v>
      </c>
      <c r="J430">
        <v>1445</v>
      </c>
      <c r="K430">
        <v>1445</v>
      </c>
      <c r="L430" t="s">
        <v>988</v>
      </c>
    </row>
    <row r="431" spans="1:12" x14ac:dyDescent="0.3">
      <c r="A431">
        <v>1660</v>
      </c>
      <c r="B431" t="s">
        <v>1727</v>
      </c>
      <c r="C431" t="s">
        <v>2663</v>
      </c>
      <c r="D431" t="s">
        <v>1203</v>
      </c>
      <c r="E431" t="s">
        <v>1204</v>
      </c>
      <c r="F431" t="s">
        <v>2664</v>
      </c>
      <c r="G431">
        <v>1720</v>
      </c>
      <c r="H431">
        <v>1720</v>
      </c>
      <c r="I431">
        <v>1720</v>
      </c>
      <c r="J431">
        <v>1720</v>
      </c>
      <c r="K431">
        <v>1720</v>
      </c>
      <c r="L431" t="s">
        <v>988</v>
      </c>
    </row>
    <row r="432" spans="1:12" x14ac:dyDescent="0.3">
      <c r="A432">
        <v>1663</v>
      </c>
      <c r="B432" t="s">
        <v>1728</v>
      </c>
      <c r="C432" t="s">
        <v>2663</v>
      </c>
      <c r="D432" t="s">
        <v>159</v>
      </c>
      <c r="E432" t="s">
        <v>159</v>
      </c>
      <c r="F432" t="s">
        <v>2664</v>
      </c>
      <c r="G432">
        <v>32093</v>
      </c>
      <c r="H432">
        <v>31782</v>
      </c>
      <c r="I432">
        <v>31612</v>
      </c>
      <c r="J432">
        <v>31473</v>
      </c>
      <c r="K432">
        <v>31280</v>
      </c>
      <c r="L432" t="s">
        <v>988</v>
      </c>
    </row>
    <row r="433" spans="1:12" x14ac:dyDescent="0.3">
      <c r="A433">
        <v>1663</v>
      </c>
      <c r="B433" t="s">
        <v>1728</v>
      </c>
      <c r="C433" t="s">
        <v>2663</v>
      </c>
      <c r="D433" t="s">
        <v>159</v>
      </c>
      <c r="E433" t="s">
        <v>159</v>
      </c>
      <c r="F433" t="s">
        <v>2665</v>
      </c>
      <c r="G433">
        <v>32093</v>
      </c>
      <c r="H433">
        <v>31782</v>
      </c>
      <c r="I433">
        <v>31612</v>
      </c>
      <c r="J433">
        <v>31473</v>
      </c>
      <c r="K433">
        <v>31280</v>
      </c>
      <c r="L433" t="s">
        <v>988</v>
      </c>
    </row>
    <row r="434" spans="1:12" x14ac:dyDescent="0.3">
      <c r="A434">
        <v>1671</v>
      </c>
      <c r="B434" t="s">
        <v>1736</v>
      </c>
      <c r="C434" t="s">
        <v>2663</v>
      </c>
      <c r="D434" t="s">
        <v>1203</v>
      </c>
      <c r="E434" t="s">
        <v>1204</v>
      </c>
      <c r="F434" t="s">
        <v>2664</v>
      </c>
      <c r="G434">
        <v>12058</v>
      </c>
      <c r="H434">
        <v>12548</v>
      </c>
      <c r="I434">
        <v>13064</v>
      </c>
      <c r="J434">
        <v>13607</v>
      </c>
      <c r="K434">
        <v>14163</v>
      </c>
      <c r="L434" t="s">
        <v>988</v>
      </c>
    </row>
    <row r="435" spans="1:12" x14ac:dyDescent="0.3">
      <c r="A435">
        <v>1671</v>
      </c>
      <c r="B435" t="s">
        <v>1736</v>
      </c>
      <c r="C435" t="s">
        <v>2663</v>
      </c>
      <c r="D435" t="s">
        <v>1203</v>
      </c>
      <c r="E435" t="s">
        <v>1204</v>
      </c>
      <c r="F435" t="s">
        <v>2665</v>
      </c>
      <c r="G435">
        <v>12058</v>
      </c>
      <c r="H435">
        <v>12548</v>
      </c>
      <c r="I435">
        <v>13064</v>
      </c>
      <c r="J435">
        <v>13607</v>
      </c>
      <c r="K435">
        <v>14163</v>
      </c>
      <c r="L435" t="s">
        <v>988</v>
      </c>
    </row>
    <row r="436" spans="1:12" x14ac:dyDescent="0.3">
      <c r="A436">
        <v>1697</v>
      </c>
      <c r="B436" t="s">
        <v>1737</v>
      </c>
      <c r="C436" t="s">
        <v>2663</v>
      </c>
      <c r="D436" t="s">
        <v>1203</v>
      </c>
      <c r="E436" t="s">
        <v>1204</v>
      </c>
      <c r="F436" t="s">
        <v>2664</v>
      </c>
      <c r="G436">
        <v>4376</v>
      </c>
      <c r="H436">
        <v>4540</v>
      </c>
      <c r="I436">
        <v>4703</v>
      </c>
      <c r="J436">
        <v>4736</v>
      </c>
      <c r="K436">
        <v>4771</v>
      </c>
      <c r="L436" t="s">
        <v>988</v>
      </c>
    </row>
    <row r="437" spans="1:12" x14ac:dyDescent="0.3">
      <c r="A437">
        <v>1697</v>
      </c>
      <c r="B437" t="s">
        <v>1737</v>
      </c>
      <c r="C437" t="s">
        <v>2663</v>
      </c>
      <c r="D437" t="s">
        <v>1203</v>
      </c>
      <c r="E437" t="s">
        <v>1204</v>
      </c>
      <c r="F437" t="s">
        <v>2665</v>
      </c>
      <c r="G437">
        <v>4376</v>
      </c>
      <c r="H437">
        <v>4540</v>
      </c>
      <c r="I437">
        <v>4703</v>
      </c>
      <c r="J437">
        <v>4736</v>
      </c>
      <c r="K437">
        <v>4771</v>
      </c>
      <c r="L437" t="s">
        <v>988</v>
      </c>
    </row>
    <row r="438" spans="1:12" x14ac:dyDescent="0.3">
      <c r="A438">
        <v>1701</v>
      </c>
      <c r="B438" t="s">
        <v>1739</v>
      </c>
      <c r="C438" t="s">
        <v>2663</v>
      </c>
      <c r="D438" t="s">
        <v>1203</v>
      </c>
      <c r="E438" t="s">
        <v>1204</v>
      </c>
      <c r="F438" t="s">
        <v>2665</v>
      </c>
      <c r="G438">
        <v>15065</v>
      </c>
      <c r="H438">
        <v>15750</v>
      </c>
      <c r="I438">
        <v>16100</v>
      </c>
      <c r="J438">
        <v>16425</v>
      </c>
      <c r="K438">
        <v>16650</v>
      </c>
      <c r="L438" t="s">
        <v>988</v>
      </c>
    </row>
    <row r="439" spans="1:12" x14ac:dyDescent="0.3">
      <c r="A439">
        <v>1701</v>
      </c>
      <c r="B439" t="s">
        <v>1739</v>
      </c>
      <c r="C439" t="s">
        <v>2663</v>
      </c>
      <c r="D439" t="s">
        <v>1203</v>
      </c>
      <c r="E439" t="s">
        <v>1204</v>
      </c>
      <c r="F439" t="s">
        <v>2664</v>
      </c>
      <c r="G439">
        <v>31737</v>
      </c>
      <c r="H439">
        <v>31997</v>
      </c>
      <c r="I439">
        <v>28907</v>
      </c>
      <c r="J439">
        <v>28907</v>
      </c>
      <c r="K439">
        <v>28907</v>
      </c>
      <c r="L439" t="s">
        <v>988</v>
      </c>
    </row>
    <row r="440" spans="1:12" x14ac:dyDescent="0.3">
      <c r="A440">
        <v>1718</v>
      </c>
      <c r="B440" t="s">
        <v>1747</v>
      </c>
      <c r="C440" t="s">
        <v>2663</v>
      </c>
      <c r="D440" t="s">
        <v>1203</v>
      </c>
      <c r="E440" t="s">
        <v>1204</v>
      </c>
      <c r="F440" t="s">
        <v>2664</v>
      </c>
      <c r="G440">
        <v>385942</v>
      </c>
      <c r="H440">
        <v>385942</v>
      </c>
      <c r="I440">
        <v>385942</v>
      </c>
      <c r="J440">
        <v>385942</v>
      </c>
      <c r="K440">
        <v>0</v>
      </c>
      <c r="L440" t="s">
        <v>988</v>
      </c>
    </row>
    <row r="441" spans="1:12" x14ac:dyDescent="0.3">
      <c r="A441">
        <v>1718</v>
      </c>
      <c r="B441" t="s">
        <v>1747</v>
      </c>
      <c r="C441" t="s">
        <v>2663</v>
      </c>
      <c r="D441" t="s">
        <v>1203</v>
      </c>
      <c r="E441" t="s">
        <v>1204</v>
      </c>
      <c r="F441" t="s">
        <v>2665</v>
      </c>
      <c r="G441">
        <v>1408</v>
      </c>
      <c r="H441">
        <v>1408</v>
      </c>
      <c r="I441">
        <v>1408</v>
      </c>
      <c r="J441">
        <v>1408</v>
      </c>
      <c r="K441">
        <v>0</v>
      </c>
      <c r="L441" t="s">
        <v>988</v>
      </c>
    </row>
    <row r="442" spans="1:12" x14ac:dyDescent="0.3">
      <c r="A442">
        <v>1729</v>
      </c>
      <c r="B442" t="s">
        <v>1751</v>
      </c>
      <c r="C442" t="s">
        <v>2663</v>
      </c>
      <c r="D442" t="s">
        <v>1203</v>
      </c>
      <c r="E442" t="s">
        <v>1204</v>
      </c>
      <c r="F442" t="s">
        <v>2665</v>
      </c>
      <c r="G442">
        <v>3190.354431103</v>
      </c>
      <c r="H442">
        <v>3421.0734196660001</v>
      </c>
      <c r="I442">
        <v>3674.6863115900001</v>
      </c>
      <c r="J442">
        <v>3953.4333950055002</v>
      </c>
      <c r="K442">
        <v>4259.7697801924996</v>
      </c>
      <c r="L442" t="s">
        <v>988</v>
      </c>
    </row>
    <row r="443" spans="1:12" x14ac:dyDescent="0.3">
      <c r="A443">
        <v>1729</v>
      </c>
      <c r="B443" t="s">
        <v>1751</v>
      </c>
      <c r="C443" t="s">
        <v>2663</v>
      </c>
      <c r="D443" t="s">
        <v>1203</v>
      </c>
      <c r="E443" t="s">
        <v>1204</v>
      </c>
      <c r="F443" t="s">
        <v>2664</v>
      </c>
      <c r="G443">
        <v>3191.643364</v>
      </c>
      <c r="H443">
        <v>3421.8099527499999</v>
      </c>
      <c r="I443">
        <v>3673.4587564499998</v>
      </c>
      <c r="J443">
        <v>3952.7275507999998</v>
      </c>
      <c r="K443">
        <v>4259.6163358000003</v>
      </c>
      <c r="L443" t="s">
        <v>988</v>
      </c>
    </row>
    <row r="444" spans="1:12" x14ac:dyDescent="0.3">
      <c r="A444">
        <v>1730</v>
      </c>
      <c r="B444" t="s">
        <v>1757</v>
      </c>
      <c r="C444" t="s">
        <v>2663</v>
      </c>
      <c r="D444" t="s">
        <v>159</v>
      </c>
      <c r="E444" t="s">
        <v>159</v>
      </c>
      <c r="F444" t="s">
        <v>2664</v>
      </c>
      <c r="G444">
        <v>14866</v>
      </c>
      <c r="H444">
        <v>15371</v>
      </c>
      <c r="I444">
        <v>15517</v>
      </c>
      <c r="J444">
        <v>15682</v>
      </c>
      <c r="K444">
        <v>15645</v>
      </c>
      <c r="L444" t="s">
        <v>988</v>
      </c>
    </row>
    <row r="445" spans="1:12" x14ac:dyDescent="0.3">
      <c r="A445">
        <v>1730</v>
      </c>
      <c r="B445" t="s">
        <v>1757</v>
      </c>
      <c r="C445" t="s">
        <v>2663</v>
      </c>
      <c r="D445" t="s">
        <v>159</v>
      </c>
      <c r="E445" t="s">
        <v>159</v>
      </c>
      <c r="F445" t="s">
        <v>2665</v>
      </c>
      <c r="G445">
        <v>14866</v>
      </c>
      <c r="H445">
        <v>15371</v>
      </c>
      <c r="I445">
        <v>15516.78</v>
      </c>
      <c r="J445">
        <v>15682</v>
      </c>
      <c r="K445">
        <v>15645</v>
      </c>
      <c r="L445" t="s">
        <v>988</v>
      </c>
    </row>
    <row r="446" spans="1:12" x14ac:dyDescent="0.3">
      <c r="A446">
        <v>1731</v>
      </c>
      <c r="B446" t="s">
        <v>1758</v>
      </c>
      <c r="C446" t="s">
        <v>2663</v>
      </c>
      <c r="D446" t="s">
        <v>1203</v>
      </c>
      <c r="E446" t="s">
        <v>1204</v>
      </c>
      <c r="F446" t="s">
        <v>2664</v>
      </c>
      <c r="G446">
        <v>5533</v>
      </c>
      <c r="H446">
        <v>5533</v>
      </c>
      <c r="I446">
        <v>5533</v>
      </c>
      <c r="J446">
        <v>5533</v>
      </c>
      <c r="K446">
        <v>5533</v>
      </c>
      <c r="L446" t="s">
        <v>988</v>
      </c>
    </row>
    <row r="447" spans="1:12" x14ac:dyDescent="0.3">
      <c r="A447">
        <v>1731</v>
      </c>
      <c r="B447" t="s">
        <v>1758</v>
      </c>
      <c r="C447" t="s">
        <v>2663</v>
      </c>
      <c r="D447" t="s">
        <v>1203</v>
      </c>
      <c r="E447" t="s">
        <v>1204</v>
      </c>
      <c r="F447" t="s">
        <v>2665</v>
      </c>
      <c r="G447">
        <v>3128</v>
      </c>
      <c r="H447">
        <v>3369</v>
      </c>
      <c r="I447">
        <v>3438</v>
      </c>
      <c r="J447">
        <v>3506</v>
      </c>
      <c r="K447">
        <v>3573</v>
      </c>
      <c r="L447" t="s">
        <v>988</v>
      </c>
    </row>
    <row r="448" spans="1:12" x14ac:dyDescent="0.3">
      <c r="A448">
        <v>1732</v>
      </c>
      <c r="B448" t="s">
        <v>1759</v>
      </c>
      <c r="C448" t="s">
        <v>2663</v>
      </c>
      <c r="D448" t="s">
        <v>1203</v>
      </c>
      <c r="E448" t="s">
        <v>1204</v>
      </c>
      <c r="F448" t="s">
        <v>2664</v>
      </c>
      <c r="G448">
        <v>14400</v>
      </c>
      <c r="H448">
        <v>14400</v>
      </c>
      <c r="I448">
        <v>14400</v>
      </c>
      <c r="J448">
        <v>14400</v>
      </c>
      <c r="K448">
        <v>14400</v>
      </c>
      <c r="L448" t="s">
        <v>988</v>
      </c>
    </row>
    <row r="449" spans="1:12" x14ac:dyDescent="0.3">
      <c r="A449">
        <v>1732</v>
      </c>
      <c r="B449" t="s">
        <v>1759</v>
      </c>
      <c r="C449" t="s">
        <v>2663</v>
      </c>
      <c r="D449" t="s">
        <v>1203</v>
      </c>
      <c r="E449" t="s">
        <v>1204</v>
      </c>
      <c r="F449" t="s">
        <v>2665</v>
      </c>
      <c r="G449">
        <v>7425</v>
      </c>
      <c r="H449">
        <v>7707</v>
      </c>
      <c r="I449">
        <v>7889</v>
      </c>
      <c r="J449">
        <v>8166</v>
      </c>
      <c r="K449">
        <v>8246</v>
      </c>
      <c r="L449" t="s">
        <v>988</v>
      </c>
    </row>
    <row r="450" spans="1:12" x14ac:dyDescent="0.3">
      <c r="A450">
        <v>1739</v>
      </c>
      <c r="B450" t="s">
        <v>1760</v>
      </c>
      <c r="C450" t="s">
        <v>2663</v>
      </c>
      <c r="D450" t="s">
        <v>1203</v>
      </c>
      <c r="E450" t="s">
        <v>1204</v>
      </c>
      <c r="F450" t="s">
        <v>2665</v>
      </c>
      <c r="G450">
        <v>2623.9348241023699</v>
      </c>
      <c r="H450">
        <v>2572.1578431492999</v>
      </c>
      <c r="I450">
        <v>2536.67175266391</v>
      </c>
      <c r="J450">
        <v>2534.6550653540098</v>
      </c>
      <c r="K450">
        <v>2539.7793336534501</v>
      </c>
      <c r="L450" t="s">
        <v>988</v>
      </c>
    </row>
    <row r="451" spans="1:12" x14ac:dyDescent="0.3">
      <c r="A451">
        <v>1739</v>
      </c>
      <c r="B451" t="s">
        <v>1760</v>
      </c>
      <c r="C451" t="s">
        <v>2663</v>
      </c>
      <c r="D451" t="s">
        <v>1203</v>
      </c>
      <c r="E451" t="s">
        <v>1204</v>
      </c>
      <c r="F451" t="s">
        <v>2664</v>
      </c>
      <c r="G451">
        <v>4328.8811345744998</v>
      </c>
      <c r="H451">
        <v>4328.8811345744998</v>
      </c>
      <c r="I451">
        <v>4328.8811345744998</v>
      </c>
      <c r="J451">
        <v>4328.8811345744998</v>
      </c>
      <c r="K451">
        <v>4328.8811345744998</v>
      </c>
      <c r="L451" t="s">
        <v>988</v>
      </c>
    </row>
    <row r="452" spans="1:12" x14ac:dyDescent="0.3">
      <c r="A452">
        <v>1748</v>
      </c>
      <c r="B452" t="s">
        <v>1764</v>
      </c>
      <c r="C452" t="s">
        <v>2663</v>
      </c>
      <c r="D452" t="s">
        <v>1203</v>
      </c>
      <c r="E452" t="s">
        <v>1204</v>
      </c>
      <c r="F452" t="s">
        <v>2664</v>
      </c>
      <c r="G452">
        <v>15913</v>
      </c>
      <c r="H452">
        <v>15926</v>
      </c>
      <c r="I452">
        <v>15940</v>
      </c>
      <c r="J452">
        <v>15954</v>
      </c>
      <c r="K452">
        <v>15968</v>
      </c>
      <c r="L452" t="s">
        <v>988</v>
      </c>
    </row>
    <row r="453" spans="1:12" x14ac:dyDescent="0.3">
      <c r="A453">
        <v>1748</v>
      </c>
      <c r="B453" t="s">
        <v>1764</v>
      </c>
      <c r="C453" t="s">
        <v>2663</v>
      </c>
      <c r="D453" t="s">
        <v>1203</v>
      </c>
      <c r="E453" t="s">
        <v>1204</v>
      </c>
      <c r="F453" t="s">
        <v>2665</v>
      </c>
      <c r="G453">
        <v>10678.93</v>
      </c>
      <c r="H453">
        <v>10857.33</v>
      </c>
      <c r="I453">
        <v>11085.23</v>
      </c>
      <c r="J453">
        <v>11108.18</v>
      </c>
      <c r="K453">
        <v>11151.72</v>
      </c>
      <c r="L453" t="s">
        <v>988</v>
      </c>
    </row>
    <row r="454" spans="1:12" x14ac:dyDescent="0.3">
      <c r="A454">
        <v>1752</v>
      </c>
      <c r="B454" t="s">
        <v>1769</v>
      </c>
      <c r="C454" t="s">
        <v>2663</v>
      </c>
      <c r="D454" t="s">
        <v>1203</v>
      </c>
      <c r="E454" t="s">
        <v>1204</v>
      </c>
      <c r="F454" t="s">
        <v>2665</v>
      </c>
      <c r="G454">
        <v>1163.10849515</v>
      </c>
      <c r="H454">
        <v>1184.5907101</v>
      </c>
      <c r="I454">
        <v>1206.0729250500001</v>
      </c>
      <c r="J454">
        <v>1227.5551399999999</v>
      </c>
      <c r="K454">
        <v>1258.2440185</v>
      </c>
      <c r="L454" t="s">
        <v>988</v>
      </c>
    </row>
    <row r="455" spans="1:12" x14ac:dyDescent="0.3">
      <c r="A455">
        <v>1752</v>
      </c>
      <c r="B455" t="s">
        <v>1769</v>
      </c>
      <c r="C455" t="s">
        <v>2663</v>
      </c>
      <c r="D455" t="s">
        <v>1203</v>
      </c>
      <c r="E455" t="s">
        <v>1204</v>
      </c>
      <c r="F455" t="s">
        <v>2664</v>
      </c>
      <c r="G455">
        <v>1163.10849515</v>
      </c>
      <c r="H455">
        <v>1184.5907101</v>
      </c>
      <c r="I455">
        <v>1206.0729250500001</v>
      </c>
      <c r="J455">
        <v>1227.5551399999999</v>
      </c>
      <c r="K455">
        <v>1258.2440185</v>
      </c>
      <c r="L455" t="s">
        <v>988</v>
      </c>
    </row>
    <row r="456" spans="1:12" x14ac:dyDescent="0.3">
      <c r="A456">
        <v>1756</v>
      </c>
      <c r="B456" t="s">
        <v>1771</v>
      </c>
      <c r="C456" t="s">
        <v>2663</v>
      </c>
      <c r="D456" t="s">
        <v>1203</v>
      </c>
      <c r="E456" t="s">
        <v>1204</v>
      </c>
      <c r="F456" t="s">
        <v>2664</v>
      </c>
      <c r="G456">
        <v>3694</v>
      </c>
      <c r="H456">
        <v>3694</v>
      </c>
      <c r="I456">
        <v>3694</v>
      </c>
      <c r="J456">
        <v>3694</v>
      </c>
      <c r="K456">
        <v>3694</v>
      </c>
      <c r="L456" t="s">
        <v>988</v>
      </c>
    </row>
    <row r="457" spans="1:12" x14ac:dyDescent="0.3">
      <c r="A457">
        <v>1756</v>
      </c>
      <c r="B457" t="s">
        <v>1771</v>
      </c>
      <c r="C457" t="s">
        <v>2663</v>
      </c>
      <c r="D457" t="s">
        <v>1203</v>
      </c>
      <c r="E457" t="s">
        <v>1204</v>
      </c>
      <c r="F457" t="s">
        <v>2665</v>
      </c>
      <c r="G457">
        <v>2158.15</v>
      </c>
      <c r="H457">
        <v>2163.8200000000002</v>
      </c>
      <c r="I457">
        <v>2169.5</v>
      </c>
      <c r="J457">
        <v>2175.21</v>
      </c>
      <c r="K457">
        <v>2180.91</v>
      </c>
      <c r="L457" t="s">
        <v>988</v>
      </c>
    </row>
    <row r="458" spans="1:12" x14ac:dyDescent="0.3">
      <c r="A458">
        <v>1765</v>
      </c>
      <c r="B458" t="s">
        <v>1772</v>
      </c>
      <c r="C458" t="s">
        <v>2663</v>
      </c>
      <c r="D458" t="s">
        <v>1203</v>
      </c>
      <c r="E458" t="s">
        <v>1204</v>
      </c>
      <c r="F458" t="s">
        <v>2664</v>
      </c>
      <c r="G458">
        <v>4910.9799999999996</v>
      </c>
      <c r="H458">
        <v>5601.1</v>
      </c>
      <c r="I458">
        <v>5601.1</v>
      </c>
      <c r="J458">
        <v>5711.59</v>
      </c>
      <c r="K458">
        <v>0</v>
      </c>
      <c r="L458" t="s">
        <v>988</v>
      </c>
    </row>
    <row r="459" spans="1:12" x14ac:dyDescent="0.3">
      <c r="A459">
        <v>1765</v>
      </c>
      <c r="B459" t="s">
        <v>1772</v>
      </c>
      <c r="C459" t="s">
        <v>2663</v>
      </c>
      <c r="D459" t="s">
        <v>1203</v>
      </c>
      <c r="E459" t="s">
        <v>1204</v>
      </c>
      <c r="F459" t="s">
        <v>2665</v>
      </c>
      <c r="G459">
        <v>4910.9799999999996</v>
      </c>
      <c r="H459">
        <v>5164.53</v>
      </c>
      <c r="I459">
        <v>5431.18</v>
      </c>
      <c r="J459">
        <v>5711.58</v>
      </c>
      <c r="K459">
        <v>0</v>
      </c>
      <c r="L459" t="s">
        <v>988</v>
      </c>
    </row>
    <row r="460" spans="1:12" x14ac:dyDescent="0.3">
      <c r="A460">
        <v>1777</v>
      </c>
      <c r="B460" t="s">
        <v>1773</v>
      </c>
      <c r="C460" t="s">
        <v>2663</v>
      </c>
      <c r="D460" t="s">
        <v>1203</v>
      </c>
      <c r="E460" t="s">
        <v>1204</v>
      </c>
      <c r="F460" t="s">
        <v>2665</v>
      </c>
      <c r="G460">
        <v>27401</v>
      </c>
      <c r="H460">
        <v>30858</v>
      </c>
      <c r="I460">
        <v>31031</v>
      </c>
      <c r="J460">
        <v>31087</v>
      </c>
      <c r="K460">
        <v>31260</v>
      </c>
      <c r="L460" t="s">
        <v>988</v>
      </c>
    </row>
    <row r="461" spans="1:12" x14ac:dyDescent="0.3">
      <c r="A461">
        <v>1777</v>
      </c>
      <c r="B461" t="s">
        <v>1773</v>
      </c>
      <c r="C461" t="s">
        <v>2663</v>
      </c>
      <c r="D461" t="s">
        <v>1203</v>
      </c>
      <c r="E461" t="s">
        <v>1204</v>
      </c>
      <c r="F461" t="s">
        <v>2664</v>
      </c>
      <c r="G461">
        <v>24041</v>
      </c>
      <c r="H461">
        <v>24138</v>
      </c>
      <c r="I461">
        <v>24310</v>
      </c>
      <c r="J461">
        <v>24368</v>
      </c>
      <c r="K461">
        <v>24540</v>
      </c>
      <c r="L461" t="s">
        <v>988</v>
      </c>
    </row>
    <row r="462" spans="1:12" x14ac:dyDescent="0.3">
      <c r="A462">
        <v>1792</v>
      </c>
      <c r="B462" t="s">
        <v>1781</v>
      </c>
      <c r="C462" t="s">
        <v>2663</v>
      </c>
      <c r="D462" t="s">
        <v>1203</v>
      </c>
      <c r="E462" t="s">
        <v>1204</v>
      </c>
      <c r="F462" t="s">
        <v>2665</v>
      </c>
      <c r="G462">
        <v>5382.8292889000004</v>
      </c>
      <c r="H462">
        <v>6536.7311204999996</v>
      </c>
      <c r="I462">
        <v>7113.6820362999997</v>
      </c>
      <c r="J462">
        <v>7687.5640642500002</v>
      </c>
      <c r="K462">
        <v>8264.5149800500003</v>
      </c>
      <c r="L462" t="s">
        <v>988</v>
      </c>
    </row>
    <row r="463" spans="1:12" x14ac:dyDescent="0.3">
      <c r="A463">
        <v>1792</v>
      </c>
      <c r="B463" t="s">
        <v>1781</v>
      </c>
      <c r="C463" t="s">
        <v>2663</v>
      </c>
      <c r="D463" t="s">
        <v>1203</v>
      </c>
      <c r="E463" t="s">
        <v>1204</v>
      </c>
      <c r="F463" t="s">
        <v>2664</v>
      </c>
      <c r="G463">
        <v>20082.8020904</v>
      </c>
      <c r="H463">
        <v>20082.8020904</v>
      </c>
      <c r="I463">
        <v>20082.8020904</v>
      </c>
      <c r="J463">
        <v>20082.8020904</v>
      </c>
      <c r="K463">
        <v>20082.8020904</v>
      </c>
      <c r="L463" t="s">
        <v>988</v>
      </c>
    </row>
    <row r="464" spans="1:12" x14ac:dyDescent="0.3">
      <c r="A464">
        <v>1793</v>
      </c>
      <c r="B464" t="s">
        <v>1785</v>
      </c>
      <c r="C464" t="s">
        <v>2663</v>
      </c>
      <c r="D464" t="s">
        <v>1203</v>
      </c>
      <c r="E464" t="s">
        <v>1204</v>
      </c>
      <c r="F464" t="s">
        <v>2664</v>
      </c>
      <c r="G464">
        <v>20103</v>
      </c>
      <c r="H464">
        <v>19779</v>
      </c>
      <c r="I464">
        <v>19474</v>
      </c>
      <c r="J464">
        <v>19165</v>
      </c>
      <c r="K464">
        <v>0</v>
      </c>
      <c r="L464" t="s">
        <v>988</v>
      </c>
    </row>
    <row r="465" spans="1:12" x14ac:dyDescent="0.3">
      <c r="A465">
        <v>1793</v>
      </c>
      <c r="B465" t="s">
        <v>1785</v>
      </c>
      <c r="C465" t="s">
        <v>2663</v>
      </c>
      <c r="D465" t="s">
        <v>1203</v>
      </c>
      <c r="E465" t="s">
        <v>1204</v>
      </c>
      <c r="F465" t="s">
        <v>2665</v>
      </c>
      <c r="G465">
        <v>20103</v>
      </c>
      <c r="H465">
        <v>19779</v>
      </c>
      <c r="I465">
        <v>19474</v>
      </c>
      <c r="J465">
        <v>19165</v>
      </c>
      <c r="K465">
        <v>0</v>
      </c>
      <c r="L465" t="s">
        <v>988</v>
      </c>
    </row>
    <row r="466" spans="1:12" x14ac:dyDescent="0.3">
      <c r="A466">
        <v>1795</v>
      </c>
      <c r="B466" t="s">
        <v>1787</v>
      </c>
      <c r="C466" t="s">
        <v>2663</v>
      </c>
      <c r="D466" t="s">
        <v>1203</v>
      </c>
      <c r="E466" t="s">
        <v>1204</v>
      </c>
      <c r="F466" t="s">
        <v>2664</v>
      </c>
      <c r="G466">
        <v>52550</v>
      </c>
      <c r="H466">
        <v>58513</v>
      </c>
      <c r="I466">
        <v>63838</v>
      </c>
      <c r="J466">
        <v>73668</v>
      </c>
      <c r="K466">
        <v>73668</v>
      </c>
      <c r="L466" t="s">
        <v>988</v>
      </c>
    </row>
    <row r="467" spans="1:12" x14ac:dyDescent="0.3">
      <c r="A467">
        <v>1795</v>
      </c>
      <c r="B467" t="s">
        <v>1787</v>
      </c>
      <c r="C467" t="s">
        <v>2663</v>
      </c>
      <c r="D467" t="s">
        <v>1203</v>
      </c>
      <c r="E467" t="s">
        <v>1204</v>
      </c>
      <c r="F467" t="s">
        <v>2665</v>
      </c>
      <c r="G467">
        <v>52550</v>
      </c>
      <c r="H467">
        <v>58513</v>
      </c>
      <c r="I467">
        <v>63838</v>
      </c>
      <c r="J467">
        <v>73668</v>
      </c>
      <c r="K467">
        <v>73668</v>
      </c>
      <c r="L467" t="s">
        <v>988</v>
      </c>
    </row>
    <row r="468" spans="1:12" x14ac:dyDescent="0.3">
      <c r="A468">
        <v>1797</v>
      </c>
      <c r="B468" t="s">
        <v>1788</v>
      </c>
      <c r="C468" t="s">
        <v>2663</v>
      </c>
      <c r="D468" t="s">
        <v>1203</v>
      </c>
      <c r="E468" t="s">
        <v>1204</v>
      </c>
      <c r="F468" t="s">
        <v>2664</v>
      </c>
      <c r="G468">
        <v>27233</v>
      </c>
      <c r="H468">
        <v>28133</v>
      </c>
      <c r="I468">
        <v>28151</v>
      </c>
      <c r="J468">
        <v>28129.8889675153</v>
      </c>
      <c r="K468">
        <v>28077</v>
      </c>
      <c r="L468" t="s">
        <v>988</v>
      </c>
    </row>
    <row r="469" spans="1:12" x14ac:dyDescent="0.3">
      <c r="A469">
        <v>1797</v>
      </c>
      <c r="B469" t="s">
        <v>1788</v>
      </c>
      <c r="C469" t="s">
        <v>2663</v>
      </c>
      <c r="D469" t="s">
        <v>1203</v>
      </c>
      <c r="E469" t="s">
        <v>1204</v>
      </c>
      <c r="F469" t="s">
        <v>2665</v>
      </c>
      <c r="G469">
        <v>27233</v>
      </c>
      <c r="H469">
        <v>28132.799999999999</v>
      </c>
      <c r="I469">
        <v>28151</v>
      </c>
      <c r="J469">
        <v>28129.8</v>
      </c>
      <c r="K469">
        <v>28077</v>
      </c>
      <c r="L469" t="s">
        <v>988</v>
      </c>
    </row>
    <row r="470" spans="1:12" x14ac:dyDescent="0.3">
      <c r="A470">
        <v>1803</v>
      </c>
      <c r="B470" t="s">
        <v>1789</v>
      </c>
      <c r="C470" t="s">
        <v>2663</v>
      </c>
      <c r="D470" t="s">
        <v>1203</v>
      </c>
      <c r="E470" t="s">
        <v>1204</v>
      </c>
      <c r="F470" t="s">
        <v>2664</v>
      </c>
      <c r="G470">
        <v>3723</v>
      </c>
      <c r="H470">
        <v>3778</v>
      </c>
      <c r="I470">
        <v>3771</v>
      </c>
      <c r="J470">
        <v>3852</v>
      </c>
      <c r="K470">
        <v>0</v>
      </c>
      <c r="L470" t="s">
        <v>988</v>
      </c>
    </row>
    <row r="471" spans="1:12" x14ac:dyDescent="0.3">
      <c r="A471">
        <v>1803</v>
      </c>
      <c r="B471" t="s">
        <v>1789</v>
      </c>
      <c r="C471" t="s">
        <v>2663</v>
      </c>
      <c r="D471" t="s">
        <v>1203</v>
      </c>
      <c r="E471" t="s">
        <v>1204</v>
      </c>
      <c r="F471" t="s">
        <v>2665</v>
      </c>
      <c r="G471">
        <v>3723</v>
      </c>
      <c r="H471">
        <v>3778</v>
      </c>
      <c r="I471">
        <v>3771</v>
      </c>
      <c r="J471">
        <v>3852</v>
      </c>
      <c r="K471">
        <v>0</v>
      </c>
      <c r="L471" t="s">
        <v>988</v>
      </c>
    </row>
    <row r="472" spans="1:12" x14ac:dyDescent="0.3">
      <c r="A472">
        <v>1804</v>
      </c>
      <c r="B472" t="s">
        <v>1791</v>
      </c>
      <c r="C472" t="s">
        <v>2663</v>
      </c>
      <c r="D472" t="s">
        <v>159</v>
      </c>
      <c r="E472" t="s">
        <v>159</v>
      </c>
      <c r="F472" t="s">
        <v>2665</v>
      </c>
      <c r="G472">
        <v>1993</v>
      </c>
      <c r="H472">
        <v>2017</v>
      </c>
      <c r="I472">
        <v>2042</v>
      </c>
      <c r="J472">
        <v>2067</v>
      </c>
      <c r="K472">
        <v>0</v>
      </c>
      <c r="L472" t="s">
        <v>988</v>
      </c>
    </row>
    <row r="473" spans="1:12" x14ac:dyDescent="0.3">
      <c r="A473">
        <v>1804</v>
      </c>
      <c r="B473" t="s">
        <v>1791</v>
      </c>
      <c r="C473" t="s">
        <v>2663</v>
      </c>
      <c r="D473" t="s">
        <v>159</v>
      </c>
      <c r="E473" t="s">
        <v>159</v>
      </c>
      <c r="F473" t="s">
        <v>2664</v>
      </c>
      <c r="G473">
        <v>1993</v>
      </c>
      <c r="H473">
        <v>2017</v>
      </c>
      <c r="I473">
        <v>2042</v>
      </c>
      <c r="J473">
        <v>2067</v>
      </c>
      <c r="K473">
        <v>0</v>
      </c>
      <c r="L473" t="s">
        <v>988</v>
      </c>
    </row>
    <row r="474" spans="1:12" x14ac:dyDescent="0.3">
      <c r="A474">
        <v>1821</v>
      </c>
      <c r="B474" t="s">
        <v>1792</v>
      </c>
      <c r="C474" t="s">
        <v>2663</v>
      </c>
      <c r="D474" t="s">
        <v>1203</v>
      </c>
      <c r="E474" t="s">
        <v>1204</v>
      </c>
      <c r="F474" t="s">
        <v>2665</v>
      </c>
      <c r="G474">
        <v>37965</v>
      </c>
      <c r="H474">
        <v>40736</v>
      </c>
      <c r="I474">
        <v>43636</v>
      </c>
      <c r="J474">
        <v>46967</v>
      </c>
      <c r="K474">
        <v>50565</v>
      </c>
      <c r="L474" t="s">
        <v>988</v>
      </c>
    </row>
    <row r="475" spans="1:12" x14ac:dyDescent="0.3">
      <c r="A475">
        <v>1821</v>
      </c>
      <c r="B475" t="s">
        <v>1792</v>
      </c>
      <c r="C475" t="s">
        <v>2663</v>
      </c>
      <c r="D475" t="s">
        <v>1203</v>
      </c>
      <c r="E475" t="s">
        <v>1204</v>
      </c>
      <c r="F475" t="s">
        <v>2664</v>
      </c>
      <c r="G475">
        <v>47965</v>
      </c>
      <c r="H475">
        <v>57436</v>
      </c>
      <c r="I475">
        <v>66636</v>
      </c>
      <c r="J475">
        <v>69967</v>
      </c>
      <c r="K475">
        <v>73565</v>
      </c>
      <c r="L475" t="s">
        <v>988</v>
      </c>
    </row>
    <row r="476" spans="1:12" x14ac:dyDescent="0.3">
      <c r="A476">
        <v>1827</v>
      </c>
      <c r="B476" t="s">
        <v>1794</v>
      </c>
      <c r="C476" t="s">
        <v>2663</v>
      </c>
      <c r="D476" t="s">
        <v>1203</v>
      </c>
      <c r="E476" t="s">
        <v>1204</v>
      </c>
      <c r="F476" t="s">
        <v>2665</v>
      </c>
      <c r="G476">
        <v>34819</v>
      </c>
      <c r="H476">
        <v>42085</v>
      </c>
      <c r="I476">
        <v>43428</v>
      </c>
      <c r="J476">
        <v>44778</v>
      </c>
      <c r="K476">
        <v>45253</v>
      </c>
      <c r="L476" t="s">
        <v>988</v>
      </c>
    </row>
    <row r="477" spans="1:12" x14ac:dyDescent="0.3">
      <c r="A477">
        <v>1827</v>
      </c>
      <c r="B477" t="s">
        <v>1794</v>
      </c>
      <c r="C477" t="s">
        <v>2663</v>
      </c>
      <c r="D477" t="s">
        <v>1203</v>
      </c>
      <c r="E477" t="s">
        <v>1204</v>
      </c>
      <c r="F477" t="s">
        <v>2664</v>
      </c>
      <c r="G477">
        <v>34819</v>
      </c>
      <c r="H477">
        <v>42085</v>
      </c>
      <c r="I477">
        <v>43428</v>
      </c>
      <c r="J477">
        <v>44778</v>
      </c>
      <c r="K477">
        <v>45253</v>
      </c>
      <c r="L477" t="s">
        <v>988</v>
      </c>
    </row>
    <row r="478" spans="1:12" x14ac:dyDescent="0.3">
      <c r="A478">
        <v>1838</v>
      </c>
      <c r="B478" t="s">
        <v>1797</v>
      </c>
      <c r="C478" t="s">
        <v>2663</v>
      </c>
      <c r="D478" t="s">
        <v>1203</v>
      </c>
      <c r="E478" t="s">
        <v>1204</v>
      </c>
      <c r="F478" t="s">
        <v>2665</v>
      </c>
      <c r="G478">
        <v>13674</v>
      </c>
      <c r="H478">
        <v>14818.014228868</v>
      </c>
      <c r="I478">
        <v>15855</v>
      </c>
      <c r="J478">
        <v>16704.685181901099</v>
      </c>
      <c r="K478">
        <v>17176.0811705632</v>
      </c>
      <c r="L478" t="s">
        <v>988</v>
      </c>
    </row>
    <row r="479" spans="1:12" x14ac:dyDescent="0.3">
      <c r="A479">
        <v>1838</v>
      </c>
      <c r="B479" t="s">
        <v>1797</v>
      </c>
      <c r="C479" t="s">
        <v>2663</v>
      </c>
      <c r="D479" t="s">
        <v>1203</v>
      </c>
      <c r="E479" t="s">
        <v>1204</v>
      </c>
      <c r="F479" t="s">
        <v>2664</v>
      </c>
      <c r="G479">
        <v>13674</v>
      </c>
      <c r="H479">
        <v>14818</v>
      </c>
      <c r="I479">
        <v>15855</v>
      </c>
      <c r="J479">
        <v>16705</v>
      </c>
      <c r="K479">
        <v>17176</v>
      </c>
      <c r="L479" t="s">
        <v>988</v>
      </c>
    </row>
    <row r="480" spans="1:12" x14ac:dyDescent="0.3">
      <c r="A480">
        <v>1849</v>
      </c>
      <c r="B480" t="s">
        <v>960</v>
      </c>
      <c r="C480" t="s">
        <v>2663</v>
      </c>
      <c r="D480" t="s">
        <v>1203</v>
      </c>
      <c r="E480" t="s">
        <v>1204</v>
      </c>
      <c r="F480" t="s">
        <v>2665</v>
      </c>
      <c r="G480">
        <v>20220</v>
      </c>
      <c r="H480">
        <v>21310</v>
      </c>
      <c r="I480">
        <v>22980</v>
      </c>
      <c r="J480">
        <v>24780</v>
      </c>
      <c r="K480">
        <v>26250</v>
      </c>
      <c r="L480" t="s">
        <v>988</v>
      </c>
    </row>
    <row r="481" spans="1:12" x14ac:dyDescent="0.3">
      <c r="A481">
        <v>1849</v>
      </c>
      <c r="B481" t="s">
        <v>960</v>
      </c>
      <c r="C481" t="s">
        <v>2663</v>
      </c>
      <c r="D481" t="s">
        <v>1203</v>
      </c>
      <c r="E481" t="s">
        <v>1204</v>
      </c>
      <c r="F481" t="s">
        <v>2664</v>
      </c>
      <c r="G481">
        <v>36725</v>
      </c>
      <c r="H481">
        <v>35315</v>
      </c>
      <c r="I481">
        <v>35345</v>
      </c>
      <c r="J481">
        <v>35375</v>
      </c>
      <c r="K481">
        <v>35375</v>
      </c>
      <c r="L481" t="s">
        <v>988</v>
      </c>
    </row>
    <row r="482" spans="1:12" x14ac:dyDescent="0.3">
      <c r="A482">
        <v>1851</v>
      </c>
      <c r="B482" t="s">
        <v>1800</v>
      </c>
      <c r="C482" t="s">
        <v>2663</v>
      </c>
      <c r="D482" t="s">
        <v>159</v>
      </c>
      <c r="E482" t="s">
        <v>159</v>
      </c>
      <c r="F482" t="s">
        <v>2665</v>
      </c>
      <c r="G482">
        <v>11786</v>
      </c>
      <c r="H482">
        <v>11977</v>
      </c>
      <c r="I482">
        <v>12191</v>
      </c>
      <c r="J482">
        <v>12464</v>
      </c>
      <c r="K482">
        <v>12748</v>
      </c>
      <c r="L482" t="s">
        <v>988</v>
      </c>
    </row>
    <row r="483" spans="1:12" x14ac:dyDescent="0.3">
      <c r="A483">
        <v>1851</v>
      </c>
      <c r="B483" t="s">
        <v>1800</v>
      </c>
      <c r="C483" t="s">
        <v>2663</v>
      </c>
      <c r="D483" t="s">
        <v>159</v>
      </c>
      <c r="E483" t="s">
        <v>159</v>
      </c>
      <c r="F483" t="s">
        <v>2664</v>
      </c>
      <c r="G483">
        <v>16650</v>
      </c>
      <c r="H483">
        <v>16650</v>
      </c>
      <c r="I483">
        <v>16650</v>
      </c>
      <c r="J483">
        <v>16650</v>
      </c>
      <c r="K483">
        <v>16650</v>
      </c>
      <c r="L483" t="s">
        <v>988</v>
      </c>
    </row>
    <row r="484" spans="1:12" x14ac:dyDescent="0.3">
      <c r="A484">
        <v>1859</v>
      </c>
      <c r="B484" t="s">
        <v>1801</v>
      </c>
      <c r="C484" t="s">
        <v>2663</v>
      </c>
      <c r="D484" t="s">
        <v>1203</v>
      </c>
      <c r="E484" t="s">
        <v>1204</v>
      </c>
      <c r="F484" t="s">
        <v>2664</v>
      </c>
      <c r="G484">
        <v>15421</v>
      </c>
      <c r="H484">
        <v>15466</v>
      </c>
      <c r="I484">
        <v>15466</v>
      </c>
      <c r="J484">
        <v>15466</v>
      </c>
      <c r="K484">
        <v>15466</v>
      </c>
      <c r="L484" t="s">
        <v>988</v>
      </c>
    </row>
    <row r="485" spans="1:12" x14ac:dyDescent="0.3">
      <c r="A485">
        <v>1859</v>
      </c>
      <c r="B485" t="s">
        <v>1801</v>
      </c>
      <c r="C485" t="s">
        <v>2663</v>
      </c>
      <c r="D485" t="s">
        <v>1203</v>
      </c>
      <c r="E485" t="s">
        <v>1204</v>
      </c>
      <c r="F485" t="s">
        <v>2665</v>
      </c>
      <c r="G485">
        <v>3958</v>
      </c>
      <c r="H485">
        <v>4356</v>
      </c>
      <c r="I485">
        <v>4913</v>
      </c>
      <c r="J485">
        <v>5109</v>
      </c>
      <c r="K485">
        <v>5084</v>
      </c>
      <c r="L485" t="s">
        <v>988</v>
      </c>
    </row>
    <row r="486" spans="1:12" x14ac:dyDescent="0.3">
      <c r="A486">
        <v>1866</v>
      </c>
      <c r="B486" t="s">
        <v>1805</v>
      </c>
      <c r="C486" t="s">
        <v>2663</v>
      </c>
      <c r="D486" t="s">
        <v>1203</v>
      </c>
      <c r="E486" t="s">
        <v>1204</v>
      </c>
      <c r="F486" t="s">
        <v>2665</v>
      </c>
      <c r="G486">
        <v>6293</v>
      </c>
      <c r="H486">
        <v>6412</v>
      </c>
      <c r="I486">
        <v>6532</v>
      </c>
      <c r="J486">
        <v>6658</v>
      </c>
      <c r="K486">
        <v>6446</v>
      </c>
      <c r="L486" t="s">
        <v>988</v>
      </c>
    </row>
    <row r="487" spans="1:12" x14ac:dyDescent="0.3">
      <c r="A487">
        <v>1866</v>
      </c>
      <c r="B487" t="s">
        <v>1805</v>
      </c>
      <c r="C487" t="s">
        <v>2663</v>
      </c>
      <c r="D487" t="s">
        <v>1203</v>
      </c>
      <c r="E487" t="s">
        <v>1204</v>
      </c>
      <c r="F487" t="s">
        <v>2664</v>
      </c>
      <c r="G487">
        <v>7876</v>
      </c>
      <c r="H487">
        <v>7902</v>
      </c>
      <c r="I487">
        <v>7902</v>
      </c>
      <c r="J487">
        <v>7902</v>
      </c>
      <c r="K487">
        <v>7902</v>
      </c>
      <c r="L487" t="s">
        <v>988</v>
      </c>
    </row>
    <row r="488" spans="1:12" x14ac:dyDescent="0.3">
      <c r="A488">
        <v>1873</v>
      </c>
      <c r="B488" t="s">
        <v>1806</v>
      </c>
      <c r="C488" t="s">
        <v>2663</v>
      </c>
      <c r="D488" t="s">
        <v>159</v>
      </c>
      <c r="E488" t="s">
        <v>159</v>
      </c>
      <c r="F488" t="s">
        <v>2664</v>
      </c>
      <c r="G488">
        <v>31078</v>
      </c>
      <c r="H488">
        <v>31192</v>
      </c>
      <c r="I488">
        <v>31284</v>
      </c>
      <c r="J488">
        <v>31357</v>
      </c>
      <c r="K488">
        <v>0</v>
      </c>
      <c r="L488" t="s">
        <v>988</v>
      </c>
    </row>
    <row r="489" spans="1:12" x14ac:dyDescent="0.3">
      <c r="A489">
        <v>1873</v>
      </c>
      <c r="B489" t="s">
        <v>1806</v>
      </c>
      <c r="C489" t="s">
        <v>2663</v>
      </c>
      <c r="D489" t="s">
        <v>159</v>
      </c>
      <c r="E489" t="s">
        <v>159</v>
      </c>
      <c r="F489" t="s">
        <v>2665</v>
      </c>
      <c r="G489">
        <v>26750</v>
      </c>
      <c r="H489">
        <v>25000</v>
      </c>
      <c r="I489">
        <v>25320</v>
      </c>
      <c r="J489">
        <v>25630</v>
      </c>
      <c r="K489">
        <v>0</v>
      </c>
      <c r="L489" t="s">
        <v>988</v>
      </c>
    </row>
    <row r="490" spans="1:12" x14ac:dyDescent="0.3">
      <c r="A490">
        <v>1875</v>
      </c>
      <c r="B490" t="s">
        <v>1811</v>
      </c>
      <c r="C490" t="s">
        <v>2663</v>
      </c>
      <c r="D490" t="s">
        <v>1203</v>
      </c>
      <c r="E490" t="s">
        <v>1204</v>
      </c>
      <c r="F490" t="s">
        <v>2665</v>
      </c>
      <c r="G490">
        <v>6515</v>
      </c>
      <c r="H490">
        <v>7102</v>
      </c>
      <c r="I490">
        <v>7689</v>
      </c>
      <c r="J490">
        <v>8277</v>
      </c>
      <c r="K490">
        <v>8863</v>
      </c>
      <c r="L490" t="s">
        <v>988</v>
      </c>
    </row>
    <row r="491" spans="1:12" x14ac:dyDescent="0.3">
      <c r="A491">
        <v>1875</v>
      </c>
      <c r="B491" t="s">
        <v>1811</v>
      </c>
      <c r="C491" t="s">
        <v>2663</v>
      </c>
      <c r="D491" t="s">
        <v>1203</v>
      </c>
      <c r="E491" t="s">
        <v>1204</v>
      </c>
      <c r="F491" t="s">
        <v>2664</v>
      </c>
      <c r="G491">
        <v>6515</v>
      </c>
      <c r="H491">
        <v>7102</v>
      </c>
      <c r="I491">
        <v>7689</v>
      </c>
      <c r="J491">
        <v>8277</v>
      </c>
      <c r="K491">
        <v>8863</v>
      </c>
      <c r="L491" t="s">
        <v>988</v>
      </c>
    </row>
    <row r="492" spans="1:12" x14ac:dyDescent="0.3">
      <c r="A492">
        <v>1877</v>
      </c>
      <c r="B492" t="s">
        <v>1812</v>
      </c>
      <c r="C492" t="s">
        <v>2663</v>
      </c>
      <c r="D492" t="s">
        <v>1203</v>
      </c>
      <c r="E492" t="s">
        <v>1204</v>
      </c>
      <c r="F492" t="s">
        <v>2665</v>
      </c>
      <c r="G492">
        <v>4888</v>
      </c>
      <c r="H492">
        <v>5687</v>
      </c>
      <c r="I492">
        <v>6341</v>
      </c>
      <c r="J492">
        <v>7288</v>
      </c>
      <c r="K492">
        <v>8323</v>
      </c>
      <c r="L492" t="s">
        <v>988</v>
      </c>
    </row>
    <row r="493" spans="1:12" x14ac:dyDescent="0.3">
      <c r="A493">
        <v>1877</v>
      </c>
      <c r="B493" t="s">
        <v>1812</v>
      </c>
      <c r="C493" t="s">
        <v>2663</v>
      </c>
      <c r="D493" t="s">
        <v>1203</v>
      </c>
      <c r="E493" t="s">
        <v>1204</v>
      </c>
      <c r="F493" t="s">
        <v>2664</v>
      </c>
      <c r="G493">
        <v>5582</v>
      </c>
      <c r="H493">
        <v>5782</v>
      </c>
      <c r="I493">
        <v>6389</v>
      </c>
      <c r="J493">
        <v>7396</v>
      </c>
      <c r="K493">
        <v>8403</v>
      </c>
      <c r="L493" t="s">
        <v>988</v>
      </c>
    </row>
    <row r="494" spans="1:12" x14ac:dyDescent="0.3">
      <c r="A494">
        <v>1894</v>
      </c>
      <c r="B494" t="s">
        <v>1814</v>
      </c>
      <c r="C494" t="s">
        <v>2663</v>
      </c>
      <c r="D494" t="s">
        <v>1203</v>
      </c>
      <c r="E494" t="s">
        <v>1204</v>
      </c>
      <c r="F494" t="s">
        <v>2665</v>
      </c>
      <c r="G494">
        <v>10705</v>
      </c>
      <c r="H494">
        <v>11410</v>
      </c>
      <c r="I494">
        <v>11514</v>
      </c>
      <c r="J494">
        <v>11795</v>
      </c>
      <c r="K494">
        <v>12117</v>
      </c>
      <c r="L494" t="s">
        <v>988</v>
      </c>
    </row>
    <row r="495" spans="1:12" x14ac:dyDescent="0.3">
      <c r="A495">
        <v>1894</v>
      </c>
      <c r="B495" t="s">
        <v>1814</v>
      </c>
      <c r="C495" t="s">
        <v>2663</v>
      </c>
      <c r="D495" t="s">
        <v>1203</v>
      </c>
      <c r="E495" t="s">
        <v>1204</v>
      </c>
      <c r="F495" t="s">
        <v>2664</v>
      </c>
      <c r="G495">
        <v>10705</v>
      </c>
      <c r="H495">
        <v>11410</v>
      </c>
      <c r="I495">
        <v>11514</v>
      </c>
      <c r="J495">
        <v>11795</v>
      </c>
      <c r="K495">
        <v>12117</v>
      </c>
      <c r="L495" t="s">
        <v>988</v>
      </c>
    </row>
    <row r="496" spans="1:12" x14ac:dyDescent="0.3">
      <c r="A496">
        <v>1896</v>
      </c>
      <c r="B496" t="s">
        <v>1816</v>
      </c>
      <c r="C496" t="s">
        <v>2663</v>
      </c>
      <c r="D496" t="s">
        <v>1203</v>
      </c>
      <c r="E496" t="s">
        <v>1204</v>
      </c>
      <c r="F496" t="s">
        <v>2664</v>
      </c>
      <c r="G496">
        <v>2965</v>
      </c>
      <c r="H496">
        <v>2986</v>
      </c>
      <c r="I496">
        <v>2995</v>
      </c>
      <c r="J496">
        <v>3005</v>
      </c>
      <c r="K496">
        <v>3035</v>
      </c>
      <c r="L496" t="s">
        <v>988</v>
      </c>
    </row>
    <row r="497" spans="1:12" x14ac:dyDescent="0.3">
      <c r="A497">
        <v>1896</v>
      </c>
      <c r="B497" t="s">
        <v>1816</v>
      </c>
      <c r="C497" t="s">
        <v>2663</v>
      </c>
      <c r="D497" t="s">
        <v>1203</v>
      </c>
      <c r="E497" t="s">
        <v>1204</v>
      </c>
      <c r="F497" t="s">
        <v>2665</v>
      </c>
      <c r="G497">
        <v>2965</v>
      </c>
      <c r="H497">
        <v>2986</v>
      </c>
      <c r="I497">
        <v>2995</v>
      </c>
      <c r="J497">
        <v>3005</v>
      </c>
      <c r="K497">
        <v>3035</v>
      </c>
      <c r="L497" t="s">
        <v>988</v>
      </c>
    </row>
    <row r="498" spans="1:12" x14ac:dyDescent="0.3">
      <c r="A498">
        <v>1899</v>
      </c>
      <c r="B498" t="s">
        <v>1818</v>
      </c>
      <c r="C498" t="s">
        <v>2663</v>
      </c>
      <c r="D498" t="s">
        <v>1203</v>
      </c>
      <c r="E498" t="s">
        <v>1204</v>
      </c>
      <c r="F498" t="s">
        <v>2664</v>
      </c>
      <c r="G498">
        <v>5659</v>
      </c>
      <c r="H498">
        <v>5664</v>
      </c>
      <c r="I498">
        <v>5669</v>
      </c>
      <c r="J498">
        <v>5674</v>
      </c>
      <c r="K498">
        <v>0</v>
      </c>
      <c r="L498" t="s">
        <v>988</v>
      </c>
    </row>
    <row r="499" spans="1:12" x14ac:dyDescent="0.3">
      <c r="A499">
        <v>1899</v>
      </c>
      <c r="B499" t="s">
        <v>1818</v>
      </c>
      <c r="C499" t="s">
        <v>2663</v>
      </c>
      <c r="D499" t="s">
        <v>1203</v>
      </c>
      <c r="E499" t="s">
        <v>1204</v>
      </c>
      <c r="F499" t="s">
        <v>2665</v>
      </c>
      <c r="G499">
        <v>5608</v>
      </c>
      <c r="H499">
        <v>5625</v>
      </c>
      <c r="I499">
        <v>5641</v>
      </c>
      <c r="J499">
        <v>5656</v>
      </c>
      <c r="K499">
        <v>0</v>
      </c>
      <c r="L499" t="s">
        <v>988</v>
      </c>
    </row>
    <row r="500" spans="1:12" x14ac:dyDescent="0.3">
      <c r="A500">
        <v>1900</v>
      </c>
      <c r="B500" t="s">
        <v>1822</v>
      </c>
      <c r="C500" t="s">
        <v>2663</v>
      </c>
      <c r="D500" t="s">
        <v>1203</v>
      </c>
      <c r="E500" t="s">
        <v>1204</v>
      </c>
      <c r="F500" t="s">
        <v>2665</v>
      </c>
      <c r="G500">
        <v>2931</v>
      </c>
      <c r="H500">
        <v>2961</v>
      </c>
      <c r="I500">
        <v>2990</v>
      </c>
      <c r="J500">
        <v>3021</v>
      </c>
      <c r="K500">
        <v>3051</v>
      </c>
      <c r="L500" t="s">
        <v>988</v>
      </c>
    </row>
    <row r="501" spans="1:12" x14ac:dyDescent="0.3">
      <c r="A501">
        <v>1900</v>
      </c>
      <c r="B501" t="s">
        <v>1822</v>
      </c>
      <c r="C501" t="s">
        <v>2663</v>
      </c>
      <c r="D501" t="s">
        <v>1203</v>
      </c>
      <c r="E501" t="s">
        <v>1204</v>
      </c>
      <c r="F501" t="s">
        <v>2664</v>
      </c>
      <c r="G501">
        <v>2931</v>
      </c>
      <c r="H501">
        <v>2961</v>
      </c>
      <c r="I501">
        <v>2990</v>
      </c>
      <c r="J501">
        <v>3021</v>
      </c>
      <c r="K501">
        <v>3051</v>
      </c>
      <c r="L501" t="s">
        <v>988</v>
      </c>
    </row>
    <row r="502" spans="1:12" x14ac:dyDescent="0.3">
      <c r="A502">
        <v>1923</v>
      </c>
      <c r="B502" t="s">
        <v>1823</v>
      </c>
      <c r="C502" t="s">
        <v>2663</v>
      </c>
      <c r="D502" t="s">
        <v>1203</v>
      </c>
      <c r="E502" t="s">
        <v>1204</v>
      </c>
      <c r="F502" t="s">
        <v>2665</v>
      </c>
      <c r="G502">
        <v>1987</v>
      </c>
      <c r="H502">
        <v>2035</v>
      </c>
      <c r="I502">
        <v>2083</v>
      </c>
      <c r="J502">
        <v>2134</v>
      </c>
      <c r="K502">
        <v>2184</v>
      </c>
      <c r="L502" t="s">
        <v>988</v>
      </c>
    </row>
    <row r="503" spans="1:12" x14ac:dyDescent="0.3">
      <c r="A503">
        <v>1923</v>
      </c>
      <c r="B503" t="s">
        <v>1823</v>
      </c>
      <c r="C503" t="s">
        <v>2663</v>
      </c>
      <c r="D503" t="s">
        <v>1203</v>
      </c>
      <c r="E503" t="s">
        <v>1204</v>
      </c>
      <c r="F503" t="s">
        <v>2664</v>
      </c>
      <c r="G503">
        <v>2560</v>
      </c>
      <c r="H503">
        <v>2560</v>
      </c>
      <c r="I503">
        <v>2560</v>
      </c>
      <c r="J503">
        <v>2560</v>
      </c>
      <c r="K503">
        <v>2560</v>
      </c>
      <c r="L503" t="s">
        <v>988</v>
      </c>
    </row>
    <row r="504" spans="1:12" x14ac:dyDescent="0.3">
      <c r="A504">
        <v>1925</v>
      </c>
      <c r="B504" t="s">
        <v>1824</v>
      </c>
      <c r="C504" t="s">
        <v>2663</v>
      </c>
      <c r="D504" t="s">
        <v>1203</v>
      </c>
      <c r="E504" t="s">
        <v>1204</v>
      </c>
      <c r="F504" t="s">
        <v>2665</v>
      </c>
      <c r="G504">
        <v>11342</v>
      </c>
      <c r="H504">
        <v>12341</v>
      </c>
      <c r="I504">
        <v>13271</v>
      </c>
      <c r="J504">
        <v>14135</v>
      </c>
      <c r="K504">
        <v>15056</v>
      </c>
      <c r="L504" t="s">
        <v>988</v>
      </c>
    </row>
    <row r="505" spans="1:12" x14ac:dyDescent="0.3">
      <c r="A505">
        <v>1925</v>
      </c>
      <c r="B505" t="s">
        <v>1824</v>
      </c>
      <c r="C505" t="s">
        <v>2663</v>
      </c>
      <c r="D505" t="s">
        <v>1203</v>
      </c>
      <c r="E505" t="s">
        <v>1204</v>
      </c>
      <c r="F505" t="s">
        <v>2664</v>
      </c>
      <c r="G505">
        <v>12691</v>
      </c>
      <c r="H505">
        <v>13690</v>
      </c>
      <c r="I505">
        <v>14620</v>
      </c>
      <c r="J505">
        <v>15484</v>
      </c>
      <c r="K505">
        <v>16405</v>
      </c>
      <c r="L505" t="s">
        <v>988</v>
      </c>
    </row>
    <row r="506" spans="1:12" x14ac:dyDescent="0.3">
      <c r="A506">
        <v>1927</v>
      </c>
      <c r="B506" t="s">
        <v>771</v>
      </c>
      <c r="C506" t="s">
        <v>2663</v>
      </c>
      <c r="D506" t="s">
        <v>1203</v>
      </c>
      <c r="E506" t="s">
        <v>1204</v>
      </c>
      <c r="F506" t="s">
        <v>2665</v>
      </c>
      <c r="G506">
        <v>104388</v>
      </c>
      <c r="H506">
        <v>109571</v>
      </c>
      <c r="I506">
        <v>116460</v>
      </c>
      <c r="J506">
        <v>125950</v>
      </c>
      <c r="K506">
        <v>0</v>
      </c>
      <c r="L506" t="s">
        <v>988</v>
      </c>
    </row>
    <row r="507" spans="1:12" x14ac:dyDescent="0.3">
      <c r="A507">
        <v>1927</v>
      </c>
      <c r="B507" t="s">
        <v>771</v>
      </c>
      <c r="C507" t="s">
        <v>2663</v>
      </c>
      <c r="D507" t="s">
        <v>1203</v>
      </c>
      <c r="E507" t="s">
        <v>1204</v>
      </c>
      <c r="F507" t="s">
        <v>2664</v>
      </c>
      <c r="G507">
        <v>250800</v>
      </c>
      <c r="H507">
        <v>290300</v>
      </c>
      <c r="I507">
        <v>292800</v>
      </c>
      <c r="J507">
        <v>295800</v>
      </c>
      <c r="K507">
        <v>0</v>
      </c>
      <c r="L507" t="s">
        <v>988</v>
      </c>
    </row>
    <row r="508" spans="1:12" x14ac:dyDescent="0.3">
      <c r="A508">
        <v>1940</v>
      </c>
      <c r="B508" t="s">
        <v>1828</v>
      </c>
      <c r="C508" t="s">
        <v>2663</v>
      </c>
      <c r="D508" t="s">
        <v>159</v>
      </c>
      <c r="E508" t="s">
        <v>159</v>
      </c>
      <c r="F508" t="s">
        <v>2664</v>
      </c>
      <c r="G508">
        <v>18240</v>
      </c>
      <c r="H508">
        <v>18889</v>
      </c>
      <c r="I508">
        <v>19387</v>
      </c>
      <c r="J508">
        <v>20036</v>
      </c>
      <c r="K508">
        <v>20036</v>
      </c>
      <c r="L508" t="s">
        <v>988</v>
      </c>
    </row>
    <row r="509" spans="1:12" x14ac:dyDescent="0.3">
      <c r="A509">
        <v>1940</v>
      </c>
      <c r="B509" t="s">
        <v>1828</v>
      </c>
      <c r="C509" t="s">
        <v>2663</v>
      </c>
      <c r="D509" t="s">
        <v>159</v>
      </c>
      <c r="E509" t="s">
        <v>159</v>
      </c>
      <c r="F509" t="s">
        <v>2665</v>
      </c>
      <c r="G509">
        <v>18241</v>
      </c>
      <c r="H509">
        <v>18889</v>
      </c>
      <c r="I509">
        <v>19387</v>
      </c>
      <c r="J509">
        <v>20036</v>
      </c>
      <c r="K509">
        <v>20036</v>
      </c>
      <c r="L509" t="s">
        <v>988</v>
      </c>
    </row>
    <row r="510" spans="1:12" x14ac:dyDescent="0.3">
      <c r="A510">
        <v>1945</v>
      </c>
      <c r="B510" t="s">
        <v>1829</v>
      </c>
      <c r="C510" t="s">
        <v>2663</v>
      </c>
      <c r="D510" t="s">
        <v>1203</v>
      </c>
      <c r="E510" t="s">
        <v>1204</v>
      </c>
      <c r="F510" t="s">
        <v>2665</v>
      </c>
      <c r="G510">
        <v>24708</v>
      </c>
      <c r="H510">
        <v>25535</v>
      </c>
      <c r="I510">
        <v>26393</v>
      </c>
      <c r="J510">
        <v>27226</v>
      </c>
      <c r="K510">
        <v>28088</v>
      </c>
      <c r="L510" t="s">
        <v>988</v>
      </c>
    </row>
    <row r="511" spans="1:12" x14ac:dyDescent="0.3">
      <c r="A511">
        <v>1945</v>
      </c>
      <c r="B511" t="s">
        <v>1829</v>
      </c>
      <c r="C511" t="s">
        <v>2663</v>
      </c>
      <c r="D511" t="s">
        <v>1203</v>
      </c>
      <c r="E511" t="s">
        <v>1204</v>
      </c>
      <c r="F511" t="s">
        <v>2664</v>
      </c>
      <c r="G511">
        <v>24708</v>
      </c>
      <c r="H511">
        <v>25535</v>
      </c>
      <c r="I511">
        <v>26393</v>
      </c>
      <c r="J511">
        <v>27226</v>
      </c>
      <c r="K511">
        <v>28088</v>
      </c>
      <c r="L511" t="s">
        <v>988</v>
      </c>
    </row>
    <row r="512" spans="1:12" x14ac:dyDescent="0.3">
      <c r="A512">
        <v>1953</v>
      </c>
      <c r="B512" t="s">
        <v>1830</v>
      </c>
      <c r="C512" t="s">
        <v>2663</v>
      </c>
      <c r="D512" t="s">
        <v>1203</v>
      </c>
      <c r="E512" t="s">
        <v>1204</v>
      </c>
      <c r="F512" t="s">
        <v>2665</v>
      </c>
      <c r="G512">
        <v>1958</v>
      </c>
      <c r="H512">
        <v>2017</v>
      </c>
      <c r="I512">
        <v>2077</v>
      </c>
      <c r="J512">
        <v>2142</v>
      </c>
      <c r="K512">
        <v>2149</v>
      </c>
      <c r="L512" t="s">
        <v>988</v>
      </c>
    </row>
    <row r="513" spans="1:12" x14ac:dyDescent="0.3">
      <c r="A513">
        <v>1953</v>
      </c>
      <c r="B513" t="s">
        <v>1830</v>
      </c>
      <c r="C513" t="s">
        <v>2663</v>
      </c>
      <c r="D513" t="s">
        <v>1203</v>
      </c>
      <c r="E513" t="s">
        <v>1204</v>
      </c>
      <c r="F513" t="s">
        <v>2664</v>
      </c>
      <c r="G513">
        <v>3701</v>
      </c>
      <c r="H513">
        <v>3420</v>
      </c>
      <c r="I513">
        <v>3140</v>
      </c>
      <c r="J513">
        <v>2859</v>
      </c>
      <c r="K513">
        <v>2616</v>
      </c>
      <c r="L513" t="s">
        <v>988</v>
      </c>
    </row>
    <row r="514" spans="1:12" x14ac:dyDescent="0.3">
      <c r="A514">
        <v>1964</v>
      </c>
      <c r="B514" t="s">
        <v>1832</v>
      </c>
      <c r="C514" t="s">
        <v>2663</v>
      </c>
      <c r="D514" t="s">
        <v>1203</v>
      </c>
      <c r="E514" t="s">
        <v>1204</v>
      </c>
      <c r="F514" t="s">
        <v>2664</v>
      </c>
      <c r="G514">
        <v>10537</v>
      </c>
      <c r="H514">
        <v>10794</v>
      </c>
      <c r="I514">
        <v>11039</v>
      </c>
      <c r="J514">
        <v>11167</v>
      </c>
      <c r="K514">
        <v>11496</v>
      </c>
      <c r="L514" t="s">
        <v>988</v>
      </c>
    </row>
    <row r="515" spans="1:12" x14ac:dyDescent="0.3">
      <c r="A515">
        <v>1964</v>
      </c>
      <c r="B515" t="s">
        <v>1832</v>
      </c>
      <c r="C515" t="s">
        <v>2663</v>
      </c>
      <c r="D515" t="s">
        <v>1203</v>
      </c>
      <c r="E515" t="s">
        <v>1204</v>
      </c>
      <c r="F515" t="s">
        <v>2665</v>
      </c>
      <c r="G515">
        <v>10537</v>
      </c>
      <c r="H515">
        <v>10794</v>
      </c>
      <c r="I515">
        <v>11039</v>
      </c>
      <c r="J515">
        <v>11167</v>
      </c>
      <c r="K515">
        <v>11496</v>
      </c>
      <c r="L515" t="s">
        <v>988</v>
      </c>
    </row>
    <row r="516" spans="1:12" x14ac:dyDescent="0.3">
      <c r="A516">
        <v>1983</v>
      </c>
      <c r="B516" t="s">
        <v>1835</v>
      </c>
      <c r="C516" t="s">
        <v>2663</v>
      </c>
      <c r="D516" t="s">
        <v>1203</v>
      </c>
      <c r="E516" t="s">
        <v>1204</v>
      </c>
      <c r="F516" t="s">
        <v>2665</v>
      </c>
      <c r="G516">
        <v>4242.1000000000004</v>
      </c>
      <c r="H516">
        <v>4374</v>
      </c>
      <c r="I516">
        <v>4508</v>
      </c>
      <c r="J516">
        <v>4647</v>
      </c>
      <c r="K516">
        <v>4790</v>
      </c>
      <c r="L516" t="s">
        <v>988</v>
      </c>
    </row>
    <row r="517" spans="1:12" x14ac:dyDescent="0.3">
      <c r="A517">
        <v>1983</v>
      </c>
      <c r="B517" t="s">
        <v>1835</v>
      </c>
      <c r="C517" t="s">
        <v>2663</v>
      </c>
      <c r="D517" t="s">
        <v>1203</v>
      </c>
      <c r="E517" t="s">
        <v>1204</v>
      </c>
      <c r="F517" t="s">
        <v>2664</v>
      </c>
      <c r="G517">
        <v>4242</v>
      </c>
      <c r="H517">
        <v>4374</v>
      </c>
      <c r="I517">
        <v>4508</v>
      </c>
      <c r="J517">
        <v>4647</v>
      </c>
      <c r="K517">
        <v>4790</v>
      </c>
      <c r="L517" t="s">
        <v>988</v>
      </c>
    </row>
    <row r="518" spans="1:12" x14ac:dyDescent="0.3">
      <c r="A518">
        <v>1990</v>
      </c>
      <c r="B518" t="s">
        <v>1836</v>
      </c>
      <c r="C518" t="s">
        <v>2663</v>
      </c>
      <c r="D518" t="s">
        <v>159</v>
      </c>
      <c r="E518" t="s">
        <v>159</v>
      </c>
      <c r="F518" t="s">
        <v>2664</v>
      </c>
      <c r="G518">
        <v>13750</v>
      </c>
      <c r="H518">
        <v>15200</v>
      </c>
      <c r="I518">
        <v>14672</v>
      </c>
      <c r="J518">
        <v>14165</v>
      </c>
      <c r="K518">
        <v>13679</v>
      </c>
      <c r="L518" t="s">
        <v>988</v>
      </c>
    </row>
    <row r="519" spans="1:12" x14ac:dyDescent="0.3">
      <c r="A519">
        <v>1990</v>
      </c>
      <c r="B519" t="s">
        <v>1836</v>
      </c>
      <c r="C519" t="s">
        <v>2663</v>
      </c>
      <c r="D519" t="s">
        <v>159</v>
      </c>
      <c r="E519" t="s">
        <v>159</v>
      </c>
      <c r="F519" t="s">
        <v>2665</v>
      </c>
      <c r="G519">
        <v>13750</v>
      </c>
      <c r="H519">
        <v>13200</v>
      </c>
      <c r="I519">
        <v>12672</v>
      </c>
      <c r="J519">
        <v>12165</v>
      </c>
      <c r="K519">
        <v>11679</v>
      </c>
      <c r="L519" t="s">
        <v>988</v>
      </c>
    </row>
    <row r="520" spans="1:12" x14ac:dyDescent="0.3">
      <c r="A520">
        <v>1996</v>
      </c>
      <c r="B520" t="s">
        <v>1838</v>
      </c>
      <c r="C520" t="s">
        <v>2663</v>
      </c>
      <c r="D520" t="s">
        <v>1203</v>
      </c>
      <c r="E520" t="s">
        <v>1204</v>
      </c>
      <c r="F520" t="s">
        <v>2664</v>
      </c>
      <c r="G520">
        <v>5359</v>
      </c>
      <c r="H520">
        <v>5497</v>
      </c>
      <c r="I520">
        <v>5641</v>
      </c>
      <c r="J520">
        <v>5788</v>
      </c>
      <c r="K520">
        <v>0</v>
      </c>
      <c r="L520" t="s">
        <v>988</v>
      </c>
    </row>
    <row r="521" spans="1:12" x14ac:dyDescent="0.3">
      <c r="A521">
        <v>1996</v>
      </c>
      <c r="B521" t="s">
        <v>1838</v>
      </c>
      <c r="C521" t="s">
        <v>2663</v>
      </c>
      <c r="D521" t="s">
        <v>1203</v>
      </c>
      <c r="E521" t="s">
        <v>1204</v>
      </c>
      <c r="F521" t="s">
        <v>2665</v>
      </c>
      <c r="G521">
        <v>5359</v>
      </c>
      <c r="H521">
        <v>5497</v>
      </c>
      <c r="I521">
        <v>5640</v>
      </c>
      <c r="J521">
        <v>5787</v>
      </c>
      <c r="K521">
        <v>0</v>
      </c>
      <c r="L521" t="s">
        <v>988</v>
      </c>
    </row>
    <row r="522" spans="1:12" x14ac:dyDescent="0.3">
      <c r="A522">
        <v>2000</v>
      </c>
      <c r="B522" t="s">
        <v>1839</v>
      </c>
      <c r="C522" t="s">
        <v>2663</v>
      </c>
      <c r="D522" t="s">
        <v>159</v>
      </c>
      <c r="E522" t="s">
        <v>159</v>
      </c>
      <c r="F522" t="s">
        <v>2665</v>
      </c>
      <c r="G522">
        <v>79217</v>
      </c>
      <c r="H522">
        <v>82546</v>
      </c>
      <c r="I522">
        <v>84402</v>
      </c>
      <c r="J522">
        <v>86686</v>
      </c>
      <c r="K522">
        <v>89031</v>
      </c>
      <c r="L522" t="s">
        <v>988</v>
      </c>
    </row>
    <row r="523" spans="1:12" x14ac:dyDescent="0.3">
      <c r="A523">
        <v>2000</v>
      </c>
      <c r="B523" t="s">
        <v>1839</v>
      </c>
      <c r="C523" t="s">
        <v>2663</v>
      </c>
      <c r="D523" t="s">
        <v>159</v>
      </c>
      <c r="E523" t="s">
        <v>159</v>
      </c>
      <c r="F523" t="s">
        <v>2664</v>
      </c>
      <c r="G523">
        <v>80275</v>
      </c>
      <c r="H523">
        <v>83554</v>
      </c>
      <c r="I523">
        <v>85328</v>
      </c>
      <c r="J523">
        <v>87552</v>
      </c>
      <c r="K523">
        <v>89824</v>
      </c>
      <c r="L523" t="s">
        <v>988</v>
      </c>
    </row>
    <row r="524" spans="1:12" x14ac:dyDescent="0.3">
      <c r="A524">
        <v>2033</v>
      </c>
      <c r="B524" t="s">
        <v>865</v>
      </c>
      <c r="C524" t="s">
        <v>2663</v>
      </c>
      <c r="D524" t="s">
        <v>1203</v>
      </c>
      <c r="E524" t="s">
        <v>1204</v>
      </c>
      <c r="F524" t="s">
        <v>2665</v>
      </c>
      <c r="G524">
        <v>27055.315285600002</v>
      </c>
      <c r="H524">
        <v>27635.335089249998</v>
      </c>
      <c r="I524">
        <v>28236.837107849999</v>
      </c>
      <c r="J524">
        <v>28847.54579</v>
      </c>
      <c r="K524">
        <v>29479.736687100001</v>
      </c>
      <c r="L524" t="s">
        <v>988</v>
      </c>
    </row>
    <row r="525" spans="1:12" x14ac:dyDescent="0.3">
      <c r="A525">
        <v>2033</v>
      </c>
      <c r="B525" t="s">
        <v>865</v>
      </c>
      <c r="C525" t="s">
        <v>2663</v>
      </c>
      <c r="D525" t="s">
        <v>1203</v>
      </c>
      <c r="E525" t="s">
        <v>1204</v>
      </c>
      <c r="F525" t="s">
        <v>2664</v>
      </c>
      <c r="G525">
        <v>44198.122815700001</v>
      </c>
      <c r="H525">
        <v>44498.873825000002</v>
      </c>
      <c r="I525">
        <v>44498.873825000002</v>
      </c>
      <c r="J525">
        <v>44498.873825000002</v>
      </c>
      <c r="K525">
        <v>44498.873825000002</v>
      </c>
      <c r="L525" t="s">
        <v>988</v>
      </c>
    </row>
    <row r="526" spans="1:12" x14ac:dyDescent="0.3">
      <c r="A526">
        <v>2035</v>
      </c>
      <c r="B526" t="s">
        <v>1843</v>
      </c>
      <c r="C526" t="s">
        <v>2663</v>
      </c>
      <c r="D526" t="s">
        <v>1203</v>
      </c>
      <c r="E526" t="s">
        <v>1204</v>
      </c>
      <c r="F526" t="s">
        <v>2665</v>
      </c>
      <c r="G526">
        <v>26992</v>
      </c>
      <c r="H526">
        <v>28033</v>
      </c>
      <c r="I526">
        <v>29076</v>
      </c>
      <c r="J526">
        <v>29992</v>
      </c>
      <c r="K526">
        <v>30909</v>
      </c>
      <c r="L526" t="s">
        <v>988</v>
      </c>
    </row>
    <row r="527" spans="1:12" x14ac:dyDescent="0.3">
      <c r="A527">
        <v>2035</v>
      </c>
      <c r="B527" t="s">
        <v>1843</v>
      </c>
      <c r="C527" t="s">
        <v>2663</v>
      </c>
      <c r="D527" t="s">
        <v>1203</v>
      </c>
      <c r="E527" t="s">
        <v>1204</v>
      </c>
      <c r="F527" t="s">
        <v>2664</v>
      </c>
      <c r="G527">
        <v>31039</v>
      </c>
      <c r="H527">
        <v>32237</v>
      </c>
      <c r="I527">
        <v>33436</v>
      </c>
      <c r="J527">
        <v>34490</v>
      </c>
      <c r="K527">
        <v>35544</v>
      </c>
      <c r="L527" t="s">
        <v>988</v>
      </c>
    </row>
    <row r="528" spans="1:12" x14ac:dyDescent="0.3">
      <c r="A528">
        <v>2037</v>
      </c>
      <c r="B528" t="s">
        <v>1845</v>
      </c>
      <c r="C528" t="s">
        <v>2663</v>
      </c>
      <c r="D528" t="s">
        <v>1203</v>
      </c>
      <c r="E528" t="s">
        <v>1204</v>
      </c>
      <c r="F528" t="s">
        <v>2664</v>
      </c>
      <c r="G528">
        <v>13529</v>
      </c>
      <c r="H528">
        <v>13669</v>
      </c>
      <c r="I528">
        <v>13929</v>
      </c>
      <c r="J528">
        <v>13944</v>
      </c>
      <c r="K528">
        <v>13959</v>
      </c>
      <c r="L528" t="s">
        <v>988</v>
      </c>
    </row>
    <row r="529" spans="1:12" x14ac:dyDescent="0.3">
      <c r="A529">
        <v>2037</v>
      </c>
      <c r="B529" t="s">
        <v>1845</v>
      </c>
      <c r="C529" t="s">
        <v>2663</v>
      </c>
      <c r="D529" t="s">
        <v>1203</v>
      </c>
      <c r="E529" t="s">
        <v>1204</v>
      </c>
      <c r="F529" t="s">
        <v>2665</v>
      </c>
      <c r="G529">
        <v>10805.9</v>
      </c>
      <c r="H529">
        <v>11049.17</v>
      </c>
      <c r="I529">
        <v>11566.06</v>
      </c>
      <c r="J529">
        <v>11696.08</v>
      </c>
      <c r="K529">
        <v>11922.61</v>
      </c>
      <c r="L529" t="s">
        <v>988</v>
      </c>
    </row>
    <row r="530" spans="1:12" x14ac:dyDescent="0.3">
      <c r="A530">
        <v>2042</v>
      </c>
      <c r="B530" t="s">
        <v>1848</v>
      </c>
      <c r="C530" t="s">
        <v>2663</v>
      </c>
      <c r="D530" t="s">
        <v>1203</v>
      </c>
      <c r="E530" t="s">
        <v>1204</v>
      </c>
      <c r="F530" t="s">
        <v>2664</v>
      </c>
      <c r="G530">
        <v>5508.6536907500004</v>
      </c>
      <c r="H530">
        <v>6297.3578681999998</v>
      </c>
      <c r="I530">
        <v>7076.8553820999996</v>
      </c>
      <c r="J530">
        <v>7862.4906717000003</v>
      </c>
      <c r="K530">
        <v>8645.0570734499997</v>
      </c>
      <c r="L530" t="s">
        <v>988</v>
      </c>
    </row>
    <row r="531" spans="1:12" x14ac:dyDescent="0.3">
      <c r="A531">
        <v>2042</v>
      </c>
      <c r="B531" t="s">
        <v>1848</v>
      </c>
      <c r="C531" t="s">
        <v>2663</v>
      </c>
      <c r="D531" t="s">
        <v>1203</v>
      </c>
      <c r="E531" t="s">
        <v>1204</v>
      </c>
      <c r="F531" t="s">
        <v>2665</v>
      </c>
      <c r="G531">
        <v>5508.6536907500004</v>
      </c>
      <c r="H531">
        <v>6297.3578681999998</v>
      </c>
      <c r="I531">
        <v>7076.8553820999996</v>
      </c>
      <c r="J531">
        <v>7862.4906717000003</v>
      </c>
      <c r="K531">
        <v>8645.0570734499997</v>
      </c>
      <c r="L531" t="s">
        <v>988</v>
      </c>
    </row>
    <row r="532" spans="1:12" x14ac:dyDescent="0.3">
      <c r="A532">
        <v>2049</v>
      </c>
      <c r="B532" t="s">
        <v>1849</v>
      </c>
      <c r="C532" t="s">
        <v>2663</v>
      </c>
      <c r="D532" t="s">
        <v>1203</v>
      </c>
      <c r="E532" t="s">
        <v>1204</v>
      </c>
      <c r="F532" t="s">
        <v>2664</v>
      </c>
      <c r="G532">
        <v>11043</v>
      </c>
      <c r="H532">
        <v>11747</v>
      </c>
      <c r="I532">
        <v>12452</v>
      </c>
      <c r="J532">
        <v>12904</v>
      </c>
      <c r="K532">
        <v>13356</v>
      </c>
      <c r="L532" t="s">
        <v>988</v>
      </c>
    </row>
    <row r="533" spans="1:12" x14ac:dyDescent="0.3">
      <c r="A533">
        <v>2049</v>
      </c>
      <c r="B533" t="s">
        <v>1849</v>
      </c>
      <c r="C533" t="s">
        <v>2663</v>
      </c>
      <c r="D533" t="s">
        <v>1203</v>
      </c>
      <c r="E533" t="s">
        <v>1204</v>
      </c>
      <c r="F533" t="s">
        <v>2665</v>
      </c>
      <c r="G533">
        <v>9602</v>
      </c>
      <c r="H533">
        <v>10215</v>
      </c>
      <c r="I533">
        <v>10828</v>
      </c>
      <c r="J533">
        <v>11219</v>
      </c>
      <c r="K533">
        <v>11614</v>
      </c>
      <c r="L533" t="s">
        <v>988</v>
      </c>
    </row>
    <row r="534" spans="1:12" x14ac:dyDescent="0.3">
      <c r="A534">
        <v>2057</v>
      </c>
      <c r="B534" t="s">
        <v>1851</v>
      </c>
      <c r="C534" t="s">
        <v>2663</v>
      </c>
      <c r="D534" t="s">
        <v>159</v>
      </c>
      <c r="E534" t="s">
        <v>159</v>
      </c>
      <c r="F534" t="s">
        <v>2664</v>
      </c>
      <c r="G534">
        <v>8872</v>
      </c>
      <c r="H534">
        <v>9353</v>
      </c>
      <c r="I534">
        <v>9500</v>
      </c>
      <c r="J534">
        <v>9579</v>
      </c>
      <c r="K534">
        <v>9727</v>
      </c>
      <c r="L534" t="s">
        <v>988</v>
      </c>
    </row>
    <row r="535" spans="1:12" x14ac:dyDescent="0.3">
      <c r="A535">
        <v>2057</v>
      </c>
      <c r="B535" t="s">
        <v>1851</v>
      </c>
      <c r="C535" t="s">
        <v>2663</v>
      </c>
      <c r="D535" t="s">
        <v>159</v>
      </c>
      <c r="E535" t="s">
        <v>159</v>
      </c>
      <c r="F535" t="s">
        <v>2665</v>
      </c>
      <c r="G535">
        <v>8872</v>
      </c>
      <c r="H535">
        <v>9353</v>
      </c>
      <c r="I535">
        <v>9500</v>
      </c>
      <c r="J535">
        <v>9579</v>
      </c>
      <c r="K535">
        <v>9727</v>
      </c>
      <c r="L535" t="s">
        <v>988</v>
      </c>
    </row>
    <row r="536" spans="1:12" x14ac:dyDescent="0.3">
      <c r="A536">
        <v>2063</v>
      </c>
      <c r="B536" t="s">
        <v>1852</v>
      </c>
      <c r="C536" t="s">
        <v>2663</v>
      </c>
      <c r="D536" t="s">
        <v>1203</v>
      </c>
      <c r="E536" t="s">
        <v>1204</v>
      </c>
      <c r="F536" t="s">
        <v>2664</v>
      </c>
      <c r="G536">
        <v>3114</v>
      </c>
      <c r="H536">
        <v>3500</v>
      </c>
      <c r="I536">
        <v>3930</v>
      </c>
      <c r="J536">
        <v>4394</v>
      </c>
      <c r="K536">
        <v>4544</v>
      </c>
      <c r="L536" t="s">
        <v>988</v>
      </c>
    </row>
    <row r="537" spans="1:12" x14ac:dyDescent="0.3">
      <c r="A537">
        <v>2063</v>
      </c>
      <c r="B537" t="s">
        <v>1852</v>
      </c>
      <c r="C537" t="s">
        <v>2663</v>
      </c>
      <c r="D537" t="s">
        <v>1203</v>
      </c>
      <c r="E537" t="s">
        <v>1204</v>
      </c>
      <c r="F537" t="s">
        <v>2665</v>
      </c>
      <c r="G537">
        <v>2450</v>
      </c>
      <c r="H537">
        <v>2769</v>
      </c>
      <c r="I537">
        <v>3126</v>
      </c>
      <c r="J537">
        <v>3509</v>
      </c>
      <c r="K537">
        <v>3647</v>
      </c>
      <c r="L537" t="s">
        <v>988</v>
      </c>
    </row>
    <row r="538" spans="1:12" x14ac:dyDescent="0.3">
      <c r="A538">
        <v>2074</v>
      </c>
      <c r="B538" t="s">
        <v>1853</v>
      </c>
      <c r="C538" t="s">
        <v>2663</v>
      </c>
      <c r="D538" t="s">
        <v>1203</v>
      </c>
      <c r="E538" t="s">
        <v>1204</v>
      </c>
      <c r="F538" t="s">
        <v>2665</v>
      </c>
      <c r="G538">
        <v>4645.8</v>
      </c>
      <c r="H538">
        <v>4867</v>
      </c>
      <c r="I538">
        <v>5088.2</v>
      </c>
      <c r="J538">
        <v>5309.4</v>
      </c>
      <c r="K538">
        <v>0</v>
      </c>
      <c r="L538" t="s">
        <v>988</v>
      </c>
    </row>
    <row r="539" spans="1:12" x14ac:dyDescent="0.3">
      <c r="A539">
        <v>2074</v>
      </c>
      <c r="B539" t="s">
        <v>1853</v>
      </c>
      <c r="C539" t="s">
        <v>2663</v>
      </c>
      <c r="D539" t="s">
        <v>1203</v>
      </c>
      <c r="E539" t="s">
        <v>1204</v>
      </c>
      <c r="F539" t="s">
        <v>2664</v>
      </c>
      <c r="G539">
        <v>4646</v>
      </c>
      <c r="H539">
        <v>4867</v>
      </c>
      <c r="I539">
        <v>5088</v>
      </c>
      <c r="J539">
        <v>5309</v>
      </c>
      <c r="K539">
        <v>0</v>
      </c>
      <c r="L539" t="s">
        <v>988</v>
      </c>
    </row>
    <row r="540" spans="1:12" x14ac:dyDescent="0.3">
      <c r="A540">
        <v>2083</v>
      </c>
      <c r="B540" t="s">
        <v>1854</v>
      </c>
      <c r="C540" t="s">
        <v>2663</v>
      </c>
      <c r="D540" t="s">
        <v>1203</v>
      </c>
      <c r="E540" t="s">
        <v>1204</v>
      </c>
      <c r="F540" t="s">
        <v>2664</v>
      </c>
      <c r="G540">
        <v>111923</v>
      </c>
      <c r="H540">
        <v>121893</v>
      </c>
      <c r="I540">
        <v>125193</v>
      </c>
      <c r="J540">
        <v>126693</v>
      </c>
      <c r="K540">
        <v>126693</v>
      </c>
      <c r="L540" t="s">
        <v>988</v>
      </c>
    </row>
    <row r="541" spans="1:12" x14ac:dyDescent="0.3">
      <c r="A541">
        <v>2083</v>
      </c>
      <c r="B541" t="s">
        <v>1854</v>
      </c>
      <c r="C541" t="s">
        <v>2663</v>
      </c>
      <c r="D541" t="s">
        <v>1203</v>
      </c>
      <c r="E541" t="s">
        <v>1204</v>
      </c>
      <c r="F541" t="s">
        <v>2665</v>
      </c>
      <c r="G541">
        <v>87712</v>
      </c>
      <c r="H541">
        <v>97803</v>
      </c>
      <c r="I541">
        <v>100259</v>
      </c>
      <c r="J541">
        <v>102807</v>
      </c>
      <c r="K541">
        <v>105448</v>
      </c>
      <c r="L541" t="s">
        <v>988</v>
      </c>
    </row>
    <row r="542" spans="1:12" x14ac:dyDescent="0.3">
      <c r="A542">
        <v>2087</v>
      </c>
      <c r="B542" t="s">
        <v>1860</v>
      </c>
      <c r="C542" t="s">
        <v>2663</v>
      </c>
      <c r="D542" t="s">
        <v>1203</v>
      </c>
      <c r="E542" t="s">
        <v>1204</v>
      </c>
      <c r="F542" t="s">
        <v>2665</v>
      </c>
      <c r="G542">
        <v>4545</v>
      </c>
      <c r="H542">
        <v>4738</v>
      </c>
      <c r="I542">
        <v>4932</v>
      </c>
      <c r="J542">
        <v>5032</v>
      </c>
      <c r="K542">
        <v>5131</v>
      </c>
      <c r="L542" t="s">
        <v>988</v>
      </c>
    </row>
    <row r="543" spans="1:12" x14ac:dyDescent="0.3">
      <c r="A543">
        <v>2087</v>
      </c>
      <c r="B543" t="s">
        <v>1860</v>
      </c>
      <c r="C543" t="s">
        <v>2663</v>
      </c>
      <c r="D543" t="s">
        <v>1203</v>
      </c>
      <c r="E543" t="s">
        <v>1204</v>
      </c>
      <c r="F543" t="s">
        <v>2664</v>
      </c>
      <c r="G543">
        <v>5226</v>
      </c>
      <c r="H543">
        <v>5449</v>
      </c>
      <c r="I543">
        <v>5672</v>
      </c>
      <c r="J543">
        <v>5786</v>
      </c>
      <c r="K543">
        <v>5900</v>
      </c>
      <c r="L543" t="s">
        <v>988</v>
      </c>
    </row>
    <row r="544" spans="1:12" x14ac:dyDescent="0.3">
      <c r="A544">
        <v>2103</v>
      </c>
      <c r="B544" t="s">
        <v>1862</v>
      </c>
      <c r="C544" t="s">
        <v>2663</v>
      </c>
      <c r="D544" t="s">
        <v>1203</v>
      </c>
      <c r="E544" t="s">
        <v>1204</v>
      </c>
      <c r="F544" t="s">
        <v>2665</v>
      </c>
      <c r="G544">
        <v>7110</v>
      </c>
      <c r="H544">
        <v>7337</v>
      </c>
      <c r="I544">
        <v>7455</v>
      </c>
      <c r="J544">
        <v>7655</v>
      </c>
      <c r="K544">
        <v>7865</v>
      </c>
      <c r="L544" t="s">
        <v>988</v>
      </c>
    </row>
    <row r="545" spans="1:12" x14ac:dyDescent="0.3">
      <c r="A545">
        <v>2103</v>
      </c>
      <c r="B545" t="s">
        <v>1862</v>
      </c>
      <c r="C545" t="s">
        <v>2663</v>
      </c>
      <c r="D545" t="s">
        <v>1203</v>
      </c>
      <c r="E545" t="s">
        <v>1204</v>
      </c>
      <c r="F545" t="s">
        <v>2664</v>
      </c>
      <c r="G545">
        <v>10177</v>
      </c>
      <c r="H545">
        <v>10177</v>
      </c>
      <c r="I545">
        <v>10177</v>
      </c>
      <c r="J545">
        <v>10177</v>
      </c>
      <c r="K545">
        <v>10177</v>
      </c>
      <c r="L545" t="s">
        <v>988</v>
      </c>
    </row>
    <row r="546" spans="1:12" x14ac:dyDescent="0.3">
      <c r="A546">
        <v>2111</v>
      </c>
      <c r="B546" t="s">
        <v>868</v>
      </c>
      <c r="C546" t="s">
        <v>2663</v>
      </c>
      <c r="D546" t="s">
        <v>1203</v>
      </c>
      <c r="E546" t="s">
        <v>1204</v>
      </c>
      <c r="F546" t="s">
        <v>2665</v>
      </c>
      <c r="G546">
        <v>51589</v>
      </c>
      <c r="H546">
        <v>56989</v>
      </c>
      <c r="I546">
        <v>62545</v>
      </c>
      <c r="J546">
        <v>62545</v>
      </c>
      <c r="K546">
        <v>62545</v>
      </c>
      <c r="L546" t="s">
        <v>988</v>
      </c>
    </row>
    <row r="547" spans="1:12" x14ac:dyDescent="0.3">
      <c r="A547">
        <v>2111</v>
      </c>
      <c r="B547" t="s">
        <v>868</v>
      </c>
      <c r="C547" t="s">
        <v>2663</v>
      </c>
      <c r="D547" t="s">
        <v>1203</v>
      </c>
      <c r="E547" t="s">
        <v>1204</v>
      </c>
      <c r="F547" t="s">
        <v>2664</v>
      </c>
      <c r="G547">
        <v>64482</v>
      </c>
      <c r="H547">
        <v>66055</v>
      </c>
      <c r="I547">
        <v>70543</v>
      </c>
      <c r="J547">
        <v>70543</v>
      </c>
      <c r="K547">
        <v>70543</v>
      </c>
      <c r="L547" t="s">
        <v>988</v>
      </c>
    </row>
    <row r="548" spans="1:12" x14ac:dyDescent="0.3">
      <c r="A548">
        <v>2115</v>
      </c>
      <c r="B548" t="s">
        <v>1867</v>
      </c>
      <c r="C548" t="s">
        <v>2663</v>
      </c>
      <c r="D548" t="s">
        <v>159</v>
      </c>
      <c r="E548" t="s">
        <v>159</v>
      </c>
      <c r="F548" t="s">
        <v>2665</v>
      </c>
      <c r="G548">
        <v>12939</v>
      </c>
      <c r="H548">
        <v>13055</v>
      </c>
      <c r="I548">
        <v>13172</v>
      </c>
      <c r="J548">
        <v>13281</v>
      </c>
      <c r="K548">
        <v>13389</v>
      </c>
      <c r="L548" t="s">
        <v>988</v>
      </c>
    </row>
    <row r="549" spans="1:12" x14ac:dyDescent="0.3">
      <c r="A549">
        <v>2115</v>
      </c>
      <c r="B549" t="s">
        <v>1867</v>
      </c>
      <c r="C549" t="s">
        <v>2663</v>
      </c>
      <c r="D549" t="s">
        <v>159</v>
      </c>
      <c r="E549" t="s">
        <v>159</v>
      </c>
      <c r="F549" t="s">
        <v>2664</v>
      </c>
      <c r="G549">
        <v>12939</v>
      </c>
      <c r="H549">
        <v>13055</v>
      </c>
      <c r="I549">
        <v>13172</v>
      </c>
      <c r="J549">
        <v>13281</v>
      </c>
      <c r="K549">
        <v>13389</v>
      </c>
      <c r="L549" t="s">
        <v>988</v>
      </c>
    </row>
    <row r="550" spans="1:12" x14ac:dyDescent="0.3">
      <c r="A550">
        <v>2118</v>
      </c>
      <c r="B550" t="s">
        <v>1869</v>
      </c>
      <c r="C550" t="s">
        <v>2663</v>
      </c>
      <c r="D550" t="s">
        <v>159</v>
      </c>
      <c r="E550" t="s">
        <v>159</v>
      </c>
      <c r="F550" t="s">
        <v>2665</v>
      </c>
      <c r="G550">
        <v>7960</v>
      </c>
      <c r="H550">
        <v>10686</v>
      </c>
      <c r="I550">
        <v>11416</v>
      </c>
      <c r="J550">
        <v>12149</v>
      </c>
      <c r="K550">
        <v>12886</v>
      </c>
      <c r="L550" t="s">
        <v>988</v>
      </c>
    </row>
    <row r="551" spans="1:12" x14ac:dyDescent="0.3">
      <c r="A551">
        <v>2118</v>
      </c>
      <c r="B551" t="s">
        <v>1869</v>
      </c>
      <c r="C551" t="s">
        <v>2663</v>
      </c>
      <c r="D551" t="s">
        <v>159</v>
      </c>
      <c r="E551" t="s">
        <v>159</v>
      </c>
      <c r="F551" t="s">
        <v>2664</v>
      </c>
      <c r="G551">
        <v>7960</v>
      </c>
      <c r="H551">
        <v>14850</v>
      </c>
      <c r="I551">
        <v>14893</v>
      </c>
      <c r="J551">
        <v>16150</v>
      </c>
      <c r="K551">
        <v>16201</v>
      </c>
      <c r="L551" t="s">
        <v>988</v>
      </c>
    </row>
    <row r="552" spans="1:12" x14ac:dyDescent="0.3">
      <c r="A552">
        <v>2119</v>
      </c>
      <c r="B552" t="s">
        <v>1877</v>
      </c>
      <c r="C552" t="s">
        <v>2663</v>
      </c>
      <c r="D552" t="s">
        <v>1203</v>
      </c>
      <c r="E552" t="s">
        <v>1204</v>
      </c>
      <c r="F552" t="s">
        <v>2664</v>
      </c>
      <c r="G552">
        <v>2439</v>
      </c>
      <c r="H552">
        <v>2439</v>
      </c>
      <c r="I552">
        <v>2439</v>
      </c>
      <c r="J552">
        <v>2439</v>
      </c>
      <c r="K552">
        <v>2439</v>
      </c>
      <c r="L552" t="s">
        <v>988</v>
      </c>
    </row>
    <row r="553" spans="1:12" x14ac:dyDescent="0.3">
      <c r="A553">
        <v>2119</v>
      </c>
      <c r="B553" t="s">
        <v>1877</v>
      </c>
      <c r="C553" t="s">
        <v>2663</v>
      </c>
      <c r="D553" t="s">
        <v>1203</v>
      </c>
      <c r="E553" t="s">
        <v>1204</v>
      </c>
      <c r="F553" t="s">
        <v>2665</v>
      </c>
      <c r="G553">
        <v>1887.19</v>
      </c>
      <c r="H553">
        <v>1916.95</v>
      </c>
      <c r="I553">
        <v>1947.18</v>
      </c>
      <c r="J553">
        <v>1977.88</v>
      </c>
      <c r="K553">
        <v>2009.07</v>
      </c>
      <c r="L553" t="s">
        <v>988</v>
      </c>
    </row>
    <row r="554" spans="1:12" x14ac:dyDescent="0.3">
      <c r="A554">
        <v>2122</v>
      </c>
      <c r="B554" t="s">
        <v>1878</v>
      </c>
      <c r="C554" t="s">
        <v>2663</v>
      </c>
      <c r="D554" t="s">
        <v>1203</v>
      </c>
      <c r="E554" t="s">
        <v>1204</v>
      </c>
      <c r="F554" t="s">
        <v>2665</v>
      </c>
      <c r="G554">
        <v>424</v>
      </c>
      <c r="H554">
        <v>424</v>
      </c>
      <c r="I554">
        <v>424</v>
      </c>
      <c r="J554">
        <v>424</v>
      </c>
      <c r="K554">
        <v>424</v>
      </c>
      <c r="L554" t="s">
        <v>988</v>
      </c>
    </row>
    <row r="555" spans="1:12" x14ac:dyDescent="0.3">
      <c r="A555">
        <v>2122</v>
      </c>
      <c r="B555" t="s">
        <v>1878</v>
      </c>
      <c r="C555" t="s">
        <v>2663</v>
      </c>
      <c r="D555" t="s">
        <v>1203</v>
      </c>
      <c r="E555" t="s">
        <v>1204</v>
      </c>
      <c r="F555" t="s">
        <v>2664</v>
      </c>
      <c r="G555">
        <v>424</v>
      </c>
      <c r="H555">
        <v>424</v>
      </c>
      <c r="I555">
        <v>424</v>
      </c>
      <c r="J555">
        <v>424</v>
      </c>
      <c r="K555">
        <v>424</v>
      </c>
      <c r="L555" t="s">
        <v>988</v>
      </c>
    </row>
    <row r="556" spans="1:12" x14ac:dyDescent="0.3">
      <c r="A556">
        <v>2130</v>
      </c>
      <c r="B556" t="s">
        <v>1879</v>
      </c>
      <c r="C556" t="s">
        <v>2663</v>
      </c>
      <c r="D556" t="s">
        <v>159</v>
      </c>
      <c r="E556" t="s">
        <v>159</v>
      </c>
      <c r="F556" t="s">
        <v>2664</v>
      </c>
      <c r="G556">
        <v>333200</v>
      </c>
      <c r="H556">
        <v>350200</v>
      </c>
      <c r="I556">
        <v>350200</v>
      </c>
      <c r="J556">
        <v>350200</v>
      </c>
      <c r="K556">
        <v>350200</v>
      </c>
      <c r="L556" t="s">
        <v>988</v>
      </c>
    </row>
    <row r="557" spans="1:12" x14ac:dyDescent="0.3">
      <c r="A557">
        <v>2130</v>
      </c>
      <c r="B557" t="s">
        <v>1879</v>
      </c>
      <c r="C557" t="s">
        <v>2663</v>
      </c>
      <c r="D557" t="s">
        <v>159</v>
      </c>
      <c r="E557" t="s">
        <v>159</v>
      </c>
      <c r="F557" t="s">
        <v>2665</v>
      </c>
      <c r="G557">
        <v>108432</v>
      </c>
      <c r="H557">
        <v>114809</v>
      </c>
      <c r="I557">
        <v>121186</v>
      </c>
      <c r="J557">
        <v>127564</v>
      </c>
      <c r="K557">
        <v>133941</v>
      </c>
      <c r="L557" t="s">
        <v>988</v>
      </c>
    </row>
    <row r="558" spans="1:12" x14ac:dyDescent="0.3">
      <c r="A558">
        <v>2132</v>
      </c>
      <c r="B558" t="s">
        <v>772</v>
      </c>
      <c r="C558" t="s">
        <v>2663</v>
      </c>
      <c r="D558" t="s">
        <v>1203</v>
      </c>
      <c r="E558" t="s">
        <v>1204</v>
      </c>
      <c r="F558" t="s">
        <v>2664</v>
      </c>
      <c r="G558">
        <v>166554</v>
      </c>
      <c r="H558">
        <v>173054</v>
      </c>
      <c r="I558">
        <v>184548</v>
      </c>
      <c r="J558">
        <v>186048</v>
      </c>
      <c r="K558">
        <v>187571</v>
      </c>
      <c r="L558" t="s">
        <v>988</v>
      </c>
    </row>
    <row r="559" spans="1:12" x14ac:dyDescent="0.3">
      <c r="A559">
        <v>2132</v>
      </c>
      <c r="B559" t="s">
        <v>772</v>
      </c>
      <c r="C559" t="s">
        <v>2663</v>
      </c>
      <c r="D559" t="s">
        <v>1203</v>
      </c>
      <c r="E559" t="s">
        <v>1204</v>
      </c>
      <c r="F559" t="s">
        <v>2665</v>
      </c>
      <c r="G559">
        <v>51208</v>
      </c>
      <c r="H559">
        <v>53274</v>
      </c>
      <c r="I559">
        <v>55246</v>
      </c>
      <c r="J559">
        <v>57124</v>
      </c>
      <c r="K559">
        <v>58952</v>
      </c>
      <c r="L559" t="s">
        <v>988</v>
      </c>
    </row>
    <row r="560" spans="1:12" x14ac:dyDescent="0.3">
      <c r="A560">
        <v>2140</v>
      </c>
      <c r="B560" t="s">
        <v>1885</v>
      </c>
      <c r="C560" t="s">
        <v>2663</v>
      </c>
      <c r="D560" t="s">
        <v>159</v>
      </c>
      <c r="E560" t="s">
        <v>159</v>
      </c>
      <c r="F560" t="s">
        <v>2665</v>
      </c>
      <c r="G560">
        <v>38185</v>
      </c>
      <c r="H560">
        <v>38615</v>
      </c>
      <c r="I560">
        <v>38610</v>
      </c>
      <c r="J560">
        <v>38574</v>
      </c>
      <c r="K560">
        <v>38537</v>
      </c>
      <c r="L560" t="s">
        <v>988</v>
      </c>
    </row>
    <row r="561" spans="1:12" x14ac:dyDescent="0.3">
      <c r="A561">
        <v>2140</v>
      </c>
      <c r="B561" t="s">
        <v>1885</v>
      </c>
      <c r="C561" t="s">
        <v>2663</v>
      </c>
      <c r="D561" t="s">
        <v>159</v>
      </c>
      <c r="E561" t="s">
        <v>159</v>
      </c>
      <c r="F561" t="s">
        <v>2664</v>
      </c>
      <c r="G561">
        <v>93064</v>
      </c>
      <c r="H561">
        <v>93064</v>
      </c>
      <c r="I561">
        <v>93064</v>
      </c>
      <c r="J561">
        <v>93064</v>
      </c>
      <c r="K561">
        <v>93064</v>
      </c>
      <c r="L561" t="s">
        <v>988</v>
      </c>
    </row>
    <row r="562" spans="1:12" x14ac:dyDescent="0.3">
      <c r="A562">
        <v>2150</v>
      </c>
      <c r="B562" t="s">
        <v>1889</v>
      </c>
      <c r="C562" t="s">
        <v>2663</v>
      </c>
      <c r="D562" t="s">
        <v>1203</v>
      </c>
      <c r="E562" t="s">
        <v>1204</v>
      </c>
      <c r="F562" t="s">
        <v>2664</v>
      </c>
      <c r="G562">
        <v>48585</v>
      </c>
      <c r="H562">
        <v>49976</v>
      </c>
      <c r="I562">
        <v>51368</v>
      </c>
      <c r="J562">
        <v>52485</v>
      </c>
      <c r="K562">
        <v>53603</v>
      </c>
      <c r="L562" t="s">
        <v>988</v>
      </c>
    </row>
    <row r="563" spans="1:12" x14ac:dyDescent="0.3">
      <c r="A563">
        <v>2150</v>
      </c>
      <c r="B563" t="s">
        <v>1889</v>
      </c>
      <c r="C563" t="s">
        <v>2663</v>
      </c>
      <c r="D563" t="s">
        <v>1203</v>
      </c>
      <c r="E563" t="s">
        <v>1204</v>
      </c>
      <c r="F563" t="s">
        <v>2665</v>
      </c>
      <c r="G563">
        <v>42248</v>
      </c>
      <c r="H563">
        <v>43456</v>
      </c>
      <c r="I563">
        <v>44667</v>
      </c>
      <c r="J563">
        <v>45639</v>
      </c>
      <c r="K563">
        <v>46611</v>
      </c>
      <c r="L563" t="s">
        <v>988</v>
      </c>
    </row>
    <row r="564" spans="1:12" x14ac:dyDescent="0.3">
      <c r="A564">
        <v>2154</v>
      </c>
      <c r="B564" t="s">
        <v>1894</v>
      </c>
      <c r="C564" t="s">
        <v>2663</v>
      </c>
      <c r="D564" t="s">
        <v>1203</v>
      </c>
      <c r="E564" t="s">
        <v>1204</v>
      </c>
      <c r="F564" t="s">
        <v>2664</v>
      </c>
      <c r="G564">
        <v>2770</v>
      </c>
      <c r="H564">
        <v>2810</v>
      </c>
      <c r="I564">
        <v>2840</v>
      </c>
      <c r="J564">
        <v>2850</v>
      </c>
      <c r="K564">
        <v>2900</v>
      </c>
      <c r="L564" t="s">
        <v>988</v>
      </c>
    </row>
    <row r="565" spans="1:12" x14ac:dyDescent="0.3">
      <c r="A565">
        <v>2154</v>
      </c>
      <c r="B565" t="s">
        <v>1894</v>
      </c>
      <c r="C565" t="s">
        <v>2663</v>
      </c>
      <c r="D565" t="s">
        <v>1203</v>
      </c>
      <c r="E565" t="s">
        <v>1204</v>
      </c>
      <c r="F565" t="s">
        <v>2665</v>
      </c>
      <c r="G565">
        <v>2770.01</v>
      </c>
      <c r="H565">
        <v>2810.01</v>
      </c>
      <c r="I565">
        <v>2840</v>
      </c>
      <c r="J565">
        <v>2850.01</v>
      </c>
      <c r="K565">
        <v>2900</v>
      </c>
      <c r="L565" t="s">
        <v>988</v>
      </c>
    </row>
    <row r="566" spans="1:12" x14ac:dyDescent="0.3">
      <c r="A566">
        <v>2891</v>
      </c>
      <c r="B566" t="s">
        <v>1896</v>
      </c>
      <c r="C566" t="s">
        <v>2663</v>
      </c>
      <c r="D566" t="s">
        <v>1203</v>
      </c>
      <c r="E566" t="s">
        <v>1204</v>
      </c>
      <c r="F566" t="s">
        <v>2664</v>
      </c>
      <c r="G566">
        <v>1630</v>
      </c>
      <c r="H566">
        <v>1640</v>
      </c>
      <c r="I566">
        <v>1650</v>
      </c>
      <c r="J566">
        <v>1650</v>
      </c>
      <c r="K566">
        <v>1680</v>
      </c>
      <c r="L566" t="s">
        <v>988</v>
      </c>
    </row>
    <row r="567" spans="1:12" x14ac:dyDescent="0.3">
      <c r="A567">
        <v>2891</v>
      </c>
      <c r="B567" t="s">
        <v>1896</v>
      </c>
      <c r="C567" t="s">
        <v>2663</v>
      </c>
      <c r="D567" t="s">
        <v>1203</v>
      </c>
      <c r="E567" t="s">
        <v>1204</v>
      </c>
      <c r="F567" t="s">
        <v>2665</v>
      </c>
      <c r="G567">
        <v>1630</v>
      </c>
      <c r="H567">
        <v>1640</v>
      </c>
      <c r="I567">
        <v>1650</v>
      </c>
      <c r="J567">
        <v>1650</v>
      </c>
      <c r="K567">
        <v>1679.9</v>
      </c>
      <c r="L567" t="s">
        <v>988</v>
      </c>
    </row>
    <row r="568" spans="1:12" x14ac:dyDescent="0.3">
      <c r="A568">
        <v>2157</v>
      </c>
      <c r="B568" t="s">
        <v>1897</v>
      </c>
      <c r="C568" t="s">
        <v>2663</v>
      </c>
      <c r="D568" t="s">
        <v>1203</v>
      </c>
      <c r="E568" t="s">
        <v>1204</v>
      </c>
      <c r="F568" t="s">
        <v>2664</v>
      </c>
      <c r="G568">
        <v>6037.9866235500003</v>
      </c>
      <c r="H568">
        <v>6015.5830425109098</v>
      </c>
      <c r="I568">
        <v>5993.1771657877298</v>
      </c>
      <c r="J568">
        <v>5993.1771657877298</v>
      </c>
      <c r="K568">
        <v>6004.3801041493198</v>
      </c>
      <c r="L568" t="s">
        <v>988</v>
      </c>
    </row>
    <row r="569" spans="1:12" x14ac:dyDescent="0.3">
      <c r="A569">
        <v>2157</v>
      </c>
      <c r="B569" t="s">
        <v>1897</v>
      </c>
      <c r="C569" t="s">
        <v>2663</v>
      </c>
      <c r="D569" t="s">
        <v>1203</v>
      </c>
      <c r="E569" t="s">
        <v>1204</v>
      </c>
      <c r="F569" t="s">
        <v>2665</v>
      </c>
      <c r="G569">
        <v>3958.5582700682498</v>
      </c>
      <c r="H569">
        <v>4428.8039034801304</v>
      </c>
      <c r="I569">
        <v>4899.0518325761004</v>
      </c>
      <c r="J569">
        <v>5356.9237287402402</v>
      </c>
      <c r="K569">
        <v>5356.9237287402402</v>
      </c>
      <c r="L569" t="s">
        <v>988</v>
      </c>
    </row>
    <row r="570" spans="1:12" x14ac:dyDescent="0.3">
      <c r="A570">
        <v>2158</v>
      </c>
      <c r="B570" t="s">
        <v>1900</v>
      </c>
      <c r="C570" t="s">
        <v>2663</v>
      </c>
      <c r="D570" t="s">
        <v>1203</v>
      </c>
      <c r="E570" t="s">
        <v>1204</v>
      </c>
      <c r="F570" t="s">
        <v>2664</v>
      </c>
      <c r="G570">
        <v>23820</v>
      </c>
      <c r="H570">
        <v>26164</v>
      </c>
      <c r="I570">
        <v>26912</v>
      </c>
      <c r="J570">
        <v>26465</v>
      </c>
      <c r="K570">
        <v>26637</v>
      </c>
      <c r="L570" t="s">
        <v>988</v>
      </c>
    </row>
    <row r="571" spans="1:12" x14ac:dyDescent="0.3">
      <c r="A571">
        <v>2158</v>
      </c>
      <c r="B571" t="s">
        <v>1900</v>
      </c>
      <c r="C571" t="s">
        <v>2663</v>
      </c>
      <c r="D571" t="s">
        <v>1203</v>
      </c>
      <c r="E571" t="s">
        <v>1204</v>
      </c>
      <c r="F571" t="s">
        <v>2665</v>
      </c>
      <c r="G571">
        <v>14804</v>
      </c>
      <c r="H571">
        <v>15194</v>
      </c>
      <c r="I571">
        <v>15591</v>
      </c>
      <c r="J571">
        <v>16001</v>
      </c>
      <c r="K571">
        <v>16422</v>
      </c>
      <c r="L571" t="s">
        <v>988</v>
      </c>
    </row>
    <row r="572" spans="1:12" x14ac:dyDescent="0.3">
      <c r="A572">
        <v>2159</v>
      </c>
      <c r="B572" t="s">
        <v>1902</v>
      </c>
      <c r="C572" t="s">
        <v>2663</v>
      </c>
      <c r="D572" t="s">
        <v>1203</v>
      </c>
      <c r="E572" t="s">
        <v>1204</v>
      </c>
      <c r="F572" t="s">
        <v>2664</v>
      </c>
      <c r="G572">
        <v>8853</v>
      </c>
      <c r="H572">
        <v>8908</v>
      </c>
      <c r="I572">
        <v>8844</v>
      </c>
      <c r="J572">
        <v>8775</v>
      </c>
      <c r="K572">
        <v>8768</v>
      </c>
      <c r="L572" t="s">
        <v>988</v>
      </c>
    </row>
    <row r="573" spans="1:12" x14ac:dyDescent="0.3">
      <c r="A573">
        <v>2159</v>
      </c>
      <c r="B573" t="s">
        <v>1902</v>
      </c>
      <c r="C573" t="s">
        <v>2663</v>
      </c>
      <c r="D573" t="s">
        <v>1203</v>
      </c>
      <c r="E573" t="s">
        <v>1204</v>
      </c>
      <c r="F573" t="s">
        <v>2665</v>
      </c>
      <c r="G573">
        <v>8852</v>
      </c>
      <c r="H573">
        <v>8908</v>
      </c>
      <c r="I573">
        <v>8843</v>
      </c>
      <c r="J573">
        <v>8774</v>
      </c>
      <c r="K573">
        <v>8768</v>
      </c>
      <c r="L573" t="s">
        <v>988</v>
      </c>
    </row>
    <row r="574" spans="1:12" x14ac:dyDescent="0.3">
      <c r="A574">
        <v>2160</v>
      </c>
      <c r="B574" t="s">
        <v>1904</v>
      </c>
      <c r="C574" t="s">
        <v>2663</v>
      </c>
      <c r="D574" t="s">
        <v>1203</v>
      </c>
      <c r="E574" t="s">
        <v>1204</v>
      </c>
      <c r="F574" t="s">
        <v>2665</v>
      </c>
      <c r="G574">
        <v>190157</v>
      </c>
      <c r="H574">
        <v>197790</v>
      </c>
      <c r="I574">
        <v>204356</v>
      </c>
      <c r="J574">
        <v>210758</v>
      </c>
      <c r="K574">
        <v>215196</v>
      </c>
      <c r="L574" t="s">
        <v>988</v>
      </c>
    </row>
    <row r="575" spans="1:12" x14ac:dyDescent="0.3">
      <c r="A575">
        <v>2160</v>
      </c>
      <c r="B575" t="s">
        <v>1904</v>
      </c>
      <c r="C575" t="s">
        <v>2663</v>
      </c>
      <c r="D575" t="s">
        <v>1203</v>
      </c>
      <c r="E575" t="s">
        <v>1204</v>
      </c>
      <c r="F575" t="s">
        <v>2664</v>
      </c>
      <c r="G575">
        <v>190157</v>
      </c>
      <c r="H575">
        <v>197790</v>
      </c>
      <c r="I575">
        <v>204356</v>
      </c>
      <c r="J575">
        <v>210758</v>
      </c>
      <c r="K575">
        <v>215196</v>
      </c>
      <c r="L575" t="s">
        <v>988</v>
      </c>
    </row>
    <row r="576" spans="1:12" x14ac:dyDescent="0.3">
      <c r="A576">
        <v>2162</v>
      </c>
      <c r="B576" t="s">
        <v>1907</v>
      </c>
      <c r="C576" t="s">
        <v>2663</v>
      </c>
      <c r="D576" t="s">
        <v>159</v>
      </c>
      <c r="E576" t="s">
        <v>159</v>
      </c>
      <c r="F576" t="s">
        <v>2664</v>
      </c>
      <c r="G576">
        <v>6496</v>
      </c>
      <c r="H576">
        <v>6856</v>
      </c>
      <c r="I576">
        <v>6943</v>
      </c>
      <c r="J576">
        <v>7104</v>
      </c>
      <c r="K576">
        <v>7311</v>
      </c>
      <c r="L576" t="s">
        <v>988</v>
      </c>
    </row>
    <row r="577" spans="1:12" x14ac:dyDescent="0.3">
      <c r="A577">
        <v>2162</v>
      </c>
      <c r="B577" t="s">
        <v>1907</v>
      </c>
      <c r="C577" t="s">
        <v>2663</v>
      </c>
      <c r="D577" t="s">
        <v>159</v>
      </c>
      <c r="E577" t="s">
        <v>159</v>
      </c>
      <c r="F577" t="s">
        <v>2665</v>
      </c>
      <c r="G577">
        <v>6496</v>
      </c>
      <c r="H577">
        <v>6856</v>
      </c>
      <c r="I577">
        <v>6943</v>
      </c>
      <c r="J577">
        <v>7104</v>
      </c>
      <c r="K577">
        <v>7311</v>
      </c>
      <c r="L577" t="s">
        <v>988</v>
      </c>
    </row>
    <row r="578" spans="1:12" x14ac:dyDescent="0.3">
      <c r="A578">
        <v>2163</v>
      </c>
      <c r="B578" t="s">
        <v>1908</v>
      </c>
      <c r="C578" t="s">
        <v>2663</v>
      </c>
      <c r="D578" t="s">
        <v>159</v>
      </c>
      <c r="E578" t="s">
        <v>159</v>
      </c>
      <c r="F578" t="s">
        <v>2664</v>
      </c>
      <c r="G578">
        <v>4199</v>
      </c>
      <c r="H578">
        <v>4199</v>
      </c>
      <c r="I578">
        <v>4199</v>
      </c>
      <c r="J578">
        <v>4199</v>
      </c>
      <c r="K578">
        <v>4199</v>
      </c>
      <c r="L578" t="s">
        <v>988</v>
      </c>
    </row>
    <row r="579" spans="1:12" x14ac:dyDescent="0.3">
      <c r="A579">
        <v>2163</v>
      </c>
      <c r="B579" t="s">
        <v>1908</v>
      </c>
      <c r="C579" t="s">
        <v>2663</v>
      </c>
      <c r="D579" t="s">
        <v>159</v>
      </c>
      <c r="E579" t="s">
        <v>159</v>
      </c>
      <c r="F579" t="s">
        <v>2665</v>
      </c>
      <c r="G579">
        <v>2910.3</v>
      </c>
      <c r="H579">
        <v>2960</v>
      </c>
      <c r="I579">
        <v>3010.6</v>
      </c>
      <c r="J579">
        <v>3062</v>
      </c>
      <c r="K579">
        <v>3114.3</v>
      </c>
      <c r="L579" t="s">
        <v>988</v>
      </c>
    </row>
    <row r="580" spans="1:12" x14ac:dyDescent="0.3">
      <c r="A580">
        <v>2164</v>
      </c>
      <c r="B580" t="s">
        <v>1909</v>
      </c>
      <c r="C580" t="s">
        <v>2663</v>
      </c>
      <c r="D580" t="s">
        <v>159</v>
      </c>
      <c r="E580" t="s">
        <v>159</v>
      </c>
      <c r="F580" t="s">
        <v>2664</v>
      </c>
      <c r="G580">
        <v>78860</v>
      </c>
      <c r="H580">
        <v>80770</v>
      </c>
      <c r="I580">
        <v>83120</v>
      </c>
      <c r="J580">
        <v>86370</v>
      </c>
      <c r="K580">
        <v>89950</v>
      </c>
      <c r="L580" t="s">
        <v>988</v>
      </c>
    </row>
    <row r="581" spans="1:12" x14ac:dyDescent="0.3">
      <c r="A581">
        <v>2164</v>
      </c>
      <c r="B581" t="s">
        <v>1909</v>
      </c>
      <c r="C581" t="s">
        <v>2663</v>
      </c>
      <c r="D581" t="s">
        <v>159</v>
      </c>
      <c r="E581" t="s">
        <v>159</v>
      </c>
      <c r="F581" t="s">
        <v>2665</v>
      </c>
      <c r="G581">
        <v>78860</v>
      </c>
      <c r="H581">
        <v>80770</v>
      </c>
      <c r="I581">
        <v>83120</v>
      </c>
      <c r="J581">
        <v>86370</v>
      </c>
      <c r="K581">
        <v>89950</v>
      </c>
      <c r="L581" t="s">
        <v>988</v>
      </c>
    </row>
    <row r="582" spans="1:12" x14ac:dyDescent="0.3">
      <c r="A582">
        <v>2165</v>
      </c>
      <c r="B582" t="s">
        <v>1912</v>
      </c>
      <c r="C582" t="s">
        <v>2663</v>
      </c>
      <c r="D582" t="s">
        <v>1203</v>
      </c>
      <c r="E582" t="s">
        <v>1204</v>
      </c>
      <c r="F582" t="s">
        <v>2664</v>
      </c>
      <c r="G582">
        <v>6072</v>
      </c>
      <c r="H582">
        <v>6197</v>
      </c>
      <c r="I582">
        <v>6323</v>
      </c>
      <c r="J582">
        <v>6453</v>
      </c>
      <c r="K582">
        <v>6586</v>
      </c>
      <c r="L582" t="s">
        <v>988</v>
      </c>
    </row>
    <row r="583" spans="1:12" x14ac:dyDescent="0.3">
      <c r="A583">
        <v>2165</v>
      </c>
      <c r="B583" t="s">
        <v>1912</v>
      </c>
      <c r="C583" t="s">
        <v>2663</v>
      </c>
      <c r="D583" t="s">
        <v>1203</v>
      </c>
      <c r="E583" t="s">
        <v>1204</v>
      </c>
      <c r="F583" t="s">
        <v>2665</v>
      </c>
      <c r="G583">
        <v>6072</v>
      </c>
      <c r="H583">
        <v>6197</v>
      </c>
      <c r="I583">
        <v>6323</v>
      </c>
      <c r="J583">
        <v>6453</v>
      </c>
      <c r="K583">
        <v>6586</v>
      </c>
      <c r="L583" t="s">
        <v>988</v>
      </c>
    </row>
    <row r="584" spans="1:12" x14ac:dyDescent="0.3">
      <c r="A584">
        <v>2167</v>
      </c>
      <c r="B584" t="s">
        <v>1914</v>
      </c>
      <c r="C584" t="s">
        <v>2663</v>
      </c>
      <c r="D584" t="s">
        <v>159</v>
      </c>
      <c r="E584" t="s">
        <v>159</v>
      </c>
      <c r="F584" t="s">
        <v>2664</v>
      </c>
      <c r="G584">
        <v>36935</v>
      </c>
      <c r="H584">
        <v>37421</v>
      </c>
      <c r="I584">
        <v>37911</v>
      </c>
      <c r="J584">
        <v>38304</v>
      </c>
      <c r="K584">
        <v>38700</v>
      </c>
      <c r="L584" t="s">
        <v>988</v>
      </c>
    </row>
    <row r="585" spans="1:12" x14ac:dyDescent="0.3">
      <c r="A585">
        <v>2167</v>
      </c>
      <c r="B585" t="s">
        <v>1914</v>
      </c>
      <c r="C585" t="s">
        <v>2663</v>
      </c>
      <c r="D585" t="s">
        <v>159</v>
      </c>
      <c r="E585" t="s">
        <v>159</v>
      </c>
      <c r="F585" t="s">
        <v>2665</v>
      </c>
      <c r="G585">
        <v>36935</v>
      </c>
      <c r="H585">
        <v>37421</v>
      </c>
      <c r="I585">
        <v>37911</v>
      </c>
      <c r="J585">
        <v>38304</v>
      </c>
      <c r="K585">
        <v>38700</v>
      </c>
      <c r="L585" t="s">
        <v>988</v>
      </c>
    </row>
    <row r="586" spans="1:12" x14ac:dyDescent="0.3">
      <c r="A586">
        <v>2166</v>
      </c>
      <c r="B586" t="s">
        <v>1915</v>
      </c>
      <c r="C586" t="s">
        <v>2663</v>
      </c>
      <c r="D586" t="s">
        <v>159</v>
      </c>
      <c r="E586" t="s">
        <v>159</v>
      </c>
      <c r="F586" t="s">
        <v>2664</v>
      </c>
      <c r="G586">
        <v>45593</v>
      </c>
      <c r="H586">
        <v>46909</v>
      </c>
      <c r="I586">
        <v>48665</v>
      </c>
      <c r="J586">
        <v>50442</v>
      </c>
      <c r="K586">
        <v>51943</v>
      </c>
      <c r="L586" t="s">
        <v>988</v>
      </c>
    </row>
    <row r="587" spans="1:12" x14ac:dyDescent="0.3">
      <c r="A587">
        <v>2166</v>
      </c>
      <c r="B587" t="s">
        <v>1915</v>
      </c>
      <c r="C587" t="s">
        <v>2663</v>
      </c>
      <c r="D587" t="s">
        <v>159</v>
      </c>
      <c r="E587" t="s">
        <v>159</v>
      </c>
      <c r="F587" t="s">
        <v>2665</v>
      </c>
      <c r="G587">
        <v>45594</v>
      </c>
      <c r="H587">
        <v>46909</v>
      </c>
      <c r="I587">
        <v>48665</v>
      </c>
      <c r="J587">
        <v>50442</v>
      </c>
      <c r="K587">
        <v>51943</v>
      </c>
      <c r="L587" t="s">
        <v>988</v>
      </c>
    </row>
    <row r="588" spans="1:12" x14ac:dyDescent="0.3">
      <c r="A588">
        <v>2169</v>
      </c>
      <c r="B588" t="s">
        <v>1919</v>
      </c>
      <c r="C588" t="s">
        <v>2663</v>
      </c>
      <c r="D588" t="s">
        <v>159</v>
      </c>
      <c r="E588" t="s">
        <v>159</v>
      </c>
      <c r="F588" t="s">
        <v>2664</v>
      </c>
      <c r="G588">
        <v>3047</v>
      </c>
      <c r="H588">
        <v>3290</v>
      </c>
      <c r="I588">
        <v>3551</v>
      </c>
      <c r="J588">
        <v>3836</v>
      </c>
      <c r="K588">
        <v>4140</v>
      </c>
      <c r="L588" t="s">
        <v>988</v>
      </c>
    </row>
    <row r="589" spans="1:12" x14ac:dyDescent="0.3">
      <c r="A589">
        <v>2169</v>
      </c>
      <c r="B589" t="s">
        <v>1919</v>
      </c>
      <c r="C589" t="s">
        <v>2663</v>
      </c>
      <c r="D589" t="s">
        <v>159</v>
      </c>
      <c r="E589" t="s">
        <v>159</v>
      </c>
      <c r="F589" t="s">
        <v>2665</v>
      </c>
      <c r="G589">
        <v>3047</v>
      </c>
      <c r="H589">
        <v>3290</v>
      </c>
      <c r="I589">
        <v>3551</v>
      </c>
      <c r="J589">
        <v>3836</v>
      </c>
      <c r="K589">
        <v>4140</v>
      </c>
      <c r="L589" t="s">
        <v>988</v>
      </c>
    </row>
    <row r="590" spans="1:12" x14ac:dyDescent="0.3">
      <c r="A590">
        <v>2174</v>
      </c>
      <c r="B590" t="s">
        <v>1920</v>
      </c>
      <c r="C590" t="s">
        <v>2663</v>
      </c>
      <c r="D590" t="s">
        <v>159</v>
      </c>
      <c r="E590" t="s">
        <v>159</v>
      </c>
      <c r="F590" t="s">
        <v>2664</v>
      </c>
      <c r="G590">
        <v>25856</v>
      </c>
      <c r="H590">
        <v>29612</v>
      </c>
      <c r="I590">
        <v>33622</v>
      </c>
      <c r="J590">
        <v>40183</v>
      </c>
      <c r="K590">
        <v>40965</v>
      </c>
      <c r="L590" t="s">
        <v>988</v>
      </c>
    </row>
    <row r="591" spans="1:12" x14ac:dyDescent="0.3">
      <c r="A591">
        <v>2174</v>
      </c>
      <c r="B591" t="s">
        <v>1920</v>
      </c>
      <c r="C591" t="s">
        <v>2663</v>
      </c>
      <c r="D591" t="s">
        <v>159</v>
      </c>
      <c r="E591" t="s">
        <v>159</v>
      </c>
      <c r="F591" t="s">
        <v>2665</v>
      </c>
      <c r="G591">
        <v>25856</v>
      </c>
      <c r="H591">
        <v>29612</v>
      </c>
      <c r="I591">
        <v>33622</v>
      </c>
      <c r="J591">
        <v>40183</v>
      </c>
      <c r="K591">
        <v>40965</v>
      </c>
      <c r="L591" t="s">
        <v>988</v>
      </c>
    </row>
    <row r="592" spans="1:12" x14ac:dyDescent="0.3">
      <c r="A592">
        <v>2175</v>
      </c>
      <c r="B592" t="s">
        <v>1921</v>
      </c>
      <c r="C592" t="s">
        <v>2663</v>
      </c>
      <c r="D592" t="s">
        <v>159</v>
      </c>
      <c r="E592" t="s">
        <v>159</v>
      </c>
      <c r="F592" t="s">
        <v>2664</v>
      </c>
      <c r="G592">
        <v>135647.91185785001</v>
      </c>
      <c r="H592">
        <v>135875.00955875</v>
      </c>
      <c r="I592">
        <v>136961.39585765</v>
      </c>
      <c r="J592">
        <v>138578.69975460001</v>
      </c>
      <c r="K592">
        <v>139956.63039924999</v>
      </c>
      <c r="L592" t="s">
        <v>988</v>
      </c>
    </row>
    <row r="593" spans="1:12" x14ac:dyDescent="0.3">
      <c r="A593">
        <v>2175</v>
      </c>
      <c r="B593" t="s">
        <v>1921</v>
      </c>
      <c r="C593" t="s">
        <v>2663</v>
      </c>
      <c r="D593" t="s">
        <v>159</v>
      </c>
      <c r="E593" t="s">
        <v>159</v>
      </c>
      <c r="F593" t="s">
        <v>2665</v>
      </c>
      <c r="G593">
        <v>135647.91185785001</v>
      </c>
      <c r="H593">
        <v>135875.00955875</v>
      </c>
      <c r="I593">
        <v>136961.39585765</v>
      </c>
      <c r="J593">
        <v>138578.69975460001</v>
      </c>
      <c r="K593">
        <v>139956.63039924999</v>
      </c>
      <c r="L593" t="s">
        <v>988</v>
      </c>
    </row>
    <row r="594" spans="1:12" x14ac:dyDescent="0.3">
      <c r="A594">
        <v>2179</v>
      </c>
      <c r="B594" t="s">
        <v>774</v>
      </c>
      <c r="C594" t="s">
        <v>2663</v>
      </c>
      <c r="D594" t="s">
        <v>1203</v>
      </c>
      <c r="E594" t="s">
        <v>1204</v>
      </c>
      <c r="F594" t="s">
        <v>2664</v>
      </c>
      <c r="G594">
        <v>11300</v>
      </c>
      <c r="H594">
        <v>11400</v>
      </c>
      <c r="I594">
        <v>11300</v>
      </c>
      <c r="J594">
        <v>11400</v>
      </c>
      <c r="K594">
        <v>11500</v>
      </c>
      <c r="L594" t="s">
        <v>988</v>
      </c>
    </row>
    <row r="595" spans="1:12" x14ac:dyDescent="0.3">
      <c r="A595">
        <v>2179</v>
      </c>
      <c r="B595" t="s">
        <v>774</v>
      </c>
      <c r="C595" t="s">
        <v>2663</v>
      </c>
      <c r="D595" t="s">
        <v>1203</v>
      </c>
      <c r="E595" t="s">
        <v>1204</v>
      </c>
      <c r="F595" t="s">
        <v>2665</v>
      </c>
      <c r="G595">
        <v>11300</v>
      </c>
      <c r="H595">
        <v>11400</v>
      </c>
      <c r="I595">
        <v>11300</v>
      </c>
      <c r="J595">
        <v>11400</v>
      </c>
      <c r="K595">
        <v>11500</v>
      </c>
      <c r="L595" t="s">
        <v>988</v>
      </c>
    </row>
    <row r="596" spans="1:12" x14ac:dyDescent="0.3">
      <c r="A596">
        <v>2180</v>
      </c>
      <c r="B596" t="s">
        <v>1927</v>
      </c>
      <c r="C596" t="s">
        <v>2663</v>
      </c>
      <c r="D596" t="s">
        <v>1203</v>
      </c>
      <c r="E596" t="s">
        <v>1204</v>
      </c>
      <c r="F596" t="s">
        <v>2664</v>
      </c>
      <c r="G596">
        <v>2258</v>
      </c>
      <c r="H596">
        <v>2275</v>
      </c>
      <c r="I596">
        <v>2292</v>
      </c>
      <c r="J596">
        <v>2309</v>
      </c>
      <c r="K596">
        <v>2326</v>
      </c>
      <c r="L596" t="s">
        <v>988</v>
      </c>
    </row>
    <row r="597" spans="1:12" x14ac:dyDescent="0.3">
      <c r="A597">
        <v>2180</v>
      </c>
      <c r="B597" t="s">
        <v>1927</v>
      </c>
      <c r="C597" t="s">
        <v>2663</v>
      </c>
      <c r="D597" t="s">
        <v>1203</v>
      </c>
      <c r="E597" t="s">
        <v>1204</v>
      </c>
      <c r="F597" t="s">
        <v>2665</v>
      </c>
      <c r="G597">
        <v>2258</v>
      </c>
      <c r="H597">
        <v>2275</v>
      </c>
      <c r="I597">
        <v>2291</v>
      </c>
      <c r="J597">
        <v>2309</v>
      </c>
      <c r="K597">
        <v>2325</v>
      </c>
      <c r="L597" t="s">
        <v>988</v>
      </c>
    </row>
    <row r="598" spans="1:12" x14ac:dyDescent="0.3">
      <c r="A598">
        <v>2182</v>
      </c>
      <c r="B598" t="s">
        <v>1929</v>
      </c>
      <c r="C598" t="s">
        <v>2663</v>
      </c>
      <c r="D598" t="s">
        <v>159</v>
      </c>
      <c r="E598" t="s">
        <v>159</v>
      </c>
      <c r="F598" t="s">
        <v>2664</v>
      </c>
      <c r="G598">
        <v>10337</v>
      </c>
      <c r="H598">
        <v>10537</v>
      </c>
      <c r="I598">
        <v>10587</v>
      </c>
      <c r="J598">
        <v>10637</v>
      </c>
      <c r="K598">
        <v>0</v>
      </c>
      <c r="L598" t="s">
        <v>988</v>
      </c>
    </row>
    <row r="599" spans="1:12" x14ac:dyDescent="0.3">
      <c r="A599">
        <v>2182</v>
      </c>
      <c r="B599" t="s">
        <v>1929</v>
      </c>
      <c r="C599" t="s">
        <v>2663</v>
      </c>
      <c r="D599" t="s">
        <v>159</v>
      </c>
      <c r="E599" t="s">
        <v>159</v>
      </c>
      <c r="F599" t="s">
        <v>2665</v>
      </c>
      <c r="G599">
        <v>7171</v>
      </c>
      <c r="H599">
        <v>7713</v>
      </c>
      <c r="I599">
        <v>8191</v>
      </c>
      <c r="J599">
        <v>8624</v>
      </c>
      <c r="K599">
        <v>0</v>
      </c>
      <c r="L599" t="s">
        <v>988</v>
      </c>
    </row>
    <row r="600" spans="1:12" x14ac:dyDescent="0.3">
      <c r="A600">
        <v>2205</v>
      </c>
      <c r="B600" t="s">
        <v>1931</v>
      </c>
      <c r="C600" t="s">
        <v>2663</v>
      </c>
      <c r="D600" t="s">
        <v>1203</v>
      </c>
      <c r="E600" t="s">
        <v>1204</v>
      </c>
      <c r="F600" t="s">
        <v>2665</v>
      </c>
      <c r="G600">
        <v>7796.1106275045004</v>
      </c>
      <c r="H600">
        <v>8350.8734841490004</v>
      </c>
      <c r="I600">
        <v>8954.9533685429997</v>
      </c>
      <c r="J600">
        <v>9612.7387903119998</v>
      </c>
      <c r="K600">
        <v>10329.017214502001</v>
      </c>
      <c r="L600" t="s">
        <v>988</v>
      </c>
    </row>
    <row r="601" spans="1:12" x14ac:dyDescent="0.3">
      <c r="A601">
        <v>2205</v>
      </c>
      <c r="B601" t="s">
        <v>1931</v>
      </c>
      <c r="C601" t="s">
        <v>2663</v>
      </c>
      <c r="D601" t="s">
        <v>1203</v>
      </c>
      <c r="E601" t="s">
        <v>1204</v>
      </c>
      <c r="F601" t="s">
        <v>2664</v>
      </c>
      <c r="G601">
        <v>7794.9751390000001</v>
      </c>
      <c r="H601">
        <v>8350.4438398500006</v>
      </c>
      <c r="I601">
        <v>8955.0147462999994</v>
      </c>
      <c r="J601">
        <v>9611.7567462000006</v>
      </c>
      <c r="K601">
        <v>10329.8765031</v>
      </c>
      <c r="L601" t="s">
        <v>988</v>
      </c>
    </row>
    <row r="602" spans="1:12" x14ac:dyDescent="0.3">
      <c r="A602">
        <v>2207</v>
      </c>
      <c r="B602" t="s">
        <v>1936</v>
      </c>
      <c r="C602" t="s">
        <v>2663</v>
      </c>
      <c r="D602" t="s">
        <v>159</v>
      </c>
      <c r="E602" t="s">
        <v>159</v>
      </c>
      <c r="F602" t="s">
        <v>2664</v>
      </c>
      <c r="G602">
        <v>33882</v>
      </c>
      <c r="H602">
        <v>34395</v>
      </c>
      <c r="I602">
        <v>34130</v>
      </c>
      <c r="J602">
        <v>33838</v>
      </c>
      <c r="K602">
        <v>33827</v>
      </c>
      <c r="L602" t="s">
        <v>988</v>
      </c>
    </row>
    <row r="603" spans="1:12" x14ac:dyDescent="0.3">
      <c r="A603">
        <v>2207</v>
      </c>
      <c r="B603" t="s">
        <v>1936</v>
      </c>
      <c r="C603" t="s">
        <v>2663</v>
      </c>
      <c r="D603" t="s">
        <v>159</v>
      </c>
      <c r="E603" t="s">
        <v>159</v>
      </c>
      <c r="F603" t="s">
        <v>2665</v>
      </c>
      <c r="G603">
        <v>33881.72</v>
      </c>
      <c r="H603">
        <v>34395</v>
      </c>
      <c r="I603">
        <v>34130</v>
      </c>
      <c r="J603">
        <v>33838</v>
      </c>
      <c r="K603">
        <v>33826.76</v>
      </c>
      <c r="L603" t="s">
        <v>988</v>
      </c>
    </row>
    <row r="604" spans="1:12" x14ac:dyDescent="0.3">
      <c r="A604">
        <v>2209</v>
      </c>
      <c r="B604" t="s">
        <v>1938</v>
      </c>
      <c r="C604" t="s">
        <v>2663</v>
      </c>
      <c r="D604" t="s">
        <v>1203</v>
      </c>
      <c r="E604" t="s">
        <v>1204</v>
      </c>
      <c r="F604" t="s">
        <v>2665</v>
      </c>
      <c r="G604">
        <v>13890</v>
      </c>
      <c r="H604">
        <v>14597</v>
      </c>
      <c r="I604">
        <v>14577</v>
      </c>
      <c r="J604">
        <v>14719</v>
      </c>
      <c r="K604">
        <v>14910</v>
      </c>
      <c r="L604" t="s">
        <v>988</v>
      </c>
    </row>
    <row r="605" spans="1:12" x14ac:dyDescent="0.3">
      <c r="A605">
        <v>2209</v>
      </c>
      <c r="B605" t="s">
        <v>1938</v>
      </c>
      <c r="C605" t="s">
        <v>2663</v>
      </c>
      <c r="D605" t="s">
        <v>1203</v>
      </c>
      <c r="E605" t="s">
        <v>1204</v>
      </c>
      <c r="F605" t="s">
        <v>2664</v>
      </c>
      <c r="G605">
        <v>20758</v>
      </c>
      <c r="H605">
        <v>22583</v>
      </c>
      <c r="I605">
        <v>22534</v>
      </c>
      <c r="J605">
        <v>22484</v>
      </c>
      <c r="K605">
        <v>22484</v>
      </c>
      <c r="L605" t="s">
        <v>988</v>
      </c>
    </row>
    <row r="606" spans="1:12" x14ac:dyDescent="0.3">
      <c r="A606">
        <v>2210</v>
      </c>
      <c r="B606" t="s">
        <v>1940</v>
      </c>
      <c r="C606" t="s">
        <v>2663</v>
      </c>
      <c r="D606" t="s">
        <v>1203</v>
      </c>
      <c r="E606" t="s">
        <v>1204</v>
      </c>
      <c r="F606" t="s">
        <v>2665</v>
      </c>
      <c r="G606">
        <v>24042</v>
      </c>
      <c r="H606">
        <v>25835</v>
      </c>
      <c r="I606">
        <v>27697</v>
      </c>
      <c r="J606">
        <v>29558</v>
      </c>
      <c r="K606">
        <v>31676</v>
      </c>
      <c r="L606" t="s">
        <v>988</v>
      </c>
    </row>
    <row r="607" spans="1:12" x14ac:dyDescent="0.3">
      <c r="A607">
        <v>2210</v>
      </c>
      <c r="B607" t="s">
        <v>1940</v>
      </c>
      <c r="C607" t="s">
        <v>2663</v>
      </c>
      <c r="D607" t="s">
        <v>1203</v>
      </c>
      <c r="E607" t="s">
        <v>1204</v>
      </c>
      <c r="F607" t="s">
        <v>2664</v>
      </c>
      <c r="G607">
        <v>37219</v>
      </c>
      <c r="H607">
        <v>33097</v>
      </c>
      <c r="I607">
        <v>34194</v>
      </c>
      <c r="J607">
        <v>35516</v>
      </c>
      <c r="K607">
        <v>37096</v>
      </c>
      <c r="L607" t="s">
        <v>988</v>
      </c>
    </row>
    <row r="608" spans="1:12" x14ac:dyDescent="0.3">
      <c r="A608">
        <v>4993</v>
      </c>
      <c r="B608" t="s">
        <v>944</v>
      </c>
      <c r="C608" t="s">
        <v>2663</v>
      </c>
      <c r="D608" t="s">
        <v>1203</v>
      </c>
      <c r="E608" t="s">
        <v>1204</v>
      </c>
      <c r="F608" t="s">
        <v>2664</v>
      </c>
      <c r="G608">
        <v>108399</v>
      </c>
      <c r="H608">
        <v>106406</v>
      </c>
      <c r="I608">
        <v>110248</v>
      </c>
      <c r="J608">
        <v>109745</v>
      </c>
      <c r="K608">
        <v>110746</v>
      </c>
      <c r="L608" t="s">
        <v>988</v>
      </c>
    </row>
    <row r="609" spans="1:12" x14ac:dyDescent="0.3">
      <c r="A609">
        <v>4993</v>
      </c>
      <c r="B609" t="s">
        <v>944</v>
      </c>
      <c r="C609" t="s">
        <v>2663</v>
      </c>
      <c r="D609" t="s">
        <v>1203</v>
      </c>
      <c r="E609" t="s">
        <v>1204</v>
      </c>
      <c r="F609" t="s">
        <v>2665</v>
      </c>
      <c r="G609">
        <v>76499</v>
      </c>
      <c r="H609">
        <v>81646</v>
      </c>
      <c r="I609">
        <v>88741</v>
      </c>
      <c r="J609">
        <v>93548</v>
      </c>
      <c r="K609">
        <v>97449</v>
      </c>
      <c r="L609" t="s">
        <v>988</v>
      </c>
    </row>
    <row r="610" spans="1:12" x14ac:dyDescent="0.3">
      <c r="A610">
        <v>2213</v>
      </c>
      <c r="B610" t="s">
        <v>1944</v>
      </c>
      <c r="C610" t="s">
        <v>2663</v>
      </c>
      <c r="D610" t="s">
        <v>1203</v>
      </c>
      <c r="E610" t="s">
        <v>1204</v>
      </c>
      <c r="F610" t="s">
        <v>2665</v>
      </c>
      <c r="G610">
        <v>8187.7927837999996</v>
      </c>
      <c r="H610">
        <v>8264.5149800500003</v>
      </c>
      <c r="I610">
        <v>8298.2727464</v>
      </c>
      <c r="J610">
        <v>8485.4749052499992</v>
      </c>
      <c r="K610">
        <v>8543.7837744000008</v>
      </c>
      <c r="L610" t="s">
        <v>988</v>
      </c>
    </row>
    <row r="611" spans="1:12" x14ac:dyDescent="0.3">
      <c r="A611">
        <v>2213</v>
      </c>
      <c r="B611" t="s">
        <v>1944</v>
      </c>
      <c r="C611" t="s">
        <v>2663</v>
      </c>
      <c r="D611" t="s">
        <v>1203</v>
      </c>
      <c r="E611" t="s">
        <v>1204</v>
      </c>
      <c r="F611" t="s">
        <v>2664</v>
      </c>
      <c r="G611">
        <v>8187.7927837999996</v>
      </c>
      <c r="H611">
        <v>8267.5838679000008</v>
      </c>
      <c r="I611">
        <v>8298.2727464</v>
      </c>
      <c r="J611">
        <v>8485.4749052499992</v>
      </c>
      <c r="K611">
        <v>8543.7837744000008</v>
      </c>
      <c r="L611" t="s">
        <v>988</v>
      </c>
    </row>
    <row r="612" spans="1:12" x14ac:dyDescent="0.3">
      <c r="A612">
        <v>2214</v>
      </c>
      <c r="B612" t="s">
        <v>1953</v>
      </c>
      <c r="C612" t="s">
        <v>2663</v>
      </c>
      <c r="D612" t="s">
        <v>1203</v>
      </c>
      <c r="E612" t="s">
        <v>1204</v>
      </c>
      <c r="F612" t="s">
        <v>2664</v>
      </c>
      <c r="G612">
        <v>9506</v>
      </c>
      <c r="H612">
        <v>10094</v>
      </c>
      <c r="I612">
        <v>10273</v>
      </c>
      <c r="J612">
        <v>10402</v>
      </c>
      <c r="K612">
        <v>10776</v>
      </c>
      <c r="L612" t="s">
        <v>988</v>
      </c>
    </row>
    <row r="613" spans="1:12" x14ac:dyDescent="0.3">
      <c r="A613">
        <v>2214</v>
      </c>
      <c r="B613" t="s">
        <v>1953</v>
      </c>
      <c r="C613" t="s">
        <v>2663</v>
      </c>
      <c r="D613" t="s">
        <v>1203</v>
      </c>
      <c r="E613" t="s">
        <v>1204</v>
      </c>
      <c r="F613" t="s">
        <v>2665</v>
      </c>
      <c r="G613">
        <v>9506</v>
      </c>
      <c r="H613">
        <v>10094</v>
      </c>
      <c r="I613">
        <v>10273</v>
      </c>
      <c r="J613">
        <v>10402</v>
      </c>
      <c r="K613">
        <v>10776</v>
      </c>
      <c r="L613" t="s">
        <v>988</v>
      </c>
    </row>
    <row r="614" spans="1:12" x14ac:dyDescent="0.3">
      <c r="A614">
        <v>2215</v>
      </c>
      <c r="B614" t="s">
        <v>1954</v>
      </c>
      <c r="C614" t="s">
        <v>2663</v>
      </c>
      <c r="D614" t="s">
        <v>1203</v>
      </c>
      <c r="E614" t="s">
        <v>1204</v>
      </c>
      <c r="F614" t="s">
        <v>2664</v>
      </c>
      <c r="G614">
        <v>6346</v>
      </c>
      <c r="H614">
        <v>6492</v>
      </c>
      <c r="I614">
        <v>6640</v>
      </c>
      <c r="J614">
        <v>6792</v>
      </c>
      <c r="K614">
        <v>6947</v>
      </c>
      <c r="L614" t="s">
        <v>988</v>
      </c>
    </row>
    <row r="615" spans="1:12" x14ac:dyDescent="0.3">
      <c r="A615">
        <v>2215</v>
      </c>
      <c r="B615" t="s">
        <v>1954</v>
      </c>
      <c r="C615" t="s">
        <v>2663</v>
      </c>
      <c r="D615" t="s">
        <v>1203</v>
      </c>
      <c r="E615" t="s">
        <v>1204</v>
      </c>
      <c r="F615" t="s">
        <v>2665</v>
      </c>
      <c r="G615">
        <v>6346</v>
      </c>
      <c r="H615">
        <v>6492</v>
      </c>
      <c r="I615">
        <v>6640</v>
      </c>
      <c r="J615">
        <v>6792</v>
      </c>
      <c r="K615">
        <v>6947</v>
      </c>
      <c r="L615" t="s">
        <v>988</v>
      </c>
    </row>
    <row r="616" spans="1:12" x14ac:dyDescent="0.3">
      <c r="A616">
        <v>2217</v>
      </c>
      <c r="B616" t="s">
        <v>1955</v>
      </c>
      <c r="C616" t="s">
        <v>2663</v>
      </c>
      <c r="D616" t="s">
        <v>159</v>
      </c>
      <c r="E616" t="s">
        <v>159</v>
      </c>
      <c r="F616" t="s">
        <v>2664</v>
      </c>
      <c r="G616">
        <v>49492</v>
      </c>
      <c r="H616">
        <v>59363</v>
      </c>
      <c r="I616">
        <v>65854</v>
      </c>
      <c r="J616">
        <v>65909</v>
      </c>
      <c r="K616">
        <v>65909</v>
      </c>
      <c r="L616" t="s">
        <v>988</v>
      </c>
    </row>
    <row r="617" spans="1:12" x14ac:dyDescent="0.3">
      <c r="A617">
        <v>2217</v>
      </c>
      <c r="B617" t="s">
        <v>1955</v>
      </c>
      <c r="C617" t="s">
        <v>2663</v>
      </c>
      <c r="D617" t="s">
        <v>159</v>
      </c>
      <c r="E617" t="s">
        <v>159</v>
      </c>
      <c r="F617" t="s">
        <v>2665</v>
      </c>
      <c r="G617">
        <v>34277</v>
      </c>
      <c r="H617">
        <v>36898</v>
      </c>
      <c r="I617">
        <v>40853</v>
      </c>
      <c r="J617">
        <v>40341</v>
      </c>
      <c r="K617">
        <v>40168</v>
      </c>
      <c r="L617" t="s">
        <v>988</v>
      </c>
    </row>
    <row r="618" spans="1:12" x14ac:dyDescent="0.3">
      <c r="A618">
        <v>2218</v>
      </c>
      <c r="B618" t="s">
        <v>1959</v>
      </c>
      <c r="C618" t="s">
        <v>2663</v>
      </c>
      <c r="D618" t="s">
        <v>1203</v>
      </c>
      <c r="E618" t="s">
        <v>1204</v>
      </c>
      <c r="F618" t="s">
        <v>2665</v>
      </c>
      <c r="G618">
        <v>15026</v>
      </c>
      <c r="H618">
        <v>17246</v>
      </c>
      <c r="I618">
        <v>17869</v>
      </c>
      <c r="J618">
        <v>18490</v>
      </c>
      <c r="K618">
        <v>18717</v>
      </c>
      <c r="L618" t="s">
        <v>988</v>
      </c>
    </row>
    <row r="619" spans="1:12" x14ac:dyDescent="0.3">
      <c r="A619">
        <v>2218</v>
      </c>
      <c r="B619" t="s">
        <v>1959</v>
      </c>
      <c r="C619" t="s">
        <v>2663</v>
      </c>
      <c r="D619" t="s">
        <v>1203</v>
      </c>
      <c r="E619" t="s">
        <v>1204</v>
      </c>
      <c r="F619" t="s">
        <v>2664</v>
      </c>
      <c r="G619">
        <v>36558</v>
      </c>
      <c r="H619">
        <v>36403</v>
      </c>
      <c r="I619">
        <v>36250</v>
      </c>
      <c r="J619">
        <v>36095</v>
      </c>
      <c r="K619">
        <v>35941</v>
      </c>
      <c r="L619" t="s">
        <v>988</v>
      </c>
    </row>
    <row r="620" spans="1:12" x14ac:dyDescent="0.3">
      <c r="A620">
        <v>2220</v>
      </c>
      <c r="B620" t="s">
        <v>1962</v>
      </c>
      <c r="C620" t="s">
        <v>2663</v>
      </c>
      <c r="D620" t="s">
        <v>159</v>
      </c>
      <c r="E620" t="s">
        <v>159</v>
      </c>
      <c r="F620" t="s">
        <v>2664</v>
      </c>
      <c r="G620">
        <v>18626</v>
      </c>
      <c r="H620">
        <v>18626</v>
      </c>
      <c r="I620">
        <v>18626</v>
      </c>
      <c r="J620">
        <v>18626</v>
      </c>
      <c r="K620">
        <v>0</v>
      </c>
      <c r="L620" t="s">
        <v>988</v>
      </c>
    </row>
    <row r="621" spans="1:12" x14ac:dyDescent="0.3">
      <c r="A621">
        <v>2220</v>
      </c>
      <c r="B621" t="s">
        <v>1962</v>
      </c>
      <c r="C621" t="s">
        <v>2663</v>
      </c>
      <c r="D621" t="s">
        <v>159</v>
      </c>
      <c r="E621" t="s">
        <v>159</v>
      </c>
      <c r="F621" t="s">
        <v>2665</v>
      </c>
      <c r="G621">
        <v>14290</v>
      </c>
      <c r="H621">
        <v>15101</v>
      </c>
      <c r="I621">
        <v>15177</v>
      </c>
      <c r="J621">
        <v>15262</v>
      </c>
      <c r="K621">
        <v>0</v>
      </c>
      <c r="L621" t="s">
        <v>988</v>
      </c>
    </row>
    <row r="622" spans="1:12" x14ac:dyDescent="0.3">
      <c r="A622">
        <v>2222</v>
      </c>
      <c r="B622" t="s">
        <v>1964</v>
      </c>
      <c r="C622" t="s">
        <v>2663</v>
      </c>
      <c r="D622" t="s">
        <v>1203</v>
      </c>
      <c r="E622" t="s">
        <v>1204</v>
      </c>
      <c r="F622" t="s">
        <v>2665</v>
      </c>
      <c r="G622">
        <v>4511</v>
      </c>
      <c r="H622">
        <v>4813</v>
      </c>
      <c r="I622">
        <v>5115</v>
      </c>
      <c r="J622">
        <v>5418</v>
      </c>
      <c r="K622">
        <v>0</v>
      </c>
      <c r="L622" t="s">
        <v>988</v>
      </c>
    </row>
    <row r="623" spans="1:12" x14ac:dyDescent="0.3">
      <c r="A623">
        <v>2222</v>
      </c>
      <c r="B623" t="s">
        <v>1964</v>
      </c>
      <c r="C623" t="s">
        <v>2663</v>
      </c>
      <c r="D623" t="s">
        <v>1203</v>
      </c>
      <c r="E623" t="s">
        <v>1204</v>
      </c>
      <c r="F623" t="s">
        <v>2664</v>
      </c>
      <c r="G623">
        <v>6774</v>
      </c>
      <c r="H623">
        <v>7333</v>
      </c>
      <c r="I623">
        <v>7892</v>
      </c>
      <c r="J623">
        <v>8450</v>
      </c>
      <c r="K623">
        <v>0</v>
      </c>
      <c r="L623" t="s">
        <v>988</v>
      </c>
    </row>
    <row r="624" spans="1:12" x14ac:dyDescent="0.3">
      <c r="A624">
        <v>2224</v>
      </c>
      <c r="B624" t="s">
        <v>1966</v>
      </c>
      <c r="C624" t="s">
        <v>2663</v>
      </c>
      <c r="D624" t="s">
        <v>159</v>
      </c>
      <c r="E624" t="s">
        <v>159</v>
      </c>
      <c r="F624" t="s">
        <v>2665</v>
      </c>
      <c r="G624">
        <v>21660</v>
      </c>
      <c r="H624">
        <v>23083</v>
      </c>
      <c r="I624">
        <v>23652</v>
      </c>
      <c r="J624">
        <v>24329</v>
      </c>
      <c r="K624">
        <v>25097</v>
      </c>
      <c r="L624" t="s">
        <v>988</v>
      </c>
    </row>
    <row r="625" spans="1:12" x14ac:dyDescent="0.3">
      <c r="A625">
        <v>2224</v>
      </c>
      <c r="B625" t="s">
        <v>1966</v>
      </c>
      <c r="C625" t="s">
        <v>2663</v>
      </c>
      <c r="D625" t="s">
        <v>159</v>
      </c>
      <c r="E625" t="s">
        <v>159</v>
      </c>
      <c r="F625" t="s">
        <v>2664</v>
      </c>
      <c r="G625">
        <v>31540</v>
      </c>
      <c r="H625">
        <v>31540</v>
      </c>
      <c r="I625">
        <v>31540</v>
      </c>
      <c r="J625">
        <v>31540</v>
      </c>
      <c r="K625">
        <v>31540</v>
      </c>
      <c r="L625" t="s">
        <v>988</v>
      </c>
    </row>
    <row r="626" spans="1:12" x14ac:dyDescent="0.3">
      <c r="A626">
        <v>2237</v>
      </c>
      <c r="B626" t="s">
        <v>1969</v>
      </c>
      <c r="C626" t="s">
        <v>2663</v>
      </c>
      <c r="D626" t="s">
        <v>1203</v>
      </c>
      <c r="E626" t="s">
        <v>1204</v>
      </c>
      <c r="F626" t="s">
        <v>2665</v>
      </c>
      <c r="G626">
        <v>1247</v>
      </c>
      <c r="H626">
        <v>1255</v>
      </c>
      <c r="I626">
        <v>1264</v>
      </c>
      <c r="J626">
        <v>1273</v>
      </c>
      <c r="K626">
        <v>1297</v>
      </c>
      <c r="L626" t="s">
        <v>988</v>
      </c>
    </row>
    <row r="627" spans="1:12" x14ac:dyDescent="0.3">
      <c r="A627">
        <v>2237</v>
      </c>
      <c r="B627" t="s">
        <v>1969</v>
      </c>
      <c r="C627" t="s">
        <v>2663</v>
      </c>
      <c r="D627" t="s">
        <v>1203</v>
      </c>
      <c r="E627" t="s">
        <v>1204</v>
      </c>
      <c r="F627" t="s">
        <v>2664</v>
      </c>
      <c r="G627">
        <v>1436</v>
      </c>
      <c r="H627">
        <v>1440</v>
      </c>
      <c r="I627">
        <v>1445</v>
      </c>
      <c r="J627">
        <v>1449</v>
      </c>
      <c r="K627">
        <v>1454</v>
      </c>
      <c r="L627" t="s">
        <v>988</v>
      </c>
    </row>
    <row r="628" spans="1:12" x14ac:dyDescent="0.3">
      <c r="A628">
        <v>2241</v>
      </c>
      <c r="B628" t="s">
        <v>1971</v>
      </c>
      <c r="C628" t="s">
        <v>2663</v>
      </c>
      <c r="D628" t="s">
        <v>159</v>
      </c>
      <c r="E628" t="s">
        <v>159</v>
      </c>
      <c r="F628" t="s">
        <v>2664</v>
      </c>
      <c r="G628">
        <v>3175</v>
      </c>
      <c r="H628">
        <v>3367.52</v>
      </c>
      <c r="I628">
        <v>3342</v>
      </c>
      <c r="J628">
        <v>3317</v>
      </c>
      <c r="K628">
        <v>3306</v>
      </c>
      <c r="L628" t="s">
        <v>988</v>
      </c>
    </row>
    <row r="629" spans="1:12" x14ac:dyDescent="0.3">
      <c r="A629">
        <v>2241</v>
      </c>
      <c r="B629" t="s">
        <v>1971</v>
      </c>
      <c r="C629" t="s">
        <v>2663</v>
      </c>
      <c r="D629" t="s">
        <v>159</v>
      </c>
      <c r="E629" t="s">
        <v>159</v>
      </c>
      <c r="F629" t="s">
        <v>2665</v>
      </c>
      <c r="G629">
        <v>3175</v>
      </c>
      <c r="H629">
        <v>3368</v>
      </c>
      <c r="I629">
        <v>3342.1</v>
      </c>
      <c r="J629">
        <v>3317</v>
      </c>
      <c r="K629">
        <v>3306</v>
      </c>
      <c r="L629" t="s">
        <v>988</v>
      </c>
    </row>
    <row r="630" spans="1:12" x14ac:dyDescent="0.3">
      <c r="A630">
        <v>2251</v>
      </c>
      <c r="B630" t="s">
        <v>1975</v>
      </c>
      <c r="C630" t="s">
        <v>2663</v>
      </c>
      <c r="D630" t="s">
        <v>159</v>
      </c>
      <c r="E630" t="s">
        <v>159</v>
      </c>
      <c r="F630" t="s">
        <v>2664</v>
      </c>
      <c r="G630">
        <v>8351</v>
      </c>
      <c r="H630">
        <v>8393</v>
      </c>
      <c r="I630">
        <v>8437</v>
      </c>
      <c r="J630">
        <v>8459</v>
      </c>
      <c r="K630">
        <v>0</v>
      </c>
      <c r="L630" t="s">
        <v>988</v>
      </c>
    </row>
    <row r="631" spans="1:12" x14ac:dyDescent="0.3">
      <c r="A631">
        <v>2251</v>
      </c>
      <c r="B631" t="s">
        <v>1975</v>
      </c>
      <c r="C631" t="s">
        <v>2663</v>
      </c>
      <c r="D631" t="s">
        <v>159</v>
      </c>
      <c r="E631" t="s">
        <v>159</v>
      </c>
      <c r="F631" t="s">
        <v>2665</v>
      </c>
      <c r="G631">
        <v>4263</v>
      </c>
      <c r="H631">
        <v>4314</v>
      </c>
      <c r="I631">
        <v>4367</v>
      </c>
      <c r="J631">
        <v>4394</v>
      </c>
      <c r="K631">
        <v>0</v>
      </c>
      <c r="L631" t="s">
        <v>988</v>
      </c>
    </row>
    <row r="632" spans="1:12" x14ac:dyDescent="0.3">
      <c r="A632">
        <v>2260</v>
      </c>
      <c r="B632" t="s">
        <v>1976</v>
      </c>
      <c r="C632" t="s">
        <v>2663</v>
      </c>
      <c r="D632" t="s">
        <v>159</v>
      </c>
      <c r="E632" t="s">
        <v>159</v>
      </c>
      <c r="F632" t="s">
        <v>2664</v>
      </c>
      <c r="G632">
        <v>5355.2092982499998</v>
      </c>
      <c r="H632">
        <v>5695.8558495999996</v>
      </c>
      <c r="I632">
        <v>6018.0890738500002</v>
      </c>
      <c r="J632">
        <v>6318.8400831500003</v>
      </c>
      <c r="K632">
        <v>6601.1777653500003</v>
      </c>
      <c r="L632" t="s">
        <v>988</v>
      </c>
    </row>
    <row r="633" spans="1:12" x14ac:dyDescent="0.3">
      <c r="A633">
        <v>2260</v>
      </c>
      <c r="B633" t="s">
        <v>1976</v>
      </c>
      <c r="C633" t="s">
        <v>2663</v>
      </c>
      <c r="D633" t="s">
        <v>159</v>
      </c>
      <c r="E633" t="s">
        <v>159</v>
      </c>
      <c r="F633" t="s">
        <v>2665</v>
      </c>
      <c r="G633">
        <v>7190.4042325500004</v>
      </c>
      <c r="H633">
        <v>7868.6284474000004</v>
      </c>
      <c r="I633">
        <v>8528.4393351500003</v>
      </c>
      <c r="J633">
        <v>8890.5681014500005</v>
      </c>
      <c r="K633">
        <v>9510.4834471499998</v>
      </c>
      <c r="L633" t="s">
        <v>988</v>
      </c>
    </row>
    <row r="634" spans="1:12" x14ac:dyDescent="0.3">
      <c r="A634">
        <v>2273</v>
      </c>
      <c r="B634" t="s">
        <v>889</v>
      </c>
      <c r="C634" t="s">
        <v>2663</v>
      </c>
      <c r="D634" t="s">
        <v>1203</v>
      </c>
      <c r="E634" t="s">
        <v>1204</v>
      </c>
      <c r="F634" t="s">
        <v>2664</v>
      </c>
      <c r="G634">
        <v>5980</v>
      </c>
      <c r="H634">
        <v>5980</v>
      </c>
      <c r="I634">
        <v>5980</v>
      </c>
      <c r="J634">
        <v>5980</v>
      </c>
      <c r="K634">
        <v>5980</v>
      </c>
      <c r="L634" t="s">
        <v>988</v>
      </c>
    </row>
    <row r="635" spans="1:12" x14ac:dyDescent="0.3">
      <c r="A635">
        <v>2273</v>
      </c>
      <c r="B635" t="s">
        <v>889</v>
      </c>
      <c r="C635" t="s">
        <v>2663</v>
      </c>
      <c r="D635" t="s">
        <v>1203</v>
      </c>
      <c r="E635" t="s">
        <v>1204</v>
      </c>
      <c r="F635" t="s">
        <v>2665</v>
      </c>
      <c r="G635">
        <v>2785</v>
      </c>
      <c r="H635">
        <v>2922</v>
      </c>
      <c r="I635">
        <v>3067</v>
      </c>
      <c r="J635">
        <v>3217</v>
      </c>
      <c r="K635">
        <v>3377</v>
      </c>
      <c r="L635" t="s">
        <v>988</v>
      </c>
    </row>
    <row r="636" spans="1:12" x14ac:dyDescent="0.3">
      <c r="A636">
        <v>2290</v>
      </c>
      <c r="B636" t="s">
        <v>1979</v>
      </c>
      <c r="C636" t="s">
        <v>2663</v>
      </c>
      <c r="D636" t="s">
        <v>1203</v>
      </c>
      <c r="E636" t="s">
        <v>1204</v>
      </c>
      <c r="F636" t="s">
        <v>2664</v>
      </c>
      <c r="G636">
        <v>2487</v>
      </c>
      <c r="H636">
        <v>2499</v>
      </c>
      <c r="I636">
        <v>2512</v>
      </c>
      <c r="J636">
        <v>2522</v>
      </c>
      <c r="K636">
        <v>2533</v>
      </c>
      <c r="L636" t="s">
        <v>988</v>
      </c>
    </row>
    <row r="637" spans="1:12" x14ac:dyDescent="0.3">
      <c r="A637">
        <v>2290</v>
      </c>
      <c r="B637" t="s">
        <v>1979</v>
      </c>
      <c r="C637" t="s">
        <v>2663</v>
      </c>
      <c r="D637" t="s">
        <v>1203</v>
      </c>
      <c r="E637" t="s">
        <v>1204</v>
      </c>
      <c r="F637" t="s">
        <v>2665</v>
      </c>
      <c r="G637">
        <v>2487</v>
      </c>
      <c r="H637">
        <v>2499</v>
      </c>
      <c r="I637">
        <v>2512</v>
      </c>
      <c r="J637">
        <v>2522</v>
      </c>
      <c r="K637">
        <v>2533</v>
      </c>
      <c r="L637" t="s">
        <v>988</v>
      </c>
    </row>
    <row r="638" spans="1:12" x14ac:dyDescent="0.3">
      <c r="A638">
        <v>2298</v>
      </c>
      <c r="B638" t="s">
        <v>1981</v>
      </c>
      <c r="C638" t="s">
        <v>2663</v>
      </c>
      <c r="D638" t="s">
        <v>1203</v>
      </c>
      <c r="E638" t="s">
        <v>1204</v>
      </c>
      <c r="F638" t="s">
        <v>2664</v>
      </c>
      <c r="G638">
        <v>4332</v>
      </c>
      <c r="H638">
        <v>4332</v>
      </c>
      <c r="I638">
        <v>4332</v>
      </c>
      <c r="J638">
        <v>4332</v>
      </c>
      <c r="K638">
        <v>0</v>
      </c>
      <c r="L638" t="s">
        <v>988</v>
      </c>
    </row>
    <row r="639" spans="1:12" x14ac:dyDescent="0.3">
      <c r="A639">
        <v>2298</v>
      </c>
      <c r="B639" t="s">
        <v>1981</v>
      </c>
      <c r="C639" t="s">
        <v>2663</v>
      </c>
      <c r="D639" t="s">
        <v>1203</v>
      </c>
      <c r="E639" t="s">
        <v>1204</v>
      </c>
      <c r="F639" t="s">
        <v>2665</v>
      </c>
      <c r="G639">
        <v>1957</v>
      </c>
      <c r="H639">
        <v>1984</v>
      </c>
      <c r="I639">
        <v>2011</v>
      </c>
      <c r="J639">
        <v>2044</v>
      </c>
      <c r="K639">
        <v>0</v>
      </c>
      <c r="L639" t="s">
        <v>988</v>
      </c>
    </row>
    <row r="640" spans="1:12" x14ac:dyDescent="0.3">
      <c r="A640">
        <v>2323</v>
      </c>
      <c r="B640" t="s">
        <v>1983</v>
      </c>
      <c r="C640" t="s">
        <v>2663</v>
      </c>
      <c r="D640" t="s">
        <v>1203</v>
      </c>
      <c r="E640" t="s">
        <v>1204</v>
      </c>
      <c r="F640" t="s">
        <v>2664</v>
      </c>
      <c r="G640">
        <v>148045</v>
      </c>
      <c r="H640">
        <v>148055</v>
      </c>
      <c r="I640">
        <v>148065</v>
      </c>
      <c r="J640">
        <v>148070</v>
      </c>
      <c r="K640">
        <v>148080</v>
      </c>
      <c r="L640" t="s">
        <v>988</v>
      </c>
    </row>
    <row r="641" spans="1:12" x14ac:dyDescent="0.3">
      <c r="A641">
        <v>2323</v>
      </c>
      <c r="B641" t="s">
        <v>1983</v>
      </c>
      <c r="C641" t="s">
        <v>2663</v>
      </c>
      <c r="D641" t="s">
        <v>1203</v>
      </c>
      <c r="E641" t="s">
        <v>1204</v>
      </c>
      <c r="F641" t="s">
        <v>2665</v>
      </c>
      <c r="G641">
        <v>2407</v>
      </c>
      <c r="H641">
        <v>2460</v>
      </c>
      <c r="I641">
        <v>2774</v>
      </c>
      <c r="J641">
        <v>3083</v>
      </c>
      <c r="K641">
        <v>3703</v>
      </c>
      <c r="L641" t="s">
        <v>988</v>
      </c>
    </row>
    <row r="642" spans="1:12" x14ac:dyDescent="0.3">
      <c r="A642">
        <v>2326</v>
      </c>
      <c r="B642" t="s">
        <v>1985</v>
      </c>
      <c r="C642" t="s">
        <v>2663</v>
      </c>
      <c r="D642" t="s">
        <v>1203</v>
      </c>
      <c r="E642" t="s">
        <v>1204</v>
      </c>
      <c r="F642" t="s">
        <v>2664</v>
      </c>
      <c r="G642">
        <v>3293</v>
      </c>
      <c r="H642">
        <v>3293</v>
      </c>
      <c r="I642">
        <v>3293</v>
      </c>
      <c r="J642">
        <v>3293</v>
      </c>
      <c r="K642">
        <v>3293</v>
      </c>
      <c r="L642" t="s">
        <v>988</v>
      </c>
    </row>
    <row r="643" spans="1:12" x14ac:dyDescent="0.3">
      <c r="A643">
        <v>2326</v>
      </c>
      <c r="B643" t="s">
        <v>1985</v>
      </c>
      <c r="C643" t="s">
        <v>2663</v>
      </c>
      <c r="D643" t="s">
        <v>1203</v>
      </c>
      <c r="E643" t="s">
        <v>1204</v>
      </c>
      <c r="F643" t="s">
        <v>2665</v>
      </c>
      <c r="G643">
        <v>2272.61</v>
      </c>
      <c r="H643">
        <v>2299.37</v>
      </c>
      <c r="I643">
        <v>2302.4899999999998</v>
      </c>
      <c r="J643">
        <v>2317.8200000000002</v>
      </c>
      <c r="K643">
        <v>2337.52</v>
      </c>
      <c r="L643" t="s">
        <v>988</v>
      </c>
    </row>
    <row r="644" spans="1:12" x14ac:dyDescent="0.3">
      <c r="A644">
        <v>2330</v>
      </c>
      <c r="B644" t="s">
        <v>1987</v>
      </c>
      <c r="C644" t="s">
        <v>2663</v>
      </c>
      <c r="D644" t="s">
        <v>159</v>
      </c>
      <c r="E644" t="s">
        <v>159</v>
      </c>
      <c r="F644" t="s">
        <v>2665</v>
      </c>
      <c r="G644">
        <v>5366</v>
      </c>
      <c r="H644">
        <v>5322</v>
      </c>
      <c r="I644">
        <v>5241</v>
      </c>
      <c r="J644">
        <v>5155</v>
      </c>
      <c r="K644">
        <v>0</v>
      </c>
      <c r="L644" t="s">
        <v>988</v>
      </c>
    </row>
    <row r="645" spans="1:12" x14ac:dyDescent="0.3">
      <c r="A645">
        <v>2330</v>
      </c>
      <c r="B645" t="s">
        <v>1987</v>
      </c>
      <c r="C645" t="s">
        <v>2663</v>
      </c>
      <c r="D645" t="s">
        <v>159</v>
      </c>
      <c r="E645" t="s">
        <v>159</v>
      </c>
      <c r="F645" t="s">
        <v>2664</v>
      </c>
      <c r="G645">
        <v>3866</v>
      </c>
      <c r="H645">
        <v>3822</v>
      </c>
      <c r="I645">
        <v>3741</v>
      </c>
      <c r="J645">
        <v>3655</v>
      </c>
      <c r="K645">
        <v>0</v>
      </c>
      <c r="L645" t="s">
        <v>988</v>
      </c>
    </row>
    <row r="646" spans="1:12" x14ac:dyDescent="0.3">
      <c r="A646">
        <v>2334</v>
      </c>
      <c r="B646" t="s">
        <v>1990</v>
      </c>
      <c r="C646" t="s">
        <v>2663</v>
      </c>
      <c r="D646" t="s">
        <v>159</v>
      </c>
      <c r="E646" t="s">
        <v>159</v>
      </c>
      <c r="F646" t="s">
        <v>2664</v>
      </c>
      <c r="G646">
        <v>6580</v>
      </c>
      <c r="H646">
        <v>6892</v>
      </c>
      <c r="I646">
        <v>7033</v>
      </c>
      <c r="J646">
        <v>7066</v>
      </c>
      <c r="K646">
        <v>7070</v>
      </c>
      <c r="L646" t="s">
        <v>988</v>
      </c>
    </row>
    <row r="647" spans="1:12" x14ac:dyDescent="0.3">
      <c r="A647">
        <v>2334</v>
      </c>
      <c r="B647" t="s">
        <v>1990</v>
      </c>
      <c r="C647" t="s">
        <v>2663</v>
      </c>
      <c r="D647" t="s">
        <v>159</v>
      </c>
      <c r="E647" t="s">
        <v>159</v>
      </c>
      <c r="F647" t="s">
        <v>2665</v>
      </c>
      <c r="G647">
        <v>6580</v>
      </c>
      <c r="H647">
        <v>6892</v>
      </c>
      <c r="I647">
        <v>7033</v>
      </c>
      <c r="J647">
        <v>7066</v>
      </c>
      <c r="K647">
        <v>7070</v>
      </c>
      <c r="L647" t="s">
        <v>988</v>
      </c>
    </row>
    <row r="648" spans="1:12" x14ac:dyDescent="0.3">
      <c r="A648">
        <v>2337</v>
      </c>
      <c r="B648" t="s">
        <v>1993</v>
      </c>
      <c r="C648" t="s">
        <v>2663</v>
      </c>
      <c r="D648" t="s">
        <v>1203</v>
      </c>
      <c r="E648" t="s">
        <v>1204</v>
      </c>
      <c r="F648" t="s">
        <v>2665</v>
      </c>
      <c r="G648">
        <v>6367.9422887500004</v>
      </c>
      <c r="H648">
        <v>6656.4177466499996</v>
      </c>
      <c r="I648">
        <v>6947.9620924000001</v>
      </c>
      <c r="J648">
        <v>7260.9886531000002</v>
      </c>
      <c r="K648">
        <v>7583.2218773499999</v>
      </c>
      <c r="L648" t="s">
        <v>988</v>
      </c>
    </row>
    <row r="649" spans="1:12" x14ac:dyDescent="0.3">
      <c r="A649">
        <v>2337</v>
      </c>
      <c r="B649" t="s">
        <v>1993</v>
      </c>
      <c r="C649" t="s">
        <v>2663</v>
      </c>
      <c r="D649" t="s">
        <v>1203</v>
      </c>
      <c r="E649" t="s">
        <v>1204</v>
      </c>
      <c r="F649" t="s">
        <v>2664</v>
      </c>
      <c r="G649">
        <v>254051.74288655</v>
      </c>
      <c r="H649">
        <v>254051.74288655</v>
      </c>
      <c r="I649">
        <v>254051.74288655</v>
      </c>
      <c r="J649">
        <v>254051.74288655</v>
      </c>
      <c r="K649">
        <v>254051.74288655</v>
      </c>
      <c r="L649" t="s">
        <v>988</v>
      </c>
    </row>
    <row r="650" spans="1:12" x14ac:dyDescent="0.3">
      <c r="A650">
        <v>2341</v>
      </c>
      <c r="B650" t="s">
        <v>1994</v>
      </c>
      <c r="C650" t="s">
        <v>2663</v>
      </c>
      <c r="D650" t="s">
        <v>159</v>
      </c>
      <c r="E650" t="s">
        <v>159</v>
      </c>
      <c r="F650" t="s">
        <v>2665</v>
      </c>
      <c r="G650">
        <v>7855.4</v>
      </c>
      <c r="H650">
        <v>7871.62</v>
      </c>
      <c r="I650">
        <v>7887.86</v>
      </c>
      <c r="J650">
        <v>7904.11</v>
      </c>
      <c r="K650">
        <v>7920.42</v>
      </c>
      <c r="L650" t="s">
        <v>988</v>
      </c>
    </row>
    <row r="651" spans="1:12" x14ac:dyDescent="0.3">
      <c r="A651">
        <v>2341</v>
      </c>
      <c r="B651" t="s">
        <v>1994</v>
      </c>
      <c r="C651" t="s">
        <v>2663</v>
      </c>
      <c r="D651" t="s">
        <v>159</v>
      </c>
      <c r="E651" t="s">
        <v>159</v>
      </c>
      <c r="F651" t="s">
        <v>2664</v>
      </c>
      <c r="G651">
        <v>11883</v>
      </c>
      <c r="H651">
        <v>11883</v>
      </c>
      <c r="I651">
        <v>11883</v>
      </c>
      <c r="J651">
        <v>11883</v>
      </c>
      <c r="K651">
        <v>11883</v>
      </c>
      <c r="L651" t="s">
        <v>988</v>
      </c>
    </row>
    <row r="652" spans="1:12" x14ac:dyDescent="0.3">
      <c r="A652">
        <v>2343</v>
      </c>
      <c r="B652" t="s">
        <v>1995</v>
      </c>
      <c r="C652" t="s">
        <v>2663</v>
      </c>
      <c r="D652" t="s">
        <v>1203</v>
      </c>
      <c r="E652" t="s">
        <v>1204</v>
      </c>
      <c r="F652" t="s">
        <v>2665</v>
      </c>
      <c r="G652">
        <v>2379.84</v>
      </c>
      <c r="H652">
        <v>2498.8319999999999</v>
      </c>
      <c r="I652">
        <v>2623.7736</v>
      </c>
      <c r="J652">
        <v>2754.9622803500001</v>
      </c>
      <c r="K652">
        <v>2892.7103938629998</v>
      </c>
      <c r="L652" t="s">
        <v>988</v>
      </c>
    </row>
    <row r="653" spans="1:12" x14ac:dyDescent="0.3">
      <c r="A653">
        <v>2343</v>
      </c>
      <c r="B653" t="s">
        <v>1995</v>
      </c>
      <c r="C653" t="s">
        <v>2663</v>
      </c>
      <c r="D653" t="s">
        <v>1203</v>
      </c>
      <c r="E653" t="s">
        <v>1204</v>
      </c>
      <c r="F653" t="s">
        <v>2664</v>
      </c>
      <c r="G653">
        <v>2737</v>
      </c>
      <c r="H653">
        <v>2873</v>
      </c>
      <c r="I653">
        <v>3018</v>
      </c>
      <c r="J653">
        <v>3168</v>
      </c>
      <c r="K653">
        <v>3327</v>
      </c>
      <c r="L653" t="s">
        <v>988</v>
      </c>
    </row>
    <row r="654" spans="1:12" x14ac:dyDescent="0.3">
      <c r="A654">
        <v>2345</v>
      </c>
      <c r="B654" t="s">
        <v>1997</v>
      </c>
      <c r="C654" t="s">
        <v>2663</v>
      </c>
      <c r="D654" t="s">
        <v>1203</v>
      </c>
      <c r="E654" t="s">
        <v>1204</v>
      </c>
      <c r="F654" t="s">
        <v>2665</v>
      </c>
      <c r="G654">
        <v>4167</v>
      </c>
      <c r="H654">
        <v>4200</v>
      </c>
      <c r="I654">
        <v>4233</v>
      </c>
      <c r="J654">
        <v>4266</v>
      </c>
      <c r="K654">
        <v>4299</v>
      </c>
      <c r="L654" t="s">
        <v>988</v>
      </c>
    </row>
    <row r="655" spans="1:12" x14ac:dyDescent="0.3">
      <c r="A655">
        <v>2345</v>
      </c>
      <c r="B655" t="s">
        <v>1997</v>
      </c>
      <c r="C655" t="s">
        <v>2663</v>
      </c>
      <c r="D655" t="s">
        <v>1203</v>
      </c>
      <c r="E655" t="s">
        <v>1204</v>
      </c>
      <c r="F655" t="s">
        <v>2664</v>
      </c>
      <c r="G655">
        <v>4167</v>
      </c>
      <c r="H655">
        <v>4200</v>
      </c>
      <c r="I655">
        <v>4233</v>
      </c>
      <c r="J655">
        <v>4266</v>
      </c>
      <c r="K655">
        <v>4299</v>
      </c>
      <c r="L655" t="s">
        <v>988</v>
      </c>
    </row>
    <row r="656" spans="1:12" x14ac:dyDescent="0.3">
      <c r="A656">
        <v>2348</v>
      </c>
      <c r="B656" t="s">
        <v>1998</v>
      </c>
      <c r="C656" t="s">
        <v>2663</v>
      </c>
      <c r="D656" t="s">
        <v>159</v>
      </c>
      <c r="E656" t="s">
        <v>159</v>
      </c>
      <c r="F656" t="s">
        <v>2664</v>
      </c>
      <c r="G656">
        <v>5886</v>
      </c>
      <c r="H656">
        <v>5996</v>
      </c>
      <c r="I656">
        <v>6108</v>
      </c>
      <c r="J656">
        <v>6222</v>
      </c>
      <c r="K656">
        <v>6338</v>
      </c>
      <c r="L656" t="s">
        <v>988</v>
      </c>
    </row>
    <row r="657" spans="1:12" x14ac:dyDescent="0.3">
      <c r="A657">
        <v>2348</v>
      </c>
      <c r="B657" t="s">
        <v>1998</v>
      </c>
      <c r="C657" t="s">
        <v>2663</v>
      </c>
      <c r="D657" t="s">
        <v>159</v>
      </c>
      <c r="E657" t="s">
        <v>159</v>
      </c>
      <c r="F657" t="s">
        <v>2665</v>
      </c>
      <c r="G657">
        <v>5886</v>
      </c>
      <c r="H657">
        <v>5996</v>
      </c>
      <c r="I657">
        <v>6108</v>
      </c>
      <c r="J657">
        <v>6222</v>
      </c>
      <c r="K657">
        <v>6338</v>
      </c>
      <c r="L657" t="s">
        <v>988</v>
      </c>
    </row>
    <row r="658" spans="1:12" x14ac:dyDescent="0.3">
      <c r="A658">
        <v>2381</v>
      </c>
      <c r="B658" t="s">
        <v>2000</v>
      </c>
      <c r="C658" t="s">
        <v>2663</v>
      </c>
      <c r="D658" t="s">
        <v>159</v>
      </c>
      <c r="E658" t="s">
        <v>159</v>
      </c>
      <c r="F658" t="s">
        <v>2665</v>
      </c>
      <c r="G658">
        <v>34789</v>
      </c>
      <c r="H658">
        <v>37878</v>
      </c>
      <c r="I658">
        <v>43162</v>
      </c>
      <c r="J658">
        <v>48444</v>
      </c>
      <c r="K658">
        <v>48444</v>
      </c>
      <c r="L658" t="s">
        <v>988</v>
      </c>
    </row>
    <row r="659" spans="1:12" x14ac:dyDescent="0.3">
      <c r="A659">
        <v>2381</v>
      </c>
      <c r="B659" t="s">
        <v>2000</v>
      </c>
      <c r="C659" t="s">
        <v>2663</v>
      </c>
      <c r="D659" t="s">
        <v>159</v>
      </c>
      <c r="E659" t="s">
        <v>159</v>
      </c>
      <c r="F659" t="s">
        <v>2664</v>
      </c>
      <c r="G659">
        <v>77300</v>
      </c>
      <c r="H659">
        <v>85200</v>
      </c>
      <c r="I659">
        <v>85400</v>
      </c>
      <c r="J659">
        <v>85400</v>
      </c>
      <c r="K659">
        <v>85400</v>
      </c>
      <c r="L659" t="s">
        <v>988</v>
      </c>
    </row>
    <row r="660" spans="1:12" x14ac:dyDescent="0.3">
      <c r="A660">
        <v>2401</v>
      </c>
      <c r="B660" t="s">
        <v>2006</v>
      </c>
      <c r="C660" t="s">
        <v>2663</v>
      </c>
      <c r="D660" t="s">
        <v>1203</v>
      </c>
      <c r="E660" t="s">
        <v>1204</v>
      </c>
      <c r="F660" t="s">
        <v>2665</v>
      </c>
      <c r="G660">
        <v>24788.7</v>
      </c>
      <c r="H660">
        <v>25028.5</v>
      </c>
      <c r="I660">
        <v>25270.3</v>
      </c>
      <c r="J660">
        <v>25515</v>
      </c>
      <c r="K660">
        <v>25762.1</v>
      </c>
      <c r="L660" t="s">
        <v>988</v>
      </c>
    </row>
    <row r="661" spans="1:12" x14ac:dyDescent="0.3">
      <c r="A661">
        <v>2401</v>
      </c>
      <c r="B661" t="s">
        <v>2006</v>
      </c>
      <c r="C661" t="s">
        <v>2663</v>
      </c>
      <c r="D661" t="s">
        <v>1203</v>
      </c>
      <c r="E661" t="s">
        <v>1204</v>
      </c>
      <c r="F661" t="s">
        <v>2664</v>
      </c>
      <c r="G661">
        <v>35615</v>
      </c>
      <c r="H661">
        <v>35615</v>
      </c>
      <c r="I661">
        <v>35615</v>
      </c>
      <c r="J661">
        <v>35615</v>
      </c>
      <c r="K661">
        <v>35615</v>
      </c>
      <c r="L661" t="s">
        <v>988</v>
      </c>
    </row>
    <row r="662" spans="1:12" x14ac:dyDescent="0.3">
      <c r="A662">
        <v>2402</v>
      </c>
      <c r="B662" t="s">
        <v>2008</v>
      </c>
      <c r="C662" t="s">
        <v>2663</v>
      </c>
      <c r="D662" t="s">
        <v>1203</v>
      </c>
      <c r="E662" t="s">
        <v>1204</v>
      </c>
      <c r="F662" t="s">
        <v>2664</v>
      </c>
      <c r="G662">
        <v>25136</v>
      </c>
      <c r="H662">
        <v>25136</v>
      </c>
      <c r="I662">
        <v>25136</v>
      </c>
      <c r="J662">
        <v>25136</v>
      </c>
      <c r="K662">
        <v>25136</v>
      </c>
      <c r="L662" t="s">
        <v>988</v>
      </c>
    </row>
    <row r="663" spans="1:12" x14ac:dyDescent="0.3">
      <c r="A663">
        <v>2402</v>
      </c>
      <c r="B663" t="s">
        <v>2008</v>
      </c>
      <c r="C663" t="s">
        <v>2663</v>
      </c>
      <c r="D663" t="s">
        <v>1203</v>
      </c>
      <c r="E663" t="s">
        <v>1204</v>
      </c>
      <c r="F663" t="s">
        <v>2665</v>
      </c>
      <c r="G663">
        <v>20461.009999999998</v>
      </c>
      <c r="H663">
        <v>20614.810000000001</v>
      </c>
      <c r="I663">
        <v>20769.8</v>
      </c>
      <c r="J663">
        <v>20926.02</v>
      </c>
      <c r="K663">
        <v>21083.48</v>
      </c>
      <c r="L663" t="s">
        <v>988</v>
      </c>
    </row>
    <row r="664" spans="1:12" x14ac:dyDescent="0.3">
      <c r="A664">
        <v>2419</v>
      </c>
      <c r="B664" t="s">
        <v>2009</v>
      </c>
      <c r="C664" t="s">
        <v>2663</v>
      </c>
      <c r="D664" t="s">
        <v>1203</v>
      </c>
      <c r="E664" t="s">
        <v>1204</v>
      </c>
      <c r="F664" t="s">
        <v>2664</v>
      </c>
      <c r="G664">
        <v>3788</v>
      </c>
      <c r="H664">
        <v>3903</v>
      </c>
      <c r="I664">
        <v>4021</v>
      </c>
      <c r="J664">
        <v>4142</v>
      </c>
      <c r="K664">
        <v>4266</v>
      </c>
      <c r="L664" t="s">
        <v>988</v>
      </c>
    </row>
    <row r="665" spans="1:12" x14ac:dyDescent="0.3">
      <c r="A665">
        <v>2419</v>
      </c>
      <c r="B665" t="s">
        <v>2009</v>
      </c>
      <c r="C665" t="s">
        <v>2663</v>
      </c>
      <c r="D665" t="s">
        <v>1203</v>
      </c>
      <c r="E665" t="s">
        <v>1204</v>
      </c>
      <c r="F665" t="s">
        <v>2665</v>
      </c>
      <c r="G665">
        <v>3788</v>
      </c>
      <c r="H665">
        <v>3903</v>
      </c>
      <c r="I665">
        <v>4021</v>
      </c>
      <c r="J665">
        <v>4142</v>
      </c>
      <c r="K665">
        <v>4266</v>
      </c>
      <c r="L665" t="s">
        <v>988</v>
      </c>
    </row>
    <row r="666" spans="1:12" x14ac:dyDescent="0.3">
      <c r="A666">
        <v>2424</v>
      </c>
      <c r="B666" t="s">
        <v>2010</v>
      </c>
      <c r="C666" t="s">
        <v>2663</v>
      </c>
      <c r="D666" t="s">
        <v>1203</v>
      </c>
      <c r="E666" t="s">
        <v>1204</v>
      </c>
      <c r="F666" t="s">
        <v>2665</v>
      </c>
      <c r="G666">
        <v>3182</v>
      </c>
      <c r="H666">
        <v>3926</v>
      </c>
      <c r="I666">
        <v>4522</v>
      </c>
      <c r="J666">
        <v>5231</v>
      </c>
      <c r="K666">
        <v>0</v>
      </c>
      <c r="L666" t="s">
        <v>988</v>
      </c>
    </row>
    <row r="667" spans="1:12" x14ac:dyDescent="0.3">
      <c r="A667">
        <v>2424</v>
      </c>
      <c r="B667" t="s">
        <v>2010</v>
      </c>
      <c r="C667" t="s">
        <v>2663</v>
      </c>
      <c r="D667" t="s">
        <v>1203</v>
      </c>
      <c r="E667" t="s">
        <v>1204</v>
      </c>
      <c r="F667" t="s">
        <v>2664</v>
      </c>
      <c r="G667">
        <v>3182</v>
      </c>
      <c r="H667">
        <v>3926</v>
      </c>
      <c r="I667">
        <v>4522</v>
      </c>
      <c r="J667">
        <v>5231</v>
      </c>
      <c r="K667">
        <v>0</v>
      </c>
      <c r="L667" t="s">
        <v>988</v>
      </c>
    </row>
    <row r="668" spans="1:12" x14ac:dyDescent="0.3">
      <c r="A668">
        <v>2425</v>
      </c>
      <c r="B668" t="s">
        <v>2012</v>
      </c>
      <c r="C668" t="s">
        <v>2663</v>
      </c>
      <c r="D668" t="s">
        <v>159</v>
      </c>
      <c r="E668" t="s">
        <v>159</v>
      </c>
      <c r="F668" t="s">
        <v>2664</v>
      </c>
      <c r="G668">
        <v>32211</v>
      </c>
      <c r="H668">
        <v>32448</v>
      </c>
      <c r="I668">
        <v>34446</v>
      </c>
      <c r="J668">
        <v>35255</v>
      </c>
      <c r="K668">
        <v>0</v>
      </c>
      <c r="L668" t="s">
        <v>988</v>
      </c>
    </row>
    <row r="669" spans="1:12" x14ac:dyDescent="0.3">
      <c r="A669">
        <v>2425</v>
      </c>
      <c r="B669" t="s">
        <v>2012</v>
      </c>
      <c r="C669" t="s">
        <v>2663</v>
      </c>
      <c r="D669" t="s">
        <v>159</v>
      </c>
      <c r="E669" t="s">
        <v>159</v>
      </c>
      <c r="F669" t="s">
        <v>2665</v>
      </c>
      <c r="G669">
        <v>20183</v>
      </c>
      <c r="H669">
        <v>20649</v>
      </c>
      <c r="I669">
        <v>24021</v>
      </c>
      <c r="J669">
        <v>25618</v>
      </c>
      <c r="K669">
        <v>0</v>
      </c>
      <c r="L669" t="s">
        <v>988</v>
      </c>
    </row>
    <row r="670" spans="1:12" x14ac:dyDescent="0.3">
      <c r="A670">
        <v>2437</v>
      </c>
      <c r="B670" t="s">
        <v>2015</v>
      </c>
      <c r="C670" t="s">
        <v>2663</v>
      </c>
      <c r="D670" t="s">
        <v>1203</v>
      </c>
      <c r="E670" t="s">
        <v>1204</v>
      </c>
      <c r="F670" t="s">
        <v>2664</v>
      </c>
      <c r="G670">
        <v>21104</v>
      </c>
      <c r="H670">
        <v>21581</v>
      </c>
      <c r="I670">
        <v>22057</v>
      </c>
      <c r="J670">
        <v>23031</v>
      </c>
      <c r="K670">
        <v>23659</v>
      </c>
      <c r="L670" t="s">
        <v>988</v>
      </c>
    </row>
    <row r="671" spans="1:12" x14ac:dyDescent="0.3">
      <c r="A671">
        <v>2437</v>
      </c>
      <c r="B671" t="s">
        <v>2015</v>
      </c>
      <c r="C671" t="s">
        <v>2663</v>
      </c>
      <c r="D671" t="s">
        <v>1203</v>
      </c>
      <c r="E671" t="s">
        <v>1204</v>
      </c>
      <c r="F671" t="s">
        <v>2665</v>
      </c>
      <c r="G671">
        <v>21104</v>
      </c>
      <c r="H671">
        <v>21581</v>
      </c>
      <c r="I671">
        <v>22057</v>
      </c>
      <c r="J671">
        <v>23031</v>
      </c>
      <c r="K671">
        <v>23659</v>
      </c>
      <c r="L671" t="s">
        <v>988</v>
      </c>
    </row>
    <row r="672" spans="1:12" x14ac:dyDescent="0.3">
      <c r="A672">
        <v>2438</v>
      </c>
      <c r="B672" t="s">
        <v>2016</v>
      </c>
      <c r="C672" t="s">
        <v>2663</v>
      </c>
      <c r="D672" t="s">
        <v>1203</v>
      </c>
      <c r="E672" t="s">
        <v>1204</v>
      </c>
      <c r="F672" t="s">
        <v>2664</v>
      </c>
      <c r="G672">
        <v>1137</v>
      </c>
      <c r="H672">
        <v>1137</v>
      </c>
      <c r="I672">
        <v>1137</v>
      </c>
      <c r="J672">
        <v>1137</v>
      </c>
      <c r="K672">
        <v>0</v>
      </c>
      <c r="L672" t="s">
        <v>988</v>
      </c>
    </row>
    <row r="673" spans="1:12" x14ac:dyDescent="0.3">
      <c r="A673">
        <v>2438</v>
      </c>
      <c r="B673" t="s">
        <v>2016</v>
      </c>
      <c r="C673" t="s">
        <v>2663</v>
      </c>
      <c r="D673" t="s">
        <v>1203</v>
      </c>
      <c r="E673" t="s">
        <v>1204</v>
      </c>
      <c r="F673" t="s">
        <v>2665</v>
      </c>
      <c r="G673">
        <v>851</v>
      </c>
      <c r="H673">
        <v>857</v>
      </c>
      <c r="I673">
        <v>863</v>
      </c>
      <c r="J673">
        <v>857</v>
      </c>
      <c r="K673">
        <v>0</v>
      </c>
      <c r="L673" t="s">
        <v>988</v>
      </c>
    </row>
    <row r="674" spans="1:12" x14ac:dyDescent="0.3">
      <c r="A674">
        <v>2444</v>
      </c>
      <c r="B674" t="s">
        <v>2018</v>
      </c>
      <c r="C674" t="s">
        <v>2663</v>
      </c>
      <c r="D674" t="s">
        <v>1203</v>
      </c>
      <c r="E674" t="s">
        <v>1204</v>
      </c>
      <c r="F674" t="s">
        <v>2664</v>
      </c>
      <c r="G674">
        <v>3624.3565508500001</v>
      </c>
      <c r="H674">
        <v>3624.3565508500001</v>
      </c>
      <c r="I674">
        <v>3624.3565508500001</v>
      </c>
      <c r="J674">
        <v>3624.3565508500001</v>
      </c>
      <c r="K674">
        <v>0</v>
      </c>
      <c r="L674" t="s">
        <v>988</v>
      </c>
    </row>
    <row r="675" spans="1:12" x14ac:dyDescent="0.3">
      <c r="A675">
        <v>2444</v>
      </c>
      <c r="B675" t="s">
        <v>2018</v>
      </c>
      <c r="C675" t="s">
        <v>2663</v>
      </c>
      <c r="D675" t="s">
        <v>1203</v>
      </c>
      <c r="E675" t="s">
        <v>1204</v>
      </c>
      <c r="F675" t="s">
        <v>2665</v>
      </c>
      <c r="G675">
        <v>1730.5486206140599</v>
      </c>
      <c r="H675">
        <v>1692.83076138243</v>
      </c>
      <c r="I675">
        <v>1715.5083081499999</v>
      </c>
      <c r="J675">
        <v>1739.0946689208099</v>
      </c>
      <c r="K675">
        <v>0</v>
      </c>
      <c r="L675" t="s">
        <v>988</v>
      </c>
    </row>
    <row r="676" spans="1:12" x14ac:dyDescent="0.3">
      <c r="A676">
        <v>1408</v>
      </c>
      <c r="B676" t="s">
        <v>2021</v>
      </c>
      <c r="C676" t="s">
        <v>2663</v>
      </c>
      <c r="D676" t="s">
        <v>1203</v>
      </c>
      <c r="E676" t="s">
        <v>1204</v>
      </c>
      <c r="F676" t="s">
        <v>2665</v>
      </c>
      <c r="G676">
        <v>7898</v>
      </c>
      <c r="H676">
        <v>9441</v>
      </c>
      <c r="I676">
        <v>9441</v>
      </c>
      <c r="J676">
        <v>9441</v>
      </c>
      <c r="K676">
        <v>9441</v>
      </c>
      <c r="L676" t="s">
        <v>988</v>
      </c>
    </row>
    <row r="677" spans="1:12" x14ac:dyDescent="0.3">
      <c r="A677">
        <v>1408</v>
      </c>
      <c r="B677" t="s">
        <v>2021</v>
      </c>
      <c r="C677" t="s">
        <v>2663</v>
      </c>
      <c r="D677" t="s">
        <v>1203</v>
      </c>
      <c r="E677" t="s">
        <v>1204</v>
      </c>
      <c r="F677" t="s">
        <v>2664</v>
      </c>
      <c r="G677">
        <v>9026</v>
      </c>
      <c r="H677">
        <v>10289</v>
      </c>
      <c r="I677">
        <v>10289</v>
      </c>
      <c r="J677">
        <v>10289</v>
      </c>
      <c r="K677">
        <v>10289</v>
      </c>
      <c r="L677" t="s">
        <v>988</v>
      </c>
    </row>
    <row r="678" spans="1:12" x14ac:dyDescent="0.3">
      <c r="B678" t="s">
        <v>2023</v>
      </c>
      <c r="C678" t="s">
        <v>2663</v>
      </c>
      <c r="D678" t="s">
        <v>159</v>
      </c>
      <c r="E678" t="s">
        <v>159</v>
      </c>
      <c r="F678" t="s">
        <v>2664</v>
      </c>
      <c r="G678">
        <v>62050</v>
      </c>
      <c r="H678">
        <v>66608</v>
      </c>
      <c r="I678">
        <v>67065</v>
      </c>
      <c r="J678">
        <v>67047</v>
      </c>
      <c r="K678">
        <v>67143</v>
      </c>
      <c r="L678" t="s">
        <v>988</v>
      </c>
    </row>
    <row r="679" spans="1:12" x14ac:dyDescent="0.3">
      <c r="B679" t="s">
        <v>2023</v>
      </c>
      <c r="C679" t="s">
        <v>2663</v>
      </c>
      <c r="D679" t="s">
        <v>159</v>
      </c>
      <c r="E679" t="s">
        <v>159</v>
      </c>
      <c r="F679" t="s">
        <v>2665</v>
      </c>
      <c r="G679">
        <v>62050</v>
      </c>
      <c r="H679">
        <v>66608</v>
      </c>
      <c r="I679">
        <v>67065</v>
      </c>
      <c r="J679">
        <v>66924</v>
      </c>
      <c r="K679">
        <v>67023</v>
      </c>
      <c r="L679" t="s">
        <v>988</v>
      </c>
    </row>
    <row r="680" spans="1:12" x14ac:dyDescent="0.3">
      <c r="B680" t="s">
        <v>2025</v>
      </c>
      <c r="C680" t="s">
        <v>2663</v>
      </c>
      <c r="D680" t="s">
        <v>1203</v>
      </c>
      <c r="E680" t="s">
        <v>1204</v>
      </c>
      <c r="F680" t="s">
        <v>2665</v>
      </c>
      <c r="G680">
        <v>351100</v>
      </c>
      <c r="H680">
        <v>353100</v>
      </c>
      <c r="I680">
        <v>353100</v>
      </c>
      <c r="J680">
        <v>353100</v>
      </c>
      <c r="K680">
        <v>354100</v>
      </c>
      <c r="L680" t="s">
        <v>988</v>
      </c>
    </row>
    <row r="681" spans="1:12" x14ac:dyDescent="0.3">
      <c r="B681" t="s">
        <v>2025</v>
      </c>
      <c r="C681" t="s">
        <v>2663</v>
      </c>
      <c r="D681" t="s">
        <v>1203</v>
      </c>
      <c r="E681" t="s">
        <v>1204</v>
      </c>
      <c r="F681" t="s">
        <v>2664</v>
      </c>
      <c r="G681">
        <v>351100</v>
      </c>
      <c r="H681">
        <v>353100</v>
      </c>
      <c r="I681">
        <v>353100</v>
      </c>
      <c r="J681">
        <v>353100</v>
      </c>
      <c r="K681">
        <v>354100</v>
      </c>
      <c r="L681" t="s">
        <v>988</v>
      </c>
    </row>
    <row r="682" spans="1:12" x14ac:dyDescent="0.3">
      <c r="A682">
        <v>440</v>
      </c>
      <c r="B682" t="s">
        <v>2026</v>
      </c>
      <c r="C682" t="s">
        <v>2663</v>
      </c>
      <c r="D682" t="s">
        <v>159</v>
      </c>
      <c r="E682" t="s">
        <v>159</v>
      </c>
      <c r="F682" t="s">
        <v>2664</v>
      </c>
      <c r="G682">
        <v>0.1147842045245</v>
      </c>
      <c r="H682">
        <v>0.229568409049</v>
      </c>
      <c r="I682">
        <v>0.229568409049</v>
      </c>
      <c r="J682">
        <v>0.229568409049</v>
      </c>
      <c r="K682">
        <v>0.459136818098</v>
      </c>
      <c r="L682" t="s">
        <v>988</v>
      </c>
    </row>
    <row r="683" spans="1:12" x14ac:dyDescent="0.3">
      <c r="A683">
        <v>440</v>
      </c>
      <c r="B683" t="s">
        <v>2026</v>
      </c>
      <c r="C683" t="s">
        <v>2663</v>
      </c>
      <c r="D683" t="s">
        <v>159</v>
      </c>
      <c r="E683" t="s">
        <v>159</v>
      </c>
      <c r="F683" t="s">
        <v>2665</v>
      </c>
      <c r="G683">
        <v>0.24334251359194001</v>
      </c>
      <c r="H683">
        <v>8.4940311348130002E-2</v>
      </c>
      <c r="I683">
        <v>0.13314967724842</v>
      </c>
      <c r="J683">
        <v>0.18135904314870999</v>
      </c>
      <c r="K683">
        <v>0.459136818098</v>
      </c>
      <c r="L683" t="s">
        <v>988</v>
      </c>
    </row>
    <row r="684" spans="1:12" x14ac:dyDescent="0.3">
      <c r="A684">
        <v>2469</v>
      </c>
      <c r="B684" t="s">
        <v>2028</v>
      </c>
      <c r="C684" t="s">
        <v>2663</v>
      </c>
      <c r="D684" t="s">
        <v>1203</v>
      </c>
      <c r="E684" t="s">
        <v>1204</v>
      </c>
      <c r="F684" t="s">
        <v>2664</v>
      </c>
      <c r="G684">
        <v>10691</v>
      </c>
      <c r="H684">
        <v>10962</v>
      </c>
      <c r="I684">
        <v>11233</v>
      </c>
      <c r="J684">
        <v>11504</v>
      </c>
      <c r="K684">
        <v>11775</v>
      </c>
      <c r="L684" t="s">
        <v>988</v>
      </c>
    </row>
    <row r="685" spans="1:12" x14ac:dyDescent="0.3">
      <c r="A685">
        <v>2469</v>
      </c>
      <c r="B685" t="s">
        <v>2028</v>
      </c>
      <c r="C685" t="s">
        <v>2663</v>
      </c>
      <c r="D685" t="s">
        <v>1203</v>
      </c>
      <c r="E685" t="s">
        <v>1204</v>
      </c>
      <c r="F685" t="s">
        <v>2665</v>
      </c>
      <c r="G685">
        <v>10691</v>
      </c>
      <c r="H685">
        <v>10962</v>
      </c>
      <c r="I685">
        <v>11232</v>
      </c>
      <c r="J685">
        <v>11504</v>
      </c>
      <c r="K685">
        <v>11774</v>
      </c>
      <c r="L685" t="s">
        <v>988</v>
      </c>
    </row>
    <row r="686" spans="1:12" x14ac:dyDescent="0.3">
      <c r="A686">
        <v>2487</v>
      </c>
      <c r="B686" t="s">
        <v>2029</v>
      </c>
      <c r="C686" t="s">
        <v>2663</v>
      </c>
      <c r="D686" t="s">
        <v>1203</v>
      </c>
      <c r="E686" t="s">
        <v>1204</v>
      </c>
      <c r="F686" t="s">
        <v>2665</v>
      </c>
      <c r="G686">
        <v>25383</v>
      </c>
      <c r="H686">
        <v>25788</v>
      </c>
      <c r="I686">
        <v>26075</v>
      </c>
      <c r="J686">
        <v>26366</v>
      </c>
      <c r="K686">
        <v>27230</v>
      </c>
      <c r="L686" t="s">
        <v>988</v>
      </c>
    </row>
    <row r="687" spans="1:12" x14ac:dyDescent="0.3">
      <c r="A687">
        <v>2487</v>
      </c>
      <c r="B687" t="s">
        <v>2029</v>
      </c>
      <c r="C687" t="s">
        <v>2663</v>
      </c>
      <c r="D687" t="s">
        <v>1203</v>
      </c>
      <c r="E687" t="s">
        <v>1204</v>
      </c>
      <c r="F687" t="s">
        <v>2664</v>
      </c>
      <c r="G687">
        <v>36793</v>
      </c>
      <c r="H687">
        <v>36793</v>
      </c>
      <c r="I687">
        <v>36793</v>
      </c>
      <c r="J687">
        <v>36793</v>
      </c>
      <c r="K687">
        <v>36793</v>
      </c>
      <c r="L687" t="s">
        <v>988</v>
      </c>
    </row>
    <row r="688" spans="1:12" x14ac:dyDescent="0.3">
      <c r="A688">
        <v>2490</v>
      </c>
      <c r="B688" t="s">
        <v>2030</v>
      </c>
      <c r="C688" t="s">
        <v>2663</v>
      </c>
      <c r="D688" t="s">
        <v>1203</v>
      </c>
      <c r="E688" t="s">
        <v>1204</v>
      </c>
      <c r="F688" t="s">
        <v>2664</v>
      </c>
      <c r="G688">
        <v>3145</v>
      </c>
      <c r="H688">
        <v>3200</v>
      </c>
      <c r="I688">
        <v>3320</v>
      </c>
      <c r="J688">
        <v>3296</v>
      </c>
      <c r="K688">
        <v>3290</v>
      </c>
      <c r="L688" t="s">
        <v>988</v>
      </c>
    </row>
    <row r="689" spans="1:12" x14ac:dyDescent="0.3">
      <c r="A689">
        <v>2490</v>
      </c>
      <c r="B689" t="s">
        <v>2030</v>
      </c>
      <c r="C689" t="s">
        <v>2663</v>
      </c>
      <c r="D689" t="s">
        <v>1203</v>
      </c>
      <c r="E689" t="s">
        <v>1204</v>
      </c>
      <c r="F689" t="s">
        <v>2665</v>
      </c>
      <c r="G689">
        <v>3145</v>
      </c>
      <c r="H689">
        <v>3200</v>
      </c>
      <c r="I689">
        <v>3320</v>
      </c>
      <c r="J689">
        <v>3296</v>
      </c>
      <c r="K689">
        <v>3290</v>
      </c>
      <c r="L689" t="s">
        <v>988</v>
      </c>
    </row>
    <row r="690" spans="1:12" x14ac:dyDescent="0.3">
      <c r="A690">
        <v>2496</v>
      </c>
      <c r="B690" t="s">
        <v>905</v>
      </c>
      <c r="C690" t="s">
        <v>2663</v>
      </c>
      <c r="D690" t="s">
        <v>1203</v>
      </c>
      <c r="E690" t="s">
        <v>1204</v>
      </c>
      <c r="F690" t="s">
        <v>2664</v>
      </c>
      <c r="G690">
        <v>26883</v>
      </c>
      <c r="H690">
        <v>28560</v>
      </c>
      <c r="I690">
        <v>31701</v>
      </c>
      <c r="J690">
        <v>34768</v>
      </c>
      <c r="K690">
        <v>40168</v>
      </c>
      <c r="L690" t="s">
        <v>988</v>
      </c>
    </row>
    <row r="691" spans="1:12" x14ac:dyDescent="0.3">
      <c r="A691">
        <v>2496</v>
      </c>
      <c r="B691" t="s">
        <v>905</v>
      </c>
      <c r="C691" t="s">
        <v>2663</v>
      </c>
      <c r="D691" t="s">
        <v>1203</v>
      </c>
      <c r="E691" t="s">
        <v>1204</v>
      </c>
      <c r="F691" t="s">
        <v>2665</v>
      </c>
      <c r="G691">
        <v>21508.62</v>
      </c>
      <c r="H691">
        <v>25167.38</v>
      </c>
      <c r="I691">
        <v>28870.85</v>
      </c>
      <c r="J691">
        <v>32603.439999999999</v>
      </c>
      <c r="K691">
        <v>39378.79</v>
      </c>
      <c r="L691" t="s">
        <v>988</v>
      </c>
    </row>
    <row r="692" spans="1:12" x14ac:dyDescent="0.3">
      <c r="A692">
        <v>2510</v>
      </c>
      <c r="B692" t="s">
        <v>2035</v>
      </c>
      <c r="C692" t="s">
        <v>2663</v>
      </c>
      <c r="D692" t="s">
        <v>1203</v>
      </c>
      <c r="E692" t="s">
        <v>1204</v>
      </c>
      <c r="F692" t="s">
        <v>2664</v>
      </c>
      <c r="G692">
        <v>2700</v>
      </c>
      <c r="H692">
        <v>2717</v>
      </c>
      <c r="I692">
        <v>2735</v>
      </c>
      <c r="J692">
        <v>2753</v>
      </c>
      <c r="K692">
        <v>0</v>
      </c>
      <c r="L692" t="s">
        <v>988</v>
      </c>
    </row>
    <row r="693" spans="1:12" x14ac:dyDescent="0.3">
      <c r="A693">
        <v>2510</v>
      </c>
      <c r="B693" t="s">
        <v>2035</v>
      </c>
      <c r="C693" t="s">
        <v>2663</v>
      </c>
      <c r="D693" t="s">
        <v>1203</v>
      </c>
      <c r="E693" t="s">
        <v>1204</v>
      </c>
      <c r="F693" t="s">
        <v>2665</v>
      </c>
      <c r="G693">
        <v>2700</v>
      </c>
      <c r="H693">
        <v>2717</v>
      </c>
      <c r="I693">
        <v>2735</v>
      </c>
      <c r="J693">
        <v>2753</v>
      </c>
      <c r="K693">
        <v>0</v>
      </c>
      <c r="L693" t="s">
        <v>988</v>
      </c>
    </row>
    <row r="694" spans="1:12" x14ac:dyDescent="0.3">
      <c r="A694">
        <v>2512</v>
      </c>
      <c r="B694" t="s">
        <v>2039</v>
      </c>
      <c r="C694" t="s">
        <v>2663</v>
      </c>
      <c r="D694" t="s">
        <v>1203</v>
      </c>
      <c r="E694" t="s">
        <v>1204</v>
      </c>
      <c r="F694" t="s">
        <v>2664</v>
      </c>
      <c r="G694">
        <v>21997.788108799999</v>
      </c>
      <c r="H694">
        <v>21997.788108799999</v>
      </c>
      <c r="I694">
        <v>21997.788108799999</v>
      </c>
      <c r="J694">
        <v>21997.788108799999</v>
      </c>
      <c r="K694">
        <v>0</v>
      </c>
      <c r="L694" t="s">
        <v>988</v>
      </c>
    </row>
    <row r="695" spans="1:12" x14ac:dyDescent="0.3">
      <c r="A695">
        <v>2512</v>
      </c>
      <c r="B695" t="s">
        <v>2039</v>
      </c>
      <c r="C695" t="s">
        <v>2663</v>
      </c>
      <c r="D695" t="s">
        <v>1203</v>
      </c>
      <c r="E695" t="s">
        <v>1204</v>
      </c>
      <c r="F695" t="s">
        <v>2665</v>
      </c>
      <c r="G695">
        <v>5729.6136159500002</v>
      </c>
      <c r="H695">
        <v>6180.7401299000003</v>
      </c>
      <c r="I695">
        <v>6628.7977559999999</v>
      </c>
      <c r="J695">
        <v>7089.1309334999996</v>
      </c>
      <c r="K695">
        <v>0</v>
      </c>
      <c r="L695" t="s">
        <v>988</v>
      </c>
    </row>
    <row r="696" spans="1:12" x14ac:dyDescent="0.3">
      <c r="A696">
        <v>2516</v>
      </c>
      <c r="B696" t="s">
        <v>2041</v>
      </c>
      <c r="C696" t="s">
        <v>2663</v>
      </c>
      <c r="D696" t="s">
        <v>1203</v>
      </c>
      <c r="E696" t="s">
        <v>1204</v>
      </c>
      <c r="F696" t="s">
        <v>2664</v>
      </c>
      <c r="G696">
        <v>32389.042368900002</v>
      </c>
      <c r="H696">
        <v>33097.95546225</v>
      </c>
      <c r="I696">
        <v>34798.119331150003</v>
      </c>
      <c r="J696">
        <v>36617.969826200002</v>
      </c>
      <c r="K696">
        <v>0</v>
      </c>
      <c r="L696" t="s">
        <v>988</v>
      </c>
    </row>
    <row r="697" spans="1:12" x14ac:dyDescent="0.3">
      <c r="A697">
        <v>2516</v>
      </c>
      <c r="B697" t="s">
        <v>2041</v>
      </c>
      <c r="C697" t="s">
        <v>2663</v>
      </c>
      <c r="D697" t="s">
        <v>1203</v>
      </c>
      <c r="E697" t="s">
        <v>1204</v>
      </c>
      <c r="F697" t="s">
        <v>2665</v>
      </c>
      <c r="G697">
        <v>19195.893501750001</v>
      </c>
      <c r="H697">
        <v>19708.397772699998</v>
      </c>
      <c r="I697">
        <v>21209.08393135</v>
      </c>
      <c r="J697">
        <v>22817.18116475</v>
      </c>
      <c r="K697">
        <v>0</v>
      </c>
      <c r="L697" t="s">
        <v>988</v>
      </c>
    </row>
    <row r="698" spans="1:12" x14ac:dyDescent="0.3">
      <c r="A698">
        <v>2523</v>
      </c>
      <c r="B698" t="s">
        <v>2042</v>
      </c>
      <c r="C698" t="s">
        <v>2663</v>
      </c>
      <c r="D698" t="s">
        <v>1203</v>
      </c>
      <c r="E698" t="s">
        <v>1204</v>
      </c>
      <c r="F698" t="s">
        <v>2664</v>
      </c>
      <c r="G698">
        <v>23205</v>
      </c>
      <c r="H698">
        <v>23255</v>
      </c>
      <c r="I698">
        <v>23308</v>
      </c>
      <c r="J698">
        <v>23361</v>
      </c>
      <c r="K698">
        <v>23417</v>
      </c>
      <c r="L698" t="s">
        <v>988</v>
      </c>
    </row>
    <row r="699" spans="1:12" x14ac:dyDescent="0.3">
      <c r="A699">
        <v>2523</v>
      </c>
      <c r="B699" t="s">
        <v>2042</v>
      </c>
      <c r="C699" t="s">
        <v>2663</v>
      </c>
      <c r="D699" t="s">
        <v>1203</v>
      </c>
      <c r="E699" t="s">
        <v>1204</v>
      </c>
      <c r="F699" t="s">
        <v>2665</v>
      </c>
      <c r="G699">
        <v>18324</v>
      </c>
      <c r="H699">
        <v>18444</v>
      </c>
      <c r="I699">
        <v>18628</v>
      </c>
      <c r="J699">
        <v>18800</v>
      </c>
      <c r="K699">
        <v>19064</v>
      </c>
      <c r="L699" t="s">
        <v>988</v>
      </c>
    </row>
    <row r="700" spans="1:12" x14ac:dyDescent="0.3">
      <c r="A700">
        <v>2524</v>
      </c>
      <c r="B700" t="s">
        <v>2043</v>
      </c>
      <c r="C700" t="s">
        <v>2663</v>
      </c>
      <c r="D700" t="s">
        <v>159</v>
      </c>
      <c r="E700" t="s">
        <v>159</v>
      </c>
      <c r="F700" t="s">
        <v>2664</v>
      </c>
      <c r="G700">
        <v>46941.708553600001</v>
      </c>
      <c r="H700">
        <v>50986.502739900003</v>
      </c>
      <c r="I700">
        <v>55246.1190757</v>
      </c>
      <c r="J700">
        <v>59757.3842152</v>
      </c>
      <c r="K700">
        <v>44477.391610049999</v>
      </c>
      <c r="L700" t="s">
        <v>988</v>
      </c>
    </row>
    <row r="701" spans="1:12" x14ac:dyDescent="0.3">
      <c r="A701">
        <v>2524</v>
      </c>
      <c r="B701" t="s">
        <v>2043</v>
      </c>
      <c r="C701" t="s">
        <v>2663</v>
      </c>
      <c r="D701" t="s">
        <v>159</v>
      </c>
      <c r="E701" t="s">
        <v>159</v>
      </c>
      <c r="F701" t="s">
        <v>2665</v>
      </c>
      <c r="G701">
        <v>35743.33678895</v>
      </c>
      <c r="H701">
        <v>39785.062087400001</v>
      </c>
      <c r="I701">
        <v>44047.74731105</v>
      </c>
      <c r="J701">
        <v>48549.805786999998</v>
      </c>
      <c r="K701">
        <v>33279.019845399998</v>
      </c>
      <c r="L701" t="s">
        <v>988</v>
      </c>
    </row>
    <row r="702" spans="1:12" x14ac:dyDescent="0.3">
      <c r="A702">
        <v>2528</v>
      </c>
      <c r="B702" t="s">
        <v>2047</v>
      </c>
      <c r="C702" t="s">
        <v>2663</v>
      </c>
      <c r="D702" t="s">
        <v>1203</v>
      </c>
      <c r="E702" t="s">
        <v>1204</v>
      </c>
      <c r="F702" t="s">
        <v>2665</v>
      </c>
      <c r="G702">
        <v>10081</v>
      </c>
      <c r="H702">
        <v>10122</v>
      </c>
      <c r="I702">
        <v>10025</v>
      </c>
      <c r="J702">
        <v>9929</v>
      </c>
      <c r="K702">
        <v>9898</v>
      </c>
      <c r="L702" t="s">
        <v>988</v>
      </c>
    </row>
    <row r="703" spans="1:12" x14ac:dyDescent="0.3">
      <c r="A703">
        <v>2528</v>
      </c>
      <c r="B703" t="s">
        <v>2047</v>
      </c>
      <c r="C703" t="s">
        <v>2663</v>
      </c>
      <c r="D703" t="s">
        <v>1203</v>
      </c>
      <c r="E703" t="s">
        <v>1204</v>
      </c>
      <c r="F703" t="s">
        <v>2664</v>
      </c>
      <c r="G703">
        <v>10081</v>
      </c>
      <c r="H703">
        <v>10122</v>
      </c>
      <c r="I703">
        <v>10025</v>
      </c>
      <c r="J703">
        <v>9929</v>
      </c>
      <c r="K703">
        <v>9898</v>
      </c>
      <c r="L703" t="s">
        <v>988</v>
      </c>
    </row>
    <row r="704" spans="1:12" x14ac:dyDescent="0.3">
      <c r="A704">
        <v>2530</v>
      </c>
      <c r="B704" t="s">
        <v>2049</v>
      </c>
      <c r="C704" t="s">
        <v>2663</v>
      </c>
      <c r="D704" t="s">
        <v>1203</v>
      </c>
      <c r="E704" t="s">
        <v>1204</v>
      </c>
      <c r="F704" t="s">
        <v>2665</v>
      </c>
      <c r="G704">
        <v>2660</v>
      </c>
      <c r="H704">
        <v>2790</v>
      </c>
      <c r="I704">
        <v>2940</v>
      </c>
      <c r="J704">
        <v>3060</v>
      </c>
      <c r="K704">
        <v>3200</v>
      </c>
      <c r="L704" t="s">
        <v>988</v>
      </c>
    </row>
    <row r="705" spans="1:12" x14ac:dyDescent="0.3">
      <c r="A705">
        <v>2530</v>
      </c>
      <c r="B705" t="s">
        <v>2049</v>
      </c>
      <c r="C705" t="s">
        <v>2663</v>
      </c>
      <c r="D705" t="s">
        <v>1203</v>
      </c>
      <c r="E705" t="s">
        <v>1204</v>
      </c>
      <c r="F705" t="s">
        <v>2664</v>
      </c>
      <c r="G705">
        <v>6995</v>
      </c>
      <c r="H705">
        <v>6995</v>
      </c>
      <c r="I705">
        <v>6995</v>
      </c>
      <c r="J705">
        <v>6995</v>
      </c>
      <c r="K705">
        <v>6995</v>
      </c>
      <c r="L705" t="s">
        <v>988</v>
      </c>
    </row>
    <row r="706" spans="1:12" x14ac:dyDescent="0.3">
      <c r="A706">
        <v>2536</v>
      </c>
      <c r="B706" t="s">
        <v>2050</v>
      </c>
      <c r="C706" t="s">
        <v>2663</v>
      </c>
      <c r="D706" t="s">
        <v>1203</v>
      </c>
      <c r="E706" t="s">
        <v>1204</v>
      </c>
      <c r="F706" t="s">
        <v>2664</v>
      </c>
      <c r="G706">
        <v>22584</v>
      </c>
      <c r="H706">
        <v>22584</v>
      </c>
      <c r="I706">
        <v>22584</v>
      </c>
      <c r="J706">
        <v>22584</v>
      </c>
      <c r="K706">
        <v>22584</v>
      </c>
      <c r="L706" t="s">
        <v>988</v>
      </c>
    </row>
    <row r="707" spans="1:12" x14ac:dyDescent="0.3">
      <c r="A707">
        <v>2536</v>
      </c>
      <c r="B707" t="s">
        <v>2050</v>
      </c>
      <c r="C707" t="s">
        <v>2663</v>
      </c>
      <c r="D707" t="s">
        <v>1203</v>
      </c>
      <c r="E707" t="s">
        <v>1204</v>
      </c>
      <c r="F707" t="s">
        <v>2665</v>
      </c>
      <c r="G707">
        <v>4214</v>
      </c>
      <c r="H707">
        <v>4192</v>
      </c>
      <c r="I707">
        <v>4169</v>
      </c>
      <c r="J707">
        <v>4147</v>
      </c>
      <c r="K707">
        <v>4122</v>
      </c>
      <c r="L707" t="s">
        <v>988</v>
      </c>
    </row>
    <row r="708" spans="1:12" x14ac:dyDescent="0.3">
      <c r="A708">
        <v>2541</v>
      </c>
      <c r="B708" t="s">
        <v>2051</v>
      </c>
      <c r="C708" t="s">
        <v>2663</v>
      </c>
      <c r="D708" t="s">
        <v>159</v>
      </c>
      <c r="E708" t="s">
        <v>159</v>
      </c>
      <c r="F708" t="s">
        <v>2664</v>
      </c>
      <c r="G708">
        <v>25328</v>
      </c>
      <c r="H708">
        <v>25328</v>
      </c>
      <c r="I708">
        <v>25328</v>
      </c>
      <c r="J708">
        <v>25328</v>
      </c>
      <c r="K708">
        <v>25328</v>
      </c>
      <c r="L708" t="s">
        <v>988</v>
      </c>
    </row>
    <row r="709" spans="1:12" x14ac:dyDescent="0.3">
      <c r="A709">
        <v>2541</v>
      </c>
      <c r="B709" t="s">
        <v>2051</v>
      </c>
      <c r="C709" t="s">
        <v>2663</v>
      </c>
      <c r="D709" t="s">
        <v>159</v>
      </c>
      <c r="E709" t="s">
        <v>159</v>
      </c>
      <c r="F709" t="s">
        <v>2665</v>
      </c>
      <c r="G709">
        <v>22368</v>
      </c>
      <c r="H709">
        <v>23141</v>
      </c>
      <c r="I709">
        <v>24144</v>
      </c>
      <c r="J709">
        <v>24628</v>
      </c>
      <c r="K709">
        <v>25003</v>
      </c>
      <c r="L709" t="s">
        <v>988</v>
      </c>
    </row>
    <row r="710" spans="1:12" x14ac:dyDescent="0.3">
      <c r="A710">
        <v>2597</v>
      </c>
      <c r="B710" t="s">
        <v>2053</v>
      </c>
      <c r="C710" t="s">
        <v>2663</v>
      </c>
      <c r="D710" t="s">
        <v>1203</v>
      </c>
      <c r="E710" t="s">
        <v>1204</v>
      </c>
      <c r="F710" t="s">
        <v>2664</v>
      </c>
      <c r="G710">
        <v>27512</v>
      </c>
      <c r="H710">
        <v>30148</v>
      </c>
      <c r="I710">
        <v>32039</v>
      </c>
      <c r="J710">
        <v>33850</v>
      </c>
      <c r="K710">
        <v>34535</v>
      </c>
      <c r="L710" t="s">
        <v>988</v>
      </c>
    </row>
    <row r="711" spans="1:12" x14ac:dyDescent="0.3">
      <c r="A711">
        <v>2597</v>
      </c>
      <c r="B711" t="s">
        <v>2053</v>
      </c>
      <c r="C711" t="s">
        <v>2663</v>
      </c>
      <c r="D711" t="s">
        <v>1203</v>
      </c>
      <c r="E711" t="s">
        <v>1204</v>
      </c>
      <c r="F711" t="s">
        <v>2665</v>
      </c>
      <c r="G711">
        <v>18620</v>
      </c>
      <c r="H711">
        <v>19719</v>
      </c>
      <c r="I711">
        <v>20886</v>
      </c>
      <c r="J711">
        <v>22126</v>
      </c>
      <c r="K711">
        <v>23440</v>
      </c>
      <c r="L711" t="s">
        <v>988</v>
      </c>
    </row>
    <row r="712" spans="1:12" x14ac:dyDescent="0.3">
      <c r="A712">
        <v>2602</v>
      </c>
      <c r="B712" t="s">
        <v>2054</v>
      </c>
      <c r="C712" t="s">
        <v>2663</v>
      </c>
      <c r="D712" t="s">
        <v>1203</v>
      </c>
      <c r="E712" t="s">
        <v>1204</v>
      </c>
      <c r="F712" t="s">
        <v>2664</v>
      </c>
      <c r="G712">
        <v>18919.693595249999</v>
      </c>
      <c r="H712">
        <v>19760.568866149999</v>
      </c>
      <c r="I712">
        <v>20417.31086605</v>
      </c>
      <c r="J712">
        <v>22626.91011805</v>
      </c>
      <c r="K712">
        <v>24772.062725200001</v>
      </c>
      <c r="L712" t="s">
        <v>988</v>
      </c>
    </row>
    <row r="713" spans="1:12" x14ac:dyDescent="0.3">
      <c r="A713">
        <v>2602</v>
      </c>
      <c r="B713" t="s">
        <v>2054</v>
      </c>
      <c r="C713" t="s">
        <v>2663</v>
      </c>
      <c r="D713" t="s">
        <v>1203</v>
      </c>
      <c r="E713" t="s">
        <v>1204</v>
      </c>
      <c r="F713" t="s">
        <v>2665</v>
      </c>
      <c r="G713">
        <v>20923.6773613</v>
      </c>
      <c r="H713">
        <v>21678.623772399998</v>
      </c>
      <c r="I713">
        <v>22455.05239845</v>
      </c>
      <c r="J713">
        <v>24848.784921449998</v>
      </c>
      <c r="K713">
        <v>27086.004164099999</v>
      </c>
      <c r="L713" t="s">
        <v>988</v>
      </c>
    </row>
    <row r="714" spans="1:12" x14ac:dyDescent="0.3">
      <c r="A714">
        <v>2603</v>
      </c>
      <c r="B714" t="s">
        <v>2058</v>
      </c>
      <c r="C714" t="s">
        <v>2663</v>
      </c>
      <c r="D714" t="s">
        <v>1203</v>
      </c>
      <c r="E714" t="s">
        <v>1204</v>
      </c>
      <c r="F714" t="s">
        <v>2665</v>
      </c>
      <c r="G714">
        <v>28112</v>
      </c>
      <c r="H714">
        <v>29153</v>
      </c>
      <c r="I714">
        <v>30331</v>
      </c>
      <c r="J714">
        <v>31889</v>
      </c>
      <c r="K714">
        <v>31892</v>
      </c>
      <c r="L714" t="s">
        <v>988</v>
      </c>
    </row>
    <row r="715" spans="1:12" x14ac:dyDescent="0.3">
      <c r="A715">
        <v>2603</v>
      </c>
      <c r="B715" t="s">
        <v>2058</v>
      </c>
      <c r="C715" t="s">
        <v>2663</v>
      </c>
      <c r="D715" t="s">
        <v>1203</v>
      </c>
      <c r="E715" t="s">
        <v>1204</v>
      </c>
      <c r="F715" t="s">
        <v>2664</v>
      </c>
      <c r="G715">
        <v>35845</v>
      </c>
      <c r="H715">
        <v>35845</v>
      </c>
      <c r="I715">
        <v>35845</v>
      </c>
      <c r="J715">
        <v>38795</v>
      </c>
      <c r="K715">
        <v>38795</v>
      </c>
      <c r="L715" t="s">
        <v>988</v>
      </c>
    </row>
    <row r="716" spans="1:12" x14ac:dyDescent="0.3">
      <c r="A716">
        <v>2604</v>
      </c>
      <c r="B716" t="s">
        <v>2063</v>
      </c>
      <c r="C716" t="s">
        <v>2663</v>
      </c>
      <c r="D716" t="s">
        <v>1203</v>
      </c>
      <c r="E716" t="s">
        <v>1204</v>
      </c>
      <c r="F716" t="s">
        <v>2665</v>
      </c>
      <c r="G716">
        <v>21476</v>
      </c>
      <c r="H716">
        <v>22226</v>
      </c>
      <c r="I716">
        <v>23336</v>
      </c>
      <c r="J716">
        <v>24173</v>
      </c>
      <c r="K716">
        <v>25498</v>
      </c>
      <c r="L716" t="s">
        <v>988</v>
      </c>
    </row>
    <row r="717" spans="1:12" x14ac:dyDescent="0.3">
      <c r="A717">
        <v>2604</v>
      </c>
      <c r="B717" t="s">
        <v>2063</v>
      </c>
      <c r="C717" t="s">
        <v>2663</v>
      </c>
      <c r="D717" t="s">
        <v>1203</v>
      </c>
      <c r="E717" t="s">
        <v>1204</v>
      </c>
      <c r="F717" t="s">
        <v>2664</v>
      </c>
      <c r="G717">
        <v>21476</v>
      </c>
      <c r="H717">
        <v>22226</v>
      </c>
      <c r="I717">
        <v>23335</v>
      </c>
      <c r="J717">
        <v>24174</v>
      </c>
      <c r="K717">
        <v>25498</v>
      </c>
      <c r="L717" t="s">
        <v>988</v>
      </c>
    </row>
    <row r="718" spans="1:12" x14ac:dyDescent="0.3">
      <c r="A718">
        <v>2605</v>
      </c>
      <c r="B718" t="s">
        <v>2066</v>
      </c>
      <c r="C718" t="s">
        <v>2663</v>
      </c>
      <c r="D718" t="s">
        <v>1203</v>
      </c>
      <c r="E718" t="s">
        <v>1204</v>
      </c>
      <c r="F718" t="s">
        <v>2664</v>
      </c>
      <c r="G718">
        <v>7127</v>
      </c>
      <c r="H718">
        <v>7188</v>
      </c>
      <c r="I718">
        <v>7249</v>
      </c>
      <c r="J718">
        <v>7311</v>
      </c>
      <c r="K718">
        <v>0</v>
      </c>
      <c r="L718" t="s">
        <v>988</v>
      </c>
    </row>
    <row r="719" spans="1:12" x14ac:dyDescent="0.3">
      <c r="A719">
        <v>2605</v>
      </c>
      <c r="B719" t="s">
        <v>2066</v>
      </c>
      <c r="C719" t="s">
        <v>2663</v>
      </c>
      <c r="D719" t="s">
        <v>1203</v>
      </c>
      <c r="E719" t="s">
        <v>1204</v>
      </c>
      <c r="F719" t="s">
        <v>2665</v>
      </c>
      <c r="G719">
        <v>6651</v>
      </c>
      <c r="H719">
        <v>6708</v>
      </c>
      <c r="I719">
        <v>6765</v>
      </c>
      <c r="J719">
        <v>6822</v>
      </c>
      <c r="K719">
        <v>0</v>
      </c>
      <c r="L719" t="s">
        <v>988</v>
      </c>
    </row>
    <row r="720" spans="1:12" x14ac:dyDescent="0.3">
      <c r="A720">
        <v>2610</v>
      </c>
      <c r="B720" t="s">
        <v>2067</v>
      </c>
      <c r="C720" t="s">
        <v>2663</v>
      </c>
      <c r="D720" t="s">
        <v>159</v>
      </c>
      <c r="E720" t="s">
        <v>159</v>
      </c>
      <c r="F720" t="s">
        <v>2664</v>
      </c>
      <c r="G720">
        <v>3200</v>
      </c>
      <c r="H720">
        <v>3200</v>
      </c>
      <c r="I720">
        <v>3220</v>
      </c>
      <c r="J720">
        <v>3353</v>
      </c>
      <c r="K720">
        <v>3477</v>
      </c>
      <c r="L720" t="s">
        <v>988</v>
      </c>
    </row>
    <row r="721" spans="1:12" x14ac:dyDescent="0.3">
      <c r="A721">
        <v>2610</v>
      </c>
      <c r="B721" t="s">
        <v>2067</v>
      </c>
      <c r="C721" t="s">
        <v>2663</v>
      </c>
      <c r="D721" t="s">
        <v>159</v>
      </c>
      <c r="E721" t="s">
        <v>159</v>
      </c>
      <c r="F721" t="s">
        <v>2665</v>
      </c>
      <c r="G721">
        <v>2996.1</v>
      </c>
      <c r="H721">
        <v>3100.75</v>
      </c>
      <c r="I721">
        <v>3220.39</v>
      </c>
      <c r="J721">
        <v>3352.58</v>
      </c>
      <c r="K721">
        <v>3476.84</v>
      </c>
      <c r="L721" t="s">
        <v>988</v>
      </c>
    </row>
    <row r="722" spans="1:12" x14ac:dyDescent="0.3">
      <c r="A722">
        <v>2618</v>
      </c>
      <c r="B722" t="s">
        <v>2071</v>
      </c>
      <c r="C722" t="s">
        <v>2663</v>
      </c>
      <c r="D722" t="s">
        <v>1203</v>
      </c>
      <c r="E722" t="s">
        <v>1204</v>
      </c>
      <c r="F722" t="s">
        <v>2664</v>
      </c>
      <c r="G722">
        <v>4166</v>
      </c>
      <c r="H722">
        <v>4166</v>
      </c>
      <c r="I722">
        <v>4166</v>
      </c>
      <c r="J722">
        <v>4166</v>
      </c>
      <c r="K722">
        <v>4166</v>
      </c>
      <c r="L722" t="s">
        <v>988</v>
      </c>
    </row>
    <row r="723" spans="1:12" x14ac:dyDescent="0.3">
      <c r="A723">
        <v>2618</v>
      </c>
      <c r="B723" t="s">
        <v>2071</v>
      </c>
      <c r="C723" t="s">
        <v>2663</v>
      </c>
      <c r="D723" t="s">
        <v>1203</v>
      </c>
      <c r="E723" t="s">
        <v>1204</v>
      </c>
      <c r="F723" t="s">
        <v>2665</v>
      </c>
      <c r="G723">
        <v>3288.32</v>
      </c>
      <c r="H723">
        <v>3340.18</v>
      </c>
      <c r="I723">
        <v>3392.83</v>
      </c>
      <c r="J723">
        <v>3446.33</v>
      </c>
      <c r="K723">
        <v>3500.68</v>
      </c>
      <c r="L723" t="s">
        <v>988</v>
      </c>
    </row>
    <row r="724" spans="1:12" x14ac:dyDescent="0.3">
      <c r="A724">
        <v>2626</v>
      </c>
      <c r="B724" t="s">
        <v>2072</v>
      </c>
      <c r="C724" t="s">
        <v>2663</v>
      </c>
      <c r="D724" t="s">
        <v>1203</v>
      </c>
      <c r="E724" t="s">
        <v>1204</v>
      </c>
      <c r="F724" t="s">
        <v>2664</v>
      </c>
      <c r="G724">
        <v>38361.098124999997</v>
      </c>
      <c r="H724">
        <v>38361.098124999997</v>
      </c>
      <c r="I724">
        <v>38361.098124999997</v>
      </c>
      <c r="J724">
        <v>38361.098124999997</v>
      </c>
      <c r="K724">
        <v>38361.098124999997</v>
      </c>
      <c r="L724" t="s">
        <v>988</v>
      </c>
    </row>
    <row r="725" spans="1:12" x14ac:dyDescent="0.3">
      <c r="A725">
        <v>2626</v>
      </c>
      <c r="B725" t="s">
        <v>2072</v>
      </c>
      <c r="C725" t="s">
        <v>2663</v>
      </c>
      <c r="D725" t="s">
        <v>1203</v>
      </c>
      <c r="E725" t="s">
        <v>1204</v>
      </c>
      <c r="F725" t="s">
        <v>2665</v>
      </c>
      <c r="G725">
        <v>14150.641876350001</v>
      </c>
      <c r="H725">
        <v>16557.570617105001</v>
      </c>
      <c r="I725">
        <v>19372.139730975501</v>
      </c>
      <c r="J725">
        <v>22667.634259819501</v>
      </c>
      <c r="K725">
        <v>26518.5974895135</v>
      </c>
      <c r="L725" t="s">
        <v>988</v>
      </c>
    </row>
    <row r="726" spans="1:12" x14ac:dyDescent="0.3">
      <c r="A726">
        <v>2629</v>
      </c>
      <c r="B726" t="s">
        <v>2073</v>
      </c>
      <c r="C726" t="s">
        <v>2663</v>
      </c>
      <c r="D726" t="s">
        <v>1203</v>
      </c>
      <c r="E726" t="s">
        <v>1204</v>
      </c>
      <c r="F726" t="s">
        <v>2664</v>
      </c>
      <c r="G726">
        <v>11102</v>
      </c>
      <c r="H726">
        <v>11529</v>
      </c>
      <c r="I726">
        <v>11982</v>
      </c>
      <c r="J726">
        <v>12410</v>
      </c>
      <c r="K726">
        <v>12662</v>
      </c>
      <c r="L726" t="s">
        <v>988</v>
      </c>
    </row>
    <row r="727" spans="1:12" x14ac:dyDescent="0.3">
      <c r="A727">
        <v>2629</v>
      </c>
      <c r="B727" t="s">
        <v>2073</v>
      </c>
      <c r="C727" t="s">
        <v>2663</v>
      </c>
      <c r="D727" t="s">
        <v>1203</v>
      </c>
      <c r="E727" t="s">
        <v>1204</v>
      </c>
      <c r="F727" t="s">
        <v>2665</v>
      </c>
      <c r="G727">
        <v>11102</v>
      </c>
      <c r="H727">
        <v>11528</v>
      </c>
      <c r="I727">
        <v>11982</v>
      </c>
      <c r="J727">
        <v>12410</v>
      </c>
      <c r="K727">
        <v>12662</v>
      </c>
      <c r="L727" t="s">
        <v>988</v>
      </c>
    </row>
    <row r="728" spans="1:12" x14ac:dyDescent="0.3">
      <c r="A728">
        <v>2631</v>
      </c>
      <c r="B728" t="s">
        <v>2075</v>
      </c>
      <c r="C728" t="s">
        <v>2663</v>
      </c>
      <c r="D728" t="s">
        <v>159</v>
      </c>
      <c r="E728" t="s">
        <v>159</v>
      </c>
      <c r="F728" t="s">
        <v>2664</v>
      </c>
      <c r="G728">
        <v>22546</v>
      </c>
      <c r="H728">
        <v>24328</v>
      </c>
      <c r="I728">
        <v>26261</v>
      </c>
      <c r="J728">
        <v>28352</v>
      </c>
      <c r="K728">
        <v>28352</v>
      </c>
      <c r="L728" t="s">
        <v>988</v>
      </c>
    </row>
    <row r="729" spans="1:12" x14ac:dyDescent="0.3">
      <c r="A729">
        <v>2631</v>
      </c>
      <c r="B729" t="s">
        <v>2075</v>
      </c>
      <c r="C729" t="s">
        <v>2663</v>
      </c>
      <c r="D729" t="s">
        <v>159</v>
      </c>
      <c r="E729" t="s">
        <v>159</v>
      </c>
      <c r="F729" t="s">
        <v>2665</v>
      </c>
      <c r="G729">
        <v>20950</v>
      </c>
      <c r="H729">
        <v>22606</v>
      </c>
      <c r="I729">
        <v>24399</v>
      </c>
      <c r="J729">
        <v>26341</v>
      </c>
      <c r="K729">
        <v>26341</v>
      </c>
      <c r="L729" t="s">
        <v>988</v>
      </c>
    </row>
    <row r="730" spans="1:12" x14ac:dyDescent="0.3">
      <c r="A730">
        <v>2633</v>
      </c>
      <c r="B730" t="s">
        <v>2076</v>
      </c>
      <c r="C730" t="s">
        <v>2663</v>
      </c>
      <c r="D730" t="s">
        <v>1203</v>
      </c>
      <c r="E730" t="s">
        <v>1204</v>
      </c>
      <c r="F730" t="s">
        <v>2664</v>
      </c>
      <c r="G730">
        <v>11660</v>
      </c>
      <c r="H730">
        <v>11660</v>
      </c>
      <c r="I730">
        <v>11660</v>
      </c>
      <c r="J730">
        <v>11660</v>
      </c>
      <c r="K730">
        <v>11660</v>
      </c>
      <c r="L730" t="s">
        <v>988</v>
      </c>
    </row>
    <row r="731" spans="1:12" x14ac:dyDescent="0.3">
      <c r="A731">
        <v>2633</v>
      </c>
      <c r="B731" t="s">
        <v>2076</v>
      </c>
      <c r="C731" t="s">
        <v>2663</v>
      </c>
      <c r="D731" t="s">
        <v>1203</v>
      </c>
      <c r="E731" t="s">
        <v>1204</v>
      </c>
      <c r="F731" t="s">
        <v>2665</v>
      </c>
      <c r="G731">
        <v>10860</v>
      </c>
      <c r="H731">
        <v>10860</v>
      </c>
      <c r="I731">
        <v>10860</v>
      </c>
      <c r="J731">
        <v>10860</v>
      </c>
      <c r="K731">
        <v>10860</v>
      </c>
      <c r="L731" t="s">
        <v>988</v>
      </c>
    </row>
    <row r="732" spans="1:12" x14ac:dyDescent="0.3">
      <c r="A732">
        <v>2635</v>
      </c>
      <c r="B732" t="s">
        <v>2078</v>
      </c>
      <c r="C732" t="s">
        <v>2663</v>
      </c>
      <c r="D732" t="s">
        <v>1203</v>
      </c>
      <c r="E732" t="s">
        <v>1204</v>
      </c>
      <c r="F732" t="s">
        <v>2665</v>
      </c>
      <c r="G732">
        <v>26505</v>
      </c>
      <c r="H732">
        <v>28969</v>
      </c>
      <c r="I732">
        <v>30165</v>
      </c>
      <c r="J732">
        <v>31299</v>
      </c>
      <c r="K732">
        <v>32699</v>
      </c>
      <c r="L732" t="s">
        <v>988</v>
      </c>
    </row>
    <row r="733" spans="1:12" x14ac:dyDescent="0.3">
      <c r="A733">
        <v>2635</v>
      </c>
      <c r="B733" t="s">
        <v>2078</v>
      </c>
      <c r="C733" t="s">
        <v>2663</v>
      </c>
      <c r="D733" t="s">
        <v>1203</v>
      </c>
      <c r="E733" t="s">
        <v>1204</v>
      </c>
      <c r="F733" t="s">
        <v>2664</v>
      </c>
      <c r="G733">
        <v>26505</v>
      </c>
      <c r="H733">
        <v>28969</v>
      </c>
      <c r="I733">
        <v>30165</v>
      </c>
      <c r="J733">
        <v>31299</v>
      </c>
      <c r="K733">
        <v>32699</v>
      </c>
      <c r="L733" t="s">
        <v>988</v>
      </c>
    </row>
    <row r="734" spans="1:12" x14ac:dyDescent="0.3">
      <c r="A734">
        <v>2649</v>
      </c>
      <c r="B734" t="s">
        <v>2079</v>
      </c>
      <c r="C734" t="s">
        <v>2663</v>
      </c>
      <c r="D734" t="s">
        <v>1203</v>
      </c>
      <c r="E734" t="s">
        <v>1204</v>
      </c>
      <c r="F734" t="s">
        <v>2665</v>
      </c>
      <c r="G734">
        <v>18559</v>
      </c>
      <c r="H734">
        <v>19617</v>
      </c>
      <c r="I734">
        <v>20362</v>
      </c>
      <c r="J734">
        <v>21153</v>
      </c>
      <c r="K734">
        <v>21728</v>
      </c>
      <c r="L734" t="s">
        <v>988</v>
      </c>
    </row>
    <row r="735" spans="1:12" x14ac:dyDescent="0.3">
      <c r="A735">
        <v>2649</v>
      </c>
      <c r="B735" t="s">
        <v>2079</v>
      </c>
      <c r="C735" t="s">
        <v>2663</v>
      </c>
      <c r="D735" t="s">
        <v>1203</v>
      </c>
      <c r="E735" t="s">
        <v>1204</v>
      </c>
      <c r="F735" t="s">
        <v>2664</v>
      </c>
      <c r="G735">
        <v>18559</v>
      </c>
      <c r="H735">
        <v>19617</v>
      </c>
      <c r="I735">
        <v>20362</v>
      </c>
      <c r="J735">
        <v>21153</v>
      </c>
      <c r="K735">
        <v>21728</v>
      </c>
      <c r="L735" t="s">
        <v>988</v>
      </c>
    </row>
    <row r="736" spans="1:12" x14ac:dyDescent="0.3">
      <c r="A736">
        <v>2661</v>
      </c>
      <c r="B736" t="s">
        <v>2084</v>
      </c>
      <c r="C736" t="s">
        <v>2663</v>
      </c>
      <c r="D736" t="s">
        <v>1203</v>
      </c>
      <c r="E736" t="s">
        <v>1204</v>
      </c>
      <c r="F736" t="s">
        <v>2664</v>
      </c>
      <c r="G736">
        <v>21173</v>
      </c>
      <c r="H736">
        <v>21431</v>
      </c>
      <c r="I736">
        <v>21696</v>
      </c>
      <c r="J736">
        <v>21943</v>
      </c>
      <c r="K736">
        <v>22193</v>
      </c>
      <c r="L736" t="s">
        <v>988</v>
      </c>
    </row>
    <row r="737" spans="1:12" x14ac:dyDescent="0.3">
      <c r="A737">
        <v>2661</v>
      </c>
      <c r="B737" t="s">
        <v>2084</v>
      </c>
      <c r="C737" t="s">
        <v>2663</v>
      </c>
      <c r="D737" t="s">
        <v>1203</v>
      </c>
      <c r="E737" t="s">
        <v>1204</v>
      </c>
      <c r="F737" t="s">
        <v>2665</v>
      </c>
      <c r="G737">
        <v>21173</v>
      </c>
      <c r="H737">
        <v>21431</v>
      </c>
      <c r="I737">
        <v>21696</v>
      </c>
      <c r="J737">
        <v>21943</v>
      </c>
      <c r="K737">
        <v>22193</v>
      </c>
      <c r="L737" t="s">
        <v>988</v>
      </c>
    </row>
    <row r="738" spans="1:12" x14ac:dyDescent="0.3">
      <c r="A738">
        <v>2669</v>
      </c>
      <c r="B738" t="s">
        <v>2085</v>
      </c>
      <c r="C738" t="s">
        <v>2663</v>
      </c>
      <c r="D738" t="s">
        <v>1203</v>
      </c>
      <c r="E738" t="s">
        <v>1204</v>
      </c>
      <c r="F738" t="s">
        <v>2665</v>
      </c>
      <c r="G738">
        <v>7827</v>
      </c>
      <c r="H738">
        <v>8023</v>
      </c>
      <c r="I738">
        <v>8224</v>
      </c>
      <c r="J738">
        <v>8374</v>
      </c>
      <c r="K738">
        <v>8505</v>
      </c>
      <c r="L738" t="s">
        <v>988</v>
      </c>
    </row>
    <row r="739" spans="1:12" x14ac:dyDescent="0.3">
      <c r="A739">
        <v>2669</v>
      </c>
      <c r="B739" t="s">
        <v>2085</v>
      </c>
      <c r="C739" t="s">
        <v>2663</v>
      </c>
      <c r="D739" t="s">
        <v>1203</v>
      </c>
      <c r="E739" t="s">
        <v>1204</v>
      </c>
      <c r="F739" t="s">
        <v>2664</v>
      </c>
      <c r="G739">
        <v>21900</v>
      </c>
      <c r="H739">
        <v>21900</v>
      </c>
      <c r="I739">
        <v>21900</v>
      </c>
      <c r="J739">
        <v>21900</v>
      </c>
      <c r="K739">
        <v>21900</v>
      </c>
      <c r="L739" t="s">
        <v>988</v>
      </c>
    </row>
    <row r="740" spans="1:12" x14ac:dyDescent="0.3">
      <c r="A740">
        <v>2679</v>
      </c>
      <c r="B740" t="s">
        <v>2086</v>
      </c>
      <c r="C740" t="s">
        <v>2663</v>
      </c>
      <c r="D740" t="s">
        <v>1203</v>
      </c>
      <c r="E740" t="s">
        <v>1204</v>
      </c>
      <c r="F740" t="s">
        <v>2664</v>
      </c>
      <c r="G740">
        <v>40341</v>
      </c>
      <c r="H740">
        <v>40227</v>
      </c>
      <c r="I740">
        <v>40147</v>
      </c>
      <c r="J740">
        <v>39418</v>
      </c>
      <c r="K740">
        <v>39340</v>
      </c>
      <c r="L740" t="s">
        <v>988</v>
      </c>
    </row>
    <row r="741" spans="1:12" x14ac:dyDescent="0.3">
      <c r="A741">
        <v>2679</v>
      </c>
      <c r="B741" t="s">
        <v>2086</v>
      </c>
      <c r="C741" t="s">
        <v>2663</v>
      </c>
      <c r="D741" t="s">
        <v>1203</v>
      </c>
      <c r="E741" t="s">
        <v>1204</v>
      </c>
      <c r="F741" t="s">
        <v>2665</v>
      </c>
      <c r="G741">
        <v>17356</v>
      </c>
      <c r="H741">
        <v>17448</v>
      </c>
      <c r="I741">
        <v>17542</v>
      </c>
      <c r="J741">
        <v>17637</v>
      </c>
      <c r="K741">
        <v>17735</v>
      </c>
      <c r="L741" t="s">
        <v>988</v>
      </c>
    </row>
    <row r="742" spans="1:12" x14ac:dyDescent="0.3">
      <c r="A742">
        <v>2683</v>
      </c>
      <c r="B742" t="s">
        <v>871</v>
      </c>
      <c r="C742" t="s">
        <v>2663</v>
      </c>
      <c r="D742" t="s">
        <v>1203</v>
      </c>
      <c r="E742" t="s">
        <v>1204</v>
      </c>
      <c r="F742" t="s">
        <v>2664</v>
      </c>
      <c r="G742">
        <v>38945</v>
      </c>
      <c r="H742">
        <v>39865</v>
      </c>
      <c r="I742">
        <v>40785</v>
      </c>
      <c r="J742">
        <v>41705</v>
      </c>
      <c r="K742">
        <v>42726</v>
      </c>
      <c r="L742" t="s">
        <v>988</v>
      </c>
    </row>
    <row r="743" spans="1:12" x14ac:dyDescent="0.3">
      <c r="A743">
        <v>2683</v>
      </c>
      <c r="B743" t="s">
        <v>871</v>
      </c>
      <c r="C743" t="s">
        <v>2663</v>
      </c>
      <c r="D743" t="s">
        <v>1203</v>
      </c>
      <c r="E743" t="s">
        <v>1204</v>
      </c>
      <c r="F743" t="s">
        <v>2665</v>
      </c>
      <c r="G743">
        <v>14628</v>
      </c>
      <c r="H743">
        <v>16720</v>
      </c>
      <c r="I743">
        <v>17390</v>
      </c>
      <c r="J743">
        <v>18260</v>
      </c>
      <c r="K743">
        <v>20400</v>
      </c>
      <c r="L743" t="s">
        <v>988</v>
      </c>
    </row>
    <row r="744" spans="1:12" x14ac:dyDescent="0.3">
      <c r="A744">
        <v>2690</v>
      </c>
      <c r="B744" t="s">
        <v>2089</v>
      </c>
      <c r="C744" t="s">
        <v>2663</v>
      </c>
      <c r="D744" t="s">
        <v>1203</v>
      </c>
      <c r="E744" t="s">
        <v>1204</v>
      </c>
      <c r="F744" t="s">
        <v>2664</v>
      </c>
      <c r="G744">
        <v>26978</v>
      </c>
      <c r="H744">
        <v>28791</v>
      </c>
      <c r="I744">
        <v>30604</v>
      </c>
      <c r="J744">
        <v>32415</v>
      </c>
      <c r="K744">
        <v>34228</v>
      </c>
      <c r="L744" t="s">
        <v>988</v>
      </c>
    </row>
    <row r="745" spans="1:12" x14ac:dyDescent="0.3">
      <c r="A745">
        <v>2690</v>
      </c>
      <c r="B745" t="s">
        <v>2089</v>
      </c>
      <c r="C745" t="s">
        <v>2663</v>
      </c>
      <c r="D745" t="s">
        <v>1203</v>
      </c>
      <c r="E745" t="s">
        <v>1204</v>
      </c>
      <c r="F745" t="s">
        <v>2665</v>
      </c>
      <c r="G745">
        <v>23458</v>
      </c>
      <c r="H745">
        <v>25036</v>
      </c>
      <c r="I745">
        <v>26612</v>
      </c>
      <c r="J745">
        <v>28188</v>
      </c>
      <c r="K745">
        <v>29764</v>
      </c>
      <c r="L745" t="s">
        <v>988</v>
      </c>
    </row>
    <row r="746" spans="1:12" x14ac:dyDescent="0.3">
      <c r="A746">
        <v>2691</v>
      </c>
      <c r="B746" t="s">
        <v>2091</v>
      </c>
      <c r="C746" t="s">
        <v>2663</v>
      </c>
      <c r="D746" t="s">
        <v>1203</v>
      </c>
      <c r="E746" t="s">
        <v>1204</v>
      </c>
      <c r="F746" t="s">
        <v>2665</v>
      </c>
      <c r="G746">
        <v>972.34642639399999</v>
      </c>
      <c r="H746">
        <v>961.88151882550005</v>
      </c>
      <c r="I746">
        <v>955.62098761150003</v>
      </c>
      <c r="J746">
        <v>952.70554415399999</v>
      </c>
      <c r="K746">
        <v>952.09176658399997</v>
      </c>
      <c r="L746" t="s">
        <v>988</v>
      </c>
    </row>
    <row r="747" spans="1:12" x14ac:dyDescent="0.3">
      <c r="A747">
        <v>2691</v>
      </c>
      <c r="B747" t="s">
        <v>2091</v>
      </c>
      <c r="C747" t="s">
        <v>2663</v>
      </c>
      <c r="D747" t="s">
        <v>1203</v>
      </c>
      <c r="E747" t="s">
        <v>1204</v>
      </c>
      <c r="F747" t="s">
        <v>2664</v>
      </c>
      <c r="G747">
        <v>1479.2039437000001</v>
      </c>
      <c r="H747">
        <v>1479.2039437000001</v>
      </c>
      <c r="I747">
        <v>1479.2039437000001</v>
      </c>
      <c r="J747">
        <v>1479.2039437000001</v>
      </c>
      <c r="K747">
        <v>1479.2039437000001</v>
      </c>
      <c r="L747" t="s">
        <v>988</v>
      </c>
    </row>
    <row r="748" spans="1:12" x14ac:dyDescent="0.3">
      <c r="A748">
        <v>2697</v>
      </c>
      <c r="B748" t="s">
        <v>2092</v>
      </c>
      <c r="C748" t="s">
        <v>2663</v>
      </c>
      <c r="D748" t="s">
        <v>159</v>
      </c>
      <c r="E748" t="s">
        <v>159</v>
      </c>
      <c r="F748" t="s">
        <v>2664</v>
      </c>
      <c r="G748">
        <v>34103.519999999997</v>
      </c>
      <c r="H748">
        <v>38264.519999999997</v>
      </c>
      <c r="I748">
        <v>42649.52</v>
      </c>
      <c r="J748">
        <v>47539.519999999997</v>
      </c>
      <c r="K748">
        <v>52899.519999999997</v>
      </c>
      <c r="L748" t="s">
        <v>988</v>
      </c>
    </row>
    <row r="749" spans="1:12" x14ac:dyDescent="0.3">
      <c r="A749">
        <v>2697</v>
      </c>
      <c r="B749" t="s">
        <v>2092</v>
      </c>
      <c r="C749" t="s">
        <v>2663</v>
      </c>
      <c r="D749" t="s">
        <v>159</v>
      </c>
      <c r="E749" t="s">
        <v>159</v>
      </c>
      <c r="F749" t="s">
        <v>2665</v>
      </c>
      <c r="G749">
        <v>32106.75</v>
      </c>
      <c r="H749">
        <v>36477.49</v>
      </c>
      <c r="I749">
        <v>41272.19</v>
      </c>
      <c r="J749">
        <v>46186.85</v>
      </c>
      <c r="K749">
        <v>50971.57</v>
      </c>
      <c r="L749" t="s">
        <v>988</v>
      </c>
    </row>
    <row r="750" spans="1:12" x14ac:dyDescent="0.3">
      <c r="A750">
        <v>2704</v>
      </c>
      <c r="B750" t="s">
        <v>2096</v>
      </c>
      <c r="C750" t="s">
        <v>2663</v>
      </c>
      <c r="D750" t="s">
        <v>159</v>
      </c>
      <c r="E750" t="s">
        <v>159</v>
      </c>
      <c r="F750" t="s">
        <v>2664</v>
      </c>
      <c r="G750">
        <v>11080</v>
      </c>
      <c r="H750">
        <v>11022</v>
      </c>
      <c r="I750">
        <v>10938</v>
      </c>
      <c r="J750">
        <v>10837</v>
      </c>
      <c r="K750">
        <v>10836</v>
      </c>
      <c r="L750" t="s">
        <v>988</v>
      </c>
    </row>
    <row r="751" spans="1:12" x14ac:dyDescent="0.3">
      <c r="A751">
        <v>2704</v>
      </c>
      <c r="B751" t="s">
        <v>2096</v>
      </c>
      <c r="C751" t="s">
        <v>2663</v>
      </c>
      <c r="D751" t="s">
        <v>159</v>
      </c>
      <c r="E751" t="s">
        <v>159</v>
      </c>
      <c r="F751" t="s">
        <v>2665</v>
      </c>
      <c r="G751">
        <v>11079.7</v>
      </c>
      <c r="H751">
        <v>11021.6</v>
      </c>
      <c r="I751">
        <v>10938</v>
      </c>
      <c r="J751">
        <v>10837</v>
      </c>
      <c r="K751">
        <v>10836</v>
      </c>
      <c r="L751" t="s">
        <v>988</v>
      </c>
    </row>
    <row r="752" spans="1:12" x14ac:dyDescent="0.3">
      <c r="A752">
        <v>2723</v>
      </c>
      <c r="B752" t="s">
        <v>2098</v>
      </c>
      <c r="C752" t="s">
        <v>2663</v>
      </c>
      <c r="D752" t="s">
        <v>1203</v>
      </c>
      <c r="E752" t="s">
        <v>1204</v>
      </c>
      <c r="F752" t="s">
        <v>2664</v>
      </c>
      <c r="G752">
        <v>7217</v>
      </c>
      <c r="H752">
        <v>7375</v>
      </c>
      <c r="I752">
        <v>7538</v>
      </c>
      <c r="J752">
        <v>7702</v>
      </c>
      <c r="K752">
        <v>7872</v>
      </c>
      <c r="L752" t="s">
        <v>988</v>
      </c>
    </row>
    <row r="753" spans="1:12" x14ac:dyDescent="0.3">
      <c r="A753">
        <v>2723</v>
      </c>
      <c r="B753" t="s">
        <v>2098</v>
      </c>
      <c r="C753" t="s">
        <v>2663</v>
      </c>
      <c r="D753" t="s">
        <v>1203</v>
      </c>
      <c r="E753" t="s">
        <v>1204</v>
      </c>
      <c r="F753" t="s">
        <v>2665</v>
      </c>
      <c r="G753">
        <v>7217</v>
      </c>
      <c r="H753">
        <v>7375</v>
      </c>
      <c r="I753">
        <v>7538</v>
      </c>
      <c r="J753">
        <v>7702</v>
      </c>
      <c r="K753">
        <v>7872</v>
      </c>
      <c r="L753" t="s">
        <v>988</v>
      </c>
    </row>
    <row r="754" spans="1:12" x14ac:dyDescent="0.3">
      <c r="A754">
        <v>2751</v>
      </c>
      <c r="B754" t="s">
        <v>2099</v>
      </c>
      <c r="C754" t="s">
        <v>2663</v>
      </c>
      <c r="D754" t="s">
        <v>1203</v>
      </c>
      <c r="E754" t="s">
        <v>1204</v>
      </c>
      <c r="F754" t="s">
        <v>2665</v>
      </c>
      <c r="G754">
        <v>6504</v>
      </c>
      <c r="H754">
        <v>6955</v>
      </c>
      <c r="I754">
        <v>7614</v>
      </c>
      <c r="J754">
        <v>8628</v>
      </c>
      <c r="K754">
        <v>0</v>
      </c>
      <c r="L754" t="s">
        <v>988</v>
      </c>
    </row>
    <row r="755" spans="1:12" x14ac:dyDescent="0.3">
      <c r="A755">
        <v>2751</v>
      </c>
      <c r="B755" t="s">
        <v>2099</v>
      </c>
      <c r="C755" t="s">
        <v>2663</v>
      </c>
      <c r="D755" t="s">
        <v>1203</v>
      </c>
      <c r="E755" t="s">
        <v>1204</v>
      </c>
      <c r="F755" t="s">
        <v>2664</v>
      </c>
      <c r="G755">
        <v>7969</v>
      </c>
      <c r="H755">
        <v>7987</v>
      </c>
      <c r="I755">
        <v>8186</v>
      </c>
      <c r="J755">
        <v>8745</v>
      </c>
      <c r="K755">
        <v>0</v>
      </c>
      <c r="L755" t="s">
        <v>988</v>
      </c>
    </row>
    <row r="756" spans="1:12" x14ac:dyDescent="0.3">
      <c r="A756">
        <v>2766</v>
      </c>
      <c r="B756" t="s">
        <v>2101</v>
      </c>
      <c r="C756" t="s">
        <v>2663</v>
      </c>
      <c r="D756" t="s">
        <v>1203</v>
      </c>
      <c r="E756" t="s">
        <v>1204</v>
      </c>
      <c r="F756" t="s">
        <v>2664</v>
      </c>
      <c r="G756">
        <v>20762</v>
      </c>
      <c r="H756">
        <v>20837</v>
      </c>
      <c r="I756">
        <v>20837</v>
      </c>
      <c r="J756">
        <v>25117</v>
      </c>
      <c r="K756">
        <v>24440</v>
      </c>
      <c r="L756" t="s">
        <v>988</v>
      </c>
    </row>
    <row r="757" spans="1:12" x14ac:dyDescent="0.3">
      <c r="A757">
        <v>2766</v>
      </c>
      <c r="B757" t="s">
        <v>2101</v>
      </c>
      <c r="C757" t="s">
        <v>2663</v>
      </c>
      <c r="D757" t="s">
        <v>1203</v>
      </c>
      <c r="E757" t="s">
        <v>1204</v>
      </c>
      <c r="F757" t="s">
        <v>2665</v>
      </c>
      <c r="G757">
        <v>13198</v>
      </c>
      <c r="H757">
        <v>13975</v>
      </c>
      <c r="I757">
        <v>14716</v>
      </c>
      <c r="J757">
        <v>15497</v>
      </c>
      <c r="K757">
        <v>15645</v>
      </c>
      <c r="L757" t="s">
        <v>988</v>
      </c>
    </row>
    <row r="758" spans="1:12" x14ac:dyDescent="0.3">
      <c r="A758">
        <v>2782</v>
      </c>
      <c r="B758" t="s">
        <v>2103</v>
      </c>
      <c r="C758" t="s">
        <v>2663</v>
      </c>
      <c r="D758" t="s">
        <v>1203</v>
      </c>
      <c r="E758" t="s">
        <v>1204</v>
      </c>
      <c r="F758" t="s">
        <v>2664</v>
      </c>
      <c r="G758">
        <v>19133</v>
      </c>
      <c r="H758">
        <v>19401.6197460199</v>
      </c>
      <c r="I758">
        <v>19414</v>
      </c>
      <c r="J758">
        <v>19400</v>
      </c>
      <c r="K758">
        <v>19333</v>
      </c>
      <c r="L758" t="s">
        <v>988</v>
      </c>
    </row>
    <row r="759" spans="1:12" x14ac:dyDescent="0.3">
      <c r="A759">
        <v>2782</v>
      </c>
      <c r="B759" t="s">
        <v>2103</v>
      </c>
      <c r="C759" t="s">
        <v>2663</v>
      </c>
      <c r="D759" t="s">
        <v>1203</v>
      </c>
      <c r="E759" t="s">
        <v>1204</v>
      </c>
      <c r="F759" t="s">
        <v>2665</v>
      </c>
      <c r="G759">
        <v>19133</v>
      </c>
      <c r="H759">
        <v>19402</v>
      </c>
      <c r="I759">
        <v>19414</v>
      </c>
      <c r="J759">
        <v>19400</v>
      </c>
      <c r="K759">
        <v>19333</v>
      </c>
      <c r="L759" t="s">
        <v>988</v>
      </c>
    </row>
    <row r="760" spans="1:12" x14ac:dyDescent="0.3">
      <c r="A760">
        <v>2789</v>
      </c>
      <c r="B760" t="s">
        <v>2106</v>
      </c>
      <c r="C760" t="s">
        <v>2663</v>
      </c>
      <c r="D760" t="s">
        <v>1203</v>
      </c>
      <c r="E760" t="s">
        <v>1204</v>
      </c>
      <c r="F760" t="s">
        <v>2664</v>
      </c>
      <c r="G760">
        <v>7799</v>
      </c>
      <c r="H760">
        <v>7799</v>
      </c>
      <c r="I760">
        <v>7799</v>
      </c>
      <c r="J760">
        <v>7799</v>
      </c>
      <c r="K760">
        <v>7799</v>
      </c>
      <c r="L760" t="s">
        <v>988</v>
      </c>
    </row>
    <row r="761" spans="1:12" x14ac:dyDescent="0.3">
      <c r="A761">
        <v>2789</v>
      </c>
      <c r="B761" t="s">
        <v>2106</v>
      </c>
      <c r="C761" t="s">
        <v>2663</v>
      </c>
      <c r="D761" t="s">
        <v>1203</v>
      </c>
      <c r="E761" t="s">
        <v>1204</v>
      </c>
      <c r="F761" t="s">
        <v>2665</v>
      </c>
      <c r="G761">
        <v>2044</v>
      </c>
      <c r="H761">
        <v>2019</v>
      </c>
      <c r="I761">
        <v>1981</v>
      </c>
      <c r="J761">
        <v>1936</v>
      </c>
      <c r="K761">
        <v>1889</v>
      </c>
      <c r="L761" t="s">
        <v>988</v>
      </c>
    </row>
    <row r="762" spans="1:12" x14ac:dyDescent="0.3">
      <c r="A762">
        <v>2790</v>
      </c>
      <c r="B762" t="s">
        <v>763</v>
      </c>
      <c r="C762" t="s">
        <v>2663</v>
      </c>
      <c r="D762" t="s">
        <v>1203</v>
      </c>
      <c r="E762" t="s">
        <v>1204</v>
      </c>
      <c r="F762" t="s">
        <v>2664</v>
      </c>
      <c r="G762">
        <v>29578</v>
      </c>
      <c r="H762">
        <v>29578</v>
      </c>
      <c r="I762">
        <v>29578</v>
      </c>
      <c r="J762">
        <v>29578</v>
      </c>
      <c r="K762">
        <v>29578</v>
      </c>
      <c r="L762" t="s">
        <v>988</v>
      </c>
    </row>
    <row r="763" spans="1:12" x14ac:dyDescent="0.3">
      <c r="A763">
        <v>2790</v>
      </c>
      <c r="B763" t="s">
        <v>763</v>
      </c>
      <c r="C763" t="s">
        <v>2663</v>
      </c>
      <c r="D763" t="s">
        <v>1203</v>
      </c>
      <c r="E763" t="s">
        <v>1204</v>
      </c>
      <c r="F763" t="s">
        <v>2665</v>
      </c>
      <c r="G763">
        <v>15585</v>
      </c>
      <c r="H763">
        <v>16130</v>
      </c>
      <c r="I763">
        <v>16800</v>
      </c>
      <c r="J763">
        <v>17645</v>
      </c>
      <c r="K763">
        <v>18480</v>
      </c>
      <c r="L763" t="s">
        <v>988</v>
      </c>
    </row>
    <row r="764" spans="1:12" x14ac:dyDescent="0.3">
      <c r="A764">
        <v>2793</v>
      </c>
      <c r="B764" t="s">
        <v>2107</v>
      </c>
      <c r="C764" t="s">
        <v>2663</v>
      </c>
      <c r="D764" t="s">
        <v>1203</v>
      </c>
      <c r="E764" t="s">
        <v>1204</v>
      </c>
      <c r="F764" t="s">
        <v>2664</v>
      </c>
      <c r="G764">
        <v>59180</v>
      </c>
      <c r="H764">
        <v>65400</v>
      </c>
      <c r="I764">
        <v>72700</v>
      </c>
      <c r="J764">
        <v>78950</v>
      </c>
      <c r="K764">
        <v>85300</v>
      </c>
      <c r="L764" t="s">
        <v>988</v>
      </c>
    </row>
    <row r="765" spans="1:12" x14ac:dyDescent="0.3">
      <c r="A765">
        <v>2793</v>
      </c>
      <c r="B765" t="s">
        <v>2107</v>
      </c>
      <c r="C765" t="s">
        <v>2663</v>
      </c>
      <c r="D765" t="s">
        <v>1203</v>
      </c>
      <c r="E765" t="s">
        <v>1204</v>
      </c>
      <c r="F765" t="s">
        <v>2665</v>
      </c>
      <c r="G765">
        <v>16288</v>
      </c>
      <c r="H765">
        <v>15826</v>
      </c>
      <c r="I765">
        <v>15430</v>
      </c>
      <c r="J765">
        <v>15072</v>
      </c>
      <c r="K765">
        <v>14746</v>
      </c>
      <c r="L765" t="s">
        <v>988</v>
      </c>
    </row>
  </sheetData>
  <autoFilter ref="A1:L765" xr:uid="{90A6AF68-184D-4881-BFC3-AD83514952C7}"/>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0193-680A-416F-A101-D8A4164F0488}">
  <sheetPr codeName="Sheet33" filterMode="1">
    <tabColor rgb="FF7030A0"/>
  </sheetPr>
  <dimension ref="A1:L101"/>
  <sheetViews>
    <sheetView workbookViewId="0"/>
  </sheetViews>
  <sheetFormatPr defaultRowHeight="14.4" x14ac:dyDescent="0.3"/>
  <cols>
    <col min="1" max="1" width="7.6640625" bestFit="1" customWidth="1"/>
    <col min="2" max="2" width="49.5546875" bestFit="1" customWidth="1"/>
    <col min="3" max="3" width="61.44140625" bestFit="1" customWidth="1"/>
    <col min="4" max="4" width="18.88671875" hidden="1" customWidth="1"/>
    <col min="5" max="5" width="26.5546875" hidden="1" customWidth="1"/>
    <col min="6" max="6" width="14" bestFit="1" customWidth="1"/>
    <col min="7" max="7" width="22.6640625" bestFit="1" customWidth="1"/>
    <col min="8" max="11" width="20.44140625" bestFit="1" customWidth="1"/>
    <col min="12" max="12" width="19.44140625" bestFit="1" customWidth="1"/>
  </cols>
  <sheetData>
    <row r="1" spans="1:12" x14ac:dyDescent="0.3">
      <c r="A1" t="s">
        <v>1191</v>
      </c>
      <c r="B1" t="s">
        <v>1192</v>
      </c>
      <c r="C1" t="s">
        <v>1193</v>
      </c>
      <c r="D1" t="s">
        <v>1194</v>
      </c>
      <c r="E1" t="s">
        <v>1195</v>
      </c>
      <c r="F1" t="s">
        <v>2657</v>
      </c>
      <c r="G1" t="s">
        <v>2658</v>
      </c>
      <c r="H1" t="s">
        <v>2659</v>
      </c>
      <c r="I1" t="s">
        <v>2660</v>
      </c>
      <c r="J1" t="s">
        <v>2661</v>
      </c>
      <c r="K1" t="s">
        <v>2662</v>
      </c>
      <c r="L1" t="s">
        <v>2255</v>
      </c>
    </row>
    <row r="2" spans="1:12" hidden="1" x14ac:dyDescent="0.3">
      <c r="A2">
        <v>22</v>
      </c>
      <c r="B2" t="s">
        <v>916</v>
      </c>
      <c r="C2" t="s">
        <v>2666</v>
      </c>
      <c r="D2" t="s">
        <v>159</v>
      </c>
      <c r="E2" t="s">
        <v>159</v>
      </c>
      <c r="F2" t="s">
        <v>2665</v>
      </c>
      <c r="G2">
        <v>50300</v>
      </c>
      <c r="H2">
        <v>52800</v>
      </c>
      <c r="I2">
        <v>53800</v>
      </c>
      <c r="J2">
        <v>55300</v>
      </c>
      <c r="K2">
        <v>55300</v>
      </c>
      <c r="L2" t="s">
        <v>988</v>
      </c>
    </row>
    <row r="3" spans="1:12" hidden="1" x14ac:dyDescent="0.3">
      <c r="A3">
        <v>22</v>
      </c>
      <c r="B3" t="s">
        <v>916</v>
      </c>
      <c r="C3" t="s">
        <v>2666</v>
      </c>
      <c r="D3" t="s">
        <v>159</v>
      </c>
      <c r="E3" t="s">
        <v>159</v>
      </c>
      <c r="F3" t="s">
        <v>2664</v>
      </c>
      <c r="G3">
        <v>76700</v>
      </c>
      <c r="H3">
        <v>90700</v>
      </c>
      <c r="I3">
        <v>84700</v>
      </c>
      <c r="J3">
        <v>83200</v>
      </c>
      <c r="K3">
        <v>83200</v>
      </c>
      <c r="L3" t="s">
        <v>988</v>
      </c>
    </row>
    <row r="4" spans="1:12" hidden="1" x14ac:dyDescent="0.3">
      <c r="A4">
        <v>79</v>
      </c>
      <c r="B4" t="s">
        <v>941</v>
      </c>
      <c r="C4" t="s">
        <v>2666</v>
      </c>
      <c r="D4" t="s">
        <v>1203</v>
      </c>
      <c r="E4" t="s">
        <v>1204</v>
      </c>
      <c r="F4" t="s">
        <v>2664</v>
      </c>
      <c r="G4">
        <v>87890</v>
      </c>
      <c r="H4">
        <v>85710</v>
      </c>
      <c r="I4">
        <v>83540</v>
      </c>
      <c r="J4">
        <v>81370</v>
      </c>
      <c r="K4">
        <v>81370</v>
      </c>
      <c r="L4" t="s">
        <v>988</v>
      </c>
    </row>
    <row r="5" spans="1:12" hidden="1" x14ac:dyDescent="0.3">
      <c r="A5">
        <v>79</v>
      </c>
      <c r="B5" t="s">
        <v>941</v>
      </c>
      <c r="C5" t="s">
        <v>2666</v>
      </c>
      <c r="D5" t="s">
        <v>1203</v>
      </c>
      <c r="E5" t="s">
        <v>1204</v>
      </c>
      <c r="F5" t="s">
        <v>2665</v>
      </c>
      <c r="G5">
        <v>44440</v>
      </c>
      <c r="H5">
        <v>50990</v>
      </c>
      <c r="I5">
        <v>51880</v>
      </c>
      <c r="J5">
        <v>55210</v>
      </c>
      <c r="K5">
        <v>57590</v>
      </c>
      <c r="L5" t="s">
        <v>988</v>
      </c>
    </row>
    <row r="6" spans="1:12" hidden="1" x14ac:dyDescent="0.3">
      <c r="A6">
        <v>123</v>
      </c>
      <c r="B6" t="s">
        <v>1242</v>
      </c>
      <c r="C6" t="s">
        <v>2666</v>
      </c>
      <c r="D6" t="s">
        <v>1203</v>
      </c>
      <c r="E6" t="s">
        <v>1204</v>
      </c>
      <c r="F6" t="s">
        <v>2664</v>
      </c>
      <c r="G6">
        <v>100000</v>
      </c>
      <c r="H6">
        <v>100000</v>
      </c>
      <c r="I6">
        <v>100000</v>
      </c>
      <c r="J6">
        <v>100000</v>
      </c>
      <c r="K6">
        <v>0</v>
      </c>
      <c r="L6" t="s">
        <v>988</v>
      </c>
    </row>
    <row r="7" spans="1:12" hidden="1" x14ac:dyDescent="0.3">
      <c r="A7">
        <v>123</v>
      </c>
      <c r="B7" t="s">
        <v>1242</v>
      </c>
      <c r="C7" t="s">
        <v>2666</v>
      </c>
      <c r="D7" t="s">
        <v>1203</v>
      </c>
      <c r="E7" t="s">
        <v>1204</v>
      </c>
      <c r="F7" t="s">
        <v>2665</v>
      </c>
      <c r="G7">
        <v>100000</v>
      </c>
      <c r="H7">
        <v>100000</v>
      </c>
      <c r="I7">
        <v>100000</v>
      </c>
      <c r="J7">
        <v>100000</v>
      </c>
      <c r="K7">
        <v>0</v>
      </c>
      <c r="L7" t="s">
        <v>988</v>
      </c>
    </row>
    <row r="8" spans="1:12" hidden="1" x14ac:dyDescent="0.3">
      <c r="A8">
        <v>433</v>
      </c>
      <c r="B8" t="s">
        <v>2124</v>
      </c>
      <c r="C8" t="s">
        <v>2666</v>
      </c>
      <c r="D8" t="s">
        <v>1203</v>
      </c>
      <c r="E8" t="s">
        <v>1204</v>
      </c>
      <c r="F8" t="s">
        <v>2664</v>
      </c>
      <c r="G8">
        <v>114187</v>
      </c>
      <c r="H8">
        <v>115300</v>
      </c>
      <c r="I8">
        <v>117460</v>
      </c>
      <c r="J8">
        <v>118906</v>
      </c>
      <c r="K8">
        <v>119364</v>
      </c>
      <c r="L8" t="s">
        <v>988</v>
      </c>
    </row>
    <row r="9" spans="1:12" hidden="1" x14ac:dyDescent="0.3">
      <c r="A9">
        <v>433</v>
      </c>
      <c r="B9" t="s">
        <v>2124</v>
      </c>
      <c r="C9" t="s">
        <v>2666</v>
      </c>
      <c r="D9" t="s">
        <v>1203</v>
      </c>
      <c r="E9" t="s">
        <v>1204</v>
      </c>
      <c r="F9" t="s">
        <v>2665</v>
      </c>
      <c r="G9">
        <v>87541</v>
      </c>
      <c r="H9">
        <v>88665</v>
      </c>
      <c r="I9">
        <v>90846</v>
      </c>
      <c r="J9">
        <v>92307</v>
      </c>
      <c r="K9">
        <v>92769</v>
      </c>
      <c r="L9" t="s">
        <v>988</v>
      </c>
    </row>
    <row r="10" spans="1:12" hidden="1" x14ac:dyDescent="0.3">
      <c r="A10">
        <v>495</v>
      </c>
      <c r="B10" t="s">
        <v>1382</v>
      </c>
      <c r="C10" t="s">
        <v>2666</v>
      </c>
      <c r="D10" t="s">
        <v>1203</v>
      </c>
      <c r="E10" t="s">
        <v>1204</v>
      </c>
      <c r="F10" t="s">
        <v>2665</v>
      </c>
      <c r="G10">
        <v>4356</v>
      </c>
      <c r="H10">
        <v>4356</v>
      </c>
      <c r="I10">
        <v>4356</v>
      </c>
      <c r="J10">
        <v>4356</v>
      </c>
      <c r="K10">
        <v>0</v>
      </c>
      <c r="L10" t="s">
        <v>988</v>
      </c>
    </row>
    <row r="11" spans="1:12" hidden="1" x14ac:dyDescent="0.3">
      <c r="A11">
        <v>495</v>
      </c>
      <c r="B11" t="s">
        <v>1382</v>
      </c>
      <c r="C11" t="s">
        <v>2666</v>
      </c>
      <c r="D11" t="s">
        <v>1203</v>
      </c>
      <c r="E11" t="s">
        <v>1204</v>
      </c>
      <c r="F11" t="s">
        <v>2664</v>
      </c>
      <c r="G11">
        <v>5103</v>
      </c>
      <c r="H11">
        <v>5103</v>
      </c>
      <c r="I11">
        <v>5103</v>
      </c>
      <c r="J11">
        <v>5103</v>
      </c>
      <c r="K11">
        <v>0</v>
      </c>
      <c r="L11" t="s">
        <v>988</v>
      </c>
    </row>
    <row r="12" spans="1:12" hidden="1" x14ac:dyDescent="0.3">
      <c r="A12">
        <v>510</v>
      </c>
      <c r="B12" t="s">
        <v>2127</v>
      </c>
      <c r="C12" t="s">
        <v>2666</v>
      </c>
      <c r="D12" t="s">
        <v>1203</v>
      </c>
      <c r="E12" t="s">
        <v>1204</v>
      </c>
      <c r="F12" t="s">
        <v>2664</v>
      </c>
      <c r="G12">
        <v>308033</v>
      </c>
      <c r="H12">
        <v>313940</v>
      </c>
      <c r="I12">
        <v>319898</v>
      </c>
      <c r="J12">
        <v>325165</v>
      </c>
      <c r="K12">
        <v>328659</v>
      </c>
      <c r="L12" t="s">
        <v>988</v>
      </c>
    </row>
    <row r="13" spans="1:12" hidden="1" x14ac:dyDescent="0.3">
      <c r="A13">
        <v>510</v>
      </c>
      <c r="B13" t="s">
        <v>2127</v>
      </c>
      <c r="C13" t="s">
        <v>2666</v>
      </c>
      <c r="D13" t="s">
        <v>1203</v>
      </c>
      <c r="E13" t="s">
        <v>1204</v>
      </c>
      <c r="F13" t="s">
        <v>2665</v>
      </c>
      <c r="G13">
        <v>260234</v>
      </c>
      <c r="H13">
        <v>260942</v>
      </c>
      <c r="I13">
        <v>262197</v>
      </c>
      <c r="J13">
        <v>263096</v>
      </c>
      <c r="K13">
        <v>264664</v>
      </c>
      <c r="L13" t="s">
        <v>988</v>
      </c>
    </row>
    <row r="14" spans="1:12" hidden="1" x14ac:dyDescent="0.3">
      <c r="A14">
        <v>514</v>
      </c>
      <c r="B14" t="s">
        <v>2131</v>
      </c>
      <c r="C14" t="s">
        <v>2666</v>
      </c>
      <c r="D14" t="s">
        <v>1203</v>
      </c>
      <c r="E14" t="s">
        <v>1204</v>
      </c>
      <c r="F14" t="s">
        <v>2665</v>
      </c>
      <c r="G14">
        <v>26542</v>
      </c>
      <c r="H14">
        <v>26303</v>
      </c>
      <c r="I14">
        <v>26064</v>
      </c>
      <c r="J14">
        <v>25824</v>
      </c>
      <c r="K14">
        <v>25589</v>
      </c>
      <c r="L14" t="s">
        <v>988</v>
      </c>
    </row>
    <row r="15" spans="1:12" hidden="1" x14ac:dyDescent="0.3">
      <c r="A15">
        <v>514</v>
      </c>
      <c r="B15" t="s">
        <v>2131</v>
      </c>
      <c r="C15" t="s">
        <v>2666</v>
      </c>
      <c r="D15" t="s">
        <v>1203</v>
      </c>
      <c r="E15" t="s">
        <v>1204</v>
      </c>
      <c r="F15" t="s">
        <v>2664</v>
      </c>
      <c r="G15">
        <v>26542</v>
      </c>
      <c r="H15">
        <v>26303</v>
      </c>
      <c r="I15">
        <v>26064</v>
      </c>
      <c r="J15">
        <v>25824</v>
      </c>
      <c r="K15">
        <v>25589</v>
      </c>
      <c r="L15" t="s">
        <v>988</v>
      </c>
    </row>
    <row r="16" spans="1:12" hidden="1" x14ac:dyDescent="0.3">
      <c r="A16">
        <v>546</v>
      </c>
      <c r="B16" t="s">
        <v>2133</v>
      </c>
      <c r="C16" t="s">
        <v>2666</v>
      </c>
      <c r="D16" t="s">
        <v>1203</v>
      </c>
      <c r="E16" t="s">
        <v>1204</v>
      </c>
      <c r="F16" t="s">
        <v>2664</v>
      </c>
      <c r="G16">
        <v>40000</v>
      </c>
      <c r="H16">
        <v>40000</v>
      </c>
      <c r="I16">
        <v>40000</v>
      </c>
      <c r="J16">
        <v>40000</v>
      </c>
      <c r="K16">
        <v>40000</v>
      </c>
      <c r="L16" t="s">
        <v>988</v>
      </c>
    </row>
    <row r="17" spans="1:12" hidden="1" x14ac:dyDescent="0.3">
      <c r="A17">
        <v>546</v>
      </c>
      <c r="B17" t="s">
        <v>2133</v>
      </c>
      <c r="C17" t="s">
        <v>2666</v>
      </c>
      <c r="D17" t="s">
        <v>1203</v>
      </c>
      <c r="E17" t="s">
        <v>1204</v>
      </c>
      <c r="F17" t="s">
        <v>2665</v>
      </c>
      <c r="G17">
        <v>40000</v>
      </c>
      <c r="H17">
        <v>40000</v>
      </c>
      <c r="I17">
        <v>40000</v>
      </c>
      <c r="J17">
        <v>40000</v>
      </c>
      <c r="K17">
        <v>40000</v>
      </c>
      <c r="L17" t="s">
        <v>988</v>
      </c>
    </row>
    <row r="18" spans="1:12" hidden="1" x14ac:dyDescent="0.3">
      <c r="A18">
        <v>613</v>
      </c>
      <c r="B18" t="s">
        <v>804</v>
      </c>
      <c r="C18" t="s">
        <v>2666</v>
      </c>
      <c r="D18" t="s">
        <v>1203</v>
      </c>
      <c r="E18" t="s">
        <v>1204</v>
      </c>
      <c r="F18" t="s">
        <v>2664</v>
      </c>
      <c r="G18">
        <v>216600</v>
      </c>
      <c r="H18">
        <v>235500</v>
      </c>
      <c r="I18">
        <v>240700</v>
      </c>
      <c r="J18">
        <v>242000</v>
      </c>
      <c r="K18">
        <v>243100</v>
      </c>
      <c r="L18" t="s">
        <v>988</v>
      </c>
    </row>
    <row r="19" spans="1:12" hidden="1" x14ac:dyDescent="0.3">
      <c r="A19">
        <v>613</v>
      </c>
      <c r="B19" t="s">
        <v>804</v>
      </c>
      <c r="C19" t="s">
        <v>2666</v>
      </c>
      <c r="D19" t="s">
        <v>1203</v>
      </c>
      <c r="E19" t="s">
        <v>1204</v>
      </c>
      <c r="F19" t="s">
        <v>2665</v>
      </c>
      <c r="G19">
        <v>147300</v>
      </c>
      <c r="H19">
        <v>157300</v>
      </c>
      <c r="I19">
        <v>165000</v>
      </c>
      <c r="J19">
        <v>171300</v>
      </c>
      <c r="K19">
        <v>175900</v>
      </c>
      <c r="L19" t="s">
        <v>988</v>
      </c>
    </row>
    <row r="20" spans="1:12" hidden="1" x14ac:dyDescent="0.3">
      <c r="A20">
        <v>785</v>
      </c>
      <c r="B20" t="s">
        <v>1476</v>
      </c>
      <c r="C20" t="s">
        <v>2666</v>
      </c>
      <c r="D20" t="s">
        <v>1203</v>
      </c>
      <c r="E20" t="s">
        <v>1204</v>
      </c>
      <c r="F20" t="s">
        <v>2664</v>
      </c>
      <c r="G20">
        <v>4058</v>
      </c>
      <c r="H20">
        <v>4191</v>
      </c>
      <c r="I20">
        <v>4304</v>
      </c>
      <c r="J20">
        <v>4416</v>
      </c>
      <c r="K20">
        <v>4538</v>
      </c>
      <c r="L20" t="s">
        <v>988</v>
      </c>
    </row>
    <row r="21" spans="1:12" hidden="1" x14ac:dyDescent="0.3">
      <c r="A21">
        <v>785</v>
      </c>
      <c r="B21" t="s">
        <v>1476</v>
      </c>
      <c r="C21" t="s">
        <v>2666</v>
      </c>
      <c r="D21" t="s">
        <v>1203</v>
      </c>
      <c r="E21" t="s">
        <v>1204</v>
      </c>
      <c r="F21" t="s">
        <v>2665</v>
      </c>
      <c r="G21">
        <v>4058</v>
      </c>
      <c r="H21">
        <v>4191</v>
      </c>
      <c r="I21">
        <v>4304</v>
      </c>
      <c r="J21">
        <v>4416</v>
      </c>
      <c r="K21">
        <v>4538</v>
      </c>
      <c r="L21" t="s">
        <v>988</v>
      </c>
    </row>
    <row r="22" spans="1:12" hidden="1" x14ac:dyDescent="0.3">
      <c r="A22">
        <v>794</v>
      </c>
      <c r="B22" t="s">
        <v>1483</v>
      </c>
      <c r="C22" t="s">
        <v>2666</v>
      </c>
      <c r="D22" t="s">
        <v>159</v>
      </c>
      <c r="E22" t="s">
        <v>159</v>
      </c>
      <c r="F22" t="s">
        <v>2665</v>
      </c>
      <c r="G22">
        <v>62970</v>
      </c>
      <c r="H22">
        <v>57580</v>
      </c>
      <c r="I22">
        <v>60000</v>
      </c>
      <c r="J22">
        <v>62300</v>
      </c>
      <c r="K22">
        <v>64400</v>
      </c>
      <c r="L22" t="s">
        <v>988</v>
      </c>
    </row>
    <row r="23" spans="1:12" hidden="1" x14ac:dyDescent="0.3">
      <c r="A23">
        <v>794</v>
      </c>
      <c r="B23" t="s">
        <v>1483</v>
      </c>
      <c r="C23" t="s">
        <v>2666</v>
      </c>
      <c r="D23" t="s">
        <v>159</v>
      </c>
      <c r="E23" t="s">
        <v>159</v>
      </c>
      <c r="F23" t="s">
        <v>2664</v>
      </c>
      <c r="G23">
        <v>62970</v>
      </c>
      <c r="H23">
        <v>57580</v>
      </c>
      <c r="I23">
        <v>60000</v>
      </c>
      <c r="J23">
        <v>62300</v>
      </c>
      <c r="K23">
        <v>64400</v>
      </c>
      <c r="L23" t="s">
        <v>988</v>
      </c>
    </row>
    <row r="24" spans="1:12" hidden="1" x14ac:dyDescent="0.3">
      <c r="A24">
        <v>909</v>
      </c>
      <c r="B24" t="s">
        <v>2152</v>
      </c>
      <c r="C24" t="s">
        <v>2666</v>
      </c>
      <c r="D24" t="s">
        <v>1203</v>
      </c>
      <c r="E24" t="s">
        <v>1204</v>
      </c>
      <c r="F24" t="s">
        <v>2665</v>
      </c>
      <c r="G24">
        <v>8747.1</v>
      </c>
      <c r="H24">
        <v>8821.2000000000007</v>
      </c>
      <c r="I24">
        <v>8896.4</v>
      </c>
      <c r="J24">
        <v>8972.7999999999993</v>
      </c>
      <c r="K24">
        <v>9050.41</v>
      </c>
      <c r="L24" t="s">
        <v>988</v>
      </c>
    </row>
    <row r="25" spans="1:12" hidden="1" x14ac:dyDescent="0.3">
      <c r="A25">
        <v>909</v>
      </c>
      <c r="B25" t="s">
        <v>2152</v>
      </c>
      <c r="C25" t="s">
        <v>2666</v>
      </c>
      <c r="D25" t="s">
        <v>1203</v>
      </c>
      <c r="E25" t="s">
        <v>1204</v>
      </c>
      <c r="F25" t="s">
        <v>2664</v>
      </c>
      <c r="G25">
        <v>11773</v>
      </c>
      <c r="H25">
        <v>11773</v>
      </c>
      <c r="I25">
        <v>11773</v>
      </c>
      <c r="J25">
        <v>11773</v>
      </c>
      <c r="K25">
        <v>11773</v>
      </c>
      <c r="L25" t="s">
        <v>988</v>
      </c>
    </row>
    <row r="26" spans="1:12" hidden="1" x14ac:dyDescent="0.3">
      <c r="A26">
        <v>1144</v>
      </c>
      <c r="B26" t="s">
        <v>1581</v>
      </c>
      <c r="C26" t="s">
        <v>2666</v>
      </c>
      <c r="D26" t="s">
        <v>1203</v>
      </c>
      <c r="E26" t="s">
        <v>1204</v>
      </c>
      <c r="F26" t="s">
        <v>2664</v>
      </c>
      <c r="G26">
        <v>64.446644849999998</v>
      </c>
      <c r="H26">
        <v>64.446644849999998</v>
      </c>
      <c r="I26">
        <v>64.446644849999998</v>
      </c>
      <c r="J26">
        <v>64.446644849999998</v>
      </c>
      <c r="K26">
        <v>64.446644849999998</v>
      </c>
      <c r="L26" t="s">
        <v>988</v>
      </c>
    </row>
    <row r="27" spans="1:12" hidden="1" x14ac:dyDescent="0.3">
      <c r="A27">
        <v>1144</v>
      </c>
      <c r="B27" t="s">
        <v>1581</v>
      </c>
      <c r="C27" t="s">
        <v>2666</v>
      </c>
      <c r="D27" t="s">
        <v>1203</v>
      </c>
      <c r="E27" t="s">
        <v>1204</v>
      </c>
      <c r="F27" t="s">
        <v>2665</v>
      </c>
      <c r="G27">
        <v>64.446644849999998</v>
      </c>
      <c r="H27">
        <v>64.446644849999998</v>
      </c>
      <c r="I27">
        <v>64.446644849999998</v>
      </c>
      <c r="J27">
        <v>64.446644849999998</v>
      </c>
      <c r="K27">
        <v>64.446644849999998</v>
      </c>
      <c r="L27" t="s">
        <v>988</v>
      </c>
    </row>
    <row r="28" spans="1:12" hidden="1" x14ac:dyDescent="0.3">
      <c r="A28">
        <v>1209</v>
      </c>
      <c r="B28" t="s">
        <v>2160</v>
      </c>
      <c r="C28" t="s">
        <v>2666</v>
      </c>
      <c r="D28" t="s">
        <v>1203</v>
      </c>
      <c r="E28" t="s">
        <v>1204</v>
      </c>
      <c r="F28" t="s">
        <v>2665</v>
      </c>
      <c r="G28">
        <v>10083</v>
      </c>
      <c r="H28">
        <v>10413</v>
      </c>
      <c r="I28">
        <v>10751</v>
      </c>
      <c r="J28">
        <v>11099</v>
      </c>
      <c r="K28">
        <v>0</v>
      </c>
      <c r="L28" t="s">
        <v>988</v>
      </c>
    </row>
    <row r="29" spans="1:12" hidden="1" x14ac:dyDescent="0.3">
      <c r="A29">
        <v>1209</v>
      </c>
      <c r="B29" t="s">
        <v>2160</v>
      </c>
      <c r="C29" t="s">
        <v>2666</v>
      </c>
      <c r="D29" t="s">
        <v>1203</v>
      </c>
      <c r="E29" t="s">
        <v>1204</v>
      </c>
      <c r="F29" t="s">
        <v>2664</v>
      </c>
      <c r="G29">
        <v>84000</v>
      </c>
      <c r="H29">
        <v>84000</v>
      </c>
      <c r="I29">
        <v>84000</v>
      </c>
      <c r="J29">
        <v>84000</v>
      </c>
      <c r="K29">
        <v>0</v>
      </c>
      <c r="L29" t="s">
        <v>988</v>
      </c>
    </row>
    <row r="30" spans="1:12" hidden="1" x14ac:dyDescent="0.3">
      <c r="A30">
        <v>1239</v>
      </c>
      <c r="B30" t="s">
        <v>2169</v>
      </c>
      <c r="C30" t="s">
        <v>2666</v>
      </c>
      <c r="D30" t="s">
        <v>159</v>
      </c>
      <c r="E30" t="s">
        <v>159</v>
      </c>
      <c r="F30" t="s">
        <v>2664</v>
      </c>
      <c r="G30">
        <v>153356</v>
      </c>
      <c r="H30">
        <v>156490</v>
      </c>
      <c r="I30">
        <v>157425</v>
      </c>
      <c r="J30">
        <v>160119</v>
      </c>
      <c r="K30">
        <v>160119</v>
      </c>
      <c r="L30" t="s">
        <v>988</v>
      </c>
    </row>
    <row r="31" spans="1:12" hidden="1" x14ac:dyDescent="0.3">
      <c r="A31">
        <v>1239</v>
      </c>
      <c r="B31" t="s">
        <v>2169</v>
      </c>
      <c r="C31" t="s">
        <v>2666</v>
      </c>
      <c r="D31" t="s">
        <v>159</v>
      </c>
      <c r="E31" t="s">
        <v>159</v>
      </c>
      <c r="F31" t="s">
        <v>2665</v>
      </c>
      <c r="G31">
        <v>116716</v>
      </c>
      <c r="H31">
        <v>120927</v>
      </c>
      <c r="I31">
        <v>124136</v>
      </c>
      <c r="J31">
        <v>128212</v>
      </c>
      <c r="K31">
        <v>128756</v>
      </c>
      <c r="L31" t="s">
        <v>988</v>
      </c>
    </row>
    <row r="32" spans="1:12" hidden="1" x14ac:dyDescent="0.3">
      <c r="A32">
        <v>1288</v>
      </c>
      <c r="B32" t="s">
        <v>908</v>
      </c>
      <c r="C32" t="s">
        <v>2666</v>
      </c>
      <c r="D32" t="s">
        <v>159</v>
      </c>
      <c r="E32" t="s">
        <v>159</v>
      </c>
      <c r="F32" t="s">
        <v>2665</v>
      </c>
      <c r="G32">
        <v>62575</v>
      </c>
      <c r="H32">
        <v>64075</v>
      </c>
      <c r="I32">
        <v>65600</v>
      </c>
      <c r="J32">
        <v>65600</v>
      </c>
      <c r="K32">
        <v>65600</v>
      </c>
      <c r="L32" t="s">
        <v>988</v>
      </c>
    </row>
    <row r="33" spans="1:12" hidden="1" x14ac:dyDescent="0.3">
      <c r="A33">
        <v>1288</v>
      </c>
      <c r="B33" t="s">
        <v>908</v>
      </c>
      <c r="C33" t="s">
        <v>2666</v>
      </c>
      <c r="D33" t="s">
        <v>159</v>
      </c>
      <c r="E33" t="s">
        <v>159</v>
      </c>
      <c r="F33" t="s">
        <v>2664</v>
      </c>
      <c r="G33">
        <v>122777</v>
      </c>
      <c r="H33">
        <v>122777</v>
      </c>
      <c r="I33">
        <v>122777</v>
      </c>
      <c r="J33">
        <v>122777</v>
      </c>
      <c r="K33">
        <v>122777</v>
      </c>
      <c r="L33" t="s">
        <v>988</v>
      </c>
    </row>
    <row r="34" spans="1:12" x14ac:dyDescent="0.3">
      <c r="A34">
        <v>1599</v>
      </c>
      <c r="B34" t="s">
        <v>955</v>
      </c>
      <c r="C34" t="s">
        <v>2666</v>
      </c>
      <c r="D34" t="s">
        <v>159</v>
      </c>
      <c r="E34" t="s">
        <v>159</v>
      </c>
      <c r="F34" t="s">
        <v>2664</v>
      </c>
      <c r="G34">
        <v>3912000</v>
      </c>
      <c r="H34">
        <v>3906000</v>
      </c>
      <c r="I34">
        <v>3903000</v>
      </c>
      <c r="J34">
        <v>3901000</v>
      </c>
      <c r="K34">
        <v>3898000</v>
      </c>
      <c r="L34" t="s">
        <v>988</v>
      </c>
    </row>
    <row r="35" spans="1:12" x14ac:dyDescent="0.3">
      <c r="A35">
        <v>1599</v>
      </c>
      <c r="B35" t="s">
        <v>955</v>
      </c>
      <c r="C35" t="s">
        <v>2666</v>
      </c>
      <c r="D35" t="s">
        <v>159</v>
      </c>
      <c r="E35" t="s">
        <v>159</v>
      </c>
      <c r="F35" t="s">
        <v>2665</v>
      </c>
      <c r="G35">
        <v>1427000</v>
      </c>
      <c r="H35">
        <v>1388000</v>
      </c>
      <c r="I35">
        <v>1362000</v>
      </c>
      <c r="J35">
        <v>1378000</v>
      </c>
      <c r="K35">
        <v>1403000</v>
      </c>
      <c r="L35" t="s">
        <v>988</v>
      </c>
    </row>
    <row r="36" spans="1:12" hidden="1" x14ac:dyDescent="0.3">
      <c r="A36">
        <v>1632</v>
      </c>
      <c r="B36" t="s">
        <v>2173</v>
      </c>
      <c r="C36" t="s">
        <v>2666</v>
      </c>
      <c r="D36" t="s">
        <v>1203</v>
      </c>
      <c r="E36" t="s">
        <v>1204</v>
      </c>
      <c r="F36" t="s">
        <v>2665</v>
      </c>
      <c r="G36">
        <v>39200</v>
      </c>
      <c r="H36">
        <v>44800</v>
      </c>
      <c r="I36">
        <v>50400</v>
      </c>
      <c r="J36">
        <v>56000</v>
      </c>
      <c r="K36">
        <v>61600</v>
      </c>
      <c r="L36" t="s">
        <v>988</v>
      </c>
    </row>
    <row r="37" spans="1:12" hidden="1" x14ac:dyDescent="0.3">
      <c r="A37">
        <v>1632</v>
      </c>
      <c r="B37" t="s">
        <v>2173</v>
      </c>
      <c r="C37" t="s">
        <v>2666</v>
      </c>
      <c r="D37" t="s">
        <v>1203</v>
      </c>
      <c r="E37" t="s">
        <v>1204</v>
      </c>
      <c r="F37" t="s">
        <v>2664</v>
      </c>
      <c r="G37">
        <v>39200</v>
      </c>
      <c r="H37">
        <v>44800</v>
      </c>
      <c r="I37">
        <v>50400</v>
      </c>
      <c r="J37">
        <v>56000</v>
      </c>
      <c r="K37">
        <v>61600</v>
      </c>
      <c r="L37" t="s">
        <v>988</v>
      </c>
    </row>
    <row r="38" spans="1:12" hidden="1" x14ac:dyDescent="0.3">
      <c r="A38">
        <v>1635</v>
      </c>
      <c r="B38" t="s">
        <v>829</v>
      </c>
      <c r="C38" t="s">
        <v>2666</v>
      </c>
      <c r="D38" t="s">
        <v>159</v>
      </c>
      <c r="E38" t="s">
        <v>159</v>
      </c>
      <c r="F38" t="s">
        <v>2665</v>
      </c>
      <c r="G38">
        <v>130800</v>
      </c>
      <c r="H38">
        <v>135300</v>
      </c>
      <c r="I38">
        <v>137700</v>
      </c>
      <c r="J38">
        <v>140200</v>
      </c>
      <c r="K38">
        <v>142900</v>
      </c>
      <c r="L38" t="s">
        <v>988</v>
      </c>
    </row>
    <row r="39" spans="1:12" hidden="1" x14ac:dyDescent="0.3">
      <c r="A39">
        <v>1635</v>
      </c>
      <c r="B39" t="s">
        <v>829</v>
      </c>
      <c r="C39" t="s">
        <v>2666</v>
      </c>
      <c r="D39" t="s">
        <v>159</v>
      </c>
      <c r="E39" t="s">
        <v>159</v>
      </c>
      <c r="F39" t="s">
        <v>2664</v>
      </c>
      <c r="G39">
        <v>130800</v>
      </c>
      <c r="H39">
        <v>135300</v>
      </c>
      <c r="I39">
        <v>137700</v>
      </c>
      <c r="J39">
        <v>140200</v>
      </c>
      <c r="K39">
        <v>142900</v>
      </c>
      <c r="L39" t="s">
        <v>988</v>
      </c>
    </row>
    <row r="40" spans="1:12" hidden="1" x14ac:dyDescent="0.3">
      <c r="A40">
        <v>1642</v>
      </c>
      <c r="B40" t="s">
        <v>1720</v>
      </c>
      <c r="C40" t="s">
        <v>2666</v>
      </c>
      <c r="D40" t="s">
        <v>1203</v>
      </c>
      <c r="E40" t="s">
        <v>1204</v>
      </c>
      <c r="F40" t="s">
        <v>2665</v>
      </c>
      <c r="G40">
        <v>9000</v>
      </c>
      <c r="H40">
        <v>9000</v>
      </c>
      <c r="I40">
        <v>9000</v>
      </c>
      <c r="J40">
        <v>9000</v>
      </c>
      <c r="K40">
        <v>9000</v>
      </c>
      <c r="L40" t="s">
        <v>988</v>
      </c>
    </row>
    <row r="41" spans="1:12" hidden="1" x14ac:dyDescent="0.3">
      <c r="A41">
        <v>1642</v>
      </c>
      <c r="B41" t="s">
        <v>1720</v>
      </c>
      <c r="C41" t="s">
        <v>2666</v>
      </c>
      <c r="D41" t="s">
        <v>1203</v>
      </c>
      <c r="E41" t="s">
        <v>1204</v>
      </c>
      <c r="F41" t="s">
        <v>2664</v>
      </c>
      <c r="G41">
        <v>9000</v>
      </c>
      <c r="H41">
        <v>9000</v>
      </c>
      <c r="I41">
        <v>9000</v>
      </c>
      <c r="J41">
        <v>9000</v>
      </c>
      <c r="K41">
        <v>9000</v>
      </c>
      <c r="L41" t="s">
        <v>988</v>
      </c>
    </row>
    <row r="42" spans="1:12" hidden="1" x14ac:dyDescent="0.3">
      <c r="A42">
        <v>1684</v>
      </c>
      <c r="B42" t="s">
        <v>2176</v>
      </c>
      <c r="C42" t="s">
        <v>2666</v>
      </c>
      <c r="D42" t="s">
        <v>159</v>
      </c>
      <c r="E42" t="s">
        <v>159</v>
      </c>
      <c r="F42" t="s">
        <v>2665</v>
      </c>
      <c r="G42">
        <v>175360</v>
      </c>
      <c r="H42">
        <v>176190</v>
      </c>
      <c r="I42">
        <v>179119</v>
      </c>
      <c r="J42">
        <v>178724</v>
      </c>
      <c r="K42">
        <v>178436</v>
      </c>
      <c r="L42" t="s">
        <v>988</v>
      </c>
    </row>
    <row r="43" spans="1:12" hidden="1" x14ac:dyDescent="0.3">
      <c r="A43">
        <v>1684</v>
      </c>
      <c r="B43" t="s">
        <v>2176</v>
      </c>
      <c r="C43" t="s">
        <v>2666</v>
      </c>
      <c r="D43" t="s">
        <v>159</v>
      </c>
      <c r="E43" t="s">
        <v>159</v>
      </c>
      <c r="F43" t="s">
        <v>2664</v>
      </c>
      <c r="G43">
        <v>175360</v>
      </c>
      <c r="H43">
        <v>176190</v>
      </c>
      <c r="I43">
        <v>179119</v>
      </c>
      <c r="J43">
        <v>178724</v>
      </c>
      <c r="K43">
        <v>178436</v>
      </c>
      <c r="L43" t="s">
        <v>988</v>
      </c>
    </row>
    <row r="44" spans="1:12" hidden="1" x14ac:dyDescent="0.3">
      <c r="A44">
        <v>1927</v>
      </c>
      <c r="B44" t="s">
        <v>771</v>
      </c>
      <c r="C44" t="s">
        <v>2666</v>
      </c>
      <c r="D44" t="s">
        <v>1203</v>
      </c>
      <c r="E44" t="s">
        <v>1204</v>
      </c>
      <c r="F44" t="s">
        <v>2665</v>
      </c>
      <c r="G44">
        <v>70336</v>
      </c>
      <c r="H44">
        <v>79600</v>
      </c>
      <c r="I44">
        <v>90999</v>
      </c>
      <c r="J44">
        <v>115038</v>
      </c>
      <c r="K44">
        <v>0</v>
      </c>
      <c r="L44" t="s">
        <v>988</v>
      </c>
    </row>
    <row r="45" spans="1:12" hidden="1" x14ac:dyDescent="0.3">
      <c r="A45">
        <v>1927</v>
      </c>
      <c r="B45" t="s">
        <v>771</v>
      </c>
      <c r="C45" t="s">
        <v>2666</v>
      </c>
      <c r="D45" t="s">
        <v>1203</v>
      </c>
      <c r="E45" t="s">
        <v>1204</v>
      </c>
      <c r="F45" t="s">
        <v>2664</v>
      </c>
      <c r="G45">
        <v>250800</v>
      </c>
      <c r="H45">
        <v>290300</v>
      </c>
      <c r="I45">
        <v>292800</v>
      </c>
      <c r="J45">
        <v>295800</v>
      </c>
      <c r="K45">
        <v>0</v>
      </c>
      <c r="L45" t="s">
        <v>988</v>
      </c>
    </row>
    <row r="46" spans="1:12" hidden="1" x14ac:dyDescent="0.3">
      <c r="A46">
        <v>1954</v>
      </c>
      <c r="B46" t="s">
        <v>2180</v>
      </c>
      <c r="C46" t="s">
        <v>2666</v>
      </c>
      <c r="D46" t="s">
        <v>1203</v>
      </c>
      <c r="E46" t="s">
        <v>1204</v>
      </c>
      <c r="F46" t="s">
        <v>2665</v>
      </c>
      <c r="G46">
        <v>4495</v>
      </c>
      <c r="H46">
        <v>4843</v>
      </c>
      <c r="I46">
        <v>5222</v>
      </c>
      <c r="J46">
        <v>5631</v>
      </c>
      <c r="K46">
        <v>5946</v>
      </c>
      <c r="L46" t="s">
        <v>988</v>
      </c>
    </row>
    <row r="47" spans="1:12" hidden="1" x14ac:dyDescent="0.3">
      <c r="A47">
        <v>1954</v>
      </c>
      <c r="B47" t="s">
        <v>2180</v>
      </c>
      <c r="C47" t="s">
        <v>2666</v>
      </c>
      <c r="D47" t="s">
        <v>1203</v>
      </c>
      <c r="E47" t="s">
        <v>1204</v>
      </c>
      <c r="F47" t="s">
        <v>2664</v>
      </c>
      <c r="G47">
        <v>6983</v>
      </c>
      <c r="H47">
        <v>6453</v>
      </c>
      <c r="I47">
        <v>5924</v>
      </c>
      <c r="J47">
        <v>5394</v>
      </c>
      <c r="K47">
        <v>4936</v>
      </c>
      <c r="L47" t="s">
        <v>988</v>
      </c>
    </row>
    <row r="48" spans="1:12" hidden="1" x14ac:dyDescent="0.3">
      <c r="A48">
        <v>2083</v>
      </c>
      <c r="B48" t="s">
        <v>1854</v>
      </c>
      <c r="C48" t="s">
        <v>2666</v>
      </c>
      <c r="D48" t="s">
        <v>1203</v>
      </c>
      <c r="E48" t="s">
        <v>1204</v>
      </c>
      <c r="F48" t="s">
        <v>2665</v>
      </c>
      <c r="G48">
        <v>3000</v>
      </c>
      <c r="H48">
        <v>3000</v>
      </c>
      <c r="I48">
        <v>3000</v>
      </c>
      <c r="J48">
        <v>3000</v>
      </c>
      <c r="K48">
        <v>3000</v>
      </c>
      <c r="L48" t="s">
        <v>988</v>
      </c>
    </row>
    <row r="49" spans="1:12" hidden="1" x14ac:dyDescent="0.3">
      <c r="A49">
        <v>2083</v>
      </c>
      <c r="B49" t="s">
        <v>1854</v>
      </c>
      <c r="C49" t="s">
        <v>2666</v>
      </c>
      <c r="D49" t="s">
        <v>1203</v>
      </c>
      <c r="E49" t="s">
        <v>1204</v>
      </c>
      <c r="F49" t="s">
        <v>2664</v>
      </c>
      <c r="G49">
        <v>3000</v>
      </c>
      <c r="H49">
        <v>3000</v>
      </c>
      <c r="I49">
        <v>3000</v>
      </c>
      <c r="J49">
        <v>3000</v>
      </c>
      <c r="K49">
        <v>3000</v>
      </c>
      <c r="L49" t="s">
        <v>988</v>
      </c>
    </row>
    <row r="50" spans="1:12" hidden="1" x14ac:dyDescent="0.3">
      <c r="A50">
        <v>2130</v>
      </c>
      <c r="B50" t="s">
        <v>1879</v>
      </c>
      <c r="C50" t="s">
        <v>2666</v>
      </c>
      <c r="D50" t="s">
        <v>159</v>
      </c>
      <c r="E50" t="s">
        <v>159</v>
      </c>
      <c r="F50" t="s">
        <v>2665</v>
      </c>
      <c r="G50">
        <v>28406</v>
      </c>
      <c r="H50">
        <v>53135</v>
      </c>
      <c r="I50">
        <v>75098</v>
      </c>
      <c r="J50">
        <v>97060</v>
      </c>
      <c r="K50">
        <v>97060</v>
      </c>
      <c r="L50" t="s">
        <v>988</v>
      </c>
    </row>
    <row r="51" spans="1:12" hidden="1" x14ac:dyDescent="0.3">
      <c r="A51">
        <v>2130</v>
      </c>
      <c r="B51" t="s">
        <v>1879</v>
      </c>
      <c r="C51" t="s">
        <v>2666</v>
      </c>
      <c r="D51" t="s">
        <v>159</v>
      </c>
      <c r="E51" t="s">
        <v>159</v>
      </c>
      <c r="F51" t="s">
        <v>2664</v>
      </c>
      <c r="G51">
        <v>28406</v>
      </c>
      <c r="H51">
        <v>53135</v>
      </c>
      <c r="I51">
        <v>75098</v>
      </c>
      <c r="J51">
        <v>97060</v>
      </c>
      <c r="K51">
        <v>97060</v>
      </c>
      <c r="L51" t="s">
        <v>988</v>
      </c>
    </row>
    <row r="52" spans="1:12" hidden="1" x14ac:dyDescent="0.3">
      <c r="A52">
        <v>2132</v>
      </c>
      <c r="B52" t="s">
        <v>772</v>
      </c>
      <c r="C52" t="s">
        <v>2666</v>
      </c>
      <c r="D52" t="s">
        <v>1203</v>
      </c>
      <c r="E52" t="s">
        <v>1204</v>
      </c>
      <c r="F52" t="s">
        <v>2664</v>
      </c>
      <c r="G52">
        <v>5000</v>
      </c>
      <c r="H52">
        <v>5000</v>
      </c>
      <c r="I52">
        <v>5000</v>
      </c>
      <c r="J52">
        <v>5000</v>
      </c>
      <c r="K52">
        <v>5000</v>
      </c>
      <c r="L52" t="s">
        <v>988</v>
      </c>
    </row>
    <row r="53" spans="1:12" hidden="1" x14ac:dyDescent="0.3">
      <c r="A53">
        <v>2132</v>
      </c>
      <c r="B53" t="s">
        <v>772</v>
      </c>
      <c r="C53" t="s">
        <v>2666</v>
      </c>
      <c r="D53" t="s">
        <v>1203</v>
      </c>
      <c r="E53" t="s">
        <v>1204</v>
      </c>
      <c r="F53" t="s">
        <v>2665</v>
      </c>
      <c r="G53">
        <v>2568</v>
      </c>
      <c r="H53">
        <v>2668</v>
      </c>
      <c r="I53">
        <v>2768</v>
      </c>
      <c r="J53">
        <v>2868</v>
      </c>
      <c r="K53">
        <v>3072</v>
      </c>
      <c r="L53" t="s">
        <v>988</v>
      </c>
    </row>
    <row r="54" spans="1:12" hidden="1" x14ac:dyDescent="0.3">
      <c r="A54">
        <v>2146</v>
      </c>
      <c r="B54" t="s">
        <v>2194</v>
      </c>
      <c r="C54" t="s">
        <v>2666</v>
      </c>
      <c r="D54" t="s">
        <v>1203</v>
      </c>
      <c r="E54" t="s">
        <v>1204</v>
      </c>
      <c r="F54" t="s">
        <v>2665</v>
      </c>
      <c r="G54">
        <v>14571</v>
      </c>
      <c r="H54">
        <v>14571</v>
      </c>
      <c r="I54">
        <v>14571</v>
      </c>
      <c r="J54">
        <v>14571</v>
      </c>
      <c r="K54">
        <v>14571</v>
      </c>
      <c r="L54" t="s">
        <v>988</v>
      </c>
    </row>
    <row r="55" spans="1:12" hidden="1" x14ac:dyDescent="0.3">
      <c r="A55">
        <v>2146</v>
      </c>
      <c r="B55" t="s">
        <v>2194</v>
      </c>
      <c r="C55" t="s">
        <v>2666</v>
      </c>
      <c r="D55" t="s">
        <v>1203</v>
      </c>
      <c r="E55" t="s">
        <v>1204</v>
      </c>
      <c r="F55" t="s">
        <v>2664</v>
      </c>
      <c r="G55">
        <v>15260</v>
      </c>
      <c r="H55">
        <v>15260</v>
      </c>
      <c r="I55">
        <v>15260</v>
      </c>
      <c r="J55">
        <v>15260</v>
      </c>
      <c r="K55">
        <v>15260</v>
      </c>
      <c r="L55" t="s">
        <v>988</v>
      </c>
    </row>
    <row r="56" spans="1:12" hidden="1" x14ac:dyDescent="0.3">
      <c r="A56">
        <v>2149</v>
      </c>
      <c r="B56" t="s">
        <v>928</v>
      </c>
      <c r="C56" t="s">
        <v>2666</v>
      </c>
      <c r="D56" t="s">
        <v>1203</v>
      </c>
      <c r="E56" t="s">
        <v>1204</v>
      </c>
      <c r="F56" t="s">
        <v>2664</v>
      </c>
      <c r="G56">
        <v>6765</v>
      </c>
      <c r="H56">
        <v>6765</v>
      </c>
      <c r="I56">
        <v>6765</v>
      </c>
      <c r="J56">
        <v>6765</v>
      </c>
      <c r="K56">
        <v>0</v>
      </c>
      <c r="L56" t="s">
        <v>988</v>
      </c>
    </row>
    <row r="57" spans="1:12" hidden="1" x14ac:dyDescent="0.3">
      <c r="A57">
        <v>2149</v>
      </c>
      <c r="B57" t="s">
        <v>928</v>
      </c>
      <c r="C57" t="s">
        <v>2666</v>
      </c>
      <c r="D57" t="s">
        <v>1203</v>
      </c>
      <c r="E57" t="s">
        <v>1204</v>
      </c>
      <c r="F57" t="s">
        <v>2665</v>
      </c>
      <c r="G57">
        <v>6765</v>
      </c>
      <c r="H57">
        <v>6765</v>
      </c>
      <c r="I57">
        <v>6765</v>
      </c>
      <c r="J57">
        <v>6765</v>
      </c>
      <c r="K57">
        <v>0</v>
      </c>
      <c r="L57" t="s">
        <v>988</v>
      </c>
    </row>
    <row r="58" spans="1:12" hidden="1" x14ac:dyDescent="0.3">
      <c r="A58">
        <v>2156</v>
      </c>
      <c r="B58" t="s">
        <v>836</v>
      </c>
      <c r="C58" t="s">
        <v>2666</v>
      </c>
      <c r="D58" t="s">
        <v>1203</v>
      </c>
      <c r="E58" t="s">
        <v>1204</v>
      </c>
      <c r="F58" t="s">
        <v>2664</v>
      </c>
      <c r="G58">
        <v>59508</v>
      </c>
      <c r="H58">
        <v>59508</v>
      </c>
      <c r="I58">
        <v>59508</v>
      </c>
      <c r="J58">
        <v>65452</v>
      </c>
      <c r="K58">
        <v>65452</v>
      </c>
      <c r="L58" t="s">
        <v>988</v>
      </c>
    </row>
    <row r="59" spans="1:12" hidden="1" x14ac:dyDescent="0.3">
      <c r="A59">
        <v>2156</v>
      </c>
      <c r="B59" t="s">
        <v>836</v>
      </c>
      <c r="C59" t="s">
        <v>2666</v>
      </c>
      <c r="D59" t="s">
        <v>1203</v>
      </c>
      <c r="E59" t="s">
        <v>1204</v>
      </c>
      <c r="F59" t="s">
        <v>2665</v>
      </c>
      <c r="G59">
        <v>59508</v>
      </c>
      <c r="H59">
        <v>59508</v>
      </c>
      <c r="I59">
        <v>59508</v>
      </c>
      <c r="J59">
        <v>65452</v>
      </c>
      <c r="K59">
        <v>65452</v>
      </c>
      <c r="L59" t="s">
        <v>988</v>
      </c>
    </row>
    <row r="60" spans="1:12" hidden="1" x14ac:dyDescent="0.3">
      <c r="A60">
        <v>2160</v>
      </c>
      <c r="B60" t="s">
        <v>1904</v>
      </c>
      <c r="C60" t="s">
        <v>2666</v>
      </c>
      <c r="D60" t="s">
        <v>1203</v>
      </c>
      <c r="E60" t="s">
        <v>1204</v>
      </c>
      <c r="F60" t="s">
        <v>2664</v>
      </c>
      <c r="G60">
        <v>12709</v>
      </c>
      <c r="H60">
        <v>12758</v>
      </c>
      <c r="I60">
        <v>12799</v>
      </c>
      <c r="J60">
        <v>12840</v>
      </c>
      <c r="K60">
        <v>12868</v>
      </c>
      <c r="L60" t="s">
        <v>988</v>
      </c>
    </row>
    <row r="61" spans="1:12" hidden="1" x14ac:dyDescent="0.3">
      <c r="A61">
        <v>2160</v>
      </c>
      <c r="B61" t="s">
        <v>1904</v>
      </c>
      <c r="C61" t="s">
        <v>2666</v>
      </c>
      <c r="D61" t="s">
        <v>1203</v>
      </c>
      <c r="E61" t="s">
        <v>1204</v>
      </c>
      <c r="F61" t="s">
        <v>2665</v>
      </c>
      <c r="G61">
        <v>12709</v>
      </c>
      <c r="H61">
        <v>12758</v>
      </c>
      <c r="I61">
        <v>12799</v>
      </c>
      <c r="J61">
        <v>12840</v>
      </c>
      <c r="K61">
        <v>12868</v>
      </c>
      <c r="L61" t="s">
        <v>988</v>
      </c>
    </row>
    <row r="62" spans="1:12" hidden="1" x14ac:dyDescent="0.3">
      <c r="A62">
        <v>2161</v>
      </c>
      <c r="B62" t="s">
        <v>2205</v>
      </c>
      <c r="C62" t="s">
        <v>2666</v>
      </c>
      <c r="D62" t="s">
        <v>1203</v>
      </c>
      <c r="E62" t="s">
        <v>1204</v>
      </c>
      <c r="F62" t="s">
        <v>2664</v>
      </c>
      <c r="G62">
        <v>384696</v>
      </c>
      <c r="H62">
        <v>382272</v>
      </c>
      <c r="I62">
        <v>342325</v>
      </c>
      <c r="J62">
        <v>361465</v>
      </c>
      <c r="K62">
        <v>377896</v>
      </c>
      <c r="L62" t="s">
        <v>988</v>
      </c>
    </row>
    <row r="63" spans="1:12" hidden="1" x14ac:dyDescent="0.3">
      <c r="A63">
        <v>2161</v>
      </c>
      <c r="B63" t="s">
        <v>2205</v>
      </c>
      <c r="C63" t="s">
        <v>2666</v>
      </c>
      <c r="D63" t="s">
        <v>1203</v>
      </c>
      <c r="E63" t="s">
        <v>1204</v>
      </c>
      <c r="F63" t="s">
        <v>2665</v>
      </c>
      <c r="G63">
        <v>384696</v>
      </c>
      <c r="H63">
        <v>382272</v>
      </c>
      <c r="I63">
        <v>342325</v>
      </c>
      <c r="J63">
        <v>361465</v>
      </c>
      <c r="K63">
        <v>377896</v>
      </c>
      <c r="L63" t="s">
        <v>988</v>
      </c>
    </row>
    <row r="64" spans="1:12" hidden="1" x14ac:dyDescent="0.3">
      <c r="A64">
        <v>2164</v>
      </c>
      <c r="B64" t="s">
        <v>1909</v>
      </c>
      <c r="C64" t="s">
        <v>2666</v>
      </c>
      <c r="D64" t="s">
        <v>159</v>
      </c>
      <c r="E64" t="s">
        <v>159</v>
      </c>
      <c r="F64" t="s">
        <v>2665</v>
      </c>
      <c r="G64">
        <v>163940</v>
      </c>
      <c r="H64">
        <v>166000</v>
      </c>
      <c r="I64">
        <v>170490</v>
      </c>
      <c r="J64">
        <v>175420</v>
      </c>
      <c r="K64">
        <v>182640</v>
      </c>
      <c r="L64" t="s">
        <v>988</v>
      </c>
    </row>
    <row r="65" spans="1:12" hidden="1" x14ac:dyDescent="0.3">
      <c r="A65">
        <v>2164</v>
      </c>
      <c r="B65" t="s">
        <v>1909</v>
      </c>
      <c r="C65" t="s">
        <v>2666</v>
      </c>
      <c r="D65" t="s">
        <v>159</v>
      </c>
      <c r="E65" t="s">
        <v>159</v>
      </c>
      <c r="F65" t="s">
        <v>2664</v>
      </c>
      <c r="G65">
        <v>163940</v>
      </c>
      <c r="H65">
        <v>166000</v>
      </c>
      <c r="I65">
        <v>170490</v>
      </c>
      <c r="J65">
        <v>175420</v>
      </c>
      <c r="K65">
        <v>182640</v>
      </c>
      <c r="L65" t="s">
        <v>988</v>
      </c>
    </row>
    <row r="66" spans="1:12" hidden="1" x14ac:dyDescent="0.3">
      <c r="A66">
        <v>3994</v>
      </c>
      <c r="B66" t="s">
        <v>837</v>
      </c>
      <c r="C66" t="s">
        <v>2666</v>
      </c>
      <c r="D66" t="s">
        <v>1203</v>
      </c>
      <c r="E66" t="s">
        <v>1204</v>
      </c>
      <c r="F66" t="s">
        <v>2665</v>
      </c>
      <c r="G66">
        <v>14482</v>
      </c>
      <c r="H66">
        <v>14766</v>
      </c>
      <c r="I66">
        <v>15054</v>
      </c>
      <c r="J66">
        <v>15345</v>
      </c>
      <c r="K66">
        <v>15641</v>
      </c>
      <c r="L66" t="s">
        <v>988</v>
      </c>
    </row>
    <row r="67" spans="1:12" hidden="1" x14ac:dyDescent="0.3">
      <c r="A67">
        <v>3994</v>
      </c>
      <c r="B67" t="s">
        <v>837</v>
      </c>
      <c r="C67" t="s">
        <v>2666</v>
      </c>
      <c r="D67" t="s">
        <v>1203</v>
      </c>
      <c r="E67" t="s">
        <v>1204</v>
      </c>
      <c r="F67" t="s">
        <v>2664</v>
      </c>
      <c r="G67">
        <v>16704</v>
      </c>
      <c r="H67">
        <v>16704</v>
      </c>
      <c r="I67">
        <v>16704</v>
      </c>
      <c r="J67">
        <v>16704</v>
      </c>
      <c r="K67">
        <v>16704</v>
      </c>
      <c r="L67" t="s">
        <v>988</v>
      </c>
    </row>
    <row r="68" spans="1:12" hidden="1" x14ac:dyDescent="0.3">
      <c r="A68">
        <v>2168</v>
      </c>
      <c r="B68" t="s">
        <v>839</v>
      </c>
      <c r="C68" t="s">
        <v>2666</v>
      </c>
      <c r="D68" t="s">
        <v>1203</v>
      </c>
      <c r="E68" t="s">
        <v>1204</v>
      </c>
      <c r="F68" t="s">
        <v>2664</v>
      </c>
      <c r="G68">
        <v>30400</v>
      </c>
      <c r="H68">
        <v>32900</v>
      </c>
      <c r="I68">
        <v>38700</v>
      </c>
      <c r="J68">
        <v>41200</v>
      </c>
      <c r="K68">
        <v>44700</v>
      </c>
      <c r="L68" t="s">
        <v>988</v>
      </c>
    </row>
    <row r="69" spans="1:12" hidden="1" x14ac:dyDescent="0.3">
      <c r="A69">
        <v>2168</v>
      </c>
      <c r="B69" t="s">
        <v>839</v>
      </c>
      <c r="C69" t="s">
        <v>2666</v>
      </c>
      <c r="D69" t="s">
        <v>1203</v>
      </c>
      <c r="E69" t="s">
        <v>1204</v>
      </c>
      <c r="F69" t="s">
        <v>2665</v>
      </c>
      <c r="G69">
        <v>30400</v>
      </c>
      <c r="H69">
        <v>32900</v>
      </c>
      <c r="I69">
        <v>35600</v>
      </c>
      <c r="J69">
        <v>38100</v>
      </c>
      <c r="K69">
        <v>40300</v>
      </c>
      <c r="L69" t="s">
        <v>988</v>
      </c>
    </row>
    <row r="70" spans="1:12" hidden="1" x14ac:dyDescent="0.3">
      <c r="A70">
        <v>2179</v>
      </c>
      <c r="B70" t="s">
        <v>774</v>
      </c>
      <c r="C70" t="s">
        <v>2666</v>
      </c>
      <c r="D70" t="s">
        <v>1203</v>
      </c>
      <c r="E70" t="s">
        <v>1204</v>
      </c>
      <c r="F70" t="s">
        <v>2665</v>
      </c>
      <c r="G70">
        <v>41700</v>
      </c>
      <c r="H70">
        <v>42200</v>
      </c>
      <c r="I70">
        <v>41900</v>
      </c>
      <c r="J70">
        <v>42600</v>
      </c>
      <c r="K70">
        <v>43200</v>
      </c>
      <c r="L70" t="s">
        <v>988</v>
      </c>
    </row>
    <row r="71" spans="1:12" hidden="1" x14ac:dyDescent="0.3">
      <c r="A71">
        <v>2179</v>
      </c>
      <c r="B71" t="s">
        <v>774</v>
      </c>
      <c r="C71" t="s">
        <v>2666</v>
      </c>
      <c r="D71" t="s">
        <v>1203</v>
      </c>
      <c r="E71" t="s">
        <v>1204</v>
      </c>
      <c r="F71" t="s">
        <v>2664</v>
      </c>
      <c r="G71">
        <v>82200</v>
      </c>
      <c r="H71">
        <v>82200</v>
      </c>
      <c r="I71">
        <v>82200</v>
      </c>
      <c r="J71">
        <v>82200</v>
      </c>
      <c r="K71">
        <v>82200</v>
      </c>
      <c r="L71" t="s">
        <v>988</v>
      </c>
    </row>
    <row r="72" spans="1:12" hidden="1" x14ac:dyDescent="0.3">
      <c r="A72">
        <v>2184</v>
      </c>
      <c r="B72" t="s">
        <v>935</v>
      </c>
      <c r="C72" t="s">
        <v>2666</v>
      </c>
      <c r="D72" t="s">
        <v>1203</v>
      </c>
      <c r="E72" t="s">
        <v>1204</v>
      </c>
      <c r="F72" t="s">
        <v>2664</v>
      </c>
      <c r="G72">
        <v>8730</v>
      </c>
      <c r="H72">
        <v>8730</v>
      </c>
      <c r="I72">
        <v>8730</v>
      </c>
      <c r="J72">
        <v>8730</v>
      </c>
      <c r="K72">
        <v>8730</v>
      </c>
      <c r="L72" t="s">
        <v>988</v>
      </c>
    </row>
    <row r="73" spans="1:12" hidden="1" x14ac:dyDescent="0.3">
      <c r="A73">
        <v>2184</v>
      </c>
      <c r="B73" t="s">
        <v>935</v>
      </c>
      <c r="C73" t="s">
        <v>2666</v>
      </c>
      <c r="D73" t="s">
        <v>1203</v>
      </c>
      <c r="E73" t="s">
        <v>1204</v>
      </c>
      <c r="F73" t="s">
        <v>2665</v>
      </c>
      <c r="G73">
        <v>8730</v>
      </c>
      <c r="H73">
        <v>8730</v>
      </c>
      <c r="I73">
        <v>8730</v>
      </c>
      <c r="J73">
        <v>8730</v>
      </c>
      <c r="K73">
        <v>8730</v>
      </c>
      <c r="L73" t="s">
        <v>988</v>
      </c>
    </row>
    <row r="74" spans="1:12" hidden="1" x14ac:dyDescent="0.3">
      <c r="A74">
        <v>2211</v>
      </c>
      <c r="B74" t="s">
        <v>811</v>
      </c>
      <c r="C74" t="s">
        <v>2666</v>
      </c>
      <c r="D74" t="s">
        <v>159</v>
      </c>
      <c r="E74" t="s">
        <v>159</v>
      </c>
      <c r="F74" t="s">
        <v>2664</v>
      </c>
      <c r="G74">
        <v>446000</v>
      </c>
      <c r="H74">
        <v>518000</v>
      </c>
      <c r="I74">
        <v>640000</v>
      </c>
      <c r="J74">
        <v>643000</v>
      </c>
      <c r="K74">
        <v>650000</v>
      </c>
      <c r="L74" t="s">
        <v>988</v>
      </c>
    </row>
    <row r="75" spans="1:12" hidden="1" x14ac:dyDescent="0.3">
      <c r="A75">
        <v>2211</v>
      </c>
      <c r="B75" t="s">
        <v>811</v>
      </c>
      <c r="C75" t="s">
        <v>2666</v>
      </c>
      <c r="D75" t="s">
        <v>159</v>
      </c>
      <c r="E75" t="s">
        <v>159</v>
      </c>
      <c r="F75" t="s">
        <v>2665</v>
      </c>
      <c r="G75">
        <v>331900</v>
      </c>
      <c r="H75">
        <v>323800</v>
      </c>
      <c r="I75">
        <v>328100</v>
      </c>
      <c r="J75">
        <v>333400</v>
      </c>
      <c r="K75">
        <v>342000</v>
      </c>
      <c r="L75" t="s">
        <v>988</v>
      </c>
    </row>
    <row r="76" spans="1:12" hidden="1" x14ac:dyDescent="0.3">
      <c r="A76">
        <v>2328</v>
      </c>
      <c r="B76" t="s">
        <v>2217</v>
      </c>
      <c r="C76" t="s">
        <v>2666</v>
      </c>
      <c r="D76" t="s">
        <v>1203</v>
      </c>
      <c r="E76" t="s">
        <v>1204</v>
      </c>
      <c r="F76" t="s">
        <v>2664</v>
      </c>
      <c r="G76">
        <v>77300</v>
      </c>
      <c r="H76">
        <v>77300</v>
      </c>
      <c r="I76">
        <v>77300</v>
      </c>
      <c r="J76">
        <v>77300</v>
      </c>
      <c r="K76">
        <v>77300</v>
      </c>
      <c r="L76" t="s">
        <v>988</v>
      </c>
    </row>
    <row r="77" spans="1:12" hidden="1" x14ac:dyDescent="0.3">
      <c r="A77">
        <v>2328</v>
      </c>
      <c r="B77" t="s">
        <v>2217</v>
      </c>
      <c r="C77" t="s">
        <v>2666</v>
      </c>
      <c r="D77" t="s">
        <v>1203</v>
      </c>
      <c r="E77" t="s">
        <v>1204</v>
      </c>
      <c r="F77" t="s">
        <v>2665</v>
      </c>
      <c r="G77">
        <v>65019</v>
      </c>
      <c r="H77">
        <v>69177</v>
      </c>
      <c r="I77">
        <v>70725</v>
      </c>
      <c r="J77">
        <v>72588</v>
      </c>
      <c r="K77">
        <v>74547</v>
      </c>
      <c r="L77" t="s">
        <v>988</v>
      </c>
    </row>
    <row r="78" spans="1:12" hidden="1" x14ac:dyDescent="0.3">
      <c r="A78">
        <v>2346</v>
      </c>
      <c r="B78" t="s">
        <v>2220</v>
      </c>
      <c r="C78" t="s">
        <v>2666</v>
      </c>
      <c r="D78" t="s">
        <v>159</v>
      </c>
      <c r="E78" t="s">
        <v>159</v>
      </c>
      <c r="F78" t="s">
        <v>2664</v>
      </c>
      <c r="G78">
        <v>31522</v>
      </c>
      <c r="H78">
        <v>31522</v>
      </c>
      <c r="I78">
        <v>31522</v>
      </c>
      <c r="J78">
        <v>43090</v>
      </c>
      <c r="K78">
        <v>43090</v>
      </c>
      <c r="L78" t="s">
        <v>988</v>
      </c>
    </row>
    <row r="79" spans="1:12" hidden="1" x14ac:dyDescent="0.3">
      <c r="A79">
        <v>2346</v>
      </c>
      <c r="B79" t="s">
        <v>2220</v>
      </c>
      <c r="C79" t="s">
        <v>2666</v>
      </c>
      <c r="D79" t="s">
        <v>159</v>
      </c>
      <c r="E79" t="s">
        <v>159</v>
      </c>
      <c r="F79" t="s">
        <v>2665</v>
      </c>
      <c r="G79">
        <v>31522</v>
      </c>
      <c r="H79">
        <v>31522</v>
      </c>
      <c r="I79">
        <v>31522</v>
      </c>
      <c r="J79">
        <v>43090</v>
      </c>
      <c r="K79">
        <v>43090</v>
      </c>
      <c r="L79" t="s">
        <v>988</v>
      </c>
    </row>
    <row r="80" spans="1:12" hidden="1" x14ac:dyDescent="0.3">
      <c r="A80">
        <v>2382</v>
      </c>
      <c r="B80" t="s">
        <v>912</v>
      </c>
      <c r="C80" t="s">
        <v>2666</v>
      </c>
      <c r="D80" t="s">
        <v>1203</v>
      </c>
      <c r="E80" t="s">
        <v>1204</v>
      </c>
      <c r="F80" t="s">
        <v>2664</v>
      </c>
      <c r="G80">
        <v>186130</v>
      </c>
      <c r="H80">
        <v>188550</v>
      </c>
      <c r="I80">
        <v>185969</v>
      </c>
      <c r="J80">
        <v>188389</v>
      </c>
      <c r="K80">
        <v>190808</v>
      </c>
      <c r="L80" t="s">
        <v>988</v>
      </c>
    </row>
    <row r="81" spans="1:12" hidden="1" x14ac:dyDescent="0.3">
      <c r="A81">
        <v>2382</v>
      </c>
      <c r="B81" t="s">
        <v>912</v>
      </c>
      <c r="C81" t="s">
        <v>2666</v>
      </c>
      <c r="D81" t="s">
        <v>1203</v>
      </c>
      <c r="E81" t="s">
        <v>1204</v>
      </c>
      <c r="F81" t="s">
        <v>2665</v>
      </c>
      <c r="G81">
        <v>92802</v>
      </c>
      <c r="H81">
        <v>98117</v>
      </c>
      <c r="I81">
        <v>106517</v>
      </c>
      <c r="J81">
        <v>115043</v>
      </c>
      <c r="K81">
        <v>121775</v>
      </c>
      <c r="L81" t="s">
        <v>988</v>
      </c>
    </row>
    <row r="82" spans="1:12" hidden="1" x14ac:dyDescent="0.3">
      <c r="B82" t="s">
        <v>2025</v>
      </c>
      <c r="C82" t="s">
        <v>2666</v>
      </c>
      <c r="D82" t="s">
        <v>1203</v>
      </c>
      <c r="E82" t="s">
        <v>1204</v>
      </c>
      <c r="F82" t="s">
        <v>2664</v>
      </c>
      <c r="G82">
        <v>5000000</v>
      </c>
      <c r="H82">
        <v>5000000</v>
      </c>
      <c r="I82">
        <v>5000000</v>
      </c>
      <c r="J82">
        <v>5000000</v>
      </c>
      <c r="K82">
        <v>0</v>
      </c>
      <c r="L82" t="s">
        <v>988</v>
      </c>
    </row>
    <row r="83" spans="1:12" hidden="1" x14ac:dyDescent="0.3">
      <c r="B83" t="s">
        <v>2025</v>
      </c>
      <c r="C83" t="s">
        <v>2666</v>
      </c>
      <c r="D83" t="s">
        <v>1203</v>
      </c>
      <c r="E83" t="s">
        <v>1204</v>
      </c>
      <c r="F83" t="s">
        <v>2665</v>
      </c>
      <c r="G83">
        <v>5000000</v>
      </c>
      <c r="H83">
        <v>5000000</v>
      </c>
      <c r="I83">
        <v>5000000</v>
      </c>
      <c r="J83">
        <v>5000000</v>
      </c>
      <c r="K83">
        <v>0</v>
      </c>
      <c r="L83" t="s">
        <v>988</v>
      </c>
    </row>
    <row r="84" spans="1:12" hidden="1" x14ac:dyDescent="0.3">
      <c r="A84">
        <v>440</v>
      </c>
      <c r="B84" t="s">
        <v>2026</v>
      </c>
      <c r="C84" t="s">
        <v>2666</v>
      </c>
      <c r="D84" t="s">
        <v>159</v>
      </c>
      <c r="E84" t="s">
        <v>159</v>
      </c>
      <c r="F84" t="s">
        <v>2665</v>
      </c>
      <c r="G84">
        <v>5.0505049990780003E-2</v>
      </c>
      <c r="H84">
        <v>7.5757574986170001E-2</v>
      </c>
      <c r="I84">
        <v>0.10101009998156001</v>
      </c>
      <c r="J84">
        <v>0.12626262497695001</v>
      </c>
      <c r="K84">
        <v>0.15151514997234</v>
      </c>
      <c r="L84" t="s">
        <v>988</v>
      </c>
    </row>
    <row r="85" spans="1:12" hidden="1" x14ac:dyDescent="0.3">
      <c r="A85">
        <v>440</v>
      </c>
      <c r="B85" t="s">
        <v>2026</v>
      </c>
      <c r="C85" t="s">
        <v>2666</v>
      </c>
      <c r="D85" t="s">
        <v>159</v>
      </c>
      <c r="E85" t="s">
        <v>159</v>
      </c>
      <c r="F85" t="s">
        <v>2664</v>
      </c>
      <c r="G85">
        <v>5.0505049990780003E-2</v>
      </c>
      <c r="H85">
        <v>7.5757574986170001E-2</v>
      </c>
      <c r="I85">
        <v>0.10101009998156001</v>
      </c>
      <c r="J85">
        <v>0.12626262497695001</v>
      </c>
      <c r="K85">
        <v>0.15151514997234</v>
      </c>
      <c r="L85" t="s">
        <v>988</v>
      </c>
    </row>
    <row r="86" spans="1:12" hidden="1" x14ac:dyDescent="0.3">
      <c r="A86">
        <v>2473</v>
      </c>
      <c r="B86" t="s">
        <v>2228</v>
      </c>
      <c r="C86" t="s">
        <v>2666</v>
      </c>
      <c r="D86" t="s">
        <v>159</v>
      </c>
      <c r="E86" t="s">
        <v>159</v>
      </c>
      <c r="F86" t="s">
        <v>2664</v>
      </c>
      <c r="G86">
        <v>58016</v>
      </c>
      <c r="H86">
        <v>57901</v>
      </c>
      <c r="I86">
        <v>57761</v>
      </c>
      <c r="J86">
        <v>57525</v>
      </c>
      <c r="K86">
        <v>57265</v>
      </c>
      <c r="L86" t="s">
        <v>988</v>
      </c>
    </row>
    <row r="87" spans="1:12" hidden="1" x14ac:dyDescent="0.3">
      <c r="A87">
        <v>2473</v>
      </c>
      <c r="B87" t="s">
        <v>2228</v>
      </c>
      <c r="C87" t="s">
        <v>2666</v>
      </c>
      <c r="D87" t="s">
        <v>159</v>
      </c>
      <c r="E87" t="s">
        <v>159</v>
      </c>
      <c r="F87" t="s">
        <v>2665</v>
      </c>
      <c r="G87">
        <v>58016</v>
      </c>
      <c r="H87">
        <v>57901</v>
      </c>
      <c r="I87">
        <v>57761</v>
      </c>
      <c r="J87">
        <v>57525</v>
      </c>
      <c r="K87">
        <v>57265</v>
      </c>
      <c r="L87" t="s">
        <v>988</v>
      </c>
    </row>
    <row r="88" spans="1:12" hidden="1" x14ac:dyDescent="0.3">
      <c r="A88">
        <v>2510</v>
      </c>
      <c r="B88" t="s">
        <v>2035</v>
      </c>
      <c r="C88" t="s">
        <v>2666</v>
      </c>
      <c r="D88" t="s">
        <v>1203</v>
      </c>
      <c r="E88" t="s">
        <v>1204</v>
      </c>
      <c r="F88" t="s">
        <v>2664</v>
      </c>
      <c r="G88">
        <v>509</v>
      </c>
      <c r="H88">
        <v>509</v>
      </c>
      <c r="I88">
        <v>509</v>
      </c>
      <c r="J88">
        <v>509</v>
      </c>
      <c r="K88">
        <v>0</v>
      </c>
      <c r="L88" t="s">
        <v>988</v>
      </c>
    </row>
    <row r="89" spans="1:12" hidden="1" x14ac:dyDescent="0.3">
      <c r="A89">
        <v>2510</v>
      </c>
      <c r="B89" t="s">
        <v>2035</v>
      </c>
      <c r="C89" t="s">
        <v>2666</v>
      </c>
      <c r="D89" t="s">
        <v>1203</v>
      </c>
      <c r="E89" t="s">
        <v>1204</v>
      </c>
      <c r="F89" t="s">
        <v>2665</v>
      </c>
      <c r="G89">
        <v>509</v>
      </c>
      <c r="H89">
        <v>509</v>
      </c>
      <c r="I89">
        <v>509</v>
      </c>
      <c r="J89">
        <v>509</v>
      </c>
      <c r="K89">
        <v>0</v>
      </c>
      <c r="L89" t="s">
        <v>988</v>
      </c>
    </row>
    <row r="90" spans="1:12" hidden="1" x14ac:dyDescent="0.3">
      <c r="A90">
        <v>2540</v>
      </c>
      <c r="B90" t="s">
        <v>2230</v>
      </c>
      <c r="C90" t="s">
        <v>2666</v>
      </c>
      <c r="D90" t="s">
        <v>1203</v>
      </c>
      <c r="E90" t="s">
        <v>1204</v>
      </c>
      <c r="F90" t="s">
        <v>2664</v>
      </c>
      <c r="G90">
        <v>12755</v>
      </c>
      <c r="H90">
        <v>10894</v>
      </c>
      <c r="I90">
        <v>9033</v>
      </c>
      <c r="J90">
        <v>7265</v>
      </c>
      <c r="K90">
        <v>7265</v>
      </c>
      <c r="L90" t="s">
        <v>988</v>
      </c>
    </row>
    <row r="91" spans="1:12" hidden="1" x14ac:dyDescent="0.3">
      <c r="A91">
        <v>2540</v>
      </c>
      <c r="B91" t="s">
        <v>2230</v>
      </c>
      <c r="C91" t="s">
        <v>2666</v>
      </c>
      <c r="D91" t="s">
        <v>1203</v>
      </c>
      <c r="E91" t="s">
        <v>1204</v>
      </c>
      <c r="F91" t="s">
        <v>2665</v>
      </c>
      <c r="G91">
        <v>12755</v>
      </c>
      <c r="H91">
        <v>10894</v>
      </c>
      <c r="I91">
        <v>9033</v>
      </c>
      <c r="J91">
        <v>7265</v>
      </c>
      <c r="K91">
        <v>7265</v>
      </c>
      <c r="L91" t="s">
        <v>988</v>
      </c>
    </row>
    <row r="92" spans="1:12" hidden="1" x14ac:dyDescent="0.3">
      <c r="A92">
        <v>2543</v>
      </c>
      <c r="B92" t="s">
        <v>2234</v>
      </c>
      <c r="C92" t="s">
        <v>2666</v>
      </c>
      <c r="D92" t="s">
        <v>1203</v>
      </c>
      <c r="E92" t="s">
        <v>1204</v>
      </c>
      <c r="F92" t="s">
        <v>2665</v>
      </c>
      <c r="G92">
        <v>71681</v>
      </c>
      <c r="H92">
        <v>69787</v>
      </c>
      <c r="I92">
        <v>69693</v>
      </c>
      <c r="J92">
        <v>63629</v>
      </c>
      <c r="K92">
        <v>63341</v>
      </c>
      <c r="L92" t="s">
        <v>988</v>
      </c>
    </row>
    <row r="93" spans="1:12" hidden="1" x14ac:dyDescent="0.3">
      <c r="A93">
        <v>2543</v>
      </c>
      <c r="B93" t="s">
        <v>2234</v>
      </c>
      <c r="C93" t="s">
        <v>2666</v>
      </c>
      <c r="D93" t="s">
        <v>1203</v>
      </c>
      <c r="E93" t="s">
        <v>1204</v>
      </c>
      <c r="F93" t="s">
        <v>2664</v>
      </c>
      <c r="G93">
        <v>76876</v>
      </c>
      <c r="H93">
        <v>74747</v>
      </c>
      <c r="I93">
        <v>109358</v>
      </c>
      <c r="J93">
        <v>103174</v>
      </c>
      <c r="K93">
        <v>102646</v>
      </c>
      <c r="L93" t="s">
        <v>988</v>
      </c>
    </row>
    <row r="94" spans="1:12" hidden="1" x14ac:dyDescent="0.3">
      <c r="A94">
        <v>2667</v>
      </c>
      <c r="B94" t="s">
        <v>2237</v>
      </c>
      <c r="C94" t="s">
        <v>2666</v>
      </c>
      <c r="D94" t="s">
        <v>1203</v>
      </c>
      <c r="E94" t="s">
        <v>1204</v>
      </c>
      <c r="F94" t="s">
        <v>2664</v>
      </c>
      <c r="G94">
        <v>30651</v>
      </c>
      <c r="H94">
        <v>31997</v>
      </c>
      <c r="I94">
        <v>33435</v>
      </c>
      <c r="J94">
        <v>34829</v>
      </c>
      <c r="K94">
        <v>36280</v>
      </c>
      <c r="L94" t="s">
        <v>988</v>
      </c>
    </row>
    <row r="95" spans="1:12" hidden="1" x14ac:dyDescent="0.3">
      <c r="A95">
        <v>2667</v>
      </c>
      <c r="B95" t="s">
        <v>2237</v>
      </c>
      <c r="C95" t="s">
        <v>2666</v>
      </c>
      <c r="D95" t="s">
        <v>1203</v>
      </c>
      <c r="E95" t="s">
        <v>1204</v>
      </c>
      <c r="F95" t="s">
        <v>2665</v>
      </c>
      <c r="G95">
        <v>30651</v>
      </c>
      <c r="H95">
        <v>31997</v>
      </c>
      <c r="I95">
        <v>33435</v>
      </c>
      <c r="J95">
        <v>34829</v>
      </c>
      <c r="K95">
        <v>36280</v>
      </c>
      <c r="L95" t="s">
        <v>988</v>
      </c>
    </row>
    <row r="96" spans="1:12" hidden="1" x14ac:dyDescent="0.3">
      <c r="A96">
        <v>2675</v>
      </c>
      <c r="B96" t="s">
        <v>2241</v>
      </c>
      <c r="C96" t="s">
        <v>2666</v>
      </c>
      <c r="D96" t="s">
        <v>1203</v>
      </c>
      <c r="E96" t="s">
        <v>1204</v>
      </c>
      <c r="F96" t="s">
        <v>2664</v>
      </c>
      <c r="G96">
        <v>146190</v>
      </c>
      <c r="H96">
        <v>150160</v>
      </c>
      <c r="I96">
        <v>160450</v>
      </c>
      <c r="J96">
        <v>165660</v>
      </c>
      <c r="K96">
        <v>165760</v>
      </c>
      <c r="L96" t="s">
        <v>988</v>
      </c>
    </row>
    <row r="97" spans="1:12" hidden="1" x14ac:dyDescent="0.3">
      <c r="A97">
        <v>2675</v>
      </c>
      <c r="B97" t="s">
        <v>2241</v>
      </c>
      <c r="C97" t="s">
        <v>2666</v>
      </c>
      <c r="D97" t="s">
        <v>1203</v>
      </c>
      <c r="E97" t="s">
        <v>1204</v>
      </c>
      <c r="F97" t="s">
        <v>2665</v>
      </c>
      <c r="G97">
        <v>146190</v>
      </c>
      <c r="H97">
        <v>150160</v>
      </c>
      <c r="I97">
        <v>160450</v>
      </c>
      <c r="J97">
        <v>165660</v>
      </c>
      <c r="K97">
        <v>165760</v>
      </c>
      <c r="L97" t="s">
        <v>988</v>
      </c>
    </row>
    <row r="98" spans="1:12" hidden="1" x14ac:dyDescent="0.3">
      <c r="A98">
        <v>2697</v>
      </c>
      <c r="B98" t="s">
        <v>2092</v>
      </c>
      <c r="C98" t="s">
        <v>2666</v>
      </c>
      <c r="D98" t="s">
        <v>159</v>
      </c>
      <c r="E98" t="s">
        <v>159</v>
      </c>
      <c r="F98" t="s">
        <v>2664</v>
      </c>
      <c r="G98">
        <v>96816</v>
      </c>
      <c r="H98">
        <v>100908</v>
      </c>
      <c r="I98">
        <v>106261</v>
      </c>
      <c r="J98">
        <v>112664</v>
      </c>
      <c r="K98">
        <v>121443</v>
      </c>
      <c r="L98" t="s">
        <v>988</v>
      </c>
    </row>
    <row r="99" spans="1:12" hidden="1" x14ac:dyDescent="0.3">
      <c r="A99">
        <v>2697</v>
      </c>
      <c r="B99" t="s">
        <v>2092</v>
      </c>
      <c r="C99" t="s">
        <v>2666</v>
      </c>
      <c r="D99" t="s">
        <v>159</v>
      </c>
      <c r="E99" t="s">
        <v>159</v>
      </c>
      <c r="F99" t="s">
        <v>2665</v>
      </c>
      <c r="G99">
        <v>96816</v>
      </c>
      <c r="H99">
        <v>100908</v>
      </c>
      <c r="I99">
        <v>106261</v>
      </c>
      <c r="J99">
        <v>112664</v>
      </c>
      <c r="K99">
        <v>121443</v>
      </c>
      <c r="L99" t="s">
        <v>988</v>
      </c>
    </row>
    <row r="100" spans="1:12" hidden="1" x14ac:dyDescent="0.3">
      <c r="A100">
        <v>4811</v>
      </c>
      <c r="B100" t="s">
        <v>2249</v>
      </c>
      <c r="C100" t="s">
        <v>2666</v>
      </c>
      <c r="D100" t="s">
        <v>1203</v>
      </c>
      <c r="E100" t="s">
        <v>1204</v>
      </c>
      <c r="F100" t="s">
        <v>2665</v>
      </c>
      <c r="G100">
        <v>20024</v>
      </c>
      <c r="H100">
        <v>20269</v>
      </c>
      <c r="I100">
        <v>21095</v>
      </c>
      <c r="J100">
        <v>21921</v>
      </c>
      <c r="K100">
        <v>22747</v>
      </c>
      <c r="L100" t="s">
        <v>988</v>
      </c>
    </row>
    <row r="101" spans="1:12" hidden="1" x14ac:dyDescent="0.3">
      <c r="A101">
        <v>4811</v>
      </c>
      <c r="B101" t="s">
        <v>2249</v>
      </c>
      <c r="C101" t="s">
        <v>2666</v>
      </c>
      <c r="D101" t="s">
        <v>1203</v>
      </c>
      <c r="E101" t="s">
        <v>1204</v>
      </c>
      <c r="F101" t="s">
        <v>2664</v>
      </c>
      <c r="G101">
        <v>33604</v>
      </c>
      <c r="H101">
        <v>33604</v>
      </c>
      <c r="I101">
        <v>33604</v>
      </c>
      <c r="J101">
        <v>38085</v>
      </c>
      <c r="K101">
        <v>38085</v>
      </c>
      <c r="L101" t="s">
        <v>988</v>
      </c>
    </row>
  </sheetData>
  <autoFilter ref="A1:L101" xr:uid="{6D3B0193-680A-416F-A101-D8A4164F0488}">
    <filterColumn colId="1">
      <filters>
        <filter val="Metropolitan Water District Of Southern California"/>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E2DD8-5158-406A-9D5C-123032AFB628}">
  <sheetPr codeName="Sheet34">
    <tabColor rgb="FF7030A0"/>
  </sheetPr>
  <dimension ref="A1:M765"/>
  <sheetViews>
    <sheetView workbookViewId="0"/>
  </sheetViews>
  <sheetFormatPr defaultRowHeight="14.4" x14ac:dyDescent="0.3"/>
  <cols>
    <col min="3" max="3" width="59.44140625" bestFit="1" customWidth="1"/>
    <col min="7" max="7" width="14" bestFit="1" customWidth="1"/>
  </cols>
  <sheetData>
    <row r="1" spans="1:13" x14ac:dyDescent="0.3">
      <c r="A1" t="s">
        <v>1191</v>
      </c>
      <c r="B1" t="s">
        <v>1192</v>
      </c>
      <c r="C1" t="s">
        <v>1193</v>
      </c>
      <c r="D1" t="s">
        <v>1194</v>
      </c>
      <c r="E1" t="s">
        <v>1195</v>
      </c>
      <c r="F1" t="s">
        <v>1196</v>
      </c>
      <c r="G1" t="s">
        <v>2657</v>
      </c>
      <c r="H1" t="s">
        <v>2658</v>
      </c>
      <c r="I1" t="s">
        <v>2659</v>
      </c>
      <c r="J1" t="s">
        <v>2660</v>
      </c>
      <c r="K1" t="s">
        <v>2661</v>
      </c>
      <c r="L1" t="s">
        <v>2662</v>
      </c>
      <c r="M1" t="s">
        <v>2255</v>
      </c>
    </row>
    <row r="2" spans="1:13" x14ac:dyDescent="0.3">
      <c r="A2">
        <v>13</v>
      </c>
      <c r="B2" t="s">
        <v>1201</v>
      </c>
      <c r="C2" t="s">
        <v>2667</v>
      </c>
      <c r="D2" t="s">
        <v>1203</v>
      </c>
      <c r="E2" t="s">
        <v>1204</v>
      </c>
      <c r="F2">
        <v>5973</v>
      </c>
      <c r="G2" t="s">
        <v>2665</v>
      </c>
      <c r="H2">
        <v>5066</v>
      </c>
      <c r="I2">
        <v>5336</v>
      </c>
      <c r="J2">
        <v>5505</v>
      </c>
      <c r="K2">
        <v>5665</v>
      </c>
      <c r="L2">
        <v>5851</v>
      </c>
      <c r="M2" t="s">
        <v>988</v>
      </c>
    </row>
    <row r="3" spans="1:13" x14ac:dyDescent="0.3">
      <c r="A3">
        <v>13</v>
      </c>
      <c r="B3" t="s">
        <v>1201</v>
      </c>
      <c r="C3" t="s">
        <v>2667</v>
      </c>
      <c r="D3" t="s">
        <v>1203</v>
      </c>
      <c r="E3" t="s">
        <v>1204</v>
      </c>
      <c r="F3">
        <v>5973</v>
      </c>
      <c r="G3" t="s">
        <v>2664</v>
      </c>
      <c r="H3">
        <v>64426</v>
      </c>
      <c r="I3">
        <v>64429</v>
      </c>
      <c r="J3">
        <v>64155</v>
      </c>
      <c r="K3">
        <v>64431</v>
      </c>
      <c r="L3">
        <v>64433</v>
      </c>
      <c r="M3" t="s">
        <v>988</v>
      </c>
    </row>
    <row r="4" spans="1:13" x14ac:dyDescent="0.3">
      <c r="A4">
        <v>23</v>
      </c>
      <c r="B4" t="s">
        <v>801</v>
      </c>
      <c r="C4" t="s">
        <v>2667</v>
      </c>
      <c r="D4" t="s">
        <v>159</v>
      </c>
      <c r="E4" t="s">
        <v>159</v>
      </c>
      <c r="F4">
        <v>6868</v>
      </c>
      <c r="G4" t="s">
        <v>2665</v>
      </c>
      <c r="H4">
        <v>58200</v>
      </c>
      <c r="I4">
        <v>57700</v>
      </c>
      <c r="J4">
        <v>57400</v>
      </c>
      <c r="K4">
        <v>57400</v>
      </c>
      <c r="L4">
        <v>63900</v>
      </c>
      <c r="M4" t="s">
        <v>988</v>
      </c>
    </row>
    <row r="5" spans="1:13" x14ac:dyDescent="0.3">
      <c r="A5">
        <v>23</v>
      </c>
      <c r="B5" t="s">
        <v>801</v>
      </c>
      <c r="C5" t="s">
        <v>2667</v>
      </c>
      <c r="D5" t="s">
        <v>159</v>
      </c>
      <c r="E5" t="s">
        <v>159</v>
      </c>
      <c r="F5">
        <v>6868</v>
      </c>
      <c r="G5" t="s">
        <v>2664</v>
      </c>
      <c r="H5">
        <v>52600</v>
      </c>
      <c r="I5">
        <v>52700</v>
      </c>
      <c r="J5">
        <v>52700</v>
      </c>
      <c r="K5">
        <v>52800</v>
      </c>
      <c r="L5">
        <v>52300</v>
      </c>
      <c r="M5" t="s">
        <v>988</v>
      </c>
    </row>
    <row r="6" spans="1:13" x14ac:dyDescent="0.3">
      <c r="A6">
        <v>30</v>
      </c>
      <c r="B6" t="s">
        <v>1213</v>
      </c>
      <c r="C6" t="s">
        <v>2667</v>
      </c>
      <c r="D6" t="s">
        <v>159</v>
      </c>
      <c r="E6" t="s">
        <v>159</v>
      </c>
      <c r="F6">
        <v>5557</v>
      </c>
      <c r="G6" t="s">
        <v>2664</v>
      </c>
      <c r="H6">
        <v>10651</v>
      </c>
      <c r="I6">
        <v>10747</v>
      </c>
      <c r="J6">
        <v>10843</v>
      </c>
      <c r="K6">
        <v>10940</v>
      </c>
      <c r="L6">
        <v>11038</v>
      </c>
      <c r="M6" t="s">
        <v>988</v>
      </c>
    </row>
    <row r="7" spans="1:13" x14ac:dyDescent="0.3">
      <c r="A7">
        <v>30</v>
      </c>
      <c r="B7" t="s">
        <v>1213</v>
      </c>
      <c r="C7" t="s">
        <v>2667</v>
      </c>
      <c r="D7" t="s">
        <v>159</v>
      </c>
      <c r="E7" t="s">
        <v>159</v>
      </c>
      <c r="F7">
        <v>5557</v>
      </c>
      <c r="G7" t="s">
        <v>2665</v>
      </c>
      <c r="H7">
        <v>10651</v>
      </c>
      <c r="I7">
        <v>10747</v>
      </c>
      <c r="J7">
        <v>10843</v>
      </c>
      <c r="K7">
        <v>10940</v>
      </c>
      <c r="L7">
        <v>11038</v>
      </c>
      <c r="M7" t="s">
        <v>988</v>
      </c>
    </row>
    <row r="8" spans="1:13" x14ac:dyDescent="0.3">
      <c r="A8">
        <v>55</v>
      </c>
      <c r="B8" t="s">
        <v>1217</v>
      </c>
      <c r="C8" t="s">
        <v>2667</v>
      </c>
      <c r="D8" t="s">
        <v>1203</v>
      </c>
      <c r="E8" t="s">
        <v>1204</v>
      </c>
      <c r="F8">
        <v>5577</v>
      </c>
      <c r="G8" t="s">
        <v>2665</v>
      </c>
      <c r="H8">
        <v>8937</v>
      </c>
      <c r="I8">
        <v>9335</v>
      </c>
      <c r="J8">
        <v>9425</v>
      </c>
      <c r="K8">
        <v>9488</v>
      </c>
      <c r="L8">
        <v>9567</v>
      </c>
      <c r="M8" t="s">
        <v>988</v>
      </c>
    </row>
    <row r="9" spans="1:13" x14ac:dyDescent="0.3">
      <c r="A9">
        <v>55</v>
      </c>
      <c r="B9" t="s">
        <v>1217</v>
      </c>
      <c r="C9" t="s">
        <v>2667</v>
      </c>
      <c r="D9" t="s">
        <v>1203</v>
      </c>
      <c r="E9" t="s">
        <v>1204</v>
      </c>
      <c r="F9">
        <v>5577</v>
      </c>
      <c r="G9" t="s">
        <v>2664</v>
      </c>
      <c r="H9">
        <v>19803</v>
      </c>
      <c r="I9">
        <v>20042</v>
      </c>
      <c r="J9">
        <v>20050</v>
      </c>
      <c r="K9">
        <v>20057</v>
      </c>
      <c r="L9">
        <v>20065</v>
      </c>
      <c r="M9" t="s">
        <v>988</v>
      </c>
    </row>
    <row r="10" spans="1:13" x14ac:dyDescent="0.3">
      <c r="A10">
        <v>64</v>
      </c>
      <c r="B10" t="s">
        <v>1220</v>
      </c>
      <c r="C10" t="s">
        <v>2667</v>
      </c>
      <c r="D10" t="s">
        <v>159</v>
      </c>
      <c r="E10" t="s">
        <v>159</v>
      </c>
      <c r="F10">
        <v>6851</v>
      </c>
      <c r="G10" t="s">
        <v>2664</v>
      </c>
      <c r="H10">
        <v>64952</v>
      </c>
      <c r="I10">
        <v>68258</v>
      </c>
      <c r="J10">
        <v>69537</v>
      </c>
      <c r="K10">
        <v>70915</v>
      </c>
      <c r="L10">
        <v>71404</v>
      </c>
      <c r="M10" t="s">
        <v>988</v>
      </c>
    </row>
    <row r="11" spans="1:13" x14ac:dyDescent="0.3">
      <c r="A11">
        <v>64</v>
      </c>
      <c r="B11" t="s">
        <v>1220</v>
      </c>
      <c r="C11" t="s">
        <v>2667</v>
      </c>
      <c r="D11" t="s">
        <v>159</v>
      </c>
      <c r="E11" t="s">
        <v>159</v>
      </c>
      <c r="F11">
        <v>6851</v>
      </c>
      <c r="G11" t="s">
        <v>2665</v>
      </c>
      <c r="H11">
        <v>62110</v>
      </c>
      <c r="I11">
        <v>66142</v>
      </c>
      <c r="J11">
        <v>67701</v>
      </c>
      <c r="K11">
        <v>69382</v>
      </c>
      <c r="L11">
        <v>69979</v>
      </c>
      <c r="M11" t="s">
        <v>988</v>
      </c>
    </row>
    <row r="12" spans="1:13" x14ac:dyDescent="0.3">
      <c r="A12">
        <v>82</v>
      </c>
      <c r="B12" t="s">
        <v>1224</v>
      </c>
      <c r="C12" t="s">
        <v>2667</v>
      </c>
      <c r="D12" t="s">
        <v>159</v>
      </c>
      <c r="E12" t="s">
        <v>159</v>
      </c>
      <c r="F12">
        <v>6783</v>
      </c>
      <c r="G12" t="s">
        <v>2665</v>
      </c>
      <c r="H12">
        <v>14356.257362300001</v>
      </c>
      <c r="I12">
        <v>14620.181717400001</v>
      </c>
      <c r="J12">
        <v>14881.03718465</v>
      </c>
      <c r="K12">
        <v>15141.8926519</v>
      </c>
      <c r="L12">
        <v>15408.88589485</v>
      </c>
      <c r="M12" t="s">
        <v>988</v>
      </c>
    </row>
    <row r="13" spans="1:13" x14ac:dyDescent="0.3">
      <c r="A13">
        <v>82</v>
      </c>
      <c r="B13" t="s">
        <v>1224</v>
      </c>
      <c r="C13" t="s">
        <v>2667</v>
      </c>
      <c r="D13" t="s">
        <v>159</v>
      </c>
      <c r="E13" t="s">
        <v>159</v>
      </c>
      <c r="F13">
        <v>6783</v>
      </c>
      <c r="G13" t="s">
        <v>2664</v>
      </c>
      <c r="H13">
        <v>21046.432875300001</v>
      </c>
      <c r="I13">
        <v>21058.708426699999</v>
      </c>
      <c r="J13">
        <v>21070.983978100001</v>
      </c>
      <c r="K13">
        <v>21083.259529499999</v>
      </c>
      <c r="L13">
        <v>21098.603968750002</v>
      </c>
      <c r="M13" t="s">
        <v>988</v>
      </c>
    </row>
    <row r="14" spans="1:13" x14ac:dyDescent="0.3">
      <c r="A14">
        <v>87</v>
      </c>
      <c r="B14" t="s">
        <v>1228</v>
      </c>
      <c r="C14" t="s">
        <v>2667</v>
      </c>
      <c r="D14" t="s">
        <v>1203</v>
      </c>
      <c r="E14" t="s">
        <v>1204</v>
      </c>
      <c r="F14">
        <v>5448</v>
      </c>
      <c r="G14" t="s">
        <v>2664</v>
      </c>
      <c r="H14">
        <v>14922</v>
      </c>
      <c r="I14">
        <v>15506</v>
      </c>
      <c r="J14">
        <v>16122</v>
      </c>
      <c r="K14">
        <v>16772</v>
      </c>
      <c r="L14">
        <v>17458</v>
      </c>
      <c r="M14" t="s">
        <v>988</v>
      </c>
    </row>
    <row r="15" spans="1:13" x14ac:dyDescent="0.3">
      <c r="A15">
        <v>87</v>
      </c>
      <c r="B15" t="s">
        <v>1228</v>
      </c>
      <c r="C15" t="s">
        <v>2667</v>
      </c>
      <c r="D15" t="s">
        <v>1203</v>
      </c>
      <c r="E15" t="s">
        <v>1204</v>
      </c>
      <c r="F15">
        <v>5448</v>
      </c>
      <c r="G15" t="s">
        <v>2665</v>
      </c>
      <c r="H15">
        <v>14922</v>
      </c>
      <c r="I15">
        <v>15506</v>
      </c>
      <c r="J15">
        <v>16122</v>
      </c>
      <c r="K15">
        <v>16772</v>
      </c>
      <c r="L15">
        <v>17458</v>
      </c>
      <c r="M15" t="s">
        <v>988</v>
      </c>
    </row>
    <row r="16" spans="1:13" x14ac:dyDescent="0.3">
      <c r="A16">
        <v>93</v>
      </c>
      <c r="B16" t="s">
        <v>1231</v>
      </c>
      <c r="C16" t="s">
        <v>2667</v>
      </c>
      <c r="D16" t="s">
        <v>159</v>
      </c>
      <c r="E16" t="s">
        <v>159</v>
      </c>
      <c r="F16">
        <v>5447</v>
      </c>
      <c r="G16" t="s">
        <v>2664</v>
      </c>
      <c r="H16">
        <v>15105</v>
      </c>
      <c r="I16">
        <v>15320</v>
      </c>
      <c r="J16">
        <v>15538</v>
      </c>
      <c r="K16">
        <v>15759</v>
      </c>
      <c r="L16">
        <v>15984</v>
      </c>
      <c r="M16" t="s">
        <v>988</v>
      </c>
    </row>
    <row r="17" spans="1:13" x14ac:dyDescent="0.3">
      <c r="A17">
        <v>93</v>
      </c>
      <c r="B17" t="s">
        <v>1231</v>
      </c>
      <c r="C17" t="s">
        <v>2667</v>
      </c>
      <c r="D17" t="s">
        <v>159</v>
      </c>
      <c r="E17" t="s">
        <v>159</v>
      </c>
      <c r="F17">
        <v>5447</v>
      </c>
      <c r="G17" t="s">
        <v>2665</v>
      </c>
      <c r="H17">
        <v>15105</v>
      </c>
      <c r="I17">
        <v>15320</v>
      </c>
      <c r="J17">
        <v>15538</v>
      </c>
      <c r="K17">
        <v>15759</v>
      </c>
      <c r="L17">
        <v>15984</v>
      </c>
      <c r="M17" t="s">
        <v>988</v>
      </c>
    </row>
    <row r="18" spans="1:13" x14ac:dyDescent="0.3">
      <c r="A18">
        <v>94</v>
      </c>
      <c r="B18" t="s">
        <v>1232</v>
      </c>
      <c r="C18" t="s">
        <v>2667</v>
      </c>
      <c r="D18" t="s">
        <v>159</v>
      </c>
      <c r="E18" t="s">
        <v>159</v>
      </c>
      <c r="F18">
        <v>7274</v>
      </c>
      <c r="G18" t="s">
        <v>2664</v>
      </c>
      <c r="H18">
        <v>4201.3074666499997</v>
      </c>
      <c r="I18">
        <v>4201.3074666499997</v>
      </c>
      <c r="J18">
        <v>4201.3074666499997</v>
      </c>
      <c r="K18">
        <v>4201.3074666499997</v>
      </c>
      <c r="L18">
        <v>4201.3074666499997</v>
      </c>
      <c r="M18" t="s">
        <v>988</v>
      </c>
    </row>
    <row r="19" spans="1:13" x14ac:dyDescent="0.3">
      <c r="A19">
        <v>94</v>
      </c>
      <c r="B19" t="s">
        <v>1232</v>
      </c>
      <c r="C19" t="s">
        <v>2667</v>
      </c>
      <c r="D19" t="s">
        <v>159</v>
      </c>
      <c r="E19" t="s">
        <v>159</v>
      </c>
      <c r="F19">
        <v>7274</v>
      </c>
      <c r="G19" t="s">
        <v>2665</v>
      </c>
      <c r="H19">
        <v>1997.84599035</v>
      </c>
      <c r="I19">
        <v>2102.1881772500001</v>
      </c>
      <c r="J19">
        <v>2212.66813985</v>
      </c>
      <c r="K19">
        <v>2329.2858781499999</v>
      </c>
      <c r="L19">
        <v>2455.1102799999999</v>
      </c>
      <c r="M19" t="s">
        <v>988</v>
      </c>
    </row>
    <row r="20" spans="1:13" x14ac:dyDescent="0.3">
      <c r="A20">
        <v>102</v>
      </c>
      <c r="B20" t="s">
        <v>1237</v>
      </c>
      <c r="C20" t="s">
        <v>2667</v>
      </c>
      <c r="D20" t="s">
        <v>1203</v>
      </c>
      <c r="E20" t="s">
        <v>1204</v>
      </c>
      <c r="F20">
        <v>5765</v>
      </c>
      <c r="G20" t="s">
        <v>2664</v>
      </c>
      <c r="H20">
        <v>3243.8144574500002</v>
      </c>
      <c r="I20">
        <v>3378.8455228500002</v>
      </c>
      <c r="J20">
        <v>3520.0143639500002</v>
      </c>
      <c r="K20">
        <v>3661.1832050500002</v>
      </c>
      <c r="M20" t="s">
        <v>988</v>
      </c>
    </row>
    <row r="21" spans="1:13" x14ac:dyDescent="0.3">
      <c r="A21">
        <v>102</v>
      </c>
      <c r="B21" t="s">
        <v>1237</v>
      </c>
      <c r="C21" t="s">
        <v>2667</v>
      </c>
      <c r="D21" t="s">
        <v>1203</v>
      </c>
      <c r="E21" t="s">
        <v>1204</v>
      </c>
      <c r="F21">
        <v>5765</v>
      </c>
      <c r="G21" t="s">
        <v>2665</v>
      </c>
      <c r="H21">
        <v>2918.51234535</v>
      </c>
      <c r="I21">
        <v>3040.960970565</v>
      </c>
      <c r="J21">
        <v>3167.0922611999999</v>
      </c>
      <c r="K21">
        <v>3295.9855508999999</v>
      </c>
      <c r="M21" t="s">
        <v>988</v>
      </c>
    </row>
    <row r="22" spans="1:13" x14ac:dyDescent="0.3">
      <c r="A22">
        <v>107</v>
      </c>
      <c r="B22" t="s">
        <v>1238</v>
      </c>
      <c r="C22" t="s">
        <v>2667</v>
      </c>
      <c r="D22" t="s">
        <v>159</v>
      </c>
      <c r="E22" t="s">
        <v>159</v>
      </c>
      <c r="F22">
        <v>7175</v>
      </c>
      <c r="G22" t="s">
        <v>2664</v>
      </c>
      <c r="H22">
        <v>5527.0670178500004</v>
      </c>
      <c r="I22">
        <v>5855.4380178000001</v>
      </c>
      <c r="J22">
        <v>6076.3979429999999</v>
      </c>
      <c r="K22">
        <v>6315.7711952999998</v>
      </c>
      <c r="L22">
        <v>6567.4199989999997</v>
      </c>
      <c r="M22" t="s">
        <v>988</v>
      </c>
    </row>
    <row r="23" spans="1:13" x14ac:dyDescent="0.3">
      <c r="A23">
        <v>107</v>
      </c>
      <c r="B23" t="s">
        <v>1238</v>
      </c>
      <c r="C23" t="s">
        <v>2667</v>
      </c>
      <c r="D23" t="s">
        <v>159</v>
      </c>
      <c r="E23" t="s">
        <v>159</v>
      </c>
      <c r="F23">
        <v>7175</v>
      </c>
      <c r="G23" t="s">
        <v>2665</v>
      </c>
      <c r="H23">
        <v>5527.0670178500004</v>
      </c>
      <c r="I23">
        <v>5855.4380178000001</v>
      </c>
      <c r="J23">
        <v>6076.3979429999999</v>
      </c>
      <c r="K23">
        <v>6315.7711952999998</v>
      </c>
      <c r="L23">
        <v>6567.4199989999997</v>
      </c>
      <c r="M23" t="s">
        <v>988</v>
      </c>
    </row>
    <row r="24" spans="1:13" x14ac:dyDescent="0.3">
      <c r="A24">
        <v>110</v>
      </c>
      <c r="B24" t="s">
        <v>1239</v>
      </c>
      <c r="C24" t="s">
        <v>2667</v>
      </c>
      <c r="D24" t="s">
        <v>1203</v>
      </c>
      <c r="E24" t="s">
        <v>1204</v>
      </c>
      <c r="F24">
        <v>7792</v>
      </c>
      <c r="G24" t="s">
        <v>2664</v>
      </c>
      <c r="H24">
        <v>6749</v>
      </c>
      <c r="I24">
        <v>7227</v>
      </c>
      <c r="J24">
        <v>7739</v>
      </c>
      <c r="K24">
        <v>8287</v>
      </c>
      <c r="M24" t="s">
        <v>988</v>
      </c>
    </row>
    <row r="25" spans="1:13" x14ac:dyDescent="0.3">
      <c r="A25">
        <v>110</v>
      </c>
      <c r="B25" t="s">
        <v>1239</v>
      </c>
      <c r="C25" t="s">
        <v>2667</v>
      </c>
      <c r="D25" t="s">
        <v>1203</v>
      </c>
      <c r="E25" t="s">
        <v>1204</v>
      </c>
      <c r="F25">
        <v>7792</v>
      </c>
      <c r="G25" t="s">
        <v>2665</v>
      </c>
      <c r="H25">
        <v>6749</v>
      </c>
      <c r="I25">
        <v>7227.0787319999999</v>
      </c>
      <c r="J25">
        <v>7739</v>
      </c>
      <c r="K25">
        <v>8287</v>
      </c>
      <c r="M25" t="s">
        <v>988</v>
      </c>
    </row>
    <row r="26" spans="1:13" x14ac:dyDescent="0.3">
      <c r="A26">
        <v>117</v>
      </c>
      <c r="B26" t="s">
        <v>1240</v>
      </c>
      <c r="C26" t="s">
        <v>2667</v>
      </c>
      <c r="D26" t="s">
        <v>159</v>
      </c>
      <c r="E26" t="s">
        <v>159</v>
      </c>
      <c r="F26">
        <v>7816</v>
      </c>
      <c r="G26" t="s">
        <v>2665</v>
      </c>
      <c r="H26">
        <v>19715</v>
      </c>
      <c r="I26">
        <v>20036</v>
      </c>
      <c r="J26">
        <v>20362</v>
      </c>
      <c r="K26">
        <v>20693</v>
      </c>
      <c r="L26">
        <v>21029</v>
      </c>
      <c r="M26" t="s">
        <v>988</v>
      </c>
    </row>
    <row r="27" spans="1:13" x14ac:dyDescent="0.3">
      <c r="A27">
        <v>117</v>
      </c>
      <c r="B27" t="s">
        <v>1240</v>
      </c>
      <c r="C27" t="s">
        <v>2667</v>
      </c>
      <c r="D27" t="s">
        <v>159</v>
      </c>
      <c r="E27" t="s">
        <v>159</v>
      </c>
      <c r="F27">
        <v>7816</v>
      </c>
      <c r="G27" t="s">
        <v>2664</v>
      </c>
      <c r="H27">
        <v>25677</v>
      </c>
      <c r="I27">
        <v>25677</v>
      </c>
      <c r="J27">
        <v>25677</v>
      </c>
      <c r="K27">
        <v>25677</v>
      </c>
      <c r="L27">
        <v>25677</v>
      </c>
      <c r="M27" t="s">
        <v>988</v>
      </c>
    </row>
    <row r="28" spans="1:13" x14ac:dyDescent="0.3">
      <c r="A28">
        <v>123</v>
      </c>
      <c r="B28" t="s">
        <v>1242</v>
      </c>
      <c r="C28" t="s">
        <v>2667</v>
      </c>
      <c r="D28" t="s">
        <v>1203</v>
      </c>
      <c r="E28" t="s">
        <v>1204</v>
      </c>
      <c r="F28">
        <v>5757</v>
      </c>
      <c r="G28" t="s">
        <v>2664</v>
      </c>
      <c r="H28">
        <v>50190</v>
      </c>
      <c r="I28">
        <v>54873</v>
      </c>
      <c r="J28">
        <v>59991</v>
      </c>
      <c r="K28">
        <v>65589</v>
      </c>
      <c r="M28" t="s">
        <v>988</v>
      </c>
    </row>
    <row r="29" spans="1:13" x14ac:dyDescent="0.3">
      <c r="A29">
        <v>123</v>
      </c>
      <c r="B29" t="s">
        <v>1242</v>
      </c>
      <c r="C29" t="s">
        <v>2667</v>
      </c>
      <c r="D29" t="s">
        <v>1203</v>
      </c>
      <c r="E29" t="s">
        <v>1204</v>
      </c>
      <c r="F29">
        <v>5757</v>
      </c>
      <c r="G29" t="s">
        <v>2665</v>
      </c>
      <c r="H29">
        <v>50190</v>
      </c>
      <c r="I29">
        <v>54873</v>
      </c>
      <c r="J29">
        <v>59991</v>
      </c>
      <c r="K29">
        <v>65589</v>
      </c>
      <c r="M29" t="s">
        <v>988</v>
      </c>
    </row>
    <row r="30" spans="1:13" x14ac:dyDescent="0.3">
      <c r="A30">
        <v>124</v>
      </c>
      <c r="B30" t="s">
        <v>1246</v>
      </c>
      <c r="C30" t="s">
        <v>2667</v>
      </c>
      <c r="D30" t="s">
        <v>1203</v>
      </c>
      <c r="E30" t="s">
        <v>1204</v>
      </c>
      <c r="F30">
        <v>6589</v>
      </c>
      <c r="G30" t="s">
        <v>2664</v>
      </c>
      <c r="H30">
        <v>3722.5609620499999</v>
      </c>
      <c r="I30">
        <v>3596.7365602</v>
      </c>
      <c r="J30">
        <v>3811.5587096999998</v>
      </c>
      <c r="K30">
        <v>4029.44974705</v>
      </c>
      <c r="M30" t="s">
        <v>988</v>
      </c>
    </row>
    <row r="31" spans="1:13" x14ac:dyDescent="0.3">
      <c r="A31">
        <v>124</v>
      </c>
      <c r="B31" t="s">
        <v>1246</v>
      </c>
      <c r="C31" t="s">
        <v>2667</v>
      </c>
      <c r="D31" t="s">
        <v>1203</v>
      </c>
      <c r="E31" t="s">
        <v>1204</v>
      </c>
      <c r="F31">
        <v>6589</v>
      </c>
      <c r="G31" t="s">
        <v>2665</v>
      </c>
      <c r="H31">
        <v>3722.5609620499999</v>
      </c>
      <c r="I31">
        <v>3596.7365602</v>
      </c>
      <c r="J31">
        <v>3811.5587096999998</v>
      </c>
      <c r="K31">
        <v>4029.44974705</v>
      </c>
      <c r="M31" t="s">
        <v>988</v>
      </c>
    </row>
    <row r="32" spans="1:13" x14ac:dyDescent="0.3">
      <c r="A32">
        <v>129</v>
      </c>
      <c r="B32" t="s">
        <v>1250</v>
      </c>
      <c r="C32" t="s">
        <v>2667</v>
      </c>
      <c r="D32" t="s">
        <v>159</v>
      </c>
      <c r="E32" t="s">
        <v>159</v>
      </c>
      <c r="F32">
        <v>7821</v>
      </c>
      <c r="G32" t="s">
        <v>2664</v>
      </c>
      <c r="H32">
        <v>9969</v>
      </c>
      <c r="I32">
        <v>11226</v>
      </c>
      <c r="J32">
        <v>12362</v>
      </c>
      <c r="K32">
        <v>13332</v>
      </c>
      <c r="L32">
        <v>14135</v>
      </c>
      <c r="M32" t="s">
        <v>988</v>
      </c>
    </row>
    <row r="33" spans="1:13" x14ac:dyDescent="0.3">
      <c r="A33">
        <v>129</v>
      </c>
      <c r="B33" t="s">
        <v>1250</v>
      </c>
      <c r="C33" t="s">
        <v>2667</v>
      </c>
      <c r="D33" t="s">
        <v>159</v>
      </c>
      <c r="E33" t="s">
        <v>159</v>
      </c>
      <c r="F33">
        <v>7821</v>
      </c>
      <c r="G33" t="s">
        <v>2665</v>
      </c>
      <c r="H33">
        <v>9969</v>
      </c>
      <c r="I33">
        <v>11226</v>
      </c>
      <c r="J33">
        <v>12362</v>
      </c>
      <c r="K33">
        <v>13332</v>
      </c>
      <c r="L33">
        <v>14135</v>
      </c>
      <c r="M33" t="s">
        <v>988</v>
      </c>
    </row>
    <row r="34" spans="1:13" x14ac:dyDescent="0.3">
      <c r="A34">
        <v>159</v>
      </c>
      <c r="B34" t="s">
        <v>1251</v>
      </c>
      <c r="C34" t="s">
        <v>2667</v>
      </c>
      <c r="D34" t="s">
        <v>1203</v>
      </c>
      <c r="E34" t="s">
        <v>1204</v>
      </c>
      <c r="F34">
        <v>6161</v>
      </c>
      <c r="G34" t="s">
        <v>2664</v>
      </c>
      <c r="H34">
        <v>7349</v>
      </c>
      <c r="I34">
        <v>7878</v>
      </c>
      <c r="J34">
        <v>8944</v>
      </c>
      <c r="K34">
        <v>9195</v>
      </c>
      <c r="L34">
        <v>9792</v>
      </c>
      <c r="M34" t="s">
        <v>988</v>
      </c>
    </row>
    <row r="35" spans="1:13" x14ac:dyDescent="0.3">
      <c r="A35">
        <v>159</v>
      </c>
      <c r="B35" t="s">
        <v>1251</v>
      </c>
      <c r="C35" t="s">
        <v>2667</v>
      </c>
      <c r="D35" t="s">
        <v>1203</v>
      </c>
      <c r="E35" t="s">
        <v>1204</v>
      </c>
      <c r="F35">
        <v>6161</v>
      </c>
      <c r="G35" t="s">
        <v>2665</v>
      </c>
      <c r="H35">
        <v>15429</v>
      </c>
      <c r="I35">
        <v>16673</v>
      </c>
      <c r="J35">
        <v>18097</v>
      </c>
      <c r="K35">
        <v>19124</v>
      </c>
      <c r="L35">
        <v>19988</v>
      </c>
      <c r="M35" t="s">
        <v>988</v>
      </c>
    </row>
    <row r="36" spans="1:13" x14ac:dyDescent="0.3">
      <c r="A36">
        <v>167</v>
      </c>
      <c r="B36" t="s">
        <v>1257</v>
      </c>
      <c r="C36" t="s">
        <v>2667</v>
      </c>
      <c r="D36" t="s">
        <v>1203</v>
      </c>
      <c r="E36" t="s">
        <v>1204</v>
      </c>
      <c r="F36">
        <v>5807</v>
      </c>
      <c r="G36" t="s">
        <v>2664</v>
      </c>
      <c r="H36">
        <v>10050</v>
      </c>
      <c r="I36">
        <v>11050</v>
      </c>
      <c r="J36">
        <v>11050</v>
      </c>
      <c r="K36">
        <v>11050</v>
      </c>
      <c r="L36">
        <v>11050</v>
      </c>
      <c r="M36" t="s">
        <v>988</v>
      </c>
    </row>
    <row r="37" spans="1:13" x14ac:dyDescent="0.3">
      <c r="A37">
        <v>167</v>
      </c>
      <c r="B37" t="s">
        <v>1257</v>
      </c>
      <c r="C37" t="s">
        <v>2667</v>
      </c>
      <c r="D37" t="s">
        <v>1203</v>
      </c>
      <c r="E37" t="s">
        <v>1204</v>
      </c>
      <c r="F37">
        <v>5807</v>
      </c>
      <c r="G37" t="s">
        <v>2665</v>
      </c>
      <c r="H37">
        <v>11505</v>
      </c>
      <c r="I37">
        <v>11746</v>
      </c>
      <c r="J37">
        <v>11993</v>
      </c>
      <c r="K37">
        <v>12245</v>
      </c>
      <c r="L37">
        <v>12502</v>
      </c>
      <c r="M37" t="s">
        <v>988</v>
      </c>
    </row>
    <row r="38" spans="1:13" x14ac:dyDescent="0.3">
      <c r="A38">
        <v>170</v>
      </c>
      <c r="B38" t="s">
        <v>1258</v>
      </c>
      <c r="C38" t="s">
        <v>2667</v>
      </c>
      <c r="D38" t="s">
        <v>1203</v>
      </c>
      <c r="E38" t="s">
        <v>1204</v>
      </c>
      <c r="F38">
        <v>5955</v>
      </c>
      <c r="G38" t="s">
        <v>2664</v>
      </c>
      <c r="H38">
        <v>6423</v>
      </c>
      <c r="I38">
        <v>6423</v>
      </c>
      <c r="J38">
        <v>6423</v>
      </c>
      <c r="K38">
        <v>6423</v>
      </c>
      <c r="L38">
        <v>6423</v>
      </c>
      <c r="M38" t="s">
        <v>988</v>
      </c>
    </row>
    <row r="39" spans="1:13" x14ac:dyDescent="0.3">
      <c r="A39">
        <v>170</v>
      </c>
      <c r="B39" t="s">
        <v>1258</v>
      </c>
      <c r="C39" t="s">
        <v>2667</v>
      </c>
      <c r="D39" t="s">
        <v>1203</v>
      </c>
      <c r="E39" t="s">
        <v>1204</v>
      </c>
      <c r="F39">
        <v>5955</v>
      </c>
      <c r="G39" t="s">
        <v>2665</v>
      </c>
      <c r="H39">
        <v>6121</v>
      </c>
      <c r="I39">
        <v>6125</v>
      </c>
      <c r="J39">
        <v>6128</v>
      </c>
      <c r="K39">
        <v>6132</v>
      </c>
      <c r="L39">
        <v>6136</v>
      </c>
      <c r="M39" t="s">
        <v>988</v>
      </c>
    </row>
    <row r="40" spans="1:13" x14ac:dyDescent="0.3">
      <c r="A40">
        <v>178</v>
      </c>
      <c r="B40" t="s">
        <v>1261</v>
      </c>
      <c r="C40" t="s">
        <v>2667</v>
      </c>
      <c r="D40" t="s">
        <v>1203</v>
      </c>
      <c r="E40" t="s">
        <v>1204</v>
      </c>
      <c r="F40">
        <v>5494</v>
      </c>
      <c r="G40" t="s">
        <v>2665</v>
      </c>
      <c r="H40">
        <v>10247</v>
      </c>
      <c r="I40">
        <v>10301</v>
      </c>
      <c r="J40">
        <v>10424</v>
      </c>
      <c r="K40">
        <v>10538</v>
      </c>
      <c r="L40">
        <v>10798</v>
      </c>
      <c r="M40" t="s">
        <v>988</v>
      </c>
    </row>
    <row r="41" spans="1:13" x14ac:dyDescent="0.3">
      <c r="A41">
        <v>178</v>
      </c>
      <c r="B41" t="s">
        <v>1261</v>
      </c>
      <c r="C41" t="s">
        <v>2667</v>
      </c>
      <c r="D41" t="s">
        <v>1203</v>
      </c>
      <c r="E41" t="s">
        <v>1204</v>
      </c>
      <c r="F41">
        <v>5494</v>
      </c>
      <c r="G41" t="s">
        <v>2664</v>
      </c>
      <c r="H41">
        <v>21208</v>
      </c>
      <c r="I41">
        <v>21208</v>
      </c>
      <c r="J41">
        <v>21208</v>
      </c>
      <c r="K41">
        <v>21208</v>
      </c>
      <c r="L41">
        <v>21208</v>
      </c>
      <c r="M41" t="s">
        <v>988</v>
      </c>
    </row>
    <row r="42" spans="1:13" x14ac:dyDescent="0.3">
      <c r="A42">
        <v>193</v>
      </c>
      <c r="B42" t="s">
        <v>1265</v>
      </c>
      <c r="C42" t="s">
        <v>2667</v>
      </c>
      <c r="D42" t="s">
        <v>1203</v>
      </c>
      <c r="E42" t="s">
        <v>1204</v>
      </c>
      <c r="F42">
        <v>5906</v>
      </c>
      <c r="G42" t="s">
        <v>2664</v>
      </c>
      <c r="H42">
        <v>11933</v>
      </c>
      <c r="I42">
        <v>12131</v>
      </c>
      <c r="J42">
        <v>12340</v>
      </c>
      <c r="K42">
        <v>12582</v>
      </c>
      <c r="L42">
        <v>12768</v>
      </c>
      <c r="M42" t="s">
        <v>988</v>
      </c>
    </row>
    <row r="43" spans="1:13" x14ac:dyDescent="0.3">
      <c r="A43">
        <v>193</v>
      </c>
      <c r="B43" t="s">
        <v>1265</v>
      </c>
      <c r="C43" t="s">
        <v>2667</v>
      </c>
      <c r="D43" t="s">
        <v>1203</v>
      </c>
      <c r="E43" t="s">
        <v>1204</v>
      </c>
      <c r="F43">
        <v>5906</v>
      </c>
      <c r="G43" t="s">
        <v>2665</v>
      </c>
      <c r="H43">
        <v>11933</v>
      </c>
      <c r="I43">
        <v>12131</v>
      </c>
      <c r="J43">
        <v>12340</v>
      </c>
      <c r="K43">
        <v>12582</v>
      </c>
      <c r="L43">
        <v>12768</v>
      </c>
      <c r="M43" t="s">
        <v>988</v>
      </c>
    </row>
    <row r="44" spans="1:13" x14ac:dyDescent="0.3">
      <c r="A44">
        <v>197</v>
      </c>
      <c r="B44" t="s">
        <v>1268</v>
      </c>
      <c r="C44" t="s">
        <v>2667</v>
      </c>
      <c r="D44" t="s">
        <v>159</v>
      </c>
      <c r="E44" t="s">
        <v>159</v>
      </c>
      <c r="F44">
        <v>5480</v>
      </c>
      <c r="G44" t="s">
        <v>2664</v>
      </c>
      <c r="H44">
        <v>1185</v>
      </c>
      <c r="I44">
        <v>1206</v>
      </c>
      <c r="J44">
        <v>1227</v>
      </c>
      <c r="K44">
        <v>1249</v>
      </c>
      <c r="L44">
        <v>1271</v>
      </c>
      <c r="M44" t="s">
        <v>988</v>
      </c>
    </row>
    <row r="45" spans="1:13" x14ac:dyDescent="0.3">
      <c r="A45">
        <v>197</v>
      </c>
      <c r="B45" t="s">
        <v>1268</v>
      </c>
      <c r="C45" t="s">
        <v>2667</v>
      </c>
      <c r="D45" t="s">
        <v>159</v>
      </c>
      <c r="E45" t="s">
        <v>159</v>
      </c>
      <c r="F45">
        <v>5480</v>
      </c>
      <c r="G45" t="s">
        <v>2665</v>
      </c>
      <c r="H45">
        <v>1185</v>
      </c>
      <c r="I45">
        <v>1206</v>
      </c>
      <c r="J45">
        <v>1227</v>
      </c>
      <c r="K45">
        <v>1249</v>
      </c>
      <c r="L45">
        <v>1271</v>
      </c>
      <c r="M45" t="s">
        <v>988</v>
      </c>
    </row>
    <row r="46" spans="1:13" x14ac:dyDescent="0.3">
      <c r="A46">
        <v>198</v>
      </c>
      <c r="B46" t="s">
        <v>1270</v>
      </c>
      <c r="C46" t="s">
        <v>2667</v>
      </c>
      <c r="D46" t="s">
        <v>159</v>
      </c>
      <c r="E46" t="s">
        <v>159</v>
      </c>
      <c r="F46">
        <v>7825</v>
      </c>
      <c r="G46" t="s">
        <v>2665</v>
      </c>
      <c r="H46">
        <v>2356</v>
      </c>
      <c r="I46">
        <v>2375</v>
      </c>
      <c r="J46">
        <v>2404</v>
      </c>
      <c r="K46">
        <v>2449</v>
      </c>
      <c r="L46">
        <v>2506</v>
      </c>
      <c r="M46" t="s">
        <v>988</v>
      </c>
    </row>
    <row r="47" spans="1:13" x14ac:dyDescent="0.3">
      <c r="A47">
        <v>198</v>
      </c>
      <c r="B47" t="s">
        <v>1270</v>
      </c>
      <c r="C47" t="s">
        <v>2667</v>
      </c>
      <c r="D47" t="s">
        <v>159</v>
      </c>
      <c r="E47" t="s">
        <v>159</v>
      </c>
      <c r="F47">
        <v>7825</v>
      </c>
      <c r="G47" t="s">
        <v>2664</v>
      </c>
      <c r="H47">
        <v>3100</v>
      </c>
      <c r="I47">
        <v>3100</v>
      </c>
      <c r="J47">
        <v>3100</v>
      </c>
      <c r="K47">
        <v>3100</v>
      </c>
      <c r="L47">
        <v>3100</v>
      </c>
      <c r="M47" t="s">
        <v>988</v>
      </c>
    </row>
    <row r="48" spans="1:13" x14ac:dyDescent="0.3">
      <c r="A48">
        <v>241</v>
      </c>
      <c r="B48" t="s">
        <v>1271</v>
      </c>
      <c r="C48" t="s">
        <v>2667</v>
      </c>
      <c r="D48" t="s">
        <v>1203</v>
      </c>
      <c r="E48" t="s">
        <v>1204</v>
      </c>
      <c r="F48">
        <v>5667</v>
      </c>
      <c r="G48" t="s">
        <v>2665</v>
      </c>
      <c r="H48">
        <v>3633</v>
      </c>
      <c r="I48">
        <v>3880</v>
      </c>
      <c r="J48">
        <v>4112</v>
      </c>
      <c r="K48">
        <v>4330</v>
      </c>
      <c r="L48">
        <v>4534</v>
      </c>
      <c r="M48" t="s">
        <v>988</v>
      </c>
    </row>
    <row r="49" spans="1:13" x14ac:dyDescent="0.3">
      <c r="A49">
        <v>241</v>
      </c>
      <c r="B49" t="s">
        <v>1271</v>
      </c>
      <c r="C49" t="s">
        <v>2667</v>
      </c>
      <c r="D49" t="s">
        <v>1203</v>
      </c>
      <c r="E49" t="s">
        <v>1204</v>
      </c>
      <c r="F49">
        <v>5667</v>
      </c>
      <c r="G49" t="s">
        <v>2664</v>
      </c>
      <c r="H49">
        <v>3633</v>
      </c>
      <c r="I49">
        <v>3880</v>
      </c>
      <c r="J49">
        <v>4112</v>
      </c>
      <c r="K49">
        <v>4330</v>
      </c>
      <c r="L49">
        <v>4534</v>
      </c>
      <c r="M49" t="s">
        <v>988</v>
      </c>
    </row>
    <row r="50" spans="1:13" x14ac:dyDescent="0.3">
      <c r="A50">
        <v>262</v>
      </c>
      <c r="B50" t="s">
        <v>1273</v>
      </c>
      <c r="C50" t="s">
        <v>2667</v>
      </c>
      <c r="D50" t="s">
        <v>1203</v>
      </c>
      <c r="E50" t="s">
        <v>1204</v>
      </c>
      <c r="F50">
        <v>5902</v>
      </c>
      <c r="G50" t="s">
        <v>2664</v>
      </c>
      <c r="H50">
        <v>15123.479324800001</v>
      </c>
      <c r="I50">
        <v>15123.479324800001</v>
      </c>
      <c r="J50">
        <v>15123.479324800001</v>
      </c>
      <c r="K50">
        <v>15123.479324800001</v>
      </c>
      <c r="L50">
        <v>15123.479324800001</v>
      </c>
      <c r="M50" t="s">
        <v>988</v>
      </c>
    </row>
    <row r="51" spans="1:13" x14ac:dyDescent="0.3">
      <c r="A51">
        <v>262</v>
      </c>
      <c r="B51" t="s">
        <v>1273</v>
      </c>
      <c r="C51" t="s">
        <v>2667</v>
      </c>
      <c r="D51" t="s">
        <v>1203</v>
      </c>
      <c r="E51" t="s">
        <v>1204</v>
      </c>
      <c r="F51">
        <v>5902</v>
      </c>
      <c r="G51" t="s">
        <v>2665</v>
      </c>
      <c r="H51">
        <v>7254.8508774000002</v>
      </c>
      <c r="I51">
        <v>7524.1457862375</v>
      </c>
      <c r="J51">
        <v>7801.1129147000001</v>
      </c>
      <c r="K51">
        <v>8092.6572604499997</v>
      </c>
      <c r="L51">
        <v>8396.4771576000003</v>
      </c>
      <c r="M51" t="s">
        <v>988</v>
      </c>
    </row>
    <row r="52" spans="1:13" x14ac:dyDescent="0.3">
      <c r="A52">
        <v>263</v>
      </c>
      <c r="B52" t="s">
        <v>1278</v>
      </c>
      <c r="C52" t="s">
        <v>2667</v>
      </c>
      <c r="D52" t="s">
        <v>159</v>
      </c>
      <c r="E52" t="s">
        <v>159</v>
      </c>
      <c r="F52">
        <v>5651</v>
      </c>
      <c r="G52" t="s">
        <v>2664</v>
      </c>
      <c r="H52">
        <v>10115</v>
      </c>
      <c r="I52">
        <v>10277</v>
      </c>
      <c r="J52">
        <v>10272</v>
      </c>
      <c r="K52">
        <v>10309</v>
      </c>
      <c r="L52">
        <v>10330</v>
      </c>
      <c r="M52" t="s">
        <v>988</v>
      </c>
    </row>
    <row r="53" spans="1:13" x14ac:dyDescent="0.3">
      <c r="A53">
        <v>263</v>
      </c>
      <c r="B53" t="s">
        <v>1278</v>
      </c>
      <c r="C53" t="s">
        <v>2667</v>
      </c>
      <c r="D53" t="s">
        <v>159</v>
      </c>
      <c r="E53" t="s">
        <v>159</v>
      </c>
      <c r="F53">
        <v>5651</v>
      </c>
      <c r="G53" t="s">
        <v>2665</v>
      </c>
      <c r="H53">
        <v>10115</v>
      </c>
      <c r="I53">
        <v>10277</v>
      </c>
      <c r="J53">
        <v>10272</v>
      </c>
      <c r="K53">
        <v>10309</v>
      </c>
      <c r="L53">
        <v>10330</v>
      </c>
      <c r="M53" t="s">
        <v>988</v>
      </c>
    </row>
    <row r="54" spans="1:13" x14ac:dyDescent="0.3">
      <c r="A54">
        <v>264</v>
      </c>
      <c r="B54" t="s">
        <v>1283</v>
      </c>
      <c r="C54" t="s">
        <v>2667</v>
      </c>
      <c r="D54" t="s">
        <v>159</v>
      </c>
      <c r="E54" t="s">
        <v>159</v>
      </c>
      <c r="F54">
        <v>6905</v>
      </c>
      <c r="G54" t="s">
        <v>2665</v>
      </c>
      <c r="H54">
        <v>12831.020100850001</v>
      </c>
      <c r="I54">
        <v>13631.9998297</v>
      </c>
      <c r="J54">
        <v>14469.80621275</v>
      </c>
      <c r="K54">
        <v>15347.50813785</v>
      </c>
      <c r="L54">
        <v>16117.7989882</v>
      </c>
      <c r="M54" t="s">
        <v>988</v>
      </c>
    </row>
    <row r="55" spans="1:13" x14ac:dyDescent="0.3">
      <c r="A55">
        <v>264</v>
      </c>
      <c r="B55" t="s">
        <v>1283</v>
      </c>
      <c r="C55" t="s">
        <v>2667</v>
      </c>
      <c r="D55" t="s">
        <v>159</v>
      </c>
      <c r="E55" t="s">
        <v>159</v>
      </c>
      <c r="F55">
        <v>6905</v>
      </c>
      <c r="G55" t="s">
        <v>2664</v>
      </c>
      <c r="H55">
        <v>21519.0416042</v>
      </c>
      <c r="I55">
        <v>21666.348221</v>
      </c>
      <c r="J55">
        <v>21813.654837800001</v>
      </c>
      <c r="K55">
        <v>21960.961454600001</v>
      </c>
      <c r="L55">
        <v>21960.961454600001</v>
      </c>
      <c r="M55" t="s">
        <v>988</v>
      </c>
    </row>
    <row r="56" spans="1:13" x14ac:dyDescent="0.3">
      <c r="A56">
        <v>283</v>
      </c>
      <c r="B56" t="s">
        <v>1288</v>
      </c>
      <c r="C56" t="s">
        <v>2667</v>
      </c>
      <c r="D56" t="s">
        <v>1203</v>
      </c>
      <c r="E56" t="s">
        <v>1204</v>
      </c>
      <c r="F56">
        <v>5636</v>
      </c>
      <c r="G56" t="s">
        <v>2664</v>
      </c>
      <c r="H56">
        <v>15161</v>
      </c>
      <c r="I56">
        <v>14354</v>
      </c>
      <c r="J56">
        <v>14485</v>
      </c>
      <c r="K56">
        <v>14595</v>
      </c>
      <c r="L56">
        <v>14679</v>
      </c>
      <c r="M56" t="s">
        <v>988</v>
      </c>
    </row>
    <row r="57" spans="1:13" x14ac:dyDescent="0.3">
      <c r="A57">
        <v>283</v>
      </c>
      <c r="B57" t="s">
        <v>1288</v>
      </c>
      <c r="C57" t="s">
        <v>2667</v>
      </c>
      <c r="D57" t="s">
        <v>1203</v>
      </c>
      <c r="E57" t="s">
        <v>1204</v>
      </c>
      <c r="F57">
        <v>5636</v>
      </c>
      <c r="G57" t="s">
        <v>2665</v>
      </c>
      <c r="H57">
        <v>15161</v>
      </c>
      <c r="I57">
        <v>14354</v>
      </c>
      <c r="J57">
        <v>14485</v>
      </c>
      <c r="K57">
        <v>14595</v>
      </c>
      <c r="L57">
        <v>14679</v>
      </c>
      <c r="M57" t="s">
        <v>988</v>
      </c>
    </row>
    <row r="58" spans="1:13" x14ac:dyDescent="0.3">
      <c r="A58">
        <v>285</v>
      </c>
      <c r="B58" t="s">
        <v>1290</v>
      </c>
      <c r="C58" t="s">
        <v>2667</v>
      </c>
      <c r="D58" t="s">
        <v>1203</v>
      </c>
      <c r="E58" t="s">
        <v>1204</v>
      </c>
      <c r="F58">
        <v>5744</v>
      </c>
      <c r="G58" t="s">
        <v>2664</v>
      </c>
      <c r="H58">
        <v>28329</v>
      </c>
      <c r="I58">
        <v>30236</v>
      </c>
      <c r="J58">
        <v>31640</v>
      </c>
      <c r="K58">
        <v>31965</v>
      </c>
      <c r="L58">
        <v>32262</v>
      </c>
      <c r="M58" t="s">
        <v>988</v>
      </c>
    </row>
    <row r="59" spans="1:13" x14ac:dyDescent="0.3">
      <c r="A59">
        <v>285</v>
      </c>
      <c r="B59" t="s">
        <v>1290</v>
      </c>
      <c r="C59" t="s">
        <v>2667</v>
      </c>
      <c r="D59" t="s">
        <v>1203</v>
      </c>
      <c r="E59" t="s">
        <v>1204</v>
      </c>
      <c r="F59">
        <v>5744</v>
      </c>
      <c r="G59" t="s">
        <v>2665</v>
      </c>
      <c r="H59">
        <v>28329</v>
      </c>
      <c r="I59">
        <v>30236</v>
      </c>
      <c r="J59">
        <v>31640</v>
      </c>
      <c r="K59">
        <v>31965</v>
      </c>
      <c r="L59">
        <v>32262</v>
      </c>
      <c r="M59" t="s">
        <v>988</v>
      </c>
    </row>
    <row r="60" spans="1:13" x14ac:dyDescent="0.3">
      <c r="A60">
        <v>286</v>
      </c>
      <c r="B60" t="s">
        <v>1295</v>
      </c>
      <c r="C60" t="s">
        <v>2667</v>
      </c>
      <c r="D60" t="s">
        <v>1203</v>
      </c>
      <c r="E60" t="s">
        <v>1204</v>
      </c>
      <c r="F60">
        <v>5826</v>
      </c>
      <c r="G60" t="s">
        <v>2665</v>
      </c>
      <c r="H60">
        <v>4704.6050740500004</v>
      </c>
      <c r="I60">
        <v>4821.2228123499999</v>
      </c>
      <c r="J60">
        <v>4962.4223423285002</v>
      </c>
      <c r="K60">
        <v>5118.9049338000004</v>
      </c>
      <c r="M60" t="s">
        <v>988</v>
      </c>
    </row>
    <row r="61" spans="1:13" x14ac:dyDescent="0.3">
      <c r="A61">
        <v>286</v>
      </c>
      <c r="B61" t="s">
        <v>1295</v>
      </c>
      <c r="C61" t="s">
        <v>2667</v>
      </c>
      <c r="D61" t="s">
        <v>1203</v>
      </c>
      <c r="E61" t="s">
        <v>1204</v>
      </c>
      <c r="F61">
        <v>5826</v>
      </c>
      <c r="G61" t="s">
        <v>2664</v>
      </c>
      <c r="H61">
        <v>3010.5789808499999</v>
      </c>
      <c r="I61">
        <v>3084.2322892500001</v>
      </c>
      <c r="J61">
        <v>3176.29892475</v>
      </c>
      <c r="K61">
        <v>3225.4011303500001</v>
      </c>
      <c r="M61" t="s">
        <v>988</v>
      </c>
    </row>
    <row r="62" spans="1:13" x14ac:dyDescent="0.3">
      <c r="A62">
        <v>351</v>
      </c>
      <c r="B62" t="s">
        <v>1297</v>
      </c>
      <c r="C62" t="s">
        <v>2667</v>
      </c>
      <c r="D62" t="s">
        <v>1203</v>
      </c>
      <c r="E62" t="s">
        <v>1204</v>
      </c>
      <c r="F62">
        <v>5475</v>
      </c>
      <c r="G62" t="s">
        <v>2664</v>
      </c>
      <c r="H62">
        <v>79965</v>
      </c>
      <c r="I62">
        <v>80089</v>
      </c>
      <c r="J62">
        <v>80213</v>
      </c>
      <c r="K62">
        <v>80337</v>
      </c>
      <c r="L62">
        <v>80443</v>
      </c>
      <c r="M62" t="s">
        <v>988</v>
      </c>
    </row>
    <row r="63" spans="1:13" x14ac:dyDescent="0.3">
      <c r="A63">
        <v>351</v>
      </c>
      <c r="B63" t="s">
        <v>1297</v>
      </c>
      <c r="C63" t="s">
        <v>2667</v>
      </c>
      <c r="D63" t="s">
        <v>1203</v>
      </c>
      <c r="E63" t="s">
        <v>1204</v>
      </c>
      <c r="F63">
        <v>5475</v>
      </c>
      <c r="G63" t="s">
        <v>2665</v>
      </c>
      <c r="H63">
        <v>12954</v>
      </c>
      <c r="I63">
        <v>22348</v>
      </c>
      <c r="J63">
        <v>29152</v>
      </c>
      <c r="K63">
        <v>36488</v>
      </c>
      <c r="L63">
        <v>44907</v>
      </c>
      <c r="M63" t="s">
        <v>988</v>
      </c>
    </row>
    <row r="64" spans="1:13" x14ac:dyDescent="0.3">
      <c r="A64">
        <v>353</v>
      </c>
      <c r="B64" t="s">
        <v>1298</v>
      </c>
      <c r="C64" t="s">
        <v>2667</v>
      </c>
      <c r="D64" t="s">
        <v>1203</v>
      </c>
      <c r="E64" t="s">
        <v>1204</v>
      </c>
      <c r="F64">
        <v>7537</v>
      </c>
      <c r="G64" t="s">
        <v>2665</v>
      </c>
      <c r="H64">
        <v>7549.4641110000002</v>
      </c>
      <c r="I64">
        <v>8031.2795034500004</v>
      </c>
      <c r="J64">
        <v>8482.4060174000006</v>
      </c>
      <c r="K64">
        <v>8905.9125406999992</v>
      </c>
      <c r="L64">
        <v>9304.8679611999996</v>
      </c>
      <c r="M64" t="s">
        <v>988</v>
      </c>
    </row>
    <row r="65" spans="1:13" x14ac:dyDescent="0.3">
      <c r="A65">
        <v>353</v>
      </c>
      <c r="B65" t="s">
        <v>1298</v>
      </c>
      <c r="C65" t="s">
        <v>2667</v>
      </c>
      <c r="D65" t="s">
        <v>1203</v>
      </c>
      <c r="E65" t="s">
        <v>1204</v>
      </c>
      <c r="F65">
        <v>7537</v>
      </c>
      <c r="G65" t="s">
        <v>2664</v>
      </c>
      <c r="H65">
        <v>8961.1525220000003</v>
      </c>
      <c r="I65">
        <v>8961.1525220000003</v>
      </c>
      <c r="J65">
        <v>8961.1525220000003</v>
      </c>
      <c r="K65">
        <v>10081.296587250001</v>
      </c>
      <c r="L65">
        <v>10081.296587250001</v>
      </c>
      <c r="M65" t="s">
        <v>988</v>
      </c>
    </row>
    <row r="66" spans="1:13" x14ac:dyDescent="0.3">
      <c r="A66">
        <v>368</v>
      </c>
      <c r="B66" t="s">
        <v>1299</v>
      </c>
      <c r="C66" t="s">
        <v>2667</v>
      </c>
      <c r="D66" t="s">
        <v>1203</v>
      </c>
      <c r="E66" t="s">
        <v>1204</v>
      </c>
      <c r="F66">
        <v>5562</v>
      </c>
      <c r="G66" t="s">
        <v>2664</v>
      </c>
      <c r="H66">
        <v>24650</v>
      </c>
      <c r="I66">
        <v>24991</v>
      </c>
      <c r="J66">
        <v>25332</v>
      </c>
      <c r="K66">
        <v>25574</v>
      </c>
      <c r="L66">
        <v>25817</v>
      </c>
      <c r="M66" t="s">
        <v>988</v>
      </c>
    </row>
    <row r="67" spans="1:13" x14ac:dyDescent="0.3">
      <c r="A67">
        <v>368</v>
      </c>
      <c r="B67" t="s">
        <v>1299</v>
      </c>
      <c r="C67" t="s">
        <v>2667</v>
      </c>
      <c r="D67" t="s">
        <v>1203</v>
      </c>
      <c r="E67" t="s">
        <v>1204</v>
      </c>
      <c r="F67">
        <v>5562</v>
      </c>
      <c r="G67" t="s">
        <v>2665</v>
      </c>
      <c r="H67">
        <v>24650</v>
      </c>
      <c r="I67">
        <v>24991</v>
      </c>
      <c r="J67">
        <v>25332</v>
      </c>
      <c r="K67">
        <v>25574</v>
      </c>
      <c r="L67">
        <v>25817</v>
      </c>
      <c r="M67" t="s">
        <v>988</v>
      </c>
    </row>
    <row r="68" spans="1:13" x14ac:dyDescent="0.3">
      <c r="A68">
        <v>369</v>
      </c>
      <c r="B68" t="s">
        <v>1305</v>
      </c>
      <c r="C68" t="s">
        <v>2667</v>
      </c>
      <c r="D68" t="s">
        <v>1203</v>
      </c>
      <c r="E68" t="s">
        <v>1204</v>
      </c>
      <c r="F68">
        <v>5748</v>
      </c>
      <c r="G68" t="s">
        <v>2664</v>
      </c>
      <c r="H68">
        <v>7904</v>
      </c>
      <c r="I68">
        <v>14862</v>
      </c>
      <c r="J68">
        <v>15022</v>
      </c>
      <c r="K68">
        <v>15176</v>
      </c>
      <c r="L68">
        <v>15176</v>
      </c>
      <c r="M68" t="s">
        <v>988</v>
      </c>
    </row>
    <row r="69" spans="1:13" x14ac:dyDescent="0.3">
      <c r="A69">
        <v>369</v>
      </c>
      <c r="B69" t="s">
        <v>1305</v>
      </c>
      <c r="C69" t="s">
        <v>2667</v>
      </c>
      <c r="D69" t="s">
        <v>1203</v>
      </c>
      <c r="E69" t="s">
        <v>1204</v>
      </c>
      <c r="F69">
        <v>5748</v>
      </c>
      <c r="G69" t="s">
        <v>2665</v>
      </c>
      <c r="H69">
        <v>7904</v>
      </c>
      <c r="I69">
        <v>11883</v>
      </c>
      <c r="J69">
        <v>12474</v>
      </c>
      <c r="K69">
        <v>13065</v>
      </c>
      <c r="L69">
        <v>13656</v>
      </c>
      <c r="M69" t="s">
        <v>988</v>
      </c>
    </row>
    <row r="70" spans="1:13" x14ac:dyDescent="0.3">
      <c r="A70">
        <v>372</v>
      </c>
      <c r="B70" t="s">
        <v>1310</v>
      </c>
      <c r="C70" t="s">
        <v>2667</v>
      </c>
      <c r="D70" t="s">
        <v>1203</v>
      </c>
      <c r="E70" t="s">
        <v>1204</v>
      </c>
      <c r="F70">
        <v>5790</v>
      </c>
      <c r="G70" t="s">
        <v>2664</v>
      </c>
      <c r="H70">
        <v>126913.85703675001</v>
      </c>
      <c r="I70">
        <v>126913.85703675001</v>
      </c>
      <c r="J70">
        <v>128681.53643835</v>
      </c>
      <c r="K70">
        <v>131345.33109215001</v>
      </c>
      <c r="M70" t="s">
        <v>988</v>
      </c>
    </row>
    <row r="71" spans="1:13" x14ac:dyDescent="0.3">
      <c r="A71">
        <v>372</v>
      </c>
      <c r="B71" t="s">
        <v>1310</v>
      </c>
      <c r="C71" t="s">
        <v>2667</v>
      </c>
      <c r="D71" t="s">
        <v>1203</v>
      </c>
      <c r="E71" t="s">
        <v>1204</v>
      </c>
      <c r="F71">
        <v>5790</v>
      </c>
      <c r="G71" t="s">
        <v>2665</v>
      </c>
      <c r="H71">
        <v>31548.167098000002</v>
      </c>
      <c r="I71">
        <v>34564.883854549997</v>
      </c>
      <c r="J71">
        <v>36949.409714000001</v>
      </c>
      <c r="K71">
        <v>39889.404274300003</v>
      </c>
      <c r="M71" t="s">
        <v>988</v>
      </c>
    </row>
    <row r="72" spans="1:13" x14ac:dyDescent="0.3">
      <c r="A72">
        <v>373</v>
      </c>
      <c r="B72" t="s">
        <v>1339</v>
      </c>
      <c r="C72" t="s">
        <v>2667</v>
      </c>
      <c r="D72" t="s">
        <v>1203</v>
      </c>
      <c r="E72" t="s">
        <v>1204</v>
      </c>
      <c r="F72">
        <v>6638</v>
      </c>
      <c r="G72" t="s">
        <v>2665</v>
      </c>
      <c r="H72">
        <v>10431.149802149999</v>
      </c>
      <c r="I72">
        <v>10679.729718000001</v>
      </c>
      <c r="J72">
        <v>10934.447409550001</v>
      </c>
      <c r="K72">
        <v>11195.3028768</v>
      </c>
      <c r="M72" t="s">
        <v>988</v>
      </c>
    </row>
    <row r="73" spans="1:13" x14ac:dyDescent="0.3">
      <c r="A73">
        <v>373</v>
      </c>
      <c r="B73" t="s">
        <v>1339</v>
      </c>
      <c r="C73" t="s">
        <v>2667</v>
      </c>
      <c r="D73" t="s">
        <v>1203</v>
      </c>
      <c r="E73" t="s">
        <v>1204</v>
      </c>
      <c r="F73">
        <v>6638</v>
      </c>
      <c r="G73" t="s">
        <v>2664</v>
      </c>
      <c r="H73">
        <v>12517.993540150001</v>
      </c>
      <c r="I73">
        <v>11471.5027833</v>
      </c>
      <c r="J73">
        <v>11775.322680449999</v>
      </c>
      <c r="K73">
        <v>12088.349241149999</v>
      </c>
      <c r="M73" t="s">
        <v>988</v>
      </c>
    </row>
    <row r="74" spans="1:13" x14ac:dyDescent="0.3">
      <c r="A74">
        <v>376</v>
      </c>
      <c r="B74" t="s">
        <v>1342</v>
      </c>
      <c r="C74" t="s">
        <v>2667</v>
      </c>
      <c r="D74" t="s">
        <v>1203</v>
      </c>
      <c r="E74" t="s">
        <v>1204</v>
      </c>
      <c r="F74">
        <v>5548</v>
      </c>
      <c r="G74" t="s">
        <v>2664</v>
      </c>
      <c r="H74">
        <v>18586</v>
      </c>
      <c r="I74">
        <v>18707</v>
      </c>
      <c r="J74">
        <v>18827</v>
      </c>
      <c r="K74">
        <v>18938</v>
      </c>
      <c r="L74">
        <v>19049</v>
      </c>
      <c r="M74" t="s">
        <v>988</v>
      </c>
    </row>
    <row r="75" spans="1:13" x14ac:dyDescent="0.3">
      <c r="A75">
        <v>376</v>
      </c>
      <c r="B75" t="s">
        <v>1342</v>
      </c>
      <c r="C75" t="s">
        <v>2667</v>
      </c>
      <c r="D75" t="s">
        <v>1203</v>
      </c>
      <c r="E75" t="s">
        <v>1204</v>
      </c>
      <c r="F75">
        <v>5548</v>
      </c>
      <c r="G75" t="s">
        <v>2665</v>
      </c>
      <c r="H75">
        <v>18586</v>
      </c>
      <c r="I75">
        <v>18707</v>
      </c>
      <c r="J75">
        <v>18827</v>
      </c>
      <c r="K75">
        <v>18938</v>
      </c>
      <c r="L75">
        <v>19049</v>
      </c>
      <c r="M75" t="s">
        <v>988</v>
      </c>
    </row>
    <row r="76" spans="1:13" x14ac:dyDescent="0.3">
      <c r="A76">
        <v>384</v>
      </c>
      <c r="B76" t="s">
        <v>1343</v>
      </c>
      <c r="C76" t="s">
        <v>2667</v>
      </c>
      <c r="D76" t="s">
        <v>1203</v>
      </c>
      <c r="E76" t="s">
        <v>1204</v>
      </c>
      <c r="F76">
        <v>5848</v>
      </c>
      <c r="G76" t="s">
        <v>2665</v>
      </c>
      <c r="H76">
        <v>706</v>
      </c>
      <c r="I76">
        <v>686</v>
      </c>
      <c r="J76">
        <v>691</v>
      </c>
      <c r="K76">
        <v>696</v>
      </c>
      <c r="L76">
        <v>703</v>
      </c>
      <c r="M76" t="s">
        <v>988</v>
      </c>
    </row>
    <row r="77" spans="1:13" x14ac:dyDescent="0.3">
      <c r="A77">
        <v>384</v>
      </c>
      <c r="B77" t="s">
        <v>1343</v>
      </c>
      <c r="C77" t="s">
        <v>2667</v>
      </c>
      <c r="D77" t="s">
        <v>1203</v>
      </c>
      <c r="E77" t="s">
        <v>1204</v>
      </c>
      <c r="F77">
        <v>5848</v>
      </c>
      <c r="G77" t="s">
        <v>2664</v>
      </c>
      <c r="H77">
        <v>706</v>
      </c>
      <c r="I77">
        <v>686</v>
      </c>
      <c r="J77">
        <v>691</v>
      </c>
      <c r="K77">
        <v>696</v>
      </c>
      <c r="L77">
        <v>703</v>
      </c>
      <c r="M77" t="s">
        <v>988</v>
      </c>
    </row>
    <row r="78" spans="1:13" x14ac:dyDescent="0.3">
      <c r="A78">
        <v>386</v>
      </c>
      <c r="B78" t="s">
        <v>1345</v>
      </c>
      <c r="C78" t="s">
        <v>2667</v>
      </c>
      <c r="D78" t="s">
        <v>1203</v>
      </c>
      <c r="E78" t="s">
        <v>1204</v>
      </c>
      <c r="F78">
        <v>5850</v>
      </c>
      <c r="G78" t="s">
        <v>2664</v>
      </c>
      <c r="H78">
        <v>61520</v>
      </c>
      <c r="I78">
        <v>63807</v>
      </c>
      <c r="J78">
        <v>66588</v>
      </c>
      <c r="K78">
        <v>69100</v>
      </c>
      <c r="L78">
        <v>71592</v>
      </c>
      <c r="M78" t="s">
        <v>988</v>
      </c>
    </row>
    <row r="79" spans="1:13" x14ac:dyDescent="0.3">
      <c r="A79">
        <v>386</v>
      </c>
      <c r="B79" t="s">
        <v>1345</v>
      </c>
      <c r="C79" t="s">
        <v>2667</v>
      </c>
      <c r="D79" t="s">
        <v>1203</v>
      </c>
      <c r="E79" t="s">
        <v>1204</v>
      </c>
      <c r="F79">
        <v>5850</v>
      </c>
      <c r="G79" t="s">
        <v>2665</v>
      </c>
      <c r="H79">
        <v>61520</v>
      </c>
      <c r="I79">
        <v>63807</v>
      </c>
      <c r="J79">
        <v>66588</v>
      </c>
      <c r="K79">
        <v>69100</v>
      </c>
      <c r="L79">
        <v>71592</v>
      </c>
      <c r="M79" t="s">
        <v>988</v>
      </c>
    </row>
    <row r="80" spans="1:13" x14ac:dyDescent="0.3">
      <c r="A80">
        <v>387</v>
      </c>
      <c r="B80" t="s">
        <v>1347</v>
      </c>
      <c r="C80" t="s">
        <v>2667</v>
      </c>
      <c r="D80" t="s">
        <v>1203</v>
      </c>
      <c r="E80" t="s">
        <v>1204</v>
      </c>
      <c r="F80">
        <v>5849</v>
      </c>
      <c r="G80" t="s">
        <v>2664</v>
      </c>
      <c r="H80">
        <v>8546</v>
      </c>
      <c r="I80">
        <v>8482</v>
      </c>
      <c r="J80">
        <v>8503</v>
      </c>
      <c r="K80">
        <v>8334</v>
      </c>
      <c r="L80">
        <v>7154</v>
      </c>
      <c r="M80" t="s">
        <v>988</v>
      </c>
    </row>
    <row r="81" spans="1:13" x14ac:dyDescent="0.3">
      <c r="A81">
        <v>387</v>
      </c>
      <c r="B81" t="s">
        <v>1347</v>
      </c>
      <c r="C81" t="s">
        <v>2667</v>
      </c>
      <c r="D81" t="s">
        <v>1203</v>
      </c>
      <c r="E81" t="s">
        <v>1204</v>
      </c>
      <c r="F81">
        <v>5849</v>
      </c>
      <c r="G81" t="s">
        <v>2665</v>
      </c>
      <c r="H81">
        <v>13354</v>
      </c>
      <c r="I81">
        <v>13253</v>
      </c>
      <c r="J81">
        <v>13285</v>
      </c>
      <c r="K81">
        <v>13228</v>
      </c>
      <c r="L81">
        <v>13248</v>
      </c>
      <c r="M81" t="s">
        <v>988</v>
      </c>
    </row>
    <row r="82" spans="1:13" x14ac:dyDescent="0.3">
      <c r="A82">
        <v>388</v>
      </c>
      <c r="B82" t="s">
        <v>1348</v>
      </c>
      <c r="C82" t="s">
        <v>2667</v>
      </c>
      <c r="D82" t="s">
        <v>1203</v>
      </c>
      <c r="E82" t="s">
        <v>1204</v>
      </c>
      <c r="F82">
        <v>5851</v>
      </c>
      <c r="G82" t="s">
        <v>2664</v>
      </c>
      <c r="H82">
        <v>24599</v>
      </c>
      <c r="I82">
        <v>25800</v>
      </c>
      <c r="J82">
        <v>26916</v>
      </c>
      <c r="K82">
        <v>27469</v>
      </c>
      <c r="L82">
        <v>27863</v>
      </c>
      <c r="M82" t="s">
        <v>988</v>
      </c>
    </row>
    <row r="83" spans="1:13" x14ac:dyDescent="0.3">
      <c r="A83">
        <v>388</v>
      </c>
      <c r="B83" t="s">
        <v>1348</v>
      </c>
      <c r="C83" t="s">
        <v>2667</v>
      </c>
      <c r="D83" t="s">
        <v>1203</v>
      </c>
      <c r="E83" t="s">
        <v>1204</v>
      </c>
      <c r="F83">
        <v>5851</v>
      </c>
      <c r="G83" t="s">
        <v>2665</v>
      </c>
      <c r="H83">
        <v>24599</v>
      </c>
      <c r="I83">
        <v>25800</v>
      </c>
      <c r="J83">
        <v>26916</v>
      </c>
      <c r="K83">
        <v>27469</v>
      </c>
      <c r="L83">
        <v>27863</v>
      </c>
      <c r="M83" t="s">
        <v>988</v>
      </c>
    </row>
    <row r="84" spans="1:13" x14ac:dyDescent="0.3">
      <c r="A84">
        <v>390</v>
      </c>
      <c r="B84" t="s">
        <v>1349</v>
      </c>
      <c r="C84" t="s">
        <v>2667</v>
      </c>
      <c r="D84" t="s">
        <v>1203</v>
      </c>
      <c r="E84" t="s">
        <v>1204</v>
      </c>
      <c r="F84">
        <v>5852</v>
      </c>
      <c r="G84" t="s">
        <v>2664</v>
      </c>
      <c r="H84">
        <v>1389</v>
      </c>
      <c r="I84">
        <v>1348</v>
      </c>
      <c r="J84">
        <v>1354</v>
      </c>
      <c r="K84">
        <v>1360</v>
      </c>
      <c r="L84">
        <v>1374</v>
      </c>
      <c r="M84" t="s">
        <v>988</v>
      </c>
    </row>
    <row r="85" spans="1:13" x14ac:dyDescent="0.3">
      <c r="A85">
        <v>390</v>
      </c>
      <c r="B85" t="s">
        <v>1349</v>
      </c>
      <c r="C85" t="s">
        <v>2667</v>
      </c>
      <c r="D85" t="s">
        <v>1203</v>
      </c>
      <c r="E85" t="s">
        <v>1204</v>
      </c>
      <c r="F85">
        <v>5852</v>
      </c>
      <c r="G85" t="s">
        <v>2665</v>
      </c>
      <c r="H85">
        <v>1389</v>
      </c>
      <c r="I85">
        <v>1348</v>
      </c>
      <c r="J85">
        <v>1354</v>
      </c>
      <c r="K85">
        <v>1360</v>
      </c>
      <c r="L85">
        <v>1374</v>
      </c>
      <c r="M85" t="s">
        <v>988</v>
      </c>
    </row>
    <row r="86" spans="1:13" x14ac:dyDescent="0.3">
      <c r="A86">
        <v>391</v>
      </c>
      <c r="B86" t="s">
        <v>1350</v>
      </c>
      <c r="C86" t="s">
        <v>2667</v>
      </c>
      <c r="D86" t="s">
        <v>1203</v>
      </c>
      <c r="E86" t="s">
        <v>1204</v>
      </c>
      <c r="F86">
        <v>7554</v>
      </c>
      <c r="G86" t="s">
        <v>2664</v>
      </c>
      <c r="H86">
        <v>33683</v>
      </c>
      <c r="I86">
        <v>33416</v>
      </c>
      <c r="J86">
        <v>33455</v>
      </c>
      <c r="K86">
        <v>33507</v>
      </c>
      <c r="L86">
        <v>33659</v>
      </c>
      <c r="M86" t="s">
        <v>988</v>
      </c>
    </row>
    <row r="87" spans="1:13" x14ac:dyDescent="0.3">
      <c r="A87">
        <v>391</v>
      </c>
      <c r="B87" t="s">
        <v>1350</v>
      </c>
      <c r="C87" t="s">
        <v>2667</v>
      </c>
      <c r="D87" t="s">
        <v>1203</v>
      </c>
      <c r="E87" t="s">
        <v>1204</v>
      </c>
      <c r="F87">
        <v>7554</v>
      </c>
      <c r="G87" t="s">
        <v>2665</v>
      </c>
      <c r="H87">
        <v>33683</v>
      </c>
      <c r="I87">
        <v>33416</v>
      </c>
      <c r="J87">
        <v>33455</v>
      </c>
      <c r="K87">
        <v>33507</v>
      </c>
      <c r="L87">
        <v>33659</v>
      </c>
      <c r="M87" t="s">
        <v>988</v>
      </c>
    </row>
    <row r="88" spans="1:13" x14ac:dyDescent="0.3">
      <c r="A88">
        <v>392</v>
      </c>
      <c r="B88" t="s">
        <v>1351</v>
      </c>
      <c r="C88" t="s">
        <v>2667</v>
      </c>
      <c r="D88" t="s">
        <v>1203</v>
      </c>
      <c r="E88" t="s">
        <v>1204</v>
      </c>
      <c r="F88">
        <v>5854</v>
      </c>
      <c r="G88" t="s">
        <v>2664</v>
      </c>
      <c r="H88">
        <v>14244</v>
      </c>
      <c r="I88">
        <v>13916</v>
      </c>
      <c r="J88">
        <v>13920</v>
      </c>
      <c r="K88">
        <v>13935</v>
      </c>
      <c r="L88">
        <v>14032</v>
      </c>
      <c r="M88" t="s">
        <v>988</v>
      </c>
    </row>
    <row r="89" spans="1:13" x14ac:dyDescent="0.3">
      <c r="A89">
        <v>392</v>
      </c>
      <c r="B89" t="s">
        <v>1351</v>
      </c>
      <c r="C89" t="s">
        <v>2667</v>
      </c>
      <c r="D89" t="s">
        <v>1203</v>
      </c>
      <c r="E89" t="s">
        <v>1204</v>
      </c>
      <c r="F89">
        <v>5854</v>
      </c>
      <c r="G89" t="s">
        <v>2665</v>
      </c>
      <c r="H89">
        <v>14244</v>
      </c>
      <c r="I89">
        <v>13916</v>
      </c>
      <c r="J89">
        <v>13920</v>
      </c>
      <c r="K89">
        <v>13935</v>
      </c>
      <c r="L89">
        <v>14032</v>
      </c>
      <c r="M89" t="s">
        <v>988</v>
      </c>
    </row>
    <row r="90" spans="1:13" x14ac:dyDescent="0.3">
      <c r="A90">
        <v>396</v>
      </c>
      <c r="B90" t="s">
        <v>1353</v>
      </c>
      <c r="C90" t="s">
        <v>2667</v>
      </c>
      <c r="D90" t="s">
        <v>1203</v>
      </c>
      <c r="E90" t="s">
        <v>1204</v>
      </c>
      <c r="F90">
        <v>7555</v>
      </c>
      <c r="G90" t="s">
        <v>2664</v>
      </c>
      <c r="H90">
        <v>11085</v>
      </c>
      <c r="I90">
        <v>10914</v>
      </c>
      <c r="J90">
        <v>10906</v>
      </c>
      <c r="K90">
        <v>10900</v>
      </c>
      <c r="L90">
        <v>10987</v>
      </c>
      <c r="M90" t="s">
        <v>988</v>
      </c>
    </row>
    <row r="91" spans="1:13" x14ac:dyDescent="0.3">
      <c r="A91">
        <v>396</v>
      </c>
      <c r="B91" t="s">
        <v>1353</v>
      </c>
      <c r="C91" t="s">
        <v>2667</v>
      </c>
      <c r="D91" t="s">
        <v>1203</v>
      </c>
      <c r="E91" t="s">
        <v>1204</v>
      </c>
      <c r="F91">
        <v>7555</v>
      </c>
      <c r="G91" t="s">
        <v>2665</v>
      </c>
      <c r="H91">
        <v>11085</v>
      </c>
      <c r="I91">
        <v>10914</v>
      </c>
      <c r="J91">
        <v>10906</v>
      </c>
      <c r="K91">
        <v>10900</v>
      </c>
      <c r="L91">
        <v>10987</v>
      </c>
      <c r="M91" t="s">
        <v>988</v>
      </c>
    </row>
    <row r="92" spans="1:13" x14ac:dyDescent="0.3">
      <c r="A92">
        <v>397</v>
      </c>
      <c r="B92" t="s">
        <v>1354</v>
      </c>
      <c r="C92" t="s">
        <v>2667</v>
      </c>
      <c r="D92" t="s">
        <v>1203</v>
      </c>
      <c r="E92" t="s">
        <v>1204</v>
      </c>
      <c r="F92">
        <v>5858</v>
      </c>
      <c r="G92" t="s">
        <v>2665</v>
      </c>
      <c r="H92">
        <v>781</v>
      </c>
      <c r="I92">
        <v>778</v>
      </c>
      <c r="J92">
        <v>775</v>
      </c>
      <c r="K92">
        <v>771</v>
      </c>
      <c r="L92">
        <v>769</v>
      </c>
      <c r="M92" t="s">
        <v>988</v>
      </c>
    </row>
    <row r="93" spans="1:13" x14ac:dyDescent="0.3">
      <c r="A93">
        <v>397</v>
      </c>
      <c r="B93" t="s">
        <v>1354</v>
      </c>
      <c r="C93" t="s">
        <v>2667</v>
      </c>
      <c r="D93" t="s">
        <v>1203</v>
      </c>
      <c r="E93" t="s">
        <v>1204</v>
      </c>
      <c r="F93">
        <v>5858</v>
      </c>
      <c r="G93" t="s">
        <v>2664</v>
      </c>
      <c r="H93">
        <v>781</v>
      </c>
      <c r="I93">
        <v>778</v>
      </c>
      <c r="J93">
        <v>775</v>
      </c>
      <c r="K93">
        <v>771</v>
      </c>
      <c r="L93">
        <v>769</v>
      </c>
      <c r="M93" t="s">
        <v>988</v>
      </c>
    </row>
    <row r="94" spans="1:13" x14ac:dyDescent="0.3">
      <c r="A94">
        <v>398</v>
      </c>
      <c r="B94" t="s">
        <v>1355</v>
      </c>
      <c r="C94" t="s">
        <v>2667</v>
      </c>
      <c r="D94" t="s">
        <v>1203</v>
      </c>
      <c r="E94" t="s">
        <v>1204</v>
      </c>
      <c r="F94">
        <v>5857</v>
      </c>
      <c r="G94" t="s">
        <v>2665</v>
      </c>
      <c r="H94">
        <v>1724</v>
      </c>
      <c r="I94">
        <v>1733</v>
      </c>
      <c r="J94">
        <v>1775</v>
      </c>
      <c r="K94">
        <v>1815</v>
      </c>
      <c r="L94">
        <v>1865</v>
      </c>
      <c r="M94" t="s">
        <v>988</v>
      </c>
    </row>
    <row r="95" spans="1:13" x14ac:dyDescent="0.3">
      <c r="A95">
        <v>398</v>
      </c>
      <c r="B95" t="s">
        <v>1355</v>
      </c>
      <c r="C95" t="s">
        <v>2667</v>
      </c>
      <c r="D95" t="s">
        <v>1203</v>
      </c>
      <c r="E95" t="s">
        <v>1204</v>
      </c>
      <c r="F95">
        <v>5857</v>
      </c>
      <c r="G95" t="s">
        <v>2664</v>
      </c>
      <c r="H95">
        <v>1724</v>
      </c>
      <c r="I95">
        <v>1733</v>
      </c>
      <c r="J95">
        <v>1775</v>
      </c>
      <c r="K95">
        <v>1815</v>
      </c>
      <c r="L95">
        <v>1865</v>
      </c>
      <c r="M95" t="s">
        <v>988</v>
      </c>
    </row>
    <row r="96" spans="1:13" x14ac:dyDescent="0.3">
      <c r="A96">
        <v>401</v>
      </c>
      <c r="B96" t="s">
        <v>1356</v>
      </c>
      <c r="C96" t="s">
        <v>2667</v>
      </c>
      <c r="D96" t="s">
        <v>1203</v>
      </c>
      <c r="E96" t="s">
        <v>1204</v>
      </c>
      <c r="F96">
        <v>5859</v>
      </c>
      <c r="G96" t="s">
        <v>2664</v>
      </c>
      <c r="H96">
        <v>9635</v>
      </c>
      <c r="I96">
        <v>9660</v>
      </c>
      <c r="J96">
        <v>9818</v>
      </c>
      <c r="K96">
        <v>9859</v>
      </c>
      <c r="L96">
        <v>9938</v>
      </c>
      <c r="M96" t="s">
        <v>988</v>
      </c>
    </row>
    <row r="97" spans="1:13" x14ac:dyDescent="0.3">
      <c r="A97">
        <v>401</v>
      </c>
      <c r="B97" t="s">
        <v>1356</v>
      </c>
      <c r="C97" t="s">
        <v>2667</v>
      </c>
      <c r="D97" t="s">
        <v>1203</v>
      </c>
      <c r="E97" t="s">
        <v>1204</v>
      </c>
      <c r="F97">
        <v>5859</v>
      </c>
      <c r="G97" t="s">
        <v>2665</v>
      </c>
      <c r="H97">
        <v>9635</v>
      </c>
      <c r="I97">
        <v>9660</v>
      </c>
      <c r="J97">
        <v>9818</v>
      </c>
      <c r="K97">
        <v>9859</v>
      </c>
      <c r="L97">
        <v>9938</v>
      </c>
      <c r="M97" t="s">
        <v>988</v>
      </c>
    </row>
    <row r="98" spans="1:13" x14ac:dyDescent="0.3">
      <c r="A98">
        <v>402</v>
      </c>
      <c r="B98" t="s">
        <v>1357</v>
      </c>
      <c r="C98" t="s">
        <v>2667</v>
      </c>
      <c r="D98" t="s">
        <v>1203</v>
      </c>
      <c r="E98" t="s">
        <v>1204</v>
      </c>
      <c r="F98">
        <v>5860</v>
      </c>
      <c r="G98" t="s">
        <v>2665</v>
      </c>
      <c r="H98">
        <v>13702</v>
      </c>
      <c r="I98">
        <v>13698</v>
      </c>
      <c r="J98">
        <v>14029</v>
      </c>
      <c r="K98">
        <v>14381</v>
      </c>
      <c r="L98">
        <v>14825</v>
      </c>
      <c r="M98" t="s">
        <v>988</v>
      </c>
    </row>
    <row r="99" spans="1:13" x14ac:dyDescent="0.3">
      <c r="A99">
        <v>402</v>
      </c>
      <c r="B99" t="s">
        <v>1357</v>
      </c>
      <c r="C99" t="s">
        <v>2667</v>
      </c>
      <c r="D99" t="s">
        <v>1203</v>
      </c>
      <c r="E99" t="s">
        <v>1204</v>
      </c>
      <c r="F99">
        <v>5860</v>
      </c>
      <c r="G99" t="s">
        <v>2664</v>
      </c>
      <c r="H99">
        <v>13702</v>
      </c>
      <c r="I99">
        <v>13698</v>
      </c>
      <c r="J99">
        <v>14029</v>
      </c>
      <c r="K99">
        <v>14381</v>
      </c>
      <c r="L99">
        <v>14825</v>
      </c>
      <c r="M99" t="s">
        <v>988</v>
      </c>
    </row>
    <row r="100" spans="1:13" x14ac:dyDescent="0.3">
      <c r="A100">
        <v>405</v>
      </c>
      <c r="B100" t="s">
        <v>1358</v>
      </c>
      <c r="C100" t="s">
        <v>2667</v>
      </c>
      <c r="D100" t="s">
        <v>1203</v>
      </c>
      <c r="E100" t="s">
        <v>1204</v>
      </c>
      <c r="F100">
        <v>5861</v>
      </c>
      <c r="G100" t="s">
        <v>2665</v>
      </c>
      <c r="H100">
        <v>2039</v>
      </c>
      <c r="I100">
        <v>2013</v>
      </c>
      <c r="J100">
        <v>1992</v>
      </c>
      <c r="K100">
        <v>1976</v>
      </c>
      <c r="L100">
        <v>1967</v>
      </c>
      <c r="M100" t="s">
        <v>988</v>
      </c>
    </row>
    <row r="101" spans="1:13" x14ac:dyDescent="0.3">
      <c r="A101">
        <v>405</v>
      </c>
      <c r="B101" t="s">
        <v>1358</v>
      </c>
      <c r="C101" t="s">
        <v>2667</v>
      </c>
      <c r="D101" t="s">
        <v>1203</v>
      </c>
      <c r="E101" t="s">
        <v>1204</v>
      </c>
      <c r="F101">
        <v>5861</v>
      </c>
      <c r="G101" t="s">
        <v>2664</v>
      </c>
      <c r="H101">
        <v>2039</v>
      </c>
      <c r="I101">
        <v>2013</v>
      </c>
      <c r="J101">
        <v>1992</v>
      </c>
      <c r="K101">
        <v>1976</v>
      </c>
      <c r="L101">
        <v>1967</v>
      </c>
      <c r="M101" t="s">
        <v>988</v>
      </c>
    </row>
    <row r="102" spans="1:13" x14ac:dyDescent="0.3">
      <c r="A102">
        <v>420</v>
      </c>
      <c r="B102" t="s">
        <v>1359</v>
      </c>
      <c r="C102" t="s">
        <v>2667</v>
      </c>
      <c r="D102" t="s">
        <v>1203</v>
      </c>
      <c r="E102" t="s">
        <v>1204</v>
      </c>
      <c r="F102">
        <v>5862</v>
      </c>
      <c r="G102" t="s">
        <v>2665</v>
      </c>
      <c r="H102">
        <v>14797</v>
      </c>
      <c r="I102">
        <v>14908</v>
      </c>
      <c r="J102">
        <v>15168</v>
      </c>
      <c r="K102">
        <v>15359</v>
      </c>
      <c r="L102">
        <v>15662</v>
      </c>
      <c r="M102" t="s">
        <v>988</v>
      </c>
    </row>
    <row r="103" spans="1:13" x14ac:dyDescent="0.3">
      <c r="A103">
        <v>420</v>
      </c>
      <c r="B103" t="s">
        <v>1359</v>
      </c>
      <c r="C103" t="s">
        <v>2667</v>
      </c>
      <c r="D103" t="s">
        <v>1203</v>
      </c>
      <c r="E103" t="s">
        <v>1204</v>
      </c>
      <c r="F103">
        <v>5862</v>
      </c>
      <c r="G103" t="s">
        <v>2664</v>
      </c>
      <c r="H103">
        <v>9470</v>
      </c>
      <c r="I103">
        <v>9541</v>
      </c>
      <c r="J103">
        <v>9708</v>
      </c>
      <c r="K103">
        <v>9676</v>
      </c>
      <c r="L103">
        <v>8458</v>
      </c>
      <c r="M103" t="s">
        <v>988</v>
      </c>
    </row>
    <row r="104" spans="1:13" x14ac:dyDescent="0.3">
      <c r="A104">
        <v>412</v>
      </c>
      <c r="B104" t="s">
        <v>1360</v>
      </c>
      <c r="C104" t="s">
        <v>2667</v>
      </c>
      <c r="D104" t="s">
        <v>1203</v>
      </c>
      <c r="E104" t="s">
        <v>1204</v>
      </c>
      <c r="F104">
        <v>5863</v>
      </c>
      <c r="G104" t="s">
        <v>2665</v>
      </c>
      <c r="H104">
        <v>2764</v>
      </c>
      <c r="I104">
        <v>2708</v>
      </c>
      <c r="J104">
        <v>2702</v>
      </c>
      <c r="K104">
        <v>2695</v>
      </c>
      <c r="L104">
        <v>2694</v>
      </c>
      <c r="M104" t="s">
        <v>988</v>
      </c>
    </row>
    <row r="105" spans="1:13" x14ac:dyDescent="0.3">
      <c r="A105">
        <v>412</v>
      </c>
      <c r="B105" t="s">
        <v>1360</v>
      </c>
      <c r="C105" t="s">
        <v>2667</v>
      </c>
      <c r="D105" t="s">
        <v>1203</v>
      </c>
      <c r="E105" t="s">
        <v>1204</v>
      </c>
      <c r="F105">
        <v>5863</v>
      </c>
      <c r="G105" t="s">
        <v>2664</v>
      </c>
      <c r="H105">
        <v>2764</v>
      </c>
      <c r="I105">
        <v>2708</v>
      </c>
      <c r="J105">
        <v>2702</v>
      </c>
      <c r="K105">
        <v>2695</v>
      </c>
      <c r="L105">
        <v>2694</v>
      </c>
      <c r="M105" t="s">
        <v>988</v>
      </c>
    </row>
    <row r="106" spans="1:13" x14ac:dyDescent="0.3">
      <c r="A106">
        <v>413</v>
      </c>
      <c r="B106" t="s">
        <v>1361</v>
      </c>
      <c r="C106" t="s">
        <v>2667</v>
      </c>
      <c r="D106" t="s">
        <v>1203</v>
      </c>
      <c r="E106" t="s">
        <v>1204</v>
      </c>
      <c r="F106">
        <v>5864</v>
      </c>
      <c r="G106" t="s">
        <v>2665</v>
      </c>
      <c r="H106">
        <v>18246</v>
      </c>
      <c r="I106">
        <v>18346</v>
      </c>
      <c r="J106">
        <v>18518</v>
      </c>
      <c r="K106">
        <v>18641</v>
      </c>
      <c r="L106">
        <v>18976</v>
      </c>
      <c r="M106" t="s">
        <v>988</v>
      </c>
    </row>
    <row r="107" spans="1:13" x14ac:dyDescent="0.3">
      <c r="A107">
        <v>413</v>
      </c>
      <c r="B107" t="s">
        <v>1361</v>
      </c>
      <c r="C107" t="s">
        <v>2667</v>
      </c>
      <c r="D107" t="s">
        <v>1203</v>
      </c>
      <c r="E107" t="s">
        <v>1204</v>
      </c>
      <c r="F107">
        <v>5864</v>
      </c>
      <c r="G107" t="s">
        <v>2664</v>
      </c>
      <c r="H107">
        <v>18246</v>
      </c>
      <c r="I107">
        <v>18346</v>
      </c>
      <c r="J107">
        <v>18518</v>
      </c>
      <c r="K107">
        <v>18641</v>
      </c>
      <c r="L107">
        <v>18976</v>
      </c>
      <c r="M107" t="s">
        <v>988</v>
      </c>
    </row>
    <row r="108" spans="1:13" x14ac:dyDescent="0.3">
      <c r="A108">
        <v>416</v>
      </c>
      <c r="B108" t="s">
        <v>1362</v>
      </c>
      <c r="C108" t="s">
        <v>2667</v>
      </c>
      <c r="D108" t="s">
        <v>1203</v>
      </c>
      <c r="E108" t="s">
        <v>1204</v>
      </c>
      <c r="F108">
        <v>5865</v>
      </c>
      <c r="G108" t="s">
        <v>2665</v>
      </c>
      <c r="H108">
        <v>370</v>
      </c>
      <c r="I108">
        <v>354</v>
      </c>
      <c r="J108">
        <v>350</v>
      </c>
      <c r="K108">
        <v>345</v>
      </c>
      <c r="L108">
        <v>344</v>
      </c>
      <c r="M108" t="s">
        <v>988</v>
      </c>
    </row>
    <row r="109" spans="1:13" x14ac:dyDescent="0.3">
      <c r="A109">
        <v>416</v>
      </c>
      <c r="B109" t="s">
        <v>1362</v>
      </c>
      <c r="C109" t="s">
        <v>2667</v>
      </c>
      <c r="D109" t="s">
        <v>1203</v>
      </c>
      <c r="E109" t="s">
        <v>1204</v>
      </c>
      <c r="F109">
        <v>5865</v>
      </c>
      <c r="G109" t="s">
        <v>2664</v>
      </c>
      <c r="H109">
        <v>370</v>
      </c>
      <c r="I109">
        <v>354</v>
      </c>
      <c r="J109">
        <v>350</v>
      </c>
      <c r="K109">
        <v>345</v>
      </c>
      <c r="L109">
        <v>344</v>
      </c>
      <c r="M109" t="s">
        <v>988</v>
      </c>
    </row>
    <row r="110" spans="1:13" x14ac:dyDescent="0.3">
      <c r="A110">
        <v>417</v>
      </c>
      <c r="B110" t="s">
        <v>1363</v>
      </c>
      <c r="C110" t="s">
        <v>2667</v>
      </c>
      <c r="D110" t="s">
        <v>1203</v>
      </c>
      <c r="E110" t="s">
        <v>1204</v>
      </c>
      <c r="F110">
        <v>5866</v>
      </c>
      <c r="G110" t="s">
        <v>2665</v>
      </c>
      <c r="H110">
        <v>17152</v>
      </c>
      <c r="I110">
        <v>17542</v>
      </c>
      <c r="J110">
        <v>18147</v>
      </c>
      <c r="K110">
        <v>18765</v>
      </c>
      <c r="L110">
        <v>19464</v>
      </c>
      <c r="M110" t="s">
        <v>988</v>
      </c>
    </row>
    <row r="111" spans="1:13" x14ac:dyDescent="0.3">
      <c r="A111">
        <v>417</v>
      </c>
      <c r="B111" t="s">
        <v>1363</v>
      </c>
      <c r="C111" t="s">
        <v>2667</v>
      </c>
      <c r="D111" t="s">
        <v>1203</v>
      </c>
      <c r="E111" t="s">
        <v>1204</v>
      </c>
      <c r="F111">
        <v>5866</v>
      </c>
      <c r="G111" t="s">
        <v>2664</v>
      </c>
      <c r="H111">
        <v>17152</v>
      </c>
      <c r="I111">
        <v>17542</v>
      </c>
      <c r="J111">
        <v>18147</v>
      </c>
      <c r="K111">
        <v>18765</v>
      </c>
      <c r="L111">
        <v>19464</v>
      </c>
      <c r="M111" t="s">
        <v>988</v>
      </c>
    </row>
    <row r="112" spans="1:13" x14ac:dyDescent="0.3">
      <c r="A112">
        <v>421</v>
      </c>
      <c r="B112" t="s">
        <v>1364</v>
      </c>
      <c r="C112" t="s">
        <v>2667</v>
      </c>
      <c r="D112" t="s">
        <v>1203</v>
      </c>
      <c r="E112" t="s">
        <v>1204</v>
      </c>
      <c r="F112">
        <v>5867</v>
      </c>
      <c r="G112" t="s">
        <v>2665</v>
      </c>
      <c r="H112">
        <v>4584</v>
      </c>
      <c r="I112">
        <v>4547</v>
      </c>
      <c r="J112">
        <v>4695</v>
      </c>
      <c r="K112">
        <v>4819</v>
      </c>
      <c r="L112">
        <v>4965</v>
      </c>
      <c r="M112" t="s">
        <v>988</v>
      </c>
    </row>
    <row r="113" spans="1:13" x14ac:dyDescent="0.3">
      <c r="A113">
        <v>421</v>
      </c>
      <c r="B113" t="s">
        <v>1364</v>
      </c>
      <c r="C113" t="s">
        <v>2667</v>
      </c>
      <c r="D113" t="s">
        <v>1203</v>
      </c>
      <c r="E113" t="s">
        <v>1204</v>
      </c>
      <c r="F113">
        <v>5867</v>
      </c>
      <c r="G113" t="s">
        <v>2664</v>
      </c>
      <c r="H113">
        <v>4584</v>
      </c>
      <c r="I113">
        <v>4547</v>
      </c>
      <c r="J113">
        <v>4695</v>
      </c>
      <c r="K113">
        <v>4819</v>
      </c>
      <c r="L113">
        <v>4965</v>
      </c>
      <c r="M113" t="s">
        <v>988</v>
      </c>
    </row>
    <row r="114" spans="1:13" x14ac:dyDescent="0.3">
      <c r="A114">
        <v>422</v>
      </c>
      <c r="B114" t="s">
        <v>1365</v>
      </c>
      <c r="C114" t="s">
        <v>2667</v>
      </c>
      <c r="D114" t="s">
        <v>1203</v>
      </c>
      <c r="E114" t="s">
        <v>1204</v>
      </c>
      <c r="F114">
        <v>5868</v>
      </c>
      <c r="G114" t="s">
        <v>2665</v>
      </c>
      <c r="H114">
        <v>7831</v>
      </c>
      <c r="I114">
        <v>7767</v>
      </c>
      <c r="J114">
        <v>7925</v>
      </c>
      <c r="K114">
        <v>8304</v>
      </c>
      <c r="L114">
        <v>8743</v>
      </c>
      <c r="M114" t="s">
        <v>988</v>
      </c>
    </row>
    <row r="115" spans="1:13" x14ac:dyDescent="0.3">
      <c r="A115">
        <v>422</v>
      </c>
      <c r="B115" t="s">
        <v>1365</v>
      </c>
      <c r="C115" t="s">
        <v>2667</v>
      </c>
      <c r="D115" t="s">
        <v>1203</v>
      </c>
      <c r="E115" t="s">
        <v>1204</v>
      </c>
      <c r="F115">
        <v>5868</v>
      </c>
      <c r="G115" t="s">
        <v>2664</v>
      </c>
      <c r="H115">
        <v>5564</v>
      </c>
      <c r="I115">
        <v>5523</v>
      </c>
      <c r="J115">
        <v>5624</v>
      </c>
      <c r="K115">
        <v>5799</v>
      </c>
      <c r="L115">
        <v>5427</v>
      </c>
      <c r="M115" t="s">
        <v>988</v>
      </c>
    </row>
    <row r="116" spans="1:13" x14ac:dyDescent="0.3">
      <c r="A116">
        <v>424</v>
      </c>
      <c r="B116" t="s">
        <v>1366</v>
      </c>
      <c r="C116" t="s">
        <v>2667</v>
      </c>
      <c r="D116" t="s">
        <v>1203</v>
      </c>
      <c r="E116" t="s">
        <v>1204</v>
      </c>
      <c r="F116">
        <v>5869</v>
      </c>
      <c r="G116" t="s">
        <v>2665</v>
      </c>
      <c r="H116">
        <v>24377</v>
      </c>
      <c r="I116">
        <v>24230</v>
      </c>
      <c r="J116">
        <v>24191</v>
      </c>
      <c r="K116">
        <v>24123</v>
      </c>
      <c r="L116">
        <v>24164</v>
      </c>
      <c r="M116" t="s">
        <v>988</v>
      </c>
    </row>
    <row r="117" spans="1:13" x14ac:dyDescent="0.3">
      <c r="A117">
        <v>424</v>
      </c>
      <c r="B117" t="s">
        <v>1366</v>
      </c>
      <c r="C117" t="s">
        <v>2667</v>
      </c>
      <c r="D117" t="s">
        <v>1203</v>
      </c>
      <c r="E117" t="s">
        <v>1204</v>
      </c>
      <c r="F117">
        <v>5869</v>
      </c>
      <c r="G117" t="s">
        <v>2664</v>
      </c>
      <c r="H117">
        <v>24377</v>
      </c>
      <c r="I117">
        <v>24230</v>
      </c>
      <c r="J117">
        <v>24191</v>
      </c>
      <c r="K117">
        <v>24123</v>
      </c>
      <c r="L117">
        <v>24164</v>
      </c>
      <c r="M117" t="s">
        <v>988</v>
      </c>
    </row>
    <row r="118" spans="1:13" x14ac:dyDescent="0.3">
      <c r="A118">
        <v>427</v>
      </c>
      <c r="B118" t="s">
        <v>1367</v>
      </c>
      <c r="C118" t="s">
        <v>2667</v>
      </c>
      <c r="D118" t="s">
        <v>1203</v>
      </c>
      <c r="E118" t="s">
        <v>1204</v>
      </c>
      <c r="F118">
        <v>5870</v>
      </c>
      <c r="G118" t="s">
        <v>2664</v>
      </c>
      <c r="H118">
        <v>33152</v>
      </c>
      <c r="I118">
        <v>35962</v>
      </c>
      <c r="J118">
        <v>39057</v>
      </c>
      <c r="K118">
        <v>42063</v>
      </c>
      <c r="L118">
        <v>45400</v>
      </c>
      <c r="M118" t="s">
        <v>988</v>
      </c>
    </row>
    <row r="119" spans="1:13" x14ac:dyDescent="0.3">
      <c r="A119">
        <v>427</v>
      </c>
      <c r="B119" t="s">
        <v>1367</v>
      </c>
      <c r="C119" t="s">
        <v>2667</v>
      </c>
      <c r="D119" t="s">
        <v>1203</v>
      </c>
      <c r="E119" t="s">
        <v>1204</v>
      </c>
      <c r="F119">
        <v>5870</v>
      </c>
      <c r="G119" t="s">
        <v>2665</v>
      </c>
      <c r="H119">
        <v>33152</v>
      </c>
      <c r="I119">
        <v>35962</v>
      </c>
      <c r="J119">
        <v>39057</v>
      </c>
      <c r="K119">
        <v>42063</v>
      </c>
      <c r="L119">
        <v>45400</v>
      </c>
      <c r="M119" t="s">
        <v>988</v>
      </c>
    </row>
    <row r="120" spans="1:13" x14ac:dyDescent="0.3">
      <c r="A120">
        <v>428</v>
      </c>
      <c r="B120" t="s">
        <v>1368</v>
      </c>
      <c r="C120" t="s">
        <v>2667</v>
      </c>
      <c r="D120" t="s">
        <v>1203</v>
      </c>
      <c r="E120" t="s">
        <v>1204</v>
      </c>
      <c r="F120">
        <v>5871</v>
      </c>
      <c r="G120" t="s">
        <v>2665</v>
      </c>
      <c r="H120">
        <v>7554</v>
      </c>
      <c r="I120">
        <v>7426</v>
      </c>
      <c r="J120">
        <v>7429</v>
      </c>
      <c r="K120">
        <v>7424</v>
      </c>
      <c r="L120">
        <v>7445</v>
      </c>
      <c r="M120" t="s">
        <v>988</v>
      </c>
    </row>
    <row r="121" spans="1:13" x14ac:dyDescent="0.3">
      <c r="A121">
        <v>428</v>
      </c>
      <c r="B121" t="s">
        <v>1368</v>
      </c>
      <c r="C121" t="s">
        <v>2667</v>
      </c>
      <c r="D121" t="s">
        <v>1203</v>
      </c>
      <c r="E121" t="s">
        <v>1204</v>
      </c>
      <c r="F121">
        <v>5871</v>
      </c>
      <c r="G121" t="s">
        <v>2664</v>
      </c>
      <c r="H121">
        <v>7554</v>
      </c>
      <c r="I121">
        <v>7426</v>
      </c>
      <c r="J121">
        <v>7429</v>
      </c>
      <c r="K121">
        <v>7424</v>
      </c>
      <c r="L121">
        <v>7445</v>
      </c>
      <c r="M121" t="s">
        <v>988</v>
      </c>
    </row>
    <row r="122" spans="1:13" x14ac:dyDescent="0.3">
      <c r="A122">
        <v>429</v>
      </c>
      <c r="B122" t="s">
        <v>1369</v>
      </c>
      <c r="C122" t="s">
        <v>2667</v>
      </c>
      <c r="D122" t="s">
        <v>1203</v>
      </c>
      <c r="E122" t="s">
        <v>1204</v>
      </c>
      <c r="F122">
        <v>5872</v>
      </c>
      <c r="G122" t="s">
        <v>2664</v>
      </c>
      <c r="H122">
        <v>1578</v>
      </c>
      <c r="I122">
        <v>1671</v>
      </c>
      <c r="J122">
        <v>1670</v>
      </c>
      <c r="K122">
        <v>1935</v>
      </c>
      <c r="L122">
        <v>1940</v>
      </c>
      <c r="M122" t="s">
        <v>988</v>
      </c>
    </row>
    <row r="123" spans="1:13" x14ac:dyDescent="0.3">
      <c r="A123">
        <v>429</v>
      </c>
      <c r="B123" t="s">
        <v>1369</v>
      </c>
      <c r="C123" t="s">
        <v>2667</v>
      </c>
      <c r="D123" t="s">
        <v>1203</v>
      </c>
      <c r="E123" t="s">
        <v>1204</v>
      </c>
      <c r="F123">
        <v>5872</v>
      </c>
      <c r="G123" t="s">
        <v>2665</v>
      </c>
      <c r="H123">
        <v>1578</v>
      </c>
      <c r="I123">
        <v>1671</v>
      </c>
      <c r="J123">
        <v>1670</v>
      </c>
      <c r="K123">
        <v>1935</v>
      </c>
      <c r="L123">
        <v>1940</v>
      </c>
      <c r="M123" t="s">
        <v>988</v>
      </c>
    </row>
    <row r="124" spans="1:13" x14ac:dyDescent="0.3">
      <c r="A124">
        <v>443</v>
      </c>
      <c r="B124" t="s">
        <v>1370</v>
      </c>
      <c r="C124" t="s">
        <v>2667</v>
      </c>
      <c r="D124" t="s">
        <v>1203</v>
      </c>
      <c r="E124" t="s">
        <v>1204</v>
      </c>
      <c r="F124">
        <v>5713</v>
      </c>
      <c r="G124" t="s">
        <v>2664</v>
      </c>
      <c r="H124">
        <v>12257</v>
      </c>
      <c r="I124">
        <v>11554</v>
      </c>
      <c r="J124">
        <v>11011</v>
      </c>
      <c r="K124">
        <v>10590</v>
      </c>
      <c r="L124">
        <v>10590</v>
      </c>
      <c r="M124" t="s">
        <v>988</v>
      </c>
    </row>
    <row r="125" spans="1:13" x14ac:dyDescent="0.3">
      <c r="A125">
        <v>443</v>
      </c>
      <c r="B125" t="s">
        <v>1370</v>
      </c>
      <c r="C125" t="s">
        <v>2667</v>
      </c>
      <c r="D125" t="s">
        <v>1203</v>
      </c>
      <c r="E125" t="s">
        <v>1204</v>
      </c>
      <c r="F125">
        <v>5713</v>
      </c>
      <c r="G125" t="s">
        <v>2665</v>
      </c>
      <c r="H125">
        <v>6632</v>
      </c>
      <c r="I125">
        <v>6496</v>
      </c>
      <c r="J125">
        <v>6627</v>
      </c>
      <c r="K125">
        <v>6690</v>
      </c>
      <c r="L125">
        <v>6754</v>
      </c>
      <c r="M125" t="s">
        <v>988</v>
      </c>
    </row>
    <row r="126" spans="1:13" x14ac:dyDescent="0.3">
      <c r="A126">
        <v>445</v>
      </c>
      <c r="B126" t="s">
        <v>1371</v>
      </c>
      <c r="C126" t="s">
        <v>2667</v>
      </c>
      <c r="D126" t="s">
        <v>1203</v>
      </c>
      <c r="E126" t="s">
        <v>1204</v>
      </c>
      <c r="F126">
        <v>5520</v>
      </c>
      <c r="G126" t="s">
        <v>2664</v>
      </c>
      <c r="H126">
        <v>717</v>
      </c>
      <c r="I126">
        <v>717</v>
      </c>
      <c r="J126">
        <v>717</v>
      </c>
      <c r="K126">
        <v>717</v>
      </c>
      <c r="L126">
        <v>717</v>
      </c>
      <c r="M126" t="s">
        <v>988</v>
      </c>
    </row>
    <row r="127" spans="1:13" x14ac:dyDescent="0.3">
      <c r="A127">
        <v>445</v>
      </c>
      <c r="B127" t="s">
        <v>1371</v>
      </c>
      <c r="C127" t="s">
        <v>2667</v>
      </c>
      <c r="D127" t="s">
        <v>1203</v>
      </c>
      <c r="E127" t="s">
        <v>1204</v>
      </c>
      <c r="F127">
        <v>5520</v>
      </c>
      <c r="G127" t="s">
        <v>2665</v>
      </c>
      <c r="H127">
        <v>580</v>
      </c>
      <c r="I127">
        <v>590</v>
      </c>
      <c r="J127">
        <v>610</v>
      </c>
      <c r="K127">
        <v>630</v>
      </c>
      <c r="L127">
        <v>630</v>
      </c>
      <c r="M127" t="s">
        <v>988</v>
      </c>
    </row>
    <row r="128" spans="1:13" x14ac:dyDescent="0.3">
      <c r="A128">
        <v>467</v>
      </c>
      <c r="B128" t="s">
        <v>1374</v>
      </c>
      <c r="C128" t="s">
        <v>2667</v>
      </c>
      <c r="D128" t="s">
        <v>1203</v>
      </c>
      <c r="E128" t="s">
        <v>1204</v>
      </c>
      <c r="F128">
        <v>5746</v>
      </c>
      <c r="G128" t="s">
        <v>2664</v>
      </c>
      <c r="H128">
        <v>26800</v>
      </c>
      <c r="I128">
        <v>26800</v>
      </c>
      <c r="J128">
        <v>26800</v>
      </c>
      <c r="K128">
        <v>26800</v>
      </c>
      <c r="M128" t="s">
        <v>988</v>
      </c>
    </row>
    <row r="129" spans="1:13" x14ac:dyDescent="0.3">
      <c r="A129">
        <v>467</v>
      </c>
      <c r="B129" t="s">
        <v>1374</v>
      </c>
      <c r="C129" t="s">
        <v>2667</v>
      </c>
      <c r="D129" t="s">
        <v>1203</v>
      </c>
      <c r="E129" t="s">
        <v>1204</v>
      </c>
      <c r="F129">
        <v>5746</v>
      </c>
      <c r="G129" t="s">
        <v>2665</v>
      </c>
      <c r="H129">
        <v>14974</v>
      </c>
      <c r="I129">
        <v>15052</v>
      </c>
      <c r="J129">
        <v>15475</v>
      </c>
      <c r="K129">
        <v>15552</v>
      </c>
      <c r="M129" t="s">
        <v>988</v>
      </c>
    </row>
    <row r="130" spans="1:13" x14ac:dyDescent="0.3">
      <c r="A130">
        <v>478</v>
      </c>
      <c r="B130" t="s">
        <v>1375</v>
      </c>
      <c r="C130" t="s">
        <v>2667</v>
      </c>
      <c r="D130" t="s">
        <v>159</v>
      </c>
      <c r="E130" t="s">
        <v>159</v>
      </c>
      <c r="F130">
        <v>6869</v>
      </c>
      <c r="G130" t="s">
        <v>2664</v>
      </c>
      <c r="H130">
        <v>21929</v>
      </c>
      <c r="I130">
        <v>22307</v>
      </c>
      <c r="J130">
        <v>22767</v>
      </c>
      <c r="K130">
        <v>23230</v>
      </c>
      <c r="L130">
        <v>23792</v>
      </c>
      <c r="M130" t="s">
        <v>988</v>
      </c>
    </row>
    <row r="131" spans="1:13" x14ac:dyDescent="0.3">
      <c r="A131">
        <v>478</v>
      </c>
      <c r="B131" t="s">
        <v>1375</v>
      </c>
      <c r="C131" t="s">
        <v>2667</v>
      </c>
      <c r="D131" t="s">
        <v>159</v>
      </c>
      <c r="E131" t="s">
        <v>159</v>
      </c>
      <c r="F131">
        <v>6869</v>
      </c>
      <c r="G131" t="s">
        <v>2665</v>
      </c>
      <c r="H131">
        <v>21929</v>
      </c>
      <c r="I131">
        <v>22307</v>
      </c>
      <c r="J131">
        <v>22767</v>
      </c>
      <c r="K131">
        <v>23230</v>
      </c>
      <c r="L131">
        <v>23792</v>
      </c>
      <c r="M131" t="s">
        <v>988</v>
      </c>
    </row>
    <row r="132" spans="1:13" x14ac:dyDescent="0.3">
      <c r="A132">
        <v>481</v>
      </c>
      <c r="B132" t="s">
        <v>1379</v>
      </c>
      <c r="C132" t="s">
        <v>2667</v>
      </c>
      <c r="D132" t="s">
        <v>1203</v>
      </c>
      <c r="E132" t="s">
        <v>1204</v>
      </c>
      <c r="F132">
        <v>5750</v>
      </c>
      <c r="G132" t="s">
        <v>2665</v>
      </c>
      <c r="H132">
        <v>9303</v>
      </c>
      <c r="I132">
        <v>9389</v>
      </c>
      <c r="J132">
        <v>9524</v>
      </c>
      <c r="K132">
        <v>9618</v>
      </c>
      <c r="L132">
        <v>9744</v>
      </c>
      <c r="M132" t="s">
        <v>988</v>
      </c>
    </row>
    <row r="133" spans="1:13" x14ac:dyDescent="0.3">
      <c r="A133">
        <v>481</v>
      </c>
      <c r="B133" t="s">
        <v>1379</v>
      </c>
      <c r="C133" t="s">
        <v>2667</v>
      </c>
      <c r="D133" t="s">
        <v>1203</v>
      </c>
      <c r="E133" t="s">
        <v>1204</v>
      </c>
      <c r="F133">
        <v>5750</v>
      </c>
      <c r="G133" t="s">
        <v>2664</v>
      </c>
      <c r="H133">
        <v>43920</v>
      </c>
      <c r="I133">
        <v>43920</v>
      </c>
      <c r="J133">
        <v>43920</v>
      </c>
      <c r="K133">
        <v>43920</v>
      </c>
      <c r="L133">
        <v>43920</v>
      </c>
      <c r="M133" t="s">
        <v>988</v>
      </c>
    </row>
    <row r="134" spans="1:13" x14ac:dyDescent="0.3">
      <c r="A134">
        <v>485</v>
      </c>
      <c r="B134" t="s">
        <v>1381</v>
      </c>
      <c r="C134" t="s">
        <v>2667</v>
      </c>
      <c r="D134" t="s">
        <v>1203</v>
      </c>
      <c r="E134" t="s">
        <v>1204</v>
      </c>
      <c r="F134">
        <v>6618</v>
      </c>
      <c r="G134" t="s">
        <v>2665</v>
      </c>
      <c r="H134">
        <v>4281</v>
      </c>
      <c r="I134">
        <v>4345</v>
      </c>
      <c r="J134">
        <v>4571</v>
      </c>
      <c r="K134">
        <v>4649</v>
      </c>
      <c r="L134">
        <v>4719</v>
      </c>
      <c r="M134" t="s">
        <v>988</v>
      </c>
    </row>
    <row r="135" spans="1:13" x14ac:dyDescent="0.3">
      <c r="A135">
        <v>485</v>
      </c>
      <c r="B135" t="s">
        <v>1381</v>
      </c>
      <c r="C135" t="s">
        <v>2667</v>
      </c>
      <c r="D135" t="s">
        <v>1203</v>
      </c>
      <c r="E135" t="s">
        <v>1204</v>
      </c>
      <c r="F135">
        <v>6618</v>
      </c>
      <c r="G135" t="s">
        <v>2664</v>
      </c>
      <c r="H135">
        <v>4281</v>
      </c>
      <c r="I135">
        <v>4464</v>
      </c>
      <c r="J135">
        <v>4571</v>
      </c>
      <c r="K135">
        <v>4649</v>
      </c>
      <c r="L135">
        <v>4719</v>
      </c>
      <c r="M135" t="s">
        <v>988</v>
      </c>
    </row>
    <row r="136" spans="1:13" x14ac:dyDescent="0.3">
      <c r="A136">
        <v>495</v>
      </c>
      <c r="B136" t="s">
        <v>1382</v>
      </c>
      <c r="C136" t="s">
        <v>2667</v>
      </c>
      <c r="D136" t="s">
        <v>1203</v>
      </c>
      <c r="E136" t="s">
        <v>1204</v>
      </c>
      <c r="F136">
        <v>5743</v>
      </c>
      <c r="G136" t="s">
        <v>2665</v>
      </c>
      <c r="H136">
        <v>10169</v>
      </c>
      <c r="I136">
        <v>10169</v>
      </c>
      <c r="J136">
        <v>10169</v>
      </c>
      <c r="K136">
        <v>10169</v>
      </c>
      <c r="M136" t="s">
        <v>988</v>
      </c>
    </row>
    <row r="137" spans="1:13" x14ac:dyDescent="0.3">
      <c r="A137">
        <v>495</v>
      </c>
      <c r="B137" t="s">
        <v>1382</v>
      </c>
      <c r="C137" t="s">
        <v>2667</v>
      </c>
      <c r="D137" t="s">
        <v>1203</v>
      </c>
      <c r="E137" t="s">
        <v>1204</v>
      </c>
      <c r="F137">
        <v>5743</v>
      </c>
      <c r="G137" t="s">
        <v>2664</v>
      </c>
      <c r="H137">
        <v>11907</v>
      </c>
      <c r="I137">
        <v>11907</v>
      </c>
      <c r="J137">
        <v>11907</v>
      </c>
      <c r="K137">
        <v>11907</v>
      </c>
      <c r="M137" t="s">
        <v>988</v>
      </c>
    </row>
    <row r="138" spans="1:13" x14ac:dyDescent="0.3">
      <c r="A138">
        <v>1050</v>
      </c>
      <c r="B138" t="s">
        <v>1385</v>
      </c>
      <c r="C138" t="s">
        <v>2667</v>
      </c>
      <c r="D138" t="s">
        <v>1203</v>
      </c>
      <c r="E138" t="s">
        <v>1204</v>
      </c>
      <c r="F138">
        <v>5766</v>
      </c>
      <c r="G138" t="s">
        <v>2665</v>
      </c>
      <c r="H138">
        <v>1850</v>
      </c>
      <c r="I138">
        <v>1850</v>
      </c>
      <c r="J138">
        <v>1850</v>
      </c>
      <c r="K138">
        <v>1850</v>
      </c>
      <c r="M138" t="s">
        <v>988</v>
      </c>
    </row>
    <row r="139" spans="1:13" x14ac:dyDescent="0.3">
      <c r="A139">
        <v>1050</v>
      </c>
      <c r="B139" t="s">
        <v>1385</v>
      </c>
      <c r="C139" t="s">
        <v>2667</v>
      </c>
      <c r="D139" t="s">
        <v>1203</v>
      </c>
      <c r="E139" t="s">
        <v>1204</v>
      </c>
      <c r="F139">
        <v>5766</v>
      </c>
      <c r="G139" t="s">
        <v>2664</v>
      </c>
      <c r="H139">
        <v>2761</v>
      </c>
      <c r="I139">
        <v>2761</v>
      </c>
      <c r="J139">
        <v>2761</v>
      </c>
      <c r="K139">
        <v>2761</v>
      </c>
      <c r="M139" t="s">
        <v>988</v>
      </c>
    </row>
    <row r="140" spans="1:13" x14ac:dyDescent="0.3">
      <c r="A140">
        <v>522</v>
      </c>
      <c r="B140" t="s">
        <v>1387</v>
      </c>
      <c r="C140" t="s">
        <v>2667</v>
      </c>
      <c r="D140" t="s">
        <v>1203</v>
      </c>
      <c r="E140" t="s">
        <v>1204</v>
      </c>
      <c r="F140">
        <v>7829</v>
      </c>
      <c r="G140" t="s">
        <v>2664</v>
      </c>
      <c r="H140">
        <v>25342.8758653</v>
      </c>
      <c r="I140">
        <v>25342.8758653</v>
      </c>
      <c r="J140">
        <v>25342.8758653</v>
      </c>
      <c r="K140">
        <v>25342.8758653</v>
      </c>
      <c r="M140" t="s">
        <v>988</v>
      </c>
    </row>
    <row r="141" spans="1:13" x14ac:dyDescent="0.3">
      <c r="A141">
        <v>522</v>
      </c>
      <c r="B141" t="s">
        <v>1387</v>
      </c>
      <c r="C141" t="s">
        <v>2667</v>
      </c>
      <c r="D141" t="s">
        <v>1203</v>
      </c>
      <c r="E141" t="s">
        <v>1204</v>
      </c>
      <c r="F141">
        <v>7829</v>
      </c>
      <c r="G141" t="s">
        <v>2665</v>
      </c>
      <c r="H141">
        <v>12873.98453075</v>
      </c>
      <c r="I141">
        <v>15154.1682033</v>
      </c>
      <c r="J141">
        <v>17839.445072049999</v>
      </c>
      <c r="K141">
        <v>17839.445072049999</v>
      </c>
      <c r="M141" t="s">
        <v>988</v>
      </c>
    </row>
    <row r="142" spans="1:13" x14ac:dyDescent="0.3">
      <c r="A142">
        <v>524</v>
      </c>
      <c r="B142" t="s">
        <v>1388</v>
      </c>
      <c r="C142" t="s">
        <v>2667</v>
      </c>
      <c r="D142" t="s">
        <v>1203</v>
      </c>
      <c r="E142" t="s">
        <v>1204</v>
      </c>
      <c r="F142">
        <v>5553</v>
      </c>
      <c r="G142" t="s">
        <v>2664</v>
      </c>
      <c r="H142">
        <v>11767</v>
      </c>
      <c r="I142">
        <v>12416</v>
      </c>
      <c r="J142">
        <v>12713</v>
      </c>
      <c r="K142">
        <v>12915</v>
      </c>
      <c r="L142">
        <v>13118</v>
      </c>
      <c r="M142" t="s">
        <v>988</v>
      </c>
    </row>
    <row r="143" spans="1:13" x14ac:dyDescent="0.3">
      <c r="A143">
        <v>524</v>
      </c>
      <c r="B143" t="s">
        <v>1388</v>
      </c>
      <c r="C143" t="s">
        <v>2667</v>
      </c>
      <c r="D143" t="s">
        <v>1203</v>
      </c>
      <c r="E143" t="s">
        <v>1204</v>
      </c>
      <c r="F143">
        <v>5553</v>
      </c>
      <c r="G143" t="s">
        <v>2665</v>
      </c>
      <c r="H143">
        <v>11767</v>
      </c>
      <c r="I143">
        <v>12416</v>
      </c>
      <c r="J143">
        <v>12713</v>
      </c>
      <c r="K143">
        <v>12915</v>
      </c>
      <c r="L143">
        <v>13118</v>
      </c>
      <c r="M143" t="s">
        <v>988</v>
      </c>
    </row>
    <row r="144" spans="1:13" x14ac:dyDescent="0.3">
      <c r="A144">
        <v>545</v>
      </c>
      <c r="B144" t="s">
        <v>1390</v>
      </c>
      <c r="C144" t="s">
        <v>2667</v>
      </c>
      <c r="D144" t="s">
        <v>1203</v>
      </c>
      <c r="E144" t="s">
        <v>1204</v>
      </c>
      <c r="F144">
        <v>5532</v>
      </c>
      <c r="G144" t="s">
        <v>2665</v>
      </c>
      <c r="H144">
        <v>21925</v>
      </c>
      <c r="I144">
        <v>23469</v>
      </c>
      <c r="J144">
        <v>24286</v>
      </c>
      <c r="K144">
        <v>25207</v>
      </c>
      <c r="L144">
        <v>26411</v>
      </c>
      <c r="M144" t="s">
        <v>988</v>
      </c>
    </row>
    <row r="145" spans="1:13" x14ac:dyDescent="0.3">
      <c r="A145">
        <v>545</v>
      </c>
      <c r="B145" t="s">
        <v>1390</v>
      </c>
      <c r="C145" t="s">
        <v>2667</v>
      </c>
      <c r="D145" t="s">
        <v>1203</v>
      </c>
      <c r="E145" t="s">
        <v>1204</v>
      </c>
      <c r="F145">
        <v>5532</v>
      </c>
      <c r="G145" t="s">
        <v>2664</v>
      </c>
      <c r="H145">
        <v>21925</v>
      </c>
      <c r="I145">
        <v>23469</v>
      </c>
      <c r="J145">
        <v>24286</v>
      </c>
      <c r="K145">
        <v>25207</v>
      </c>
      <c r="L145">
        <v>26411</v>
      </c>
      <c r="M145" t="s">
        <v>988</v>
      </c>
    </row>
    <row r="146" spans="1:13" x14ac:dyDescent="0.3">
      <c r="A146">
        <v>547</v>
      </c>
      <c r="B146" t="s">
        <v>1391</v>
      </c>
      <c r="C146" t="s">
        <v>2667</v>
      </c>
      <c r="D146" t="s">
        <v>1203</v>
      </c>
      <c r="E146" t="s">
        <v>1204</v>
      </c>
      <c r="F146">
        <v>5677</v>
      </c>
      <c r="G146" t="s">
        <v>2664</v>
      </c>
      <c r="H146">
        <v>33684</v>
      </c>
      <c r="I146">
        <v>33684</v>
      </c>
      <c r="J146">
        <v>33684</v>
      </c>
      <c r="K146">
        <v>33684</v>
      </c>
      <c r="L146">
        <v>33684</v>
      </c>
      <c r="M146" t="s">
        <v>988</v>
      </c>
    </row>
    <row r="147" spans="1:13" x14ac:dyDescent="0.3">
      <c r="A147">
        <v>547</v>
      </c>
      <c r="B147" t="s">
        <v>1391</v>
      </c>
      <c r="C147" t="s">
        <v>2667</v>
      </c>
      <c r="D147" t="s">
        <v>1203</v>
      </c>
      <c r="E147" t="s">
        <v>1204</v>
      </c>
      <c r="F147">
        <v>5677</v>
      </c>
      <c r="G147" t="s">
        <v>2665</v>
      </c>
      <c r="H147">
        <v>17120</v>
      </c>
      <c r="I147">
        <v>17334</v>
      </c>
      <c r="J147">
        <v>17678</v>
      </c>
      <c r="K147">
        <v>17725</v>
      </c>
      <c r="L147">
        <v>17769</v>
      </c>
      <c r="M147" t="s">
        <v>988</v>
      </c>
    </row>
    <row r="148" spans="1:13" x14ac:dyDescent="0.3">
      <c r="A148">
        <v>2979</v>
      </c>
      <c r="B148" t="s">
        <v>1396</v>
      </c>
      <c r="C148" t="s">
        <v>2667</v>
      </c>
      <c r="D148" t="s">
        <v>1203</v>
      </c>
      <c r="E148" t="s">
        <v>1204</v>
      </c>
      <c r="F148">
        <v>6904</v>
      </c>
      <c r="G148" t="s">
        <v>2664</v>
      </c>
      <c r="H148">
        <v>10839.311886199999</v>
      </c>
      <c r="I148">
        <v>10839.311886199999</v>
      </c>
      <c r="J148">
        <v>10839.311886199999</v>
      </c>
      <c r="K148">
        <v>10839.311886199999</v>
      </c>
      <c r="L148">
        <v>10839.311886199999</v>
      </c>
      <c r="M148" t="s">
        <v>988</v>
      </c>
    </row>
    <row r="149" spans="1:13" x14ac:dyDescent="0.3">
      <c r="A149">
        <v>2979</v>
      </c>
      <c r="B149" t="s">
        <v>1396</v>
      </c>
      <c r="C149" t="s">
        <v>2667</v>
      </c>
      <c r="D149" t="s">
        <v>1203</v>
      </c>
      <c r="E149" t="s">
        <v>1204</v>
      </c>
      <c r="F149">
        <v>6904</v>
      </c>
      <c r="G149" t="s">
        <v>2665</v>
      </c>
      <c r="H149">
        <v>3305.1922144499999</v>
      </c>
      <c r="I149">
        <v>4281.09855075</v>
      </c>
      <c r="J149">
        <v>5542.4114571</v>
      </c>
      <c r="K149">
        <v>7175.0597932999999</v>
      </c>
      <c r="L149">
        <v>9289.5235219499991</v>
      </c>
      <c r="M149" t="s">
        <v>988</v>
      </c>
    </row>
    <row r="150" spans="1:13" x14ac:dyDescent="0.3">
      <c r="A150">
        <v>561</v>
      </c>
      <c r="B150" t="s">
        <v>1397</v>
      </c>
      <c r="C150" t="s">
        <v>2667</v>
      </c>
      <c r="D150" t="s">
        <v>159</v>
      </c>
      <c r="E150" t="s">
        <v>159</v>
      </c>
      <c r="F150">
        <v>7857</v>
      </c>
      <c r="G150" t="s">
        <v>2664</v>
      </c>
      <c r="H150">
        <v>10072</v>
      </c>
      <c r="I150">
        <v>10347</v>
      </c>
      <c r="J150">
        <v>10572</v>
      </c>
      <c r="K150">
        <v>10970</v>
      </c>
      <c r="L150">
        <v>11352</v>
      </c>
      <c r="M150" t="s">
        <v>988</v>
      </c>
    </row>
    <row r="151" spans="1:13" x14ac:dyDescent="0.3">
      <c r="A151">
        <v>561</v>
      </c>
      <c r="B151" t="s">
        <v>1397</v>
      </c>
      <c r="C151" t="s">
        <v>2667</v>
      </c>
      <c r="D151" t="s">
        <v>159</v>
      </c>
      <c r="E151" t="s">
        <v>159</v>
      </c>
      <c r="F151">
        <v>7857</v>
      </c>
      <c r="G151" t="s">
        <v>2665</v>
      </c>
      <c r="H151">
        <v>10072</v>
      </c>
      <c r="I151">
        <v>10347</v>
      </c>
      <c r="J151">
        <v>10572</v>
      </c>
      <c r="K151">
        <v>10970</v>
      </c>
      <c r="L151">
        <v>11352</v>
      </c>
      <c r="M151" t="s">
        <v>988</v>
      </c>
    </row>
    <row r="152" spans="1:13" x14ac:dyDescent="0.3">
      <c r="A152">
        <v>572</v>
      </c>
      <c r="B152" t="s">
        <v>1399</v>
      </c>
      <c r="C152" t="s">
        <v>2667</v>
      </c>
      <c r="D152" t="s">
        <v>159</v>
      </c>
      <c r="E152" t="s">
        <v>159</v>
      </c>
      <c r="F152">
        <v>7827</v>
      </c>
      <c r="G152" t="s">
        <v>2665</v>
      </c>
      <c r="H152">
        <v>1632.6483361999999</v>
      </c>
      <c r="I152">
        <v>1733.92163525</v>
      </c>
      <c r="J152">
        <v>1749.2660745000001</v>
      </c>
      <c r="K152">
        <v>1789.16161655</v>
      </c>
      <c r="M152" t="s">
        <v>988</v>
      </c>
    </row>
    <row r="153" spans="1:13" x14ac:dyDescent="0.3">
      <c r="A153">
        <v>572</v>
      </c>
      <c r="B153" t="s">
        <v>1399</v>
      </c>
      <c r="C153" t="s">
        <v>2667</v>
      </c>
      <c r="D153" t="s">
        <v>159</v>
      </c>
      <c r="E153" t="s">
        <v>159</v>
      </c>
      <c r="F153">
        <v>7827</v>
      </c>
      <c r="G153" t="s">
        <v>2664</v>
      </c>
      <c r="H153">
        <v>1463.85950445</v>
      </c>
      <c r="I153">
        <v>1552.8572521000001</v>
      </c>
      <c r="J153">
        <v>1565.1328034999999</v>
      </c>
      <c r="K153">
        <v>1601.9594577</v>
      </c>
      <c r="M153" t="s">
        <v>988</v>
      </c>
    </row>
    <row r="154" spans="1:13" x14ac:dyDescent="0.3">
      <c r="A154">
        <v>574</v>
      </c>
      <c r="B154" t="s">
        <v>1401</v>
      </c>
      <c r="C154" t="s">
        <v>2667</v>
      </c>
      <c r="D154" t="s">
        <v>1203</v>
      </c>
      <c r="E154" t="s">
        <v>1204</v>
      </c>
      <c r="F154">
        <v>5930</v>
      </c>
      <c r="G154" t="s">
        <v>2664</v>
      </c>
      <c r="H154">
        <v>37839</v>
      </c>
      <c r="I154">
        <v>43587</v>
      </c>
      <c r="J154">
        <v>47233</v>
      </c>
      <c r="K154">
        <v>53109</v>
      </c>
      <c r="M154" t="s">
        <v>988</v>
      </c>
    </row>
    <row r="155" spans="1:13" x14ac:dyDescent="0.3">
      <c r="A155">
        <v>574</v>
      </c>
      <c r="B155" t="s">
        <v>1401</v>
      </c>
      <c r="C155" t="s">
        <v>2667</v>
      </c>
      <c r="D155" t="s">
        <v>1203</v>
      </c>
      <c r="E155" t="s">
        <v>1204</v>
      </c>
      <c r="F155">
        <v>5930</v>
      </c>
      <c r="G155" t="s">
        <v>2665</v>
      </c>
      <c r="H155">
        <v>34272</v>
      </c>
      <c r="I155">
        <v>37358.842190000003</v>
      </c>
      <c r="J155">
        <v>40957</v>
      </c>
      <c r="K155">
        <v>47133</v>
      </c>
      <c r="M155" t="s">
        <v>988</v>
      </c>
    </row>
    <row r="156" spans="1:13" x14ac:dyDescent="0.3">
      <c r="A156">
        <v>575</v>
      </c>
      <c r="B156" t="s">
        <v>1403</v>
      </c>
      <c r="C156" t="s">
        <v>2667</v>
      </c>
      <c r="D156" t="s">
        <v>1203</v>
      </c>
      <c r="E156" t="s">
        <v>1204</v>
      </c>
      <c r="F156">
        <v>5460</v>
      </c>
      <c r="G156" t="s">
        <v>2665</v>
      </c>
      <c r="H156">
        <v>10869</v>
      </c>
      <c r="I156">
        <v>12819</v>
      </c>
      <c r="J156">
        <v>14731</v>
      </c>
      <c r="K156">
        <v>16819</v>
      </c>
      <c r="L156">
        <v>18746</v>
      </c>
      <c r="M156" t="s">
        <v>988</v>
      </c>
    </row>
    <row r="157" spans="1:13" x14ac:dyDescent="0.3">
      <c r="A157">
        <v>575</v>
      </c>
      <c r="B157" t="s">
        <v>1403</v>
      </c>
      <c r="C157" t="s">
        <v>2667</v>
      </c>
      <c r="D157" t="s">
        <v>1203</v>
      </c>
      <c r="E157" t="s">
        <v>1204</v>
      </c>
      <c r="F157">
        <v>5460</v>
      </c>
      <c r="G157" t="s">
        <v>2664</v>
      </c>
      <c r="H157">
        <v>10869</v>
      </c>
      <c r="I157">
        <v>12819</v>
      </c>
      <c r="J157">
        <v>14731</v>
      </c>
      <c r="K157">
        <v>16819</v>
      </c>
      <c r="L157">
        <v>18746</v>
      </c>
      <c r="M157" t="s">
        <v>988</v>
      </c>
    </row>
    <row r="158" spans="1:13" x14ac:dyDescent="0.3">
      <c r="A158">
        <v>577</v>
      </c>
      <c r="B158" t="s">
        <v>821</v>
      </c>
      <c r="C158" t="s">
        <v>2667</v>
      </c>
      <c r="D158" t="s">
        <v>1203</v>
      </c>
      <c r="E158" t="s">
        <v>1204</v>
      </c>
      <c r="F158">
        <v>7785</v>
      </c>
      <c r="G158" t="s">
        <v>2664</v>
      </c>
      <c r="H158">
        <v>137061</v>
      </c>
      <c r="I158">
        <v>144982</v>
      </c>
      <c r="J158">
        <v>152729</v>
      </c>
      <c r="K158">
        <v>158981</v>
      </c>
      <c r="L158">
        <v>164966</v>
      </c>
      <c r="M158" t="s">
        <v>988</v>
      </c>
    </row>
    <row r="159" spans="1:13" x14ac:dyDescent="0.3">
      <c r="A159">
        <v>577</v>
      </c>
      <c r="B159" t="s">
        <v>821</v>
      </c>
      <c r="C159" t="s">
        <v>2667</v>
      </c>
      <c r="D159" t="s">
        <v>1203</v>
      </c>
      <c r="E159" t="s">
        <v>1204</v>
      </c>
      <c r="F159">
        <v>7785</v>
      </c>
      <c r="G159" t="s">
        <v>2665</v>
      </c>
      <c r="H159">
        <v>137061</v>
      </c>
      <c r="I159">
        <v>144982</v>
      </c>
      <c r="J159">
        <v>152729</v>
      </c>
      <c r="K159">
        <v>158981</v>
      </c>
      <c r="L159">
        <v>164966</v>
      </c>
      <c r="M159" t="s">
        <v>988</v>
      </c>
    </row>
    <row r="160" spans="1:13" x14ac:dyDescent="0.3">
      <c r="A160">
        <v>578</v>
      </c>
      <c r="B160" t="s">
        <v>896</v>
      </c>
      <c r="C160" t="s">
        <v>2667</v>
      </c>
      <c r="D160" t="s">
        <v>1203</v>
      </c>
      <c r="E160" t="s">
        <v>1204</v>
      </c>
      <c r="F160">
        <v>7652</v>
      </c>
      <c r="G160" t="s">
        <v>2665</v>
      </c>
      <c r="H160">
        <v>4627.8828777999997</v>
      </c>
      <c r="I160">
        <v>5253.9359992</v>
      </c>
      <c r="J160">
        <v>5968.98686825</v>
      </c>
      <c r="K160">
        <v>6773.03548495</v>
      </c>
      <c r="M160" t="s">
        <v>988</v>
      </c>
    </row>
    <row r="161" spans="1:13" x14ac:dyDescent="0.3">
      <c r="A161">
        <v>578</v>
      </c>
      <c r="B161" t="s">
        <v>896</v>
      </c>
      <c r="C161" t="s">
        <v>2667</v>
      </c>
      <c r="D161" t="s">
        <v>1203</v>
      </c>
      <c r="E161" t="s">
        <v>1204</v>
      </c>
      <c r="F161">
        <v>7652</v>
      </c>
      <c r="G161" t="s">
        <v>2664</v>
      </c>
      <c r="H161">
        <v>5459.5514851500002</v>
      </c>
      <c r="I161">
        <v>6199.1534570000003</v>
      </c>
      <c r="J161">
        <v>7036.9598400499999</v>
      </c>
      <c r="K161">
        <v>7988.3150735500003</v>
      </c>
      <c r="M161" t="s">
        <v>988</v>
      </c>
    </row>
    <row r="162" spans="1:13" x14ac:dyDescent="0.3">
      <c r="A162">
        <v>583</v>
      </c>
      <c r="B162" t="s">
        <v>1406</v>
      </c>
      <c r="C162" t="s">
        <v>2667</v>
      </c>
      <c r="D162" t="s">
        <v>159</v>
      </c>
      <c r="E162" t="s">
        <v>159</v>
      </c>
      <c r="F162">
        <v>7159</v>
      </c>
      <c r="G162" t="s">
        <v>2664</v>
      </c>
      <c r="H162">
        <v>1635.7172240499999</v>
      </c>
      <c r="I162">
        <v>1623.4416726500001</v>
      </c>
      <c r="J162">
        <v>1601.9594577</v>
      </c>
      <c r="K162">
        <v>1589.6839063</v>
      </c>
      <c r="L162">
        <v>1445.44617735</v>
      </c>
      <c r="M162" t="s">
        <v>988</v>
      </c>
    </row>
    <row r="163" spans="1:13" x14ac:dyDescent="0.3">
      <c r="A163">
        <v>583</v>
      </c>
      <c r="B163" t="s">
        <v>1406</v>
      </c>
      <c r="C163" t="s">
        <v>2667</v>
      </c>
      <c r="D163" t="s">
        <v>159</v>
      </c>
      <c r="E163" t="s">
        <v>159</v>
      </c>
      <c r="F163">
        <v>7159</v>
      </c>
      <c r="G163" t="s">
        <v>2665</v>
      </c>
      <c r="H163">
        <v>2160.4970463999998</v>
      </c>
      <c r="I163">
        <v>2139.0148314500002</v>
      </c>
      <c r="J163">
        <v>2117.5326165000001</v>
      </c>
      <c r="K163">
        <v>2050.0170837999999</v>
      </c>
      <c r="L163">
        <v>2037.7415324000001</v>
      </c>
      <c r="M163" t="s">
        <v>988</v>
      </c>
    </row>
    <row r="164" spans="1:13" x14ac:dyDescent="0.3">
      <c r="A164">
        <v>596</v>
      </c>
      <c r="B164" t="s">
        <v>1413</v>
      </c>
      <c r="C164" t="s">
        <v>2667</v>
      </c>
      <c r="D164" t="s">
        <v>1203</v>
      </c>
      <c r="E164" t="s">
        <v>1204</v>
      </c>
      <c r="F164">
        <v>5734</v>
      </c>
      <c r="G164" t="s">
        <v>2665</v>
      </c>
      <c r="H164">
        <v>10734</v>
      </c>
      <c r="I164">
        <v>11311</v>
      </c>
      <c r="J164">
        <v>11887</v>
      </c>
      <c r="K164">
        <v>12207</v>
      </c>
      <c r="L164">
        <v>12526</v>
      </c>
      <c r="M164" t="s">
        <v>988</v>
      </c>
    </row>
    <row r="165" spans="1:13" x14ac:dyDescent="0.3">
      <c r="A165">
        <v>596</v>
      </c>
      <c r="B165" t="s">
        <v>1413</v>
      </c>
      <c r="C165" t="s">
        <v>2667</v>
      </c>
      <c r="D165" t="s">
        <v>1203</v>
      </c>
      <c r="E165" t="s">
        <v>1204</v>
      </c>
      <c r="F165">
        <v>5734</v>
      </c>
      <c r="G165" t="s">
        <v>2664</v>
      </c>
      <c r="H165">
        <v>12345</v>
      </c>
      <c r="I165">
        <v>13007</v>
      </c>
      <c r="J165">
        <v>13670</v>
      </c>
      <c r="K165">
        <v>14038</v>
      </c>
      <c r="L165">
        <v>14405</v>
      </c>
      <c r="M165" t="s">
        <v>988</v>
      </c>
    </row>
    <row r="166" spans="1:13" x14ac:dyDescent="0.3">
      <c r="A166">
        <v>613</v>
      </c>
      <c r="B166" t="s">
        <v>804</v>
      </c>
      <c r="C166" t="s">
        <v>2667</v>
      </c>
      <c r="D166" t="s">
        <v>1203</v>
      </c>
      <c r="E166" t="s">
        <v>1204</v>
      </c>
      <c r="F166">
        <v>5673</v>
      </c>
      <c r="G166" t="s">
        <v>2664</v>
      </c>
      <c r="H166">
        <v>91600</v>
      </c>
      <c r="I166">
        <v>98600</v>
      </c>
      <c r="J166">
        <v>102400</v>
      </c>
      <c r="K166">
        <v>106100</v>
      </c>
      <c r="L166">
        <v>107700</v>
      </c>
      <c r="M166" t="s">
        <v>988</v>
      </c>
    </row>
    <row r="167" spans="1:13" x14ac:dyDescent="0.3">
      <c r="A167">
        <v>613</v>
      </c>
      <c r="B167" t="s">
        <v>804</v>
      </c>
      <c r="C167" t="s">
        <v>2667</v>
      </c>
      <c r="D167" t="s">
        <v>1203</v>
      </c>
      <c r="E167" t="s">
        <v>1204</v>
      </c>
      <c r="F167">
        <v>5673</v>
      </c>
      <c r="G167" t="s">
        <v>2665</v>
      </c>
      <c r="H167">
        <v>91600</v>
      </c>
      <c r="I167">
        <v>98600</v>
      </c>
      <c r="J167">
        <v>102400</v>
      </c>
      <c r="K167">
        <v>106100</v>
      </c>
      <c r="L167">
        <v>107700</v>
      </c>
      <c r="M167" t="s">
        <v>988</v>
      </c>
    </row>
    <row r="168" spans="1:13" x14ac:dyDescent="0.3">
      <c r="A168">
        <v>624</v>
      </c>
      <c r="B168" t="s">
        <v>1425</v>
      </c>
      <c r="C168" t="s">
        <v>2667</v>
      </c>
      <c r="D168" t="s">
        <v>1203</v>
      </c>
      <c r="E168" t="s">
        <v>1204</v>
      </c>
      <c r="F168">
        <v>5690</v>
      </c>
      <c r="G168" t="s">
        <v>2664</v>
      </c>
      <c r="H168">
        <v>46222</v>
      </c>
      <c r="I168">
        <v>46222</v>
      </c>
      <c r="J168">
        <v>46222</v>
      </c>
      <c r="K168">
        <v>46222</v>
      </c>
      <c r="L168">
        <v>46222</v>
      </c>
      <c r="M168" t="s">
        <v>988</v>
      </c>
    </row>
    <row r="169" spans="1:13" x14ac:dyDescent="0.3">
      <c r="A169">
        <v>624</v>
      </c>
      <c r="B169" t="s">
        <v>1425</v>
      </c>
      <c r="C169" t="s">
        <v>2667</v>
      </c>
      <c r="D169" t="s">
        <v>1203</v>
      </c>
      <c r="E169" t="s">
        <v>1204</v>
      </c>
      <c r="F169">
        <v>5690</v>
      </c>
      <c r="G169" t="s">
        <v>2665</v>
      </c>
      <c r="H169">
        <v>39358</v>
      </c>
      <c r="I169">
        <v>39581</v>
      </c>
      <c r="J169">
        <v>39842</v>
      </c>
      <c r="K169">
        <v>40051</v>
      </c>
      <c r="L169">
        <v>40192</v>
      </c>
      <c r="M169" t="s">
        <v>988</v>
      </c>
    </row>
    <row r="170" spans="1:13" x14ac:dyDescent="0.3">
      <c r="A170">
        <v>644</v>
      </c>
      <c r="B170" t="s">
        <v>1434</v>
      </c>
      <c r="C170" t="s">
        <v>2667</v>
      </c>
      <c r="D170" t="s">
        <v>159</v>
      </c>
      <c r="E170" t="s">
        <v>159</v>
      </c>
      <c r="F170">
        <v>5450</v>
      </c>
      <c r="G170" t="s">
        <v>2665</v>
      </c>
      <c r="H170">
        <v>5460</v>
      </c>
      <c r="I170">
        <v>5489</v>
      </c>
      <c r="J170">
        <v>5517</v>
      </c>
      <c r="K170">
        <v>5546</v>
      </c>
      <c r="L170">
        <v>5575</v>
      </c>
      <c r="M170" t="s">
        <v>988</v>
      </c>
    </row>
    <row r="171" spans="1:13" x14ac:dyDescent="0.3">
      <c r="A171">
        <v>644</v>
      </c>
      <c r="B171" t="s">
        <v>1434</v>
      </c>
      <c r="C171" t="s">
        <v>2667</v>
      </c>
      <c r="D171" t="s">
        <v>159</v>
      </c>
      <c r="E171" t="s">
        <v>159</v>
      </c>
      <c r="F171">
        <v>5450</v>
      </c>
      <c r="G171" t="s">
        <v>2664</v>
      </c>
      <c r="H171">
        <v>5460</v>
      </c>
      <c r="I171">
        <v>5489</v>
      </c>
      <c r="J171">
        <v>5517</v>
      </c>
      <c r="K171">
        <v>5546</v>
      </c>
      <c r="L171">
        <v>5575</v>
      </c>
      <c r="M171" t="s">
        <v>988</v>
      </c>
    </row>
    <row r="172" spans="1:13" x14ac:dyDescent="0.3">
      <c r="A172">
        <v>649</v>
      </c>
      <c r="B172" t="s">
        <v>1436</v>
      </c>
      <c r="C172" t="s">
        <v>2667</v>
      </c>
      <c r="D172" t="s">
        <v>159</v>
      </c>
      <c r="E172" t="s">
        <v>159</v>
      </c>
      <c r="F172">
        <v>5683</v>
      </c>
      <c r="G172" t="s">
        <v>2664</v>
      </c>
      <c r="H172">
        <v>2482.73027065</v>
      </c>
      <c r="I172">
        <v>2458.1791678499999</v>
      </c>
      <c r="J172">
        <v>2439.7658407499998</v>
      </c>
      <c r="K172">
        <v>2424.4214014999998</v>
      </c>
      <c r="L172">
        <v>2412.1458501000002</v>
      </c>
      <c r="M172" t="s">
        <v>988</v>
      </c>
    </row>
    <row r="173" spans="1:13" x14ac:dyDescent="0.3">
      <c r="A173">
        <v>649</v>
      </c>
      <c r="B173" t="s">
        <v>1436</v>
      </c>
      <c r="C173" t="s">
        <v>2667</v>
      </c>
      <c r="D173" t="s">
        <v>159</v>
      </c>
      <c r="E173" t="s">
        <v>159</v>
      </c>
      <c r="F173">
        <v>5683</v>
      </c>
      <c r="G173" t="s">
        <v>2665</v>
      </c>
      <c r="H173">
        <v>2482.73027065</v>
      </c>
      <c r="I173">
        <v>2458.1791678499999</v>
      </c>
      <c r="J173">
        <v>2439.7658407499998</v>
      </c>
      <c r="K173">
        <v>2424.4214014999998</v>
      </c>
      <c r="L173">
        <v>2412.1458501000002</v>
      </c>
      <c r="M173" t="s">
        <v>988</v>
      </c>
    </row>
    <row r="174" spans="1:13" x14ac:dyDescent="0.3">
      <c r="A174">
        <v>651</v>
      </c>
      <c r="B174" t="s">
        <v>1437</v>
      </c>
      <c r="C174" t="s">
        <v>2667</v>
      </c>
      <c r="D174" t="s">
        <v>1203</v>
      </c>
      <c r="E174" t="s">
        <v>1204</v>
      </c>
      <c r="F174">
        <v>5729</v>
      </c>
      <c r="G174" t="s">
        <v>2664</v>
      </c>
      <c r="H174">
        <v>5748</v>
      </c>
      <c r="I174">
        <v>5748</v>
      </c>
      <c r="J174">
        <v>5748</v>
      </c>
      <c r="K174">
        <v>5748</v>
      </c>
      <c r="L174">
        <v>5748</v>
      </c>
      <c r="M174" t="s">
        <v>988</v>
      </c>
    </row>
    <row r="175" spans="1:13" x14ac:dyDescent="0.3">
      <c r="A175">
        <v>651</v>
      </c>
      <c r="B175" t="s">
        <v>1437</v>
      </c>
      <c r="C175" t="s">
        <v>2667</v>
      </c>
      <c r="D175" t="s">
        <v>1203</v>
      </c>
      <c r="E175" t="s">
        <v>1204</v>
      </c>
      <c r="F175">
        <v>5729</v>
      </c>
      <c r="G175" t="s">
        <v>2665</v>
      </c>
      <c r="H175">
        <v>4412</v>
      </c>
      <c r="I175">
        <v>4481</v>
      </c>
      <c r="J175">
        <v>4552</v>
      </c>
      <c r="K175">
        <v>4624</v>
      </c>
      <c r="L175">
        <v>4697</v>
      </c>
      <c r="M175" t="s">
        <v>988</v>
      </c>
    </row>
    <row r="176" spans="1:13" x14ac:dyDescent="0.3">
      <c r="A176">
        <v>654</v>
      </c>
      <c r="B176" t="s">
        <v>1439</v>
      </c>
      <c r="C176" t="s">
        <v>2667</v>
      </c>
      <c r="D176" t="s">
        <v>159</v>
      </c>
      <c r="E176" t="s">
        <v>159</v>
      </c>
      <c r="F176">
        <v>7861</v>
      </c>
      <c r="G176" t="s">
        <v>2664</v>
      </c>
      <c r="H176">
        <v>673.59733014748497</v>
      </c>
      <c r="I176">
        <v>704.31128759415105</v>
      </c>
      <c r="J176">
        <v>735.027540724907</v>
      </c>
      <c r="K176">
        <v>765.74149817157297</v>
      </c>
      <c r="M176" t="s">
        <v>988</v>
      </c>
    </row>
    <row r="177" spans="1:13" x14ac:dyDescent="0.3">
      <c r="A177">
        <v>654</v>
      </c>
      <c r="B177" t="s">
        <v>1439</v>
      </c>
      <c r="C177" t="s">
        <v>2667</v>
      </c>
      <c r="D177" t="s">
        <v>159</v>
      </c>
      <c r="E177" t="s">
        <v>159</v>
      </c>
      <c r="F177">
        <v>7861</v>
      </c>
      <c r="G177" t="s">
        <v>2665</v>
      </c>
      <c r="H177">
        <v>671.00779849341302</v>
      </c>
      <c r="I177">
        <v>703.23920312389203</v>
      </c>
      <c r="J177">
        <v>737.11202187907202</v>
      </c>
      <c r="K177">
        <v>772.71349075439105</v>
      </c>
      <c r="M177" t="s">
        <v>988</v>
      </c>
    </row>
    <row r="178" spans="1:13" x14ac:dyDescent="0.3">
      <c r="A178">
        <v>664</v>
      </c>
      <c r="B178" t="s">
        <v>1441</v>
      </c>
      <c r="C178" t="s">
        <v>2667</v>
      </c>
      <c r="D178" t="s">
        <v>1203</v>
      </c>
      <c r="E178" t="s">
        <v>1204</v>
      </c>
      <c r="F178">
        <v>5463</v>
      </c>
      <c r="G178" t="s">
        <v>2665</v>
      </c>
      <c r="H178">
        <v>52099</v>
      </c>
      <c r="I178">
        <v>56710</v>
      </c>
      <c r="J178">
        <v>58231</v>
      </c>
      <c r="K178">
        <v>59499</v>
      </c>
      <c r="L178">
        <v>59499</v>
      </c>
      <c r="M178" t="s">
        <v>988</v>
      </c>
    </row>
    <row r="179" spans="1:13" x14ac:dyDescent="0.3">
      <c r="A179">
        <v>664</v>
      </c>
      <c r="B179" t="s">
        <v>1441</v>
      </c>
      <c r="C179" t="s">
        <v>2667</v>
      </c>
      <c r="D179" t="s">
        <v>1203</v>
      </c>
      <c r="E179" t="s">
        <v>1204</v>
      </c>
      <c r="F179">
        <v>5463</v>
      </c>
      <c r="G179" t="s">
        <v>2664</v>
      </c>
      <c r="H179">
        <v>55999</v>
      </c>
      <c r="I179">
        <v>60610</v>
      </c>
      <c r="J179">
        <v>62131</v>
      </c>
      <c r="K179">
        <v>63399</v>
      </c>
      <c r="L179">
        <v>63399</v>
      </c>
      <c r="M179" t="s">
        <v>988</v>
      </c>
    </row>
    <row r="180" spans="1:13" x14ac:dyDescent="0.3">
      <c r="A180">
        <v>673</v>
      </c>
      <c r="B180" t="s">
        <v>1442</v>
      </c>
      <c r="C180" t="s">
        <v>2667</v>
      </c>
      <c r="D180" t="s">
        <v>159</v>
      </c>
      <c r="E180" t="s">
        <v>159</v>
      </c>
      <c r="F180">
        <v>7793</v>
      </c>
      <c r="G180" t="s">
        <v>2664</v>
      </c>
      <c r="H180">
        <v>6395.5622794000001</v>
      </c>
      <c r="I180">
        <v>6352.5978494999999</v>
      </c>
      <c r="J180">
        <v>6328.0467466999999</v>
      </c>
      <c r="K180">
        <v>6306.5645317500002</v>
      </c>
      <c r="L180">
        <v>5938.2979897499999</v>
      </c>
      <c r="M180" t="s">
        <v>988</v>
      </c>
    </row>
    <row r="181" spans="1:13" x14ac:dyDescent="0.3">
      <c r="A181">
        <v>673</v>
      </c>
      <c r="B181" t="s">
        <v>1442</v>
      </c>
      <c r="C181" t="s">
        <v>2667</v>
      </c>
      <c r="D181" t="s">
        <v>159</v>
      </c>
      <c r="E181" t="s">
        <v>159</v>
      </c>
      <c r="F181">
        <v>7793</v>
      </c>
      <c r="G181" t="s">
        <v>2665</v>
      </c>
      <c r="H181">
        <v>6545.9377840500001</v>
      </c>
      <c r="I181">
        <v>6447.7333728499998</v>
      </c>
      <c r="J181">
        <v>6432.3889336000002</v>
      </c>
      <c r="K181">
        <v>6460.0089242499998</v>
      </c>
      <c r="L181">
        <v>6509.11112985</v>
      </c>
      <c r="M181" t="s">
        <v>988</v>
      </c>
    </row>
    <row r="182" spans="1:13" x14ac:dyDescent="0.3">
      <c r="A182">
        <v>678</v>
      </c>
      <c r="B182" t="s">
        <v>1445</v>
      </c>
      <c r="C182" t="s">
        <v>2667</v>
      </c>
      <c r="D182" t="s">
        <v>159</v>
      </c>
      <c r="E182" t="s">
        <v>159</v>
      </c>
      <c r="F182">
        <v>7334</v>
      </c>
      <c r="G182" t="s">
        <v>2664</v>
      </c>
      <c r="H182">
        <v>19762</v>
      </c>
      <c r="I182">
        <v>19762</v>
      </c>
      <c r="J182">
        <v>19762</v>
      </c>
      <c r="K182">
        <v>19762</v>
      </c>
      <c r="L182">
        <v>19762</v>
      </c>
      <c r="M182" t="s">
        <v>988</v>
      </c>
    </row>
    <row r="183" spans="1:13" x14ac:dyDescent="0.3">
      <c r="A183">
        <v>678</v>
      </c>
      <c r="B183" t="s">
        <v>1445</v>
      </c>
      <c r="C183" t="s">
        <v>2667</v>
      </c>
      <c r="D183" t="s">
        <v>159</v>
      </c>
      <c r="E183" t="s">
        <v>159</v>
      </c>
      <c r="F183">
        <v>7334</v>
      </c>
      <c r="G183" t="s">
        <v>2665</v>
      </c>
      <c r="H183">
        <v>10912</v>
      </c>
      <c r="I183">
        <v>11470</v>
      </c>
      <c r="J183">
        <v>12056</v>
      </c>
      <c r="K183">
        <v>12672</v>
      </c>
      <c r="L183">
        <v>13319</v>
      </c>
      <c r="M183" t="s">
        <v>988</v>
      </c>
    </row>
    <row r="184" spans="1:13" x14ac:dyDescent="0.3">
      <c r="A184">
        <v>699</v>
      </c>
      <c r="B184" t="s">
        <v>1449</v>
      </c>
      <c r="C184" t="s">
        <v>2667</v>
      </c>
      <c r="D184" t="s">
        <v>159</v>
      </c>
      <c r="E184" t="s">
        <v>159</v>
      </c>
      <c r="F184">
        <v>6729</v>
      </c>
      <c r="G184" t="s">
        <v>2665</v>
      </c>
      <c r="H184">
        <v>1005.79659214593</v>
      </c>
      <c r="I184">
        <v>1185.9825407244</v>
      </c>
      <c r="J184">
        <v>1294.1184441228399</v>
      </c>
      <c r="K184">
        <v>1325.6749176307201</v>
      </c>
      <c r="L184">
        <v>1358.0279935179899</v>
      </c>
      <c r="M184" t="s">
        <v>988</v>
      </c>
    </row>
    <row r="185" spans="1:13" x14ac:dyDescent="0.3">
      <c r="A185">
        <v>699</v>
      </c>
      <c r="B185" t="s">
        <v>1449</v>
      </c>
      <c r="C185" t="s">
        <v>2667</v>
      </c>
      <c r="D185" t="s">
        <v>159</v>
      </c>
      <c r="E185" t="s">
        <v>159</v>
      </c>
      <c r="F185">
        <v>6729</v>
      </c>
      <c r="G185" t="s">
        <v>2664</v>
      </c>
      <c r="H185">
        <v>1265.5624297212401</v>
      </c>
      <c r="I185">
        <v>1265.5624297212401</v>
      </c>
      <c r="J185">
        <v>1265.5624297212401</v>
      </c>
      <c r="K185">
        <v>1265.5624297212401</v>
      </c>
      <c r="L185">
        <v>1265.5624297212401</v>
      </c>
      <c r="M185" t="s">
        <v>988</v>
      </c>
    </row>
    <row r="186" spans="1:13" x14ac:dyDescent="0.3">
      <c r="A186">
        <v>711</v>
      </c>
      <c r="B186" t="s">
        <v>1453</v>
      </c>
      <c r="C186" t="s">
        <v>2667</v>
      </c>
      <c r="D186" t="s">
        <v>1203</v>
      </c>
      <c r="E186" t="s">
        <v>1204</v>
      </c>
      <c r="F186">
        <v>5970</v>
      </c>
      <c r="G186" t="s">
        <v>2665</v>
      </c>
      <c r="H186">
        <v>13655</v>
      </c>
      <c r="I186">
        <v>14403</v>
      </c>
      <c r="J186">
        <v>15207</v>
      </c>
      <c r="K186">
        <v>16070</v>
      </c>
      <c r="L186">
        <v>16997</v>
      </c>
      <c r="M186" t="s">
        <v>988</v>
      </c>
    </row>
    <row r="187" spans="1:13" x14ac:dyDescent="0.3">
      <c r="A187">
        <v>711</v>
      </c>
      <c r="B187" t="s">
        <v>1453</v>
      </c>
      <c r="C187" t="s">
        <v>2667</v>
      </c>
      <c r="D187" t="s">
        <v>1203</v>
      </c>
      <c r="E187" t="s">
        <v>1204</v>
      </c>
      <c r="F187">
        <v>5970</v>
      </c>
      <c r="G187" t="s">
        <v>2664</v>
      </c>
      <c r="H187">
        <v>13655</v>
      </c>
      <c r="I187">
        <v>14403</v>
      </c>
      <c r="J187">
        <v>15207</v>
      </c>
      <c r="K187">
        <v>16070</v>
      </c>
      <c r="L187">
        <v>16997</v>
      </c>
      <c r="M187" t="s">
        <v>988</v>
      </c>
    </row>
    <row r="188" spans="1:13" x14ac:dyDescent="0.3">
      <c r="A188">
        <v>727</v>
      </c>
      <c r="B188" t="s">
        <v>825</v>
      </c>
      <c r="C188" t="s">
        <v>2667</v>
      </c>
      <c r="D188" t="s">
        <v>1203</v>
      </c>
      <c r="E188" t="s">
        <v>1204</v>
      </c>
      <c r="F188">
        <v>5697</v>
      </c>
      <c r="G188" t="s">
        <v>2664</v>
      </c>
      <c r="H188">
        <v>39641</v>
      </c>
      <c r="I188">
        <v>41175</v>
      </c>
      <c r="J188">
        <v>42677</v>
      </c>
      <c r="K188">
        <v>43907</v>
      </c>
      <c r="L188">
        <v>44978</v>
      </c>
      <c r="M188" t="s">
        <v>988</v>
      </c>
    </row>
    <row r="189" spans="1:13" x14ac:dyDescent="0.3">
      <c r="A189">
        <v>727</v>
      </c>
      <c r="B189" t="s">
        <v>825</v>
      </c>
      <c r="C189" t="s">
        <v>2667</v>
      </c>
      <c r="D189" t="s">
        <v>1203</v>
      </c>
      <c r="E189" t="s">
        <v>1204</v>
      </c>
      <c r="F189">
        <v>5697</v>
      </c>
      <c r="G189" t="s">
        <v>2665</v>
      </c>
      <c r="H189">
        <v>39641</v>
      </c>
      <c r="I189">
        <v>41175</v>
      </c>
      <c r="J189">
        <v>42677</v>
      </c>
      <c r="K189">
        <v>43907</v>
      </c>
      <c r="L189">
        <v>44978</v>
      </c>
      <c r="M189" t="s">
        <v>988</v>
      </c>
    </row>
    <row r="190" spans="1:13" x14ac:dyDescent="0.3">
      <c r="A190">
        <v>731</v>
      </c>
      <c r="B190" t="s">
        <v>1458</v>
      </c>
      <c r="C190" t="s">
        <v>2667</v>
      </c>
      <c r="D190" t="s">
        <v>1203</v>
      </c>
      <c r="E190" t="s">
        <v>1204</v>
      </c>
      <c r="F190">
        <v>5481</v>
      </c>
      <c r="G190" t="s">
        <v>2665</v>
      </c>
      <c r="H190">
        <v>7917.7306529999996</v>
      </c>
      <c r="I190">
        <v>10004.574391</v>
      </c>
      <c r="J190">
        <v>12030.040371999999</v>
      </c>
      <c r="K190">
        <v>14055.506353000001</v>
      </c>
      <c r="M190" t="s">
        <v>988</v>
      </c>
    </row>
    <row r="191" spans="1:13" x14ac:dyDescent="0.3">
      <c r="A191">
        <v>731</v>
      </c>
      <c r="B191" t="s">
        <v>1458</v>
      </c>
      <c r="C191" t="s">
        <v>2667</v>
      </c>
      <c r="D191" t="s">
        <v>1203</v>
      </c>
      <c r="E191" t="s">
        <v>1204</v>
      </c>
      <c r="F191">
        <v>5481</v>
      </c>
      <c r="G191" t="s">
        <v>2664</v>
      </c>
      <c r="H191">
        <v>11471.5027833</v>
      </c>
      <c r="I191">
        <v>14564.9417361</v>
      </c>
      <c r="J191">
        <v>16243.623390049999</v>
      </c>
      <c r="K191">
        <v>19042.449109249999</v>
      </c>
      <c r="M191" t="s">
        <v>988</v>
      </c>
    </row>
    <row r="192" spans="1:13" x14ac:dyDescent="0.3">
      <c r="A192">
        <v>737</v>
      </c>
      <c r="B192" t="s">
        <v>1460</v>
      </c>
      <c r="C192" t="s">
        <v>2667</v>
      </c>
      <c r="D192" t="s">
        <v>1203</v>
      </c>
      <c r="E192" t="s">
        <v>1204</v>
      </c>
      <c r="F192">
        <v>7336</v>
      </c>
      <c r="G192" t="s">
        <v>2664</v>
      </c>
      <c r="H192">
        <v>5662.0980832499999</v>
      </c>
      <c r="I192">
        <v>6202.2223448499999</v>
      </c>
      <c r="J192">
        <v>6797.58658775</v>
      </c>
      <c r="K192">
        <v>7448.1908119500004</v>
      </c>
      <c r="M192" t="s">
        <v>988</v>
      </c>
    </row>
    <row r="193" spans="1:13" x14ac:dyDescent="0.3">
      <c r="A193">
        <v>737</v>
      </c>
      <c r="B193" t="s">
        <v>1460</v>
      </c>
      <c r="C193" t="s">
        <v>2667</v>
      </c>
      <c r="D193" t="s">
        <v>1203</v>
      </c>
      <c r="E193" t="s">
        <v>1204</v>
      </c>
      <c r="F193">
        <v>7336</v>
      </c>
      <c r="G193" t="s">
        <v>2665</v>
      </c>
      <c r="H193">
        <v>5662.0980832499999</v>
      </c>
      <c r="I193">
        <v>6202.2223448499999</v>
      </c>
      <c r="J193">
        <v>6797.58658775</v>
      </c>
      <c r="K193">
        <v>7448.1908119500004</v>
      </c>
      <c r="M193" t="s">
        <v>988</v>
      </c>
    </row>
    <row r="194" spans="1:13" x14ac:dyDescent="0.3">
      <c r="A194">
        <v>739</v>
      </c>
      <c r="B194" t="s">
        <v>1463</v>
      </c>
      <c r="C194" t="s">
        <v>2667</v>
      </c>
      <c r="D194" t="s">
        <v>159</v>
      </c>
      <c r="E194" t="s">
        <v>159</v>
      </c>
      <c r="F194">
        <v>7839</v>
      </c>
      <c r="G194" t="s">
        <v>2665</v>
      </c>
      <c r="H194">
        <v>4367.0274105500002</v>
      </c>
      <c r="I194">
        <v>5048.3205132499997</v>
      </c>
      <c r="J194">
        <v>5748.0269430500002</v>
      </c>
      <c r="K194">
        <v>6628.7977559999999</v>
      </c>
      <c r="L194">
        <v>7644.5996343500001</v>
      </c>
      <c r="M194" t="s">
        <v>988</v>
      </c>
    </row>
    <row r="195" spans="1:13" x14ac:dyDescent="0.3">
      <c r="A195">
        <v>739</v>
      </c>
      <c r="B195" t="s">
        <v>1463</v>
      </c>
      <c r="C195" t="s">
        <v>2667</v>
      </c>
      <c r="D195" t="s">
        <v>159</v>
      </c>
      <c r="E195" t="s">
        <v>159</v>
      </c>
      <c r="F195">
        <v>7839</v>
      </c>
      <c r="G195" t="s">
        <v>2664</v>
      </c>
      <c r="H195">
        <v>7672.2196249999997</v>
      </c>
      <c r="I195">
        <v>7672.2196249999997</v>
      </c>
      <c r="J195">
        <v>7672.2196249999997</v>
      </c>
      <c r="K195">
        <v>7672.2196249999997</v>
      </c>
      <c r="L195">
        <v>7672.2196249999997</v>
      </c>
      <c r="M195" t="s">
        <v>988</v>
      </c>
    </row>
    <row r="196" spans="1:13" x14ac:dyDescent="0.3">
      <c r="A196">
        <v>759</v>
      </c>
      <c r="B196" t="s">
        <v>1467</v>
      </c>
      <c r="C196" t="s">
        <v>2667</v>
      </c>
      <c r="D196" t="s">
        <v>159</v>
      </c>
      <c r="E196" t="s">
        <v>159</v>
      </c>
      <c r="F196">
        <v>7834</v>
      </c>
      <c r="G196" t="s">
        <v>2665</v>
      </c>
      <c r="H196">
        <v>15037</v>
      </c>
      <c r="I196">
        <v>16407</v>
      </c>
      <c r="J196">
        <v>16851</v>
      </c>
      <c r="K196">
        <v>16864</v>
      </c>
      <c r="L196">
        <v>17078</v>
      </c>
      <c r="M196" t="s">
        <v>988</v>
      </c>
    </row>
    <row r="197" spans="1:13" x14ac:dyDescent="0.3">
      <c r="A197">
        <v>759</v>
      </c>
      <c r="B197" t="s">
        <v>1467</v>
      </c>
      <c r="C197" t="s">
        <v>2667</v>
      </c>
      <c r="D197" t="s">
        <v>159</v>
      </c>
      <c r="E197" t="s">
        <v>159</v>
      </c>
      <c r="F197">
        <v>7834</v>
      </c>
      <c r="G197" t="s">
        <v>2664</v>
      </c>
      <c r="H197">
        <v>15037</v>
      </c>
      <c r="I197">
        <v>16407</v>
      </c>
      <c r="J197">
        <v>16851</v>
      </c>
      <c r="K197">
        <v>16864</v>
      </c>
      <c r="L197">
        <v>17078</v>
      </c>
      <c r="M197" t="s">
        <v>988</v>
      </c>
    </row>
    <row r="198" spans="1:13" x14ac:dyDescent="0.3">
      <c r="A198">
        <v>775</v>
      </c>
      <c r="B198" t="s">
        <v>924</v>
      </c>
      <c r="C198" t="s">
        <v>2667</v>
      </c>
      <c r="D198" t="s">
        <v>1203</v>
      </c>
      <c r="E198" t="s">
        <v>1204</v>
      </c>
      <c r="F198">
        <v>5478</v>
      </c>
      <c r="G198" t="s">
        <v>2665</v>
      </c>
      <c r="H198">
        <v>208346.79613649999</v>
      </c>
      <c r="I198">
        <v>211707.22833225</v>
      </c>
      <c r="J198">
        <v>215067.66052800001</v>
      </c>
      <c r="K198">
        <v>221788.52491949999</v>
      </c>
      <c r="L198">
        <v>228509.38931100001</v>
      </c>
      <c r="M198" t="s">
        <v>988</v>
      </c>
    </row>
    <row r="199" spans="1:13" x14ac:dyDescent="0.3">
      <c r="A199">
        <v>775</v>
      </c>
      <c r="B199" t="s">
        <v>924</v>
      </c>
      <c r="C199" t="s">
        <v>2667</v>
      </c>
      <c r="D199" t="s">
        <v>1203</v>
      </c>
      <c r="E199" t="s">
        <v>1204</v>
      </c>
      <c r="F199">
        <v>5478</v>
      </c>
      <c r="G199" t="s">
        <v>2664</v>
      </c>
      <c r="H199">
        <v>208346.79613649999</v>
      </c>
      <c r="I199">
        <v>211707.22833225</v>
      </c>
      <c r="J199">
        <v>215067.66052800001</v>
      </c>
      <c r="K199">
        <v>221788.52491949999</v>
      </c>
      <c r="L199">
        <v>228509.38931100001</v>
      </c>
      <c r="M199" t="s">
        <v>988</v>
      </c>
    </row>
    <row r="200" spans="1:13" x14ac:dyDescent="0.3">
      <c r="A200">
        <v>784</v>
      </c>
      <c r="B200" t="s">
        <v>1475</v>
      </c>
      <c r="C200" t="s">
        <v>2667</v>
      </c>
      <c r="D200" t="s">
        <v>159</v>
      </c>
      <c r="E200" t="s">
        <v>159</v>
      </c>
      <c r="F200">
        <v>5767</v>
      </c>
      <c r="G200" t="s">
        <v>2665</v>
      </c>
      <c r="H200">
        <v>8403</v>
      </c>
      <c r="I200">
        <v>9187</v>
      </c>
      <c r="J200">
        <v>10044</v>
      </c>
      <c r="K200">
        <v>10981</v>
      </c>
      <c r="L200">
        <v>12005</v>
      </c>
      <c r="M200" t="s">
        <v>988</v>
      </c>
    </row>
    <row r="201" spans="1:13" x14ac:dyDescent="0.3">
      <c r="A201">
        <v>784</v>
      </c>
      <c r="B201" t="s">
        <v>1475</v>
      </c>
      <c r="C201" t="s">
        <v>2667</v>
      </c>
      <c r="D201" t="s">
        <v>159</v>
      </c>
      <c r="E201" t="s">
        <v>159</v>
      </c>
      <c r="F201">
        <v>5767</v>
      </c>
      <c r="G201" t="s">
        <v>2664</v>
      </c>
      <c r="H201">
        <v>16806</v>
      </c>
      <c r="I201">
        <v>16806</v>
      </c>
      <c r="J201">
        <v>16806</v>
      </c>
      <c r="K201">
        <v>16806</v>
      </c>
      <c r="L201">
        <v>16806</v>
      </c>
      <c r="M201" t="s">
        <v>988</v>
      </c>
    </row>
    <row r="202" spans="1:13" x14ac:dyDescent="0.3">
      <c r="A202">
        <v>785</v>
      </c>
      <c r="B202" t="s">
        <v>1476</v>
      </c>
      <c r="C202" t="s">
        <v>2667</v>
      </c>
      <c r="D202" t="s">
        <v>1203</v>
      </c>
      <c r="E202" t="s">
        <v>1204</v>
      </c>
      <c r="F202">
        <v>5655</v>
      </c>
      <c r="G202" t="s">
        <v>2665</v>
      </c>
      <c r="H202">
        <v>901</v>
      </c>
      <c r="I202">
        <v>954</v>
      </c>
      <c r="J202">
        <v>1007</v>
      </c>
      <c r="K202">
        <v>1060</v>
      </c>
      <c r="L202">
        <v>1113</v>
      </c>
      <c r="M202" t="s">
        <v>988</v>
      </c>
    </row>
    <row r="203" spans="1:13" x14ac:dyDescent="0.3">
      <c r="A203">
        <v>785</v>
      </c>
      <c r="B203" t="s">
        <v>1476</v>
      </c>
      <c r="C203" t="s">
        <v>2667</v>
      </c>
      <c r="D203" t="s">
        <v>1203</v>
      </c>
      <c r="E203" t="s">
        <v>1204</v>
      </c>
      <c r="F203">
        <v>5655</v>
      </c>
      <c r="G203" t="s">
        <v>2664</v>
      </c>
      <c r="H203">
        <v>901</v>
      </c>
      <c r="I203">
        <v>954</v>
      </c>
      <c r="J203">
        <v>1007</v>
      </c>
      <c r="K203">
        <v>1060</v>
      </c>
      <c r="L203">
        <v>1113</v>
      </c>
      <c r="M203" t="s">
        <v>988</v>
      </c>
    </row>
    <row r="204" spans="1:13" x14ac:dyDescent="0.3">
      <c r="A204">
        <v>787</v>
      </c>
      <c r="B204" t="s">
        <v>1478</v>
      </c>
      <c r="C204" t="s">
        <v>2667</v>
      </c>
      <c r="D204" t="s">
        <v>1203</v>
      </c>
      <c r="E204" t="s">
        <v>1204</v>
      </c>
      <c r="F204">
        <v>5718</v>
      </c>
      <c r="G204" t="s">
        <v>2664</v>
      </c>
      <c r="H204">
        <v>1364.2802314932001</v>
      </c>
      <c r="I204">
        <v>1420.2874347556999</v>
      </c>
      <c r="J204">
        <v>1509.8989599757001</v>
      </c>
      <c r="K204">
        <v>1789.9349762882</v>
      </c>
      <c r="L204">
        <v>1789.9349762882</v>
      </c>
      <c r="M204" t="s">
        <v>988</v>
      </c>
    </row>
    <row r="205" spans="1:13" x14ac:dyDescent="0.3">
      <c r="A205">
        <v>787</v>
      </c>
      <c r="B205" t="s">
        <v>1478</v>
      </c>
      <c r="C205" t="s">
        <v>2667</v>
      </c>
      <c r="D205" t="s">
        <v>1203</v>
      </c>
      <c r="E205" t="s">
        <v>1204</v>
      </c>
      <c r="F205">
        <v>5718</v>
      </c>
      <c r="G205" t="s">
        <v>2665</v>
      </c>
      <c r="H205">
        <v>2123.92234789248</v>
      </c>
      <c r="I205">
        <v>2212.91917487613</v>
      </c>
      <c r="J205">
        <v>2389.9126782930998</v>
      </c>
      <c r="K205">
        <v>2844.8961704929802</v>
      </c>
      <c r="L205">
        <v>3307.8790257626802</v>
      </c>
      <c r="M205" t="s">
        <v>988</v>
      </c>
    </row>
    <row r="206" spans="1:13" x14ac:dyDescent="0.3">
      <c r="A206">
        <v>793</v>
      </c>
      <c r="B206" t="s">
        <v>1479</v>
      </c>
      <c r="C206" t="s">
        <v>2667</v>
      </c>
      <c r="D206" t="s">
        <v>1203</v>
      </c>
      <c r="E206" t="s">
        <v>1204</v>
      </c>
      <c r="F206">
        <v>5477</v>
      </c>
      <c r="G206" t="s">
        <v>2664</v>
      </c>
      <c r="H206">
        <v>24923</v>
      </c>
      <c r="I206">
        <v>25769</v>
      </c>
      <c r="J206">
        <v>26615</v>
      </c>
      <c r="K206">
        <v>27401</v>
      </c>
      <c r="L206">
        <v>28188</v>
      </c>
      <c r="M206" t="s">
        <v>988</v>
      </c>
    </row>
    <row r="207" spans="1:13" x14ac:dyDescent="0.3">
      <c r="A207">
        <v>793</v>
      </c>
      <c r="B207" t="s">
        <v>1479</v>
      </c>
      <c r="C207" t="s">
        <v>2667</v>
      </c>
      <c r="D207" t="s">
        <v>1203</v>
      </c>
      <c r="E207" t="s">
        <v>1204</v>
      </c>
      <c r="F207">
        <v>5477</v>
      </c>
      <c r="G207" t="s">
        <v>2665</v>
      </c>
      <c r="H207">
        <v>21672</v>
      </c>
      <c r="I207">
        <v>22408</v>
      </c>
      <c r="J207">
        <v>23143</v>
      </c>
      <c r="K207">
        <v>23827</v>
      </c>
      <c r="L207">
        <v>24511</v>
      </c>
      <c r="M207" t="s">
        <v>988</v>
      </c>
    </row>
    <row r="208" spans="1:13" x14ac:dyDescent="0.3">
      <c r="A208">
        <v>794</v>
      </c>
      <c r="B208" t="s">
        <v>1483</v>
      </c>
      <c r="C208" t="s">
        <v>2667</v>
      </c>
      <c r="D208" t="s">
        <v>159</v>
      </c>
      <c r="E208" t="s">
        <v>159</v>
      </c>
      <c r="F208">
        <v>6888</v>
      </c>
      <c r="G208" t="s">
        <v>2665</v>
      </c>
      <c r="H208">
        <v>151130</v>
      </c>
      <c r="I208">
        <v>162820</v>
      </c>
      <c r="J208">
        <v>174700</v>
      </c>
      <c r="K208">
        <v>184700</v>
      </c>
      <c r="L208">
        <v>193300</v>
      </c>
      <c r="M208" t="s">
        <v>988</v>
      </c>
    </row>
    <row r="209" spans="1:13" x14ac:dyDescent="0.3">
      <c r="A209">
        <v>794</v>
      </c>
      <c r="B209" t="s">
        <v>1483</v>
      </c>
      <c r="C209" t="s">
        <v>2667</v>
      </c>
      <c r="D209" t="s">
        <v>159</v>
      </c>
      <c r="E209" t="s">
        <v>159</v>
      </c>
      <c r="F209">
        <v>6888</v>
      </c>
      <c r="G209" t="s">
        <v>2664</v>
      </c>
      <c r="H209">
        <v>151130</v>
      </c>
      <c r="I209">
        <v>162820</v>
      </c>
      <c r="J209">
        <v>174700</v>
      </c>
      <c r="K209">
        <v>184700</v>
      </c>
      <c r="L209">
        <v>193300</v>
      </c>
      <c r="M209" t="s">
        <v>988</v>
      </c>
    </row>
    <row r="210" spans="1:13" x14ac:dyDescent="0.3">
      <c r="A210">
        <v>814</v>
      </c>
      <c r="B210" t="s">
        <v>1485</v>
      </c>
      <c r="C210" t="s">
        <v>2667</v>
      </c>
      <c r="D210" t="s">
        <v>1203</v>
      </c>
      <c r="E210" t="s">
        <v>1204</v>
      </c>
      <c r="F210">
        <v>5446</v>
      </c>
      <c r="G210" t="s">
        <v>2665</v>
      </c>
      <c r="H210">
        <v>8458</v>
      </c>
      <c r="I210">
        <v>8713</v>
      </c>
      <c r="J210">
        <v>8917</v>
      </c>
      <c r="K210">
        <v>9368</v>
      </c>
      <c r="L210">
        <v>9818</v>
      </c>
      <c r="M210" t="s">
        <v>988</v>
      </c>
    </row>
    <row r="211" spans="1:13" x14ac:dyDescent="0.3">
      <c r="A211">
        <v>814</v>
      </c>
      <c r="B211" t="s">
        <v>1485</v>
      </c>
      <c r="C211" t="s">
        <v>2667</v>
      </c>
      <c r="D211" t="s">
        <v>1203</v>
      </c>
      <c r="E211" t="s">
        <v>1204</v>
      </c>
      <c r="F211">
        <v>5446</v>
      </c>
      <c r="G211" t="s">
        <v>2664</v>
      </c>
      <c r="H211">
        <v>8458</v>
      </c>
      <c r="I211">
        <v>8713</v>
      </c>
      <c r="J211">
        <v>8917</v>
      </c>
      <c r="K211">
        <v>9368</v>
      </c>
      <c r="L211">
        <v>9818</v>
      </c>
      <c r="M211" t="s">
        <v>988</v>
      </c>
    </row>
    <row r="212" spans="1:13" x14ac:dyDescent="0.3">
      <c r="A212">
        <v>816</v>
      </c>
      <c r="B212" t="s">
        <v>765</v>
      </c>
      <c r="C212" t="s">
        <v>2667</v>
      </c>
      <c r="D212" t="s">
        <v>1203</v>
      </c>
      <c r="E212" t="s">
        <v>1204</v>
      </c>
      <c r="F212">
        <v>5604</v>
      </c>
      <c r="G212" t="s">
        <v>2665</v>
      </c>
      <c r="H212">
        <v>40930</v>
      </c>
      <c r="I212">
        <v>41760</v>
      </c>
      <c r="J212">
        <v>42970</v>
      </c>
      <c r="K212">
        <v>44240</v>
      </c>
      <c r="L212">
        <v>45490</v>
      </c>
      <c r="M212" t="s">
        <v>988</v>
      </c>
    </row>
    <row r="213" spans="1:13" x14ac:dyDescent="0.3">
      <c r="A213">
        <v>816</v>
      </c>
      <c r="B213" t="s">
        <v>765</v>
      </c>
      <c r="C213" t="s">
        <v>2667</v>
      </c>
      <c r="D213" t="s">
        <v>1203</v>
      </c>
      <c r="E213" t="s">
        <v>1204</v>
      </c>
      <c r="F213">
        <v>5604</v>
      </c>
      <c r="G213" t="s">
        <v>2664</v>
      </c>
      <c r="H213">
        <v>63400</v>
      </c>
      <c r="I213">
        <v>63400</v>
      </c>
      <c r="J213">
        <v>67100</v>
      </c>
      <c r="K213">
        <v>67100</v>
      </c>
      <c r="L213">
        <v>67100</v>
      </c>
      <c r="M213" t="s">
        <v>988</v>
      </c>
    </row>
    <row r="214" spans="1:13" x14ac:dyDescent="0.3">
      <c r="A214">
        <v>827</v>
      </c>
      <c r="B214" t="s">
        <v>1488</v>
      </c>
      <c r="C214" t="s">
        <v>2667</v>
      </c>
      <c r="D214" t="s">
        <v>1203</v>
      </c>
      <c r="E214" t="s">
        <v>1204</v>
      </c>
      <c r="F214">
        <v>5921</v>
      </c>
      <c r="G214" t="s">
        <v>2665</v>
      </c>
      <c r="H214">
        <v>14133</v>
      </c>
      <c r="I214">
        <v>13253</v>
      </c>
      <c r="J214">
        <v>12489</v>
      </c>
      <c r="K214">
        <v>11794</v>
      </c>
      <c r="M214" t="s">
        <v>988</v>
      </c>
    </row>
    <row r="215" spans="1:13" x14ac:dyDescent="0.3">
      <c r="A215">
        <v>827</v>
      </c>
      <c r="B215" t="s">
        <v>1488</v>
      </c>
      <c r="C215" t="s">
        <v>2667</v>
      </c>
      <c r="D215" t="s">
        <v>1203</v>
      </c>
      <c r="E215" t="s">
        <v>1204</v>
      </c>
      <c r="F215">
        <v>5921</v>
      </c>
      <c r="G215" t="s">
        <v>2664</v>
      </c>
      <c r="H215">
        <v>12484</v>
      </c>
      <c r="I215">
        <v>11724</v>
      </c>
      <c r="J215">
        <v>11048</v>
      </c>
      <c r="K215">
        <v>10433</v>
      </c>
      <c r="M215" t="s">
        <v>988</v>
      </c>
    </row>
    <row r="216" spans="1:13" x14ac:dyDescent="0.3">
      <c r="A216">
        <v>830</v>
      </c>
      <c r="B216" t="s">
        <v>1491</v>
      </c>
      <c r="C216" t="s">
        <v>2667</v>
      </c>
      <c r="D216" t="s">
        <v>159</v>
      </c>
      <c r="E216" t="s">
        <v>159</v>
      </c>
      <c r="F216">
        <v>5566</v>
      </c>
      <c r="G216" t="s">
        <v>2665</v>
      </c>
      <c r="H216">
        <v>9523</v>
      </c>
      <c r="I216">
        <v>9958</v>
      </c>
      <c r="J216">
        <v>9975</v>
      </c>
      <c r="K216">
        <v>9998</v>
      </c>
      <c r="L216">
        <v>9980</v>
      </c>
      <c r="M216" t="s">
        <v>988</v>
      </c>
    </row>
    <row r="217" spans="1:13" x14ac:dyDescent="0.3">
      <c r="A217">
        <v>830</v>
      </c>
      <c r="B217" t="s">
        <v>1491</v>
      </c>
      <c r="C217" t="s">
        <v>2667</v>
      </c>
      <c r="D217" t="s">
        <v>159</v>
      </c>
      <c r="E217" t="s">
        <v>159</v>
      </c>
      <c r="F217">
        <v>5566</v>
      </c>
      <c r="G217" t="s">
        <v>2664</v>
      </c>
      <c r="H217">
        <v>9523</v>
      </c>
      <c r="I217">
        <v>9958</v>
      </c>
      <c r="J217">
        <v>9975</v>
      </c>
      <c r="K217">
        <v>9998</v>
      </c>
      <c r="L217">
        <v>9980</v>
      </c>
      <c r="M217" t="s">
        <v>988</v>
      </c>
    </row>
    <row r="218" spans="1:13" x14ac:dyDescent="0.3">
      <c r="A218">
        <v>835</v>
      </c>
      <c r="B218" t="s">
        <v>1493</v>
      </c>
      <c r="C218" t="s">
        <v>2667</v>
      </c>
      <c r="D218" t="s">
        <v>1203</v>
      </c>
      <c r="E218" t="s">
        <v>1204</v>
      </c>
      <c r="F218">
        <v>5610</v>
      </c>
      <c r="G218" t="s">
        <v>2665</v>
      </c>
      <c r="H218">
        <v>7665</v>
      </c>
      <c r="I218">
        <v>8036</v>
      </c>
      <c r="J218">
        <v>8421</v>
      </c>
      <c r="K218">
        <v>8537</v>
      </c>
      <c r="L218">
        <v>8589</v>
      </c>
      <c r="M218" t="s">
        <v>988</v>
      </c>
    </row>
    <row r="219" spans="1:13" x14ac:dyDescent="0.3">
      <c r="A219">
        <v>835</v>
      </c>
      <c r="B219" t="s">
        <v>1493</v>
      </c>
      <c r="C219" t="s">
        <v>2667</v>
      </c>
      <c r="D219" t="s">
        <v>1203</v>
      </c>
      <c r="E219" t="s">
        <v>1204</v>
      </c>
      <c r="F219">
        <v>5610</v>
      </c>
      <c r="G219" t="s">
        <v>2664</v>
      </c>
      <c r="H219">
        <v>13000</v>
      </c>
      <c r="I219">
        <v>13000</v>
      </c>
      <c r="J219">
        <v>13000</v>
      </c>
      <c r="K219">
        <v>13000</v>
      </c>
      <c r="L219">
        <v>13000</v>
      </c>
      <c r="M219" t="s">
        <v>988</v>
      </c>
    </row>
    <row r="220" spans="1:13" x14ac:dyDescent="0.3">
      <c r="A220">
        <v>842</v>
      </c>
      <c r="B220" t="s">
        <v>1495</v>
      </c>
      <c r="C220" t="s">
        <v>2667</v>
      </c>
      <c r="D220" t="s">
        <v>159</v>
      </c>
      <c r="E220" t="s">
        <v>159</v>
      </c>
      <c r="F220">
        <v>6760</v>
      </c>
      <c r="G220" t="s">
        <v>2665</v>
      </c>
      <c r="H220">
        <v>38932</v>
      </c>
      <c r="I220">
        <v>41994</v>
      </c>
      <c r="J220">
        <v>45313</v>
      </c>
      <c r="K220">
        <v>48085</v>
      </c>
      <c r="L220">
        <v>50967</v>
      </c>
      <c r="M220" t="s">
        <v>988</v>
      </c>
    </row>
    <row r="221" spans="1:13" x14ac:dyDescent="0.3">
      <c r="A221">
        <v>842</v>
      </c>
      <c r="B221" t="s">
        <v>1495</v>
      </c>
      <c r="C221" t="s">
        <v>2667</v>
      </c>
      <c r="D221" t="s">
        <v>159</v>
      </c>
      <c r="E221" t="s">
        <v>159</v>
      </c>
      <c r="F221">
        <v>6760</v>
      </c>
      <c r="G221" t="s">
        <v>2664</v>
      </c>
      <c r="H221">
        <v>44896</v>
      </c>
      <c r="I221">
        <v>49353</v>
      </c>
      <c r="J221">
        <v>50939</v>
      </c>
      <c r="K221">
        <v>51976</v>
      </c>
      <c r="L221">
        <v>53006</v>
      </c>
      <c r="M221" t="s">
        <v>988</v>
      </c>
    </row>
    <row r="222" spans="1:13" x14ac:dyDescent="0.3">
      <c r="A222">
        <v>851</v>
      </c>
      <c r="B222" t="s">
        <v>1501</v>
      </c>
      <c r="C222" t="s">
        <v>2667</v>
      </c>
      <c r="D222" t="s">
        <v>1203</v>
      </c>
      <c r="E222" t="s">
        <v>1204</v>
      </c>
      <c r="F222">
        <v>5582</v>
      </c>
      <c r="G222" t="s">
        <v>2665</v>
      </c>
      <c r="H222">
        <v>31538</v>
      </c>
      <c r="I222">
        <v>31886</v>
      </c>
      <c r="J222">
        <v>35587</v>
      </c>
      <c r="K222">
        <v>35827</v>
      </c>
      <c r="L222">
        <v>36908</v>
      </c>
      <c r="M222" t="s">
        <v>988</v>
      </c>
    </row>
    <row r="223" spans="1:13" x14ac:dyDescent="0.3">
      <c r="A223">
        <v>851</v>
      </c>
      <c r="B223" t="s">
        <v>1501</v>
      </c>
      <c r="C223" t="s">
        <v>2667</v>
      </c>
      <c r="D223" t="s">
        <v>1203</v>
      </c>
      <c r="E223" t="s">
        <v>1204</v>
      </c>
      <c r="F223">
        <v>5582</v>
      </c>
      <c r="G223" t="s">
        <v>2664</v>
      </c>
      <c r="H223">
        <v>34653</v>
      </c>
      <c r="I223">
        <v>35581</v>
      </c>
      <c r="J223">
        <v>39202</v>
      </c>
      <c r="K223">
        <v>39442</v>
      </c>
      <c r="L223">
        <v>40363</v>
      </c>
      <c r="M223" t="s">
        <v>988</v>
      </c>
    </row>
    <row r="224" spans="1:13" x14ac:dyDescent="0.3">
      <c r="A224">
        <v>856</v>
      </c>
      <c r="B224" t="s">
        <v>1505</v>
      </c>
      <c r="C224" t="s">
        <v>2667</v>
      </c>
      <c r="D224" t="s">
        <v>1203</v>
      </c>
      <c r="E224" t="s">
        <v>1204</v>
      </c>
      <c r="F224">
        <v>5561</v>
      </c>
      <c r="G224" t="s">
        <v>2665</v>
      </c>
      <c r="H224">
        <v>4955.4498290375204</v>
      </c>
      <c r="I224">
        <v>5050.6040436950998</v>
      </c>
      <c r="J224">
        <v>5157.5641340025504</v>
      </c>
      <c r="K224">
        <v>5286.2108203227599</v>
      </c>
      <c r="L224">
        <v>5540.1806053385999</v>
      </c>
      <c r="M224" t="s">
        <v>988</v>
      </c>
    </row>
    <row r="225" spans="1:13" x14ac:dyDescent="0.3">
      <c r="A225">
        <v>856</v>
      </c>
      <c r="B225" t="s">
        <v>1505</v>
      </c>
      <c r="C225" t="s">
        <v>2667</v>
      </c>
      <c r="D225" t="s">
        <v>1203</v>
      </c>
      <c r="E225" t="s">
        <v>1204</v>
      </c>
      <c r="F225">
        <v>5561</v>
      </c>
      <c r="G225" t="s">
        <v>2664</v>
      </c>
      <c r="H225">
        <v>3169.2110550032698</v>
      </c>
      <c r="I225">
        <v>3219.2695795746599</v>
      </c>
      <c r="J225">
        <v>3275.3660187096698</v>
      </c>
      <c r="K225">
        <v>3354.02935296124</v>
      </c>
      <c r="L225">
        <v>3019.72909241259</v>
      </c>
      <c r="M225" t="s">
        <v>988</v>
      </c>
    </row>
    <row r="226" spans="1:13" x14ac:dyDescent="0.3">
      <c r="A226">
        <v>859</v>
      </c>
      <c r="B226" t="s">
        <v>1507</v>
      </c>
      <c r="C226" t="s">
        <v>2667</v>
      </c>
      <c r="D226" t="s">
        <v>1203</v>
      </c>
      <c r="E226" t="s">
        <v>1204</v>
      </c>
      <c r="F226">
        <v>5694</v>
      </c>
      <c r="G226" t="s">
        <v>2664</v>
      </c>
      <c r="H226">
        <v>7841.0084567499998</v>
      </c>
      <c r="I226">
        <v>7841.0084567499998</v>
      </c>
      <c r="J226">
        <v>7841.0084567499998</v>
      </c>
      <c r="K226">
        <v>7841.0084567499998</v>
      </c>
      <c r="L226">
        <v>7841.0084567499998</v>
      </c>
      <c r="M226" t="s">
        <v>988</v>
      </c>
    </row>
    <row r="227" spans="1:13" x14ac:dyDescent="0.3">
      <c r="A227">
        <v>859</v>
      </c>
      <c r="B227" t="s">
        <v>1507</v>
      </c>
      <c r="C227" t="s">
        <v>2667</v>
      </c>
      <c r="D227" t="s">
        <v>1203</v>
      </c>
      <c r="E227" t="s">
        <v>1204</v>
      </c>
      <c r="F227">
        <v>5694</v>
      </c>
      <c r="G227" t="s">
        <v>2665</v>
      </c>
      <c r="H227">
        <v>3124.1278312999998</v>
      </c>
      <c r="I227">
        <v>3216.1944668000001</v>
      </c>
      <c r="J227">
        <v>3314.398878</v>
      </c>
      <c r="K227">
        <v>3409.5344013499998</v>
      </c>
      <c r="L227">
        <v>3501.6010368500001</v>
      </c>
      <c r="M227" t="s">
        <v>988</v>
      </c>
    </row>
    <row r="228" spans="1:13" x14ac:dyDescent="0.3">
      <c r="A228">
        <v>866</v>
      </c>
      <c r="B228" t="s">
        <v>1510</v>
      </c>
      <c r="C228" t="s">
        <v>2667</v>
      </c>
      <c r="D228" t="s">
        <v>1203</v>
      </c>
      <c r="E228" t="s">
        <v>1204</v>
      </c>
      <c r="F228">
        <v>5963</v>
      </c>
      <c r="G228" t="s">
        <v>2665</v>
      </c>
      <c r="H228">
        <v>10531</v>
      </c>
      <c r="I228">
        <v>10614</v>
      </c>
      <c r="J228">
        <v>10701</v>
      </c>
      <c r="K228">
        <v>10792</v>
      </c>
      <c r="L228">
        <v>0</v>
      </c>
      <c r="M228" t="s">
        <v>988</v>
      </c>
    </row>
    <row r="229" spans="1:13" x14ac:dyDescent="0.3">
      <c r="A229">
        <v>866</v>
      </c>
      <c r="B229" t="s">
        <v>1510</v>
      </c>
      <c r="C229" t="s">
        <v>2667</v>
      </c>
      <c r="D229" t="s">
        <v>1203</v>
      </c>
      <c r="E229" t="s">
        <v>1204</v>
      </c>
      <c r="F229">
        <v>5963</v>
      </c>
      <c r="G229" t="s">
        <v>2664</v>
      </c>
      <c r="H229">
        <v>23718</v>
      </c>
      <c r="I229">
        <v>23718</v>
      </c>
      <c r="J229">
        <v>23718</v>
      </c>
      <c r="K229">
        <v>23718</v>
      </c>
      <c r="L229">
        <v>0</v>
      </c>
      <c r="M229" t="s">
        <v>988</v>
      </c>
    </row>
    <row r="230" spans="1:13" x14ac:dyDescent="0.3">
      <c r="A230">
        <v>867</v>
      </c>
      <c r="B230" t="s">
        <v>1513</v>
      </c>
      <c r="C230" t="s">
        <v>2667</v>
      </c>
      <c r="D230" t="s">
        <v>1203</v>
      </c>
      <c r="E230" t="s">
        <v>1204</v>
      </c>
      <c r="F230">
        <v>5770</v>
      </c>
      <c r="G230" t="s">
        <v>2664</v>
      </c>
      <c r="H230">
        <v>36169.9122001</v>
      </c>
      <c r="I230">
        <v>36169.9122001</v>
      </c>
      <c r="J230">
        <v>36169.9122001</v>
      </c>
      <c r="K230">
        <v>36169.9122001</v>
      </c>
      <c r="L230">
        <v>36169.9122001</v>
      </c>
      <c r="M230" t="s">
        <v>988</v>
      </c>
    </row>
    <row r="231" spans="1:13" x14ac:dyDescent="0.3">
      <c r="A231">
        <v>867</v>
      </c>
      <c r="B231" t="s">
        <v>1513</v>
      </c>
      <c r="C231" t="s">
        <v>2667</v>
      </c>
      <c r="D231" t="s">
        <v>1203</v>
      </c>
      <c r="E231" t="s">
        <v>1204</v>
      </c>
      <c r="F231">
        <v>5770</v>
      </c>
      <c r="G231" t="s">
        <v>2665</v>
      </c>
      <c r="H231">
        <v>21807.5170621</v>
      </c>
      <c r="I231">
        <v>23467.78538895</v>
      </c>
      <c r="J231">
        <v>23863.671921599998</v>
      </c>
      <c r="K231">
        <v>25017.573753199998</v>
      </c>
      <c r="L231">
        <v>25591.455781150002</v>
      </c>
      <c r="M231" t="s">
        <v>988</v>
      </c>
    </row>
    <row r="232" spans="1:13" x14ac:dyDescent="0.3">
      <c r="A232">
        <v>873</v>
      </c>
      <c r="B232" t="s">
        <v>1516</v>
      </c>
      <c r="C232" t="s">
        <v>2667</v>
      </c>
      <c r="D232" t="s">
        <v>159</v>
      </c>
      <c r="E232" t="s">
        <v>159</v>
      </c>
      <c r="F232">
        <v>6762</v>
      </c>
      <c r="G232" t="s">
        <v>2664</v>
      </c>
      <c r="H232">
        <v>10139</v>
      </c>
      <c r="I232">
        <v>10140</v>
      </c>
      <c r="J232">
        <v>11117</v>
      </c>
      <c r="K232">
        <v>11332</v>
      </c>
      <c r="L232">
        <v>11439</v>
      </c>
      <c r="M232" t="s">
        <v>988</v>
      </c>
    </row>
    <row r="233" spans="1:13" x14ac:dyDescent="0.3">
      <c r="A233">
        <v>873</v>
      </c>
      <c r="B233" t="s">
        <v>1516</v>
      </c>
      <c r="C233" t="s">
        <v>2667</v>
      </c>
      <c r="D233" t="s">
        <v>159</v>
      </c>
      <c r="E233" t="s">
        <v>159</v>
      </c>
      <c r="F233">
        <v>6762</v>
      </c>
      <c r="G233" t="s">
        <v>2665</v>
      </c>
      <c r="H233">
        <v>10139</v>
      </c>
      <c r="I233">
        <v>10140</v>
      </c>
      <c r="J233">
        <v>11117</v>
      </c>
      <c r="K233">
        <v>11332</v>
      </c>
      <c r="L233">
        <v>11439</v>
      </c>
      <c r="M233" t="s">
        <v>988</v>
      </c>
    </row>
    <row r="234" spans="1:13" x14ac:dyDescent="0.3">
      <c r="A234">
        <v>904</v>
      </c>
      <c r="B234" t="s">
        <v>862</v>
      </c>
      <c r="C234" t="s">
        <v>2667</v>
      </c>
      <c r="D234" t="s">
        <v>1203</v>
      </c>
      <c r="E234" t="s">
        <v>1204</v>
      </c>
      <c r="F234">
        <v>5650</v>
      </c>
      <c r="G234" t="s">
        <v>2664</v>
      </c>
      <c r="H234">
        <v>36600</v>
      </c>
      <c r="I234">
        <v>36600</v>
      </c>
      <c r="J234">
        <v>36600</v>
      </c>
      <c r="K234">
        <v>36600</v>
      </c>
      <c r="L234">
        <v>36600</v>
      </c>
      <c r="M234" t="s">
        <v>988</v>
      </c>
    </row>
    <row r="235" spans="1:13" x14ac:dyDescent="0.3">
      <c r="A235">
        <v>904</v>
      </c>
      <c r="B235" t="s">
        <v>862</v>
      </c>
      <c r="C235" t="s">
        <v>2667</v>
      </c>
      <c r="D235" t="s">
        <v>1203</v>
      </c>
      <c r="E235" t="s">
        <v>1204</v>
      </c>
      <c r="F235">
        <v>5650</v>
      </c>
      <c r="G235" t="s">
        <v>2665</v>
      </c>
      <c r="H235">
        <v>20517</v>
      </c>
      <c r="I235">
        <v>22746</v>
      </c>
      <c r="J235">
        <v>24214</v>
      </c>
      <c r="K235">
        <v>25145</v>
      </c>
      <c r="L235">
        <v>25519</v>
      </c>
      <c r="M235" t="s">
        <v>988</v>
      </c>
    </row>
    <row r="236" spans="1:13" x14ac:dyDescent="0.3">
      <c r="A236">
        <v>920</v>
      </c>
      <c r="B236" t="s">
        <v>1519</v>
      </c>
      <c r="C236" t="s">
        <v>2667</v>
      </c>
      <c r="D236" t="s">
        <v>1203</v>
      </c>
      <c r="E236" t="s">
        <v>1204</v>
      </c>
      <c r="F236">
        <v>5702</v>
      </c>
      <c r="G236" t="s">
        <v>2664</v>
      </c>
      <c r="H236">
        <v>1417.8261867000001</v>
      </c>
      <c r="I236">
        <v>1537.51281285</v>
      </c>
      <c r="J236">
        <v>1660.26832685</v>
      </c>
      <c r="K236">
        <v>1795.29939225</v>
      </c>
      <c r="L236">
        <v>1945.6748969</v>
      </c>
      <c r="M236" t="s">
        <v>988</v>
      </c>
    </row>
    <row r="237" spans="1:13" x14ac:dyDescent="0.3">
      <c r="A237">
        <v>920</v>
      </c>
      <c r="B237" t="s">
        <v>1519</v>
      </c>
      <c r="C237" t="s">
        <v>2667</v>
      </c>
      <c r="D237" t="s">
        <v>1203</v>
      </c>
      <c r="E237" t="s">
        <v>1204</v>
      </c>
      <c r="F237">
        <v>5702</v>
      </c>
      <c r="G237" t="s">
        <v>2665</v>
      </c>
      <c r="H237">
        <v>1417.3044757655</v>
      </c>
      <c r="I237">
        <v>1537.51281285</v>
      </c>
      <c r="J237">
        <v>1660.26832685</v>
      </c>
      <c r="K237">
        <v>1795.29939225</v>
      </c>
      <c r="L237">
        <v>1945.6748969</v>
      </c>
      <c r="M237" t="s">
        <v>988</v>
      </c>
    </row>
    <row r="238" spans="1:13" x14ac:dyDescent="0.3">
      <c r="A238">
        <v>924</v>
      </c>
      <c r="B238" t="s">
        <v>1523</v>
      </c>
      <c r="C238" t="s">
        <v>2667</v>
      </c>
      <c r="D238" t="s">
        <v>159</v>
      </c>
      <c r="E238" t="s">
        <v>159</v>
      </c>
      <c r="F238">
        <v>7854</v>
      </c>
      <c r="G238" t="s">
        <v>2665</v>
      </c>
      <c r="H238">
        <v>10588</v>
      </c>
      <c r="I238">
        <v>10505</v>
      </c>
      <c r="J238">
        <v>10625</v>
      </c>
      <c r="K238">
        <v>10725</v>
      </c>
      <c r="L238">
        <v>10725</v>
      </c>
      <c r="M238" t="s">
        <v>988</v>
      </c>
    </row>
    <row r="239" spans="1:13" x14ac:dyDescent="0.3">
      <c r="A239">
        <v>924</v>
      </c>
      <c r="B239" t="s">
        <v>1523</v>
      </c>
      <c r="C239" t="s">
        <v>2667</v>
      </c>
      <c r="D239" t="s">
        <v>159</v>
      </c>
      <c r="E239" t="s">
        <v>159</v>
      </c>
      <c r="F239">
        <v>7854</v>
      </c>
      <c r="G239" t="s">
        <v>2664</v>
      </c>
      <c r="H239">
        <v>10588</v>
      </c>
      <c r="I239">
        <v>10505</v>
      </c>
      <c r="J239">
        <v>10625</v>
      </c>
      <c r="K239">
        <v>10725</v>
      </c>
      <c r="L239">
        <v>10725</v>
      </c>
      <c r="M239" t="s">
        <v>988</v>
      </c>
    </row>
    <row r="240" spans="1:13" x14ac:dyDescent="0.3">
      <c r="A240">
        <v>934</v>
      </c>
      <c r="B240" t="s">
        <v>899</v>
      </c>
      <c r="C240" t="s">
        <v>2667</v>
      </c>
      <c r="D240" t="s">
        <v>159</v>
      </c>
      <c r="E240" t="s">
        <v>159</v>
      </c>
      <c r="F240">
        <v>7328</v>
      </c>
      <c r="G240" t="s">
        <v>2664</v>
      </c>
      <c r="H240">
        <v>189852</v>
      </c>
      <c r="I240">
        <v>195392</v>
      </c>
      <c r="J240">
        <v>200862</v>
      </c>
      <c r="K240">
        <v>206252</v>
      </c>
      <c r="L240">
        <v>211582</v>
      </c>
      <c r="M240" t="s">
        <v>988</v>
      </c>
    </row>
    <row r="241" spans="1:13" x14ac:dyDescent="0.3">
      <c r="A241">
        <v>934</v>
      </c>
      <c r="B241" t="s">
        <v>899</v>
      </c>
      <c r="C241" t="s">
        <v>2667</v>
      </c>
      <c r="D241" t="s">
        <v>159</v>
      </c>
      <c r="E241" t="s">
        <v>159</v>
      </c>
      <c r="F241">
        <v>7328</v>
      </c>
      <c r="G241" t="s">
        <v>2665</v>
      </c>
      <c r="H241">
        <v>164092</v>
      </c>
      <c r="I241">
        <v>176132</v>
      </c>
      <c r="J241">
        <v>184174</v>
      </c>
      <c r="K241">
        <v>192228</v>
      </c>
      <c r="L241">
        <v>200287</v>
      </c>
      <c r="M241" t="s">
        <v>988</v>
      </c>
    </row>
    <row r="242" spans="1:13" x14ac:dyDescent="0.3">
      <c r="A242">
        <v>967</v>
      </c>
      <c r="B242" t="s">
        <v>1528</v>
      </c>
      <c r="C242" t="s">
        <v>2667</v>
      </c>
      <c r="D242" t="s">
        <v>1203</v>
      </c>
      <c r="E242" t="s">
        <v>1204</v>
      </c>
      <c r="F242">
        <v>5550</v>
      </c>
      <c r="G242" t="s">
        <v>2664</v>
      </c>
      <c r="H242">
        <v>27194</v>
      </c>
      <c r="I242">
        <v>29091</v>
      </c>
      <c r="J242">
        <v>29215</v>
      </c>
      <c r="K242">
        <v>29332</v>
      </c>
      <c r="L242">
        <v>29521</v>
      </c>
      <c r="M242" t="s">
        <v>988</v>
      </c>
    </row>
    <row r="243" spans="1:13" x14ac:dyDescent="0.3">
      <c r="A243">
        <v>967</v>
      </c>
      <c r="B243" t="s">
        <v>1528</v>
      </c>
      <c r="C243" t="s">
        <v>2667</v>
      </c>
      <c r="D243" t="s">
        <v>1203</v>
      </c>
      <c r="E243" t="s">
        <v>1204</v>
      </c>
      <c r="F243">
        <v>5550</v>
      </c>
      <c r="G243" t="s">
        <v>2665</v>
      </c>
      <c r="H243">
        <v>27194</v>
      </c>
      <c r="I243">
        <v>29091</v>
      </c>
      <c r="J243">
        <v>29215</v>
      </c>
      <c r="K243">
        <v>29332</v>
      </c>
      <c r="L243">
        <v>29521</v>
      </c>
      <c r="M243" t="s">
        <v>988</v>
      </c>
    </row>
    <row r="244" spans="1:13" x14ac:dyDescent="0.3">
      <c r="A244">
        <v>972</v>
      </c>
      <c r="B244" t="s">
        <v>1529</v>
      </c>
      <c r="C244" t="s">
        <v>2667</v>
      </c>
      <c r="D244" t="s">
        <v>1203</v>
      </c>
      <c r="E244" t="s">
        <v>1204</v>
      </c>
      <c r="F244">
        <v>5640</v>
      </c>
      <c r="G244" t="s">
        <v>2664</v>
      </c>
      <c r="H244">
        <v>5552.2386563590999</v>
      </c>
      <c r="I244">
        <v>5678.4459530950899</v>
      </c>
      <c r="J244">
        <v>5968.2556695886296</v>
      </c>
      <c r="K244">
        <v>6279.8011148191899</v>
      </c>
      <c r="L244">
        <v>6614.7124684420296</v>
      </c>
      <c r="M244" t="s">
        <v>988</v>
      </c>
    </row>
    <row r="245" spans="1:13" x14ac:dyDescent="0.3">
      <c r="A245">
        <v>972</v>
      </c>
      <c r="B245" t="s">
        <v>1529</v>
      </c>
      <c r="C245" t="s">
        <v>2667</v>
      </c>
      <c r="D245" t="s">
        <v>1203</v>
      </c>
      <c r="E245" t="s">
        <v>1204</v>
      </c>
      <c r="F245">
        <v>5640</v>
      </c>
      <c r="G245" t="s">
        <v>2665</v>
      </c>
      <c r="H245">
        <v>5552.2386563590999</v>
      </c>
      <c r="I245">
        <v>5678.4459530950899</v>
      </c>
      <c r="J245">
        <v>5968.2556695886296</v>
      </c>
      <c r="K245">
        <v>6279.8011148191899</v>
      </c>
      <c r="L245">
        <v>6614.7124684420296</v>
      </c>
      <c r="M245" t="s">
        <v>988</v>
      </c>
    </row>
    <row r="246" spans="1:13" x14ac:dyDescent="0.3">
      <c r="A246">
        <v>977</v>
      </c>
      <c r="B246" t="s">
        <v>1531</v>
      </c>
      <c r="C246" t="s">
        <v>2667</v>
      </c>
      <c r="D246" t="s">
        <v>1203</v>
      </c>
      <c r="E246" t="s">
        <v>1204</v>
      </c>
      <c r="F246">
        <v>5521</v>
      </c>
      <c r="G246" t="s">
        <v>2665</v>
      </c>
      <c r="H246">
        <v>23943</v>
      </c>
      <c r="I246">
        <v>24336</v>
      </c>
      <c r="J246">
        <v>24253</v>
      </c>
      <c r="K246">
        <v>24109</v>
      </c>
      <c r="L246">
        <v>24159</v>
      </c>
      <c r="M246" t="s">
        <v>988</v>
      </c>
    </row>
    <row r="247" spans="1:13" x14ac:dyDescent="0.3">
      <c r="A247">
        <v>977</v>
      </c>
      <c r="B247" t="s">
        <v>1531</v>
      </c>
      <c r="C247" t="s">
        <v>2667</v>
      </c>
      <c r="D247" t="s">
        <v>1203</v>
      </c>
      <c r="E247" t="s">
        <v>1204</v>
      </c>
      <c r="F247">
        <v>5521</v>
      </c>
      <c r="G247" t="s">
        <v>2664</v>
      </c>
      <c r="H247">
        <v>23943</v>
      </c>
      <c r="I247">
        <v>24336</v>
      </c>
      <c r="J247">
        <v>24253</v>
      </c>
      <c r="K247">
        <v>24109</v>
      </c>
      <c r="L247">
        <v>24159</v>
      </c>
      <c r="M247" t="s">
        <v>988</v>
      </c>
    </row>
    <row r="248" spans="1:13" x14ac:dyDescent="0.3">
      <c r="A248">
        <v>990</v>
      </c>
      <c r="B248" t="s">
        <v>1537</v>
      </c>
      <c r="C248" t="s">
        <v>2667</v>
      </c>
      <c r="D248" t="s">
        <v>1203</v>
      </c>
      <c r="E248" t="s">
        <v>1204</v>
      </c>
      <c r="F248">
        <v>5687</v>
      </c>
      <c r="G248" t="s">
        <v>2664</v>
      </c>
      <c r="H248">
        <v>11060</v>
      </c>
      <c r="I248">
        <v>11060</v>
      </c>
      <c r="J248">
        <v>11060</v>
      </c>
      <c r="K248">
        <v>11060</v>
      </c>
      <c r="L248">
        <v>11060</v>
      </c>
      <c r="M248" t="s">
        <v>988</v>
      </c>
    </row>
    <row r="249" spans="1:13" x14ac:dyDescent="0.3">
      <c r="A249">
        <v>990</v>
      </c>
      <c r="B249" t="s">
        <v>1537</v>
      </c>
      <c r="C249" t="s">
        <v>2667</v>
      </c>
      <c r="D249" t="s">
        <v>1203</v>
      </c>
      <c r="E249" t="s">
        <v>1204</v>
      </c>
      <c r="F249">
        <v>5687</v>
      </c>
      <c r="G249" t="s">
        <v>2665</v>
      </c>
      <c r="H249">
        <v>9175</v>
      </c>
      <c r="I249">
        <v>9256</v>
      </c>
      <c r="J249">
        <v>9338</v>
      </c>
      <c r="K249">
        <v>9424</v>
      </c>
      <c r="L249">
        <v>9516</v>
      </c>
      <c r="M249" t="s">
        <v>988</v>
      </c>
    </row>
    <row r="250" spans="1:13" x14ac:dyDescent="0.3">
      <c r="A250">
        <v>995</v>
      </c>
      <c r="B250" t="s">
        <v>1540</v>
      </c>
      <c r="C250" t="s">
        <v>2667</v>
      </c>
      <c r="D250" t="s">
        <v>1203</v>
      </c>
      <c r="E250" t="s">
        <v>1204</v>
      </c>
      <c r="F250">
        <v>6827</v>
      </c>
      <c r="G250" t="s">
        <v>2665</v>
      </c>
      <c r="H250">
        <v>10319</v>
      </c>
      <c r="I250">
        <v>11383</v>
      </c>
      <c r="J250">
        <v>12498</v>
      </c>
      <c r="K250">
        <v>13273</v>
      </c>
      <c r="L250">
        <v>14109</v>
      </c>
      <c r="M250" t="s">
        <v>988</v>
      </c>
    </row>
    <row r="251" spans="1:13" x14ac:dyDescent="0.3">
      <c r="A251">
        <v>995</v>
      </c>
      <c r="B251" t="s">
        <v>1540</v>
      </c>
      <c r="C251" t="s">
        <v>2667</v>
      </c>
      <c r="D251" t="s">
        <v>1203</v>
      </c>
      <c r="E251" t="s">
        <v>1204</v>
      </c>
      <c r="F251">
        <v>6827</v>
      </c>
      <c r="G251" t="s">
        <v>2664</v>
      </c>
      <c r="H251">
        <v>19273</v>
      </c>
      <c r="I251">
        <v>19669</v>
      </c>
      <c r="J251">
        <v>20064</v>
      </c>
      <c r="K251">
        <v>20064</v>
      </c>
      <c r="L251">
        <v>20064</v>
      </c>
      <c r="M251" t="s">
        <v>988</v>
      </c>
    </row>
    <row r="252" spans="1:13" x14ac:dyDescent="0.3">
      <c r="A252">
        <v>1004</v>
      </c>
      <c r="B252" t="s">
        <v>1541</v>
      </c>
      <c r="C252" t="s">
        <v>2667</v>
      </c>
      <c r="D252" t="s">
        <v>1203</v>
      </c>
      <c r="E252" t="s">
        <v>1204</v>
      </c>
      <c r="F252">
        <v>5904</v>
      </c>
      <c r="G252" t="s">
        <v>2665</v>
      </c>
      <c r="H252">
        <v>25708</v>
      </c>
      <c r="I252">
        <v>25671</v>
      </c>
      <c r="J252">
        <v>25499</v>
      </c>
      <c r="K252">
        <v>25620</v>
      </c>
      <c r="L252">
        <v>25692</v>
      </c>
      <c r="M252" t="s">
        <v>988</v>
      </c>
    </row>
    <row r="253" spans="1:13" x14ac:dyDescent="0.3">
      <c r="A253">
        <v>1004</v>
      </c>
      <c r="B253" t="s">
        <v>1541</v>
      </c>
      <c r="C253" t="s">
        <v>2667</v>
      </c>
      <c r="D253" t="s">
        <v>1203</v>
      </c>
      <c r="E253" t="s">
        <v>1204</v>
      </c>
      <c r="F253">
        <v>5904</v>
      </c>
      <c r="G253" t="s">
        <v>2664</v>
      </c>
      <c r="H253">
        <v>10210</v>
      </c>
      <c r="I253">
        <v>13270</v>
      </c>
      <c r="J253">
        <v>13270</v>
      </c>
      <c r="K253">
        <v>13270</v>
      </c>
      <c r="L253">
        <v>13270</v>
      </c>
      <c r="M253" t="s">
        <v>988</v>
      </c>
    </row>
    <row r="254" spans="1:13" x14ac:dyDescent="0.3">
      <c r="A254">
        <v>1005</v>
      </c>
      <c r="B254" t="s">
        <v>1542</v>
      </c>
      <c r="C254" t="s">
        <v>2667</v>
      </c>
      <c r="D254" t="s">
        <v>1203</v>
      </c>
      <c r="E254" t="s">
        <v>1204</v>
      </c>
      <c r="F254">
        <v>5451</v>
      </c>
      <c r="G254" t="s">
        <v>2664</v>
      </c>
      <c r="H254">
        <v>10704</v>
      </c>
      <c r="I254">
        <v>12209</v>
      </c>
      <c r="J254">
        <v>12340</v>
      </c>
      <c r="K254">
        <v>12472</v>
      </c>
      <c r="L254">
        <v>12606</v>
      </c>
      <c r="M254" t="s">
        <v>988</v>
      </c>
    </row>
    <row r="255" spans="1:13" x14ac:dyDescent="0.3">
      <c r="A255">
        <v>1005</v>
      </c>
      <c r="B255" t="s">
        <v>1542</v>
      </c>
      <c r="C255" t="s">
        <v>2667</v>
      </c>
      <c r="D255" t="s">
        <v>1203</v>
      </c>
      <c r="E255" t="s">
        <v>1204</v>
      </c>
      <c r="F255">
        <v>5451</v>
      </c>
      <c r="G255" t="s">
        <v>2665</v>
      </c>
      <c r="H255">
        <v>10704</v>
      </c>
      <c r="I255">
        <v>12209</v>
      </c>
      <c r="J255">
        <v>12340</v>
      </c>
      <c r="K255">
        <v>12472</v>
      </c>
      <c r="L255">
        <v>12606</v>
      </c>
      <c r="M255" t="s">
        <v>988</v>
      </c>
    </row>
    <row r="256" spans="1:13" x14ac:dyDescent="0.3">
      <c r="A256">
        <v>1029</v>
      </c>
      <c r="B256" t="s">
        <v>1543</v>
      </c>
      <c r="C256" t="s">
        <v>2667</v>
      </c>
      <c r="D256" t="s">
        <v>1203</v>
      </c>
      <c r="E256" t="s">
        <v>1204</v>
      </c>
      <c r="F256">
        <v>5875</v>
      </c>
      <c r="G256" t="s">
        <v>2664</v>
      </c>
      <c r="H256">
        <v>5620</v>
      </c>
      <c r="I256">
        <v>5668</v>
      </c>
      <c r="J256">
        <v>5716</v>
      </c>
      <c r="K256">
        <v>5664</v>
      </c>
      <c r="L256">
        <v>5813</v>
      </c>
      <c r="M256" t="s">
        <v>988</v>
      </c>
    </row>
    <row r="257" spans="1:13" x14ac:dyDescent="0.3">
      <c r="A257">
        <v>1029</v>
      </c>
      <c r="B257" t="s">
        <v>1543</v>
      </c>
      <c r="C257" t="s">
        <v>2667</v>
      </c>
      <c r="D257" t="s">
        <v>1203</v>
      </c>
      <c r="E257" t="s">
        <v>1204</v>
      </c>
      <c r="F257">
        <v>5875</v>
      </c>
      <c r="G257" t="s">
        <v>2665</v>
      </c>
      <c r="H257">
        <v>5620</v>
      </c>
      <c r="I257">
        <v>5668</v>
      </c>
      <c r="J257">
        <v>5716</v>
      </c>
      <c r="K257">
        <v>5664</v>
      </c>
      <c r="L257">
        <v>5813</v>
      </c>
      <c r="M257" t="s">
        <v>988</v>
      </c>
    </row>
    <row r="258" spans="1:13" x14ac:dyDescent="0.3">
      <c r="A258">
        <v>1030</v>
      </c>
      <c r="B258" t="s">
        <v>1544</v>
      </c>
      <c r="C258" t="s">
        <v>2667</v>
      </c>
      <c r="D258" t="s">
        <v>1203</v>
      </c>
      <c r="E258" t="s">
        <v>1204</v>
      </c>
      <c r="F258">
        <v>5887</v>
      </c>
      <c r="G258" t="s">
        <v>2665</v>
      </c>
      <c r="H258">
        <v>5435</v>
      </c>
      <c r="I258">
        <v>5528</v>
      </c>
      <c r="J258">
        <v>5622</v>
      </c>
      <c r="K258">
        <v>5718</v>
      </c>
      <c r="L258">
        <v>5815</v>
      </c>
      <c r="M258" t="s">
        <v>988</v>
      </c>
    </row>
    <row r="259" spans="1:13" x14ac:dyDescent="0.3">
      <c r="A259">
        <v>1030</v>
      </c>
      <c r="B259" t="s">
        <v>1544</v>
      </c>
      <c r="C259" t="s">
        <v>2667</v>
      </c>
      <c r="D259" t="s">
        <v>1203</v>
      </c>
      <c r="E259" t="s">
        <v>1204</v>
      </c>
      <c r="F259">
        <v>5887</v>
      </c>
      <c r="G259" t="s">
        <v>2664</v>
      </c>
      <c r="H259">
        <v>15128</v>
      </c>
      <c r="I259">
        <v>14408</v>
      </c>
      <c r="J259">
        <v>14408</v>
      </c>
      <c r="K259">
        <v>14408</v>
      </c>
      <c r="L259">
        <v>14408</v>
      </c>
      <c r="M259" t="s">
        <v>988</v>
      </c>
    </row>
    <row r="260" spans="1:13" x14ac:dyDescent="0.3">
      <c r="A260">
        <v>1031</v>
      </c>
      <c r="B260" t="s">
        <v>1545</v>
      </c>
      <c r="C260" t="s">
        <v>2667</v>
      </c>
      <c r="D260" t="s">
        <v>1203</v>
      </c>
      <c r="E260" t="s">
        <v>1204</v>
      </c>
      <c r="F260">
        <v>5889</v>
      </c>
      <c r="G260" t="s">
        <v>2665</v>
      </c>
      <c r="H260">
        <v>1951</v>
      </c>
      <c r="I260">
        <v>1985</v>
      </c>
      <c r="J260">
        <v>2019</v>
      </c>
      <c r="K260">
        <v>2054</v>
      </c>
      <c r="L260">
        <v>2089</v>
      </c>
      <c r="M260" t="s">
        <v>988</v>
      </c>
    </row>
    <row r="261" spans="1:13" x14ac:dyDescent="0.3">
      <c r="A261">
        <v>1031</v>
      </c>
      <c r="B261" t="s">
        <v>1545</v>
      </c>
      <c r="C261" t="s">
        <v>2667</v>
      </c>
      <c r="D261" t="s">
        <v>1203</v>
      </c>
      <c r="E261" t="s">
        <v>1204</v>
      </c>
      <c r="F261">
        <v>5889</v>
      </c>
      <c r="G261" t="s">
        <v>2664</v>
      </c>
      <c r="H261">
        <v>1951</v>
      </c>
      <c r="I261">
        <v>1985</v>
      </c>
      <c r="J261">
        <v>2019</v>
      </c>
      <c r="K261">
        <v>2054</v>
      </c>
      <c r="L261">
        <v>2089</v>
      </c>
      <c r="M261" t="s">
        <v>988</v>
      </c>
    </row>
    <row r="262" spans="1:13" x14ac:dyDescent="0.3">
      <c r="A262">
        <v>1032</v>
      </c>
      <c r="B262" t="s">
        <v>1546</v>
      </c>
      <c r="C262" t="s">
        <v>2667</v>
      </c>
      <c r="D262" t="s">
        <v>1203</v>
      </c>
      <c r="E262" t="s">
        <v>1204</v>
      </c>
      <c r="F262">
        <v>5891</v>
      </c>
      <c r="G262" t="s">
        <v>2664</v>
      </c>
      <c r="H262">
        <v>5100</v>
      </c>
      <c r="I262">
        <v>5134</v>
      </c>
      <c r="J262">
        <v>5169</v>
      </c>
      <c r="K262">
        <v>5204</v>
      </c>
      <c r="L262">
        <v>5240</v>
      </c>
      <c r="M262" t="s">
        <v>988</v>
      </c>
    </row>
    <row r="263" spans="1:13" x14ac:dyDescent="0.3">
      <c r="A263">
        <v>1032</v>
      </c>
      <c r="B263" t="s">
        <v>1546</v>
      </c>
      <c r="C263" t="s">
        <v>2667</v>
      </c>
      <c r="D263" t="s">
        <v>1203</v>
      </c>
      <c r="E263" t="s">
        <v>1204</v>
      </c>
      <c r="F263">
        <v>5891</v>
      </c>
      <c r="G263" t="s">
        <v>2665</v>
      </c>
      <c r="H263">
        <v>5100</v>
      </c>
      <c r="I263">
        <v>5134</v>
      </c>
      <c r="J263">
        <v>5169</v>
      </c>
      <c r="K263">
        <v>5204</v>
      </c>
      <c r="L263">
        <v>5240</v>
      </c>
      <c r="M263" t="s">
        <v>988</v>
      </c>
    </row>
    <row r="264" spans="1:13" x14ac:dyDescent="0.3">
      <c r="A264">
        <v>1034</v>
      </c>
      <c r="B264" t="s">
        <v>1547</v>
      </c>
      <c r="C264" t="s">
        <v>2667</v>
      </c>
      <c r="D264" t="s">
        <v>1203</v>
      </c>
      <c r="E264" t="s">
        <v>1204</v>
      </c>
      <c r="F264">
        <v>5539</v>
      </c>
      <c r="G264" t="s">
        <v>2665</v>
      </c>
      <c r="H264">
        <v>11037</v>
      </c>
      <c r="I264">
        <v>11219</v>
      </c>
      <c r="J264">
        <v>11404</v>
      </c>
      <c r="K264">
        <v>11404</v>
      </c>
      <c r="L264">
        <v>11592</v>
      </c>
      <c r="M264" t="s">
        <v>988</v>
      </c>
    </row>
    <row r="265" spans="1:13" x14ac:dyDescent="0.3">
      <c r="A265">
        <v>1034</v>
      </c>
      <c r="B265" t="s">
        <v>1547</v>
      </c>
      <c r="C265" t="s">
        <v>2667</v>
      </c>
      <c r="D265" t="s">
        <v>1203</v>
      </c>
      <c r="E265" t="s">
        <v>1204</v>
      </c>
      <c r="F265">
        <v>5539</v>
      </c>
      <c r="G265" t="s">
        <v>2664</v>
      </c>
      <c r="H265">
        <v>11037</v>
      </c>
      <c r="I265">
        <v>11219</v>
      </c>
      <c r="J265">
        <v>11404</v>
      </c>
      <c r="K265">
        <v>11404</v>
      </c>
      <c r="L265">
        <v>11592</v>
      </c>
      <c r="M265" t="s">
        <v>988</v>
      </c>
    </row>
    <row r="266" spans="1:13" x14ac:dyDescent="0.3">
      <c r="A266">
        <v>1036</v>
      </c>
      <c r="B266" t="s">
        <v>1548</v>
      </c>
      <c r="C266" t="s">
        <v>2667</v>
      </c>
      <c r="D266" t="s">
        <v>1203</v>
      </c>
      <c r="E266" t="s">
        <v>1204</v>
      </c>
      <c r="F266">
        <v>5892</v>
      </c>
      <c r="G266" t="s">
        <v>2664</v>
      </c>
      <c r="H266">
        <v>14966</v>
      </c>
      <c r="I266">
        <v>15343</v>
      </c>
      <c r="J266">
        <v>15731</v>
      </c>
      <c r="K266">
        <v>16128</v>
      </c>
      <c r="L266">
        <v>16535</v>
      </c>
      <c r="M266" t="s">
        <v>988</v>
      </c>
    </row>
    <row r="267" spans="1:13" x14ac:dyDescent="0.3">
      <c r="A267">
        <v>1036</v>
      </c>
      <c r="B267" t="s">
        <v>1548</v>
      </c>
      <c r="C267" t="s">
        <v>2667</v>
      </c>
      <c r="D267" t="s">
        <v>1203</v>
      </c>
      <c r="E267" t="s">
        <v>1204</v>
      </c>
      <c r="F267">
        <v>5892</v>
      </c>
      <c r="G267" t="s">
        <v>2665</v>
      </c>
      <c r="H267">
        <v>14966</v>
      </c>
      <c r="I267">
        <v>15343</v>
      </c>
      <c r="J267">
        <v>15731</v>
      </c>
      <c r="K267">
        <v>16128</v>
      </c>
      <c r="L267">
        <v>16535</v>
      </c>
      <c r="M267" t="s">
        <v>988</v>
      </c>
    </row>
    <row r="268" spans="1:13" x14ac:dyDescent="0.3">
      <c r="A268">
        <v>1038</v>
      </c>
      <c r="B268" t="s">
        <v>1549</v>
      </c>
      <c r="C268" t="s">
        <v>2667</v>
      </c>
      <c r="D268" t="s">
        <v>1203</v>
      </c>
      <c r="E268" t="s">
        <v>1204</v>
      </c>
      <c r="F268">
        <v>5893</v>
      </c>
      <c r="G268" t="s">
        <v>2665</v>
      </c>
      <c r="H268">
        <v>5502</v>
      </c>
      <c r="I268">
        <v>5594</v>
      </c>
      <c r="J268">
        <v>5692</v>
      </c>
      <c r="K268">
        <v>5796</v>
      </c>
      <c r="L268">
        <v>5907</v>
      </c>
      <c r="M268" t="s">
        <v>988</v>
      </c>
    </row>
    <row r="269" spans="1:13" x14ac:dyDescent="0.3">
      <c r="A269">
        <v>1038</v>
      </c>
      <c r="B269" t="s">
        <v>1549</v>
      </c>
      <c r="C269" t="s">
        <v>2667</v>
      </c>
      <c r="D269" t="s">
        <v>1203</v>
      </c>
      <c r="E269" t="s">
        <v>1204</v>
      </c>
      <c r="F269">
        <v>5893</v>
      </c>
      <c r="G269" t="s">
        <v>2664</v>
      </c>
      <c r="H269">
        <v>5502</v>
      </c>
      <c r="I269">
        <v>5594</v>
      </c>
      <c r="J269">
        <v>5692</v>
      </c>
      <c r="K269">
        <v>5796</v>
      </c>
      <c r="L269">
        <v>5907</v>
      </c>
      <c r="M269" t="s">
        <v>988</v>
      </c>
    </row>
    <row r="270" spans="1:13" x14ac:dyDescent="0.3">
      <c r="A270">
        <v>1041</v>
      </c>
      <c r="B270" t="s">
        <v>1550</v>
      </c>
      <c r="C270" t="s">
        <v>2667</v>
      </c>
      <c r="D270" t="s">
        <v>1203</v>
      </c>
      <c r="E270" t="s">
        <v>1204</v>
      </c>
      <c r="F270">
        <v>5894</v>
      </c>
      <c r="G270" t="s">
        <v>2664</v>
      </c>
      <c r="H270">
        <v>5328</v>
      </c>
      <c r="I270">
        <v>5440</v>
      </c>
      <c r="J270">
        <v>5554</v>
      </c>
      <c r="K270">
        <v>5671</v>
      </c>
      <c r="L270">
        <v>5790</v>
      </c>
      <c r="M270" t="s">
        <v>988</v>
      </c>
    </row>
    <row r="271" spans="1:13" x14ac:dyDescent="0.3">
      <c r="A271">
        <v>1041</v>
      </c>
      <c r="B271" t="s">
        <v>1550</v>
      </c>
      <c r="C271" t="s">
        <v>2667</v>
      </c>
      <c r="D271" t="s">
        <v>1203</v>
      </c>
      <c r="E271" t="s">
        <v>1204</v>
      </c>
      <c r="F271">
        <v>5894</v>
      </c>
      <c r="G271" t="s">
        <v>2665</v>
      </c>
      <c r="H271">
        <v>5328</v>
      </c>
      <c r="I271">
        <v>5440</v>
      </c>
      <c r="J271">
        <v>5554</v>
      </c>
      <c r="K271">
        <v>5671</v>
      </c>
      <c r="L271">
        <v>5790</v>
      </c>
      <c r="M271" t="s">
        <v>988</v>
      </c>
    </row>
    <row r="272" spans="1:13" x14ac:dyDescent="0.3">
      <c r="A272">
        <v>1049</v>
      </c>
      <c r="B272" t="s">
        <v>1551</v>
      </c>
      <c r="C272" t="s">
        <v>2667</v>
      </c>
      <c r="D272" t="s">
        <v>1203</v>
      </c>
      <c r="E272" t="s">
        <v>1204</v>
      </c>
      <c r="F272">
        <v>5895</v>
      </c>
      <c r="G272" t="s">
        <v>2665</v>
      </c>
      <c r="H272">
        <v>4801</v>
      </c>
      <c r="I272">
        <v>4804</v>
      </c>
      <c r="J272">
        <v>4806</v>
      </c>
      <c r="K272">
        <v>4808</v>
      </c>
      <c r="L272">
        <v>4811</v>
      </c>
      <c r="M272" t="s">
        <v>988</v>
      </c>
    </row>
    <row r="273" spans="1:13" x14ac:dyDescent="0.3">
      <c r="A273">
        <v>1049</v>
      </c>
      <c r="B273" t="s">
        <v>1551</v>
      </c>
      <c r="C273" t="s">
        <v>2667</v>
      </c>
      <c r="D273" t="s">
        <v>1203</v>
      </c>
      <c r="E273" t="s">
        <v>1204</v>
      </c>
      <c r="F273">
        <v>5895</v>
      </c>
      <c r="G273" t="s">
        <v>2664</v>
      </c>
      <c r="H273">
        <v>4801</v>
      </c>
      <c r="I273">
        <v>4804</v>
      </c>
      <c r="J273">
        <v>4806</v>
      </c>
      <c r="K273">
        <v>4808</v>
      </c>
      <c r="L273">
        <v>4811</v>
      </c>
      <c r="M273" t="s">
        <v>988</v>
      </c>
    </row>
    <row r="274" spans="1:13" x14ac:dyDescent="0.3">
      <c r="A274">
        <v>1052</v>
      </c>
      <c r="B274" t="s">
        <v>1552</v>
      </c>
      <c r="C274" t="s">
        <v>2667</v>
      </c>
      <c r="D274" t="s">
        <v>1203</v>
      </c>
      <c r="E274" t="s">
        <v>1204</v>
      </c>
      <c r="F274">
        <v>5896</v>
      </c>
      <c r="G274" t="s">
        <v>2665</v>
      </c>
      <c r="H274">
        <v>6715</v>
      </c>
      <c r="I274">
        <v>6893</v>
      </c>
      <c r="J274">
        <v>7075</v>
      </c>
      <c r="K274">
        <v>7263</v>
      </c>
      <c r="L274">
        <v>7455</v>
      </c>
      <c r="M274" t="s">
        <v>988</v>
      </c>
    </row>
    <row r="275" spans="1:13" x14ac:dyDescent="0.3">
      <c r="A275">
        <v>1052</v>
      </c>
      <c r="B275" t="s">
        <v>1552</v>
      </c>
      <c r="C275" t="s">
        <v>2667</v>
      </c>
      <c r="D275" t="s">
        <v>1203</v>
      </c>
      <c r="E275" t="s">
        <v>1204</v>
      </c>
      <c r="F275">
        <v>5896</v>
      </c>
      <c r="G275" t="s">
        <v>2664</v>
      </c>
      <c r="H275">
        <v>6715</v>
      </c>
      <c r="I275">
        <v>6893</v>
      </c>
      <c r="J275">
        <v>7075</v>
      </c>
      <c r="K275">
        <v>7263</v>
      </c>
      <c r="L275">
        <v>7455</v>
      </c>
      <c r="M275" t="s">
        <v>988</v>
      </c>
    </row>
    <row r="276" spans="1:13" x14ac:dyDescent="0.3">
      <c r="A276">
        <v>1053</v>
      </c>
      <c r="B276" t="s">
        <v>1553</v>
      </c>
      <c r="C276" t="s">
        <v>2667</v>
      </c>
      <c r="D276" t="s">
        <v>1203</v>
      </c>
      <c r="E276" t="s">
        <v>1204</v>
      </c>
      <c r="F276">
        <v>5897</v>
      </c>
      <c r="G276" t="s">
        <v>2665</v>
      </c>
      <c r="H276">
        <v>7323</v>
      </c>
      <c r="I276">
        <v>7351</v>
      </c>
      <c r="J276">
        <v>7380</v>
      </c>
      <c r="K276">
        <v>7409</v>
      </c>
      <c r="L276">
        <v>7439</v>
      </c>
      <c r="M276" t="s">
        <v>988</v>
      </c>
    </row>
    <row r="277" spans="1:13" x14ac:dyDescent="0.3">
      <c r="A277">
        <v>1053</v>
      </c>
      <c r="B277" t="s">
        <v>1553</v>
      </c>
      <c r="C277" t="s">
        <v>2667</v>
      </c>
      <c r="D277" t="s">
        <v>1203</v>
      </c>
      <c r="E277" t="s">
        <v>1204</v>
      </c>
      <c r="F277">
        <v>5897</v>
      </c>
      <c r="G277" t="s">
        <v>2664</v>
      </c>
      <c r="H277">
        <v>7323</v>
      </c>
      <c r="I277">
        <v>7351</v>
      </c>
      <c r="J277">
        <v>7380</v>
      </c>
      <c r="K277">
        <v>7409</v>
      </c>
      <c r="L277">
        <v>7439</v>
      </c>
      <c r="M277" t="s">
        <v>988</v>
      </c>
    </row>
    <row r="278" spans="1:13" x14ac:dyDescent="0.3">
      <c r="A278">
        <v>1054</v>
      </c>
      <c r="B278" t="s">
        <v>1554</v>
      </c>
      <c r="C278" t="s">
        <v>2667</v>
      </c>
      <c r="D278" t="s">
        <v>1203</v>
      </c>
      <c r="E278" t="s">
        <v>1204</v>
      </c>
      <c r="F278">
        <v>5540</v>
      </c>
      <c r="G278" t="s">
        <v>2665</v>
      </c>
      <c r="H278">
        <v>10402</v>
      </c>
      <c r="I278">
        <v>10444</v>
      </c>
      <c r="J278">
        <v>10485</v>
      </c>
      <c r="K278">
        <v>10527</v>
      </c>
      <c r="L278">
        <v>10569</v>
      </c>
      <c r="M278" t="s">
        <v>988</v>
      </c>
    </row>
    <row r="279" spans="1:13" x14ac:dyDescent="0.3">
      <c r="A279">
        <v>1054</v>
      </c>
      <c r="B279" t="s">
        <v>1554</v>
      </c>
      <c r="C279" t="s">
        <v>2667</v>
      </c>
      <c r="D279" t="s">
        <v>1203</v>
      </c>
      <c r="E279" t="s">
        <v>1204</v>
      </c>
      <c r="F279">
        <v>5540</v>
      </c>
      <c r="G279" t="s">
        <v>2664</v>
      </c>
      <c r="H279">
        <v>10402</v>
      </c>
      <c r="I279">
        <v>10444</v>
      </c>
      <c r="J279">
        <v>10485</v>
      </c>
      <c r="K279">
        <v>10527</v>
      </c>
      <c r="L279">
        <v>10569</v>
      </c>
      <c r="M279" t="s">
        <v>988</v>
      </c>
    </row>
    <row r="280" spans="1:13" x14ac:dyDescent="0.3">
      <c r="A280">
        <v>1057</v>
      </c>
      <c r="B280" t="s">
        <v>1555</v>
      </c>
      <c r="C280" t="s">
        <v>2667</v>
      </c>
      <c r="D280" t="s">
        <v>1203</v>
      </c>
      <c r="E280" t="s">
        <v>1204</v>
      </c>
      <c r="F280">
        <v>5898</v>
      </c>
      <c r="G280" t="s">
        <v>2665</v>
      </c>
      <c r="H280">
        <v>6668</v>
      </c>
      <c r="I280">
        <v>6808</v>
      </c>
      <c r="J280">
        <v>6950</v>
      </c>
      <c r="K280">
        <v>7095</v>
      </c>
      <c r="L280">
        <v>7244</v>
      </c>
      <c r="M280" t="s">
        <v>988</v>
      </c>
    </row>
    <row r="281" spans="1:13" x14ac:dyDescent="0.3">
      <c r="A281">
        <v>1057</v>
      </c>
      <c r="B281" t="s">
        <v>1555</v>
      </c>
      <c r="C281" t="s">
        <v>2667</v>
      </c>
      <c r="D281" t="s">
        <v>1203</v>
      </c>
      <c r="E281" t="s">
        <v>1204</v>
      </c>
      <c r="F281">
        <v>5898</v>
      </c>
      <c r="G281" t="s">
        <v>2664</v>
      </c>
      <c r="H281">
        <v>6668</v>
      </c>
      <c r="I281">
        <v>6808</v>
      </c>
      <c r="J281">
        <v>6950</v>
      </c>
      <c r="K281">
        <v>7095</v>
      </c>
      <c r="L281">
        <v>7244</v>
      </c>
      <c r="M281" t="s">
        <v>988</v>
      </c>
    </row>
    <row r="282" spans="1:13" x14ac:dyDescent="0.3">
      <c r="A282">
        <v>1058</v>
      </c>
      <c r="B282" t="s">
        <v>1556</v>
      </c>
      <c r="C282" t="s">
        <v>2667</v>
      </c>
      <c r="D282" t="s">
        <v>1203</v>
      </c>
      <c r="E282" t="s">
        <v>1204</v>
      </c>
      <c r="F282">
        <v>5899</v>
      </c>
      <c r="G282" t="s">
        <v>2665</v>
      </c>
      <c r="H282">
        <v>3250</v>
      </c>
      <c r="I282">
        <v>3287</v>
      </c>
      <c r="J282">
        <v>3324</v>
      </c>
      <c r="K282">
        <v>3362</v>
      </c>
      <c r="L282">
        <v>3400</v>
      </c>
      <c r="M282" t="s">
        <v>988</v>
      </c>
    </row>
    <row r="283" spans="1:13" x14ac:dyDescent="0.3">
      <c r="A283">
        <v>1058</v>
      </c>
      <c r="B283" t="s">
        <v>1556</v>
      </c>
      <c r="C283" t="s">
        <v>2667</v>
      </c>
      <c r="D283" t="s">
        <v>1203</v>
      </c>
      <c r="E283" t="s">
        <v>1204</v>
      </c>
      <c r="F283">
        <v>5899</v>
      </c>
      <c r="G283" t="s">
        <v>2664</v>
      </c>
      <c r="H283">
        <v>3250</v>
      </c>
      <c r="I283">
        <v>3287</v>
      </c>
      <c r="J283">
        <v>3324</v>
      </c>
      <c r="K283">
        <v>3362</v>
      </c>
      <c r="L283">
        <v>3400</v>
      </c>
      <c r="M283" t="s">
        <v>988</v>
      </c>
    </row>
    <row r="284" spans="1:13" x14ac:dyDescent="0.3">
      <c r="A284">
        <v>1059</v>
      </c>
      <c r="B284" t="s">
        <v>1557</v>
      </c>
      <c r="C284" t="s">
        <v>2667</v>
      </c>
      <c r="D284" t="s">
        <v>1203</v>
      </c>
      <c r="E284" t="s">
        <v>1204</v>
      </c>
      <c r="F284">
        <v>5900</v>
      </c>
      <c r="G284" t="s">
        <v>2665</v>
      </c>
      <c r="H284">
        <v>2363</v>
      </c>
      <c r="I284">
        <v>2664</v>
      </c>
      <c r="J284">
        <v>2692</v>
      </c>
      <c r="K284">
        <v>2721</v>
      </c>
      <c r="L284">
        <v>2750</v>
      </c>
      <c r="M284" t="s">
        <v>988</v>
      </c>
    </row>
    <row r="285" spans="1:13" x14ac:dyDescent="0.3">
      <c r="A285">
        <v>1059</v>
      </c>
      <c r="B285" t="s">
        <v>1557</v>
      </c>
      <c r="C285" t="s">
        <v>2667</v>
      </c>
      <c r="D285" t="s">
        <v>1203</v>
      </c>
      <c r="E285" t="s">
        <v>1204</v>
      </c>
      <c r="F285">
        <v>5900</v>
      </c>
      <c r="G285" t="s">
        <v>2664</v>
      </c>
      <c r="H285">
        <v>2363</v>
      </c>
      <c r="I285">
        <v>2664</v>
      </c>
      <c r="J285">
        <v>2692</v>
      </c>
      <c r="K285">
        <v>2721</v>
      </c>
      <c r="L285">
        <v>2750</v>
      </c>
      <c r="M285" t="s">
        <v>988</v>
      </c>
    </row>
    <row r="286" spans="1:13" x14ac:dyDescent="0.3">
      <c r="A286">
        <v>1060</v>
      </c>
      <c r="B286" t="s">
        <v>1558</v>
      </c>
      <c r="C286" t="s">
        <v>2667</v>
      </c>
      <c r="D286" t="s">
        <v>1203</v>
      </c>
      <c r="E286" t="s">
        <v>1204</v>
      </c>
      <c r="F286">
        <v>5901</v>
      </c>
      <c r="G286" t="s">
        <v>2664</v>
      </c>
      <c r="H286">
        <v>29633</v>
      </c>
      <c r="I286">
        <v>30082</v>
      </c>
      <c r="J286">
        <v>30537</v>
      </c>
      <c r="K286">
        <v>31000</v>
      </c>
      <c r="L286">
        <v>31469</v>
      </c>
      <c r="M286" t="s">
        <v>988</v>
      </c>
    </row>
    <row r="287" spans="1:13" x14ac:dyDescent="0.3">
      <c r="A287">
        <v>1060</v>
      </c>
      <c r="B287" t="s">
        <v>1558</v>
      </c>
      <c r="C287" t="s">
        <v>2667</v>
      </c>
      <c r="D287" t="s">
        <v>1203</v>
      </c>
      <c r="E287" t="s">
        <v>1204</v>
      </c>
      <c r="F287">
        <v>5901</v>
      </c>
      <c r="G287" t="s">
        <v>2665</v>
      </c>
      <c r="H287">
        <v>29633</v>
      </c>
      <c r="I287">
        <v>30082</v>
      </c>
      <c r="J287">
        <v>30537</v>
      </c>
      <c r="K287">
        <v>31000</v>
      </c>
      <c r="L287">
        <v>31469</v>
      </c>
      <c r="M287" t="s">
        <v>988</v>
      </c>
    </row>
    <row r="288" spans="1:13" x14ac:dyDescent="0.3">
      <c r="A288">
        <v>1062</v>
      </c>
      <c r="B288" t="s">
        <v>1559</v>
      </c>
      <c r="C288" t="s">
        <v>2667</v>
      </c>
      <c r="D288" t="s">
        <v>1203</v>
      </c>
      <c r="E288" t="s">
        <v>1204</v>
      </c>
      <c r="F288">
        <v>5886</v>
      </c>
      <c r="G288" t="s">
        <v>2665</v>
      </c>
      <c r="H288">
        <v>15551</v>
      </c>
      <c r="I288">
        <v>15979</v>
      </c>
      <c r="J288">
        <v>16419</v>
      </c>
      <c r="K288">
        <v>16871</v>
      </c>
      <c r="L288">
        <v>17335</v>
      </c>
      <c r="M288" t="s">
        <v>988</v>
      </c>
    </row>
    <row r="289" spans="1:13" x14ac:dyDescent="0.3">
      <c r="A289">
        <v>1062</v>
      </c>
      <c r="B289" t="s">
        <v>1559</v>
      </c>
      <c r="C289" t="s">
        <v>2667</v>
      </c>
      <c r="D289" t="s">
        <v>1203</v>
      </c>
      <c r="E289" t="s">
        <v>1204</v>
      </c>
      <c r="F289">
        <v>5886</v>
      </c>
      <c r="G289" t="s">
        <v>2664</v>
      </c>
      <c r="H289">
        <v>15551</v>
      </c>
      <c r="I289">
        <v>15979</v>
      </c>
      <c r="J289">
        <v>16419</v>
      </c>
      <c r="K289">
        <v>16871</v>
      </c>
      <c r="L289">
        <v>17335</v>
      </c>
      <c r="M289" t="s">
        <v>988</v>
      </c>
    </row>
    <row r="290" spans="1:13" x14ac:dyDescent="0.3">
      <c r="A290">
        <v>1068</v>
      </c>
      <c r="B290" t="s">
        <v>1560</v>
      </c>
      <c r="C290" t="s">
        <v>2667</v>
      </c>
      <c r="D290" t="s">
        <v>159</v>
      </c>
      <c r="E290" t="s">
        <v>159</v>
      </c>
      <c r="F290">
        <v>5489</v>
      </c>
      <c r="G290" t="s">
        <v>2664</v>
      </c>
      <c r="H290">
        <v>15464</v>
      </c>
      <c r="I290">
        <v>15468</v>
      </c>
      <c r="J290">
        <v>15468</v>
      </c>
      <c r="K290">
        <v>15468</v>
      </c>
      <c r="M290" t="s">
        <v>988</v>
      </c>
    </row>
    <row r="291" spans="1:13" x14ac:dyDescent="0.3">
      <c r="A291">
        <v>1068</v>
      </c>
      <c r="B291" t="s">
        <v>1560</v>
      </c>
      <c r="C291" t="s">
        <v>2667</v>
      </c>
      <c r="D291" t="s">
        <v>159</v>
      </c>
      <c r="E291" t="s">
        <v>159</v>
      </c>
      <c r="F291">
        <v>5489</v>
      </c>
      <c r="G291" t="s">
        <v>2665</v>
      </c>
      <c r="H291">
        <v>11627</v>
      </c>
      <c r="I291">
        <v>12118</v>
      </c>
      <c r="J291">
        <v>12370</v>
      </c>
      <c r="K291">
        <v>12559</v>
      </c>
      <c r="M291" t="s">
        <v>988</v>
      </c>
    </row>
    <row r="292" spans="1:13" x14ac:dyDescent="0.3">
      <c r="A292">
        <v>1083</v>
      </c>
      <c r="B292" t="s">
        <v>1561</v>
      </c>
      <c r="C292" t="s">
        <v>2667</v>
      </c>
      <c r="D292" t="s">
        <v>1203</v>
      </c>
      <c r="E292" t="s">
        <v>1204</v>
      </c>
      <c r="F292">
        <v>5752</v>
      </c>
      <c r="G292" t="s">
        <v>2664</v>
      </c>
      <c r="H292">
        <v>29065.43682735</v>
      </c>
      <c r="I292">
        <v>29065.43682735</v>
      </c>
      <c r="J292">
        <v>29065.43682735</v>
      </c>
      <c r="K292">
        <v>29065.43682735</v>
      </c>
      <c r="L292">
        <v>29065.43682735</v>
      </c>
      <c r="M292" t="s">
        <v>988</v>
      </c>
    </row>
    <row r="293" spans="1:13" x14ac:dyDescent="0.3">
      <c r="A293">
        <v>1083</v>
      </c>
      <c r="B293" t="s">
        <v>1561</v>
      </c>
      <c r="C293" t="s">
        <v>2667</v>
      </c>
      <c r="D293" t="s">
        <v>1203</v>
      </c>
      <c r="E293" t="s">
        <v>1204</v>
      </c>
      <c r="F293">
        <v>5752</v>
      </c>
      <c r="G293" t="s">
        <v>2665</v>
      </c>
      <c r="H293">
        <v>10320.669839550001</v>
      </c>
      <c r="I293">
        <v>9740.6500359000001</v>
      </c>
      <c r="J293">
        <v>8669.6081762499998</v>
      </c>
      <c r="K293">
        <v>7521.8441203499997</v>
      </c>
      <c r="L293">
        <v>6769.9665971000004</v>
      </c>
      <c r="M293" t="s">
        <v>988</v>
      </c>
    </row>
    <row r="294" spans="1:13" x14ac:dyDescent="0.3">
      <c r="A294">
        <v>1094</v>
      </c>
      <c r="B294" t="s">
        <v>1564</v>
      </c>
      <c r="C294" t="s">
        <v>2667</v>
      </c>
      <c r="D294" t="s">
        <v>1203</v>
      </c>
      <c r="E294" t="s">
        <v>1204</v>
      </c>
      <c r="F294">
        <v>5821</v>
      </c>
      <c r="G294" t="s">
        <v>2664</v>
      </c>
      <c r="H294">
        <v>9722.2367087999992</v>
      </c>
      <c r="I294">
        <v>9722.2367087999992</v>
      </c>
      <c r="J294">
        <v>9722.2367087999992</v>
      </c>
      <c r="K294">
        <v>9722.2367087999992</v>
      </c>
      <c r="M294" t="s">
        <v>988</v>
      </c>
    </row>
    <row r="295" spans="1:13" x14ac:dyDescent="0.3">
      <c r="A295">
        <v>1094</v>
      </c>
      <c r="B295" t="s">
        <v>1564</v>
      </c>
      <c r="C295" t="s">
        <v>2667</v>
      </c>
      <c r="D295" t="s">
        <v>1203</v>
      </c>
      <c r="E295" t="s">
        <v>1204</v>
      </c>
      <c r="F295">
        <v>5821</v>
      </c>
      <c r="G295" t="s">
        <v>2665</v>
      </c>
      <c r="H295">
        <v>2703.6901958499998</v>
      </c>
      <c r="I295">
        <v>2844.8590369499998</v>
      </c>
      <c r="J295">
        <v>2982.9589901999998</v>
      </c>
      <c r="K295">
        <v>3130.2656069999998</v>
      </c>
      <c r="M295" t="s">
        <v>988</v>
      </c>
    </row>
    <row r="296" spans="1:13" x14ac:dyDescent="0.3">
      <c r="A296">
        <v>1109</v>
      </c>
      <c r="B296" t="s">
        <v>1566</v>
      </c>
      <c r="C296" t="s">
        <v>2667</v>
      </c>
      <c r="D296" t="s">
        <v>1203</v>
      </c>
      <c r="E296" t="s">
        <v>1204</v>
      </c>
      <c r="F296">
        <v>6747</v>
      </c>
      <c r="G296" t="s">
        <v>2665</v>
      </c>
      <c r="H296">
        <v>346.78432705</v>
      </c>
      <c r="I296">
        <v>355.99099059999998</v>
      </c>
      <c r="J296">
        <v>368.26654200000002</v>
      </c>
      <c r="K296">
        <v>389.74875694999997</v>
      </c>
      <c r="L296">
        <v>414.29985975</v>
      </c>
      <c r="M296" t="s">
        <v>988</v>
      </c>
    </row>
    <row r="297" spans="1:13" x14ac:dyDescent="0.3">
      <c r="A297">
        <v>1109</v>
      </c>
      <c r="B297" t="s">
        <v>1566</v>
      </c>
      <c r="C297" t="s">
        <v>2667</v>
      </c>
      <c r="D297" t="s">
        <v>1203</v>
      </c>
      <c r="E297" t="s">
        <v>1204</v>
      </c>
      <c r="F297">
        <v>6747</v>
      </c>
      <c r="G297" t="s">
        <v>2664</v>
      </c>
      <c r="H297">
        <v>346.78432705</v>
      </c>
      <c r="I297">
        <v>355.99099059999998</v>
      </c>
      <c r="J297">
        <v>368.26654200000002</v>
      </c>
      <c r="K297">
        <v>389.74875694999997</v>
      </c>
      <c r="L297">
        <v>414.29985975</v>
      </c>
      <c r="M297" t="s">
        <v>988</v>
      </c>
    </row>
    <row r="298" spans="1:13" x14ac:dyDescent="0.3">
      <c r="A298">
        <v>1110</v>
      </c>
      <c r="B298" t="s">
        <v>1571</v>
      </c>
      <c r="C298" t="s">
        <v>2667</v>
      </c>
      <c r="D298" t="s">
        <v>1203</v>
      </c>
      <c r="E298" t="s">
        <v>1204</v>
      </c>
      <c r="F298">
        <v>7139</v>
      </c>
      <c r="G298" t="s">
        <v>2665</v>
      </c>
      <c r="H298">
        <v>1375</v>
      </c>
      <c r="I298">
        <v>1464</v>
      </c>
      <c r="J298">
        <v>1550</v>
      </c>
      <c r="K298">
        <v>1636</v>
      </c>
      <c r="L298">
        <v>1723</v>
      </c>
      <c r="M298" t="s">
        <v>988</v>
      </c>
    </row>
    <row r="299" spans="1:13" x14ac:dyDescent="0.3">
      <c r="A299">
        <v>1110</v>
      </c>
      <c r="B299" t="s">
        <v>1571</v>
      </c>
      <c r="C299" t="s">
        <v>2667</v>
      </c>
      <c r="D299" t="s">
        <v>1203</v>
      </c>
      <c r="E299" t="s">
        <v>1204</v>
      </c>
      <c r="F299">
        <v>7139</v>
      </c>
      <c r="G299" t="s">
        <v>2664</v>
      </c>
      <c r="H299">
        <v>1624</v>
      </c>
      <c r="I299">
        <v>1624</v>
      </c>
      <c r="J299">
        <v>1624</v>
      </c>
      <c r="K299">
        <v>1674</v>
      </c>
      <c r="L299">
        <v>1724</v>
      </c>
      <c r="M299" t="s">
        <v>988</v>
      </c>
    </row>
    <row r="300" spans="1:13" x14ac:dyDescent="0.3">
      <c r="A300">
        <v>1125</v>
      </c>
      <c r="B300" t="s">
        <v>1572</v>
      </c>
      <c r="C300" t="s">
        <v>2667</v>
      </c>
      <c r="D300" t="s">
        <v>1203</v>
      </c>
      <c r="E300" t="s">
        <v>1204</v>
      </c>
      <c r="F300">
        <v>6188</v>
      </c>
      <c r="G300" t="s">
        <v>2665</v>
      </c>
      <c r="H300">
        <v>12971</v>
      </c>
      <c r="I300">
        <v>13584</v>
      </c>
      <c r="J300">
        <v>14227</v>
      </c>
      <c r="K300">
        <v>14899</v>
      </c>
      <c r="L300">
        <v>15604</v>
      </c>
      <c r="M300" t="s">
        <v>988</v>
      </c>
    </row>
    <row r="301" spans="1:13" x14ac:dyDescent="0.3">
      <c r="A301">
        <v>1125</v>
      </c>
      <c r="B301" t="s">
        <v>1572</v>
      </c>
      <c r="C301" t="s">
        <v>2667</v>
      </c>
      <c r="D301" t="s">
        <v>1203</v>
      </c>
      <c r="E301" t="s">
        <v>1204</v>
      </c>
      <c r="F301">
        <v>6188</v>
      </c>
      <c r="G301" t="s">
        <v>2664</v>
      </c>
      <c r="H301">
        <v>15110</v>
      </c>
      <c r="I301">
        <v>15351</v>
      </c>
      <c r="J301">
        <v>15602</v>
      </c>
      <c r="K301">
        <v>15866</v>
      </c>
      <c r="L301">
        <v>16142</v>
      </c>
      <c r="M301" t="s">
        <v>988</v>
      </c>
    </row>
    <row r="302" spans="1:13" x14ac:dyDescent="0.3">
      <c r="A302">
        <v>1142</v>
      </c>
      <c r="B302" t="s">
        <v>1574</v>
      </c>
      <c r="C302" t="s">
        <v>2667</v>
      </c>
      <c r="D302" t="s">
        <v>1203</v>
      </c>
      <c r="E302" t="s">
        <v>1204</v>
      </c>
      <c r="F302">
        <v>7556</v>
      </c>
      <c r="G302" t="s">
        <v>2665</v>
      </c>
      <c r="H302">
        <v>3987</v>
      </c>
      <c r="I302">
        <v>3968</v>
      </c>
      <c r="J302">
        <v>3974</v>
      </c>
      <c r="K302">
        <v>3985</v>
      </c>
      <c r="L302">
        <v>4020</v>
      </c>
      <c r="M302" t="s">
        <v>988</v>
      </c>
    </row>
    <row r="303" spans="1:13" x14ac:dyDescent="0.3">
      <c r="A303">
        <v>1142</v>
      </c>
      <c r="B303" t="s">
        <v>1574</v>
      </c>
      <c r="C303" t="s">
        <v>2667</v>
      </c>
      <c r="D303" t="s">
        <v>1203</v>
      </c>
      <c r="E303" t="s">
        <v>1204</v>
      </c>
      <c r="F303">
        <v>7556</v>
      </c>
      <c r="G303" t="s">
        <v>2664</v>
      </c>
      <c r="H303">
        <v>3987</v>
      </c>
      <c r="I303">
        <v>3968</v>
      </c>
      <c r="J303">
        <v>3974</v>
      </c>
      <c r="K303">
        <v>3985</v>
      </c>
      <c r="L303">
        <v>4020</v>
      </c>
      <c r="M303" t="s">
        <v>988</v>
      </c>
    </row>
    <row r="304" spans="1:13" x14ac:dyDescent="0.3">
      <c r="A304">
        <v>1143</v>
      </c>
      <c r="B304" t="s">
        <v>1575</v>
      </c>
      <c r="C304" t="s">
        <v>2667</v>
      </c>
      <c r="D304" t="s">
        <v>1203</v>
      </c>
      <c r="E304" t="s">
        <v>1204</v>
      </c>
      <c r="F304">
        <v>5903</v>
      </c>
      <c r="G304" t="s">
        <v>2665</v>
      </c>
      <c r="H304">
        <v>20141.110959549998</v>
      </c>
      <c r="I304">
        <v>21058.708426699999</v>
      </c>
      <c r="J304">
        <v>22240.23024895</v>
      </c>
      <c r="K304">
        <v>23541.43869735</v>
      </c>
      <c r="M304" t="s">
        <v>988</v>
      </c>
    </row>
    <row r="305" spans="1:13" x14ac:dyDescent="0.3">
      <c r="A305">
        <v>1143</v>
      </c>
      <c r="B305" t="s">
        <v>1575</v>
      </c>
      <c r="C305" t="s">
        <v>2667</v>
      </c>
      <c r="D305" t="s">
        <v>1203</v>
      </c>
      <c r="E305" t="s">
        <v>1204</v>
      </c>
      <c r="F305">
        <v>5903</v>
      </c>
      <c r="G305" t="s">
        <v>2664</v>
      </c>
      <c r="H305">
        <v>12950.706727000001</v>
      </c>
      <c r="I305">
        <v>13493.899876449999</v>
      </c>
      <c r="J305">
        <v>14208.9507455</v>
      </c>
      <c r="K305">
        <v>15065.170455650001</v>
      </c>
      <c r="M305" t="s">
        <v>988</v>
      </c>
    </row>
    <row r="306" spans="1:13" x14ac:dyDescent="0.3">
      <c r="A306">
        <v>1144</v>
      </c>
      <c r="B306" t="s">
        <v>1581</v>
      </c>
      <c r="C306" t="s">
        <v>2667</v>
      </c>
      <c r="D306" t="s">
        <v>1203</v>
      </c>
      <c r="E306" t="s">
        <v>1204</v>
      </c>
      <c r="F306">
        <v>6619</v>
      </c>
      <c r="G306" t="s">
        <v>2665</v>
      </c>
      <c r="H306">
        <v>2212.66813985</v>
      </c>
      <c r="I306">
        <v>2608.5546724999999</v>
      </c>
      <c r="J306">
        <v>2737.4479621999999</v>
      </c>
      <c r="K306">
        <v>2869.4101397499999</v>
      </c>
      <c r="L306">
        <v>3010.5789808499999</v>
      </c>
      <c r="M306" t="s">
        <v>988</v>
      </c>
    </row>
    <row r="307" spans="1:13" x14ac:dyDescent="0.3">
      <c r="A307">
        <v>1144</v>
      </c>
      <c r="B307" t="s">
        <v>1581</v>
      </c>
      <c r="C307" t="s">
        <v>2667</v>
      </c>
      <c r="D307" t="s">
        <v>1203</v>
      </c>
      <c r="E307" t="s">
        <v>1204</v>
      </c>
      <c r="F307">
        <v>6619</v>
      </c>
      <c r="G307" t="s">
        <v>2664</v>
      </c>
      <c r="H307">
        <v>1715.5083081499999</v>
      </c>
      <c r="I307">
        <v>1988.6393267999999</v>
      </c>
      <c r="J307">
        <v>2089.91262585</v>
      </c>
      <c r="K307">
        <v>2197.3237005999999</v>
      </c>
      <c r="L307">
        <v>2310.8725510499999</v>
      </c>
      <c r="M307" t="s">
        <v>988</v>
      </c>
    </row>
    <row r="308" spans="1:13" x14ac:dyDescent="0.3">
      <c r="A308">
        <v>1154</v>
      </c>
      <c r="B308" t="s">
        <v>1586</v>
      </c>
      <c r="C308" t="s">
        <v>2667</v>
      </c>
      <c r="D308" t="s">
        <v>159</v>
      </c>
      <c r="E308" t="s">
        <v>159</v>
      </c>
      <c r="F308">
        <v>7784</v>
      </c>
      <c r="G308" t="s">
        <v>2665</v>
      </c>
      <c r="H308">
        <v>35851</v>
      </c>
      <c r="I308">
        <v>37167</v>
      </c>
      <c r="J308">
        <v>38394</v>
      </c>
      <c r="K308">
        <v>39339</v>
      </c>
      <c r="L308">
        <v>40316</v>
      </c>
      <c r="M308" t="s">
        <v>988</v>
      </c>
    </row>
    <row r="309" spans="1:13" x14ac:dyDescent="0.3">
      <c r="A309">
        <v>1154</v>
      </c>
      <c r="B309" t="s">
        <v>1586</v>
      </c>
      <c r="C309" t="s">
        <v>2667</v>
      </c>
      <c r="D309" t="s">
        <v>159</v>
      </c>
      <c r="E309" t="s">
        <v>159</v>
      </c>
      <c r="F309">
        <v>7784</v>
      </c>
      <c r="G309" t="s">
        <v>2664</v>
      </c>
      <c r="H309">
        <v>48497</v>
      </c>
      <c r="I309">
        <v>48524</v>
      </c>
      <c r="J309">
        <v>48551</v>
      </c>
      <c r="K309">
        <v>48577</v>
      </c>
      <c r="L309">
        <v>48604</v>
      </c>
      <c r="M309" t="s">
        <v>988</v>
      </c>
    </row>
    <row r="310" spans="1:13" x14ac:dyDescent="0.3">
      <c r="A310">
        <v>1157</v>
      </c>
      <c r="B310" t="s">
        <v>1587</v>
      </c>
      <c r="C310" t="s">
        <v>2667</v>
      </c>
      <c r="D310" t="s">
        <v>1203</v>
      </c>
      <c r="E310" t="s">
        <v>1204</v>
      </c>
      <c r="F310">
        <v>5829</v>
      </c>
      <c r="G310" t="s">
        <v>2665</v>
      </c>
      <c r="H310">
        <v>4042</v>
      </c>
      <c r="I310">
        <v>4118</v>
      </c>
      <c r="J310">
        <v>4195</v>
      </c>
      <c r="K310">
        <v>4273</v>
      </c>
      <c r="L310">
        <v>4353</v>
      </c>
      <c r="M310" t="s">
        <v>988</v>
      </c>
    </row>
    <row r="311" spans="1:13" x14ac:dyDescent="0.3">
      <c r="A311">
        <v>1157</v>
      </c>
      <c r="B311" t="s">
        <v>1587</v>
      </c>
      <c r="C311" t="s">
        <v>2667</v>
      </c>
      <c r="D311" t="s">
        <v>1203</v>
      </c>
      <c r="E311" t="s">
        <v>1204</v>
      </c>
      <c r="F311">
        <v>5829</v>
      </c>
      <c r="G311" t="s">
        <v>2664</v>
      </c>
      <c r="H311">
        <v>4042</v>
      </c>
      <c r="I311">
        <v>4118</v>
      </c>
      <c r="J311">
        <v>4195</v>
      </c>
      <c r="K311">
        <v>4273</v>
      </c>
      <c r="L311">
        <v>4353</v>
      </c>
      <c r="M311" t="s">
        <v>988</v>
      </c>
    </row>
    <row r="312" spans="1:13" x14ac:dyDescent="0.3">
      <c r="A312">
        <v>1166</v>
      </c>
      <c r="B312" t="s">
        <v>1589</v>
      </c>
      <c r="C312" t="s">
        <v>2667</v>
      </c>
      <c r="D312" t="s">
        <v>1203</v>
      </c>
      <c r="E312" t="s">
        <v>1204</v>
      </c>
      <c r="F312">
        <v>5919</v>
      </c>
      <c r="G312" t="s">
        <v>2665</v>
      </c>
      <c r="H312">
        <v>15250</v>
      </c>
      <c r="I312">
        <v>16290</v>
      </c>
      <c r="J312">
        <v>16990</v>
      </c>
      <c r="K312">
        <v>17740</v>
      </c>
      <c r="L312">
        <v>18420</v>
      </c>
      <c r="M312" t="s">
        <v>988</v>
      </c>
    </row>
    <row r="313" spans="1:13" x14ac:dyDescent="0.3">
      <c r="A313">
        <v>1166</v>
      </c>
      <c r="B313" t="s">
        <v>1589</v>
      </c>
      <c r="C313" t="s">
        <v>2667</v>
      </c>
      <c r="D313" t="s">
        <v>1203</v>
      </c>
      <c r="E313" t="s">
        <v>1204</v>
      </c>
      <c r="F313">
        <v>5919</v>
      </c>
      <c r="G313" t="s">
        <v>2664</v>
      </c>
      <c r="H313">
        <v>15250</v>
      </c>
      <c r="I313">
        <v>16290</v>
      </c>
      <c r="J313">
        <v>16990</v>
      </c>
      <c r="K313">
        <v>17740</v>
      </c>
      <c r="L313">
        <v>18420</v>
      </c>
      <c r="M313" t="s">
        <v>988</v>
      </c>
    </row>
    <row r="314" spans="1:13" x14ac:dyDescent="0.3">
      <c r="A314">
        <v>1167</v>
      </c>
      <c r="B314" t="s">
        <v>1590</v>
      </c>
      <c r="C314" t="s">
        <v>2667</v>
      </c>
      <c r="D314" t="s">
        <v>1203</v>
      </c>
      <c r="E314" t="s">
        <v>1204</v>
      </c>
      <c r="F314">
        <v>5831</v>
      </c>
      <c r="G314" t="s">
        <v>2664</v>
      </c>
      <c r="H314">
        <v>3056</v>
      </c>
      <c r="I314">
        <v>3149</v>
      </c>
      <c r="J314">
        <v>3222</v>
      </c>
      <c r="K314">
        <v>3292</v>
      </c>
      <c r="L314">
        <v>3354</v>
      </c>
      <c r="M314" t="s">
        <v>988</v>
      </c>
    </row>
    <row r="315" spans="1:13" x14ac:dyDescent="0.3">
      <c r="A315">
        <v>1167</v>
      </c>
      <c r="B315" t="s">
        <v>1590</v>
      </c>
      <c r="C315" t="s">
        <v>2667</v>
      </c>
      <c r="D315" t="s">
        <v>1203</v>
      </c>
      <c r="E315" t="s">
        <v>1204</v>
      </c>
      <c r="F315">
        <v>5831</v>
      </c>
      <c r="G315" t="s">
        <v>2665</v>
      </c>
      <c r="H315">
        <v>3056</v>
      </c>
      <c r="I315">
        <v>3149</v>
      </c>
      <c r="J315">
        <v>3222</v>
      </c>
      <c r="K315">
        <v>3292</v>
      </c>
      <c r="L315">
        <v>3354</v>
      </c>
      <c r="M315" t="s">
        <v>988</v>
      </c>
    </row>
    <row r="316" spans="1:13" x14ac:dyDescent="0.3">
      <c r="A316">
        <v>1181</v>
      </c>
      <c r="B316" t="s">
        <v>1592</v>
      </c>
      <c r="C316" t="s">
        <v>2667</v>
      </c>
      <c r="D316" t="s">
        <v>1203</v>
      </c>
      <c r="E316" t="s">
        <v>1204</v>
      </c>
      <c r="F316">
        <v>5959</v>
      </c>
      <c r="G316" t="s">
        <v>2664</v>
      </c>
      <c r="H316">
        <v>2330</v>
      </c>
      <c r="I316">
        <v>2319</v>
      </c>
      <c r="J316">
        <v>2319</v>
      </c>
      <c r="K316">
        <v>2319</v>
      </c>
      <c r="L316">
        <v>1994</v>
      </c>
      <c r="M316" t="s">
        <v>988</v>
      </c>
    </row>
    <row r="317" spans="1:13" x14ac:dyDescent="0.3">
      <c r="A317">
        <v>1181</v>
      </c>
      <c r="B317" t="s">
        <v>1592</v>
      </c>
      <c r="C317" t="s">
        <v>2667</v>
      </c>
      <c r="D317" t="s">
        <v>1203</v>
      </c>
      <c r="E317" t="s">
        <v>1204</v>
      </c>
      <c r="F317">
        <v>5959</v>
      </c>
      <c r="G317" t="s">
        <v>2665</v>
      </c>
      <c r="H317">
        <v>3564</v>
      </c>
      <c r="I317">
        <v>3738</v>
      </c>
      <c r="J317">
        <v>3715</v>
      </c>
      <c r="K317">
        <v>3689</v>
      </c>
      <c r="L317">
        <v>3669</v>
      </c>
      <c r="M317" t="s">
        <v>988</v>
      </c>
    </row>
    <row r="318" spans="1:13" x14ac:dyDescent="0.3">
      <c r="A318">
        <v>1188</v>
      </c>
      <c r="B318" t="s">
        <v>1593</v>
      </c>
      <c r="C318" t="s">
        <v>2667</v>
      </c>
      <c r="D318" t="s">
        <v>1203</v>
      </c>
      <c r="E318" t="s">
        <v>1204</v>
      </c>
      <c r="F318">
        <v>7794</v>
      </c>
      <c r="G318" t="s">
        <v>2664</v>
      </c>
      <c r="H318">
        <v>6271</v>
      </c>
      <c r="I318">
        <v>7334</v>
      </c>
      <c r="J318">
        <v>8536</v>
      </c>
      <c r="K318">
        <v>9771</v>
      </c>
      <c r="M318" t="s">
        <v>988</v>
      </c>
    </row>
    <row r="319" spans="1:13" x14ac:dyDescent="0.3">
      <c r="A319">
        <v>1188</v>
      </c>
      <c r="B319" t="s">
        <v>1593</v>
      </c>
      <c r="C319" t="s">
        <v>2667</v>
      </c>
      <c r="D319" t="s">
        <v>1203</v>
      </c>
      <c r="E319" t="s">
        <v>1204</v>
      </c>
      <c r="F319">
        <v>7794</v>
      </c>
      <c r="G319" t="s">
        <v>2665</v>
      </c>
      <c r="H319">
        <v>6271</v>
      </c>
      <c r="I319">
        <v>7334</v>
      </c>
      <c r="J319">
        <v>8536</v>
      </c>
      <c r="K319">
        <v>9771</v>
      </c>
      <c r="M319" t="s">
        <v>988</v>
      </c>
    </row>
    <row r="320" spans="1:13" x14ac:dyDescent="0.3">
      <c r="A320">
        <v>1210</v>
      </c>
      <c r="B320" t="s">
        <v>1595</v>
      </c>
      <c r="C320" t="s">
        <v>2667</v>
      </c>
      <c r="D320" t="s">
        <v>159</v>
      </c>
      <c r="E320" t="s">
        <v>159</v>
      </c>
      <c r="F320">
        <v>7824</v>
      </c>
      <c r="G320" t="s">
        <v>2664</v>
      </c>
      <c r="H320">
        <v>3790.0764947500002</v>
      </c>
      <c r="I320">
        <v>3790.0764947500002</v>
      </c>
      <c r="J320">
        <v>3790.0764947500002</v>
      </c>
      <c r="K320">
        <v>3790.0764947500002</v>
      </c>
      <c r="L320">
        <v>3790.0764947500002</v>
      </c>
      <c r="M320" t="s">
        <v>988</v>
      </c>
    </row>
    <row r="321" spans="1:13" x14ac:dyDescent="0.3">
      <c r="A321">
        <v>1210</v>
      </c>
      <c r="B321" t="s">
        <v>1595</v>
      </c>
      <c r="C321" t="s">
        <v>2667</v>
      </c>
      <c r="D321" t="s">
        <v>159</v>
      </c>
      <c r="E321" t="s">
        <v>159</v>
      </c>
      <c r="F321">
        <v>7824</v>
      </c>
      <c r="G321" t="s">
        <v>2665</v>
      </c>
      <c r="H321">
        <v>2240.2881305000001</v>
      </c>
      <c r="I321">
        <v>2304.7347753499998</v>
      </c>
      <c r="J321">
        <v>2372.2503080500001</v>
      </c>
      <c r="K321">
        <v>2442.8347285999998</v>
      </c>
      <c r="L321">
        <v>2507.28137345</v>
      </c>
      <c r="M321" t="s">
        <v>988</v>
      </c>
    </row>
    <row r="322" spans="1:13" x14ac:dyDescent="0.3">
      <c r="A322">
        <v>1215</v>
      </c>
      <c r="B322" t="s">
        <v>1596</v>
      </c>
      <c r="C322" t="s">
        <v>2667</v>
      </c>
      <c r="D322" t="s">
        <v>1203</v>
      </c>
      <c r="E322" t="s">
        <v>1204</v>
      </c>
      <c r="F322">
        <v>5592</v>
      </c>
      <c r="G322" t="s">
        <v>2665</v>
      </c>
      <c r="H322">
        <v>27983</v>
      </c>
      <c r="I322">
        <v>28115</v>
      </c>
      <c r="J322">
        <v>27919</v>
      </c>
      <c r="K322">
        <v>27658</v>
      </c>
      <c r="L322">
        <v>27617</v>
      </c>
      <c r="M322" t="s">
        <v>988</v>
      </c>
    </row>
    <row r="323" spans="1:13" x14ac:dyDescent="0.3">
      <c r="A323">
        <v>1215</v>
      </c>
      <c r="B323" t="s">
        <v>1596</v>
      </c>
      <c r="C323" t="s">
        <v>2667</v>
      </c>
      <c r="D323" t="s">
        <v>1203</v>
      </c>
      <c r="E323" t="s">
        <v>1204</v>
      </c>
      <c r="F323">
        <v>5592</v>
      </c>
      <c r="G323" t="s">
        <v>2664</v>
      </c>
      <c r="H323">
        <v>27983</v>
      </c>
      <c r="I323">
        <v>28115</v>
      </c>
      <c r="J323">
        <v>27919</v>
      </c>
      <c r="K323">
        <v>27658</v>
      </c>
      <c r="L323">
        <v>27617</v>
      </c>
      <c r="M323" t="s">
        <v>988</v>
      </c>
    </row>
    <row r="324" spans="1:13" x14ac:dyDescent="0.3">
      <c r="A324">
        <v>1217</v>
      </c>
      <c r="B324" t="s">
        <v>1598</v>
      </c>
      <c r="C324" t="s">
        <v>2667</v>
      </c>
      <c r="D324" t="s">
        <v>1203</v>
      </c>
      <c r="E324" t="s">
        <v>1204</v>
      </c>
      <c r="F324">
        <v>5609</v>
      </c>
      <c r="G324" t="s">
        <v>2664</v>
      </c>
      <c r="H324">
        <v>5100</v>
      </c>
      <c r="I324">
        <v>5100</v>
      </c>
      <c r="J324">
        <v>5100</v>
      </c>
      <c r="K324">
        <v>5100</v>
      </c>
      <c r="L324">
        <v>5100</v>
      </c>
      <c r="M324" t="s">
        <v>988</v>
      </c>
    </row>
    <row r="325" spans="1:13" x14ac:dyDescent="0.3">
      <c r="A325">
        <v>1217</v>
      </c>
      <c r="B325" t="s">
        <v>1598</v>
      </c>
      <c r="C325" t="s">
        <v>2667</v>
      </c>
      <c r="D325" t="s">
        <v>1203</v>
      </c>
      <c r="E325" t="s">
        <v>1204</v>
      </c>
      <c r="F325">
        <v>5609</v>
      </c>
      <c r="G325" t="s">
        <v>2665</v>
      </c>
      <c r="H325">
        <v>4609</v>
      </c>
      <c r="I325">
        <v>4561</v>
      </c>
      <c r="J325">
        <v>4510</v>
      </c>
      <c r="K325">
        <v>4458</v>
      </c>
      <c r="L325">
        <v>4402</v>
      </c>
      <c r="M325" t="s">
        <v>988</v>
      </c>
    </row>
    <row r="326" spans="1:13" x14ac:dyDescent="0.3">
      <c r="A326">
        <v>1225</v>
      </c>
      <c r="B326" t="s">
        <v>1599</v>
      </c>
      <c r="C326" t="s">
        <v>2667</v>
      </c>
      <c r="D326" t="s">
        <v>1203</v>
      </c>
      <c r="E326" t="s">
        <v>1204</v>
      </c>
      <c r="F326">
        <v>7664</v>
      </c>
      <c r="G326" t="s">
        <v>2665</v>
      </c>
      <c r="H326">
        <v>3504.6699247000001</v>
      </c>
      <c r="I326">
        <v>3811.5587096999998</v>
      </c>
      <c r="J326">
        <v>4100.0341675999998</v>
      </c>
      <c r="K326">
        <v>4370.0962983999998</v>
      </c>
      <c r="L326">
        <v>4627.8828777999997</v>
      </c>
      <c r="M326" t="s">
        <v>988</v>
      </c>
    </row>
    <row r="327" spans="1:13" x14ac:dyDescent="0.3">
      <c r="A327">
        <v>1225</v>
      </c>
      <c r="B327" t="s">
        <v>1599</v>
      </c>
      <c r="C327" t="s">
        <v>2667</v>
      </c>
      <c r="D327" t="s">
        <v>1203</v>
      </c>
      <c r="E327" t="s">
        <v>1204</v>
      </c>
      <c r="F327">
        <v>7664</v>
      </c>
      <c r="G327" t="s">
        <v>2664</v>
      </c>
      <c r="H327">
        <v>3504.6699247000001</v>
      </c>
      <c r="I327">
        <v>3811.5587096999998</v>
      </c>
      <c r="J327">
        <v>4100.0341675999998</v>
      </c>
      <c r="K327">
        <v>4370.0962983999998</v>
      </c>
      <c r="L327">
        <v>4627.8828777999997</v>
      </c>
      <c r="M327" t="s">
        <v>988</v>
      </c>
    </row>
    <row r="328" spans="1:13" x14ac:dyDescent="0.3">
      <c r="A328">
        <v>1234</v>
      </c>
      <c r="B328" t="s">
        <v>1600</v>
      </c>
      <c r="C328" t="s">
        <v>2667</v>
      </c>
      <c r="D328" t="s">
        <v>1203</v>
      </c>
      <c r="E328" t="s">
        <v>1204</v>
      </c>
      <c r="F328">
        <v>5993</v>
      </c>
      <c r="G328" t="s">
        <v>2665</v>
      </c>
      <c r="H328">
        <v>6930</v>
      </c>
      <c r="I328">
        <v>7130</v>
      </c>
      <c r="J328">
        <v>7690</v>
      </c>
      <c r="K328">
        <v>7830</v>
      </c>
      <c r="L328">
        <v>8050</v>
      </c>
      <c r="M328" t="s">
        <v>988</v>
      </c>
    </row>
    <row r="329" spans="1:13" x14ac:dyDescent="0.3">
      <c r="A329">
        <v>1234</v>
      </c>
      <c r="B329" t="s">
        <v>1600</v>
      </c>
      <c r="C329" t="s">
        <v>2667</v>
      </c>
      <c r="D329" t="s">
        <v>1203</v>
      </c>
      <c r="E329" t="s">
        <v>1204</v>
      </c>
      <c r="F329">
        <v>5993</v>
      </c>
      <c r="G329" t="s">
        <v>2664</v>
      </c>
      <c r="H329">
        <v>20000</v>
      </c>
      <c r="I329">
        <v>20000</v>
      </c>
      <c r="J329">
        <v>20000</v>
      </c>
      <c r="K329">
        <v>20000</v>
      </c>
      <c r="L329">
        <v>20000</v>
      </c>
      <c r="M329" t="s">
        <v>988</v>
      </c>
    </row>
    <row r="330" spans="1:13" x14ac:dyDescent="0.3">
      <c r="A330">
        <v>1236</v>
      </c>
      <c r="B330" t="s">
        <v>1603</v>
      </c>
      <c r="C330" t="s">
        <v>2667</v>
      </c>
      <c r="D330" t="s">
        <v>1203</v>
      </c>
      <c r="E330" t="s">
        <v>1204</v>
      </c>
      <c r="F330">
        <v>5698</v>
      </c>
      <c r="G330" t="s">
        <v>2665</v>
      </c>
      <c r="H330">
        <v>24792</v>
      </c>
      <c r="I330">
        <v>31592</v>
      </c>
      <c r="J330">
        <v>33384</v>
      </c>
      <c r="K330">
        <v>34738</v>
      </c>
      <c r="L330">
        <v>35997</v>
      </c>
      <c r="M330" t="s">
        <v>988</v>
      </c>
    </row>
    <row r="331" spans="1:13" x14ac:dyDescent="0.3">
      <c r="A331">
        <v>1236</v>
      </c>
      <c r="B331" t="s">
        <v>1603</v>
      </c>
      <c r="C331" t="s">
        <v>2667</v>
      </c>
      <c r="D331" t="s">
        <v>1203</v>
      </c>
      <c r="E331" t="s">
        <v>1204</v>
      </c>
      <c r="F331">
        <v>5698</v>
      </c>
      <c r="G331" t="s">
        <v>2664</v>
      </c>
      <c r="H331">
        <v>24792</v>
      </c>
      <c r="I331">
        <v>31592</v>
      </c>
      <c r="J331">
        <v>33384</v>
      </c>
      <c r="K331">
        <v>34738</v>
      </c>
      <c r="L331">
        <v>35997</v>
      </c>
      <c r="M331" t="s">
        <v>988</v>
      </c>
    </row>
    <row r="332" spans="1:13" x14ac:dyDescent="0.3">
      <c r="A332">
        <v>1238</v>
      </c>
      <c r="B332" t="s">
        <v>1604</v>
      </c>
      <c r="C332" t="s">
        <v>2667</v>
      </c>
      <c r="D332" t="s">
        <v>1203</v>
      </c>
      <c r="E332" t="s">
        <v>1204</v>
      </c>
      <c r="F332">
        <v>5920</v>
      </c>
      <c r="G332" t="s">
        <v>2665</v>
      </c>
      <c r="H332">
        <v>11291</v>
      </c>
      <c r="I332">
        <v>11372</v>
      </c>
      <c r="J332">
        <v>11479</v>
      </c>
      <c r="K332">
        <v>11606</v>
      </c>
      <c r="L332">
        <v>11747</v>
      </c>
      <c r="M332" t="s">
        <v>988</v>
      </c>
    </row>
    <row r="333" spans="1:13" x14ac:dyDescent="0.3">
      <c r="A333">
        <v>1238</v>
      </c>
      <c r="B333" t="s">
        <v>1604</v>
      </c>
      <c r="C333" t="s">
        <v>2667</v>
      </c>
      <c r="D333" t="s">
        <v>1203</v>
      </c>
      <c r="E333" t="s">
        <v>1204</v>
      </c>
      <c r="F333">
        <v>5920</v>
      </c>
      <c r="G333" t="s">
        <v>2664</v>
      </c>
      <c r="H333">
        <v>12000</v>
      </c>
      <c r="I333">
        <v>12000</v>
      </c>
      <c r="J333">
        <v>12000</v>
      </c>
      <c r="K333">
        <v>12000</v>
      </c>
      <c r="L333">
        <v>12000</v>
      </c>
      <c r="M333" t="s">
        <v>988</v>
      </c>
    </row>
    <row r="334" spans="1:13" x14ac:dyDescent="0.3">
      <c r="A334">
        <v>1245</v>
      </c>
      <c r="B334" t="s">
        <v>1606</v>
      </c>
      <c r="C334" t="s">
        <v>2667</v>
      </c>
      <c r="D334" t="s">
        <v>1203</v>
      </c>
      <c r="E334" t="s">
        <v>1204</v>
      </c>
      <c r="F334">
        <v>5723</v>
      </c>
      <c r="G334" t="s">
        <v>2664</v>
      </c>
      <c r="H334">
        <v>176679</v>
      </c>
      <c r="I334">
        <v>176679</v>
      </c>
      <c r="J334">
        <v>176679</v>
      </c>
      <c r="K334">
        <v>176679</v>
      </c>
      <c r="M334" t="s">
        <v>988</v>
      </c>
    </row>
    <row r="335" spans="1:13" x14ac:dyDescent="0.3">
      <c r="A335">
        <v>1245</v>
      </c>
      <c r="B335" t="s">
        <v>1606</v>
      </c>
      <c r="C335" t="s">
        <v>2667</v>
      </c>
      <c r="D335" t="s">
        <v>1203</v>
      </c>
      <c r="E335" t="s">
        <v>1204</v>
      </c>
      <c r="F335">
        <v>5723</v>
      </c>
      <c r="G335" t="s">
        <v>2665</v>
      </c>
      <c r="H335">
        <v>99469</v>
      </c>
      <c r="I335">
        <v>106956</v>
      </c>
      <c r="J335">
        <v>114442</v>
      </c>
      <c r="K335">
        <v>121519</v>
      </c>
      <c r="M335" t="s">
        <v>988</v>
      </c>
    </row>
    <row r="336" spans="1:13" x14ac:dyDescent="0.3">
      <c r="A336">
        <v>1273</v>
      </c>
      <c r="B336" t="s">
        <v>1609</v>
      </c>
      <c r="C336" t="s">
        <v>2667</v>
      </c>
      <c r="D336" t="s">
        <v>1203</v>
      </c>
      <c r="E336" t="s">
        <v>1204</v>
      </c>
      <c r="F336">
        <v>5684</v>
      </c>
      <c r="G336" t="s">
        <v>2664</v>
      </c>
      <c r="H336">
        <v>42303</v>
      </c>
      <c r="I336">
        <v>44534</v>
      </c>
      <c r="J336">
        <v>44446</v>
      </c>
      <c r="K336">
        <v>44402</v>
      </c>
      <c r="L336">
        <v>44313</v>
      </c>
      <c r="M336" t="s">
        <v>988</v>
      </c>
    </row>
    <row r="337" spans="1:13" x14ac:dyDescent="0.3">
      <c r="A337">
        <v>1273</v>
      </c>
      <c r="B337" t="s">
        <v>1609</v>
      </c>
      <c r="C337" t="s">
        <v>2667</v>
      </c>
      <c r="D337" t="s">
        <v>1203</v>
      </c>
      <c r="E337" t="s">
        <v>1204</v>
      </c>
      <c r="F337">
        <v>5684</v>
      </c>
      <c r="G337" t="s">
        <v>2665</v>
      </c>
      <c r="H337">
        <v>31714</v>
      </c>
      <c r="I337">
        <v>34477</v>
      </c>
      <c r="J337">
        <v>36506</v>
      </c>
      <c r="K337">
        <v>38740</v>
      </c>
      <c r="L337">
        <v>39004</v>
      </c>
      <c r="M337" t="s">
        <v>988</v>
      </c>
    </row>
    <row r="338" spans="1:13" x14ac:dyDescent="0.3">
      <c r="A338">
        <v>1324</v>
      </c>
      <c r="B338" t="s">
        <v>1619</v>
      </c>
      <c r="C338" t="s">
        <v>2667</v>
      </c>
      <c r="D338" t="s">
        <v>159</v>
      </c>
      <c r="E338" t="s">
        <v>159</v>
      </c>
      <c r="F338">
        <v>5633</v>
      </c>
      <c r="G338" t="s">
        <v>2664</v>
      </c>
      <c r="H338">
        <v>9382</v>
      </c>
      <c r="I338">
        <v>9339</v>
      </c>
      <c r="J338">
        <v>9355</v>
      </c>
      <c r="K338">
        <v>9370</v>
      </c>
      <c r="L338">
        <v>9397</v>
      </c>
      <c r="M338" t="s">
        <v>988</v>
      </c>
    </row>
    <row r="339" spans="1:13" x14ac:dyDescent="0.3">
      <c r="A339">
        <v>1324</v>
      </c>
      <c r="B339" t="s">
        <v>1619</v>
      </c>
      <c r="C339" t="s">
        <v>2667</v>
      </c>
      <c r="D339" t="s">
        <v>159</v>
      </c>
      <c r="E339" t="s">
        <v>159</v>
      </c>
      <c r="F339">
        <v>5633</v>
      </c>
      <c r="G339" t="s">
        <v>2665</v>
      </c>
      <c r="H339">
        <v>9382</v>
      </c>
      <c r="I339">
        <v>9339</v>
      </c>
      <c r="J339">
        <v>9355</v>
      </c>
      <c r="K339">
        <v>9370</v>
      </c>
      <c r="L339">
        <v>9397</v>
      </c>
      <c r="M339" t="s">
        <v>988</v>
      </c>
    </row>
    <row r="340" spans="1:13" x14ac:dyDescent="0.3">
      <c r="A340">
        <v>1327</v>
      </c>
      <c r="B340" t="s">
        <v>1620</v>
      </c>
      <c r="C340" t="s">
        <v>2667</v>
      </c>
      <c r="D340" t="s">
        <v>1203</v>
      </c>
      <c r="E340" t="s">
        <v>1204</v>
      </c>
      <c r="F340">
        <v>5572</v>
      </c>
      <c r="G340" t="s">
        <v>2665</v>
      </c>
      <c r="H340">
        <v>1984</v>
      </c>
      <c r="I340">
        <v>2006</v>
      </c>
      <c r="J340">
        <v>1979</v>
      </c>
      <c r="K340">
        <v>1949</v>
      </c>
      <c r="L340">
        <v>1942</v>
      </c>
      <c r="M340" t="s">
        <v>988</v>
      </c>
    </row>
    <row r="341" spans="1:13" x14ac:dyDescent="0.3">
      <c r="A341">
        <v>1327</v>
      </c>
      <c r="B341" t="s">
        <v>1620</v>
      </c>
      <c r="C341" t="s">
        <v>2667</v>
      </c>
      <c r="D341" t="s">
        <v>1203</v>
      </c>
      <c r="E341" t="s">
        <v>1204</v>
      </c>
      <c r="F341">
        <v>5572</v>
      </c>
      <c r="G341" t="s">
        <v>2664</v>
      </c>
      <c r="H341">
        <v>1984</v>
      </c>
      <c r="I341">
        <v>2006</v>
      </c>
      <c r="J341">
        <v>1979</v>
      </c>
      <c r="K341">
        <v>1949</v>
      </c>
      <c r="L341">
        <v>1942</v>
      </c>
      <c r="M341" t="s">
        <v>988</v>
      </c>
    </row>
    <row r="342" spans="1:13" x14ac:dyDescent="0.3">
      <c r="A342">
        <v>1333</v>
      </c>
      <c r="B342" t="s">
        <v>1623</v>
      </c>
      <c r="C342" t="s">
        <v>2667</v>
      </c>
      <c r="D342" t="s">
        <v>1203</v>
      </c>
      <c r="E342" t="s">
        <v>1204</v>
      </c>
      <c r="F342">
        <v>5662</v>
      </c>
      <c r="G342" t="s">
        <v>2664</v>
      </c>
      <c r="H342">
        <v>7401</v>
      </c>
      <c r="I342">
        <v>7401</v>
      </c>
      <c r="J342">
        <v>7401</v>
      </c>
      <c r="K342">
        <v>7401</v>
      </c>
      <c r="M342" t="s">
        <v>988</v>
      </c>
    </row>
    <row r="343" spans="1:13" x14ac:dyDescent="0.3">
      <c r="A343">
        <v>1333</v>
      </c>
      <c r="B343" t="s">
        <v>1623</v>
      </c>
      <c r="C343" t="s">
        <v>2667</v>
      </c>
      <c r="D343" t="s">
        <v>1203</v>
      </c>
      <c r="E343" t="s">
        <v>1204</v>
      </c>
      <c r="F343">
        <v>5662</v>
      </c>
      <c r="G343" t="s">
        <v>2665</v>
      </c>
      <c r="H343">
        <v>6143</v>
      </c>
      <c r="I343">
        <v>6345</v>
      </c>
      <c r="J343">
        <v>6553</v>
      </c>
      <c r="K343">
        <v>6728</v>
      </c>
      <c r="M343" t="s">
        <v>988</v>
      </c>
    </row>
    <row r="344" spans="1:13" x14ac:dyDescent="0.3">
      <c r="A344">
        <v>1335</v>
      </c>
      <c r="B344" t="s">
        <v>1625</v>
      </c>
      <c r="C344" t="s">
        <v>2667</v>
      </c>
      <c r="D344" t="s">
        <v>1203</v>
      </c>
      <c r="E344" t="s">
        <v>1204</v>
      </c>
      <c r="F344">
        <v>5719</v>
      </c>
      <c r="G344" t="s">
        <v>2664</v>
      </c>
      <c r="H344">
        <v>3953</v>
      </c>
      <c r="I344">
        <v>4010</v>
      </c>
      <c r="J344">
        <v>3981</v>
      </c>
      <c r="K344">
        <v>3964</v>
      </c>
      <c r="L344">
        <v>3938</v>
      </c>
      <c r="M344" t="s">
        <v>988</v>
      </c>
    </row>
    <row r="345" spans="1:13" x14ac:dyDescent="0.3">
      <c r="A345">
        <v>1335</v>
      </c>
      <c r="B345" t="s">
        <v>1625</v>
      </c>
      <c r="C345" t="s">
        <v>2667</v>
      </c>
      <c r="D345" t="s">
        <v>1203</v>
      </c>
      <c r="E345" t="s">
        <v>1204</v>
      </c>
      <c r="F345">
        <v>5719</v>
      </c>
      <c r="G345" t="s">
        <v>2665</v>
      </c>
      <c r="H345">
        <v>3953</v>
      </c>
      <c r="I345">
        <v>4010</v>
      </c>
      <c r="J345">
        <v>3981</v>
      </c>
      <c r="K345">
        <v>3964</v>
      </c>
      <c r="L345">
        <v>3938</v>
      </c>
      <c r="M345" t="s">
        <v>988</v>
      </c>
    </row>
    <row r="346" spans="1:13" x14ac:dyDescent="0.3">
      <c r="A346">
        <v>1343</v>
      </c>
      <c r="B346" t="s">
        <v>1626</v>
      </c>
      <c r="C346" t="s">
        <v>2667</v>
      </c>
      <c r="D346" t="s">
        <v>1203</v>
      </c>
      <c r="E346" t="s">
        <v>1204</v>
      </c>
      <c r="F346">
        <v>5845</v>
      </c>
      <c r="G346" t="s">
        <v>2665</v>
      </c>
      <c r="H346">
        <v>1518</v>
      </c>
      <c r="I346">
        <v>1537</v>
      </c>
      <c r="J346">
        <v>1562</v>
      </c>
      <c r="K346">
        <v>1581</v>
      </c>
      <c r="L346">
        <v>1601</v>
      </c>
      <c r="M346" t="s">
        <v>988</v>
      </c>
    </row>
    <row r="347" spans="1:13" x14ac:dyDescent="0.3">
      <c r="A347">
        <v>1343</v>
      </c>
      <c r="B347" t="s">
        <v>1626</v>
      </c>
      <c r="C347" t="s">
        <v>2667</v>
      </c>
      <c r="D347" t="s">
        <v>1203</v>
      </c>
      <c r="E347" t="s">
        <v>1204</v>
      </c>
      <c r="F347">
        <v>5845</v>
      </c>
      <c r="G347" t="s">
        <v>2664</v>
      </c>
      <c r="H347">
        <v>2946</v>
      </c>
      <c r="I347">
        <v>2976</v>
      </c>
      <c r="J347">
        <v>3036</v>
      </c>
      <c r="K347">
        <v>3066</v>
      </c>
      <c r="L347">
        <v>3096</v>
      </c>
      <c r="M347" t="s">
        <v>988</v>
      </c>
    </row>
    <row r="348" spans="1:13" x14ac:dyDescent="0.3">
      <c r="A348">
        <v>1352</v>
      </c>
      <c r="B348" t="s">
        <v>1631</v>
      </c>
      <c r="C348" t="s">
        <v>2667</v>
      </c>
      <c r="D348" t="s">
        <v>1203</v>
      </c>
      <c r="E348" t="s">
        <v>1204</v>
      </c>
      <c r="F348">
        <v>6941</v>
      </c>
      <c r="G348" t="s">
        <v>2665</v>
      </c>
      <c r="H348">
        <v>16969</v>
      </c>
      <c r="I348">
        <v>17486</v>
      </c>
      <c r="J348">
        <v>18035</v>
      </c>
      <c r="K348">
        <v>18616</v>
      </c>
      <c r="M348" t="s">
        <v>988</v>
      </c>
    </row>
    <row r="349" spans="1:13" x14ac:dyDescent="0.3">
      <c r="A349">
        <v>1352</v>
      </c>
      <c r="B349" t="s">
        <v>1631</v>
      </c>
      <c r="C349" t="s">
        <v>2667</v>
      </c>
      <c r="D349" t="s">
        <v>1203</v>
      </c>
      <c r="E349" t="s">
        <v>1204</v>
      </c>
      <c r="F349">
        <v>6941</v>
      </c>
      <c r="G349" t="s">
        <v>2664</v>
      </c>
      <c r="H349">
        <v>18320</v>
      </c>
      <c r="I349">
        <v>18880</v>
      </c>
      <c r="J349">
        <v>19410</v>
      </c>
      <c r="K349">
        <v>19910</v>
      </c>
      <c r="M349" t="s">
        <v>988</v>
      </c>
    </row>
    <row r="350" spans="1:13" x14ac:dyDescent="0.3">
      <c r="A350">
        <v>1368</v>
      </c>
      <c r="B350" t="s">
        <v>1632</v>
      </c>
      <c r="C350" t="s">
        <v>2667</v>
      </c>
      <c r="D350" t="s">
        <v>1203</v>
      </c>
      <c r="E350" t="s">
        <v>1204</v>
      </c>
      <c r="F350">
        <v>5455</v>
      </c>
      <c r="G350" t="s">
        <v>2664</v>
      </c>
      <c r="H350">
        <v>4564</v>
      </c>
      <c r="I350">
        <v>4745</v>
      </c>
      <c r="J350">
        <v>4779</v>
      </c>
      <c r="K350">
        <v>4880</v>
      </c>
      <c r="L350">
        <v>4973</v>
      </c>
      <c r="M350" t="s">
        <v>988</v>
      </c>
    </row>
    <row r="351" spans="1:13" x14ac:dyDescent="0.3">
      <c r="A351">
        <v>1368</v>
      </c>
      <c r="B351" t="s">
        <v>1632</v>
      </c>
      <c r="C351" t="s">
        <v>2667</v>
      </c>
      <c r="D351" t="s">
        <v>1203</v>
      </c>
      <c r="E351" t="s">
        <v>1204</v>
      </c>
      <c r="F351">
        <v>5455</v>
      </c>
      <c r="G351" t="s">
        <v>2665</v>
      </c>
      <c r="H351">
        <v>4500</v>
      </c>
      <c r="I351">
        <v>4600</v>
      </c>
      <c r="J351">
        <v>4700</v>
      </c>
      <c r="K351">
        <v>4800</v>
      </c>
      <c r="L351">
        <v>4900</v>
      </c>
      <c r="M351" t="s">
        <v>988</v>
      </c>
    </row>
    <row r="352" spans="1:13" x14ac:dyDescent="0.3">
      <c r="A352">
        <v>1370</v>
      </c>
      <c r="B352" t="s">
        <v>1633</v>
      </c>
      <c r="C352" t="s">
        <v>2667</v>
      </c>
      <c r="D352" t="s">
        <v>1203</v>
      </c>
      <c r="E352" t="s">
        <v>1204</v>
      </c>
      <c r="F352">
        <v>5811</v>
      </c>
      <c r="G352" t="s">
        <v>2664</v>
      </c>
      <c r="H352">
        <v>9882</v>
      </c>
      <c r="I352">
        <v>9882</v>
      </c>
      <c r="J352">
        <v>9882</v>
      </c>
      <c r="K352">
        <v>9882</v>
      </c>
      <c r="M352" t="s">
        <v>988</v>
      </c>
    </row>
    <row r="353" spans="1:13" x14ac:dyDescent="0.3">
      <c r="A353">
        <v>1370</v>
      </c>
      <c r="B353" t="s">
        <v>1633</v>
      </c>
      <c r="C353" t="s">
        <v>2667</v>
      </c>
      <c r="D353" t="s">
        <v>1203</v>
      </c>
      <c r="E353" t="s">
        <v>1204</v>
      </c>
      <c r="F353">
        <v>5811</v>
      </c>
      <c r="G353" t="s">
        <v>2665</v>
      </c>
      <c r="H353">
        <v>7071</v>
      </c>
      <c r="I353">
        <v>7005</v>
      </c>
      <c r="J353">
        <v>6939</v>
      </c>
      <c r="K353">
        <v>6874</v>
      </c>
      <c r="M353" t="s">
        <v>988</v>
      </c>
    </row>
    <row r="354" spans="1:13" x14ac:dyDescent="0.3">
      <c r="A354">
        <v>1371</v>
      </c>
      <c r="B354" t="s">
        <v>1635</v>
      </c>
      <c r="C354" t="s">
        <v>2667</v>
      </c>
      <c r="D354" t="s">
        <v>1203</v>
      </c>
      <c r="E354" t="s">
        <v>1204</v>
      </c>
      <c r="F354">
        <v>7512</v>
      </c>
      <c r="G354" t="s">
        <v>2665</v>
      </c>
      <c r="H354">
        <v>3998.7608685499999</v>
      </c>
      <c r="I354">
        <v>4167.5497003</v>
      </c>
      <c r="J354">
        <v>4342.4763077500002</v>
      </c>
      <c r="K354">
        <v>4523.5406909000003</v>
      </c>
      <c r="M354" t="s">
        <v>988</v>
      </c>
    </row>
    <row r="355" spans="1:13" x14ac:dyDescent="0.3">
      <c r="A355">
        <v>1371</v>
      </c>
      <c r="B355" t="s">
        <v>1635</v>
      </c>
      <c r="C355" t="s">
        <v>2667</v>
      </c>
      <c r="D355" t="s">
        <v>1203</v>
      </c>
      <c r="E355" t="s">
        <v>1204</v>
      </c>
      <c r="F355">
        <v>7512</v>
      </c>
      <c r="G355" t="s">
        <v>2664</v>
      </c>
      <c r="H355">
        <v>8025.1417277500004</v>
      </c>
      <c r="I355">
        <v>8025.1417277500004</v>
      </c>
      <c r="J355">
        <v>8025.1417277500004</v>
      </c>
      <c r="K355">
        <v>8025.1417277500004</v>
      </c>
      <c r="M355" t="s">
        <v>988</v>
      </c>
    </row>
    <row r="356" spans="1:13" x14ac:dyDescent="0.3">
      <c r="A356">
        <v>1384</v>
      </c>
      <c r="B356" t="s">
        <v>1637</v>
      </c>
      <c r="C356" t="s">
        <v>2667</v>
      </c>
      <c r="D356" t="s">
        <v>1203</v>
      </c>
      <c r="E356" t="s">
        <v>1204</v>
      </c>
      <c r="F356">
        <v>5709</v>
      </c>
      <c r="G356" t="s">
        <v>2665</v>
      </c>
      <c r="H356">
        <v>25488</v>
      </c>
      <c r="I356">
        <v>26298</v>
      </c>
      <c r="J356">
        <v>27549</v>
      </c>
      <c r="K356">
        <v>28872</v>
      </c>
      <c r="L356">
        <v>30270</v>
      </c>
      <c r="M356" t="s">
        <v>988</v>
      </c>
    </row>
    <row r="357" spans="1:13" x14ac:dyDescent="0.3">
      <c r="A357">
        <v>1384</v>
      </c>
      <c r="B357" t="s">
        <v>1637</v>
      </c>
      <c r="C357" t="s">
        <v>2667</v>
      </c>
      <c r="D357" t="s">
        <v>1203</v>
      </c>
      <c r="E357" t="s">
        <v>1204</v>
      </c>
      <c r="F357">
        <v>5709</v>
      </c>
      <c r="G357" t="s">
        <v>2664</v>
      </c>
      <c r="H357">
        <v>25488</v>
      </c>
      <c r="I357">
        <v>26298</v>
      </c>
      <c r="J357">
        <v>27549</v>
      </c>
      <c r="K357">
        <v>28872</v>
      </c>
      <c r="L357">
        <v>30270</v>
      </c>
      <c r="M357" t="s">
        <v>988</v>
      </c>
    </row>
    <row r="358" spans="1:13" x14ac:dyDescent="0.3">
      <c r="A358">
        <v>1388</v>
      </c>
      <c r="B358" t="s">
        <v>1640</v>
      </c>
      <c r="C358" t="s">
        <v>2667</v>
      </c>
      <c r="D358" t="s">
        <v>159</v>
      </c>
      <c r="E358" t="s">
        <v>159</v>
      </c>
      <c r="F358">
        <v>5503</v>
      </c>
      <c r="G358" t="s">
        <v>2665</v>
      </c>
      <c r="H358">
        <v>8678.6039999999994</v>
      </c>
      <c r="I358">
        <v>10690.696</v>
      </c>
      <c r="J358">
        <v>12262.504999999999</v>
      </c>
      <c r="K358">
        <v>14187.672</v>
      </c>
      <c r="L358">
        <v>16684.036</v>
      </c>
      <c r="M358" t="s">
        <v>988</v>
      </c>
    </row>
    <row r="359" spans="1:13" x14ac:dyDescent="0.3">
      <c r="A359">
        <v>1388</v>
      </c>
      <c r="B359" t="s">
        <v>1640</v>
      </c>
      <c r="C359" t="s">
        <v>2667</v>
      </c>
      <c r="D359" t="s">
        <v>159</v>
      </c>
      <c r="E359" t="s">
        <v>159</v>
      </c>
      <c r="F359">
        <v>5503</v>
      </c>
      <c r="G359" t="s">
        <v>2664</v>
      </c>
      <c r="H359">
        <v>11495.037</v>
      </c>
      <c r="I359">
        <v>12590.735000000001</v>
      </c>
      <c r="J359">
        <v>13606.241</v>
      </c>
      <c r="K359">
        <v>15608.636</v>
      </c>
      <c r="L359">
        <v>16369.539000000001</v>
      </c>
      <c r="M359" t="s">
        <v>988</v>
      </c>
    </row>
    <row r="360" spans="1:13" x14ac:dyDescent="0.3">
      <c r="A360">
        <v>1869</v>
      </c>
      <c r="B360" t="s">
        <v>1643</v>
      </c>
      <c r="C360" t="s">
        <v>2667</v>
      </c>
      <c r="D360" t="s">
        <v>1203</v>
      </c>
      <c r="E360" t="s">
        <v>1204</v>
      </c>
      <c r="F360">
        <v>5551</v>
      </c>
      <c r="G360" t="s">
        <v>2664</v>
      </c>
      <c r="H360">
        <v>10800</v>
      </c>
      <c r="I360">
        <v>10857</v>
      </c>
      <c r="J360">
        <v>10915</v>
      </c>
      <c r="K360">
        <v>10972</v>
      </c>
      <c r="L360">
        <v>11030</v>
      </c>
      <c r="M360" t="s">
        <v>988</v>
      </c>
    </row>
    <row r="361" spans="1:13" x14ac:dyDescent="0.3">
      <c r="A361">
        <v>1869</v>
      </c>
      <c r="B361" t="s">
        <v>1643</v>
      </c>
      <c r="C361" t="s">
        <v>2667</v>
      </c>
      <c r="D361" t="s">
        <v>1203</v>
      </c>
      <c r="E361" t="s">
        <v>1204</v>
      </c>
      <c r="F361">
        <v>5551</v>
      </c>
      <c r="G361" t="s">
        <v>2665</v>
      </c>
      <c r="H361">
        <v>10800</v>
      </c>
      <c r="I361">
        <v>10857</v>
      </c>
      <c r="J361">
        <v>10915</v>
      </c>
      <c r="K361">
        <v>10972</v>
      </c>
      <c r="L361">
        <v>11030</v>
      </c>
      <c r="M361" t="s">
        <v>988</v>
      </c>
    </row>
    <row r="362" spans="1:13" x14ac:dyDescent="0.3">
      <c r="A362">
        <v>1424</v>
      </c>
      <c r="B362" t="s">
        <v>1644</v>
      </c>
      <c r="C362" t="s">
        <v>2667</v>
      </c>
      <c r="D362" t="s">
        <v>159</v>
      </c>
      <c r="E362" t="s">
        <v>159</v>
      </c>
      <c r="F362">
        <v>5558</v>
      </c>
      <c r="G362" t="s">
        <v>2664</v>
      </c>
      <c r="H362">
        <v>14870</v>
      </c>
      <c r="I362">
        <v>15980</v>
      </c>
      <c r="J362">
        <v>17930</v>
      </c>
      <c r="K362">
        <v>19860</v>
      </c>
      <c r="L362">
        <v>21810</v>
      </c>
      <c r="M362" t="s">
        <v>988</v>
      </c>
    </row>
    <row r="363" spans="1:13" x14ac:dyDescent="0.3">
      <c r="A363">
        <v>1424</v>
      </c>
      <c r="B363" t="s">
        <v>1644</v>
      </c>
      <c r="C363" t="s">
        <v>2667</v>
      </c>
      <c r="D363" t="s">
        <v>159</v>
      </c>
      <c r="E363" t="s">
        <v>159</v>
      </c>
      <c r="F363">
        <v>5558</v>
      </c>
      <c r="G363" t="s">
        <v>2665</v>
      </c>
      <c r="H363">
        <v>14870</v>
      </c>
      <c r="I363">
        <v>15980</v>
      </c>
      <c r="J363">
        <v>17930</v>
      </c>
      <c r="K363">
        <v>19860</v>
      </c>
      <c r="L363">
        <v>21810</v>
      </c>
      <c r="M363" t="s">
        <v>988</v>
      </c>
    </row>
    <row r="364" spans="1:13" x14ac:dyDescent="0.3">
      <c r="A364">
        <v>1425</v>
      </c>
      <c r="B364" t="s">
        <v>1647</v>
      </c>
      <c r="C364" t="s">
        <v>2667</v>
      </c>
      <c r="D364" t="s">
        <v>159</v>
      </c>
      <c r="E364" t="s">
        <v>159</v>
      </c>
      <c r="F364">
        <v>7826</v>
      </c>
      <c r="G364" t="s">
        <v>2664</v>
      </c>
      <c r="H364">
        <v>3632.5</v>
      </c>
      <c r="I364">
        <v>3632.5</v>
      </c>
      <c r="J364">
        <v>3632.5</v>
      </c>
      <c r="K364">
        <v>3632.5</v>
      </c>
      <c r="L364">
        <v>3632.5</v>
      </c>
      <c r="M364" t="s">
        <v>988</v>
      </c>
    </row>
    <row r="365" spans="1:13" x14ac:dyDescent="0.3">
      <c r="A365">
        <v>1425</v>
      </c>
      <c r="B365" t="s">
        <v>1647</v>
      </c>
      <c r="C365" t="s">
        <v>2667</v>
      </c>
      <c r="D365" t="s">
        <v>159</v>
      </c>
      <c r="E365" t="s">
        <v>159</v>
      </c>
      <c r="F365">
        <v>7826</v>
      </c>
      <c r="G365" t="s">
        <v>2665</v>
      </c>
      <c r="H365">
        <v>2228.5</v>
      </c>
      <c r="I365">
        <v>2263.6</v>
      </c>
      <c r="J365">
        <v>2299.3000000000002</v>
      </c>
      <c r="K365">
        <v>2335.5</v>
      </c>
      <c r="L365">
        <v>2372.4</v>
      </c>
      <c r="M365" t="s">
        <v>988</v>
      </c>
    </row>
    <row r="366" spans="1:13" x14ac:dyDescent="0.3">
      <c r="A366">
        <v>1427</v>
      </c>
      <c r="B366" t="s">
        <v>1650</v>
      </c>
      <c r="C366" t="s">
        <v>2667</v>
      </c>
      <c r="D366" t="s">
        <v>159</v>
      </c>
      <c r="E366" t="s">
        <v>159</v>
      </c>
      <c r="F366">
        <v>6005</v>
      </c>
      <c r="G366" t="s">
        <v>2665</v>
      </c>
      <c r="H366">
        <v>4046</v>
      </c>
      <c r="I366">
        <v>4462</v>
      </c>
      <c r="J366">
        <v>4878</v>
      </c>
      <c r="K366">
        <v>5294</v>
      </c>
      <c r="L366">
        <v>5709</v>
      </c>
      <c r="M366" t="s">
        <v>988</v>
      </c>
    </row>
    <row r="367" spans="1:13" x14ac:dyDescent="0.3">
      <c r="A367">
        <v>1427</v>
      </c>
      <c r="B367" t="s">
        <v>1650</v>
      </c>
      <c r="C367" t="s">
        <v>2667</v>
      </c>
      <c r="D367" t="s">
        <v>159</v>
      </c>
      <c r="E367" t="s">
        <v>159</v>
      </c>
      <c r="F367">
        <v>6005</v>
      </c>
      <c r="G367" t="s">
        <v>2664</v>
      </c>
      <c r="H367">
        <v>4653</v>
      </c>
      <c r="I367">
        <v>5131</v>
      </c>
      <c r="J367">
        <v>5610</v>
      </c>
      <c r="K367">
        <v>6088</v>
      </c>
      <c r="L367">
        <v>6566</v>
      </c>
      <c r="M367" t="s">
        <v>988</v>
      </c>
    </row>
    <row r="368" spans="1:13" x14ac:dyDescent="0.3">
      <c r="A368">
        <v>1443</v>
      </c>
      <c r="B368" t="s">
        <v>1651</v>
      </c>
      <c r="C368" t="s">
        <v>2667</v>
      </c>
      <c r="D368" t="s">
        <v>1203</v>
      </c>
      <c r="E368" t="s">
        <v>1204</v>
      </c>
      <c r="F368">
        <v>5580</v>
      </c>
      <c r="G368" t="s">
        <v>2665</v>
      </c>
      <c r="H368">
        <v>8338.1682884500005</v>
      </c>
      <c r="I368">
        <v>8559.1282136499995</v>
      </c>
      <c r="J368">
        <v>8780.0881388500002</v>
      </c>
      <c r="K368">
        <v>9004.1169518999995</v>
      </c>
      <c r="L368">
        <v>9004.1169518999995</v>
      </c>
      <c r="M368" t="s">
        <v>988</v>
      </c>
    </row>
    <row r="369" spans="1:13" x14ac:dyDescent="0.3">
      <c r="A369">
        <v>1443</v>
      </c>
      <c r="B369" t="s">
        <v>1651</v>
      </c>
      <c r="C369" t="s">
        <v>2667</v>
      </c>
      <c r="D369" t="s">
        <v>1203</v>
      </c>
      <c r="E369" t="s">
        <v>1204</v>
      </c>
      <c r="F369">
        <v>5580</v>
      </c>
      <c r="G369" t="s">
        <v>2664</v>
      </c>
      <c r="H369">
        <v>8338.1682884500005</v>
      </c>
      <c r="I369">
        <v>8559.1282136499995</v>
      </c>
      <c r="J369">
        <v>8780.0881388500002</v>
      </c>
      <c r="K369">
        <v>9004.1169518999995</v>
      </c>
      <c r="L369">
        <v>9004.1169518999995</v>
      </c>
      <c r="M369" t="s">
        <v>988</v>
      </c>
    </row>
    <row r="370" spans="1:13" x14ac:dyDescent="0.3">
      <c r="A370">
        <v>1450</v>
      </c>
      <c r="B370" t="s">
        <v>1660</v>
      </c>
      <c r="C370" t="s">
        <v>2667</v>
      </c>
      <c r="D370" t="s">
        <v>1203</v>
      </c>
      <c r="E370" t="s">
        <v>1204</v>
      </c>
      <c r="F370">
        <v>5914</v>
      </c>
      <c r="G370" t="s">
        <v>2665</v>
      </c>
      <c r="H370">
        <v>14663</v>
      </c>
      <c r="I370">
        <v>15512</v>
      </c>
      <c r="J370">
        <v>16410</v>
      </c>
      <c r="K370">
        <v>17360</v>
      </c>
      <c r="L370">
        <v>18365</v>
      </c>
      <c r="M370" t="s">
        <v>988</v>
      </c>
    </row>
    <row r="371" spans="1:13" x14ac:dyDescent="0.3">
      <c r="A371">
        <v>1450</v>
      </c>
      <c r="B371" t="s">
        <v>1660</v>
      </c>
      <c r="C371" t="s">
        <v>2667</v>
      </c>
      <c r="D371" t="s">
        <v>1203</v>
      </c>
      <c r="E371" t="s">
        <v>1204</v>
      </c>
      <c r="F371">
        <v>5914</v>
      </c>
      <c r="G371" t="s">
        <v>2664</v>
      </c>
      <c r="H371">
        <v>18000</v>
      </c>
      <c r="I371">
        <v>18000</v>
      </c>
      <c r="J371">
        <v>18000</v>
      </c>
      <c r="K371">
        <v>18000</v>
      </c>
      <c r="L371">
        <v>18000</v>
      </c>
      <c r="M371" t="s">
        <v>988</v>
      </c>
    </row>
    <row r="372" spans="1:13" x14ac:dyDescent="0.3">
      <c r="A372">
        <v>1452</v>
      </c>
      <c r="B372" t="s">
        <v>1661</v>
      </c>
      <c r="C372" t="s">
        <v>2667</v>
      </c>
      <c r="D372" t="s">
        <v>1203</v>
      </c>
      <c r="E372" t="s">
        <v>1204</v>
      </c>
      <c r="F372">
        <v>5740</v>
      </c>
      <c r="G372" t="s">
        <v>2665</v>
      </c>
      <c r="H372">
        <v>6191</v>
      </c>
      <c r="I372">
        <v>6378</v>
      </c>
      <c r="J372">
        <v>6564</v>
      </c>
      <c r="K372">
        <v>6743</v>
      </c>
      <c r="L372">
        <v>6921</v>
      </c>
      <c r="M372" t="s">
        <v>988</v>
      </c>
    </row>
    <row r="373" spans="1:13" x14ac:dyDescent="0.3">
      <c r="A373">
        <v>1452</v>
      </c>
      <c r="B373" t="s">
        <v>1661</v>
      </c>
      <c r="C373" t="s">
        <v>2667</v>
      </c>
      <c r="D373" t="s">
        <v>1203</v>
      </c>
      <c r="E373" t="s">
        <v>1204</v>
      </c>
      <c r="F373">
        <v>5740</v>
      </c>
      <c r="G373" t="s">
        <v>2664</v>
      </c>
      <c r="H373">
        <v>7120</v>
      </c>
      <c r="I373">
        <v>7334</v>
      </c>
      <c r="J373">
        <v>7549</v>
      </c>
      <c r="K373">
        <v>7754</v>
      </c>
      <c r="L373">
        <v>7959</v>
      </c>
      <c r="M373" t="s">
        <v>988</v>
      </c>
    </row>
    <row r="374" spans="1:13" x14ac:dyDescent="0.3">
      <c r="A374">
        <v>1456</v>
      </c>
      <c r="B374" t="s">
        <v>1664</v>
      </c>
      <c r="C374" t="s">
        <v>2667</v>
      </c>
      <c r="D374" t="s">
        <v>159</v>
      </c>
      <c r="E374" t="s">
        <v>159</v>
      </c>
      <c r="F374">
        <v>7786</v>
      </c>
      <c r="G374" t="s">
        <v>2664</v>
      </c>
      <c r="H374">
        <v>4000</v>
      </c>
      <c r="I374">
        <v>4000</v>
      </c>
      <c r="J374">
        <v>4000</v>
      </c>
      <c r="K374">
        <v>4000</v>
      </c>
      <c r="L374">
        <v>4000</v>
      </c>
      <c r="M374" t="s">
        <v>988</v>
      </c>
    </row>
    <row r="375" spans="1:13" x14ac:dyDescent="0.3">
      <c r="A375">
        <v>1456</v>
      </c>
      <c r="B375" t="s">
        <v>1664</v>
      </c>
      <c r="C375" t="s">
        <v>2667</v>
      </c>
      <c r="D375" t="s">
        <v>159</v>
      </c>
      <c r="E375" t="s">
        <v>159</v>
      </c>
      <c r="F375">
        <v>7786</v>
      </c>
      <c r="G375" t="s">
        <v>2665</v>
      </c>
      <c r="H375">
        <v>2339</v>
      </c>
      <c r="I375">
        <v>2324.2979690000002</v>
      </c>
      <c r="J375">
        <v>2332</v>
      </c>
      <c r="K375">
        <v>2313</v>
      </c>
      <c r="L375">
        <v>2317</v>
      </c>
      <c r="M375" t="s">
        <v>988</v>
      </c>
    </row>
    <row r="376" spans="1:13" x14ac:dyDescent="0.3">
      <c r="A376">
        <v>1459</v>
      </c>
      <c r="B376" t="s">
        <v>1665</v>
      </c>
      <c r="C376" t="s">
        <v>2667</v>
      </c>
      <c r="D376" t="s">
        <v>1203</v>
      </c>
      <c r="E376" t="s">
        <v>1204</v>
      </c>
      <c r="F376">
        <v>5681</v>
      </c>
      <c r="G376" t="s">
        <v>2664</v>
      </c>
      <c r="H376">
        <v>5784</v>
      </c>
      <c r="I376">
        <v>5784</v>
      </c>
      <c r="J376">
        <v>5784</v>
      </c>
      <c r="K376">
        <v>5784</v>
      </c>
      <c r="L376">
        <v>5784</v>
      </c>
      <c r="M376" t="s">
        <v>988</v>
      </c>
    </row>
    <row r="377" spans="1:13" x14ac:dyDescent="0.3">
      <c r="A377">
        <v>1459</v>
      </c>
      <c r="B377" t="s">
        <v>1665</v>
      </c>
      <c r="C377" t="s">
        <v>2667</v>
      </c>
      <c r="D377" t="s">
        <v>1203</v>
      </c>
      <c r="E377" t="s">
        <v>1204</v>
      </c>
      <c r="F377">
        <v>5681</v>
      </c>
      <c r="G377" t="s">
        <v>2665</v>
      </c>
      <c r="H377">
        <v>5201</v>
      </c>
      <c r="I377">
        <v>5248</v>
      </c>
      <c r="J377">
        <v>5295</v>
      </c>
      <c r="K377">
        <v>5342</v>
      </c>
      <c r="L377">
        <v>5390</v>
      </c>
      <c r="M377" t="s">
        <v>988</v>
      </c>
    </row>
    <row r="378" spans="1:13" x14ac:dyDescent="0.3">
      <c r="A378">
        <v>1464</v>
      </c>
      <c r="B378" t="s">
        <v>1667</v>
      </c>
      <c r="C378" t="s">
        <v>2667</v>
      </c>
      <c r="D378" t="s">
        <v>1203</v>
      </c>
      <c r="E378" t="s">
        <v>1204</v>
      </c>
      <c r="F378">
        <v>7899</v>
      </c>
      <c r="G378" t="s">
        <v>2665</v>
      </c>
      <c r="H378">
        <v>53964</v>
      </c>
      <c r="I378">
        <v>51861</v>
      </c>
      <c r="J378">
        <v>51691</v>
      </c>
      <c r="K378">
        <v>51042</v>
      </c>
      <c r="L378">
        <v>51653</v>
      </c>
      <c r="M378" t="s">
        <v>988</v>
      </c>
    </row>
    <row r="379" spans="1:13" x14ac:dyDescent="0.3">
      <c r="A379">
        <v>1464</v>
      </c>
      <c r="B379" t="s">
        <v>1667</v>
      </c>
      <c r="C379" t="s">
        <v>2667</v>
      </c>
      <c r="D379" t="s">
        <v>1203</v>
      </c>
      <c r="E379" t="s">
        <v>1204</v>
      </c>
      <c r="F379">
        <v>7899</v>
      </c>
      <c r="G379" t="s">
        <v>2664</v>
      </c>
      <c r="H379">
        <v>84752</v>
      </c>
      <c r="I379">
        <v>84752</v>
      </c>
      <c r="J379">
        <v>88752</v>
      </c>
      <c r="K379">
        <v>88752</v>
      </c>
      <c r="L379">
        <v>88752</v>
      </c>
      <c r="M379" t="s">
        <v>988</v>
      </c>
    </row>
    <row r="380" spans="1:13" x14ac:dyDescent="0.3">
      <c r="A380">
        <v>1473</v>
      </c>
      <c r="B380" t="s">
        <v>1669</v>
      </c>
      <c r="C380" t="s">
        <v>2667</v>
      </c>
      <c r="D380" t="s">
        <v>159</v>
      </c>
      <c r="E380" t="s">
        <v>159</v>
      </c>
      <c r="F380">
        <v>6646</v>
      </c>
      <c r="G380" t="s">
        <v>2664</v>
      </c>
      <c r="H380">
        <v>674700</v>
      </c>
      <c r="I380">
        <v>693200</v>
      </c>
      <c r="J380">
        <v>712700</v>
      </c>
      <c r="K380">
        <v>732700</v>
      </c>
      <c r="L380">
        <v>746000</v>
      </c>
      <c r="M380" t="s">
        <v>988</v>
      </c>
    </row>
    <row r="381" spans="1:13" x14ac:dyDescent="0.3">
      <c r="A381">
        <v>1473</v>
      </c>
      <c r="B381" t="s">
        <v>1669</v>
      </c>
      <c r="C381" t="s">
        <v>2667</v>
      </c>
      <c r="D381" t="s">
        <v>159</v>
      </c>
      <c r="E381" t="s">
        <v>159</v>
      </c>
      <c r="F381">
        <v>6646</v>
      </c>
      <c r="G381" t="s">
        <v>2665</v>
      </c>
      <c r="H381">
        <v>674700</v>
      </c>
      <c r="I381">
        <v>693200</v>
      </c>
      <c r="J381">
        <v>712700</v>
      </c>
      <c r="K381">
        <v>732700</v>
      </c>
      <c r="L381">
        <v>746000</v>
      </c>
      <c r="M381" t="s">
        <v>988</v>
      </c>
    </row>
    <row r="382" spans="1:13" x14ac:dyDescent="0.3">
      <c r="A382">
        <v>1481</v>
      </c>
      <c r="B382" t="s">
        <v>1670</v>
      </c>
      <c r="C382" t="s">
        <v>2667</v>
      </c>
      <c r="D382" t="s">
        <v>1203</v>
      </c>
      <c r="E382" t="s">
        <v>1204</v>
      </c>
      <c r="F382">
        <v>6739</v>
      </c>
      <c r="G382" t="s">
        <v>2664</v>
      </c>
      <c r="H382">
        <v>9019</v>
      </c>
      <c r="I382">
        <v>9254</v>
      </c>
      <c r="J382">
        <v>9429</v>
      </c>
      <c r="K382">
        <v>9607</v>
      </c>
      <c r="M382" t="s">
        <v>988</v>
      </c>
    </row>
    <row r="383" spans="1:13" x14ac:dyDescent="0.3">
      <c r="A383">
        <v>1481</v>
      </c>
      <c r="B383" t="s">
        <v>1670</v>
      </c>
      <c r="C383" t="s">
        <v>2667</v>
      </c>
      <c r="D383" t="s">
        <v>1203</v>
      </c>
      <c r="E383" t="s">
        <v>1204</v>
      </c>
      <c r="F383">
        <v>6739</v>
      </c>
      <c r="G383" t="s">
        <v>2665</v>
      </c>
      <c r="H383">
        <v>9019</v>
      </c>
      <c r="I383">
        <v>9254</v>
      </c>
      <c r="J383">
        <v>9429</v>
      </c>
      <c r="K383">
        <v>9607</v>
      </c>
      <c r="M383" t="s">
        <v>988</v>
      </c>
    </row>
    <row r="384" spans="1:13" x14ac:dyDescent="0.3">
      <c r="A384">
        <v>1484</v>
      </c>
      <c r="B384" t="s">
        <v>1674</v>
      </c>
      <c r="C384" t="s">
        <v>2667</v>
      </c>
      <c r="D384" t="s">
        <v>1203</v>
      </c>
      <c r="E384" t="s">
        <v>1204</v>
      </c>
      <c r="F384">
        <v>6741</v>
      </c>
      <c r="G384" t="s">
        <v>2665</v>
      </c>
      <c r="H384">
        <v>55164</v>
      </c>
      <c r="I384">
        <v>58002</v>
      </c>
      <c r="J384">
        <v>61102</v>
      </c>
      <c r="K384">
        <v>64402</v>
      </c>
      <c r="L384">
        <v>67602</v>
      </c>
      <c r="M384" t="s">
        <v>988</v>
      </c>
    </row>
    <row r="385" spans="1:13" x14ac:dyDescent="0.3">
      <c r="A385">
        <v>1484</v>
      </c>
      <c r="B385" t="s">
        <v>1674</v>
      </c>
      <c r="C385" t="s">
        <v>2667</v>
      </c>
      <c r="D385" t="s">
        <v>1203</v>
      </c>
      <c r="E385" t="s">
        <v>1204</v>
      </c>
      <c r="F385">
        <v>6741</v>
      </c>
      <c r="G385" t="s">
        <v>2664</v>
      </c>
      <c r="H385">
        <v>55164</v>
      </c>
      <c r="I385">
        <v>58002</v>
      </c>
      <c r="J385">
        <v>61102</v>
      </c>
      <c r="K385">
        <v>64402</v>
      </c>
      <c r="L385">
        <v>67602</v>
      </c>
      <c r="M385" t="s">
        <v>988</v>
      </c>
    </row>
    <row r="386" spans="1:13" x14ac:dyDescent="0.3">
      <c r="A386">
        <v>1487</v>
      </c>
      <c r="B386" t="s">
        <v>1677</v>
      </c>
      <c r="C386" t="s">
        <v>2667</v>
      </c>
      <c r="D386" t="s">
        <v>1203</v>
      </c>
      <c r="E386" t="s">
        <v>1204</v>
      </c>
      <c r="F386">
        <v>5663</v>
      </c>
      <c r="G386" t="s">
        <v>2664</v>
      </c>
      <c r="H386">
        <v>8340</v>
      </c>
      <c r="I386">
        <v>8985</v>
      </c>
      <c r="J386">
        <v>9679</v>
      </c>
      <c r="K386">
        <v>10427</v>
      </c>
      <c r="L386">
        <v>11233</v>
      </c>
      <c r="M386" t="s">
        <v>988</v>
      </c>
    </row>
    <row r="387" spans="1:13" x14ac:dyDescent="0.3">
      <c r="A387">
        <v>1487</v>
      </c>
      <c r="B387" t="s">
        <v>1677</v>
      </c>
      <c r="C387" t="s">
        <v>2667</v>
      </c>
      <c r="D387" t="s">
        <v>1203</v>
      </c>
      <c r="E387" t="s">
        <v>1204</v>
      </c>
      <c r="F387">
        <v>5663</v>
      </c>
      <c r="G387" t="s">
        <v>2665</v>
      </c>
      <c r="H387">
        <v>8340</v>
      </c>
      <c r="I387">
        <v>8985</v>
      </c>
      <c r="J387">
        <v>9679</v>
      </c>
      <c r="K387">
        <v>10427</v>
      </c>
      <c r="L387">
        <v>11233</v>
      </c>
      <c r="M387" t="s">
        <v>988</v>
      </c>
    </row>
    <row r="388" spans="1:13" x14ac:dyDescent="0.3">
      <c r="A388">
        <v>1506</v>
      </c>
      <c r="B388" t="s">
        <v>1678</v>
      </c>
      <c r="C388" t="s">
        <v>2667</v>
      </c>
      <c r="D388" t="s">
        <v>159</v>
      </c>
      <c r="E388" t="s">
        <v>159</v>
      </c>
      <c r="F388">
        <v>7862</v>
      </c>
      <c r="G388" t="s">
        <v>2665</v>
      </c>
      <c r="H388">
        <v>6203</v>
      </c>
      <c r="I388">
        <v>6266</v>
      </c>
      <c r="J388">
        <v>6330</v>
      </c>
      <c r="K388">
        <v>6394</v>
      </c>
      <c r="L388">
        <v>6459</v>
      </c>
      <c r="M388" t="s">
        <v>988</v>
      </c>
    </row>
    <row r="389" spans="1:13" x14ac:dyDescent="0.3">
      <c r="A389">
        <v>1506</v>
      </c>
      <c r="B389" t="s">
        <v>1678</v>
      </c>
      <c r="C389" t="s">
        <v>2667</v>
      </c>
      <c r="D389" t="s">
        <v>159</v>
      </c>
      <c r="E389" t="s">
        <v>159</v>
      </c>
      <c r="F389">
        <v>7862</v>
      </c>
      <c r="G389" t="s">
        <v>2664</v>
      </c>
      <c r="H389">
        <v>7942</v>
      </c>
      <c r="I389">
        <v>7943</v>
      </c>
      <c r="J389">
        <v>7944</v>
      </c>
      <c r="K389">
        <v>7945</v>
      </c>
      <c r="L389">
        <v>7946</v>
      </c>
      <c r="M389" t="s">
        <v>988</v>
      </c>
    </row>
    <row r="390" spans="1:13" x14ac:dyDescent="0.3">
      <c r="A390">
        <v>1533</v>
      </c>
      <c r="B390" t="s">
        <v>1679</v>
      </c>
      <c r="C390" t="s">
        <v>2667</v>
      </c>
      <c r="D390" t="s">
        <v>1203</v>
      </c>
      <c r="E390" t="s">
        <v>1204</v>
      </c>
      <c r="F390">
        <v>5528</v>
      </c>
      <c r="G390" t="s">
        <v>2665</v>
      </c>
      <c r="H390">
        <v>1898</v>
      </c>
      <c r="I390">
        <v>2184</v>
      </c>
      <c r="J390">
        <v>2445</v>
      </c>
      <c r="K390">
        <v>2707</v>
      </c>
      <c r="M390" t="s">
        <v>988</v>
      </c>
    </row>
    <row r="391" spans="1:13" x14ac:dyDescent="0.3">
      <c r="A391">
        <v>1533</v>
      </c>
      <c r="B391" t="s">
        <v>1679</v>
      </c>
      <c r="C391" t="s">
        <v>2667</v>
      </c>
      <c r="D391" t="s">
        <v>1203</v>
      </c>
      <c r="E391" t="s">
        <v>1204</v>
      </c>
      <c r="F391">
        <v>5528</v>
      </c>
      <c r="G391" t="s">
        <v>2664</v>
      </c>
      <c r="H391">
        <v>2563</v>
      </c>
      <c r="I391">
        <v>3280</v>
      </c>
      <c r="J391">
        <v>3495</v>
      </c>
      <c r="K391">
        <v>3764</v>
      </c>
      <c r="M391" t="s">
        <v>988</v>
      </c>
    </row>
    <row r="392" spans="1:13" x14ac:dyDescent="0.3">
      <c r="A392">
        <v>1536</v>
      </c>
      <c r="B392" t="s">
        <v>1684</v>
      </c>
      <c r="C392" t="s">
        <v>2667</v>
      </c>
      <c r="D392" t="s">
        <v>1203</v>
      </c>
      <c r="E392" t="s">
        <v>1204</v>
      </c>
      <c r="F392">
        <v>5518</v>
      </c>
      <c r="G392" t="s">
        <v>2665</v>
      </c>
      <c r="H392">
        <v>5353</v>
      </c>
      <c r="I392">
        <v>5426</v>
      </c>
      <c r="J392">
        <v>5501</v>
      </c>
      <c r="K392">
        <v>5576</v>
      </c>
      <c r="L392">
        <v>5638</v>
      </c>
      <c r="M392" t="s">
        <v>988</v>
      </c>
    </row>
    <row r="393" spans="1:13" x14ac:dyDescent="0.3">
      <c r="A393">
        <v>1536</v>
      </c>
      <c r="B393" t="s">
        <v>1684</v>
      </c>
      <c r="C393" t="s">
        <v>2667</v>
      </c>
      <c r="D393" t="s">
        <v>1203</v>
      </c>
      <c r="E393" t="s">
        <v>1204</v>
      </c>
      <c r="F393">
        <v>5518</v>
      </c>
      <c r="G393" t="s">
        <v>2664</v>
      </c>
      <c r="H393">
        <v>5353</v>
      </c>
      <c r="I393">
        <v>5426</v>
      </c>
      <c r="J393">
        <v>5501</v>
      </c>
      <c r="K393">
        <v>5576</v>
      </c>
      <c r="L393">
        <v>5638</v>
      </c>
      <c r="M393" t="s">
        <v>988</v>
      </c>
    </row>
    <row r="394" spans="1:13" x14ac:dyDescent="0.3">
      <c r="A394">
        <v>1546</v>
      </c>
      <c r="B394" t="s">
        <v>1686</v>
      </c>
      <c r="C394" t="s">
        <v>2667</v>
      </c>
      <c r="D394" t="s">
        <v>1203</v>
      </c>
      <c r="E394" t="s">
        <v>1204</v>
      </c>
      <c r="F394">
        <v>5724</v>
      </c>
      <c r="G394" t="s">
        <v>2665</v>
      </c>
      <c r="H394">
        <v>38019</v>
      </c>
      <c r="I394">
        <v>38046</v>
      </c>
      <c r="J394">
        <v>37974</v>
      </c>
      <c r="K394">
        <v>38051</v>
      </c>
      <c r="L394">
        <v>38207</v>
      </c>
      <c r="M394" t="s">
        <v>988</v>
      </c>
    </row>
    <row r="395" spans="1:13" x14ac:dyDescent="0.3">
      <c r="A395">
        <v>1546</v>
      </c>
      <c r="B395" t="s">
        <v>1686</v>
      </c>
      <c r="C395" t="s">
        <v>2667</v>
      </c>
      <c r="D395" t="s">
        <v>1203</v>
      </c>
      <c r="E395" t="s">
        <v>1204</v>
      </c>
      <c r="F395">
        <v>5724</v>
      </c>
      <c r="G395" t="s">
        <v>2664</v>
      </c>
      <c r="H395">
        <v>52132</v>
      </c>
      <c r="I395">
        <v>52137</v>
      </c>
      <c r="J395">
        <v>52135</v>
      </c>
      <c r="K395">
        <v>52139</v>
      </c>
      <c r="L395">
        <v>52149</v>
      </c>
      <c r="M395" t="s">
        <v>988</v>
      </c>
    </row>
    <row r="396" spans="1:13" x14ac:dyDescent="0.3">
      <c r="A396">
        <v>1547</v>
      </c>
      <c r="B396" t="s">
        <v>1693</v>
      </c>
      <c r="C396" t="s">
        <v>2667</v>
      </c>
      <c r="D396" t="s">
        <v>1203</v>
      </c>
      <c r="E396" t="s">
        <v>1204</v>
      </c>
      <c r="F396">
        <v>5782</v>
      </c>
      <c r="G396" t="s">
        <v>2664</v>
      </c>
      <c r="H396">
        <v>10900</v>
      </c>
      <c r="I396">
        <v>10900</v>
      </c>
      <c r="J396">
        <v>10900</v>
      </c>
      <c r="K396">
        <v>10900</v>
      </c>
      <c r="M396" t="s">
        <v>988</v>
      </c>
    </row>
    <row r="397" spans="1:13" x14ac:dyDescent="0.3">
      <c r="A397">
        <v>1547</v>
      </c>
      <c r="B397" t="s">
        <v>1693</v>
      </c>
      <c r="C397" t="s">
        <v>2667</v>
      </c>
      <c r="D397" t="s">
        <v>1203</v>
      </c>
      <c r="E397" t="s">
        <v>1204</v>
      </c>
      <c r="F397">
        <v>5782</v>
      </c>
      <c r="G397" t="s">
        <v>2665</v>
      </c>
      <c r="H397">
        <v>6121</v>
      </c>
      <c r="I397">
        <v>7958</v>
      </c>
      <c r="J397">
        <v>9056</v>
      </c>
      <c r="K397">
        <v>9775</v>
      </c>
      <c r="M397" t="s">
        <v>988</v>
      </c>
    </row>
    <row r="398" spans="1:13" x14ac:dyDescent="0.3">
      <c r="A398">
        <v>1554</v>
      </c>
      <c r="B398" t="s">
        <v>1694</v>
      </c>
      <c r="C398" t="s">
        <v>2667</v>
      </c>
      <c r="D398" t="s">
        <v>1203</v>
      </c>
      <c r="E398" t="s">
        <v>1204</v>
      </c>
      <c r="F398">
        <v>5469</v>
      </c>
      <c r="G398" t="s">
        <v>2665</v>
      </c>
      <c r="H398">
        <v>4460</v>
      </c>
      <c r="I398">
        <v>4266</v>
      </c>
      <c r="J398">
        <v>4070</v>
      </c>
      <c r="K398">
        <v>3918</v>
      </c>
      <c r="L398">
        <v>3984</v>
      </c>
      <c r="M398" t="s">
        <v>988</v>
      </c>
    </row>
    <row r="399" spans="1:13" x14ac:dyDescent="0.3">
      <c r="A399">
        <v>1554</v>
      </c>
      <c r="B399" t="s">
        <v>1694</v>
      </c>
      <c r="C399" t="s">
        <v>2667</v>
      </c>
      <c r="D399" t="s">
        <v>1203</v>
      </c>
      <c r="E399" t="s">
        <v>1204</v>
      </c>
      <c r="F399">
        <v>5469</v>
      </c>
      <c r="G399" t="s">
        <v>2664</v>
      </c>
      <c r="H399">
        <v>4460</v>
      </c>
      <c r="I399">
        <v>4266</v>
      </c>
      <c r="J399">
        <v>4070</v>
      </c>
      <c r="K399">
        <v>3918</v>
      </c>
      <c r="L399">
        <v>3984</v>
      </c>
      <c r="M399" t="s">
        <v>988</v>
      </c>
    </row>
    <row r="400" spans="1:13" x14ac:dyDescent="0.3">
      <c r="A400">
        <v>1570</v>
      </c>
      <c r="B400" t="s">
        <v>1697</v>
      </c>
      <c r="C400" t="s">
        <v>2667</v>
      </c>
      <c r="D400" t="s">
        <v>159</v>
      </c>
      <c r="E400" t="s">
        <v>159</v>
      </c>
      <c r="F400">
        <v>6877</v>
      </c>
      <c r="G400" t="s">
        <v>2665</v>
      </c>
      <c r="H400">
        <v>2053.0859716499999</v>
      </c>
      <c r="I400">
        <v>2142.0837193000002</v>
      </c>
      <c r="J400">
        <v>2240.2881305000001</v>
      </c>
      <c r="K400">
        <v>2338.4925416999999</v>
      </c>
      <c r="M400" t="s">
        <v>988</v>
      </c>
    </row>
    <row r="401" spans="1:13" x14ac:dyDescent="0.3">
      <c r="A401">
        <v>1570</v>
      </c>
      <c r="B401" t="s">
        <v>1697</v>
      </c>
      <c r="C401" t="s">
        <v>2667</v>
      </c>
      <c r="D401" t="s">
        <v>159</v>
      </c>
      <c r="E401" t="s">
        <v>159</v>
      </c>
      <c r="F401">
        <v>6877</v>
      </c>
      <c r="G401" t="s">
        <v>2664</v>
      </c>
      <c r="H401">
        <v>2912.37456965</v>
      </c>
      <c r="I401">
        <v>2912.37456965</v>
      </c>
      <c r="J401">
        <v>2912.37456965</v>
      </c>
      <c r="K401">
        <v>2912.37456965</v>
      </c>
      <c r="M401" t="s">
        <v>988</v>
      </c>
    </row>
    <row r="402" spans="1:13" x14ac:dyDescent="0.3">
      <c r="A402">
        <v>1587</v>
      </c>
      <c r="B402" t="s">
        <v>1699</v>
      </c>
      <c r="C402" t="s">
        <v>2667</v>
      </c>
      <c r="D402" t="s">
        <v>159</v>
      </c>
      <c r="E402" t="s">
        <v>159</v>
      </c>
      <c r="F402">
        <v>7799</v>
      </c>
      <c r="G402" t="s">
        <v>2665</v>
      </c>
      <c r="H402">
        <v>3977.2786535999999</v>
      </c>
      <c r="I402">
        <v>4127.6541582500004</v>
      </c>
      <c r="J402">
        <v>4327.1318684999997</v>
      </c>
      <c r="K402">
        <v>4551.1606815499999</v>
      </c>
      <c r="M402" t="s">
        <v>988</v>
      </c>
    </row>
    <row r="403" spans="1:13" x14ac:dyDescent="0.3">
      <c r="A403">
        <v>1587</v>
      </c>
      <c r="B403" t="s">
        <v>1699</v>
      </c>
      <c r="C403" t="s">
        <v>2667</v>
      </c>
      <c r="D403" t="s">
        <v>159</v>
      </c>
      <c r="E403" t="s">
        <v>159</v>
      </c>
      <c r="F403">
        <v>7799</v>
      </c>
      <c r="G403" t="s">
        <v>2664</v>
      </c>
      <c r="H403">
        <v>2691.4146444500002</v>
      </c>
      <c r="I403">
        <v>3001.3723172999998</v>
      </c>
      <c r="J403">
        <v>3124.1278312999998</v>
      </c>
      <c r="K403">
        <v>3259.1588966999998</v>
      </c>
      <c r="M403" t="s">
        <v>988</v>
      </c>
    </row>
    <row r="404" spans="1:13" x14ac:dyDescent="0.3">
      <c r="A404">
        <v>1589</v>
      </c>
      <c r="B404" t="s">
        <v>1703</v>
      </c>
      <c r="C404" t="s">
        <v>2667</v>
      </c>
      <c r="D404" t="s">
        <v>1203</v>
      </c>
      <c r="E404" t="s">
        <v>1204</v>
      </c>
      <c r="F404">
        <v>5456</v>
      </c>
      <c r="G404" t="s">
        <v>2665</v>
      </c>
      <c r="H404">
        <v>29301</v>
      </c>
      <c r="I404">
        <v>32101</v>
      </c>
      <c r="J404">
        <v>34794</v>
      </c>
      <c r="K404">
        <v>38190</v>
      </c>
      <c r="M404" t="s">
        <v>988</v>
      </c>
    </row>
    <row r="405" spans="1:13" x14ac:dyDescent="0.3">
      <c r="A405">
        <v>1589</v>
      </c>
      <c r="B405" t="s">
        <v>1703</v>
      </c>
      <c r="C405" t="s">
        <v>2667</v>
      </c>
      <c r="D405" t="s">
        <v>1203</v>
      </c>
      <c r="E405" t="s">
        <v>1204</v>
      </c>
      <c r="F405">
        <v>5456</v>
      </c>
      <c r="G405" t="s">
        <v>2664</v>
      </c>
      <c r="H405">
        <v>29301</v>
      </c>
      <c r="I405">
        <v>32101</v>
      </c>
      <c r="J405">
        <v>34794</v>
      </c>
      <c r="K405">
        <v>38190</v>
      </c>
      <c r="M405" t="s">
        <v>988</v>
      </c>
    </row>
    <row r="406" spans="1:13" x14ac:dyDescent="0.3">
      <c r="A406">
        <v>1596</v>
      </c>
      <c r="B406" t="s">
        <v>1704</v>
      </c>
      <c r="C406" t="s">
        <v>2667</v>
      </c>
      <c r="D406" t="s">
        <v>1203</v>
      </c>
      <c r="E406" t="s">
        <v>1204</v>
      </c>
      <c r="F406">
        <v>5615</v>
      </c>
      <c r="G406" t="s">
        <v>2665</v>
      </c>
      <c r="H406">
        <v>18501</v>
      </c>
      <c r="I406">
        <v>20256</v>
      </c>
      <c r="J406">
        <v>21307</v>
      </c>
      <c r="K406">
        <v>21705</v>
      </c>
      <c r="L406">
        <v>22102</v>
      </c>
      <c r="M406" t="s">
        <v>988</v>
      </c>
    </row>
    <row r="407" spans="1:13" x14ac:dyDescent="0.3">
      <c r="A407">
        <v>1596</v>
      </c>
      <c r="B407" t="s">
        <v>1704</v>
      </c>
      <c r="C407" t="s">
        <v>2667</v>
      </c>
      <c r="D407" t="s">
        <v>1203</v>
      </c>
      <c r="E407" t="s">
        <v>1204</v>
      </c>
      <c r="F407">
        <v>5615</v>
      </c>
      <c r="G407" t="s">
        <v>2664</v>
      </c>
      <c r="H407">
        <v>18501</v>
      </c>
      <c r="I407">
        <v>20256</v>
      </c>
      <c r="J407">
        <v>21307</v>
      </c>
      <c r="K407">
        <v>21705</v>
      </c>
      <c r="L407">
        <v>22102</v>
      </c>
      <c r="M407" t="s">
        <v>988</v>
      </c>
    </row>
    <row r="408" spans="1:13" x14ac:dyDescent="0.3">
      <c r="A408">
        <v>1605</v>
      </c>
      <c r="B408" t="s">
        <v>1706</v>
      </c>
      <c r="C408" t="s">
        <v>2667</v>
      </c>
      <c r="D408" t="s">
        <v>1203</v>
      </c>
      <c r="E408" t="s">
        <v>1204</v>
      </c>
      <c r="F408">
        <v>6395</v>
      </c>
      <c r="G408" t="s">
        <v>2664</v>
      </c>
      <c r="H408">
        <v>2050.0170837999999</v>
      </c>
      <c r="I408">
        <v>2028.5348688500001</v>
      </c>
      <c r="J408">
        <v>2050.0170837999999</v>
      </c>
      <c r="K408">
        <v>2062.2926351999999</v>
      </c>
      <c r="L408">
        <v>1779.9549529999999</v>
      </c>
      <c r="M408" t="s">
        <v>988</v>
      </c>
    </row>
    <row r="409" spans="1:13" x14ac:dyDescent="0.3">
      <c r="A409">
        <v>1605</v>
      </c>
      <c r="B409" t="s">
        <v>1706</v>
      </c>
      <c r="C409" t="s">
        <v>2667</v>
      </c>
      <c r="D409" t="s">
        <v>1203</v>
      </c>
      <c r="E409" t="s">
        <v>1204</v>
      </c>
      <c r="F409">
        <v>6395</v>
      </c>
      <c r="G409" t="s">
        <v>2665</v>
      </c>
      <c r="H409">
        <v>3203.9189154000001</v>
      </c>
      <c r="I409">
        <v>3182.43670045</v>
      </c>
      <c r="J409">
        <v>3225.4011303500001</v>
      </c>
      <c r="K409">
        <v>3237.6766817500002</v>
      </c>
      <c r="L409">
        <v>3280.6411116499999</v>
      </c>
      <c r="M409" t="s">
        <v>988</v>
      </c>
    </row>
    <row r="410" spans="1:13" x14ac:dyDescent="0.3">
      <c r="A410">
        <v>1613</v>
      </c>
      <c r="B410" t="s">
        <v>1707</v>
      </c>
      <c r="C410" t="s">
        <v>2667</v>
      </c>
      <c r="D410" t="s">
        <v>1203</v>
      </c>
      <c r="E410" t="s">
        <v>1204</v>
      </c>
      <c r="F410">
        <v>5704</v>
      </c>
      <c r="G410" t="s">
        <v>2665</v>
      </c>
      <c r="H410">
        <v>2562.5213547499998</v>
      </c>
      <c r="I410">
        <v>2801.8946070500001</v>
      </c>
      <c r="J410">
        <v>2749.7235135999999</v>
      </c>
      <c r="K410">
        <v>3157.8855976499999</v>
      </c>
      <c r="L410">
        <v>3590.5987845</v>
      </c>
      <c r="M410" t="s">
        <v>988</v>
      </c>
    </row>
    <row r="411" spans="1:13" x14ac:dyDescent="0.3">
      <c r="A411">
        <v>1613</v>
      </c>
      <c r="B411" t="s">
        <v>1707</v>
      </c>
      <c r="C411" t="s">
        <v>2667</v>
      </c>
      <c r="D411" t="s">
        <v>1203</v>
      </c>
      <c r="E411" t="s">
        <v>1204</v>
      </c>
      <c r="F411">
        <v>5704</v>
      </c>
      <c r="G411" t="s">
        <v>2664</v>
      </c>
      <c r="H411">
        <v>1635.7172240499999</v>
      </c>
      <c r="I411">
        <v>1779.9549529999999</v>
      </c>
      <c r="J411">
        <v>1746.19718665</v>
      </c>
      <c r="K411">
        <v>2003.98376605</v>
      </c>
      <c r="L411">
        <v>1948.74378475</v>
      </c>
      <c r="M411" t="s">
        <v>988</v>
      </c>
    </row>
    <row r="412" spans="1:13" x14ac:dyDescent="0.3">
      <c r="A412">
        <v>1619</v>
      </c>
      <c r="B412" t="s">
        <v>1713</v>
      </c>
      <c r="C412" t="s">
        <v>2667</v>
      </c>
      <c r="D412" t="s">
        <v>1203</v>
      </c>
      <c r="E412" t="s">
        <v>1204</v>
      </c>
      <c r="F412">
        <v>5467</v>
      </c>
      <c r="G412" t="s">
        <v>2665</v>
      </c>
      <c r="H412">
        <v>13272.93995125</v>
      </c>
      <c r="I412">
        <v>13733.273128749999</v>
      </c>
      <c r="J412">
        <v>14196.6751941</v>
      </c>
      <c r="K412">
        <v>14657.008371600001</v>
      </c>
      <c r="L412">
        <v>15089.721558450001</v>
      </c>
      <c r="M412" t="s">
        <v>988</v>
      </c>
    </row>
    <row r="413" spans="1:13" x14ac:dyDescent="0.3">
      <c r="A413">
        <v>1619</v>
      </c>
      <c r="B413" t="s">
        <v>1713</v>
      </c>
      <c r="C413" t="s">
        <v>2667</v>
      </c>
      <c r="D413" t="s">
        <v>1203</v>
      </c>
      <c r="E413" t="s">
        <v>1204</v>
      </c>
      <c r="F413">
        <v>5467</v>
      </c>
      <c r="G413" t="s">
        <v>2664</v>
      </c>
      <c r="H413">
        <v>10618.351961</v>
      </c>
      <c r="I413">
        <v>13733.273128749999</v>
      </c>
      <c r="J413">
        <v>14196.6751941</v>
      </c>
      <c r="K413">
        <v>14657.008371600001</v>
      </c>
      <c r="L413">
        <v>15089.721558450001</v>
      </c>
      <c r="M413" t="s">
        <v>988</v>
      </c>
    </row>
    <row r="414" spans="1:13" x14ac:dyDescent="0.3">
      <c r="A414">
        <v>1626</v>
      </c>
      <c r="B414" t="s">
        <v>1716</v>
      </c>
      <c r="C414" t="s">
        <v>2667</v>
      </c>
      <c r="D414" t="s">
        <v>1203</v>
      </c>
      <c r="E414" t="s">
        <v>1204</v>
      </c>
      <c r="F414">
        <v>5700</v>
      </c>
      <c r="G414" t="s">
        <v>2664</v>
      </c>
      <c r="H414">
        <v>8996</v>
      </c>
      <c r="I414">
        <v>10874</v>
      </c>
      <c r="J414">
        <v>12713</v>
      </c>
      <c r="K414">
        <v>15104</v>
      </c>
      <c r="L414">
        <v>17495</v>
      </c>
      <c r="M414" t="s">
        <v>988</v>
      </c>
    </row>
    <row r="415" spans="1:13" x14ac:dyDescent="0.3">
      <c r="A415">
        <v>1626</v>
      </c>
      <c r="B415" t="s">
        <v>1716</v>
      </c>
      <c r="C415" t="s">
        <v>2667</v>
      </c>
      <c r="D415" t="s">
        <v>1203</v>
      </c>
      <c r="E415" t="s">
        <v>1204</v>
      </c>
      <c r="F415">
        <v>5700</v>
      </c>
      <c r="G415" t="s">
        <v>2665</v>
      </c>
      <c r="H415">
        <v>8996</v>
      </c>
      <c r="I415">
        <v>10874</v>
      </c>
      <c r="J415">
        <v>12713</v>
      </c>
      <c r="K415">
        <v>15104</v>
      </c>
      <c r="L415">
        <v>17495</v>
      </c>
      <c r="M415" t="s">
        <v>988</v>
      </c>
    </row>
    <row r="416" spans="1:13" x14ac:dyDescent="0.3">
      <c r="A416">
        <v>1631</v>
      </c>
      <c r="B416" t="s">
        <v>1717</v>
      </c>
      <c r="C416" t="s">
        <v>2667</v>
      </c>
      <c r="D416" t="s">
        <v>159</v>
      </c>
      <c r="E416" t="s">
        <v>159</v>
      </c>
      <c r="F416">
        <v>6740</v>
      </c>
      <c r="G416" t="s">
        <v>2665</v>
      </c>
      <c r="H416">
        <v>63666</v>
      </c>
      <c r="I416">
        <v>68289</v>
      </c>
      <c r="J416">
        <v>70700</v>
      </c>
      <c r="K416">
        <v>72833</v>
      </c>
      <c r="L416">
        <v>74967</v>
      </c>
      <c r="M416" t="s">
        <v>988</v>
      </c>
    </row>
    <row r="417" spans="1:13" x14ac:dyDescent="0.3">
      <c r="A417">
        <v>1631</v>
      </c>
      <c r="B417" t="s">
        <v>1717</v>
      </c>
      <c r="C417" t="s">
        <v>2667</v>
      </c>
      <c r="D417" t="s">
        <v>159</v>
      </c>
      <c r="E417" t="s">
        <v>159</v>
      </c>
      <c r="F417">
        <v>6740</v>
      </c>
      <c r="G417" t="s">
        <v>2664</v>
      </c>
      <c r="H417">
        <v>63666</v>
      </c>
      <c r="I417">
        <v>68289</v>
      </c>
      <c r="J417">
        <v>70700</v>
      </c>
      <c r="K417">
        <v>72833</v>
      </c>
      <c r="L417">
        <v>74967</v>
      </c>
      <c r="M417" t="s">
        <v>988</v>
      </c>
    </row>
    <row r="418" spans="1:13" x14ac:dyDescent="0.3">
      <c r="A418">
        <v>1639</v>
      </c>
      <c r="B418" t="s">
        <v>1719</v>
      </c>
      <c r="C418" t="s">
        <v>2667</v>
      </c>
      <c r="D418" t="s">
        <v>1203</v>
      </c>
      <c r="E418" t="s">
        <v>1204</v>
      </c>
      <c r="F418">
        <v>5507</v>
      </c>
      <c r="G418" t="s">
        <v>2664</v>
      </c>
      <c r="H418">
        <v>7274</v>
      </c>
      <c r="I418">
        <v>7649</v>
      </c>
      <c r="J418">
        <v>7786</v>
      </c>
      <c r="K418">
        <v>7924</v>
      </c>
      <c r="L418">
        <v>8066</v>
      </c>
      <c r="M418" t="s">
        <v>988</v>
      </c>
    </row>
    <row r="419" spans="1:13" x14ac:dyDescent="0.3">
      <c r="A419">
        <v>1639</v>
      </c>
      <c r="B419" t="s">
        <v>1719</v>
      </c>
      <c r="C419" t="s">
        <v>2667</v>
      </c>
      <c r="D419" t="s">
        <v>1203</v>
      </c>
      <c r="E419" t="s">
        <v>1204</v>
      </c>
      <c r="F419">
        <v>5507</v>
      </c>
      <c r="G419" t="s">
        <v>2665</v>
      </c>
      <c r="H419">
        <v>7274</v>
      </c>
      <c r="I419">
        <v>7649</v>
      </c>
      <c r="J419">
        <v>7786</v>
      </c>
      <c r="K419">
        <v>7924</v>
      </c>
      <c r="L419">
        <v>8066</v>
      </c>
      <c r="M419" t="s">
        <v>988</v>
      </c>
    </row>
    <row r="420" spans="1:13" x14ac:dyDescent="0.3">
      <c r="A420">
        <v>1642</v>
      </c>
      <c r="B420" t="s">
        <v>1720</v>
      </c>
      <c r="C420" t="s">
        <v>2667</v>
      </c>
      <c r="D420" t="s">
        <v>1203</v>
      </c>
      <c r="E420" t="s">
        <v>1204</v>
      </c>
      <c r="F420">
        <v>5531</v>
      </c>
      <c r="G420" t="s">
        <v>2664</v>
      </c>
      <c r="H420">
        <v>17050</v>
      </c>
      <c r="I420">
        <v>17447</v>
      </c>
      <c r="J420">
        <v>18182</v>
      </c>
      <c r="K420">
        <v>18496</v>
      </c>
      <c r="L420">
        <v>18816</v>
      </c>
      <c r="M420" t="s">
        <v>988</v>
      </c>
    </row>
    <row r="421" spans="1:13" x14ac:dyDescent="0.3">
      <c r="A421">
        <v>1642</v>
      </c>
      <c r="B421" t="s">
        <v>1720</v>
      </c>
      <c r="C421" t="s">
        <v>2667</v>
      </c>
      <c r="D421" t="s">
        <v>1203</v>
      </c>
      <c r="E421" t="s">
        <v>1204</v>
      </c>
      <c r="F421">
        <v>5531</v>
      </c>
      <c r="G421" t="s">
        <v>2665</v>
      </c>
      <c r="H421">
        <v>17050</v>
      </c>
      <c r="I421">
        <v>17447</v>
      </c>
      <c r="J421">
        <v>18182</v>
      </c>
      <c r="K421">
        <v>18496</v>
      </c>
      <c r="L421">
        <v>18816</v>
      </c>
      <c r="M421" t="s">
        <v>988</v>
      </c>
    </row>
    <row r="422" spans="1:13" x14ac:dyDescent="0.3">
      <c r="A422">
        <v>1644</v>
      </c>
      <c r="B422" t="s">
        <v>1721</v>
      </c>
      <c r="C422" t="s">
        <v>2667</v>
      </c>
      <c r="D422" t="s">
        <v>1203</v>
      </c>
      <c r="E422" t="s">
        <v>1204</v>
      </c>
      <c r="F422">
        <v>5943</v>
      </c>
      <c r="G422" t="s">
        <v>2665</v>
      </c>
      <c r="H422">
        <v>3716</v>
      </c>
      <c r="I422">
        <v>3745</v>
      </c>
      <c r="J422">
        <v>3775</v>
      </c>
      <c r="K422">
        <v>3804</v>
      </c>
      <c r="L422">
        <v>3834</v>
      </c>
      <c r="M422" t="s">
        <v>988</v>
      </c>
    </row>
    <row r="423" spans="1:13" x14ac:dyDescent="0.3">
      <c r="A423">
        <v>1644</v>
      </c>
      <c r="B423" t="s">
        <v>1721</v>
      </c>
      <c r="C423" t="s">
        <v>2667</v>
      </c>
      <c r="D423" t="s">
        <v>1203</v>
      </c>
      <c r="E423" t="s">
        <v>1204</v>
      </c>
      <c r="F423">
        <v>5943</v>
      </c>
      <c r="G423" t="s">
        <v>2664</v>
      </c>
      <c r="H423">
        <v>4379</v>
      </c>
      <c r="I423">
        <v>4379</v>
      </c>
      <c r="J423">
        <v>4379</v>
      </c>
      <c r="K423">
        <v>4379</v>
      </c>
      <c r="L423">
        <v>4379</v>
      </c>
      <c r="M423" t="s">
        <v>988</v>
      </c>
    </row>
    <row r="424" spans="1:13" x14ac:dyDescent="0.3">
      <c r="A424">
        <v>1645</v>
      </c>
      <c r="B424" t="s">
        <v>1722</v>
      </c>
      <c r="C424" t="s">
        <v>2667</v>
      </c>
      <c r="D424" t="s">
        <v>159</v>
      </c>
      <c r="E424" t="s">
        <v>159</v>
      </c>
      <c r="F424">
        <v>7917</v>
      </c>
      <c r="G424" t="s">
        <v>2665</v>
      </c>
      <c r="H424">
        <v>5098</v>
      </c>
      <c r="I424">
        <v>5241</v>
      </c>
      <c r="J424">
        <v>5356</v>
      </c>
      <c r="K424">
        <v>5499</v>
      </c>
      <c r="M424" t="s">
        <v>988</v>
      </c>
    </row>
    <row r="425" spans="1:13" x14ac:dyDescent="0.3">
      <c r="A425">
        <v>1645</v>
      </c>
      <c r="B425" t="s">
        <v>1722</v>
      </c>
      <c r="C425" t="s">
        <v>2667</v>
      </c>
      <c r="D425" t="s">
        <v>159</v>
      </c>
      <c r="E425" t="s">
        <v>159</v>
      </c>
      <c r="F425">
        <v>7917</v>
      </c>
      <c r="G425" t="s">
        <v>2664</v>
      </c>
      <c r="H425">
        <v>5123</v>
      </c>
      <c r="I425">
        <v>5656</v>
      </c>
      <c r="J425">
        <v>5689</v>
      </c>
      <c r="K425">
        <v>5722</v>
      </c>
      <c r="M425" t="s">
        <v>988</v>
      </c>
    </row>
    <row r="426" spans="1:13" x14ac:dyDescent="0.3">
      <c r="A426">
        <v>1650</v>
      </c>
      <c r="B426" t="s">
        <v>1724</v>
      </c>
      <c r="C426" t="s">
        <v>2667</v>
      </c>
      <c r="D426" t="s">
        <v>1203</v>
      </c>
      <c r="E426" t="s">
        <v>1204</v>
      </c>
      <c r="F426">
        <v>5505</v>
      </c>
      <c r="G426" t="s">
        <v>2664</v>
      </c>
      <c r="H426">
        <v>8671</v>
      </c>
      <c r="I426">
        <v>8768</v>
      </c>
      <c r="J426">
        <v>8866</v>
      </c>
      <c r="K426">
        <v>8965</v>
      </c>
      <c r="L426">
        <v>9066</v>
      </c>
      <c r="M426" t="s">
        <v>988</v>
      </c>
    </row>
    <row r="427" spans="1:13" x14ac:dyDescent="0.3">
      <c r="A427">
        <v>1650</v>
      </c>
      <c r="B427" t="s">
        <v>1724</v>
      </c>
      <c r="C427" t="s">
        <v>2667</v>
      </c>
      <c r="D427" t="s">
        <v>1203</v>
      </c>
      <c r="E427" t="s">
        <v>1204</v>
      </c>
      <c r="F427">
        <v>5505</v>
      </c>
      <c r="G427" t="s">
        <v>2665</v>
      </c>
      <c r="H427">
        <v>8671</v>
      </c>
      <c r="I427">
        <v>8768</v>
      </c>
      <c r="J427">
        <v>8866</v>
      </c>
      <c r="K427">
        <v>8965</v>
      </c>
      <c r="L427">
        <v>9066</v>
      </c>
      <c r="M427" t="s">
        <v>988</v>
      </c>
    </row>
    <row r="428" spans="1:13" x14ac:dyDescent="0.3">
      <c r="A428">
        <v>1656</v>
      </c>
      <c r="B428" t="s">
        <v>1725</v>
      </c>
      <c r="C428" t="s">
        <v>2667</v>
      </c>
      <c r="D428" t="s">
        <v>1203</v>
      </c>
      <c r="E428" t="s">
        <v>1204</v>
      </c>
      <c r="F428">
        <v>6765</v>
      </c>
      <c r="G428" t="s">
        <v>2664</v>
      </c>
      <c r="H428">
        <v>19840</v>
      </c>
      <c r="I428">
        <v>20400</v>
      </c>
      <c r="J428">
        <v>21040</v>
      </c>
      <c r="K428">
        <v>21600</v>
      </c>
      <c r="L428">
        <v>22160</v>
      </c>
      <c r="M428" t="s">
        <v>988</v>
      </c>
    </row>
    <row r="429" spans="1:13" x14ac:dyDescent="0.3">
      <c r="A429">
        <v>1656</v>
      </c>
      <c r="B429" t="s">
        <v>1725</v>
      </c>
      <c r="C429" t="s">
        <v>2667</v>
      </c>
      <c r="D429" t="s">
        <v>1203</v>
      </c>
      <c r="E429" t="s">
        <v>1204</v>
      </c>
      <c r="F429">
        <v>6765</v>
      </c>
      <c r="G429" t="s">
        <v>2665</v>
      </c>
      <c r="H429">
        <v>8671</v>
      </c>
      <c r="I429">
        <v>10181</v>
      </c>
      <c r="J429">
        <v>11623</v>
      </c>
      <c r="K429">
        <v>13008</v>
      </c>
      <c r="L429">
        <v>14372</v>
      </c>
      <c r="M429" t="s">
        <v>988</v>
      </c>
    </row>
    <row r="430" spans="1:13" x14ac:dyDescent="0.3">
      <c r="A430">
        <v>1660</v>
      </c>
      <c r="B430" t="s">
        <v>1727</v>
      </c>
      <c r="C430" t="s">
        <v>2667</v>
      </c>
      <c r="D430" t="s">
        <v>1203</v>
      </c>
      <c r="E430" t="s">
        <v>1204</v>
      </c>
      <c r="F430">
        <v>5935</v>
      </c>
      <c r="G430" t="s">
        <v>2664</v>
      </c>
      <c r="H430">
        <v>1702</v>
      </c>
      <c r="I430">
        <v>1702</v>
      </c>
      <c r="J430">
        <v>1702</v>
      </c>
      <c r="K430">
        <v>1702</v>
      </c>
      <c r="L430">
        <v>1702</v>
      </c>
      <c r="M430" t="s">
        <v>988</v>
      </c>
    </row>
    <row r="431" spans="1:13" x14ac:dyDescent="0.3">
      <c r="A431">
        <v>1660</v>
      </c>
      <c r="B431" t="s">
        <v>1727</v>
      </c>
      <c r="C431" t="s">
        <v>2667</v>
      </c>
      <c r="D431" t="s">
        <v>1203</v>
      </c>
      <c r="E431" t="s">
        <v>1204</v>
      </c>
      <c r="F431">
        <v>5935</v>
      </c>
      <c r="G431" t="s">
        <v>2665</v>
      </c>
      <c r="H431">
        <v>1333</v>
      </c>
      <c r="I431">
        <v>1366</v>
      </c>
      <c r="J431">
        <v>1400</v>
      </c>
      <c r="K431">
        <v>1445</v>
      </c>
      <c r="L431">
        <v>1445</v>
      </c>
      <c r="M431" t="s">
        <v>988</v>
      </c>
    </row>
    <row r="432" spans="1:13" x14ac:dyDescent="0.3">
      <c r="A432">
        <v>1663</v>
      </c>
      <c r="B432" t="s">
        <v>1728</v>
      </c>
      <c r="C432" t="s">
        <v>2667</v>
      </c>
      <c r="D432" t="s">
        <v>159</v>
      </c>
      <c r="E432" t="s">
        <v>159</v>
      </c>
      <c r="F432">
        <v>7831</v>
      </c>
      <c r="G432" t="s">
        <v>2664</v>
      </c>
      <c r="H432">
        <v>33435</v>
      </c>
      <c r="I432">
        <v>33111</v>
      </c>
      <c r="J432">
        <v>32933</v>
      </c>
      <c r="K432">
        <v>32790</v>
      </c>
      <c r="L432">
        <v>32588</v>
      </c>
      <c r="M432" t="s">
        <v>988</v>
      </c>
    </row>
    <row r="433" spans="1:13" x14ac:dyDescent="0.3">
      <c r="A433">
        <v>1663</v>
      </c>
      <c r="B433" t="s">
        <v>1728</v>
      </c>
      <c r="C433" t="s">
        <v>2667</v>
      </c>
      <c r="D433" t="s">
        <v>159</v>
      </c>
      <c r="E433" t="s">
        <v>159</v>
      </c>
      <c r="F433">
        <v>7831</v>
      </c>
      <c r="G433" t="s">
        <v>2665</v>
      </c>
      <c r="H433">
        <v>33435</v>
      </c>
      <c r="I433">
        <v>33111</v>
      </c>
      <c r="J433">
        <v>32933</v>
      </c>
      <c r="K433">
        <v>32790</v>
      </c>
      <c r="L433">
        <v>32588</v>
      </c>
      <c r="M433" t="s">
        <v>988</v>
      </c>
    </row>
    <row r="434" spans="1:13" x14ac:dyDescent="0.3">
      <c r="A434">
        <v>1671</v>
      </c>
      <c r="B434" t="s">
        <v>1736</v>
      </c>
      <c r="C434" t="s">
        <v>2667</v>
      </c>
      <c r="D434" t="s">
        <v>1203</v>
      </c>
      <c r="E434" t="s">
        <v>1204</v>
      </c>
      <c r="F434">
        <v>5775</v>
      </c>
      <c r="G434" t="s">
        <v>2665</v>
      </c>
      <c r="H434">
        <v>12058</v>
      </c>
      <c r="I434">
        <v>12548</v>
      </c>
      <c r="J434">
        <v>13064</v>
      </c>
      <c r="K434">
        <v>13607</v>
      </c>
      <c r="L434">
        <v>14163</v>
      </c>
      <c r="M434" t="s">
        <v>988</v>
      </c>
    </row>
    <row r="435" spans="1:13" x14ac:dyDescent="0.3">
      <c r="A435">
        <v>1671</v>
      </c>
      <c r="B435" t="s">
        <v>1736</v>
      </c>
      <c r="C435" t="s">
        <v>2667</v>
      </c>
      <c r="D435" t="s">
        <v>1203</v>
      </c>
      <c r="E435" t="s">
        <v>1204</v>
      </c>
      <c r="F435">
        <v>5775</v>
      </c>
      <c r="G435" t="s">
        <v>2664</v>
      </c>
      <c r="H435">
        <v>9646</v>
      </c>
      <c r="I435">
        <v>10038</v>
      </c>
      <c r="J435">
        <v>10451</v>
      </c>
      <c r="K435">
        <v>10886</v>
      </c>
      <c r="L435">
        <v>11330</v>
      </c>
      <c r="M435" t="s">
        <v>988</v>
      </c>
    </row>
    <row r="436" spans="1:13" x14ac:dyDescent="0.3">
      <c r="A436">
        <v>1697</v>
      </c>
      <c r="B436" t="s">
        <v>1737</v>
      </c>
      <c r="C436" t="s">
        <v>2667</v>
      </c>
      <c r="D436" t="s">
        <v>1203</v>
      </c>
      <c r="E436" t="s">
        <v>1204</v>
      </c>
      <c r="F436">
        <v>5833</v>
      </c>
      <c r="G436" t="s">
        <v>2665</v>
      </c>
      <c r="H436">
        <v>4376</v>
      </c>
      <c r="I436">
        <v>4539</v>
      </c>
      <c r="J436">
        <v>4702</v>
      </c>
      <c r="K436">
        <v>4737</v>
      </c>
      <c r="L436">
        <v>4771</v>
      </c>
      <c r="M436" t="s">
        <v>988</v>
      </c>
    </row>
    <row r="437" spans="1:13" x14ac:dyDescent="0.3">
      <c r="A437">
        <v>1697</v>
      </c>
      <c r="B437" t="s">
        <v>1737</v>
      </c>
      <c r="C437" t="s">
        <v>2667</v>
      </c>
      <c r="D437" t="s">
        <v>1203</v>
      </c>
      <c r="E437" t="s">
        <v>1204</v>
      </c>
      <c r="F437">
        <v>5833</v>
      </c>
      <c r="G437" t="s">
        <v>2664</v>
      </c>
      <c r="H437">
        <v>4376</v>
      </c>
      <c r="I437">
        <v>4539</v>
      </c>
      <c r="J437">
        <v>4702</v>
      </c>
      <c r="K437">
        <v>4737</v>
      </c>
      <c r="L437">
        <v>4771</v>
      </c>
      <c r="M437" t="s">
        <v>988</v>
      </c>
    </row>
    <row r="438" spans="1:13" x14ac:dyDescent="0.3">
      <c r="A438">
        <v>1701</v>
      </c>
      <c r="B438" t="s">
        <v>1739</v>
      </c>
      <c r="C438" t="s">
        <v>2667</v>
      </c>
      <c r="D438" t="s">
        <v>1203</v>
      </c>
      <c r="E438" t="s">
        <v>1204</v>
      </c>
      <c r="F438">
        <v>5884</v>
      </c>
      <c r="G438" t="s">
        <v>2664</v>
      </c>
      <c r="H438">
        <v>17702</v>
      </c>
      <c r="I438">
        <v>17962</v>
      </c>
      <c r="J438">
        <v>16275</v>
      </c>
      <c r="K438">
        <v>16275</v>
      </c>
      <c r="L438">
        <v>16275</v>
      </c>
      <c r="M438" t="s">
        <v>988</v>
      </c>
    </row>
    <row r="439" spans="1:13" x14ac:dyDescent="0.3">
      <c r="A439">
        <v>1701</v>
      </c>
      <c r="B439" t="s">
        <v>1739</v>
      </c>
      <c r="C439" t="s">
        <v>2667</v>
      </c>
      <c r="D439" t="s">
        <v>1203</v>
      </c>
      <c r="E439" t="s">
        <v>1204</v>
      </c>
      <c r="F439">
        <v>5884</v>
      </c>
      <c r="G439" t="s">
        <v>2665</v>
      </c>
      <c r="H439">
        <v>15065</v>
      </c>
      <c r="I439">
        <v>15750</v>
      </c>
      <c r="J439">
        <v>16100</v>
      </c>
      <c r="K439">
        <v>16425</v>
      </c>
      <c r="L439">
        <v>16650</v>
      </c>
      <c r="M439" t="s">
        <v>988</v>
      </c>
    </row>
    <row r="440" spans="1:13" x14ac:dyDescent="0.3">
      <c r="A440">
        <v>1718</v>
      </c>
      <c r="B440" t="s">
        <v>1747</v>
      </c>
      <c r="C440" t="s">
        <v>2667</v>
      </c>
      <c r="D440" t="s">
        <v>1203</v>
      </c>
      <c r="E440" t="s">
        <v>1204</v>
      </c>
      <c r="F440">
        <v>5882</v>
      </c>
      <c r="G440" t="s">
        <v>2665</v>
      </c>
      <c r="H440">
        <v>177436</v>
      </c>
      <c r="I440">
        <v>181723</v>
      </c>
      <c r="J440">
        <v>186173</v>
      </c>
      <c r="K440">
        <v>190621</v>
      </c>
      <c r="M440" t="s">
        <v>988</v>
      </c>
    </row>
    <row r="441" spans="1:13" x14ac:dyDescent="0.3">
      <c r="A441">
        <v>1718</v>
      </c>
      <c r="B441" t="s">
        <v>1747</v>
      </c>
      <c r="C441" t="s">
        <v>2667</v>
      </c>
      <c r="D441" t="s">
        <v>1203</v>
      </c>
      <c r="E441" t="s">
        <v>1204</v>
      </c>
      <c r="F441">
        <v>5882</v>
      </c>
      <c r="G441" t="s">
        <v>2664</v>
      </c>
      <c r="H441">
        <v>91807</v>
      </c>
      <c r="I441">
        <v>91807</v>
      </c>
      <c r="J441">
        <v>91807</v>
      </c>
      <c r="K441">
        <v>91807</v>
      </c>
      <c r="M441" t="s">
        <v>988</v>
      </c>
    </row>
    <row r="442" spans="1:13" x14ac:dyDescent="0.3">
      <c r="A442">
        <v>1729</v>
      </c>
      <c r="B442" t="s">
        <v>1751</v>
      </c>
      <c r="C442" t="s">
        <v>2667</v>
      </c>
      <c r="D442" t="s">
        <v>1203</v>
      </c>
      <c r="E442" t="s">
        <v>1204</v>
      </c>
      <c r="F442">
        <v>6758</v>
      </c>
      <c r="G442" t="s">
        <v>2664</v>
      </c>
      <c r="H442">
        <v>2510.3502613000001</v>
      </c>
      <c r="I442">
        <v>2694.4835323000002</v>
      </c>
      <c r="J442">
        <v>2893.96124255</v>
      </c>
      <c r="K442">
        <v>3111.8522799000002</v>
      </c>
      <c r="L442">
        <v>3354.2944200500001</v>
      </c>
      <c r="M442" t="s">
        <v>988</v>
      </c>
    </row>
    <row r="443" spans="1:13" x14ac:dyDescent="0.3">
      <c r="A443">
        <v>1729</v>
      </c>
      <c r="B443" t="s">
        <v>1751</v>
      </c>
      <c r="C443" t="s">
        <v>2667</v>
      </c>
      <c r="D443" t="s">
        <v>1203</v>
      </c>
      <c r="E443" t="s">
        <v>1204</v>
      </c>
      <c r="F443">
        <v>6758</v>
      </c>
      <c r="G443" t="s">
        <v>2665</v>
      </c>
      <c r="H443">
        <v>2510.3502613000001</v>
      </c>
      <c r="I443">
        <v>2694.4835323000002</v>
      </c>
      <c r="J443">
        <v>2893.96124255</v>
      </c>
      <c r="K443">
        <v>3111.8522799000002</v>
      </c>
      <c r="L443">
        <v>3354.2944200500001</v>
      </c>
      <c r="M443" t="s">
        <v>988</v>
      </c>
    </row>
    <row r="444" spans="1:13" x14ac:dyDescent="0.3">
      <c r="A444">
        <v>1730</v>
      </c>
      <c r="B444" t="s">
        <v>1757</v>
      </c>
      <c r="C444" t="s">
        <v>2667</v>
      </c>
      <c r="D444" t="s">
        <v>159</v>
      </c>
      <c r="E444" t="s">
        <v>159</v>
      </c>
      <c r="F444">
        <v>7710</v>
      </c>
      <c r="G444" t="s">
        <v>2664</v>
      </c>
      <c r="H444">
        <v>15758</v>
      </c>
      <c r="I444">
        <v>16293</v>
      </c>
      <c r="J444">
        <v>16448</v>
      </c>
      <c r="K444">
        <v>16623</v>
      </c>
      <c r="L444">
        <v>16584</v>
      </c>
      <c r="M444" t="s">
        <v>988</v>
      </c>
    </row>
    <row r="445" spans="1:13" x14ac:dyDescent="0.3">
      <c r="A445">
        <v>1730</v>
      </c>
      <c r="B445" t="s">
        <v>1757</v>
      </c>
      <c r="C445" t="s">
        <v>2667</v>
      </c>
      <c r="D445" t="s">
        <v>159</v>
      </c>
      <c r="E445" t="s">
        <v>159</v>
      </c>
      <c r="F445">
        <v>7710</v>
      </c>
      <c r="G445" t="s">
        <v>2665</v>
      </c>
      <c r="H445">
        <v>15758</v>
      </c>
      <c r="I445">
        <v>16293</v>
      </c>
      <c r="J445">
        <v>16448</v>
      </c>
      <c r="K445">
        <v>16623</v>
      </c>
      <c r="L445">
        <v>16584</v>
      </c>
      <c r="M445" t="s">
        <v>988</v>
      </c>
    </row>
    <row r="446" spans="1:13" x14ac:dyDescent="0.3">
      <c r="A446">
        <v>1731</v>
      </c>
      <c r="B446" t="s">
        <v>1758</v>
      </c>
      <c r="C446" t="s">
        <v>2667</v>
      </c>
      <c r="D446" t="s">
        <v>1203</v>
      </c>
      <c r="E446" t="s">
        <v>1204</v>
      </c>
      <c r="F446">
        <v>6882</v>
      </c>
      <c r="G446" t="s">
        <v>2665</v>
      </c>
      <c r="H446">
        <v>3128</v>
      </c>
      <c r="I446">
        <v>3369</v>
      </c>
      <c r="J446">
        <v>3438</v>
      </c>
      <c r="K446">
        <v>3505</v>
      </c>
      <c r="L446">
        <v>3573</v>
      </c>
      <c r="M446" t="s">
        <v>988</v>
      </c>
    </row>
    <row r="447" spans="1:13" x14ac:dyDescent="0.3">
      <c r="A447">
        <v>1731</v>
      </c>
      <c r="B447" t="s">
        <v>1758</v>
      </c>
      <c r="C447" t="s">
        <v>2667</v>
      </c>
      <c r="D447" t="s">
        <v>1203</v>
      </c>
      <c r="E447" t="s">
        <v>1204</v>
      </c>
      <c r="F447">
        <v>6882</v>
      </c>
      <c r="G447" t="s">
        <v>2664</v>
      </c>
      <c r="H447">
        <v>5027</v>
      </c>
      <c r="I447">
        <v>5027</v>
      </c>
      <c r="J447">
        <v>5027</v>
      </c>
      <c r="K447">
        <v>5027</v>
      </c>
      <c r="L447">
        <v>5027</v>
      </c>
      <c r="M447" t="s">
        <v>988</v>
      </c>
    </row>
    <row r="448" spans="1:13" x14ac:dyDescent="0.3">
      <c r="A448">
        <v>1732</v>
      </c>
      <c r="B448" t="s">
        <v>1759</v>
      </c>
      <c r="C448" t="s">
        <v>2667</v>
      </c>
      <c r="D448" t="s">
        <v>1203</v>
      </c>
      <c r="E448" t="s">
        <v>1204</v>
      </c>
      <c r="F448">
        <v>5722</v>
      </c>
      <c r="G448" t="s">
        <v>2664</v>
      </c>
      <c r="H448">
        <v>14400</v>
      </c>
      <c r="I448">
        <v>14400</v>
      </c>
      <c r="J448">
        <v>14400</v>
      </c>
      <c r="K448">
        <v>14400</v>
      </c>
      <c r="L448">
        <v>14400</v>
      </c>
      <c r="M448" t="s">
        <v>988</v>
      </c>
    </row>
    <row r="449" spans="1:13" x14ac:dyDescent="0.3">
      <c r="A449">
        <v>1732</v>
      </c>
      <c r="B449" t="s">
        <v>1759</v>
      </c>
      <c r="C449" t="s">
        <v>2667</v>
      </c>
      <c r="D449" t="s">
        <v>1203</v>
      </c>
      <c r="E449" t="s">
        <v>1204</v>
      </c>
      <c r="F449">
        <v>5722</v>
      </c>
      <c r="G449" t="s">
        <v>2665</v>
      </c>
      <c r="H449">
        <v>7275</v>
      </c>
      <c r="I449">
        <v>7557</v>
      </c>
      <c r="J449">
        <v>7739</v>
      </c>
      <c r="K449">
        <v>8016</v>
      </c>
      <c r="L449">
        <v>8096</v>
      </c>
      <c r="M449" t="s">
        <v>988</v>
      </c>
    </row>
    <row r="450" spans="1:13" x14ac:dyDescent="0.3">
      <c r="A450">
        <v>1739</v>
      </c>
      <c r="B450" t="s">
        <v>1760</v>
      </c>
      <c r="C450" t="s">
        <v>2667</v>
      </c>
      <c r="D450" t="s">
        <v>1203</v>
      </c>
      <c r="E450" t="s">
        <v>1204</v>
      </c>
      <c r="F450">
        <v>5806</v>
      </c>
      <c r="G450" t="s">
        <v>2664</v>
      </c>
      <c r="H450">
        <v>1695.3150260970001</v>
      </c>
      <c r="I450">
        <v>1684.1135854444999</v>
      </c>
      <c r="J450">
        <v>1695.3150260970001</v>
      </c>
      <c r="K450">
        <v>1695.3150260970001</v>
      </c>
      <c r="L450">
        <v>1460.0847723945001</v>
      </c>
      <c r="M450" t="s">
        <v>988</v>
      </c>
    </row>
    <row r="451" spans="1:13" x14ac:dyDescent="0.3">
      <c r="A451">
        <v>1739</v>
      </c>
      <c r="B451" t="s">
        <v>1760</v>
      </c>
      <c r="C451" t="s">
        <v>2667</v>
      </c>
      <c r="D451" t="s">
        <v>1203</v>
      </c>
      <c r="E451" t="s">
        <v>1204</v>
      </c>
      <c r="F451">
        <v>5806</v>
      </c>
      <c r="G451" t="s">
        <v>2665</v>
      </c>
      <c r="H451">
        <v>2623.9348241023699</v>
      </c>
      <c r="I451">
        <v>2572.1578431492999</v>
      </c>
      <c r="J451">
        <v>2536.67175266391</v>
      </c>
      <c r="K451">
        <v>2534.6550653540098</v>
      </c>
      <c r="L451">
        <v>2539.7793336534501</v>
      </c>
      <c r="M451" t="s">
        <v>988</v>
      </c>
    </row>
    <row r="452" spans="1:13" x14ac:dyDescent="0.3">
      <c r="A452">
        <v>1748</v>
      </c>
      <c r="B452" t="s">
        <v>1764</v>
      </c>
      <c r="C452" t="s">
        <v>2667</v>
      </c>
      <c r="D452" t="s">
        <v>1203</v>
      </c>
      <c r="E452" t="s">
        <v>1204</v>
      </c>
      <c r="F452">
        <v>5739</v>
      </c>
      <c r="G452" t="s">
        <v>2665</v>
      </c>
      <c r="H452">
        <v>10678.92</v>
      </c>
      <c r="I452">
        <v>10857.34</v>
      </c>
      <c r="J452">
        <v>11085.23</v>
      </c>
      <c r="K452">
        <v>11108.18</v>
      </c>
      <c r="L452">
        <v>11151.71</v>
      </c>
      <c r="M452" t="s">
        <v>988</v>
      </c>
    </row>
    <row r="453" spans="1:13" x14ac:dyDescent="0.3">
      <c r="A453">
        <v>1748</v>
      </c>
      <c r="B453" t="s">
        <v>1764</v>
      </c>
      <c r="C453" t="s">
        <v>2667</v>
      </c>
      <c r="D453" t="s">
        <v>1203</v>
      </c>
      <c r="E453" t="s">
        <v>1204</v>
      </c>
      <c r="F453">
        <v>5739</v>
      </c>
      <c r="G453" t="s">
        <v>2664</v>
      </c>
      <c r="H453">
        <v>15913</v>
      </c>
      <c r="I453">
        <v>13684.1</v>
      </c>
      <c r="J453">
        <v>13585.3</v>
      </c>
      <c r="K453">
        <v>13472.4</v>
      </c>
      <c r="L453">
        <v>13345.4</v>
      </c>
      <c r="M453" t="s">
        <v>988</v>
      </c>
    </row>
    <row r="454" spans="1:13" x14ac:dyDescent="0.3">
      <c r="A454">
        <v>1752</v>
      </c>
      <c r="B454" t="s">
        <v>1769</v>
      </c>
      <c r="C454" t="s">
        <v>2667</v>
      </c>
      <c r="D454" t="s">
        <v>1203</v>
      </c>
      <c r="E454" t="s">
        <v>1204</v>
      </c>
      <c r="F454">
        <v>5545</v>
      </c>
      <c r="G454" t="s">
        <v>2664</v>
      </c>
      <c r="H454">
        <v>1163.10849515</v>
      </c>
      <c r="I454">
        <v>1184.5907101</v>
      </c>
      <c r="J454">
        <v>1206.0729250500001</v>
      </c>
      <c r="K454">
        <v>1227.5551399999999</v>
      </c>
      <c r="L454">
        <v>1258.2440185</v>
      </c>
      <c r="M454" t="s">
        <v>988</v>
      </c>
    </row>
    <row r="455" spans="1:13" x14ac:dyDescent="0.3">
      <c r="A455">
        <v>1752</v>
      </c>
      <c r="B455" t="s">
        <v>1769</v>
      </c>
      <c r="C455" t="s">
        <v>2667</v>
      </c>
      <c r="D455" t="s">
        <v>1203</v>
      </c>
      <c r="E455" t="s">
        <v>1204</v>
      </c>
      <c r="F455">
        <v>5545</v>
      </c>
      <c r="G455" t="s">
        <v>2665</v>
      </c>
      <c r="H455">
        <v>1163.10849515</v>
      </c>
      <c r="I455">
        <v>1184.5907101</v>
      </c>
      <c r="J455">
        <v>1206.0729250500001</v>
      </c>
      <c r="K455">
        <v>1227.5551399999999</v>
      </c>
      <c r="L455">
        <v>1258.2440185</v>
      </c>
      <c r="M455" t="s">
        <v>988</v>
      </c>
    </row>
    <row r="456" spans="1:13" x14ac:dyDescent="0.3">
      <c r="A456">
        <v>1756</v>
      </c>
      <c r="B456" t="s">
        <v>1771</v>
      </c>
      <c r="C456" t="s">
        <v>2667</v>
      </c>
      <c r="D456" t="s">
        <v>1203</v>
      </c>
      <c r="E456" t="s">
        <v>1204</v>
      </c>
      <c r="F456">
        <v>5685</v>
      </c>
      <c r="G456" t="s">
        <v>2664</v>
      </c>
      <c r="H456">
        <v>3694</v>
      </c>
      <c r="I456">
        <v>3694</v>
      </c>
      <c r="J456">
        <v>3694</v>
      </c>
      <c r="K456">
        <v>3694</v>
      </c>
      <c r="L456">
        <v>3694</v>
      </c>
      <c r="M456" t="s">
        <v>988</v>
      </c>
    </row>
    <row r="457" spans="1:13" x14ac:dyDescent="0.3">
      <c r="A457">
        <v>1756</v>
      </c>
      <c r="B457" t="s">
        <v>1771</v>
      </c>
      <c r="C457" t="s">
        <v>2667</v>
      </c>
      <c r="D457" t="s">
        <v>1203</v>
      </c>
      <c r="E457" t="s">
        <v>1204</v>
      </c>
      <c r="F457">
        <v>5685</v>
      </c>
      <c r="G457" t="s">
        <v>2665</v>
      </c>
      <c r="H457">
        <v>2130</v>
      </c>
      <c r="I457">
        <v>2136</v>
      </c>
      <c r="J457">
        <v>2142</v>
      </c>
      <c r="K457">
        <v>2148</v>
      </c>
      <c r="L457">
        <v>2154</v>
      </c>
      <c r="M457" t="s">
        <v>988</v>
      </c>
    </row>
    <row r="458" spans="1:13" x14ac:dyDescent="0.3">
      <c r="A458">
        <v>1765</v>
      </c>
      <c r="B458" t="s">
        <v>1772</v>
      </c>
      <c r="C458" t="s">
        <v>2667</v>
      </c>
      <c r="D458" t="s">
        <v>1203</v>
      </c>
      <c r="E458" t="s">
        <v>1204</v>
      </c>
      <c r="F458">
        <v>7136</v>
      </c>
      <c r="G458" t="s">
        <v>2665</v>
      </c>
      <c r="H458">
        <v>9331</v>
      </c>
      <c r="I458">
        <v>9813</v>
      </c>
      <c r="J458">
        <v>10319</v>
      </c>
      <c r="K458">
        <v>10852</v>
      </c>
      <c r="M458" t="s">
        <v>988</v>
      </c>
    </row>
    <row r="459" spans="1:13" x14ac:dyDescent="0.3">
      <c r="A459">
        <v>1765</v>
      </c>
      <c r="B459" t="s">
        <v>1772</v>
      </c>
      <c r="C459" t="s">
        <v>2667</v>
      </c>
      <c r="D459" t="s">
        <v>1203</v>
      </c>
      <c r="E459" t="s">
        <v>1204</v>
      </c>
      <c r="F459">
        <v>7136</v>
      </c>
      <c r="G459" t="s">
        <v>2664</v>
      </c>
      <c r="H459">
        <v>9331</v>
      </c>
      <c r="I459">
        <v>9813</v>
      </c>
      <c r="J459">
        <v>10319</v>
      </c>
      <c r="K459">
        <v>10852</v>
      </c>
      <c r="M459" t="s">
        <v>988</v>
      </c>
    </row>
    <row r="460" spans="1:13" x14ac:dyDescent="0.3">
      <c r="A460">
        <v>1777</v>
      </c>
      <c r="B460" t="s">
        <v>1773</v>
      </c>
      <c r="C460" t="s">
        <v>2667</v>
      </c>
      <c r="D460" t="s">
        <v>1203</v>
      </c>
      <c r="E460" t="s">
        <v>1204</v>
      </c>
      <c r="F460">
        <v>5661</v>
      </c>
      <c r="G460" t="s">
        <v>2665</v>
      </c>
      <c r="H460">
        <v>24041</v>
      </c>
      <c r="I460">
        <v>24138</v>
      </c>
      <c r="J460">
        <v>24310</v>
      </c>
      <c r="K460">
        <v>24368</v>
      </c>
      <c r="L460">
        <v>24540</v>
      </c>
      <c r="M460" t="s">
        <v>988</v>
      </c>
    </row>
    <row r="461" spans="1:13" x14ac:dyDescent="0.3">
      <c r="A461">
        <v>1777</v>
      </c>
      <c r="B461" t="s">
        <v>1773</v>
      </c>
      <c r="C461" t="s">
        <v>2667</v>
      </c>
      <c r="D461" t="s">
        <v>1203</v>
      </c>
      <c r="E461" t="s">
        <v>1204</v>
      </c>
      <c r="F461">
        <v>5661</v>
      </c>
      <c r="G461" t="s">
        <v>2664</v>
      </c>
      <c r="H461">
        <v>24041</v>
      </c>
      <c r="I461">
        <v>24138</v>
      </c>
      <c r="J461">
        <v>24310</v>
      </c>
      <c r="K461">
        <v>24368</v>
      </c>
      <c r="L461">
        <v>24540</v>
      </c>
      <c r="M461" t="s">
        <v>988</v>
      </c>
    </row>
    <row r="462" spans="1:13" x14ac:dyDescent="0.3">
      <c r="A462">
        <v>1792</v>
      </c>
      <c r="B462" t="s">
        <v>1781</v>
      </c>
      <c r="C462" t="s">
        <v>2667</v>
      </c>
      <c r="D462" t="s">
        <v>1203</v>
      </c>
      <c r="E462" t="s">
        <v>1204</v>
      </c>
      <c r="F462">
        <v>6604</v>
      </c>
      <c r="G462" t="s">
        <v>2664</v>
      </c>
      <c r="H462">
        <v>20082.8020904</v>
      </c>
      <c r="I462">
        <v>20082.8020904</v>
      </c>
      <c r="J462">
        <v>20082.8020904</v>
      </c>
      <c r="K462">
        <v>20082.8020904</v>
      </c>
      <c r="L462">
        <v>20082.8020904</v>
      </c>
      <c r="M462" t="s">
        <v>988</v>
      </c>
    </row>
    <row r="463" spans="1:13" x14ac:dyDescent="0.3">
      <c r="A463">
        <v>1792</v>
      </c>
      <c r="B463" t="s">
        <v>1781</v>
      </c>
      <c r="C463" t="s">
        <v>2667</v>
      </c>
      <c r="D463" t="s">
        <v>1203</v>
      </c>
      <c r="E463" t="s">
        <v>1204</v>
      </c>
      <c r="F463">
        <v>6604</v>
      </c>
      <c r="G463" t="s">
        <v>2665</v>
      </c>
      <c r="H463">
        <v>5382.8292889000004</v>
      </c>
      <c r="I463">
        <v>6536.7311204999996</v>
      </c>
      <c r="J463">
        <v>7113.6820362999997</v>
      </c>
      <c r="K463">
        <v>7690.6329520999998</v>
      </c>
      <c r="L463">
        <v>8264.5149800500003</v>
      </c>
      <c r="M463" t="s">
        <v>988</v>
      </c>
    </row>
    <row r="464" spans="1:13" x14ac:dyDescent="0.3">
      <c r="A464">
        <v>1793</v>
      </c>
      <c r="B464" t="s">
        <v>1785</v>
      </c>
      <c r="C464" t="s">
        <v>2667</v>
      </c>
      <c r="D464" t="s">
        <v>1203</v>
      </c>
      <c r="E464" t="s">
        <v>1204</v>
      </c>
      <c r="F464">
        <v>5763</v>
      </c>
      <c r="G464" t="s">
        <v>2665</v>
      </c>
      <c r="H464">
        <v>18629</v>
      </c>
      <c r="I464">
        <v>18147</v>
      </c>
      <c r="J464">
        <v>17805</v>
      </c>
      <c r="K464">
        <v>17452</v>
      </c>
      <c r="M464" t="s">
        <v>988</v>
      </c>
    </row>
    <row r="465" spans="1:13" x14ac:dyDescent="0.3">
      <c r="A465">
        <v>1793</v>
      </c>
      <c r="B465" t="s">
        <v>1785</v>
      </c>
      <c r="C465" t="s">
        <v>2667</v>
      </c>
      <c r="D465" t="s">
        <v>1203</v>
      </c>
      <c r="E465" t="s">
        <v>1204</v>
      </c>
      <c r="F465">
        <v>5763</v>
      </c>
      <c r="G465" t="s">
        <v>2664</v>
      </c>
      <c r="H465">
        <v>18629</v>
      </c>
      <c r="I465">
        <v>18147</v>
      </c>
      <c r="J465">
        <v>17805</v>
      </c>
      <c r="K465">
        <v>17452</v>
      </c>
      <c r="M465" t="s">
        <v>988</v>
      </c>
    </row>
    <row r="466" spans="1:13" x14ac:dyDescent="0.3">
      <c r="A466">
        <v>1795</v>
      </c>
      <c r="B466" t="s">
        <v>1787</v>
      </c>
      <c r="C466" t="s">
        <v>2667</v>
      </c>
      <c r="D466" t="s">
        <v>1203</v>
      </c>
      <c r="E466" t="s">
        <v>1204</v>
      </c>
      <c r="F466">
        <v>5536</v>
      </c>
      <c r="G466" t="s">
        <v>2664</v>
      </c>
      <c r="H466">
        <v>57058</v>
      </c>
      <c r="I466">
        <v>63534</v>
      </c>
      <c r="J466">
        <v>68847</v>
      </c>
      <c r="K466">
        <v>79989</v>
      </c>
      <c r="L466">
        <v>79989</v>
      </c>
      <c r="M466" t="s">
        <v>988</v>
      </c>
    </row>
    <row r="467" spans="1:13" x14ac:dyDescent="0.3">
      <c r="A467">
        <v>1795</v>
      </c>
      <c r="B467" t="s">
        <v>1787</v>
      </c>
      <c r="C467" t="s">
        <v>2667</v>
      </c>
      <c r="D467" t="s">
        <v>1203</v>
      </c>
      <c r="E467" t="s">
        <v>1204</v>
      </c>
      <c r="F467">
        <v>5536</v>
      </c>
      <c r="G467" t="s">
        <v>2665</v>
      </c>
      <c r="H467">
        <v>57058</v>
      </c>
      <c r="I467">
        <v>63534</v>
      </c>
      <c r="J467">
        <v>68847</v>
      </c>
      <c r="K467">
        <v>79989</v>
      </c>
      <c r="L467">
        <v>79989</v>
      </c>
      <c r="M467" t="s">
        <v>988</v>
      </c>
    </row>
    <row r="468" spans="1:13" x14ac:dyDescent="0.3">
      <c r="A468">
        <v>1797</v>
      </c>
      <c r="B468" t="s">
        <v>1788</v>
      </c>
      <c r="C468" t="s">
        <v>2667</v>
      </c>
      <c r="D468" t="s">
        <v>1203</v>
      </c>
      <c r="E468" t="s">
        <v>1204</v>
      </c>
      <c r="F468">
        <v>6744</v>
      </c>
      <c r="G468" t="s">
        <v>2664</v>
      </c>
      <c r="H468">
        <v>28867</v>
      </c>
      <c r="I468">
        <v>29821</v>
      </c>
      <c r="J468">
        <v>29840</v>
      </c>
      <c r="K468">
        <v>29818</v>
      </c>
      <c r="L468">
        <v>29761</v>
      </c>
      <c r="M468" t="s">
        <v>988</v>
      </c>
    </row>
    <row r="469" spans="1:13" x14ac:dyDescent="0.3">
      <c r="A469">
        <v>1797</v>
      </c>
      <c r="B469" t="s">
        <v>1788</v>
      </c>
      <c r="C469" t="s">
        <v>2667</v>
      </c>
      <c r="D469" t="s">
        <v>1203</v>
      </c>
      <c r="E469" t="s">
        <v>1204</v>
      </c>
      <c r="F469">
        <v>6744</v>
      </c>
      <c r="G469" t="s">
        <v>2665</v>
      </c>
      <c r="H469">
        <v>28867</v>
      </c>
      <c r="I469">
        <v>29821</v>
      </c>
      <c r="J469">
        <v>29840</v>
      </c>
      <c r="K469">
        <v>29818</v>
      </c>
      <c r="L469">
        <v>29761</v>
      </c>
      <c r="M469" t="s">
        <v>988</v>
      </c>
    </row>
    <row r="470" spans="1:13" x14ac:dyDescent="0.3">
      <c r="A470">
        <v>1803</v>
      </c>
      <c r="B470" t="s">
        <v>1789</v>
      </c>
      <c r="C470" t="s">
        <v>2667</v>
      </c>
      <c r="D470" t="s">
        <v>1203</v>
      </c>
      <c r="E470" t="s">
        <v>1204</v>
      </c>
      <c r="F470">
        <v>5880</v>
      </c>
      <c r="G470" t="s">
        <v>2664</v>
      </c>
      <c r="H470">
        <v>3885</v>
      </c>
      <c r="I470">
        <v>4000</v>
      </c>
      <c r="J470">
        <v>4000</v>
      </c>
      <c r="K470">
        <v>4000</v>
      </c>
      <c r="L470">
        <v>4100</v>
      </c>
      <c r="M470" t="s">
        <v>988</v>
      </c>
    </row>
    <row r="471" spans="1:13" x14ac:dyDescent="0.3">
      <c r="A471">
        <v>1803</v>
      </c>
      <c r="B471" t="s">
        <v>1789</v>
      </c>
      <c r="C471" t="s">
        <v>2667</v>
      </c>
      <c r="D471" t="s">
        <v>1203</v>
      </c>
      <c r="E471" t="s">
        <v>1204</v>
      </c>
      <c r="F471">
        <v>5880</v>
      </c>
      <c r="G471" t="s">
        <v>2665</v>
      </c>
      <c r="H471">
        <v>3885</v>
      </c>
      <c r="I471">
        <v>4000</v>
      </c>
      <c r="J471">
        <v>4000</v>
      </c>
      <c r="K471">
        <v>4000</v>
      </c>
      <c r="L471">
        <v>4100</v>
      </c>
      <c r="M471" t="s">
        <v>988</v>
      </c>
    </row>
    <row r="472" spans="1:13" x14ac:dyDescent="0.3">
      <c r="A472">
        <v>1804</v>
      </c>
      <c r="B472" t="s">
        <v>1791</v>
      </c>
      <c r="C472" t="s">
        <v>2667</v>
      </c>
      <c r="D472" t="s">
        <v>159</v>
      </c>
      <c r="E472" t="s">
        <v>159</v>
      </c>
      <c r="F472">
        <v>7865</v>
      </c>
      <c r="G472" t="s">
        <v>2664</v>
      </c>
      <c r="H472">
        <v>1821</v>
      </c>
      <c r="I472">
        <v>1821</v>
      </c>
      <c r="J472">
        <v>1821</v>
      </c>
      <c r="K472">
        <v>1821</v>
      </c>
      <c r="M472" t="s">
        <v>988</v>
      </c>
    </row>
    <row r="473" spans="1:13" x14ac:dyDescent="0.3">
      <c r="A473">
        <v>1804</v>
      </c>
      <c r="B473" t="s">
        <v>1791</v>
      </c>
      <c r="C473" t="s">
        <v>2667</v>
      </c>
      <c r="D473" t="s">
        <v>159</v>
      </c>
      <c r="E473" t="s">
        <v>159</v>
      </c>
      <c r="F473">
        <v>7865</v>
      </c>
      <c r="G473" t="s">
        <v>2665</v>
      </c>
      <c r="H473">
        <v>1694</v>
      </c>
      <c r="I473">
        <v>1714</v>
      </c>
      <c r="J473">
        <v>1736</v>
      </c>
      <c r="K473">
        <v>1757</v>
      </c>
      <c r="M473" t="s">
        <v>988</v>
      </c>
    </row>
    <row r="474" spans="1:13" x14ac:dyDescent="0.3">
      <c r="A474">
        <v>1821</v>
      </c>
      <c r="B474" t="s">
        <v>1792</v>
      </c>
      <c r="C474" t="s">
        <v>2667</v>
      </c>
      <c r="D474" t="s">
        <v>1203</v>
      </c>
      <c r="E474" t="s">
        <v>1204</v>
      </c>
      <c r="F474">
        <v>5457</v>
      </c>
      <c r="G474" t="s">
        <v>2664</v>
      </c>
      <c r="H474">
        <v>40780</v>
      </c>
      <c r="I474">
        <v>43599</v>
      </c>
      <c r="J474">
        <v>46613</v>
      </c>
      <c r="K474">
        <v>50088</v>
      </c>
      <c r="L474">
        <v>53816</v>
      </c>
      <c r="M474" t="s">
        <v>988</v>
      </c>
    </row>
    <row r="475" spans="1:13" x14ac:dyDescent="0.3">
      <c r="A475">
        <v>1821</v>
      </c>
      <c r="B475" t="s">
        <v>1792</v>
      </c>
      <c r="C475" t="s">
        <v>2667</v>
      </c>
      <c r="D475" t="s">
        <v>1203</v>
      </c>
      <c r="E475" t="s">
        <v>1204</v>
      </c>
      <c r="F475">
        <v>5457</v>
      </c>
      <c r="G475" t="s">
        <v>2665</v>
      </c>
      <c r="H475">
        <v>40780</v>
      </c>
      <c r="I475">
        <v>43599</v>
      </c>
      <c r="J475">
        <v>46613</v>
      </c>
      <c r="K475">
        <v>50088</v>
      </c>
      <c r="L475">
        <v>53816</v>
      </c>
      <c r="M475" t="s">
        <v>988</v>
      </c>
    </row>
    <row r="476" spans="1:13" x14ac:dyDescent="0.3">
      <c r="A476">
        <v>1827</v>
      </c>
      <c r="B476" t="s">
        <v>1794</v>
      </c>
      <c r="C476" t="s">
        <v>2667</v>
      </c>
      <c r="D476" t="s">
        <v>1203</v>
      </c>
      <c r="E476" t="s">
        <v>1204</v>
      </c>
      <c r="F476">
        <v>5837</v>
      </c>
      <c r="G476" t="s">
        <v>2664</v>
      </c>
      <c r="H476">
        <v>30055</v>
      </c>
      <c r="I476">
        <v>31475</v>
      </c>
      <c r="J476">
        <v>32876</v>
      </c>
      <c r="K476">
        <v>34284</v>
      </c>
      <c r="L476">
        <v>34779</v>
      </c>
      <c r="M476" t="s">
        <v>988</v>
      </c>
    </row>
    <row r="477" spans="1:13" x14ac:dyDescent="0.3">
      <c r="A477">
        <v>1827</v>
      </c>
      <c r="B477" t="s">
        <v>1794</v>
      </c>
      <c r="C477" t="s">
        <v>2667</v>
      </c>
      <c r="D477" t="s">
        <v>1203</v>
      </c>
      <c r="E477" t="s">
        <v>1204</v>
      </c>
      <c r="F477">
        <v>5837</v>
      </c>
      <c r="G477" t="s">
        <v>2665</v>
      </c>
      <c r="H477">
        <v>30055</v>
      </c>
      <c r="I477">
        <v>31475</v>
      </c>
      <c r="J477">
        <v>32876</v>
      </c>
      <c r="K477">
        <v>34284</v>
      </c>
      <c r="L477">
        <v>34779</v>
      </c>
      <c r="M477" t="s">
        <v>988</v>
      </c>
    </row>
    <row r="478" spans="1:13" x14ac:dyDescent="0.3">
      <c r="A478">
        <v>1838</v>
      </c>
      <c r="B478" t="s">
        <v>1797</v>
      </c>
      <c r="C478" t="s">
        <v>2667</v>
      </c>
      <c r="D478" t="s">
        <v>1203</v>
      </c>
      <c r="E478" t="s">
        <v>1204</v>
      </c>
      <c r="F478">
        <v>5805</v>
      </c>
      <c r="G478" t="s">
        <v>2665</v>
      </c>
      <c r="H478">
        <v>14586</v>
      </c>
      <c r="I478">
        <v>15751</v>
      </c>
      <c r="J478">
        <v>16819</v>
      </c>
      <c r="K478">
        <v>17685</v>
      </c>
      <c r="L478">
        <v>18148</v>
      </c>
      <c r="M478" t="s">
        <v>988</v>
      </c>
    </row>
    <row r="479" spans="1:13" x14ac:dyDescent="0.3">
      <c r="A479">
        <v>1838</v>
      </c>
      <c r="B479" t="s">
        <v>1797</v>
      </c>
      <c r="C479" t="s">
        <v>2667</v>
      </c>
      <c r="D479" t="s">
        <v>1203</v>
      </c>
      <c r="E479" t="s">
        <v>1204</v>
      </c>
      <c r="F479">
        <v>5805</v>
      </c>
      <c r="G479" t="s">
        <v>2664</v>
      </c>
      <c r="H479">
        <v>14586</v>
      </c>
      <c r="I479">
        <v>15751</v>
      </c>
      <c r="J479">
        <v>16819</v>
      </c>
      <c r="K479">
        <v>17685</v>
      </c>
      <c r="L479">
        <v>18148</v>
      </c>
      <c r="M479" t="s">
        <v>988</v>
      </c>
    </row>
    <row r="480" spans="1:13" x14ac:dyDescent="0.3">
      <c r="A480">
        <v>1849</v>
      </c>
      <c r="B480" t="s">
        <v>960</v>
      </c>
      <c r="C480" t="s">
        <v>2667</v>
      </c>
      <c r="D480" t="s">
        <v>1203</v>
      </c>
      <c r="E480" t="s">
        <v>1204</v>
      </c>
      <c r="F480">
        <v>5733</v>
      </c>
      <c r="G480" t="s">
        <v>2664</v>
      </c>
      <c r="H480">
        <v>21235</v>
      </c>
      <c r="I480">
        <v>20600</v>
      </c>
      <c r="J480">
        <v>21410</v>
      </c>
      <c r="K480">
        <v>22225</v>
      </c>
      <c r="L480">
        <v>22225</v>
      </c>
      <c r="M480" t="s">
        <v>988</v>
      </c>
    </row>
    <row r="481" spans="1:13" x14ac:dyDescent="0.3">
      <c r="A481">
        <v>1849</v>
      </c>
      <c r="B481" t="s">
        <v>960</v>
      </c>
      <c r="C481" t="s">
        <v>2667</v>
      </c>
      <c r="D481" t="s">
        <v>1203</v>
      </c>
      <c r="E481" t="s">
        <v>1204</v>
      </c>
      <c r="F481">
        <v>5733</v>
      </c>
      <c r="G481" t="s">
        <v>2665</v>
      </c>
      <c r="H481">
        <v>20220</v>
      </c>
      <c r="I481">
        <v>21310</v>
      </c>
      <c r="J481">
        <v>22980</v>
      </c>
      <c r="K481">
        <v>24780</v>
      </c>
      <c r="L481">
        <v>26250</v>
      </c>
      <c r="M481" t="s">
        <v>988</v>
      </c>
    </row>
    <row r="482" spans="1:13" x14ac:dyDescent="0.3">
      <c r="A482">
        <v>1851</v>
      </c>
      <c r="B482" t="s">
        <v>1800</v>
      </c>
      <c r="C482" t="s">
        <v>2667</v>
      </c>
      <c r="D482" t="s">
        <v>159</v>
      </c>
      <c r="E482" t="s">
        <v>159</v>
      </c>
      <c r="F482">
        <v>7787</v>
      </c>
      <c r="G482" t="s">
        <v>2664</v>
      </c>
      <c r="H482">
        <v>7529</v>
      </c>
      <c r="I482">
        <v>7573</v>
      </c>
      <c r="J482">
        <v>7651</v>
      </c>
      <c r="K482">
        <v>7806</v>
      </c>
      <c r="M482" t="s">
        <v>988</v>
      </c>
    </row>
    <row r="483" spans="1:13" x14ac:dyDescent="0.3">
      <c r="A483">
        <v>1851</v>
      </c>
      <c r="B483" t="s">
        <v>1800</v>
      </c>
      <c r="C483" t="s">
        <v>2667</v>
      </c>
      <c r="D483" t="s">
        <v>159</v>
      </c>
      <c r="E483" t="s">
        <v>159</v>
      </c>
      <c r="F483">
        <v>7787</v>
      </c>
      <c r="G483" t="s">
        <v>2665</v>
      </c>
      <c r="H483">
        <v>11603</v>
      </c>
      <c r="I483">
        <v>11710</v>
      </c>
      <c r="J483">
        <v>11862</v>
      </c>
      <c r="K483">
        <v>12117</v>
      </c>
      <c r="M483" t="s">
        <v>988</v>
      </c>
    </row>
    <row r="484" spans="1:13" x14ac:dyDescent="0.3">
      <c r="A484">
        <v>1859</v>
      </c>
      <c r="B484" t="s">
        <v>1801</v>
      </c>
      <c r="C484" t="s">
        <v>2667</v>
      </c>
      <c r="D484" t="s">
        <v>1203</v>
      </c>
      <c r="E484" t="s">
        <v>1204</v>
      </c>
      <c r="F484">
        <v>5801</v>
      </c>
      <c r="G484" t="s">
        <v>2664</v>
      </c>
      <c r="H484">
        <v>6071</v>
      </c>
      <c r="I484">
        <v>6421</v>
      </c>
      <c r="J484">
        <v>6421</v>
      </c>
      <c r="K484">
        <v>6421</v>
      </c>
      <c r="L484">
        <v>6421</v>
      </c>
      <c r="M484" t="s">
        <v>988</v>
      </c>
    </row>
    <row r="485" spans="1:13" x14ac:dyDescent="0.3">
      <c r="A485">
        <v>1859</v>
      </c>
      <c r="B485" t="s">
        <v>1801</v>
      </c>
      <c r="C485" t="s">
        <v>2667</v>
      </c>
      <c r="D485" t="s">
        <v>1203</v>
      </c>
      <c r="E485" t="s">
        <v>1204</v>
      </c>
      <c r="F485">
        <v>5801</v>
      </c>
      <c r="G485" t="s">
        <v>2665</v>
      </c>
      <c r="H485">
        <v>3957</v>
      </c>
      <c r="I485">
        <v>4356</v>
      </c>
      <c r="J485">
        <v>4914</v>
      </c>
      <c r="K485">
        <v>5109</v>
      </c>
      <c r="L485">
        <v>5084</v>
      </c>
      <c r="M485" t="s">
        <v>988</v>
      </c>
    </row>
    <row r="486" spans="1:13" x14ac:dyDescent="0.3">
      <c r="A486">
        <v>1866</v>
      </c>
      <c r="B486" t="s">
        <v>1805</v>
      </c>
      <c r="C486" t="s">
        <v>2667</v>
      </c>
      <c r="D486" t="s">
        <v>1203</v>
      </c>
      <c r="E486" t="s">
        <v>1204</v>
      </c>
      <c r="F486">
        <v>5596</v>
      </c>
      <c r="G486" t="s">
        <v>2664</v>
      </c>
      <c r="H486">
        <v>7955</v>
      </c>
      <c r="I486">
        <v>7981</v>
      </c>
      <c r="J486">
        <v>7981</v>
      </c>
      <c r="K486">
        <v>7981</v>
      </c>
      <c r="M486" t="s">
        <v>988</v>
      </c>
    </row>
    <row r="487" spans="1:13" x14ac:dyDescent="0.3">
      <c r="A487">
        <v>1866</v>
      </c>
      <c r="B487" t="s">
        <v>1805</v>
      </c>
      <c r="C487" t="s">
        <v>2667</v>
      </c>
      <c r="D487" t="s">
        <v>1203</v>
      </c>
      <c r="E487" t="s">
        <v>1204</v>
      </c>
      <c r="F487">
        <v>5596</v>
      </c>
      <c r="G487" t="s">
        <v>2665</v>
      </c>
      <c r="H487">
        <v>5967</v>
      </c>
      <c r="I487">
        <v>6086</v>
      </c>
      <c r="J487">
        <v>6206</v>
      </c>
      <c r="K487">
        <v>6333</v>
      </c>
      <c r="M487" t="s">
        <v>988</v>
      </c>
    </row>
    <row r="488" spans="1:13" x14ac:dyDescent="0.3">
      <c r="A488">
        <v>1873</v>
      </c>
      <c r="B488" t="s">
        <v>1806</v>
      </c>
      <c r="C488" t="s">
        <v>2667</v>
      </c>
      <c r="D488" t="s">
        <v>159</v>
      </c>
      <c r="E488" t="s">
        <v>159</v>
      </c>
      <c r="F488">
        <v>7209</v>
      </c>
      <c r="G488" t="s">
        <v>2665</v>
      </c>
      <c r="H488">
        <v>26750</v>
      </c>
      <c r="I488">
        <v>25000</v>
      </c>
      <c r="J488">
        <v>25320</v>
      </c>
      <c r="K488">
        <v>25630</v>
      </c>
      <c r="M488" t="s">
        <v>988</v>
      </c>
    </row>
    <row r="489" spans="1:13" x14ac:dyDescent="0.3">
      <c r="A489">
        <v>1873</v>
      </c>
      <c r="B489" t="s">
        <v>1806</v>
      </c>
      <c r="C489" t="s">
        <v>2667</v>
      </c>
      <c r="D489" t="s">
        <v>159</v>
      </c>
      <c r="E489" t="s">
        <v>159</v>
      </c>
      <c r="F489">
        <v>7209</v>
      </c>
      <c r="G489" t="s">
        <v>2664</v>
      </c>
      <c r="H489">
        <v>31886</v>
      </c>
      <c r="I489">
        <v>32003</v>
      </c>
      <c r="J489">
        <v>32098</v>
      </c>
      <c r="K489">
        <v>32172</v>
      </c>
      <c r="M489" t="s">
        <v>988</v>
      </c>
    </row>
    <row r="490" spans="1:13" x14ac:dyDescent="0.3">
      <c r="A490">
        <v>1875</v>
      </c>
      <c r="B490" t="s">
        <v>1811</v>
      </c>
      <c r="C490" t="s">
        <v>2667</v>
      </c>
      <c r="D490" t="s">
        <v>1203</v>
      </c>
      <c r="E490" t="s">
        <v>1204</v>
      </c>
      <c r="F490">
        <v>5876</v>
      </c>
      <c r="G490" t="s">
        <v>2665</v>
      </c>
      <c r="H490">
        <v>6515</v>
      </c>
      <c r="I490">
        <v>7102</v>
      </c>
      <c r="J490">
        <v>7689</v>
      </c>
      <c r="K490">
        <v>8277</v>
      </c>
      <c r="L490">
        <v>8863</v>
      </c>
      <c r="M490" t="s">
        <v>988</v>
      </c>
    </row>
    <row r="491" spans="1:13" x14ac:dyDescent="0.3">
      <c r="A491">
        <v>1875</v>
      </c>
      <c r="B491" t="s">
        <v>1811</v>
      </c>
      <c r="C491" t="s">
        <v>2667</v>
      </c>
      <c r="D491" t="s">
        <v>1203</v>
      </c>
      <c r="E491" t="s">
        <v>1204</v>
      </c>
      <c r="F491">
        <v>5876</v>
      </c>
      <c r="G491" t="s">
        <v>2664</v>
      </c>
      <c r="H491">
        <v>6515</v>
      </c>
      <c r="I491">
        <v>7102</v>
      </c>
      <c r="J491">
        <v>7689</v>
      </c>
      <c r="K491">
        <v>8277</v>
      </c>
      <c r="L491">
        <v>8863</v>
      </c>
      <c r="M491" t="s">
        <v>988</v>
      </c>
    </row>
    <row r="492" spans="1:13" x14ac:dyDescent="0.3">
      <c r="A492">
        <v>1877</v>
      </c>
      <c r="B492" t="s">
        <v>1812</v>
      </c>
      <c r="C492" t="s">
        <v>2667</v>
      </c>
      <c r="D492" t="s">
        <v>1203</v>
      </c>
      <c r="E492" t="s">
        <v>1204</v>
      </c>
      <c r="F492">
        <v>5751</v>
      </c>
      <c r="G492" t="s">
        <v>2664</v>
      </c>
      <c r="H492">
        <v>5582</v>
      </c>
      <c r="I492">
        <v>5782</v>
      </c>
      <c r="J492">
        <v>6389</v>
      </c>
      <c r="K492">
        <v>7396</v>
      </c>
      <c r="L492">
        <v>8403</v>
      </c>
      <c r="M492" t="s">
        <v>988</v>
      </c>
    </row>
    <row r="493" spans="1:13" x14ac:dyDescent="0.3">
      <c r="A493">
        <v>1877</v>
      </c>
      <c r="B493" t="s">
        <v>1812</v>
      </c>
      <c r="C493" t="s">
        <v>2667</v>
      </c>
      <c r="D493" t="s">
        <v>1203</v>
      </c>
      <c r="E493" t="s">
        <v>1204</v>
      </c>
      <c r="F493">
        <v>5751</v>
      </c>
      <c r="G493" t="s">
        <v>2665</v>
      </c>
      <c r="H493">
        <v>4888</v>
      </c>
      <c r="I493">
        <v>5687</v>
      </c>
      <c r="J493">
        <v>6341</v>
      </c>
      <c r="K493">
        <v>7288</v>
      </c>
      <c r="L493">
        <v>8323</v>
      </c>
      <c r="M493" t="s">
        <v>988</v>
      </c>
    </row>
    <row r="494" spans="1:13" x14ac:dyDescent="0.3">
      <c r="A494">
        <v>1894</v>
      </c>
      <c r="B494" t="s">
        <v>1814</v>
      </c>
      <c r="C494" t="s">
        <v>2667</v>
      </c>
      <c r="D494" t="s">
        <v>1203</v>
      </c>
      <c r="E494" t="s">
        <v>1204</v>
      </c>
      <c r="F494">
        <v>5679</v>
      </c>
      <c r="G494" t="s">
        <v>2664</v>
      </c>
      <c r="H494">
        <v>11005</v>
      </c>
      <c r="I494">
        <v>10298</v>
      </c>
      <c r="J494">
        <v>10313</v>
      </c>
      <c r="K494">
        <v>10463</v>
      </c>
      <c r="L494">
        <v>10632</v>
      </c>
      <c r="M494" t="s">
        <v>988</v>
      </c>
    </row>
    <row r="495" spans="1:13" x14ac:dyDescent="0.3">
      <c r="A495">
        <v>1894</v>
      </c>
      <c r="B495" t="s">
        <v>1814</v>
      </c>
      <c r="C495" t="s">
        <v>2667</v>
      </c>
      <c r="D495" t="s">
        <v>1203</v>
      </c>
      <c r="E495" t="s">
        <v>1204</v>
      </c>
      <c r="F495">
        <v>5679</v>
      </c>
      <c r="G495" t="s">
        <v>2665</v>
      </c>
      <c r="H495">
        <v>10705</v>
      </c>
      <c r="I495">
        <v>11410</v>
      </c>
      <c r="J495">
        <v>11514</v>
      </c>
      <c r="K495">
        <v>11795</v>
      </c>
      <c r="L495">
        <v>12117</v>
      </c>
      <c r="M495" t="s">
        <v>988</v>
      </c>
    </row>
    <row r="496" spans="1:13" x14ac:dyDescent="0.3">
      <c r="A496">
        <v>1896</v>
      </c>
      <c r="B496" t="s">
        <v>1816</v>
      </c>
      <c r="C496" t="s">
        <v>2667</v>
      </c>
      <c r="D496" t="s">
        <v>1203</v>
      </c>
      <c r="E496" t="s">
        <v>1204</v>
      </c>
      <c r="F496">
        <v>6011</v>
      </c>
      <c r="G496" t="s">
        <v>2664</v>
      </c>
      <c r="H496">
        <v>3228</v>
      </c>
      <c r="I496">
        <v>3251</v>
      </c>
      <c r="J496">
        <v>3261</v>
      </c>
      <c r="K496">
        <v>3272</v>
      </c>
      <c r="L496">
        <v>3305</v>
      </c>
      <c r="M496" t="s">
        <v>988</v>
      </c>
    </row>
    <row r="497" spans="1:13" x14ac:dyDescent="0.3">
      <c r="A497">
        <v>1896</v>
      </c>
      <c r="B497" t="s">
        <v>1816</v>
      </c>
      <c r="C497" t="s">
        <v>2667</v>
      </c>
      <c r="D497" t="s">
        <v>1203</v>
      </c>
      <c r="E497" t="s">
        <v>1204</v>
      </c>
      <c r="F497">
        <v>6011</v>
      </c>
      <c r="G497" t="s">
        <v>2665</v>
      </c>
      <c r="H497">
        <v>3228</v>
      </c>
      <c r="I497">
        <v>3251</v>
      </c>
      <c r="J497">
        <v>3261</v>
      </c>
      <c r="K497">
        <v>3272</v>
      </c>
      <c r="L497">
        <v>3305</v>
      </c>
      <c r="M497" t="s">
        <v>988</v>
      </c>
    </row>
    <row r="498" spans="1:13" x14ac:dyDescent="0.3">
      <c r="A498">
        <v>1899</v>
      </c>
      <c r="B498" t="s">
        <v>1818</v>
      </c>
      <c r="C498" t="s">
        <v>2667</v>
      </c>
      <c r="D498" t="s">
        <v>1203</v>
      </c>
      <c r="E498" t="s">
        <v>1204</v>
      </c>
      <c r="F498">
        <v>5877</v>
      </c>
      <c r="G498" t="s">
        <v>2664</v>
      </c>
      <c r="H498">
        <v>5659</v>
      </c>
      <c r="I498">
        <v>5664</v>
      </c>
      <c r="J498">
        <v>5669</v>
      </c>
      <c r="K498">
        <v>5674</v>
      </c>
      <c r="M498" t="s">
        <v>988</v>
      </c>
    </row>
    <row r="499" spans="1:13" x14ac:dyDescent="0.3">
      <c r="A499">
        <v>1899</v>
      </c>
      <c r="B499" t="s">
        <v>1818</v>
      </c>
      <c r="C499" t="s">
        <v>2667</v>
      </c>
      <c r="D499" t="s">
        <v>1203</v>
      </c>
      <c r="E499" t="s">
        <v>1204</v>
      </c>
      <c r="F499">
        <v>5877</v>
      </c>
      <c r="G499" t="s">
        <v>2665</v>
      </c>
      <c r="H499">
        <v>5608</v>
      </c>
      <c r="I499">
        <v>5625</v>
      </c>
      <c r="J499">
        <v>5641</v>
      </c>
      <c r="K499">
        <v>5656</v>
      </c>
      <c r="M499" t="s">
        <v>988</v>
      </c>
    </row>
    <row r="500" spans="1:13" x14ac:dyDescent="0.3">
      <c r="A500">
        <v>1900</v>
      </c>
      <c r="B500" t="s">
        <v>1822</v>
      </c>
      <c r="C500" t="s">
        <v>2667</v>
      </c>
      <c r="D500" t="s">
        <v>1203</v>
      </c>
      <c r="E500" t="s">
        <v>1204</v>
      </c>
      <c r="F500">
        <v>5519</v>
      </c>
      <c r="G500" t="s">
        <v>2664</v>
      </c>
      <c r="H500">
        <v>2930</v>
      </c>
      <c r="I500">
        <v>2959</v>
      </c>
      <c r="J500">
        <v>2989</v>
      </c>
      <c r="K500">
        <v>3020</v>
      </c>
      <c r="L500">
        <v>3050</v>
      </c>
      <c r="M500" t="s">
        <v>988</v>
      </c>
    </row>
    <row r="501" spans="1:13" x14ac:dyDescent="0.3">
      <c r="A501">
        <v>1900</v>
      </c>
      <c r="B501" t="s">
        <v>1822</v>
      </c>
      <c r="C501" t="s">
        <v>2667</v>
      </c>
      <c r="D501" t="s">
        <v>1203</v>
      </c>
      <c r="E501" t="s">
        <v>1204</v>
      </c>
      <c r="F501">
        <v>5519</v>
      </c>
      <c r="G501" t="s">
        <v>2665</v>
      </c>
      <c r="H501">
        <v>2930</v>
      </c>
      <c r="I501">
        <v>2959</v>
      </c>
      <c r="J501">
        <v>2989</v>
      </c>
      <c r="K501">
        <v>3020</v>
      </c>
      <c r="L501">
        <v>3050</v>
      </c>
      <c r="M501" t="s">
        <v>988</v>
      </c>
    </row>
    <row r="502" spans="1:13" x14ac:dyDescent="0.3">
      <c r="A502">
        <v>1923</v>
      </c>
      <c r="B502" t="s">
        <v>1823</v>
      </c>
      <c r="C502" t="s">
        <v>2667</v>
      </c>
      <c r="D502" t="s">
        <v>1203</v>
      </c>
      <c r="E502" t="s">
        <v>1204</v>
      </c>
      <c r="F502">
        <v>5777</v>
      </c>
      <c r="G502" t="s">
        <v>2664</v>
      </c>
      <c r="H502">
        <v>1648</v>
      </c>
      <c r="I502">
        <v>1696</v>
      </c>
      <c r="J502">
        <v>1744</v>
      </c>
      <c r="K502">
        <v>1795</v>
      </c>
      <c r="L502">
        <v>1845</v>
      </c>
      <c r="M502" t="s">
        <v>988</v>
      </c>
    </row>
    <row r="503" spans="1:13" x14ac:dyDescent="0.3">
      <c r="A503">
        <v>1923</v>
      </c>
      <c r="B503" t="s">
        <v>1823</v>
      </c>
      <c r="C503" t="s">
        <v>2667</v>
      </c>
      <c r="D503" t="s">
        <v>1203</v>
      </c>
      <c r="E503" t="s">
        <v>1204</v>
      </c>
      <c r="F503">
        <v>5777</v>
      </c>
      <c r="G503" t="s">
        <v>2665</v>
      </c>
      <c r="H503">
        <v>1648</v>
      </c>
      <c r="I503">
        <v>1696</v>
      </c>
      <c r="J503">
        <v>1744</v>
      </c>
      <c r="K503">
        <v>1795</v>
      </c>
      <c r="L503">
        <v>1845</v>
      </c>
      <c r="M503" t="s">
        <v>988</v>
      </c>
    </row>
    <row r="504" spans="1:13" x14ac:dyDescent="0.3">
      <c r="A504">
        <v>1925</v>
      </c>
      <c r="B504" t="s">
        <v>1824</v>
      </c>
      <c r="C504" t="s">
        <v>2667</v>
      </c>
      <c r="D504" t="s">
        <v>1203</v>
      </c>
      <c r="E504" t="s">
        <v>1204</v>
      </c>
      <c r="F504">
        <v>6160</v>
      </c>
      <c r="G504" t="s">
        <v>2665</v>
      </c>
      <c r="H504">
        <v>11342</v>
      </c>
      <c r="I504">
        <v>12341</v>
      </c>
      <c r="J504">
        <v>13271</v>
      </c>
      <c r="K504">
        <v>14135</v>
      </c>
      <c r="L504">
        <v>15056</v>
      </c>
      <c r="M504" t="s">
        <v>988</v>
      </c>
    </row>
    <row r="505" spans="1:13" x14ac:dyDescent="0.3">
      <c r="A505">
        <v>1925</v>
      </c>
      <c r="B505" t="s">
        <v>1824</v>
      </c>
      <c r="C505" t="s">
        <v>2667</v>
      </c>
      <c r="D505" t="s">
        <v>1203</v>
      </c>
      <c r="E505" t="s">
        <v>1204</v>
      </c>
      <c r="F505">
        <v>6160</v>
      </c>
      <c r="G505" t="s">
        <v>2664</v>
      </c>
      <c r="H505">
        <v>12691</v>
      </c>
      <c r="I505">
        <v>13690</v>
      </c>
      <c r="J505">
        <v>14620</v>
      </c>
      <c r="K505">
        <v>15484</v>
      </c>
      <c r="L505">
        <v>16405</v>
      </c>
      <c r="M505" t="s">
        <v>988</v>
      </c>
    </row>
    <row r="506" spans="1:13" x14ac:dyDescent="0.3">
      <c r="A506">
        <v>1927</v>
      </c>
      <c r="B506" t="s">
        <v>771</v>
      </c>
      <c r="C506" t="s">
        <v>2667</v>
      </c>
      <c r="D506" t="s">
        <v>1203</v>
      </c>
      <c r="E506" t="s">
        <v>1204</v>
      </c>
      <c r="F506">
        <v>6885</v>
      </c>
      <c r="G506" t="s">
        <v>2665</v>
      </c>
      <c r="H506">
        <v>141078</v>
      </c>
      <c r="I506">
        <v>148926</v>
      </c>
      <c r="J506">
        <v>160380</v>
      </c>
      <c r="K506">
        <v>188488</v>
      </c>
      <c r="M506" t="s">
        <v>988</v>
      </c>
    </row>
    <row r="507" spans="1:13" x14ac:dyDescent="0.3">
      <c r="A507">
        <v>1927</v>
      </c>
      <c r="B507" t="s">
        <v>771</v>
      </c>
      <c r="C507" t="s">
        <v>2667</v>
      </c>
      <c r="D507" t="s">
        <v>1203</v>
      </c>
      <c r="E507" t="s">
        <v>1204</v>
      </c>
      <c r="F507">
        <v>6885</v>
      </c>
      <c r="G507" t="s">
        <v>2664</v>
      </c>
      <c r="H507">
        <v>185550</v>
      </c>
      <c r="I507">
        <v>207550</v>
      </c>
      <c r="J507">
        <v>210050</v>
      </c>
      <c r="K507">
        <v>213050</v>
      </c>
      <c r="M507" t="s">
        <v>988</v>
      </c>
    </row>
    <row r="508" spans="1:13" x14ac:dyDescent="0.3">
      <c r="A508">
        <v>1940</v>
      </c>
      <c r="B508" t="s">
        <v>1828</v>
      </c>
      <c r="C508" t="s">
        <v>2667</v>
      </c>
      <c r="D508" t="s">
        <v>159</v>
      </c>
      <c r="E508" t="s">
        <v>159</v>
      </c>
      <c r="F508">
        <v>7213</v>
      </c>
      <c r="G508" t="s">
        <v>2664</v>
      </c>
      <c r="H508">
        <v>18240</v>
      </c>
      <c r="I508">
        <v>18889</v>
      </c>
      <c r="J508">
        <v>19387</v>
      </c>
      <c r="K508">
        <v>20036</v>
      </c>
      <c r="L508">
        <v>20036</v>
      </c>
      <c r="M508" t="s">
        <v>988</v>
      </c>
    </row>
    <row r="509" spans="1:13" x14ac:dyDescent="0.3">
      <c r="A509">
        <v>1940</v>
      </c>
      <c r="B509" t="s">
        <v>1828</v>
      </c>
      <c r="C509" t="s">
        <v>2667</v>
      </c>
      <c r="D509" t="s">
        <v>159</v>
      </c>
      <c r="E509" t="s">
        <v>159</v>
      </c>
      <c r="F509">
        <v>7213</v>
      </c>
      <c r="G509" t="s">
        <v>2665</v>
      </c>
      <c r="H509">
        <v>18240</v>
      </c>
      <c r="I509">
        <v>18889</v>
      </c>
      <c r="J509">
        <v>19387</v>
      </c>
      <c r="K509">
        <v>20036</v>
      </c>
      <c r="L509">
        <v>20036</v>
      </c>
      <c r="M509" t="s">
        <v>988</v>
      </c>
    </row>
    <row r="510" spans="1:13" x14ac:dyDescent="0.3">
      <c r="A510">
        <v>1945</v>
      </c>
      <c r="B510" t="s">
        <v>1829</v>
      </c>
      <c r="C510" t="s">
        <v>2667</v>
      </c>
      <c r="D510" t="s">
        <v>1203</v>
      </c>
      <c r="E510" t="s">
        <v>1204</v>
      </c>
      <c r="F510">
        <v>5546</v>
      </c>
      <c r="G510" t="s">
        <v>2665</v>
      </c>
      <c r="H510">
        <v>25847</v>
      </c>
      <c r="I510">
        <v>26712</v>
      </c>
      <c r="J510">
        <v>27609</v>
      </c>
      <c r="K510">
        <v>28481</v>
      </c>
      <c r="L510">
        <v>29383</v>
      </c>
      <c r="M510" t="s">
        <v>988</v>
      </c>
    </row>
    <row r="511" spans="1:13" x14ac:dyDescent="0.3">
      <c r="A511">
        <v>1945</v>
      </c>
      <c r="B511" t="s">
        <v>1829</v>
      </c>
      <c r="C511" t="s">
        <v>2667</v>
      </c>
      <c r="D511" t="s">
        <v>1203</v>
      </c>
      <c r="E511" t="s">
        <v>1204</v>
      </c>
      <c r="F511">
        <v>5546</v>
      </c>
      <c r="G511" t="s">
        <v>2664</v>
      </c>
      <c r="H511">
        <v>25847</v>
      </c>
      <c r="I511">
        <v>26712</v>
      </c>
      <c r="J511">
        <v>27609</v>
      </c>
      <c r="K511">
        <v>28481</v>
      </c>
      <c r="L511">
        <v>29383</v>
      </c>
      <c r="M511" t="s">
        <v>988</v>
      </c>
    </row>
    <row r="512" spans="1:13" x14ac:dyDescent="0.3">
      <c r="A512">
        <v>1953</v>
      </c>
      <c r="B512" t="s">
        <v>1830</v>
      </c>
      <c r="C512" t="s">
        <v>2667</v>
      </c>
      <c r="D512" t="s">
        <v>1203</v>
      </c>
      <c r="E512" t="s">
        <v>1204</v>
      </c>
      <c r="F512">
        <v>5730</v>
      </c>
      <c r="G512" t="s">
        <v>2664</v>
      </c>
      <c r="H512">
        <v>3701</v>
      </c>
      <c r="I512">
        <v>3420</v>
      </c>
      <c r="J512">
        <v>3140</v>
      </c>
      <c r="K512">
        <v>2859</v>
      </c>
      <c r="L512">
        <v>2616</v>
      </c>
      <c r="M512" t="s">
        <v>988</v>
      </c>
    </row>
    <row r="513" spans="1:13" x14ac:dyDescent="0.3">
      <c r="A513">
        <v>1953</v>
      </c>
      <c r="B513" t="s">
        <v>1830</v>
      </c>
      <c r="C513" t="s">
        <v>2667</v>
      </c>
      <c r="D513" t="s">
        <v>1203</v>
      </c>
      <c r="E513" t="s">
        <v>1204</v>
      </c>
      <c r="F513">
        <v>5730</v>
      </c>
      <c r="G513" t="s">
        <v>2665</v>
      </c>
      <c r="H513">
        <v>1958</v>
      </c>
      <c r="I513">
        <v>2017</v>
      </c>
      <c r="J513">
        <v>2077</v>
      </c>
      <c r="K513">
        <v>2142</v>
      </c>
      <c r="L513">
        <v>2149</v>
      </c>
      <c r="M513" t="s">
        <v>988</v>
      </c>
    </row>
    <row r="514" spans="1:13" x14ac:dyDescent="0.3">
      <c r="A514">
        <v>1964</v>
      </c>
      <c r="B514" t="s">
        <v>1832</v>
      </c>
      <c r="C514" t="s">
        <v>2667</v>
      </c>
      <c r="D514" t="s">
        <v>1203</v>
      </c>
      <c r="E514" t="s">
        <v>1204</v>
      </c>
      <c r="F514">
        <v>5509</v>
      </c>
      <c r="G514" t="s">
        <v>2665</v>
      </c>
      <c r="H514">
        <v>10772</v>
      </c>
      <c r="I514">
        <v>11046</v>
      </c>
      <c r="J514">
        <v>11308</v>
      </c>
      <c r="K514">
        <v>11445</v>
      </c>
      <c r="L514">
        <v>11796</v>
      </c>
      <c r="M514" t="s">
        <v>988</v>
      </c>
    </row>
    <row r="515" spans="1:13" x14ac:dyDescent="0.3">
      <c r="A515">
        <v>1964</v>
      </c>
      <c r="B515" t="s">
        <v>1832</v>
      </c>
      <c r="C515" t="s">
        <v>2667</v>
      </c>
      <c r="D515" t="s">
        <v>1203</v>
      </c>
      <c r="E515" t="s">
        <v>1204</v>
      </c>
      <c r="F515">
        <v>5509</v>
      </c>
      <c r="G515" t="s">
        <v>2664</v>
      </c>
      <c r="H515">
        <v>10772</v>
      </c>
      <c r="I515">
        <v>11046</v>
      </c>
      <c r="J515">
        <v>11308</v>
      </c>
      <c r="K515">
        <v>11445</v>
      </c>
      <c r="L515">
        <v>11796</v>
      </c>
      <c r="M515" t="s">
        <v>988</v>
      </c>
    </row>
    <row r="516" spans="1:13" x14ac:dyDescent="0.3">
      <c r="A516">
        <v>1983</v>
      </c>
      <c r="B516" t="s">
        <v>1835</v>
      </c>
      <c r="C516" t="s">
        <v>2667</v>
      </c>
      <c r="D516" t="s">
        <v>1203</v>
      </c>
      <c r="E516" t="s">
        <v>1204</v>
      </c>
      <c r="F516">
        <v>5745</v>
      </c>
      <c r="G516" t="s">
        <v>2664</v>
      </c>
      <c r="H516">
        <v>4242</v>
      </c>
      <c r="I516">
        <v>4373</v>
      </c>
      <c r="J516">
        <v>4508</v>
      </c>
      <c r="K516">
        <v>4647</v>
      </c>
      <c r="L516">
        <v>4790</v>
      </c>
      <c r="M516" t="s">
        <v>988</v>
      </c>
    </row>
    <row r="517" spans="1:13" x14ac:dyDescent="0.3">
      <c r="A517">
        <v>1983</v>
      </c>
      <c r="B517" t="s">
        <v>1835</v>
      </c>
      <c r="C517" t="s">
        <v>2667</v>
      </c>
      <c r="D517" t="s">
        <v>1203</v>
      </c>
      <c r="E517" t="s">
        <v>1204</v>
      </c>
      <c r="F517">
        <v>5745</v>
      </c>
      <c r="G517" t="s">
        <v>2665</v>
      </c>
      <c r="H517">
        <v>4242</v>
      </c>
      <c r="I517">
        <v>4373</v>
      </c>
      <c r="J517">
        <v>4508</v>
      </c>
      <c r="K517">
        <v>4647</v>
      </c>
      <c r="L517">
        <v>4790</v>
      </c>
      <c r="M517" t="s">
        <v>988</v>
      </c>
    </row>
    <row r="518" spans="1:13" x14ac:dyDescent="0.3">
      <c r="A518">
        <v>1990</v>
      </c>
      <c r="B518" t="s">
        <v>1836</v>
      </c>
      <c r="C518" t="s">
        <v>2667</v>
      </c>
      <c r="D518" t="s">
        <v>159</v>
      </c>
      <c r="E518" t="s">
        <v>159</v>
      </c>
      <c r="F518">
        <v>7651</v>
      </c>
      <c r="G518" t="s">
        <v>2665</v>
      </c>
      <c r="H518">
        <v>13750</v>
      </c>
      <c r="I518">
        <v>13200</v>
      </c>
      <c r="J518">
        <v>12672</v>
      </c>
      <c r="K518">
        <v>12165</v>
      </c>
      <c r="L518">
        <v>11679</v>
      </c>
      <c r="M518" t="s">
        <v>988</v>
      </c>
    </row>
    <row r="519" spans="1:13" x14ac:dyDescent="0.3">
      <c r="A519">
        <v>1990</v>
      </c>
      <c r="B519" t="s">
        <v>1836</v>
      </c>
      <c r="C519" t="s">
        <v>2667</v>
      </c>
      <c r="D519" t="s">
        <v>159</v>
      </c>
      <c r="E519" t="s">
        <v>159</v>
      </c>
      <c r="F519">
        <v>7651</v>
      </c>
      <c r="G519" t="s">
        <v>2664</v>
      </c>
      <c r="H519">
        <v>13750</v>
      </c>
      <c r="I519">
        <v>13200</v>
      </c>
      <c r="J519">
        <v>12672</v>
      </c>
      <c r="K519">
        <v>12165</v>
      </c>
      <c r="L519">
        <v>11679</v>
      </c>
      <c r="M519" t="s">
        <v>988</v>
      </c>
    </row>
    <row r="520" spans="1:13" x14ac:dyDescent="0.3">
      <c r="A520">
        <v>1996</v>
      </c>
      <c r="B520" t="s">
        <v>1838</v>
      </c>
      <c r="C520" t="s">
        <v>2667</v>
      </c>
      <c r="D520" t="s">
        <v>1203</v>
      </c>
      <c r="E520" t="s">
        <v>1204</v>
      </c>
      <c r="F520">
        <v>5798</v>
      </c>
      <c r="G520" t="s">
        <v>2664</v>
      </c>
      <c r="H520">
        <v>5599</v>
      </c>
      <c r="I520">
        <v>5811</v>
      </c>
      <c r="J520">
        <v>6007</v>
      </c>
      <c r="K520">
        <v>6172</v>
      </c>
      <c r="M520" t="s">
        <v>988</v>
      </c>
    </row>
    <row r="521" spans="1:13" x14ac:dyDescent="0.3">
      <c r="A521">
        <v>1996</v>
      </c>
      <c r="B521" t="s">
        <v>1838</v>
      </c>
      <c r="C521" t="s">
        <v>2667</v>
      </c>
      <c r="D521" t="s">
        <v>1203</v>
      </c>
      <c r="E521" t="s">
        <v>1204</v>
      </c>
      <c r="F521">
        <v>5798</v>
      </c>
      <c r="G521" t="s">
        <v>2665</v>
      </c>
      <c r="H521">
        <v>4744</v>
      </c>
      <c r="I521">
        <v>4915</v>
      </c>
      <c r="J521">
        <v>5068</v>
      </c>
      <c r="K521">
        <v>5188</v>
      </c>
      <c r="M521" t="s">
        <v>988</v>
      </c>
    </row>
    <row r="522" spans="1:13" x14ac:dyDescent="0.3">
      <c r="A522">
        <v>2000</v>
      </c>
      <c r="B522" t="s">
        <v>1839</v>
      </c>
      <c r="C522" t="s">
        <v>2667</v>
      </c>
      <c r="D522" t="s">
        <v>159</v>
      </c>
      <c r="E522" t="s">
        <v>159</v>
      </c>
      <c r="F522">
        <v>7709</v>
      </c>
      <c r="G522" t="s">
        <v>2664</v>
      </c>
      <c r="H522">
        <v>80275</v>
      </c>
      <c r="I522">
        <v>83554</v>
      </c>
      <c r="J522">
        <v>85328</v>
      </c>
      <c r="K522">
        <v>87552</v>
      </c>
      <c r="L522">
        <v>89824</v>
      </c>
      <c r="M522" t="s">
        <v>988</v>
      </c>
    </row>
    <row r="523" spans="1:13" x14ac:dyDescent="0.3">
      <c r="A523">
        <v>2000</v>
      </c>
      <c r="B523" t="s">
        <v>1839</v>
      </c>
      <c r="C523" t="s">
        <v>2667</v>
      </c>
      <c r="D523" t="s">
        <v>159</v>
      </c>
      <c r="E523" t="s">
        <v>159</v>
      </c>
      <c r="F523">
        <v>7709</v>
      </c>
      <c r="G523" t="s">
        <v>2665</v>
      </c>
      <c r="H523">
        <v>78077</v>
      </c>
      <c r="I523">
        <v>81378</v>
      </c>
      <c r="J523">
        <v>83136</v>
      </c>
      <c r="K523">
        <v>85341</v>
      </c>
      <c r="L523">
        <v>87614</v>
      </c>
      <c r="M523" t="s">
        <v>988</v>
      </c>
    </row>
    <row r="524" spans="1:13" x14ac:dyDescent="0.3">
      <c r="A524">
        <v>2033</v>
      </c>
      <c r="B524" t="s">
        <v>865</v>
      </c>
      <c r="C524" t="s">
        <v>2667</v>
      </c>
      <c r="D524" t="s">
        <v>1203</v>
      </c>
      <c r="E524" t="s">
        <v>1204</v>
      </c>
      <c r="F524">
        <v>5479</v>
      </c>
      <c r="G524" t="s">
        <v>2664</v>
      </c>
      <c r="H524">
        <v>43139.35650745</v>
      </c>
      <c r="I524">
        <v>44060.022862450001</v>
      </c>
      <c r="J524">
        <v>44060.022862450001</v>
      </c>
      <c r="K524">
        <v>44060.022862450001</v>
      </c>
      <c r="L524">
        <v>44060.022862450001</v>
      </c>
      <c r="M524" t="s">
        <v>988</v>
      </c>
    </row>
    <row r="525" spans="1:13" x14ac:dyDescent="0.3">
      <c r="A525">
        <v>2033</v>
      </c>
      <c r="B525" t="s">
        <v>865</v>
      </c>
      <c r="C525" t="s">
        <v>2667</v>
      </c>
      <c r="D525" t="s">
        <v>1203</v>
      </c>
      <c r="E525" t="s">
        <v>1204</v>
      </c>
      <c r="F525">
        <v>5479</v>
      </c>
      <c r="G525" t="s">
        <v>2665</v>
      </c>
      <c r="H525">
        <v>24115.3207253</v>
      </c>
      <c r="I525">
        <v>24621.68722055</v>
      </c>
      <c r="J525">
        <v>25140.329267199999</v>
      </c>
      <c r="K525">
        <v>25668.177977399999</v>
      </c>
      <c r="L525">
        <v>26205.23335115</v>
      </c>
      <c r="M525" t="s">
        <v>988</v>
      </c>
    </row>
    <row r="526" spans="1:13" x14ac:dyDescent="0.3">
      <c r="A526">
        <v>2035</v>
      </c>
      <c r="B526" t="s">
        <v>1843</v>
      </c>
      <c r="C526" t="s">
        <v>2667</v>
      </c>
      <c r="D526" t="s">
        <v>1203</v>
      </c>
      <c r="E526" t="s">
        <v>1204</v>
      </c>
      <c r="F526">
        <v>5747</v>
      </c>
      <c r="G526" t="s">
        <v>2664</v>
      </c>
      <c r="H526">
        <v>34143</v>
      </c>
      <c r="I526">
        <v>35461</v>
      </c>
      <c r="J526">
        <v>36780</v>
      </c>
      <c r="K526">
        <v>37939</v>
      </c>
      <c r="L526">
        <v>39098</v>
      </c>
      <c r="M526" t="s">
        <v>988</v>
      </c>
    </row>
    <row r="527" spans="1:13" x14ac:dyDescent="0.3">
      <c r="A527">
        <v>2035</v>
      </c>
      <c r="B527" t="s">
        <v>1843</v>
      </c>
      <c r="C527" t="s">
        <v>2667</v>
      </c>
      <c r="D527" t="s">
        <v>1203</v>
      </c>
      <c r="E527" t="s">
        <v>1204</v>
      </c>
      <c r="F527">
        <v>5747</v>
      </c>
      <c r="G527" t="s">
        <v>2665</v>
      </c>
      <c r="H527">
        <v>29690</v>
      </c>
      <c r="I527">
        <v>30836</v>
      </c>
      <c r="J527">
        <v>31982</v>
      </c>
      <c r="K527">
        <v>32990</v>
      </c>
      <c r="L527">
        <v>33998</v>
      </c>
      <c r="M527" t="s">
        <v>988</v>
      </c>
    </row>
    <row r="528" spans="1:13" x14ac:dyDescent="0.3">
      <c r="A528">
        <v>2037</v>
      </c>
      <c r="B528" t="s">
        <v>1845</v>
      </c>
      <c r="C528" t="s">
        <v>2667</v>
      </c>
      <c r="D528" t="s">
        <v>1203</v>
      </c>
      <c r="E528" t="s">
        <v>1204</v>
      </c>
      <c r="F528">
        <v>5619</v>
      </c>
      <c r="G528" t="s">
        <v>2665</v>
      </c>
      <c r="H528">
        <v>10806</v>
      </c>
      <c r="I528">
        <v>11049</v>
      </c>
      <c r="J528">
        <v>11566</v>
      </c>
      <c r="K528">
        <v>11696</v>
      </c>
      <c r="L528">
        <v>11923</v>
      </c>
      <c r="M528" t="s">
        <v>988</v>
      </c>
    </row>
    <row r="529" spans="1:13" x14ac:dyDescent="0.3">
      <c r="A529">
        <v>2037</v>
      </c>
      <c r="B529" t="s">
        <v>1845</v>
      </c>
      <c r="C529" t="s">
        <v>2667</v>
      </c>
      <c r="D529" t="s">
        <v>1203</v>
      </c>
      <c r="E529" t="s">
        <v>1204</v>
      </c>
      <c r="F529">
        <v>5619</v>
      </c>
      <c r="G529" t="s">
        <v>2664</v>
      </c>
      <c r="H529">
        <v>7335</v>
      </c>
      <c r="I529">
        <v>7486</v>
      </c>
      <c r="J529">
        <v>7836</v>
      </c>
      <c r="K529">
        <v>7917</v>
      </c>
      <c r="L529">
        <v>7149</v>
      </c>
      <c r="M529" t="s">
        <v>988</v>
      </c>
    </row>
    <row r="530" spans="1:13" x14ac:dyDescent="0.3">
      <c r="A530">
        <v>2042</v>
      </c>
      <c r="B530" t="s">
        <v>1848</v>
      </c>
      <c r="C530" t="s">
        <v>2667</v>
      </c>
      <c r="D530" t="s">
        <v>1203</v>
      </c>
      <c r="E530" t="s">
        <v>1204</v>
      </c>
      <c r="F530">
        <v>7759</v>
      </c>
      <c r="G530" t="s">
        <v>2665</v>
      </c>
      <c r="H530">
        <v>5508.6536907500004</v>
      </c>
      <c r="I530">
        <v>6297.3578681999998</v>
      </c>
      <c r="J530">
        <v>7076.8553820999996</v>
      </c>
      <c r="K530">
        <v>7862.4906717000003</v>
      </c>
      <c r="L530">
        <v>8645.0570734499997</v>
      </c>
      <c r="M530" t="s">
        <v>988</v>
      </c>
    </row>
    <row r="531" spans="1:13" x14ac:dyDescent="0.3">
      <c r="A531">
        <v>2042</v>
      </c>
      <c r="B531" t="s">
        <v>1848</v>
      </c>
      <c r="C531" t="s">
        <v>2667</v>
      </c>
      <c r="D531" t="s">
        <v>1203</v>
      </c>
      <c r="E531" t="s">
        <v>1204</v>
      </c>
      <c r="F531">
        <v>7759</v>
      </c>
      <c r="G531" t="s">
        <v>2664</v>
      </c>
      <c r="H531">
        <v>5508.6536907500004</v>
      </c>
      <c r="I531">
        <v>6297.3578681999998</v>
      </c>
      <c r="J531">
        <v>7076.8553820999996</v>
      </c>
      <c r="K531">
        <v>7862.4906717000003</v>
      </c>
      <c r="L531">
        <v>8645.0570734499997</v>
      </c>
      <c r="M531" t="s">
        <v>988</v>
      </c>
    </row>
    <row r="532" spans="1:13" x14ac:dyDescent="0.3">
      <c r="A532">
        <v>2049</v>
      </c>
      <c r="B532" t="s">
        <v>1849</v>
      </c>
      <c r="C532" t="s">
        <v>2667</v>
      </c>
      <c r="D532" t="s">
        <v>1203</v>
      </c>
      <c r="E532" t="s">
        <v>1204</v>
      </c>
      <c r="F532">
        <v>5727</v>
      </c>
      <c r="G532" t="s">
        <v>2665</v>
      </c>
      <c r="H532">
        <v>10563</v>
      </c>
      <c r="I532">
        <v>11236</v>
      </c>
      <c r="J532">
        <v>11910</v>
      </c>
      <c r="K532">
        <v>12342</v>
      </c>
      <c r="L532">
        <v>12775</v>
      </c>
      <c r="M532" t="s">
        <v>988</v>
      </c>
    </row>
    <row r="533" spans="1:13" x14ac:dyDescent="0.3">
      <c r="A533">
        <v>2049</v>
      </c>
      <c r="B533" t="s">
        <v>1849</v>
      </c>
      <c r="C533" t="s">
        <v>2667</v>
      </c>
      <c r="D533" t="s">
        <v>1203</v>
      </c>
      <c r="E533" t="s">
        <v>1204</v>
      </c>
      <c r="F533">
        <v>5727</v>
      </c>
      <c r="G533" t="s">
        <v>2664</v>
      </c>
      <c r="H533">
        <v>12147</v>
      </c>
      <c r="I533">
        <v>12922</v>
      </c>
      <c r="J533">
        <v>13696</v>
      </c>
      <c r="K533">
        <v>14194</v>
      </c>
      <c r="L533">
        <v>14691</v>
      </c>
      <c r="M533" t="s">
        <v>988</v>
      </c>
    </row>
    <row r="534" spans="1:13" x14ac:dyDescent="0.3">
      <c r="A534">
        <v>2057</v>
      </c>
      <c r="B534" t="s">
        <v>1851</v>
      </c>
      <c r="C534" t="s">
        <v>2667</v>
      </c>
      <c r="D534" t="s">
        <v>159</v>
      </c>
      <c r="E534" t="s">
        <v>159</v>
      </c>
      <c r="F534">
        <v>5680</v>
      </c>
      <c r="G534" t="s">
        <v>2665</v>
      </c>
      <c r="H534">
        <v>8872</v>
      </c>
      <c r="I534">
        <v>9353</v>
      </c>
      <c r="J534">
        <v>9500</v>
      </c>
      <c r="K534">
        <v>9579</v>
      </c>
      <c r="L534">
        <v>9727</v>
      </c>
      <c r="M534" t="s">
        <v>988</v>
      </c>
    </row>
    <row r="535" spans="1:13" x14ac:dyDescent="0.3">
      <c r="A535">
        <v>2057</v>
      </c>
      <c r="B535" t="s">
        <v>1851</v>
      </c>
      <c r="C535" t="s">
        <v>2667</v>
      </c>
      <c r="D535" t="s">
        <v>159</v>
      </c>
      <c r="E535" t="s">
        <v>159</v>
      </c>
      <c r="F535">
        <v>5680</v>
      </c>
      <c r="G535" t="s">
        <v>2664</v>
      </c>
      <c r="H535">
        <v>8872</v>
      </c>
      <c r="I535">
        <v>9353</v>
      </c>
      <c r="J535">
        <v>9500</v>
      </c>
      <c r="K535">
        <v>9579</v>
      </c>
      <c r="L535">
        <v>9727</v>
      </c>
      <c r="M535" t="s">
        <v>988</v>
      </c>
    </row>
    <row r="536" spans="1:13" x14ac:dyDescent="0.3">
      <c r="A536">
        <v>2063</v>
      </c>
      <c r="B536" t="s">
        <v>1852</v>
      </c>
      <c r="C536" t="s">
        <v>2667</v>
      </c>
      <c r="D536" t="s">
        <v>1203</v>
      </c>
      <c r="E536" t="s">
        <v>1204</v>
      </c>
      <c r="F536">
        <v>5732</v>
      </c>
      <c r="G536" t="s">
        <v>2665</v>
      </c>
      <c r="H536">
        <v>2228</v>
      </c>
      <c r="I536">
        <v>2451</v>
      </c>
      <c r="J536">
        <v>2696</v>
      </c>
      <c r="K536">
        <v>2966</v>
      </c>
      <c r="L536">
        <v>3007</v>
      </c>
      <c r="M536" t="s">
        <v>988</v>
      </c>
    </row>
    <row r="537" spans="1:13" x14ac:dyDescent="0.3">
      <c r="A537">
        <v>2063</v>
      </c>
      <c r="B537" t="s">
        <v>1852</v>
      </c>
      <c r="C537" t="s">
        <v>2667</v>
      </c>
      <c r="D537" t="s">
        <v>1203</v>
      </c>
      <c r="E537" t="s">
        <v>1204</v>
      </c>
      <c r="F537">
        <v>5732</v>
      </c>
      <c r="G537" t="s">
        <v>2664</v>
      </c>
      <c r="H537">
        <v>2228</v>
      </c>
      <c r="I537">
        <v>2451</v>
      </c>
      <c r="J537">
        <v>2696</v>
      </c>
      <c r="K537">
        <v>2966</v>
      </c>
      <c r="L537">
        <v>3007</v>
      </c>
      <c r="M537" t="s">
        <v>988</v>
      </c>
    </row>
    <row r="538" spans="1:13" x14ac:dyDescent="0.3">
      <c r="A538">
        <v>2074</v>
      </c>
      <c r="B538" t="s">
        <v>1853</v>
      </c>
      <c r="C538" t="s">
        <v>2667</v>
      </c>
      <c r="D538" t="s">
        <v>1203</v>
      </c>
      <c r="E538" t="s">
        <v>1204</v>
      </c>
      <c r="F538">
        <v>6341</v>
      </c>
      <c r="G538" t="s">
        <v>2665</v>
      </c>
      <c r="H538">
        <v>4646</v>
      </c>
      <c r="I538">
        <v>4867</v>
      </c>
      <c r="J538">
        <v>5088</v>
      </c>
      <c r="K538">
        <v>5309</v>
      </c>
      <c r="M538" t="s">
        <v>988</v>
      </c>
    </row>
    <row r="539" spans="1:13" x14ac:dyDescent="0.3">
      <c r="A539">
        <v>2074</v>
      </c>
      <c r="B539" t="s">
        <v>1853</v>
      </c>
      <c r="C539" t="s">
        <v>2667</v>
      </c>
      <c r="D539" t="s">
        <v>1203</v>
      </c>
      <c r="E539" t="s">
        <v>1204</v>
      </c>
      <c r="F539">
        <v>6341</v>
      </c>
      <c r="G539" t="s">
        <v>2664</v>
      </c>
      <c r="H539">
        <v>15944</v>
      </c>
      <c r="I539">
        <v>15944</v>
      </c>
      <c r="J539">
        <v>15944</v>
      </c>
      <c r="K539">
        <v>15944</v>
      </c>
      <c r="M539" t="s">
        <v>988</v>
      </c>
    </row>
    <row r="540" spans="1:13" x14ac:dyDescent="0.3">
      <c r="A540">
        <v>2083</v>
      </c>
      <c r="B540" t="s">
        <v>1854</v>
      </c>
      <c r="C540" t="s">
        <v>2667</v>
      </c>
      <c r="D540" t="s">
        <v>1203</v>
      </c>
      <c r="E540" t="s">
        <v>1204</v>
      </c>
      <c r="F540">
        <v>5706</v>
      </c>
      <c r="G540" t="s">
        <v>2664</v>
      </c>
      <c r="H540">
        <v>111923</v>
      </c>
      <c r="I540">
        <v>121893</v>
      </c>
      <c r="J540">
        <v>125193</v>
      </c>
      <c r="K540">
        <v>126693</v>
      </c>
      <c r="L540">
        <v>126693</v>
      </c>
      <c r="M540" t="s">
        <v>988</v>
      </c>
    </row>
    <row r="541" spans="1:13" x14ac:dyDescent="0.3">
      <c r="A541">
        <v>2083</v>
      </c>
      <c r="B541" t="s">
        <v>1854</v>
      </c>
      <c r="C541" t="s">
        <v>2667</v>
      </c>
      <c r="D541" t="s">
        <v>1203</v>
      </c>
      <c r="E541" t="s">
        <v>1204</v>
      </c>
      <c r="F541">
        <v>5706</v>
      </c>
      <c r="G541" t="s">
        <v>2665</v>
      </c>
      <c r="H541">
        <v>87712</v>
      </c>
      <c r="I541">
        <v>97803</v>
      </c>
      <c r="J541">
        <v>100259</v>
      </c>
      <c r="K541">
        <v>102807</v>
      </c>
      <c r="L541">
        <v>105448</v>
      </c>
      <c r="M541" t="s">
        <v>988</v>
      </c>
    </row>
    <row r="542" spans="1:13" x14ac:dyDescent="0.3">
      <c r="A542">
        <v>2087</v>
      </c>
      <c r="B542" t="s">
        <v>1860</v>
      </c>
      <c r="C542" t="s">
        <v>2667</v>
      </c>
      <c r="D542" t="s">
        <v>1203</v>
      </c>
      <c r="E542" t="s">
        <v>1204</v>
      </c>
      <c r="F542">
        <v>5755</v>
      </c>
      <c r="G542" t="s">
        <v>2664</v>
      </c>
      <c r="H542">
        <v>5749</v>
      </c>
      <c r="I542">
        <v>5994</v>
      </c>
      <c r="J542">
        <v>6239</v>
      </c>
      <c r="K542">
        <v>6365</v>
      </c>
      <c r="L542">
        <v>6490</v>
      </c>
      <c r="M542" t="s">
        <v>988</v>
      </c>
    </row>
    <row r="543" spans="1:13" x14ac:dyDescent="0.3">
      <c r="A543">
        <v>2087</v>
      </c>
      <c r="B543" t="s">
        <v>1860</v>
      </c>
      <c r="C543" t="s">
        <v>2667</v>
      </c>
      <c r="D543" t="s">
        <v>1203</v>
      </c>
      <c r="E543" t="s">
        <v>1204</v>
      </c>
      <c r="F543">
        <v>5755</v>
      </c>
      <c r="G543" t="s">
        <v>2665</v>
      </c>
      <c r="H543">
        <v>4999</v>
      </c>
      <c r="I543">
        <v>5212</v>
      </c>
      <c r="J543">
        <v>5425</v>
      </c>
      <c r="K543">
        <v>5534</v>
      </c>
      <c r="L543">
        <v>5644</v>
      </c>
      <c r="M543" t="s">
        <v>988</v>
      </c>
    </row>
    <row r="544" spans="1:13" x14ac:dyDescent="0.3">
      <c r="A544">
        <v>2103</v>
      </c>
      <c r="B544" t="s">
        <v>1862</v>
      </c>
      <c r="C544" t="s">
        <v>2667</v>
      </c>
      <c r="D544" t="s">
        <v>1203</v>
      </c>
      <c r="E544" t="s">
        <v>1204</v>
      </c>
      <c r="F544">
        <v>6641</v>
      </c>
      <c r="G544" t="s">
        <v>2664</v>
      </c>
      <c r="H544">
        <v>8222</v>
      </c>
      <c r="I544">
        <v>8222</v>
      </c>
      <c r="J544">
        <v>8222</v>
      </c>
      <c r="K544">
        <v>8222</v>
      </c>
      <c r="L544">
        <v>8222</v>
      </c>
      <c r="M544" t="s">
        <v>988</v>
      </c>
    </row>
    <row r="545" spans="1:13" x14ac:dyDescent="0.3">
      <c r="A545">
        <v>2103</v>
      </c>
      <c r="B545" t="s">
        <v>1862</v>
      </c>
      <c r="C545" t="s">
        <v>2667</v>
      </c>
      <c r="D545" t="s">
        <v>1203</v>
      </c>
      <c r="E545" t="s">
        <v>1204</v>
      </c>
      <c r="F545">
        <v>6641</v>
      </c>
      <c r="G545" t="s">
        <v>2665</v>
      </c>
      <c r="H545">
        <v>6889</v>
      </c>
      <c r="I545">
        <v>6979</v>
      </c>
      <c r="J545">
        <v>6997</v>
      </c>
      <c r="K545">
        <v>7122</v>
      </c>
      <c r="L545">
        <v>7229</v>
      </c>
      <c r="M545" t="s">
        <v>988</v>
      </c>
    </row>
    <row r="546" spans="1:13" x14ac:dyDescent="0.3">
      <c r="A546">
        <v>2111</v>
      </c>
      <c r="B546" t="s">
        <v>868</v>
      </c>
      <c r="C546" t="s">
        <v>2667</v>
      </c>
      <c r="D546" t="s">
        <v>1203</v>
      </c>
      <c r="E546" t="s">
        <v>1204</v>
      </c>
      <c r="F546">
        <v>5659</v>
      </c>
      <c r="G546" t="s">
        <v>2664</v>
      </c>
      <c r="H546">
        <v>49942</v>
      </c>
      <c r="I546">
        <v>55005</v>
      </c>
      <c r="J546">
        <v>60723</v>
      </c>
      <c r="K546">
        <v>60723</v>
      </c>
      <c r="L546">
        <v>60723</v>
      </c>
      <c r="M546" t="s">
        <v>988</v>
      </c>
    </row>
    <row r="547" spans="1:13" x14ac:dyDescent="0.3">
      <c r="A547">
        <v>2111</v>
      </c>
      <c r="B547" t="s">
        <v>868</v>
      </c>
      <c r="C547" t="s">
        <v>2667</v>
      </c>
      <c r="D547" t="s">
        <v>1203</v>
      </c>
      <c r="E547" t="s">
        <v>1204</v>
      </c>
      <c r="F547">
        <v>5659</v>
      </c>
      <c r="G547" t="s">
        <v>2665</v>
      </c>
      <c r="H547">
        <v>51589</v>
      </c>
      <c r="I547">
        <v>56990</v>
      </c>
      <c r="J547">
        <v>62547</v>
      </c>
      <c r="K547">
        <v>62547</v>
      </c>
      <c r="L547">
        <v>62547</v>
      </c>
      <c r="M547" t="s">
        <v>988</v>
      </c>
    </row>
    <row r="548" spans="1:13" x14ac:dyDescent="0.3">
      <c r="A548">
        <v>2115</v>
      </c>
      <c r="B548" t="s">
        <v>1867</v>
      </c>
      <c r="C548" t="s">
        <v>2667</v>
      </c>
      <c r="D548" t="s">
        <v>159</v>
      </c>
      <c r="E548" t="s">
        <v>159</v>
      </c>
      <c r="F548">
        <v>5512</v>
      </c>
      <c r="G548" t="s">
        <v>2665</v>
      </c>
      <c r="H548">
        <v>11770</v>
      </c>
      <c r="I548">
        <v>11877</v>
      </c>
      <c r="J548">
        <v>11983</v>
      </c>
      <c r="K548">
        <v>12082</v>
      </c>
      <c r="L548">
        <v>12181</v>
      </c>
      <c r="M548" t="s">
        <v>988</v>
      </c>
    </row>
    <row r="549" spans="1:13" x14ac:dyDescent="0.3">
      <c r="A549">
        <v>2115</v>
      </c>
      <c r="B549" t="s">
        <v>1867</v>
      </c>
      <c r="C549" t="s">
        <v>2667</v>
      </c>
      <c r="D549" t="s">
        <v>159</v>
      </c>
      <c r="E549" t="s">
        <v>159</v>
      </c>
      <c r="F549">
        <v>5512</v>
      </c>
      <c r="G549" t="s">
        <v>2664</v>
      </c>
      <c r="H549">
        <v>11770</v>
      </c>
      <c r="I549">
        <v>11877</v>
      </c>
      <c r="J549">
        <v>11983</v>
      </c>
      <c r="K549">
        <v>12082</v>
      </c>
      <c r="L549">
        <v>12181</v>
      </c>
      <c r="M549" t="s">
        <v>988</v>
      </c>
    </row>
    <row r="550" spans="1:13" x14ac:dyDescent="0.3">
      <c r="A550">
        <v>2118</v>
      </c>
      <c r="B550" t="s">
        <v>1869</v>
      </c>
      <c r="C550" t="s">
        <v>2667</v>
      </c>
      <c r="D550" t="s">
        <v>159</v>
      </c>
      <c r="E550" t="s">
        <v>159</v>
      </c>
      <c r="F550">
        <v>5476</v>
      </c>
      <c r="G550" t="s">
        <v>2664</v>
      </c>
      <c r="H550">
        <v>7960</v>
      </c>
      <c r="I550">
        <v>14850</v>
      </c>
      <c r="J550">
        <v>14893</v>
      </c>
      <c r="K550">
        <v>16150</v>
      </c>
      <c r="L550">
        <v>16201</v>
      </c>
      <c r="M550" t="s">
        <v>988</v>
      </c>
    </row>
    <row r="551" spans="1:13" x14ac:dyDescent="0.3">
      <c r="A551">
        <v>2118</v>
      </c>
      <c r="B551" t="s">
        <v>1869</v>
      </c>
      <c r="C551" t="s">
        <v>2667</v>
      </c>
      <c r="D551" t="s">
        <v>159</v>
      </c>
      <c r="E551" t="s">
        <v>159</v>
      </c>
      <c r="F551">
        <v>5476</v>
      </c>
      <c r="G551" t="s">
        <v>2665</v>
      </c>
      <c r="H551">
        <v>7960</v>
      </c>
      <c r="I551">
        <v>10686</v>
      </c>
      <c r="J551">
        <v>11416</v>
      </c>
      <c r="K551">
        <v>12149</v>
      </c>
      <c r="L551">
        <v>12886</v>
      </c>
      <c r="M551" t="s">
        <v>988</v>
      </c>
    </row>
    <row r="552" spans="1:13" x14ac:dyDescent="0.3">
      <c r="A552">
        <v>2119</v>
      </c>
      <c r="B552" t="s">
        <v>1877</v>
      </c>
      <c r="C552" t="s">
        <v>2667</v>
      </c>
      <c r="D552" t="s">
        <v>1203</v>
      </c>
      <c r="E552" t="s">
        <v>1204</v>
      </c>
      <c r="F552">
        <v>5809</v>
      </c>
      <c r="G552" t="s">
        <v>2665</v>
      </c>
      <c r="H552">
        <v>2016.34</v>
      </c>
      <c r="I552">
        <v>2048.13</v>
      </c>
      <c r="J552">
        <v>2080.4299999999998</v>
      </c>
      <c r="K552">
        <v>2113.23</v>
      </c>
      <c r="L552">
        <v>2146.5500000000002</v>
      </c>
      <c r="M552" t="s">
        <v>988</v>
      </c>
    </row>
    <row r="553" spans="1:13" x14ac:dyDescent="0.3">
      <c r="A553">
        <v>2119</v>
      </c>
      <c r="B553" t="s">
        <v>1877</v>
      </c>
      <c r="C553" t="s">
        <v>2667</v>
      </c>
      <c r="D553" t="s">
        <v>1203</v>
      </c>
      <c r="E553" t="s">
        <v>1204</v>
      </c>
      <c r="F553">
        <v>5809</v>
      </c>
      <c r="G553" t="s">
        <v>2664</v>
      </c>
      <c r="H553">
        <v>2385</v>
      </c>
      <c r="I553">
        <v>2385</v>
      </c>
      <c r="J553">
        <v>2385</v>
      </c>
      <c r="K553">
        <v>2385</v>
      </c>
      <c r="L553">
        <v>2385</v>
      </c>
      <c r="M553" t="s">
        <v>988</v>
      </c>
    </row>
    <row r="554" spans="1:13" x14ac:dyDescent="0.3">
      <c r="A554">
        <v>2122</v>
      </c>
      <c r="B554" t="s">
        <v>1878</v>
      </c>
      <c r="C554" t="s">
        <v>2667</v>
      </c>
      <c r="D554" t="s">
        <v>1203</v>
      </c>
      <c r="E554" t="s">
        <v>1204</v>
      </c>
      <c r="F554">
        <v>7711</v>
      </c>
      <c r="G554" t="s">
        <v>2664</v>
      </c>
      <c r="H554">
        <v>424</v>
      </c>
      <c r="I554">
        <v>424</v>
      </c>
      <c r="J554">
        <v>424</v>
      </c>
      <c r="K554">
        <v>424</v>
      </c>
      <c r="L554">
        <v>424</v>
      </c>
      <c r="M554" t="s">
        <v>988</v>
      </c>
    </row>
    <row r="555" spans="1:13" x14ac:dyDescent="0.3">
      <c r="A555">
        <v>2122</v>
      </c>
      <c r="B555" t="s">
        <v>1878</v>
      </c>
      <c r="C555" t="s">
        <v>2667</v>
      </c>
      <c r="D555" t="s">
        <v>1203</v>
      </c>
      <c r="E555" t="s">
        <v>1204</v>
      </c>
      <c r="F555">
        <v>7711</v>
      </c>
      <c r="G555" t="s">
        <v>2665</v>
      </c>
      <c r="H555">
        <v>424</v>
      </c>
      <c r="I555">
        <v>424</v>
      </c>
      <c r="J555">
        <v>424</v>
      </c>
      <c r="K555">
        <v>424</v>
      </c>
      <c r="L555">
        <v>424</v>
      </c>
      <c r="M555" t="s">
        <v>988</v>
      </c>
    </row>
    <row r="556" spans="1:13" x14ac:dyDescent="0.3">
      <c r="A556">
        <v>2130</v>
      </c>
      <c r="B556" t="s">
        <v>1879</v>
      </c>
      <c r="C556" t="s">
        <v>2667</v>
      </c>
      <c r="D556" t="s">
        <v>159</v>
      </c>
      <c r="E556" t="s">
        <v>159</v>
      </c>
      <c r="F556">
        <v>6776</v>
      </c>
      <c r="G556" t="s">
        <v>2665</v>
      </c>
      <c r="H556">
        <v>108432</v>
      </c>
      <c r="I556">
        <v>114809</v>
      </c>
      <c r="J556">
        <v>121187</v>
      </c>
      <c r="K556">
        <v>127564</v>
      </c>
      <c r="L556">
        <v>133942</v>
      </c>
      <c r="M556" t="s">
        <v>988</v>
      </c>
    </row>
    <row r="557" spans="1:13" x14ac:dyDescent="0.3">
      <c r="A557">
        <v>2130</v>
      </c>
      <c r="B557" t="s">
        <v>1879</v>
      </c>
      <c r="C557" t="s">
        <v>2667</v>
      </c>
      <c r="D557" t="s">
        <v>159</v>
      </c>
      <c r="E557" t="s">
        <v>159</v>
      </c>
      <c r="F557">
        <v>6776</v>
      </c>
      <c r="G557" t="s">
        <v>2664</v>
      </c>
      <c r="H557">
        <v>333200</v>
      </c>
      <c r="I557">
        <v>350200</v>
      </c>
      <c r="J557">
        <v>350200</v>
      </c>
      <c r="K557">
        <v>350200</v>
      </c>
      <c r="L557">
        <v>350200</v>
      </c>
      <c r="M557" t="s">
        <v>988</v>
      </c>
    </row>
    <row r="558" spans="1:13" x14ac:dyDescent="0.3">
      <c r="A558">
        <v>2132</v>
      </c>
      <c r="B558" t="s">
        <v>772</v>
      </c>
      <c r="C558" t="s">
        <v>2667</v>
      </c>
      <c r="D558" t="s">
        <v>1203</v>
      </c>
      <c r="E558" t="s">
        <v>1204</v>
      </c>
      <c r="F558">
        <v>5606</v>
      </c>
      <c r="G558" t="s">
        <v>2664</v>
      </c>
      <c r="H558">
        <v>93624</v>
      </c>
      <c r="I558">
        <v>100228</v>
      </c>
      <c r="J558">
        <v>112584</v>
      </c>
      <c r="K558">
        <v>114940</v>
      </c>
      <c r="L558">
        <v>118601</v>
      </c>
      <c r="M558" t="s">
        <v>988</v>
      </c>
    </row>
    <row r="559" spans="1:13" x14ac:dyDescent="0.3">
      <c r="A559">
        <v>2132</v>
      </c>
      <c r="B559" t="s">
        <v>772</v>
      </c>
      <c r="C559" t="s">
        <v>2667</v>
      </c>
      <c r="D559" t="s">
        <v>1203</v>
      </c>
      <c r="E559" t="s">
        <v>1204</v>
      </c>
      <c r="F559">
        <v>5606</v>
      </c>
      <c r="G559" t="s">
        <v>2665</v>
      </c>
      <c r="H559">
        <v>54972</v>
      </c>
      <c r="I559">
        <v>64771</v>
      </c>
      <c r="J559">
        <v>73764</v>
      </c>
      <c r="K559">
        <v>81315</v>
      </c>
      <c r="L559">
        <v>89032</v>
      </c>
      <c r="M559" t="s">
        <v>988</v>
      </c>
    </row>
    <row r="560" spans="1:13" x14ac:dyDescent="0.3">
      <c r="A560">
        <v>2140</v>
      </c>
      <c r="B560" t="s">
        <v>1885</v>
      </c>
      <c r="C560" t="s">
        <v>2667</v>
      </c>
      <c r="D560" t="s">
        <v>159</v>
      </c>
      <c r="E560" t="s">
        <v>159</v>
      </c>
      <c r="F560">
        <v>7526</v>
      </c>
      <c r="G560" t="s">
        <v>2664</v>
      </c>
      <c r="H560">
        <v>48000</v>
      </c>
      <c r="I560">
        <v>48000</v>
      </c>
      <c r="J560">
        <v>48000</v>
      </c>
      <c r="K560">
        <v>48000</v>
      </c>
      <c r="L560">
        <v>48000</v>
      </c>
      <c r="M560" t="s">
        <v>988</v>
      </c>
    </row>
    <row r="561" spans="1:13" x14ac:dyDescent="0.3">
      <c r="A561">
        <v>2140</v>
      </c>
      <c r="B561" t="s">
        <v>1885</v>
      </c>
      <c r="C561" t="s">
        <v>2667</v>
      </c>
      <c r="D561" t="s">
        <v>159</v>
      </c>
      <c r="E561" t="s">
        <v>159</v>
      </c>
      <c r="F561">
        <v>7526</v>
      </c>
      <c r="G561" t="s">
        <v>2665</v>
      </c>
      <c r="H561">
        <v>38184</v>
      </c>
      <c r="I561">
        <v>38617</v>
      </c>
      <c r="J561">
        <v>38611</v>
      </c>
      <c r="K561">
        <v>38574</v>
      </c>
      <c r="L561">
        <v>38536</v>
      </c>
      <c r="M561" t="s">
        <v>988</v>
      </c>
    </row>
    <row r="562" spans="1:13" x14ac:dyDescent="0.3">
      <c r="A562">
        <v>2150</v>
      </c>
      <c r="B562" t="s">
        <v>1889</v>
      </c>
      <c r="C562" t="s">
        <v>2667</v>
      </c>
      <c r="D562" t="s">
        <v>1203</v>
      </c>
      <c r="E562" t="s">
        <v>1204</v>
      </c>
      <c r="F562">
        <v>5758</v>
      </c>
      <c r="G562" t="s">
        <v>2664</v>
      </c>
      <c r="H562">
        <v>53444</v>
      </c>
      <c r="I562">
        <v>54974</v>
      </c>
      <c r="J562">
        <v>56504</v>
      </c>
      <c r="K562">
        <v>57734</v>
      </c>
      <c r="L562">
        <v>58963</v>
      </c>
      <c r="M562" t="s">
        <v>988</v>
      </c>
    </row>
    <row r="563" spans="1:13" x14ac:dyDescent="0.3">
      <c r="A563">
        <v>2150</v>
      </c>
      <c r="B563" t="s">
        <v>1889</v>
      </c>
      <c r="C563" t="s">
        <v>2667</v>
      </c>
      <c r="D563" t="s">
        <v>1203</v>
      </c>
      <c r="E563" t="s">
        <v>1204</v>
      </c>
      <c r="F563">
        <v>5758</v>
      </c>
      <c r="G563" t="s">
        <v>2665</v>
      </c>
      <c r="H563">
        <v>46473</v>
      </c>
      <c r="I563">
        <v>47803</v>
      </c>
      <c r="J563">
        <v>49134</v>
      </c>
      <c r="K563">
        <v>50203</v>
      </c>
      <c r="L563">
        <v>51272</v>
      </c>
      <c r="M563" t="s">
        <v>988</v>
      </c>
    </row>
    <row r="564" spans="1:13" x14ac:dyDescent="0.3">
      <c r="A564">
        <v>2154</v>
      </c>
      <c r="B564" t="s">
        <v>1894</v>
      </c>
      <c r="C564" t="s">
        <v>2667</v>
      </c>
      <c r="D564" t="s">
        <v>1203</v>
      </c>
      <c r="E564" t="s">
        <v>1204</v>
      </c>
      <c r="F564">
        <v>5791</v>
      </c>
      <c r="G564" t="s">
        <v>2664</v>
      </c>
      <c r="H564">
        <v>2770</v>
      </c>
      <c r="I564">
        <v>2810</v>
      </c>
      <c r="J564">
        <v>2840</v>
      </c>
      <c r="K564">
        <v>2850</v>
      </c>
      <c r="L564">
        <v>2900</v>
      </c>
      <c r="M564" t="s">
        <v>988</v>
      </c>
    </row>
    <row r="565" spans="1:13" x14ac:dyDescent="0.3">
      <c r="A565">
        <v>2154</v>
      </c>
      <c r="B565" t="s">
        <v>1894</v>
      </c>
      <c r="C565" t="s">
        <v>2667</v>
      </c>
      <c r="D565" t="s">
        <v>1203</v>
      </c>
      <c r="E565" t="s">
        <v>1204</v>
      </c>
      <c r="F565">
        <v>5791</v>
      </c>
      <c r="G565" t="s">
        <v>2665</v>
      </c>
      <c r="H565">
        <v>2770</v>
      </c>
      <c r="I565">
        <v>2810</v>
      </c>
      <c r="J565">
        <v>2840</v>
      </c>
      <c r="K565">
        <v>2850</v>
      </c>
      <c r="L565">
        <v>2900</v>
      </c>
      <c r="M565" t="s">
        <v>988</v>
      </c>
    </row>
    <row r="566" spans="1:13" x14ac:dyDescent="0.3">
      <c r="A566">
        <v>2891</v>
      </c>
      <c r="B566" t="s">
        <v>1896</v>
      </c>
      <c r="C566" t="s">
        <v>2667</v>
      </c>
      <c r="D566" t="s">
        <v>1203</v>
      </c>
      <c r="E566" t="s">
        <v>1204</v>
      </c>
      <c r="F566">
        <v>5799</v>
      </c>
      <c r="G566" t="s">
        <v>2665</v>
      </c>
      <c r="H566">
        <v>1630</v>
      </c>
      <c r="I566">
        <v>1640</v>
      </c>
      <c r="J566">
        <v>1650</v>
      </c>
      <c r="K566">
        <v>1650</v>
      </c>
      <c r="L566">
        <v>1680</v>
      </c>
      <c r="M566" t="s">
        <v>988</v>
      </c>
    </row>
    <row r="567" spans="1:13" x14ac:dyDescent="0.3">
      <c r="A567">
        <v>2891</v>
      </c>
      <c r="B567" t="s">
        <v>1896</v>
      </c>
      <c r="C567" t="s">
        <v>2667</v>
      </c>
      <c r="D567" t="s">
        <v>1203</v>
      </c>
      <c r="E567" t="s">
        <v>1204</v>
      </c>
      <c r="F567">
        <v>5799</v>
      </c>
      <c r="G567" t="s">
        <v>2664</v>
      </c>
      <c r="H567">
        <v>1630</v>
      </c>
      <c r="I567">
        <v>1640</v>
      </c>
      <c r="J567">
        <v>1650</v>
      </c>
      <c r="K567">
        <v>1650</v>
      </c>
      <c r="L567">
        <v>1680</v>
      </c>
      <c r="M567" t="s">
        <v>988</v>
      </c>
    </row>
    <row r="568" spans="1:13" x14ac:dyDescent="0.3">
      <c r="A568">
        <v>2157</v>
      </c>
      <c r="B568" t="s">
        <v>1897</v>
      </c>
      <c r="C568" t="s">
        <v>2667</v>
      </c>
      <c r="D568" t="s">
        <v>1203</v>
      </c>
      <c r="E568" t="s">
        <v>1204</v>
      </c>
      <c r="F568">
        <v>6643</v>
      </c>
      <c r="G568" t="s">
        <v>2665</v>
      </c>
      <c r="H568">
        <v>3958.5605657523402</v>
      </c>
      <c r="I568">
        <v>4428.8039034801304</v>
      </c>
      <c r="J568">
        <v>4899.0495368920101</v>
      </c>
      <c r="K568">
        <v>5356.9191373720596</v>
      </c>
      <c r="L568">
        <v>5356.9191373720596</v>
      </c>
      <c r="M568" t="s">
        <v>988</v>
      </c>
    </row>
    <row r="569" spans="1:13" x14ac:dyDescent="0.3">
      <c r="A569">
        <v>2157</v>
      </c>
      <c r="B569" t="s">
        <v>1897</v>
      </c>
      <c r="C569" t="s">
        <v>2667</v>
      </c>
      <c r="D569" t="s">
        <v>1203</v>
      </c>
      <c r="E569" t="s">
        <v>1204</v>
      </c>
      <c r="F569">
        <v>6643</v>
      </c>
      <c r="G569" t="s">
        <v>2664</v>
      </c>
      <c r="H569">
        <v>4704.9241945160902</v>
      </c>
      <c r="I569">
        <v>4682.5206134769996</v>
      </c>
      <c r="J569">
        <v>4660.1170324379</v>
      </c>
      <c r="K569">
        <v>4660.1170324379</v>
      </c>
      <c r="L569">
        <v>4346.4554194701705</v>
      </c>
      <c r="M569" t="s">
        <v>988</v>
      </c>
    </row>
    <row r="570" spans="1:13" x14ac:dyDescent="0.3">
      <c r="A570">
        <v>2158</v>
      </c>
      <c r="B570" t="s">
        <v>1900</v>
      </c>
      <c r="C570" t="s">
        <v>2667</v>
      </c>
      <c r="D570" t="s">
        <v>1203</v>
      </c>
      <c r="E570" t="s">
        <v>1204</v>
      </c>
      <c r="F570">
        <v>5792</v>
      </c>
      <c r="G570" t="s">
        <v>2665</v>
      </c>
      <c r="H570">
        <v>16226</v>
      </c>
      <c r="I570">
        <v>16655</v>
      </c>
      <c r="J570">
        <v>17092</v>
      </c>
      <c r="K570">
        <v>17543</v>
      </c>
      <c r="L570">
        <v>18006</v>
      </c>
      <c r="M570" t="s">
        <v>988</v>
      </c>
    </row>
    <row r="571" spans="1:13" x14ac:dyDescent="0.3">
      <c r="A571">
        <v>2158</v>
      </c>
      <c r="B571" t="s">
        <v>1900</v>
      </c>
      <c r="C571" t="s">
        <v>2667</v>
      </c>
      <c r="D571" t="s">
        <v>1203</v>
      </c>
      <c r="E571" t="s">
        <v>1204</v>
      </c>
      <c r="F571">
        <v>5792</v>
      </c>
      <c r="G571" t="s">
        <v>2664</v>
      </c>
      <c r="H571">
        <v>20518</v>
      </c>
      <c r="I571">
        <v>22862</v>
      </c>
      <c r="J571">
        <v>23610</v>
      </c>
      <c r="K571">
        <v>23163</v>
      </c>
      <c r="L571">
        <v>23335</v>
      </c>
      <c r="M571" t="s">
        <v>988</v>
      </c>
    </row>
    <row r="572" spans="1:13" x14ac:dyDescent="0.3">
      <c r="A572">
        <v>2159</v>
      </c>
      <c r="B572" t="s">
        <v>1902</v>
      </c>
      <c r="C572" t="s">
        <v>2667</v>
      </c>
      <c r="D572" t="s">
        <v>1203</v>
      </c>
      <c r="E572" t="s">
        <v>1204</v>
      </c>
      <c r="F572">
        <v>5472</v>
      </c>
      <c r="G572" t="s">
        <v>2665</v>
      </c>
      <c r="H572">
        <v>9649</v>
      </c>
      <c r="I572">
        <v>9709</v>
      </c>
      <c r="J572">
        <v>9639</v>
      </c>
      <c r="K572">
        <v>9564</v>
      </c>
      <c r="L572">
        <v>9557</v>
      </c>
      <c r="M572" t="s">
        <v>988</v>
      </c>
    </row>
    <row r="573" spans="1:13" x14ac:dyDescent="0.3">
      <c r="A573">
        <v>2159</v>
      </c>
      <c r="B573" t="s">
        <v>1902</v>
      </c>
      <c r="C573" t="s">
        <v>2667</v>
      </c>
      <c r="D573" t="s">
        <v>1203</v>
      </c>
      <c r="E573" t="s">
        <v>1204</v>
      </c>
      <c r="F573">
        <v>5472</v>
      </c>
      <c r="G573" t="s">
        <v>2664</v>
      </c>
      <c r="H573">
        <v>9649</v>
      </c>
      <c r="I573">
        <v>9709</v>
      </c>
      <c r="J573">
        <v>9639</v>
      </c>
      <c r="K573">
        <v>9564</v>
      </c>
      <c r="L573">
        <v>9557</v>
      </c>
      <c r="M573" t="s">
        <v>988</v>
      </c>
    </row>
    <row r="574" spans="1:13" x14ac:dyDescent="0.3">
      <c r="A574">
        <v>2160</v>
      </c>
      <c r="B574" t="s">
        <v>1904</v>
      </c>
      <c r="C574" t="s">
        <v>2667</v>
      </c>
      <c r="D574" t="s">
        <v>1203</v>
      </c>
      <c r="E574" t="s">
        <v>1204</v>
      </c>
      <c r="F574">
        <v>5474</v>
      </c>
      <c r="G574" t="s">
        <v>2665</v>
      </c>
      <c r="H574">
        <v>197460</v>
      </c>
      <c r="I574">
        <v>205370</v>
      </c>
      <c r="J574">
        <v>212174</v>
      </c>
      <c r="K574">
        <v>218808</v>
      </c>
      <c r="L574">
        <v>223406</v>
      </c>
      <c r="M574" t="s">
        <v>988</v>
      </c>
    </row>
    <row r="575" spans="1:13" x14ac:dyDescent="0.3">
      <c r="A575">
        <v>2160</v>
      </c>
      <c r="B575" t="s">
        <v>1904</v>
      </c>
      <c r="C575" t="s">
        <v>2667</v>
      </c>
      <c r="D575" t="s">
        <v>1203</v>
      </c>
      <c r="E575" t="s">
        <v>1204</v>
      </c>
      <c r="F575">
        <v>5474</v>
      </c>
      <c r="G575" t="s">
        <v>2664</v>
      </c>
      <c r="H575">
        <v>197460</v>
      </c>
      <c r="I575">
        <v>205370</v>
      </c>
      <c r="J575">
        <v>212174</v>
      </c>
      <c r="K575">
        <v>218808</v>
      </c>
      <c r="L575">
        <v>223406</v>
      </c>
      <c r="M575" t="s">
        <v>988</v>
      </c>
    </row>
    <row r="576" spans="1:13" x14ac:dyDescent="0.3">
      <c r="A576">
        <v>2162</v>
      </c>
      <c r="B576" t="s">
        <v>1907</v>
      </c>
      <c r="C576" t="s">
        <v>2667</v>
      </c>
      <c r="D576" t="s">
        <v>159</v>
      </c>
      <c r="E576" t="s">
        <v>159</v>
      </c>
      <c r="F576">
        <v>7208</v>
      </c>
      <c r="G576" t="s">
        <v>2665</v>
      </c>
      <c r="H576">
        <v>6938</v>
      </c>
      <c r="I576">
        <v>7322</v>
      </c>
      <c r="J576">
        <v>7415</v>
      </c>
      <c r="K576">
        <v>7586</v>
      </c>
      <c r="L576">
        <v>7808</v>
      </c>
      <c r="M576" t="s">
        <v>988</v>
      </c>
    </row>
    <row r="577" spans="1:13" x14ac:dyDescent="0.3">
      <c r="A577">
        <v>2162</v>
      </c>
      <c r="B577" t="s">
        <v>1907</v>
      </c>
      <c r="C577" t="s">
        <v>2667</v>
      </c>
      <c r="D577" t="s">
        <v>159</v>
      </c>
      <c r="E577" t="s">
        <v>159</v>
      </c>
      <c r="F577">
        <v>7208</v>
      </c>
      <c r="G577" t="s">
        <v>2664</v>
      </c>
      <c r="H577">
        <v>6938</v>
      </c>
      <c r="I577">
        <v>7322</v>
      </c>
      <c r="J577">
        <v>7415</v>
      </c>
      <c r="K577">
        <v>7586</v>
      </c>
      <c r="L577">
        <v>7808</v>
      </c>
      <c r="M577" t="s">
        <v>988</v>
      </c>
    </row>
    <row r="578" spans="1:13" x14ac:dyDescent="0.3">
      <c r="A578">
        <v>2163</v>
      </c>
      <c r="B578" t="s">
        <v>1908</v>
      </c>
      <c r="C578" t="s">
        <v>2667</v>
      </c>
      <c r="D578" t="s">
        <v>159</v>
      </c>
      <c r="E578" t="s">
        <v>159</v>
      </c>
      <c r="F578">
        <v>6759</v>
      </c>
      <c r="G578" t="s">
        <v>2664</v>
      </c>
      <c r="H578">
        <v>3570</v>
      </c>
      <c r="I578">
        <v>3570</v>
      </c>
      <c r="J578">
        <v>3570</v>
      </c>
      <c r="K578">
        <v>3570</v>
      </c>
      <c r="L578">
        <v>3570</v>
      </c>
      <c r="M578" t="s">
        <v>988</v>
      </c>
    </row>
    <row r="579" spans="1:13" x14ac:dyDescent="0.3">
      <c r="A579">
        <v>2163</v>
      </c>
      <c r="B579" t="s">
        <v>1908</v>
      </c>
      <c r="C579" t="s">
        <v>2667</v>
      </c>
      <c r="D579" t="s">
        <v>159</v>
      </c>
      <c r="E579" t="s">
        <v>159</v>
      </c>
      <c r="F579">
        <v>6759</v>
      </c>
      <c r="G579" t="s">
        <v>2665</v>
      </c>
      <c r="H579">
        <v>3273</v>
      </c>
      <c r="I579">
        <v>3329</v>
      </c>
      <c r="J579">
        <v>3386</v>
      </c>
      <c r="K579">
        <v>3444</v>
      </c>
      <c r="L579">
        <v>3503</v>
      </c>
      <c r="M579" t="s">
        <v>988</v>
      </c>
    </row>
    <row r="580" spans="1:13" x14ac:dyDescent="0.3">
      <c r="A580">
        <v>2164</v>
      </c>
      <c r="B580" t="s">
        <v>1909</v>
      </c>
      <c r="C580" t="s">
        <v>2667</v>
      </c>
      <c r="D580" t="s">
        <v>159</v>
      </c>
      <c r="E580" t="s">
        <v>159</v>
      </c>
      <c r="F580">
        <v>6833</v>
      </c>
      <c r="G580" t="s">
        <v>2665</v>
      </c>
      <c r="H580">
        <v>79200</v>
      </c>
      <c r="I580">
        <v>81100</v>
      </c>
      <c r="J580">
        <v>83450</v>
      </c>
      <c r="K580">
        <v>86700</v>
      </c>
      <c r="L580">
        <v>90290</v>
      </c>
      <c r="M580" t="s">
        <v>988</v>
      </c>
    </row>
    <row r="581" spans="1:13" x14ac:dyDescent="0.3">
      <c r="A581">
        <v>2164</v>
      </c>
      <c r="B581" t="s">
        <v>1909</v>
      </c>
      <c r="C581" t="s">
        <v>2667</v>
      </c>
      <c r="D581" t="s">
        <v>159</v>
      </c>
      <c r="E581" t="s">
        <v>159</v>
      </c>
      <c r="F581">
        <v>6833</v>
      </c>
      <c r="G581" t="s">
        <v>2664</v>
      </c>
      <c r="H581">
        <v>66650</v>
      </c>
      <c r="I581">
        <v>68780</v>
      </c>
      <c r="J581">
        <v>71470</v>
      </c>
      <c r="K581">
        <v>74380</v>
      </c>
      <c r="L581">
        <v>67320</v>
      </c>
      <c r="M581" t="s">
        <v>988</v>
      </c>
    </row>
    <row r="582" spans="1:13" x14ac:dyDescent="0.3">
      <c r="A582">
        <v>2165</v>
      </c>
      <c r="B582" t="s">
        <v>1912</v>
      </c>
      <c r="C582" t="s">
        <v>2667</v>
      </c>
      <c r="D582" t="s">
        <v>1203</v>
      </c>
      <c r="E582" t="s">
        <v>1204</v>
      </c>
      <c r="F582">
        <v>5523</v>
      </c>
      <c r="G582" t="s">
        <v>2665</v>
      </c>
      <c r="H582">
        <v>6461</v>
      </c>
      <c r="I582">
        <v>6593</v>
      </c>
      <c r="J582">
        <v>6729</v>
      </c>
      <c r="K582">
        <v>6867</v>
      </c>
      <c r="L582">
        <v>7009</v>
      </c>
      <c r="M582" t="s">
        <v>988</v>
      </c>
    </row>
    <row r="583" spans="1:13" x14ac:dyDescent="0.3">
      <c r="A583">
        <v>2165</v>
      </c>
      <c r="B583" t="s">
        <v>1912</v>
      </c>
      <c r="C583" t="s">
        <v>2667</v>
      </c>
      <c r="D583" t="s">
        <v>1203</v>
      </c>
      <c r="E583" t="s">
        <v>1204</v>
      </c>
      <c r="F583">
        <v>5523</v>
      </c>
      <c r="G583" t="s">
        <v>2664</v>
      </c>
      <c r="H583">
        <v>6461</v>
      </c>
      <c r="I583">
        <v>6593</v>
      </c>
      <c r="J583">
        <v>6729</v>
      </c>
      <c r="K583">
        <v>6867</v>
      </c>
      <c r="L583">
        <v>7009</v>
      </c>
      <c r="M583" t="s">
        <v>988</v>
      </c>
    </row>
    <row r="584" spans="1:13" x14ac:dyDescent="0.3">
      <c r="A584">
        <v>2167</v>
      </c>
      <c r="B584" t="s">
        <v>1914</v>
      </c>
      <c r="C584" t="s">
        <v>2667</v>
      </c>
      <c r="D584" t="s">
        <v>159</v>
      </c>
      <c r="E584" t="s">
        <v>159</v>
      </c>
      <c r="F584">
        <v>5516</v>
      </c>
      <c r="G584" t="s">
        <v>2665</v>
      </c>
      <c r="H584">
        <v>35578</v>
      </c>
      <c r="I584">
        <v>36046</v>
      </c>
      <c r="J584">
        <v>36518</v>
      </c>
      <c r="K584">
        <v>36897</v>
      </c>
      <c r="L584">
        <v>37278</v>
      </c>
      <c r="M584" t="s">
        <v>988</v>
      </c>
    </row>
    <row r="585" spans="1:13" x14ac:dyDescent="0.3">
      <c r="A585">
        <v>2167</v>
      </c>
      <c r="B585" t="s">
        <v>1914</v>
      </c>
      <c r="C585" t="s">
        <v>2667</v>
      </c>
      <c r="D585" t="s">
        <v>159</v>
      </c>
      <c r="E585" t="s">
        <v>159</v>
      </c>
      <c r="F585">
        <v>5516</v>
      </c>
      <c r="G585" t="s">
        <v>2664</v>
      </c>
      <c r="H585">
        <v>35578</v>
      </c>
      <c r="I585">
        <v>36046</v>
      </c>
      <c r="J585">
        <v>36518</v>
      </c>
      <c r="K585">
        <v>36897</v>
      </c>
      <c r="L585">
        <v>37278</v>
      </c>
      <c r="M585" t="s">
        <v>988</v>
      </c>
    </row>
    <row r="586" spans="1:13" x14ac:dyDescent="0.3">
      <c r="A586">
        <v>2166</v>
      </c>
      <c r="B586" t="s">
        <v>1915</v>
      </c>
      <c r="C586" t="s">
        <v>2667</v>
      </c>
      <c r="D586" t="s">
        <v>159</v>
      </c>
      <c r="E586" t="s">
        <v>159</v>
      </c>
      <c r="F586">
        <v>6634</v>
      </c>
      <c r="G586" t="s">
        <v>2665</v>
      </c>
      <c r="H586">
        <v>34006</v>
      </c>
      <c r="I586">
        <v>34987</v>
      </c>
      <c r="J586">
        <v>36297</v>
      </c>
      <c r="K586">
        <v>37623</v>
      </c>
      <c r="L586">
        <v>38742</v>
      </c>
      <c r="M586" t="s">
        <v>988</v>
      </c>
    </row>
    <row r="587" spans="1:13" x14ac:dyDescent="0.3">
      <c r="A587">
        <v>2166</v>
      </c>
      <c r="B587" t="s">
        <v>1915</v>
      </c>
      <c r="C587" t="s">
        <v>2667</v>
      </c>
      <c r="D587" t="s">
        <v>159</v>
      </c>
      <c r="E587" t="s">
        <v>159</v>
      </c>
      <c r="F587">
        <v>6634</v>
      </c>
      <c r="G587" t="s">
        <v>2664</v>
      </c>
      <c r="H587">
        <v>34006</v>
      </c>
      <c r="I587">
        <v>34987</v>
      </c>
      <c r="J587">
        <v>36297</v>
      </c>
      <c r="K587">
        <v>37623</v>
      </c>
      <c r="L587">
        <v>38742</v>
      </c>
      <c r="M587" t="s">
        <v>988</v>
      </c>
    </row>
    <row r="588" spans="1:13" x14ac:dyDescent="0.3">
      <c r="A588">
        <v>2169</v>
      </c>
      <c r="B588" t="s">
        <v>1919</v>
      </c>
      <c r="C588" t="s">
        <v>2667</v>
      </c>
      <c r="D588" t="s">
        <v>159</v>
      </c>
      <c r="E588" t="s">
        <v>159</v>
      </c>
      <c r="F588">
        <v>5514</v>
      </c>
      <c r="G588" t="s">
        <v>2665</v>
      </c>
      <c r="H588">
        <v>3142</v>
      </c>
      <c r="I588">
        <v>3392</v>
      </c>
      <c r="J588">
        <v>3663</v>
      </c>
      <c r="K588">
        <v>3955</v>
      </c>
      <c r="L588">
        <v>4270</v>
      </c>
      <c r="M588" t="s">
        <v>988</v>
      </c>
    </row>
    <row r="589" spans="1:13" x14ac:dyDescent="0.3">
      <c r="A589">
        <v>2169</v>
      </c>
      <c r="B589" t="s">
        <v>1919</v>
      </c>
      <c r="C589" t="s">
        <v>2667</v>
      </c>
      <c r="D589" t="s">
        <v>159</v>
      </c>
      <c r="E589" t="s">
        <v>159</v>
      </c>
      <c r="F589">
        <v>5514</v>
      </c>
      <c r="G589" t="s">
        <v>2664</v>
      </c>
      <c r="H589">
        <v>3142</v>
      </c>
      <c r="I589">
        <v>3392</v>
      </c>
      <c r="J589">
        <v>3663</v>
      </c>
      <c r="K589">
        <v>3955</v>
      </c>
      <c r="L589">
        <v>4270</v>
      </c>
      <c r="M589" t="s">
        <v>988</v>
      </c>
    </row>
    <row r="590" spans="1:13" x14ac:dyDescent="0.3">
      <c r="A590">
        <v>2174</v>
      </c>
      <c r="B590" t="s">
        <v>1920</v>
      </c>
      <c r="C590" t="s">
        <v>2667</v>
      </c>
      <c r="D590" t="s">
        <v>159</v>
      </c>
      <c r="E590" t="s">
        <v>159</v>
      </c>
      <c r="F590">
        <v>7800</v>
      </c>
      <c r="G590" t="s">
        <v>2665</v>
      </c>
      <c r="H590">
        <v>21080</v>
      </c>
      <c r="I590">
        <v>24156</v>
      </c>
      <c r="J590">
        <v>27342</v>
      </c>
      <c r="K590">
        <v>32814</v>
      </c>
      <c r="L590">
        <v>33553</v>
      </c>
      <c r="M590" t="s">
        <v>988</v>
      </c>
    </row>
    <row r="591" spans="1:13" x14ac:dyDescent="0.3">
      <c r="A591">
        <v>2174</v>
      </c>
      <c r="B591" t="s">
        <v>1920</v>
      </c>
      <c r="C591" t="s">
        <v>2667</v>
      </c>
      <c r="D591" t="s">
        <v>159</v>
      </c>
      <c r="E591" t="s">
        <v>159</v>
      </c>
      <c r="F591">
        <v>7800</v>
      </c>
      <c r="G591" t="s">
        <v>2664</v>
      </c>
      <c r="H591">
        <v>19265</v>
      </c>
      <c r="I591">
        <v>22330</v>
      </c>
      <c r="J591">
        <v>25505</v>
      </c>
      <c r="K591">
        <v>30977</v>
      </c>
      <c r="L591">
        <v>31257</v>
      </c>
      <c r="M591" t="s">
        <v>988</v>
      </c>
    </row>
    <row r="592" spans="1:13" x14ac:dyDescent="0.3">
      <c r="A592">
        <v>2175</v>
      </c>
      <c r="B592" t="s">
        <v>1921</v>
      </c>
      <c r="C592" t="s">
        <v>2667</v>
      </c>
      <c r="D592" t="s">
        <v>159</v>
      </c>
      <c r="E592" t="s">
        <v>159</v>
      </c>
      <c r="F592">
        <v>5725</v>
      </c>
      <c r="G592" t="s">
        <v>2665</v>
      </c>
      <c r="H592">
        <v>135647.91185785001</v>
      </c>
      <c r="I592">
        <v>135875.00955875</v>
      </c>
      <c r="J592">
        <v>136961.39585765</v>
      </c>
      <c r="K592">
        <v>138578.69975460001</v>
      </c>
      <c r="L592">
        <v>139956.63039924999</v>
      </c>
      <c r="M592" t="s">
        <v>988</v>
      </c>
    </row>
    <row r="593" spans="1:13" x14ac:dyDescent="0.3">
      <c r="A593">
        <v>2175</v>
      </c>
      <c r="B593" t="s">
        <v>1921</v>
      </c>
      <c r="C593" t="s">
        <v>2667</v>
      </c>
      <c r="D593" t="s">
        <v>159</v>
      </c>
      <c r="E593" t="s">
        <v>159</v>
      </c>
      <c r="F593">
        <v>5725</v>
      </c>
      <c r="G593" t="s">
        <v>2664</v>
      </c>
      <c r="H593">
        <v>135647.91185785001</v>
      </c>
      <c r="I593">
        <v>135875.00955875</v>
      </c>
      <c r="J593">
        <v>136961.39585765</v>
      </c>
      <c r="K593">
        <v>138578.69975460001</v>
      </c>
      <c r="L593">
        <v>139956.63039924999</v>
      </c>
      <c r="M593" t="s">
        <v>988</v>
      </c>
    </row>
    <row r="594" spans="1:13" x14ac:dyDescent="0.3">
      <c r="A594">
        <v>2179</v>
      </c>
      <c r="B594" t="s">
        <v>774</v>
      </c>
      <c r="C594" t="s">
        <v>2667</v>
      </c>
      <c r="D594" t="s">
        <v>1203</v>
      </c>
      <c r="E594" t="s">
        <v>1204</v>
      </c>
      <c r="F594">
        <v>5657</v>
      </c>
      <c r="G594" t="s">
        <v>2665</v>
      </c>
      <c r="H594">
        <v>11865</v>
      </c>
      <c r="I594">
        <v>11970</v>
      </c>
      <c r="J594">
        <v>11865</v>
      </c>
      <c r="K594">
        <v>11970</v>
      </c>
      <c r="L594">
        <v>12075</v>
      </c>
      <c r="M594" t="s">
        <v>988</v>
      </c>
    </row>
    <row r="595" spans="1:13" x14ac:dyDescent="0.3">
      <c r="A595">
        <v>2179</v>
      </c>
      <c r="B595" t="s">
        <v>774</v>
      </c>
      <c r="C595" t="s">
        <v>2667</v>
      </c>
      <c r="D595" t="s">
        <v>1203</v>
      </c>
      <c r="E595" t="s">
        <v>1204</v>
      </c>
      <c r="F595">
        <v>5657</v>
      </c>
      <c r="G595" t="s">
        <v>2664</v>
      </c>
      <c r="H595">
        <v>11865</v>
      </c>
      <c r="I595">
        <v>11970</v>
      </c>
      <c r="J595">
        <v>11865</v>
      </c>
      <c r="K595">
        <v>11970</v>
      </c>
      <c r="L595">
        <v>12075</v>
      </c>
      <c r="M595" t="s">
        <v>988</v>
      </c>
    </row>
    <row r="596" spans="1:13" x14ac:dyDescent="0.3">
      <c r="A596">
        <v>2180</v>
      </c>
      <c r="B596" t="s">
        <v>1927</v>
      </c>
      <c r="C596" t="s">
        <v>2667</v>
      </c>
      <c r="D596" t="s">
        <v>1203</v>
      </c>
      <c r="E596" t="s">
        <v>1204</v>
      </c>
      <c r="F596">
        <v>5535</v>
      </c>
      <c r="G596" t="s">
        <v>2664</v>
      </c>
      <c r="H596">
        <v>2210</v>
      </c>
      <c r="I596">
        <v>2227</v>
      </c>
      <c r="J596">
        <v>2243</v>
      </c>
      <c r="K596">
        <v>2260</v>
      </c>
      <c r="L596">
        <v>2277</v>
      </c>
      <c r="M596" t="s">
        <v>988</v>
      </c>
    </row>
    <row r="597" spans="1:13" x14ac:dyDescent="0.3">
      <c r="A597">
        <v>2180</v>
      </c>
      <c r="B597" t="s">
        <v>1927</v>
      </c>
      <c r="C597" t="s">
        <v>2667</v>
      </c>
      <c r="D597" t="s">
        <v>1203</v>
      </c>
      <c r="E597" t="s">
        <v>1204</v>
      </c>
      <c r="F597">
        <v>5535</v>
      </c>
      <c r="G597" t="s">
        <v>2665</v>
      </c>
      <c r="H597">
        <v>2210</v>
      </c>
      <c r="I597">
        <v>2227</v>
      </c>
      <c r="J597">
        <v>2243</v>
      </c>
      <c r="K597">
        <v>2260</v>
      </c>
      <c r="L597">
        <v>2277</v>
      </c>
      <c r="M597" t="s">
        <v>988</v>
      </c>
    </row>
    <row r="598" spans="1:13" x14ac:dyDescent="0.3">
      <c r="A598">
        <v>2182</v>
      </c>
      <c r="B598" t="s">
        <v>1929</v>
      </c>
      <c r="C598" t="s">
        <v>2667</v>
      </c>
      <c r="D598" t="s">
        <v>159</v>
      </c>
      <c r="E598" t="s">
        <v>159</v>
      </c>
      <c r="F598">
        <v>6091</v>
      </c>
      <c r="G598" t="s">
        <v>2665</v>
      </c>
      <c r="H598">
        <v>7272</v>
      </c>
      <c r="I598">
        <v>7713</v>
      </c>
      <c r="J598">
        <v>8191</v>
      </c>
      <c r="K598">
        <v>8624</v>
      </c>
      <c r="M598" t="s">
        <v>988</v>
      </c>
    </row>
    <row r="599" spans="1:13" x14ac:dyDescent="0.3">
      <c r="A599">
        <v>2182</v>
      </c>
      <c r="B599" t="s">
        <v>1929</v>
      </c>
      <c r="C599" t="s">
        <v>2667</v>
      </c>
      <c r="D599" t="s">
        <v>159</v>
      </c>
      <c r="E599" t="s">
        <v>159</v>
      </c>
      <c r="F599">
        <v>6091</v>
      </c>
      <c r="G599" t="s">
        <v>2664</v>
      </c>
      <c r="H599">
        <v>10337</v>
      </c>
      <c r="I599">
        <v>10537</v>
      </c>
      <c r="J599">
        <v>10587</v>
      </c>
      <c r="K599">
        <v>10637</v>
      </c>
      <c r="M599" t="s">
        <v>988</v>
      </c>
    </row>
    <row r="600" spans="1:13" x14ac:dyDescent="0.3">
      <c r="A600">
        <v>2205</v>
      </c>
      <c r="B600" t="s">
        <v>1931</v>
      </c>
      <c r="C600" t="s">
        <v>2667</v>
      </c>
      <c r="D600" t="s">
        <v>1203</v>
      </c>
      <c r="E600" t="s">
        <v>1204</v>
      </c>
      <c r="F600">
        <v>7516</v>
      </c>
      <c r="G600" t="s">
        <v>2664</v>
      </c>
      <c r="H600">
        <v>5849.3002421000001</v>
      </c>
      <c r="I600">
        <v>6266.6689896999997</v>
      </c>
      <c r="J600">
        <v>6720.8643915000002</v>
      </c>
      <c r="K600">
        <v>7211.8864475</v>
      </c>
      <c r="L600">
        <v>7752.0107091</v>
      </c>
      <c r="M600" t="s">
        <v>988</v>
      </c>
    </row>
    <row r="601" spans="1:13" x14ac:dyDescent="0.3">
      <c r="A601">
        <v>2205</v>
      </c>
      <c r="B601" t="s">
        <v>1931</v>
      </c>
      <c r="C601" t="s">
        <v>2667</v>
      </c>
      <c r="D601" t="s">
        <v>1203</v>
      </c>
      <c r="E601" t="s">
        <v>1204</v>
      </c>
      <c r="F601">
        <v>7516</v>
      </c>
      <c r="G601" t="s">
        <v>2665</v>
      </c>
      <c r="H601">
        <v>5849.3002421000001</v>
      </c>
      <c r="I601">
        <v>6266.6689896999997</v>
      </c>
      <c r="J601">
        <v>6720.8643915000002</v>
      </c>
      <c r="K601">
        <v>7211.8864475</v>
      </c>
      <c r="L601">
        <v>7752.0107091</v>
      </c>
      <c r="M601" t="s">
        <v>988</v>
      </c>
    </row>
    <row r="602" spans="1:13" x14ac:dyDescent="0.3">
      <c r="A602">
        <v>2207</v>
      </c>
      <c r="B602" t="s">
        <v>1936</v>
      </c>
      <c r="C602" t="s">
        <v>2667</v>
      </c>
      <c r="D602" t="s">
        <v>159</v>
      </c>
      <c r="E602" t="s">
        <v>159</v>
      </c>
      <c r="F602">
        <v>7855</v>
      </c>
      <c r="G602" t="s">
        <v>2665</v>
      </c>
      <c r="H602">
        <v>35915</v>
      </c>
      <c r="I602">
        <v>36459</v>
      </c>
      <c r="J602">
        <v>36178</v>
      </c>
      <c r="K602">
        <v>35868</v>
      </c>
      <c r="L602">
        <v>35857</v>
      </c>
      <c r="M602" t="s">
        <v>988</v>
      </c>
    </row>
    <row r="603" spans="1:13" x14ac:dyDescent="0.3">
      <c r="A603">
        <v>2207</v>
      </c>
      <c r="B603" t="s">
        <v>1936</v>
      </c>
      <c r="C603" t="s">
        <v>2667</v>
      </c>
      <c r="D603" t="s">
        <v>159</v>
      </c>
      <c r="E603" t="s">
        <v>159</v>
      </c>
      <c r="F603">
        <v>7855</v>
      </c>
      <c r="G603" t="s">
        <v>2664</v>
      </c>
      <c r="H603">
        <v>35915</v>
      </c>
      <c r="I603">
        <v>36459</v>
      </c>
      <c r="J603">
        <v>36178</v>
      </c>
      <c r="K603">
        <v>35868</v>
      </c>
      <c r="L603">
        <v>35857</v>
      </c>
      <c r="M603" t="s">
        <v>988</v>
      </c>
    </row>
    <row r="604" spans="1:13" x14ac:dyDescent="0.3">
      <c r="A604">
        <v>2209</v>
      </c>
      <c r="B604" t="s">
        <v>1938</v>
      </c>
      <c r="C604" t="s">
        <v>2667</v>
      </c>
      <c r="D604" t="s">
        <v>1203</v>
      </c>
      <c r="E604" t="s">
        <v>1204</v>
      </c>
      <c r="F604">
        <v>5793</v>
      </c>
      <c r="G604" t="s">
        <v>2664</v>
      </c>
      <c r="H604">
        <v>13890</v>
      </c>
      <c r="I604">
        <v>14600</v>
      </c>
      <c r="J604">
        <v>14580</v>
      </c>
      <c r="K604">
        <v>14720</v>
      </c>
      <c r="L604">
        <v>14910</v>
      </c>
      <c r="M604" t="s">
        <v>988</v>
      </c>
    </row>
    <row r="605" spans="1:13" x14ac:dyDescent="0.3">
      <c r="A605">
        <v>2209</v>
      </c>
      <c r="B605" t="s">
        <v>1938</v>
      </c>
      <c r="C605" t="s">
        <v>2667</v>
      </c>
      <c r="D605" t="s">
        <v>1203</v>
      </c>
      <c r="E605" t="s">
        <v>1204</v>
      </c>
      <c r="F605">
        <v>5793</v>
      </c>
      <c r="G605" t="s">
        <v>2665</v>
      </c>
      <c r="H605">
        <v>13890</v>
      </c>
      <c r="I605">
        <v>14600</v>
      </c>
      <c r="J605">
        <v>14580</v>
      </c>
      <c r="K605">
        <v>14720</v>
      </c>
      <c r="L605">
        <v>14910</v>
      </c>
      <c r="M605" t="s">
        <v>988</v>
      </c>
    </row>
    <row r="606" spans="1:13" x14ac:dyDescent="0.3">
      <c r="A606">
        <v>2210</v>
      </c>
      <c r="B606" t="s">
        <v>1940</v>
      </c>
      <c r="C606" t="s">
        <v>2667</v>
      </c>
      <c r="D606" t="s">
        <v>1203</v>
      </c>
      <c r="E606" t="s">
        <v>1204</v>
      </c>
      <c r="F606">
        <v>5756</v>
      </c>
      <c r="G606" t="s">
        <v>2664</v>
      </c>
      <c r="H606">
        <v>35404</v>
      </c>
      <c r="I606">
        <v>33097</v>
      </c>
      <c r="J606">
        <v>34194</v>
      </c>
      <c r="K606">
        <v>35516</v>
      </c>
      <c r="L606">
        <v>37096</v>
      </c>
      <c r="M606" t="s">
        <v>988</v>
      </c>
    </row>
    <row r="607" spans="1:13" x14ac:dyDescent="0.3">
      <c r="A607">
        <v>2210</v>
      </c>
      <c r="B607" t="s">
        <v>1940</v>
      </c>
      <c r="C607" t="s">
        <v>2667</v>
      </c>
      <c r="D607" t="s">
        <v>1203</v>
      </c>
      <c r="E607" t="s">
        <v>1204</v>
      </c>
      <c r="F607">
        <v>5756</v>
      </c>
      <c r="G607" t="s">
        <v>2665</v>
      </c>
      <c r="H607">
        <v>24043</v>
      </c>
      <c r="I607">
        <v>25836</v>
      </c>
      <c r="J607">
        <v>27697</v>
      </c>
      <c r="K607">
        <v>29557</v>
      </c>
      <c r="L607">
        <v>31676</v>
      </c>
      <c r="M607" t="s">
        <v>988</v>
      </c>
    </row>
    <row r="608" spans="1:13" x14ac:dyDescent="0.3">
      <c r="A608">
        <v>4993</v>
      </c>
      <c r="B608" t="s">
        <v>944</v>
      </c>
      <c r="C608" t="s">
        <v>2667</v>
      </c>
      <c r="D608" t="s">
        <v>1203</v>
      </c>
      <c r="E608" t="s">
        <v>1204</v>
      </c>
      <c r="F608">
        <v>5631</v>
      </c>
      <c r="G608" t="s">
        <v>2664</v>
      </c>
      <c r="H608">
        <v>86109</v>
      </c>
      <c r="I608">
        <v>105486</v>
      </c>
      <c r="J608">
        <v>116178</v>
      </c>
      <c r="K608">
        <v>117585</v>
      </c>
      <c r="L608">
        <v>118586</v>
      </c>
      <c r="M608" t="s">
        <v>988</v>
      </c>
    </row>
    <row r="609" spans="1:13" x14ac:dyDescent="0.3">
      <c r="A609">
        <v>4993</v>
      </c>
      <c r="B609" t="s">
        <v>944</v>
      </c>
      <c r="C609" t="s">
        <v>2667</v>
      </c>
      <c r="D609" t="s">
        <v>1203</v>
      </c>
      <c r="E609" t="s">
        <v>1204</v>
      </c>
      <c r="F609">
        <v>5631</v>
      </c>
      <c r="G609" t="s">
        <v>2665</v>
      </c>
      <c r="H609">
        <v>81000</v>
      </c>
      <c r="I609">
        <v>86600</v>
      </c>
      <c r="J609">
        <v>94000</v>
      </c>
      <c r="K609">
        <v>99200</v>
      </c>
      <c r="L609">
        <v>103400</v>
      </c>
      <c r="M609" t="s">
        <v>988</v>
      </c>
    </row>
    <row r="610" spans="1:13" x14ac:dyDescent="0.3">
      <c r="A610">
        <v>2213</v>
      </c>
      <c r="B610" t="s">
        <v>1944</v>
      </c>
      <c r="C610" t="s">
        <v>2667</v>
      </c>
      <c r="D610" t="s">
        <v>1203</v>
      </c>
      <c r="E610" t="s">
        <v>1204</v>
      </c>
      <c r="F610">
        <v>6652</v>
      </c>
      <c r="G610" t="s">
        <v>2664</v>
      </c>
      <c r="H610">
        <v>8187.7927837999996</v>
      </c>
      <c r="I610">
        <v>8267.5838679000008</v>
      </c>
      <c r="J610">
        <v>8298.2727464</v>
      </c>
      <c r="K610">
        <v>8485.4749052499992</v>
      </c>
      <c r="L610">
        <v>8543.7837744000008</v>
      </c>
      <c r="M610" t="s">
        <v>988</v>
      </c>
    </row>
    <row r="611" spans="1:13" x14ac:dyDescent="0.3">
      <c r="A611">
        <v>2213</v>
      </c>
      <c r="B611" t="s">
        <v>1944</v>
      </c>
      <c r="C611" t="s">
        <v>2667</v>
      </c>
      <c r="D611" t="s">
        <v>1203</v>
      </c>
      <c r="E611" t="s">
        <v>1204</v>
      </c>
      <c r="F611">
        <v>6652</v>
      </c>
      <c r="G611" t="s">
        <v>2665</v>
      </c>
      <c r="H611">
        <v>8187.7927837999996</v>
      </c>
      <c r="I611">
        <v>8267.5838679000008</v>
      </c>
      <c r="J611">
        <v>8298.2727464</v>
      </c>
      <c r="K611">
        <v>8485.4749052499992</v>
      </c>
      <c r="L611">
        <v>8543.7837744000008</v>
      </c>
      <c r="M611" t="s">
        <v>988</v>
      </c>
    </row>
    <row r="612" spans="1:13" x14ac:dyDescent="0.3">
      <c r="A612">
        <v>2214</v>
      </c>
      <c r="B612" t="s">
        <v>1953</v>
      </c>
      <c r="C612" t="s">
        <v>2667</v>
      </c>
      <c r="D612" t="s">
        <v>1203</v>
      </c>
      <c r="E612" t="s">
        <v>1204</v>
      </c>
      <c r="F612">
        <v>5462</v>
      </c>
      <c r="G612" t="s">
        <v>2665</v>
      </c>
      <c r="H612">
        <v>10151</v>
      </c>
      <c r="I612">
        <v>10779</v>
      </c>
      <c r="J612">
        <v>10971</v>
      </c>
      <c r="K612">
        <v>11108</v>
      </c>
      <c r="L612">
        <v>11508</v>
      </c>
      <c r="M612" t="s">
        <v>988</v>
      </c>
    </row>
    <row r="613" spans="1:13" x14ac:dyDescent="0.3">
      <c r="A613">
        <v>2214</v>
      </c>
      <c r="B613" t="s">
        <v>1953</v>
      </c>
      <c r="C613" t="s">
        <v>2667</v>
      </c>
      <c r="D613" t="s">
        <v>1203</v>
      </c>
      <c r="E613" t="s">
        <v>1204</v>
      </c>
      <c r="F613">
        <v>5462</v>
      </c>
      <c r="G613" t="s">
        <v>2664</v>
      </c>
      <c r="H613">
        <v>10151</v>
      </c>
      <c r="I613">
        <v>10779</v>
      </c>
      <c r="J613">
        <v>10971</v>
      </c>
      <c r="K613">
        <v>11108</v>
      </c>
      <c r="L613">
        <v>11508</v>
      </c>
      <c r="M613" t="s">
        <v>988</v>
      </c>
    </row>
    <row r="614" spans="1:13" x14ac:dyDescent="0.3">
      <c r="A614">
        <v>2215</v>
      </c>
      <c r="B614" t="s">
        <v>1954</v>
      </c>
      <c r="C614" t="s">
        <v>2667</v>
      </c>
      <c r="D614" t="s">
        <v>1203</v>
      </c>
      <c r="E614" t="s">
        <v>1204</v>
      </c>
      <c r="F614">
        <v>5515</v>
      </c>
      <c r="G614" t="s">
        <v>2665</v>
      </c>
      <c r="H614">
        <v>6671</v>
      </c>
      <c r="I614">
        <v>6822</v>
      </c>
      <c r="J614">
        <v>6978</v>
      </c>
      <c r="K614">
        <v>7138</v>
      </c>
      <c r="L614">
        <v>7302</v>
      </c>
      <c r="M614" t="s">
        <v>988</v>
      </c>
    </row>
    <row r="615" spans="1:13" x14ac:dyDescent="0.3">
      <c r="A615">
        <v>2215</v>
      </c>
      <c r="B615" t="s">
        <v>1954</v>
      </c>
      <c r="C615" t="s">
        <v>2667</v>
      </c>
      <c r="D615" t="s">
        <v>1203</v>
      </c>
      <c r="E615" t="s">
        <v>1204</v>
      </c>
      <c r="F615">
        <v>5515</v>
      </c>
      <c r="G615" t="s">
        <v>2664</v>
      </c>
      <c r="H615">
        <v>6671</v>
      </c>
      <c r="I615">
        <v>6822</v>
      </c>
      <c r="J615">
        <v>6978</v>
      </c>
      <c r="K615">
        <v>7138</v>
      </c>
      <c r="L615">
        <v>7302</v>
      </c>
      <c r="M615" t="s">
        <v>988</v>
      </c>
    </row>
    <row r="616" spans="1:13" x14ac:dyDescent="0.3">
      <c r="A616">
        <v>2217</v>
      </c>
      <c r="B616" t="s">
        <v>1955</v>
      </c>
      <c r="C616" t="s">
        <v>2667</v>
      </c>
      <c r="D616" t="s">
        <v>159</v>
      </c>
      <c r="E616" t="s">
        <v>159</v>
      </c>
      <c r="F616">
        <v>5768</v>
      </c>
      <c r="G616" t="s">
        <v>2665</v>
      </c>
      <c r="H616">
        <v>35853</v>
      </c>
      <c r="I616">
        <v>38553</v>
      </c>
      <c r="J616">
        <v>42651</v>
      </c>
      <c r="K616">
        <v>42091</v>
      </c>
      <c r="L616">
        <v>41911</v>
      </c>
      <c r="M616" t="s">
        <v>988</v>
      </c>
    </row>
    <row r="617" spans="1:13" x14ac:dyDescent="0.3">
      <c r="A617">
        <v>2217</v>
      </c>
      <c r="B617" t="s">
        <v>1955</v>
      </c>
      <c r="C617" t="s">
        <v>2667</v>
      </c>
      <c r="D617" t="s">
        <v>159</v>
      </c>
      <c r="E617" t="s">
        <v>159</v>
      </c>
      <c r="F617">
        <v>5768</v>
      </c>
      <c r="G617" t="s">
        <v>2664</v>
      </c>
      <c r="H617">
        <v>48652</v>
      </c>
      <c r="I617">
        <v>58523</v>
      </c>
      <c r="J617">
        <v>65014</v>
      </c>
      <c r="K617">
        <v>65069</v>
      </c>
      <c r="L617">
        <v>65069</v>
      </c>
      <c r="M617" t="s">
        <v>988</v>
      </c>
    </row>
    <row r="618" spans="1:13" x14ac:dyDescent="0.3">
      <c r="A618">
        <v>2218</v>
      </c>
      <c r="B618" t="s">
        <v>1959</v>
      </c>
      <c r="C618" t="s">
        <v>2667</v>
      </c>
      <c r="D618" t="s">
        <v>1203</v>
      </c>
      <c r="E618" t="s">
        <v>1204</v>
      </c>
      <c r="F618">
        <v>5796</v>
      </c>
      <c r="G618" t="s">
        <v>2665</v>
      </c>
      <c r="H618">
        <v>15026</v>
      </c>
      <c r="I618">
        <v>17247</v>
      </c>
      <c r="J618">
        <v>17869</v>
      </c>
      <c r="K618">
        <v>18490</v>
      </c>
      <c r="L618">
        <v>18716</v>
      </c>
      <c r="M618" t="s">
        <v>988</v>
      </c>
    </row>
    <row r="619" spans="1:13" x14ac:dyDescent="0.3">
      <c r="A619">
        <v>2218</v>
      </c>
      <c r="B619" t="s">
        <v>1959</v>
      </c>
      <c r="C619" t="s">
        <v>2667</v>
      </c>
      <c r="D619" t="s">
        <v>1203</v>
      </c>
      <c r="E619" t="s">
        <v>1204</v>
      </c>
      <c r="F619">
        <v>5796</v>
      </c>
      <c r="G619" t="s">
        <v>2664</v>
      </c>
      <c r="H619">
        <v>26419</v>
      </c>
      <c r="I619">
        <v>26570</v>
      </c>
      <c r="J619">
        <v>26724</v>
      </c>
      <c r="K619">
        <v>26876</v>
      </c>
      <c r="L619">
        <v>27029</v>
      </c>
      <c r="M619" t="s">
        <v>988</v>
      </c>
    </row>
    <row r="620" spans="1:13" x14ac:dyDescent="0.3">
      <c r="A620">
        <v>2220</v>
      </c>
      <c r="B620" t="s">
        <v>1962</v>
      </c>
      <c r="C620" t="s">
        <v>2667</v>
      </c>
      <c r="D620" t="s">
        <v>159</v>
      </c>
      <c r="E620" t="s">
        <v>159</v>
      </c>
      <c r="F620">
        <v>6742</v>
      </c>
      <c r="G620" t="s">
        <v>2664</v>
      </c>
      <c r="H620">
        <v>15508</v>
      </c>
      <c r="I620">
        <v>15508</v>
      </c>
      <c r="J620">
        <v>15508</v>
      </c>
      <c r="K620">
        <v>15508</v>
      </c>
      <c r="M620" t="s">
        <v>988</v>
      </c>
    </row>
    <row r="621" spans="1:13" x14ac:dyDescent="0.3">
      <c r="A621">
        <v>2220</v>
      </c>
      <c r="B621" t="s">
        <v>1962</v>
      </c>
      <c r="C621" t="s">
        <v>2667</v>
      </c>
      <c r="D621" t="s">
        <v>159</v>
      </c>
      <c r="E621" t="s">
        <v>159</v>
      </c>
      <c r="F621">
        <v>6742</v>
      </c>
      <c r="G621" t="s">
        <v>2665</v>
      </c>
      <c r="H621">
        <v>14291</v>
      </c>
      <c r="I621">
        <v>15102</v>
      </c>
      <c r="J621">
        <v>15177</v>
      </c>
      <c r="K621">
        <v>15262</v>
      </c>
      <c r="M621" t="s">
        <v>988</v>
      </c>
    </row>
    <row r="622" spans="1:13" x14ac:dyDescent="0.3">
      <c r="A622">
        <v>2222</v>
      </c>
      <c r="B622" t="s">
        <v>1964</v>
      </c>
      <c r="C622" t="s">
        <v>2667</v>
      </c>
      <c r="D622" t="s">
        <v>1203</v>
      </c>
      <c r="E622" t="s">
        <v>1204</v>
      </c>
      <c r="F622">
        <v>5644</v>
      </c>
      <c r="G622" t="s">
        <v>2664</v>
      </c>
      <c r="H622">
        <v>6774</v>
      </c>
      <c r="I622">
        <v>7333</v>
      </c>
      <c r="J622">
        <v>7892</v>
      </c>
      <c r="K622">
        <v>8450</v>
      </c>
      <c r="M622" t="s">
        <v>988</v>
      </c>
    </row>
    <row r="623" spans="1:13" x14ac:dyDescent="0.3">
      <c r="A623">
        <v>2222</v>
      </c>
      <c r="B623" t="s">
        <v>1964</v>
      </c>
      <c r="C623" t="s">
        <v>2667</v>
      </c>
      <c r="D623" t="s">
        <v>1203</v>
      </c>
      <c r="E623" t="s">
        <v>1204</v>
      </c>
      <c r="F623">
        <v>5644</v>
      </c>
      <c r="G623" t="s">
        <v>2665</v>
      </c>
      <c r="H623">
        <v>4511</v>
      </c>
      <c r="I623">
        <v>4813</v>
      </c>
      <c r="J623">
        <v>5115</v>
      </c>
      <c r="K623">
        <v>5418</v>
      </c>
      <c r="M623" t="s">
        <v>988</v>
      </c>
    </row>
    <row r="624" spans="1:13" x14ac:dyDescent="0.3">
      <c r="A624">
        <v>2224</v>
      </c>
      <c r="B624" t="s">
        <v>1966</v>
      </c>
      <c r="C624" t="s">
        <v>2667</v>
      </c>
      <c r="D624" t="s">
        <v>159</v>
      </c>
      <c r="E624" t="s">
        <v>159</v>
      </c>
      <c r="F624">
        <v>5774</v>
      </c>
      <c r="G624" t="s">
        <v>2664</v>
      </c>
      <c r="H624">
        <v>22660</v>
      </c>
      <c r="I624">
        <v>20639</v>
      </c>
      <c r="J624">
        <v>20937</v>
      </c>
      <c r="K624">
        <v>20978</v>
      </c>
      <c r="L624">
        <v>21689</v>
      </c>
      <c r="M624" t="s">
        <v>988</v>
      </c>
    </row>
    <row r="625" spans="1:13" x14ac:dyDescent="0.3">
      <c r="A625">
        <v>2224</v>
      </c>
      <c r="B625" t="s">
        <v>1966</v>
      </c>
      <c r="C625" t="s">
        <v>2667</v>
      </c>
      <c r="D625" t="s">
        <v>159</v>
      </c>
      <c r="E625" t="s">
        <v>159</v>
      </c>
      <c r="F625">
        <v>5774</v>
      </c>
      <c r="G625" t="s">
        <v>2665</v>
      </c>
      <c r="H625">
        <v>21660</v>
      </c>
      <c r="I625">
        <v>20639</v>
      </c>
      <c r="J625">
        <v>20937</v>
      </c>
      <c r="K625">
        <v>20978</v>
      </c>
      <c r="L625">
        <v>21689</v>
      </c>
      <c r="M625" t="s">
        <v>988</v>
      </c>
    </row>
    <row r="626" spans="1:13" x14ac:dyDescent="0.3">
      <c r="A626">
        <v>2237</v>
      </c>
      <c r="B626" t="s">
        <v>1969</v>
      </c>
      <c r="C626" t="s">
        <v>2667</v>
      </c>
      <c r="D626" t="s">
        <v>1203</v>
      </c>
      <c r="E626" t="s">
        <v>1204</v>
      </c>
      <c r="F626">
        <v>5524</v>
      </c>
      <c r="G626" t="s">
        <v>2664</v>
      </c>
      <c r="H626">
        <v>1300</v>
      </c>
      <c r="I626">
        <v>1300</v>
      </c>
      <c r="J626">
        <v>1300</v>
      </c>
      <c r="K626">
        <v>1300</v>
      </c>
      <c r="L626">
        <v>1300</v>
      </c>
      <c r="M626" t="s">
        <v>988</v>
      </c>
    </row>
    <row r="627" spans="1:13" x14ac:dyDescent="0.3">
      <c r="A627">
        <v>2237</v>
      </c>
      <c r="B627" t="s">
        <v>1969</v>
      </c>
      <c r="C627" t="s">
        <v>2667</v>
      </c>
      <c r="D627" t="s">
        <v>1203</v>
      </c>
      <c r="E627" t="s">
        <v>1204</v>
      </c>
      <c r="F627">
        <v>5524</v>
      </c>
      <c r="G627" t="s">
        <v>2665</v>
      </c>
      <c r="H627">
        <v>1123</v>
      </c>
      <c r="I627">
        <v>1127</v>
      </c>
      <c r="J627">
        <v>1131</v>
      </c>
      <c r="K627">
        <v>1136</v>
      </c>
      <c r="L627">
        <v>1156</v>
      </c>
      <c r="M627" t="s">
        <v>988</v>
      </c>
    </row>
    <row r="628" spans="1:13" x14ac:dyDescent="0.3">
      <c r="A628">
        <v>2241</v>
      </c>
      <c r="B628" t="s">
        <v>1971</v>
      </c>
      <c r="C628" t="s">
        <v>2667</v>
      </c>
      <c r="D628" t="s">
        <v>159</v>
      </c>
      <c r="E628" t="s">
        <v>159</v>
      </c>
      <c r="F628">
        <v>7852</v>
      </c>
      <c r="G628" t="s">
        <v>2665</v>
      </c>
      <c r="H628">
        <v>3366</v>
      </c>
      <c r="I628">
        <v>3570</v>
      </c>
      <c r="J628">
        <v>3543</v>
      </c>
      <c r="K628">
        <v>3516</v>
      </c>
      <c r="L628">
        <v>3504</v>
      </c>
      <c r="M628" t="s">
        <v>988</v>
      </c>
    </row>
    <row r="629" spans="1:13" x14ac:dyDescent="0.3">
      <c r="A629">
        <v>2241</v>
      </c>
      <c r="B629" t="s">
        <v>1971</v>
      </c>
      <c r="C629" t="s">
        <v>2667</v>
      </c>
      <c r="D629" t="s">
        <v>159</v>
      </c>
      <c r="E629" t="s">
        <v>159</v>
      </c>
      <c r="F629">
        <v>7852</v>
      </c>
      <c r="G629" t="s">
        <v>2664</v>
      </c>
      <c r="H629">
        <v>3366</v>
      </c>
      <c r="I629">
        <v>3570</v>
      </c>
      <c r="J629">
        <v>3543</v>
      </c>
      <c r="K629">
        <v>3516</v>
      </c>
      <c r="L629">
        <v>3504</v>
      </c>
      <c r="M629" t="s">
        <v>988</v>
      </c>
    </row>
    <row r="630" spans="1:13" x14ac:dyDescent="0.3">
      <c r="A630">
        <v>2251</v>
      </c>
      <c r="B630" t="s">
        <v>1975</v>
      </c>
      <c r="C630" t="s">
        <v>2667</v>
      </c>
      <c r="D630" t="s">
        <v>159</v>
      </c>
      <c r="E630" t="s">
        <v>159</v>
      </c>
      <c r="F630">
        <v>7898</v>
      </c>
      <c r="G630" t="s">
        <v>2665</v>
      </c>
      <c r="H630">
        <v>4442</v>
      </c>
      <c r="I630">
        <v>4497</v>
      </c>
      <c r="J630">
        <v>4553</v>
      </c>
      <c r="K630">
        <v>4582</v>
      </c>
      <c r="M630" t="s">
        <v>988</v>
      </c>
    </row>
    <row r="631" spans="1:13" x14ac:dyDescent="0.3">
      <c r="A631">
        <v>2251</v>
      </c>
      <c r="B631" t="s">
        <v>1975</v>
      </c>
      <c r="C631" t="s">
        <v>2667</v>
      </c>
      <c r="D631" t="s">
        <v>159</v>
      </c>
      <c r="E631" t="s">
        <v>159</v>
      </c>
      <c r="F631">
        <v>7898</v>
      </c>
      <c r="G631" t="s">
        <v>2664</v>
      </c>
      <c r="H631">
        <v>4442</v>
      </c>
      <c r="I631">
        <v>4497</v>
      </c>
      <c r="J631">
        <v>4553</v>
      </c>
      <c r="K631">
        <v>4582</v>
      </c>
      <c r="M631" t="s">
        <v>988</v>
      </c>
    </row>
    <row r="632" spans="1:13" x14ac:dyDescent="0.3">
      <c r="A632">
        <v>2260</v>
      </c>
      <c r="B632" t="s">
        <v>1976</v>
      </c>
      <c r="C632" t="s">
        <v>2667</v>
      </c>
      <c r="D632" t="s">
        <v>159</v>
      </c>
      <c r="E632" t="s">
        <v>159</v>
      </c>
      <c r="F632">
        <v>7916</v>
      </c>
      <c r="G632" t="s">
        <v>2665</v>
      </c>
      <c r="H632">
        <v>5622.2025412000003</v>
      </c>
      <c r="I632">
        <v>5981.5586992896997</v>
      </c>
      <c r="J632">
        <v>6318.8400831500003</v>
      </c>
      <c r="K632">
        <v>6634.9355317</v>
      </c>
      <c r="L632">
        <v>6929.5487653</v>
      </c>
      <c r="M632" t="s">
        <v>988</v>
      </c>
    </row>
    <row r="633" spans="1:13" x14ac:dyDescent="0.3">
      <c r="A633">
        <v>2260</v>
      </c>
      <c r="B633" t="s">
        <v>1976</v>
      </c>
      <c r="C633" t="s">
        <v>2667</v>
      </c>
      <c r="D633" t="s">
        <v>159</v>
      </c>
      <c r="E633" t="s">
        <v>159</v>
      </c>
      <c r="F633">
        <v>7916</v>
      </c>
      <c r="G633" t="s">
        <v>2664</v>
      </c>
      <c r="H633">
        <v>5665.1669711000004</v>
      </c>
      <c r="I633">
        <v>6070.2601672999999</v>
      </c>
      <c r="J633">
        <v>6472.2844756499999</v>
      </c>
      <c r="K633">
        <v>6935.686541</v>
      </c>
      <c r="L633">
        <v>7457.3974754999999</v>
      </c>
      <c r="M633" t="s">
        <v>988</v>
      </c>
    </row>
    <row r="634" spans="1:13" x14ac:dyDescent="0.3">
      <c r="A634">
        <v>2273</v>
      </c>
      <c r="B634" t="s">
        <v>889</v>
      </c>
      <c r="C634" t="s">
        <v>2667</v>
      </c>
      <c r="D634" t="s">
        <v>1203</v>
      </c>
      <c r="E634" t="s">
        <v>1204</v>
      </c>
      <c r="F634">
        <v>5534</v>
      </c>
      <c r="G634" t="s">
        <v>2665</v>
      </c>
      <c r="H634">
        <v>2785</v>
      </c>
      <c r="I634">
        <v>2922</v>
      </c>
      <c r="J634">
        <v>3066</v>
      </c>
      <c r="K634">
        <v>3218</v>
      </c>
      <c r="L634">
        <v>3377</v>
      </c>
      <c r="M634" t="s">
        <v>988</v>
      </c>
    </row>
    <row r="635" spans="1:13" x14ac:dyDescent="0.3">
      <c r="A635">
        <v>2273</v>
      </c>
      <c r="B635" t="s">
        <v>889</v>
      </c>
      <c r="C635" t="s">
        <v>2667</v>
      </c>
      <c r="D635" t="s">
        <v>1203</v>
      </c>
      <c r="E635" t="s">
        <v>1204</v>
      </c>
      <c r="F635">
        <v>5534</v>
      </c>
      <c r="G635" t="s">
        <v>2664</v>
      </c>
      <c r="H635">
        <v>2990</v>
      </c>
      <c r="I635">
        <v>2990</v>
      </c>
      <c r="J635">
        <v>2990</v>
      </c>
      <c r="K635">
        <v>2990</v>
      </c>
      <c r="L635">
        <v>2990</v>
      </c>
      <c r="M635" t="s">
        <v>988</v>
      </c>
    </row>
    <row r="636" spans="1:13" x14ac:dyDescent="0.3">
      <c r="A636">
        <v>2290</v>
      </c>
      <c r="B636" t="s">
        <v>1979</v>
      </c>
      <c r="C636" t="s">
        <v>2667</v>
      </c>
      <c r="D636" t="s">
        <v>1203</v>
      </c>
      <c r="E636" t="s">
        <v>1204</v>
      </c>
      <c r="F636">
        <v>5817</v>
      </c>
      <c r="G636" t="s">
        <v>2664</v>
      </c>
      <c r="H636">
        <v>2331</v>
      </c>
      <c r="I636">
        <v>2342</v>
      </c>
      <c r="J636">
        <v>2353</v>
      </c>
      <c r="K636">
        <v>2364</v>
      </c>
      <c r="L636">
        <v>2375</v>
      </c>
      <c r="M636" t="s">
        <v>988</v>
      </c>
    </row>
    <row r="637" spans="1:13" x14ac:dyDescent="0.3">
      <c r="A637">
        <v>2290</v>
      </c>
      <c r="B637" t="s">
        <v>1979</v>
      </c>
      <c r="C637" t="s">
        <v>2667</v>
      </c>
      <c r="D637" t="s">
        <v>1203</v>
      </c>
      <c r="E637" t="s">
        <v>1204</v>
      </c>
      <c r="F637">
        <v>5817</v>
      </c>
      <c r="G637" t="s">
        <v>2665</v>
      </c>
      <c r="H637">
        <v>2331</v>
      </c>
      <c r="I637">
        <v>2342</v>
      </c>
      <c r="J637">
        <v>2353</v>
      </c>
      <c r="K637">
        <v>2364</v>
      </c>
      <c r="L637">
        <v>2375</v>
      </c>
      <c r="M637" t="s">
        <v>988</v>
      </c>
    </row>
    <row r="638" spans="1:13" x14ac:dyDescent="0.3">
      <c r="A638">
        <v>2298</v>
      </c>
      <c r="B638" t="s">
        <v>1981</v>
      </c>
      <c r="C638" t="s">
        <v>2667</v>
      </c>
      <c r="D638" t="s">
        <v>1203</v>
      </c>
      <c r="E638" t="s">
        <v>1204</v>
      </c>
      <c r="F638">
        <v>6753</v>
      </c>
      <c r="G638" t="s">
        <v>2665</v>
      </c>
      <c r="H638">
        <v>2367</v>
      </c>
      <c r="I638">
        <v>2394</v>
      </c>
      <c r="J638">
        <v>2421</v>
      </c>
      <c r="K638">
        <v>2454</v>
      </c>
      <c r="M638" t="s">
        <v>988</v>
      </c>
    </row>
    <row r="639" spans="1:13" x14ac:dyDescent="0.3">
      <c r="A639">
        <v>2298</v>
      </c>
      <c r="B639" t="s">
        <v>1981</v>
      </c>
      <c r="C639" t="s">
        <v>2667</v>
      </c>
      <c r="D639" t="s">
        <v>1203</v>
      </c>
      <c r="E639" t="s">
        <v>1204</v>
      </c>
      <c r="F639">
        <v>6753</v>
      </c>
      <c r="G639" t="s">
        <v>2664</v>
      </c>
      <c r="H639">
        <v>4322</v>
      </c>
      <c r="I639">
        <v>4322</v>
      </c>
      <c r="J639">
        <v>4322</v>
      </c>
      <c r="K639">
        <v>4322</v>
      </c>
      <c r="M639" t="s">
        <v>988</v>
      </c>
    </row>
    <row r="640" spans="1:13" x14ac:dyDescent="0.3">
      <c r="A640">
        <v>2323</v>
      </c>
      <c r="B640" t="s">
        <v>1983</v>
      </c>
      <c r="C640" t="s">
        <v>2667</v>
      </c>
      <c r="D640" t="s">
        <v>1203</v>
      </c>
      <c r="E640" t="s">
        <v>1204</v>
      </c>
      <c r="F640">
        <v>5912</v>
      </c>
      <c r="G640" t="s">
        <v>2665</v>
      </c>
      <c r="H640">
        <v>2503</v>
      </c>
      <c r="I640">
        <v>2558</v>
      </c>
      <c r="J640">
        <v>2885</v>
      </c>
      <c r="K640">
        <v>3206</v>
      </c>
      <c r="L640">
        <v>3851</v>
      </c>
      <c r="M640" t="s">
        <v>988</v>
      </c>
    </row>
    <row r="641" spans="1:13" x14ac:dyDescent="0.3">
      <c r="A641">
        <v>2323</v>
      </c>
      <c r="B641" t="s">
        <v>1983</v>
      </c>
      <c r="C641" t="s">
        <v>2667</v>
      </c>
      <c r="D641" t="s">
        <v>1203</v>
      </c>
      <c r="E641" t="s">
        <v>1204</v>
      </c>
      <c r="F641">
        <v>5912</v>
      </c>
      <c r="G641" t="s">
        <v>2664</v>
      </c>
      <c r="H641">
        <v>148049</v>
      </c>
      <c r="I641">
        <v>148055</v>
      </c>
      <c r="J641">
        <v>148065</v>
      </c>
      <c r="K641">
        <v>148070</v>
      </c>
      <c r="L641">
        <v>148080</v>
      </c>
      <c r="M641" t="s">
        <v>988</v>
      </c>
    </row>
    <row r="642" spans="1:13" x14ac:dyDescent="0.3">
      <c r="A642">
        <v>2326</v>
      </c>
      <c r="B642" t="s">
        <v>1985</v>
      </c>
      <c r="C642" t="s">
        <v>2667</v>
      </c>
      <c r="D642" t="s">
        <v>1203</v>
      </c>
      <c r="E642" t="s">
        <v>1204</v>
      </c>
      <c r="F642">
        <v>5567</v>
      </c>
      <c r="G642" t="s">
        <v>2665</v>
      </c>
      <c r="H642">
        <v>2272.6</v>
      </c>
      <c r="I642">
        <v>2299.38</v>
      </c>
      <c r="J642">
        <v>2302.4899999999998</v>
      </c>
      <c r="K642">
        <v>2317.8200000000002</v>
      </c>
      <c r="L642">
        <v>2337.5300000000002</v>
      </c>
      <c r="M642" t="s">
        <v>988</v>
      </c>
    </row>
    <row r="643" spans="1:13" x14ac:dyDescent="0.3">
      <c r="A643">
        <v>2326</v>
      </c>
      <c r="B643" t="s">
        <v>1985</v>
      </c>
      <c r="C643" t="s">
        <v>2667</v>
      </c>
      <c r="D643" t="s">
        <v>1203</v>
      </c>
      <c r="E643" t="s">
        <v>1204</v>
      </c>
      <c r="F643">
        <v>5567</v>
      </c>
      <c r="G643" t="s">
        <v>2664</v>
      </c>
      <c r="H643">
        <v>3293</v>
      </c>
      <c r="I643">
        <v>2816</v>
      </c>
      <c r="J643">
        <v>2791</v>
      </c>
      <c r="K643">
        <v>2764</v>
      </c>
      <c r="L643">
        <v>2734</v>
      </c>
      <c r="M643" t="s">
        <v>988</v>
      </c>
    </row>
    <row r="644" spans="1:13" x14ac:dyDescent="0.3">
      <c r="A644">
        <v>2330</v>
      </c>
      <c r="B644" t="s">
        <v>1987</v>
      </c>
      <c r="C644" t="s">
        <v>2667</v>
      </c>
      <c r="D644" t="s">
        <v>159</v>
      </c>
      <c r="E644" t="s">
        <v>159</v>
      </c>
      <c r="F644">
        <v>7828</v>
      </c>
      <c r="G644" t="s">
        <v>2665</v>
      </c>
      <c r="H644">
        <v>3170</v>
      </c>
      <c r="I644">
        <v>3134</v>
      </c>
      <c r="J644">
        <v>3068</v>
      </c>
      <c r="K644">
        <v>2997</v>
      </c>
      <c r="M644" t="s">
        <v>988</v>
      </c>
    </row>
    <row r="645" spans="1:13" x14ac:dyDescent="0.3">
      <c r="A645">
        <v>2330</v>
      </c>
      <c r="B645" t="s">
        <v>1987</v>
      </c>
      <c r="C645" t="s">
        <v>2667</v>
      </c>
      <c r="D645" t="s">
        <v>159</v>
      </c>
      <c r="E645" t="s">
        <v>159</v>
      </c>
      <c r="F645">
        <v>7828</v>
      </c>
      <c r="G645" t="s">
        <v>2664</v>
      </c>
      <c r="H645">
        <v>3170</v>
      </c>
      <c r="I645">
        <v>3134</v>
      </c>
      <c r="J645">
        <v>3068</v>
      </c>
      <c r="K645">
        <v>2997</v>
      </c>
      <c r="M645" t="s">
        <v>988</v>
      </c>
    </row>
    <row r="646" spans="1:13" x14ac:dyDescent="0.3">
      <c r="A646">
        <v>2334</v>
      </c>
      <c r="B646" t="s">
        <v>1990</v>
      </c>
      <c r="C646" t="s">
        <v>2667</v>
      </c>
      <c r="D646" t="s">
        <v>159</v>
      </c>
      <c r="E646" t="s">
        <v>159</v>
      </c>
      <c r="F646">
        <v>5637</v>
      </c>
      <c r="G646" t="s">
        <v>2665</v>
      </c>
      <c r="H646">
        <v>7172</v>
      </c>
      <c r="I646">
        <v>7512</v>
      </c>
      <c r="J646">
        <v>7666</v>
      </c>
      <c r="K646">
        <v>7702</v>
      </c>
      <c r="L646">
        <v>7706</v>
      </c>
      <c r="M646" t="s">
        <v>988</v>
      </c>
    </row>
    <row r="647" spans="1:13" x14ac:dyDescent="0.3">
      <c r="A647">
        <v>2334</v>
      </c>
      <c r="B647" t="s">
        <v>1990</v>
      </c>
      <c r="C647" t="s">
        <v>2667</v>
      </c>
      <c r="D647" t="s">
        <v>159</v>
      </c>
      <c r="E647" t="s">
        <v>159</v>
      </c>
      <c r="F647">
        <v>5637</v>
      </c>
      <c r="G647" t="s">
        <v>2664</v>
      </c>
      <c r="H647">
        <v>7172</v>
      </c>
      <c r="I647">
        <v>7512</v>
      </c>
      <c r="J647">
        <v>7666</v>
      </c>
      <c r="K647">
        <v>7702</v>
      </c>
      <c r="L647">
        <v>7706</v>
      </c>
      <c r="M647" t="s">
        <v>988</v>
      </c>
    </row>
    <row r="648" spans="1:13" x14ac:dyDescent="0.3">
      <c r="A648">
        <v>2337</v>
      </c>
      <c r="B648" t="s">
        <v>1993</v>
      </c>
      <c r="C648" t="s">
        <v>2667</v>
      </c>
      <c r="D648" t="s">
        <v>1203</v>
      </c>
      <c r="E648" t="s">
        <v>1204</v>
      </c>
      <c r="F648">
        <v>5742</v>
      </c>
      <c r="G648" t="s">
        <v>2664</v>
      </c>
      <c r="H648">
        <v>50685.751730600001</v>
      </c>
      <c r="I648">
        <v>50685.751730600001</v>
      </c>
      <c r="J648">
        <v>50685.751730600001</v>
      </c>
      <c r="K648">
        <v>50685.751730600001</v>
      </c>
      <c r="L648">
        <v>50685.751730600001</v>
      </c>
      <c r="M648" t="s">
        <v>988</v>
      </c>
    </row>
    <row r="649" spans="1:13" x14ac:dyDescent="0.3">
      <c r="A649">
        <v>2337</v>
      </c>
      <c r="B649" t="s">
        <v>1993</v>
      </c>
      <c r="C649" t="s">
        <v>2667</v>
      </c>
      <c r="D649" t="s">
        <v>1203</v>
      </c>
      <c r="E649" t="s">
        <v>1204</v>
      </c>
      <c r="F649">
        <v>5742</v>
      </c>
      <c r="G649" t="s">
        <v>2665</v>
      </c>
      <c r="H649">
        <v>9074.7013724499993</v>
      </c>
      <c r="I649">
        <v>9442.9679144500005</v>
      </c>
      <c r="J649">
        <v>9829.6477835500009</v>
      </c>
      <c r="K649">
        <v>10231.6720919</v>
      </c>
      <c r="L649">
        <v>10642.9030638</v>
      </c>
      <c r="M649" t="s">
        <v>988</v>
      </c>
    </row>
    <row r="650" spans="1:13" x14ac:dyDescent="0.3">
      <c r="A650">
        <v>2341</v>
      </c>
      <c r="B650" t="s">
        <v>1994</v>
      </c>
      <c r="C650" t="s">
        <v>2667</v>
      </c>
      <c r="D650" t="s">
        <v>159</v>
      </c>
      <c r="E650" t="s">
        <v>159</v>
      </c>
      <c r="F650">
        <v>6850</v>
      </c>
      <c r="G650" t="s">
        <v>2664</v>
      </c>
      <c r="H650">
        <v>11383</v>
      </c>
      <c r="I650">
        <v>11383</v>
      </c>
      <c r="J650">
        <v>11383</v>
      </c>
      <c r="K650">
        <v>11383</v>
      </c>
      <c r="L650">
        <v>11383</v>
      </c>
      <c r="M650" t="s">
        <v>988</v>
      </c>
    </row>
    <row r="651" spans="1:13" x14ac:dyDescent="0.3">
      <c r="A651">
        <v>2341</v>
      </c>
      <c r="B651" t="s">
        <v>1994</v>
      </c>
      <c r="C651" t="s">
        <v>2667</v>
      </c>
      <c r="D651" t="s">
        <v>159</v>
      </c>
      <c r="E651" t="s">
        <v>159</v>
      </c>
      <c r="F651">
        <v>6850</v>
      </c>
      <c r="G651" t="s">
        <v>2665</v>
      </c>
      <c r="H651">
        <v>6918.5510000000004</v>
      </c>
      <c r="I651">
        <v>6933.1949999999997</v>
      </c>
      <c r="J651">
        <v>6947.8689999999997</v>
      </c>
      <c r="K651">
        <v>6962.5749999999998</v>
      </c>
      <c r="L651">
        <v>6977.3119999999999</v>
      </c>
      <c r="M651" t="s">
        <v>988</v>
      </c>
    </row>
    <row r="652" spans="1:13" x14ac:dyDescent="0.3">
      <c r="A652">
        <v>2343</v>
      </c>
      <c r="B652" t="s">
        <v>1995</v>
      </c>
      <c r="C652" t="s">
        <v>2667</v>
      </c>
      <c r="D652" t="s">
        <v>1203</v>
      </c>
      <c r="E652" t="s">
        <v>1204</v>
      </c>
      <c r="F652">
        <v>5812</v>
      </c>
      <c r="G652" t="s">
        <v>2664</v>
      </c>
      <c r="H652">
        <v>2618</v>
      </c>
      <c r="I652">
        <v>2749</v>
      </c>
      <c r="J652">
        <v>2886</v>
      </c>
      <c r="K652">
        <v>3031</v>
      </c>
      <c r="L652">
        <v>3182</v>
      </c>
      <c r="M652" t="s">
        <v>988</v>
      </c>
    </row>
    <row r="653" spans="1:13" x14ac:dyDescent="0.3">
      <c r="A653">
        <v>2343</v>
      </c>
      <c r="B653" t="s">
        <v>1995</v>
      </c>
      <c r="C653" t="s">
        <v>2667</v>
      </c>
      <c r="D653" t="s">
        <v>1203</v>
      </c>
      <c r="E653" t="s">
        <v>1204</v>
      </c>
      <c r="F653">
        <v>5812</v>
      </c>
      <c r="G653" t="s">
        <v>2665</v>
      </c>
      <c r="H653">
        <v>2618</v>
      </c>
      <c r="I653">
        <v>2749</v>
      </c>
      <c r="J653">
        <v>2886</v>
      </c>
      <c r="K653">
        <v>3031</v>
      </c>
      <c r="L653">
        <v>3182</v>
      </c>
      <c r="M653" t="s">
        <v>988</v>
      </c>
    </row>
    <row r="654" spans="1:13" x14ac:dyDescent="0.3">
      <c r="A654">
        <v>2345</v>
      </c>
      <c r="B654" t="s">
        <v>1997</v>
      </c>
      <c r="C654" t="s">
        <v>2667</v>
      </c>
      <c r="D654" t="s">
        <v>1203</v>
      </c>
      <c r="E654" t="s">
        <v>1204</v>
      </c>
      <c r="F654">
        <v>5554</v>
      </c>
      <c r="G654" t="s">
        <v>2664</v>
      </c>
      <c r="H654">
        <v>4439</v>
      </c>
      <c r="I654">
        <v>4474</v>
      </c>
      <c r="J654">
        <v>4509</v>
      </c>
      <c r="K654">
        <v>4544</v>
      </c>
      <c r="L654">
        <v>4580</v>
      </c>
      <c r="M654" t="s">
        <v>988</v>
      </c>
    </row>
    <row r="655" spans="1:13" x14ac:dyDescent="0.3">
      <c r="A655">
        <v>2345</v>
      </c>
      <c r="B655" t="s">
        <v>1997</v>
      </c>
      <c r="C655" t="s">
        <v>2667</v>
      </c>
      <c r="D655" t="s">
        <v>1203</v>
      </c>
      <c r="E655" t="s">
        <v>1204</v>
      </c>
      <c r="F655">
        <v>5554</v>
      </c>
      <c r="G655" t="s">
        <v>2665</v>
      </c>
      <c r="H655">
        <v>4439</v>
      </c>
      <c r="I655">
        <v>4474</v>
      </c>
      <c r="J655">
        <v>4509</v>
      </c>
      <c r="K655">
        <v>4544</v>
      </c>
      <c r="L655">
        <v>4580</v>
      </c>
      <c r="M655" t="s">
        <v>988</v>
      </c>
    </row>
    <row r="656" spans="1:13" x14ac:dyDescent="0.3">
      <c r="A656">
        <v>2348</v>
      </c>
      <c r="B656" t="s">
        <v>1998</v>
      </c>
      <c r="C656" t="s">
        <v>2667</v>
      </c>
      <c r="D656" t="s">
        <v>159</v>
      </c>
      <c r="E656" t="s">
        <v>159</v>
      </c>
      <c r="F656">
        <v>6953</v>
      </c>
      <c r="G656" t="s">
        <v>2665</v>
      </c>
      <c r="H656">
        <v>5886</v>
      </c>
      <c r="I656">
        <v>5996</v>
      </c>
      <c r="J656">
        <v>6108</v>
      </c>
      <c r="K656">
        <v>6222</v>
      </c>
      <c r="L656">
        <v>6338</v>
      </c>
      <c r="M656" t="s">
        <v>988</v>
      </c>
    </row>
    <row r="657" spans="1:13" x14ac:dyDescent="0.3">
      <c r="A657">
        <v>2348</v>
      </c>
      <c r="B657" t="s">
        <v>1998</v>
      </c>
      <c r="C657" t="s">
        <v>2667</v>
      </c>
      <c r="D657" t="s">
        <v>159</v>
      </c>
      <c r="E657" t="s">
        <v>159</v>
      </c>
      <c r="F657">
        <v>6953</v>
      </c>
      <c r="G657" t="s">
        <v>2664</v>
      </c>
      <c r="H657">
        <v>5886</v>
      </c>
      <c r="I657">
        <v>5996</v>
      </c>
      <c r="J657">
        <v>6108</v>
      </c>
      <c r="K657">
        <v>6222</v>
      </c>
      <c r="L657">
        <v>6338</v>
      </c>
      <c r="M657" t="s">
        <v>988</v>
      </c>
    </row>
    <row r="658" spans="1:13" x14ac:dyDescent="0.3">
      <c r="A658">
        <v>2381</v>
      </c>
      <c r="B658" t="s">
        <v>2000</v>
      </c>
      <c r="C658" t="s">
        <v>2667</v>
      </c>
      <c r="D658" t="s">
        <v>159</v>
      </c>
      <c r="E658" t="s">
        <v>159</v>
      </c>
      <c r="F658">
        <v>7791</v>
      </c>
      <c r="G658" t="s">
        <v>2664</v>
      </c>
      <c r="H658">
        <v>56100</v>
      </c>
      <c r="I658">
        <v>61900</v>
      </c>
      <c r="J658">
        <v>62100</v>
      </c>
      <c r="K658">
        <v>62100</v>
      </c>
      <c r="L658">
        <v>62100</v>
      </c>
      <c r="M658" t="s">
        <v>988</v>
      </c>
    </row>
    <row r="659" spans="1:13" x14ac:dyDescent="0.3">
      <c r="A659">
        <v>2381</v>
      </c>
      <c r="B659" t="s">
        <v>2000</v>
      </c>
      <c r="C659" t="s">
        <v>2667</v>
      </c>
      <c r="D659" t="s">
        <v>159</v>
      </c>
      <c r="E659" t="s">
        <v>159</v>
      </c>
      <c r="F659">
        <v>7791</v>
      </c>
      <c r="G659" t="s">
        <v>2665</v>
      </c>
      <c r="H659">
        <v>34789</v>
      </c>
      <c r="I659">
        <v>37878</v>
      </c>
      <c r="J659">
        <v>43161</v>
      </c>
      <c r="K659">
        <v>48444</v>
      </c>
      <c r="L659">
        <v>48444</v>
      </c>
      <c r="M659" t="s">
        <v>988</v>
      </c>
    </row>
    <row r="660" spans="1:13" x14ac:dyDescent="0.3">
      <c r="A660">
        <v>2401</v>
      </c>
      <c r="B660" t="s">
        <v>2006</v>
      </c>
      <c r="C660" t="s">
        <v>2667</v>
      </c>
      <c r="D660" t="s">
        <v>1203</v>
      </c>
      <c r="E660" t="s">
        <v>1204</v>
      </c>
      <c r="F660">
        <v>5710</v>
      </c>
      <c r="G660" t="s">
        <v>2664</v>
      </c>
      <c r="H660">
        <v>29578.799999999999</v>
      </c>
      <c r="I660">
        <v>29578.799999999999</v>
      </c>
      <c r="J660">
        <v>29578.799999999999</v>
      </c>
      <c r="K660">
        <v>29578.799999999999</v>
      </c>
      <c r="L660">
        <v>29578.799999999999</v>
      </c>
      <c r="M660" t="s">
        <v>988</v>
      </c>
    </row>
    <row r="661" spans="1:13" x14ac:dyDescent="0.3">
      <c r="A661">
        <v>2401</v>
      </c>
      <c r="B661" t="s">
        <v>2006</v>
      </c>
      <c r="C661" t="s">
        <v>2667</v>
      </c>
      <c r="D661" t="s">
        <v>1203</v>
      </c>
      <c r="E661" t="s">
        <v>1204</v>
      </c>
      <c r="F661">
        <v>5710</v>
      </c>
      <c r="G661" t="s">
        <v>2665</v>
      </c>
      <c r="H661">
        <v>25535.200000000001</v>
      </c>
      <c r="I661">
        <v>25782.1</v>
      </c>
      <c r="J661">
        <v>26031.599999999999</v>
      </c>
      <c r="K661">
        <v>26283.5</v>
      </c>
      <c r="L661">
        <v>26537.9</v>
      </c>
      <c r="M661" t="s">
        <v>988</v>
      </c>
    </row>
    <row r="662" spans="1:13" x14ac:dyDescent="0.3">
      <c r="A662">
        <v>2402</v>
      </c>
      <c r="B662" t="s">
        <v>2008</v>
      </c>
      <c r="C662" t="s">
        <v>2667</v>
      </c>
      <c r="D662" t="s">
        <v>1203</v>
      </c>
      <c r="E662" t="s">
        <v>1204</v>
      </c>
      <c r="F662">
        <v>5714</v>
      </c>
      <c r="G662" t="s">
        <v>2665</v>
      </c>
      <c r="H662">
        <v>20828</v>
      </c>
      <c r="I662">
        <v>20985</v>
      </c>
      <c r="J662">
        <v>21143</v>
      </c>
      <c r="K662">
        <v>21302</v>
      </c>
      <c r="L662">
        <v>21462</v>
      </c>
      <c r="M662" t="s">
        <v>988</v>
      </c>
    </row>
    <row r="663" spans="1:13" x14ac:dyDescent="0.3">
      <c r="A663">
        <v>2402</v>
      </c>
      <c r="B663" t="s">
        <v>2008</v>
      </c>
      <c r="C663" t="s">
        <v>2667</v>
      </c>
      <c r="D663" t="s">
        <v>1203</v>
      </c>
      <c r="E663" t="s">
        <v>1204</v>
      </c>
      <c r="F663">
        <v>5714</v>
      </c>
      <c r="G663" t="s">
        <v>2664</v>
      </c>
      <c r="H663">
        <v>17914</v>
      </c>
      <c r="I663">
        <v>17914</v>
      </c>
      <c r="J663">
        <v>17914</v>
      </c>
      <c r="K663">
        <v>17914</v>
      </c>
      <c r="L663">
        <v>17914</v>
      </c>
      <c r="M663" t="s">
        <v>988</v>
      </c>
    </row>
    <row r="664" spans="1:13" x14ac:dyDescent="0.3">
      <c r="A664">
        <v>2419</v>
      </c>
      <c r="B664" t="s">
        <v>2009</v>
      </c>
      <c r="C664" t="s">
        <v>2667</v>
      </c>
      <c r="D664" t="s">
        <v>1203</v>
      </c>
      <c r="E664" t="s">
        <v>1204</v>
      </c>
      <c r="F664">
        <v>5537</v>
      </c>
      <c r="G664" t="s">
        <v>2665</v>
      </c>
      <c r="H664">
        <v>3994</v>
      </c>
      <c r="I664">
        <v>4115</v>
      </c>
      <c r="J664">
        <v>4239</v>
      </c>
      <c r="K664">
        <v>4367</v>
      </c>
      <c r="L664">
        <v>4472</v>
      </c>
      <c r="M664" t="s">
        <v>988</v>
      </c>
    </row>
    <row r="665" spans="1:13" x14ac:dyDescent="0.3">
      <c r="A665">
        <v>2419</v>
      </c>
      <c r="B665" t="s">
        <v>2009</v>
      </c>
      <c r="C665" t="s">
        <v>2667</v>
      </c>
      <c r="D665" t="s">
        <v>1203</v>
      </c>
      <c r="E665" t="s">
        <v>1204</v>
      </c>
      <c r="F665">
        <v>5537</v>
      </c>
      <c r="G665" t="s">
        <v>2664</v>
      </c>
      <c r="H665">
        <v>3994</v>
      </c>
      <c r="I665">
        <v>4115</v>
      </c>
      <c r="J665">
        <v>4239</v>
      </c>
      <c r="K665">
        <v>4367</v>
      </c>
      <c r="L665">
        <v>4472</v>
      </c>
      <c r="M665" t="s">
        <v>988</v>
      </c>
    </row>
    <row r="666" spans="1:13" x14ac:dyDescent="0.3">
      <c r="A666">
        <v>2424</v>
      </c>
      <c r="B666" t="s">
        <v>2010</v>
      </c>
      <c r="C666" t="s">
        <v>2667</v>
      </c>
      <c r="D666" t="s">
        <v>1203</v>
      </c>
      <c r="E666" t="s">
        <v>1204</v>
      </c>
      <c r="F666">
        <v>7812</v>
      </c>
      <c r="G666" t="s">
        <v>2664</v>
      </c>
      <c r="H666">
        <v>6271</v>
      </c>
      <c r="I666">
        <v>7334</v>
      </c>
      <c r="J666">
        <v>8536</v>
      </c>
      <c r="K666">
        <v>9771</v>
      </c>
      <c r="M666" t="s">
        <v>988</v>
      </c>
    </row>
    <row r="667" spans="1:13" x14ac:dyDescent="0.3">
      <c r="A667">
        <v>2424</v>
      </c>
      <c r="B667" t="s">
        <v>2010</v>
      </c>
      <c r="C667" t="s">
        <v>2667</v>
      </c>
      <c r="D667" t="s">
        <v>1203</v>
      </c>
      <c r="E667" t="s">
        <v>1204</v>
      </c>
      <c r="F667">
        <v>7812</v>
      </c>
      <c r="G667" t="s">
        <v>2665</v>
      </c>
      <c r="H667">
        <v>6271</v>
      </c>
      <c r="I667">
        <v>7334</v>
      </c>
      <c r="J667">
        <v>8536</v>
      </c>
      <c r="K667">
        <v>9771</v>
      </c>
      <c r="M667" t="s">
        <v>988</v>
      </c>
    </row>
    <row r="668" spans="1:13" x14ac:dyDescent="0.3">
      <c r="A668">
        <v>2425</v>
      </c>
      <c r="B668" t="s">
        <v>2012</v>
      </c>
      <c r="C668" t="s">
        <v>2667</v>
      </c>
      <c r="D668" t="s">
        <v>159</v>
      </c>
      <c r="E668" t="s">
        <v>159</v>
      </c>
      <c r="F668">
        <v>6886</v>
      </c>
      <c r="G668" t="s">
        <v>2664</v>
      </c>
      <c r="H668">
        <v>27135</v>
      </c>
      <c r="I668">
        <v>27372</v>
      </c>
      <c r="J668">
        <v>29370</v>
      </c>
      <c r="K668">
        <v>30038</v>
      </c>
      <c r="M668" t="s">
        <v>988</v>
      </c>
    </row>
    <row r="669" spans="1:13" x14ac:dyDescent="0.3">
      <c r="A669">
        <v>2425</v>
      </c>
      <c r="B669" t="s">
        <v>2012</v>
      </c>
      <c r="C669" t="s">
        <v>2667</v>
      </c>
      <c r="D669" t="s">
        <v>159</v>
      </c>
      <c r="E669" t="s">
        <v>159</v>
      </c>
      <c r="F669">
        <v>6886</v>
      </c>
      <c r="G669" t="s">
        <v>2665</v>
      </c>
      <c r="H669">
        <v>20183</v>
      </c>
      <c r="I669">
        <v>20649</v>
      </c>
      <c r="J669">
        <v>24021</v>
      </c>
      <c r="K669">
        <v>25618</v>
      </c>
      <c r="M669" t="s">
        <v>988</v>
      </c>
    </row>
    <row r="670" spans="1:13" x14ac:dyDescent="0.3">
      <c r="A670">
        <v>2437</v>
      </c>
      <c r="B670" t="s">
        <v>2015</v>
      </c>
      <c r="C670" t="s">
        <v>2667</v>
      </c>
      <c r="D670" t="s">
        <v>1203</v>
      </c>
      <c r="E670" t="s">
        <v>1204</v>
      </c>
      <c r="F670">
        <v>5575</v>
      </c>
      <c r="G670" t="s">
        <v>2665</v>
      </c>
      <c r="H670">
        <v>22581</v>
      </c>
      <c r="I670">
        <v>23092</v>
      </c>
      <c r="J670">
        <v>23601</v>
      </c>
      <c r="K670">
        <v>24643</v>
      </c>
      <c r="L670">
        <v>25315</v>
      </c>
      <c r="M670" t="s">
        <v>988</v>
      </c>
    </row>
    <row r="671" spans="1:13" x14ac:dyDescent="0.3">
      <c r="A671">
        <v>2437</v>
      </c>
      <c r="B671" t="s">
        <v>2015</v>
      </c>
      <c r="C671" t="s">
        <v>2667</v>
      </c>
      <c r="D671" t="s">
        <v>1203</v>
      </c>
      <c r="E671" t="s">
        <v>1204</v>
      </c>
      <c r="F671">
        <v>5575</v>
      </c>
      <c r="G671" t="s">
        <v>2664</v>
      </c>
      <c r="H671">
        <v>22581</v>
      </c>
      <c r="I671">
        <v>23092</v>
      </c>
      <c r="J671">
        <v>23601</v>
      </c>
      <c r="K671">
        <v>24643</v>
      </c>
      <c r="L671">
        <v>25315</v>
      </c>
      <c r="M671" t="s">
        <v>988</v>
      </c>
    </row>
    <row r="672" spans="1:13" x14ac:dyDescent="0.3">
      <c r="A672">
        <v>2438</v>
      </c>
      <c r="B672" t="s">
        <v>2016</v>
      </c>
      <c r="C672" t="s">
        <v>2667</v>
      </c>
      <c r="D672" t="s">
        <v>1203</v>
      </c>
      <c r="E672" t="s">
        <v>1204</v>
      </c>
      <c r="F672">
        <v>5538</v>
      </c>
      <c r="G672" t="s">
        <v>2665</v>
      </c>
      <c r="H672">
        <v>540</v>
      </c>
      <c r="I672">
        <v>543</v>
      </c>
      <c r="J672">
        <v>545</v>
      </c>
      <c r="K672">
        <v>548</v>
      </c>
      <c r="M672" t="s">
        <v>988</v>
      </c>
    </row>
    <row r="673" spans="1:13" x14ac:dyDescent="0.3">
      <c r="A673">
        <v>2438</v>
      </c>
      <c r="B673" t="s">
        <v>2016</v>
      </c>
      <c r="C673" t="s">
        <v>2667</v>
      </c>
      <c r="D673" t="s">
        <v>1203</v>
      </c>
      <c r="E673" t="s">
        <v>1204</v>
      </c>
      <c r="F673">
        <v>5538</v>
      </c>
      <c r="G673" t="s">
        <v>2664</v>
      </c>
      <c r="H673">
        <v>796</v>
      </c>
      <c r="I673">
        <v>796</v>
      </c>
      <c r="J673">
        <v>796</v>
      </c>
      <c r="K673">
        <v>796</v>
      </c>
      <c r="M673" t="s">
        <v>988</v>
      </c>
    </row>
    <row r="674" spans="1:13" x14ac:dyDescent="0.3">
      <c r="A674">
        <v>2444</v>
      </c>
      <c r="B674" t="s">
        <v>2018</v>
      </c>
      <c r="C674" t="s">
        <v>2667</v>
      </c>
      <c r="D674" t="s">
        <v>1203</v>
      </c>
      <c r="E674" t="s">
        <v>1204</v>
      </c>
      <c r="F674">
        <v>6949</v>
      </c>
      <c r="G674" t="s">
        <v>2665</v>
      </c>
      <c r="H674">
        <v>1730.8527474</v>
      </c>
      <c r="I674">
        <v>1694.0260932000001</v>
      </c>
      <c r="J674">
        <v>1715.5083081499999</v>
      </c>
      <c r="K674">
        <v>1740.05941095</v>
      </c>
      <c r="M674" t="s">
        <v>988</v>
      </c>
    </row>
    <row r="675" spans="1:13" x14ac:dyDescent="0.3">
      <c r="A675">
        <v>2444</v>
      </c>
      <c r="B675" t="s">
        <v>2018</v>
      </c>
      <c r="C675" t="s">
        <v>2667</v>
      </c>
      <c r="D675" t="s">
        <v>1203</v>
      </c>
      <c r="E675" t="s">
        <v>1204</v>
      </c>
      <c r="F675">
        <v>6949</v>
      </c>
      <c r="G675" t="s">
        <v>2664</v>
      </c>
      <c r="H675">
        <v>3624.3565508500001</v>
      </c>
      <c r="I675">
        <v>3624.3565508500001</v>
      </c>
      <c r="J675">
        <v>3624.3565508500001</v>
      </c>
      <c r="K675">
        <v>3624.3565508500001</v>
      </c>
      <c r="M675" t="s">
        <v>988</v>
      </c>
    </row>
    <row r="676" spans="1:13" x14ac:dyDescent="0.3">
      <c r="A676">
        <v>1408</v>
      </c>
      <c r="B676" t="s">
        <v>2021</v>
      </c>
      <c r="C676" t="s">
        <v>2667</v>
      </c>
      <c r="D676" t="s">
        <v>1203</v>
      </c>
      <c r="E676" t="s">
        <v>1204</v>
      </c>
      <c r="F676">
        <v>5825</v>
      </c>
      <c r="G676" t="s">
        <v>2664</v>
      </c>
      <c r="H676">
        <v>9026</v>
      </c>
      <c r="I676">
        <v>10289</v>
      </c>
      <c r="J676">
        <v>10289</v>
      </c>
      <c r="K676">
        <v>10289</v>
      </c>
      <c r="L676">
        <v>10289</v>
      </c>
      <c r="M676" t="s">
        <v>988</v>
      </c>
    </row>
    <row r="677" spans="1:13" x14ac:dyDescent="0.3">
      <c r="A677">
        <v>1408</v>
      </c>
      <c r="B677" t="s">
        <v>2021</v>
      </c>
      <c r="C677" t="s">
        <v>2667</v>
      </c>
      <c r="D677" t="s">
        <v>1203</v>
      </c>
      <c r="E677" t="s">
        <v>1204</v>
      </c>
      <c r="F677">
        <v>5825</v>
      </c>
      <c r="G677" t="s">
        <v>2665</v>
      </c>
      <c r="H677">
        <v>7898</v>
      </c>
      <c r="I677">
        <v>9441</v>
      </c>
      <c r="J677">
        <v>9441</v>
      </c>
      <c r="K677">
        <v>9441</v>
      </c>
      <c r="L677">
        <v>9441</v>
      </c>
      <c r="M677" t="s">
        <v>988</v>
      </c>
    </row>
    <row r="678" spans="1:13" x14ac:dyDescent="0.3">
      <c r="B678" t="s">
        <v>2023</v>
      </c>
      <c r="C678" t="s">
        <v>2667</v>
      </c>
      <c r="D678" t="s">
        <v>159</v>
      </c>
      <c r="E678" t="s">
        <v>159</v>
      </c>
      <c r="F678">
        <v>7910</v>
      </c>
      <c r="G678" t="s">
        <v>2665</v>
      </c>
      <c r="H678">
        <v>65774</v>
      </c>
      <c r="I678">
        <v>70605</v>
      </c>
      <c r="J678">
        <v>71089</v>
      </c>
      <c r="K678">
        <v>71070</v>
      </c>
      <c r="L678">
        <v>71172</v>
      </c>
      <c r="M678" t="s">
        <v>988</v>
      </c>
    </row>
    <row r="679" spans="1:13" x14ac:dyDescent="0.3">
      <c r="B679" t="s">
        <v>2023</v>
      </c>
      <c r="C679" t="s">
        <v>2667</v>
      </c>
      <c r="D679" t="s">
        <v>159</v>
      </c>
      <c r="E679" t="s">
        <v>159</v>
      </c>
      <c r="F679">
        <v>7910</v>
      </c>
      <c r="G679" t="s">
        <v>2664</v>
      </c>
      <c r="H679">
        <v>65774</v>
      </c>
      <c r="I679">
        <v>70605</v>
      </c>
      <c r="J679">
        <v>71089</v>
      </c>
      <c r="K679">
        <v>71070</v>
      </c>
      <c r="L679">
        <v>71172</v>
      </c>
      <c r="M679" t="s">
        <v>988</v>
      </c>
    </row>
    <row r="680" spans="1:13" x14ac:dyDescent="0.3">
      <c r="B680" t="s">
        <v>2025</v>
      </c>
      <c r="C680" t="s">
        <v>2667</v>
      </c>
      <c r="D680" t="s">
        <v>1203</v>
      </c>
      <c r="E680" t="s">
        <v>1204</v>
      </c>
      <c r="F680">
        <v>7912</v>
      </c>
      <c r="G680" t="s">
        <v>2664</v>
      </c>
      <c r="H680">
        <v>300000</v>
      </c>
      <c r="I680">
        <v>300000</v>
      </c>
      <c r="J680">
        <v>300000</v>
      </c>
      <c r="K680">
        <v>300000</v>
      </c>
      <c r="L680">
        <v>300000</v>
      </c>
      <c r="M680" t="s">
        <v>988</v>
      </c>
    </row>
    <row r="681" spans="1:13" x14ac:dyDescent="0.3">
      <c r="B681" t="s">
        <v>2025</v>
      </c>
      <c r="C681" t="s">
        <v>2667</v>
      </c>
      <c r="D681" t="s">
        <v>1203</v>
      </c>
      <c r="E681" t="s">
        <v>1204</v>
      </c>
      <c r="F681">
        <v>7912</v>
      </c>
      <c r="G681" t="s">
        <v>2665</v>
      </c>
      <c r="H681">
        <v>300000</v>
      </c>
      <c r="I681">
        <v>300000</v>
      </c>
      <c r="J681">
        <v>300000</v>
      </c>
      <c r="K681">
        <v>300000</v>
      </c>
      <c r="L681">
        <v>300000</v>
      </c>
      <c r="M681" t="s">
        <v>988</v>
      </c>
    </row>
    <row r="682" spans="1:13" x14ac:dyDescent="0.3">
      <c r="A682">
        <v>440</v>
      </c>
      <c r="B682" t="s">
        <v>2026</v>
      </c>
      <c r="C682" t="s">
        <v>2667</v>
      </c>
      <c r="D682" t="s">
        <v>159</v>
      </c>
      <c r="E682" t="s">
        <v>159</v>
      </c>
      <c r="F682">
        <v>7913</v>
      </c>
      <c r="G682" t="s">
        <v>2665</v>
      </c>
      <c r="M682" t="s">
        <v>988</v>
      </c>
    </row>
    <row r="683" spans="1:13" x14ac:dyDescent="0.3">
      <c r="A683">
        <v>440</v>
      </c>
      <c r="B683" t="s">
        <v>2026</v>
      </c>
      <c r="C683" t="s">
        <v>2667</v>
      </c>
      <c r="D683" t="s">
        <v>159</v>
      </c>
      <c r="E683" t="s">
        <v>159</v>
      </c>
      <c r="F683">
        <v>7913</v>
      </c>
      <c r="G683" t="s">
        <v>2664</v>
      </c>
      <c r="M683" t="s">
        <v>988</v>
      </c>
    </row>
    <row r="684" spans="1:13" x14ac:dyDescent="0.3">
      <c r="A684">
        <v>2469</v>
      </c>
      <c r="B684" t="s">
        <v>2028</v>
      </c>
      <c r="C684" t="s">
        <v>2667</v>
      </c>
      <c r="D684" t="s">
        <v>1203</v>
      </c>
      <c r="E684" t="s">
        <v>1204</v>
      </c>
      <c r="F684">
        <v>5617</v>
      </c>
      <c r="G684" t="s">
        <v>2665</v>
      </c>
      <c r="H684">
        <v>10691</v>
      </c>
      <c r="I684">
        <v>10962</v>
      </c>
      <c r="J684">
        <v>11233</v>
      </c>
      <c r="K684">
        <v>11504</v>
      </c>
      <c r="L684">
        <v>11775</v>
      </c>
      <c r="M684" t="s">
        <v>988</v>
      </c>
    </row>
    <row r="685" spans="1:13" x14ac:dyDescent="0.3">
      <c r="A685">
        <v>2469</v>
      </c>
      <c r="B685" t="s">
        <v>2028</v>
      </c>
      <c r="C685" t="s">
        <v>2667</v>
      </c>
      <c r="D685" t="s">
        <v>1203</v>
      </c>
      <c r="E685" t="s">
        <v>1204</v>
      </c>
      <c r="F685">
        <v>5617</v>
      </c>
      <c r="G685" t="s">
        <v>2664</v>
      </c>
      <c r="H685">
        <v>10691</v>
      </c>
      <c r="I685">
        <v>10962</v>
      </c>
      <c r="J685">
        <v>11233</v>
      </c>
      <c r="K685">
        <v>11504</v>
      </c>
      <c r="L685">
        <v>11775</v>
      </c>
      <c r="M685" t="s">
        <v>988</v>
      </c>
    </row>
    <row r="686" spans="1:13" x14ac:dyDescent="0.3">
      <c r="A686">
        <v>2487</v>
      </c>
      <c r="B686" t="s">
        <v>2029</v>
      </c>
      <c r="C686" t="s">
        <v>2667</v>
      </c>
      <c r="D686" t="s">
        <v>1203</v>
      </c>
      <c r="E686" t="s">
        <v>1204</v>
      </c>
      <c r="F686">
        <v>5814</v>
      </c>
      <c r="G686" t="s">
        <v>2664</v>
      </c>
      <c r="H686">
        <v>36792.86</v>
      </c>
      <c r="I686">
        <v>36792.86</v>
      </c>
      <c r="J686">
        <v>36792.86</v>
      </c>
      <c r="K686">
        <v>36792.86</v>
      </c>
      <c r="L686">
        <v>36792.86</v>
      </c>
      <c r="M686" t="s">
        <v>988</v>
      </c>
    </row>
    <row r="687" spans="1:13" x14ac:dyDescent="0.3">
      <c r="A687">
        <v>2487</v>
      </c>
      <c r="B687" t="s">
        <v>2029</v>
      </c>
      <c r="C687" t="s">
        <v>2667</v>
      </c>
      <c r="D687" t="s">
        <v>1203</v>
      </c>
      <c r="E687" t="s">
        <v>1204</v>
      </c>
      <c r="F687">
        <v>5814</v>
      </c>
      <c r="G687" t="s">
        <v>2665</v>
      </c>
      <c r="H687">
        <v>26667.37</v>
      </c>
      <c r="I687">
        <v>27139.45</v>
      </c>
      <c r="J687">
        <v>27483.47</v>
      </c>
      <c r="K687">
        <v>27831.82</v>
      </c>
      <c r="L687">
        <v>28802.02</v>
      </c>
      <c r="M687" t="s">
        <v>988</v>
      </c>
    </row>
    <row r="688" spans="1:13" x14ac:dyDescent="0.3">
      <c r="A688">
        <v>2490</v>
      </c>
      <c r="B688" t="s">
        <v>2030</v>
      </c>
      <c r="C688" t="s">
        <v>2667</v>
      </c>
      <c r="D688" t="s">
        <v>1203</v>
      </c>
      <c r="E688" t="s">
        <v>1204</v>
      </c>
      <c r="F688">
        <v>5626</v>
      </c>
      <c r="G688" t="s">
        <v>2664</v>
      </c>
      <c r="H688">
        <v>3428</v>
      </c>
      <c r="I688">
        <v>3488</v>
      </c>
      <c r="J688">
        <v>3619</v>
      </c>
      <c r="K688">
        <v>3593</v>
      </c>
      <c r="L688">
        <v>3586</v>
      </c>
      <c r="M688" t="s">
        <v>988</v>
      </c>
    </row>
    <row r="689" spans="1:13" x14ac:dyDescent="0.3">
      <c r="A689">
        <v>2490</v>
      </c>
      <c r="B689" t="s">
        <v>2030</v>
      </c>
      <c r="C689" t="s">
        <v>2667</v>
      </c>
      <c r="D689" t="s">
        <v>1203</v>
      </c>
      <c r="E689" t="s">
        <v>1204</v>
      </c>
      <c r="F689">
        <v>5626</v>
      </c>
      <c r="G689" t="s">
        <v>2665</v>
      </c>
      <c r="H689">
        <v>3428</v>
      </c>
      <c r="I689">
        <v>3488</v>
      </c>
      <c r="J689">
        <v>3619</v>
      </c>
      <c r="K689">
        <v>3593</v>
      </c>
      <c r="L689">
        <v>3586</v>
      </c>
      <c r="M689" t="s">
        <v>988</v>
      </c>
    </row>
    <row r="690" spans="1:13" x14ac:dyDescent="0.3">
      <c r="A690">
        <v>2496</v>
      </c>
      <c r="B690" t="s">
        <v>905</v>
      </c>
      <c r="C690" t="s">
        <v>2667</v>
      </c>
      <c r="D690" t="s">
        <v>1203</v>
      </c>
      <c r="E690" t="s">
        <v>1204</v>
      </c>
      <c r="F690">
        <v>5568</v>
      </c>
      <c r="G690" t="s">
        <v>2665</v>
      </c>
      <c r="H690">
        <v>21509</v>
      </c>
      <c r="I690">
        <v>25167</v>
      </c>
      <c r="J690">
        <v>28871</v>
      </c>
      <c r="K690">
        <v>32603</v>
      </c>
      <c r="L690">
        <v>39379</v>
      </c>
      <c r="M690" t="s">
        <v>988</v>
      </c>
    </row>
    <row r="691" spans="1:13" x14ac:dyDescent="0.3">
      <c r="A691">
        <v>2496</v>
      </c>
      <c r="B691" t="s">
        <v>905</v>
      </c>
      <c r="C691" t="s">
        <v>2667</v>
      </c>
      <c r="D691" t="s">
        <v>1203</v>
      </c>
      <c r="E691" t="s">
        <v>1204</v>
      </c>
      <c r="F691">
        <v>5568</v>
      </c>
      <c r="G691" t="s">
        <v>2664</v>
      </c>
      <c r="H691">
        <v>18456</v>
      </c>
      <c r="I691">
        <v>20618</v>
      </c>
      <c r="J691">
        <v>23759</v>
      </c>
      <c r="K691">
        <v>24859</v>
      </c>
      <c r="L691">
        <v>30259</v>
      </c>
      <c r="M691" t="s">
        <v>988</v>
      </c>
    </row>
    <row r="692" spans="1:13" x14ac:dyDescent="0.3">
      <c r="A692">
        <v>2510</v>
      </c>
      <c r="B692" t="s">
        <v>2035</v>
      </c>
      <c r="C692" t="s">
        <v>2667</v>
      </c>
      <c r="D692" t="s">
        <v>1203</v>
      </c>
      <c r="E692" t="s">
        <v>1204</v>
      </c>
      <c r="F692">
        <v>5942</v>
      </c>
      <c r="G692" t="s">
        <v>2665</v>
      </c>
      <c r="H692">
        <v>2691</v>
      </c>
      <c r="I692">
        <v>2712</v>
      </c>
      <c r="J692">
        <v>2733</v>
      </c>
      <c r="K692">
        <v>2756</v>
      </c>
      <c r="M692" t="s">
        <v>988</v>
      </c>
    </row>
    <row r="693" spans="1:13" x14ac:dyDescent="0.3">
      <c r="A693">
        <v>2510</v>
      </c>
      <c r="B693" t="s">
        <v>2035</v>
      </c>
      <c r="C693" t="s">
        <v>2667</v>
      </c>
      <c r="D693" t="s">
        <v>1203</v>
      </c>
      <c r="E693" t="s">
        <v>1204</v>
      </c>
      <c r="F693">
        <v>5942</v>
      </c>
      <c r="G693" t="s">
        <v>2664</v>
      </c>
      <c r="H693">
        <v>2880</v>
      </c>
      <c r="I693">
        <v>2902</v>
      </c>
      <c r="J693">
        <v>2926</v>
      </c>
      <c r="K693">
        <v>2950</v>
      </c>
      <c r="M693" t="s">
        <v>988</v>
      </c>
    </row>
    <row r="694" spans="1:13" x14ac:dyDescent="0.3">
      <c r="A694">
        <v>2512</v>
      </c>
      <c r="B694" t="s">
        <v>2039</v>
      </c>
      <c r="C694" t="s">
        <v>2667</v>
      </c>
      <c r="D694" t="s">
        <v>1203</v>
      </c>
      <c r="E694" t="s">
        <v>1204</v>
      </c>
      <c r="F694">
        <v>5501</v>
      </c>
      <c r="G694" t="s">
        <v>2665</v>
      </c>
      <c r="H694">
        <v>5729.6136159500002</v>
      </c>
      <c r="I694">
        <v>6180.7401299000003</v>
      </c>
      <c r="J694">
        <v>6628.7977559999999</v>
      </c>
      <c r="K694">
        <v>7089.1309334999996</v>
      </c>
      <c r="M694" t="s">
        <v>988</v>
      </c>
    </row>
    <row r="695" spans="1:13" x14ac:dyDescent="0.3">
      <c r="A695">
        <v>2512</v>
      </c>
      <c r="B695" t="s">
        <v>2039</v>
      </c>
      <c r="C695" t="s">
        <v>2667</v>
      </c>
      <c r="D695" t="s">
        <v>1203</v>
      </c>
      <c r="E695" t="s">
        <v>1204</v>
      </c>
      <c r="F695">
        <v>5501</v>
      </c>
      <c r="G695" t="s">
        <v>2664</v>
      </c>
      <c r="H695">
        <v>21997.788108799999</v>
      </c>
      <c r="I695">
        <v>21997.788108799999</v>
      </c>
      <c r="J695">
        <v>21997.788108799999</v>
      </c>
      <c r="K695">
        <v>21997.788108799999</v>
      </c>
      <c r="M695" t="s">
        <v>988</v>
      </c>
    </row>
    <row r="696" spans="1:13" x14ac:dyDescent="0.3">
      <c r="A696">
        <v>2516</v>
      </c>
      <c r="B696" t="s">
        <v>2041</v>
      </c>
      <c r="C696" t="s">
        <v>2667</v>
      </c>
      <c r="D696" t="s">
        <v>1203</v>
      </c>
      <c r="E696" t="s">
        <v>1204</v>
      </c>
      <c r="F696">
        <v>6666</v>
      </c>
      <c r="G696" t="s">
        <v>2665</v>
      </c>
      <c r="H696">
        <v>19195.893501750001</v>
      </c>
      <c r="I696">
        <v>19708.397772699998</v>
      </c>
      <c r="J696">
        <v>21209.08393135</v>
      </c>
      <c r="K696">
        <v>22817.18116475</v>
      </c>
      <c r="M696" t="s">
        <v>988</v>
      </c>
    </row>
    <row r="697" spans="1:13" x14ac:dyDescent="0.3">
      <c r="A697">
        <v>2516</v>
      </c>
      <c r="B697" t="s">
        <v>2041</v>
      </c>
      <c r="C697" t="s">
        <v>2667</v>
      </c>
      <c r="D697" t="s">
        <v>1203</v>
      </c>
      <c r="E697" t="s">
        <v>1204</v>
      </c>
      <c r="F697">
        <v>6666</v>
      </c>
      <c r="G697" t="s">
        <v>2664</v>
      </c>
      <c r="H697">
        <v>19195.893501750001</v>
      </c>
      <c r="I697">
        <v>19708.397772699998</v>
      </c>
      <c r="J697">
        <v>21209.08393135</v>
      </c>
      <c r="K697">
        <v>22817.18116475</v>
      </c>
      <c r="M697" t="s">
        <v>988</v>
      </c>
    </row>
    <row r="698" spans="1:13" x14ac:dyDescent="0.3">
      <c r="A698">
        <v>2523</v>
      </c>
      <c r="B698" t="s">
        <v>2042</v>
      </c>
      <c r="C698" t="s">
        <v>2667</v>
      </c>
      <c r="D698" t="s">
        <v>1203</v>
      </c>
      <c r="E698" t="s">
        <v>1204</v>
      </c>
      <c r="F698">
        <v>5458</v>
      </c>
      <c r="G698" t="s">
        <v>2665</v>
      </c>
      <c r="H698">
        <v>18224</v>
      </c>
      <c r="I698">
        <v>18408</v>
      </c>
      <c r="J698">
        <v>18655</v>
      </c>
      <c r="K698">
        <v>18800</v>
      </c>
      <c r="L698">
        <v>19063</v>
      </c>
      <c r="M698" t="s">
        <v>988</v>
      </c>
    </row>
    <row r="699" spans="1:13" x14ac:dyDescent="0.3">
      <c r="A699">
        <v>2523</v>
      </c>
      <c r="B699" t="s">
        <v>2042</v>
      </c>
      <c r="C699" t="s">
        <v>2667</v>
      </c>
      <c r="D699" t="s">
        <v>1203</v>
      </c>
      <c r="E699" t="s">
        <v>1204</v>
      </c>
      <c r="F699">
        <v>5458</v>
      </c>
      <c r="G699" t="s">
        <v>2664</v>
      </c>
      <c r="H699">
        <v>22144</v>
      </c>
      <c r="I699">
        <v>22185</v>
      </c>
      <c r="J699">
        <v>22227</v>
      </c>
      <c r="K699">
        <v>22270</v>
      </c>
      <c r="L699">
        <v>22314</v>
      </c>
      <c r="M699" t="s">
        <v>988</v>
      </c>
    </row>
    <row r="700" spans="1:13" x14ac:dyDescent="0.3">
      <c r="A700">
        <v>2524</v>
      </c>
      <c r="B700" t="s">
        <v>2043</v>
      </c>
      <c r="C700" t="s">
        <v>2667</v>
      </c>
      <c r="D700" t="s">
        <v>159</v>
      </c>
      <c r="E700" t="s">
        <v>159</v>
      </c>
      <c r="F700">
        <v>6055</v>
      </c>
      <c r="G700" t="s">
        <v>2664</v>
      </c>
      <c r="H700">
        <v>46944.777441450002</v>
      </c>
      <c r="I700">
        <v>50983.433852050002</v>
      </c>
      <c r="J700">
        <v>55249.187963550001</v>
      </c>
      <c r="K700">
        <v>59757.3842152</v>
      </c>
      <c r="L700">
        <v>44477.391610049999</v>
      </c>
      <c r="M700" t="s">
        <v>988</v>
      </c>
    </row>
    <row r="701" spans="1:13" x14ac:dyDescent="0.3">
      <c r="A701">
        <v>2524</v>
      </c>
      <c r="B701" t="s">
        <v>2043</v>
      </c>
      <c r="C701" t="s">
        <v>2667</v>
      </c>
      <c r="D701" t="s">
        <v>159</v>
      </c>
      <c r="E701" t="s">
        <v>159</v>
      </c>
      <c r="F701">
        <v>6055</v>
      </c>
      <c r="G701" t="s">
        <v>2665</v>
      </c>
      <c r="H701">
        <v>35743.33678895</v>
      </c>
      <c r="I701">
        <v>39781.993199550001</v>
      </c>
      <c r="J701">
        <v>44047.74731105</v>
      </c>
      <c r="K701">
        <v>48555.943562699998</v>
      </c>
      <c r="L701">
        <v>33275.950957549998</v>
      </c>
      <c r="M701" t="s">
        <v>988</v>
      </c>
    </row>
    <row r="702" spans="1:13" x14ac:dyDescent="0.3">
      <c r="A702">
        <v>2528</v>
      </c>
      <c r="B702" t="s">
        <v>2047</v>
      </c>
      <c r="C702" t="s">
        <v>2667</v>
      </c>
      <c r="D702" t="s">
        <v>1203</v>
      </c>
      <c r="E702" t="s">
        <v>1204</v>
      </c>
      <c r="F702">
        <v>5675</v>
      </c>
      <c r="G702" t="s">
        <v>2664</v>
      </c>
      <c r="H702">
        <v>10686</v>
      </c>
      <c r="I702">
        <v>10729</v>
      </c>
      <c r="J702">
        <v>10627</v>
      </c>
      <c r="K702">
        <v>10525</v>
      </c>
      <c r="L702">
        <v>10491</v>
      </c>
      <c r="M702" t="s">
        <v>988</v>
      </c>
    </row>
    <row r="703" spans="1:13" x14ac:dyDescent="0.3">
      <c r="A703">
        <v>2528</v>
      </c>
      <c r="B703" t="s">
        <v>2047</v>
      </c>
      <c r="C703" t="s">
        <v>2667</v>
      </c>
      <c r="D703" t="s">
        <v>1203</v>
      </c>
      <c r="E703" t="s">
        <v>1204</v>
      </c>
      <c r="F703">
        <v>5675</v>
      </c>
      <c r="G703" t="s">
        <v>2665</v>
      </c>
      <c r="H703">
        <v>10686</v>
      </c>
      <c r="I703">
        <v>10729</v>
      </c>
      <c r="J703">
        <v>10627</v>
      </c>
      <c r="K703">
        <v>10525</v>
      </c>
      <c r="L703">
        <v>10491</v>
      </c>
      <c r="M703" t="s">
        <v>988</v>
      </c>
    </row>
    <row r="704" spans="1:13" x14ac:dyDescent="0.3">
      <c r="A704">
        <v>2530</v>
      </c>
      <c r="B704" t="s">
        <v>2049</v>
      </c>
      <c r="C704" t="s">
        <v>2667</v>
      </c>
      <c r="D704" t="s">
        <v>1203</v>
      </c>
      <c r="E704" t="s">
        <v>1204</v>
      </c>
      <c r="F704">
        <v>5741</v>
      </c>
      <c r="G704" t="s">
        <v>2665</v>
      </c>
      <c r="H704">
        <v>2660</v>
      </c>
      <c r="I704">
        <v>2790</v>
      </c>
      <c r="J704">
        <v>2940</v>
      </c>
      <c r="K704">
        <v>3060</v>
      </c>
      <c r="L704">
        <v>3200</v>
      </c>
      <c r="M704" t="s">
        <v>988</v>
      </c>
    </row>
    <row r="705" spans="1:13" x14ac:dyDescent="0.3">
      <c r="A705">
        <v>2530</v>
      </c>
      <c r="B705" t="s">
        <v>2049</v>
      </c>
      <c r="C705" t="s">
        <v>2667</v>
      </c>
      <c r="D705" t="s">
        <v>1203</v>
      </c>
      <c r="E705" t="s">
        <v>1204</v>
      </c>
      <c r="F705">
        <v>5741</v>
      </c>
      <c r="G705" t="s">
        <v>2664</v>
      </c>
      <c r="H705">
        <v>6995</v>
      </c>
      <c r="I705">
        <v>6995</v>
      </c>
      <c r="J705">
        <v>6995</v>
      </c>
      <c r="K705">
        <v>6995</v>
      </c>
      <c r="L705">
        <v>6995</v>
      </c>
      <c r="M705" t="s">
        <v>988</v>
      </c>
    </row>
    <row r="706" spans="1:13" x14ac:dyDescent="0.3">
      <c r="A706">
        <v>2536</v>
      </c>
      <c r="B706" t="s">
        <v>2050</v>
      </c>
      <c r="C706" t="s">
        <v>2667</v>
      </c>
      <c r="D706" t="s">
        <v>1203</v>
      </c>
      <c r="E706" t="s">
        <v>1204</v>
      </c>
      <c r="F706">
        <v>5587</v>
      </c>
      <c r="G706" t="s">
        <v>2665</v>
      </c>
      <c r="H706">
        <v>3063</v>
      </c>
      <c r="I706">
        <v>3040</v>
      </c>
      <c r="J706">
        <v>3016</v>
      </c>
      <c r="K706">
        <v>2992</v>
      </c>
      <c r="L706">
        <v>2967</v>
      </c>
      <c r="M706" t="s">
        <v>988</v>
      </c>
    </row>
    <row r="707" spans="1:13" x14ac:dyDescent="0.3">
      <c r="A707">
        <v>2536</v>
      </c>
      <c r="B707" t="s">
        <v>2050</v>
      </c>
      <c r="C707" t="s">
        <v>2667</v>
      </c>
      <c r="D707" t="s">
        <v>1203</v>
      </c>
      <c r="E707" t="s">
        <v>1204</v>
      </c>
      <c r="F707">
        <v>5587</v>
      </c>
      <c r="G707" t="s">
        <v>2664</v>
      </c>
      <c r="H707">
        <v>11534</v>
      </c>
      <c r="I707">
        <v>11534</v>
      </c>
      <c r="J707">
        <v>11534</v>
      </c>
      <c r="K707">
        <v>11534</v>
      </c>
      <c r="L707">
        <v>11534</v>
      </c>
      <c r="M707" t="s">
        <v>988</v>
      </c>
    </row>
    <row r="708" spans="1:13" x14ac:dyDescent="0.3">
      <c r="A708">
        <v>2541</v>
      </c>
      <c r="B708" t="s">
        <v>2051</v>
      </c>
      <c r="C708" t="s">
        <v>2667</v>
      </c>
      <c r="D708" t="s">
        <v>159</v>
      </c>
      <c r="E708" t="s">
        <v>159</v>
      </c>
      <c r="F708">
        <v>6789</v>
      </c>
      <c r="G708" t="s">
        <v>2665</v>
      </c>
      <c r="H708">
        <v>23800</v>
      </c>
      <c r="I708">
        <v>24622</v>
      </c>
      <c r="J708">
        <v>25689</v>
      </c>
      <c r="K708">
        <v>26204</v>
      </c>
      <c r="L708">
        <v>26603</v>
      </c>
      <c r="M708" t="s">
        <v>988</v>
      </c>
    </row>
    <row r="709" spans="1:13" x14ac:dyDescent="0.3">
      <c r="A709">
        <v>2541</v>
      </c>
      <c r="B709" t="s">
        <v>2051</v>
      </c>
      <c r="C709" t="s">
        <v>2667</v>
      </c>
      <c r="D709" t="s">
        <v>159</v>
      </c>
      <c r="E709" t="s">
        <v>159</v>
      </c>
      <c r="F709">
        <v>6789</v>
      </c>
      <c r="G709" t="s">
        <v>2664</v>
      </c>
      <c r="H709">
        <v>23800</v>
      </c>
      <c r="I709">
        <v>24622</v>
      </c>
      <c r="J709">
        <v>25689</v>
      </c>
      <c r="K709">
        <v>26204</v>
      </c>
      <c r="L709">
        <v>26603</v>
      </c>
      <c r="M709" t="s">
        <v>988</v>
      </c>
    </row>
    <row r="710" spans="1:13" x14ac:dyDescent="0.3">
      <c r="A710">
        <v>2597</v>
      </c>
      <c r="B710" t="s">
        <v>2053</v>
      </c>
      <c r="C710" t="s">
        <v>2667</v>
      </c>
      <c r="D710" t="s">
        <v>1203</v>
      </c>
      <c r="E710" t="s">
        <v>1204</v>
      </c>
      <c r="F710">
        <v>5491</v>
      </c>
      <c r="G710" t="s">
        <v>2664</v>
      </c>
      <c r="H710">
        <v>19973</v>
      </c>
      <c r="I710">
        <v>22196</v>
      </c>
      <c r="J710">
        <v>23673</v>
      </c>
      <c r="K710">
        <v>25472</v>
      </c>
      <c r="L710">
        <v>26157</v>
      </c>
      <c r="M710" t="s">
        <v>988</v>
      </c>
    </row>
    <row r="711" spans="1:13" x14ac:dyDescent="0.3">
      <c r="A711">
        <v>2597</v>
      </c>
      <c r="B711" t="s">
        <v>2053</v>
      </c>
      <c r="C711" t="s">
        <v>2667</v>
      </c>
      <c r="D711" t="s">
        <v>1203</v>
      </c>
      <c r="E711" t="s">
        <v>1204</v>
      </c>
      <c r="F711">
        <v>5491</v>
      </c>
      <c r="G711" t="s">
        <v>2665</v>
      </c>
      <c r="H711">
        <v>18620</v>
      </c>
      <c r="I711">
        <v>19719</v>
      </c>
      <c r="J711">
        <v>20886</v>
      </c>
      <c r="K711">
        <v>22125</v>
      </c>
      <c r="L711">
        <v>23439</v>
      </c>
      <c r="M711" t="s">
        <v>988</v>
      </c>
    </row>
    <row r="712" spans="1:13" x14ac:dyDescent="0.3">
      <c r="A712">
        <v>2602</v>
      </c>
      <c r="B712" t="s">
        <v>2054</v>
      </c>
      <c r="C712" t="s">
        <v>2667</v>
      </c>
      <c r="D712" t="s">
        <v>1203</v>
      </c>
      <c r="E712" t="s">
        <v>1204</v>
      </c>
      <c r="F712">
        <v>5701</v>
      </c>
      <c r="G712" t="s">
        <v>2664</v>
      </c>
      <c r="H712">
        <v>22390.605753600001</v>
      </c>
      <c r="I712">
        <v>23194.654370299999</v>
      </c>
      <c r="J712">
        <v>24023.254089800001</v>
      </c>
      <c r="K712">
        <v>26585.77544455</v>
      </c>
      <c r="L712">
        <v>28982.576855399999</v>
      </c>
      <c r="M712" t="s">
        <v>988</v>
      </c>
    </row>
    <row r="713" spans="1:13" x14ac:dyDescent="0.3">
      <c r="A713">
        <v>2602</v>
      </c>
      <c r="B713" t="s">
        <v>2054</v>
      </c>
      <c r="C713" t="s">
        <v>2667</v>
      </c>
      <c r="D713" t="s">
        <v>1203</v>
      </c>
      <c r="E713" t="s">
        <v>1204</v>
      </c>
      <c r="F713">
        <v>5701</v>
      </c>
      <c r="G713" t="s">
        <v>2665</v>
      </c>
      <c r="H713">
        <v>22390.605753600001</v>
      </c>
      <c r="I713">
        <v>23194.654370299999</v>
      </c>
      <c r="J713">
        <v>24023.254089800001</v>
      </c>
      <c r="K713">
        <v>26585.77544455</v>
      </c>
      <c r="L713">
        <v>28982.576855399999</v>
      </c>
      <c r="M713" t="s">
        <v>988</v>
      </c>
    </row>
    <row r="714" spans="1:13" x14ac:dyDescent="0.3">
      <c r="A714">
        <v>2603</v>
      </c>
      <c r="B714" t="s">
        <v>2058</v>
      </c>
      <c r="C714" t="s">
        <v>2667</v>
      </c>
      <c r="D714" t="s">
        <v>1203</v>
      </c>
      <c r="E714" t="s">
        <v>1204</v>
      </c>
      <c r="F714">
        <v>6625</v>
      </c>
      <c r="G714" t="s">
        <v>2665</v>
      </c>
      <c r="H714">
        <v>29113</v>
      </c>
      <c r="I714">
        <v>30207</v>
      </c>
      <c r="J714">
        <v>31443</v>
      </c>
      <c r="K714">
        <v>33079</v>
      </c>
      <c r="L714">
        <v>33083</v>
      </c>
      <c r="M714" t="s">
        <v>988</v>
      </c>
    </row>
    <row r="715" spans="1:13" x14ac:dyDescent="0.3">
      <c r="A715">
        <v>2603</v>
      </c>
      <c r="B715" t="s">
        <v>2058</v>
      </c>
      <c r="C715" t="s">
        <v>2667</v>
      </c>
      <c r="D715" t="s">
        <v>1203</v>
      </c>
      <c r="E715" t="s">
        <v>1204</v>
      </c>
      <c r="F715">
        <v>6625</v>
      </c>
      <c r="G715" t="s">
        <v>2664</v>
      </c>
      <c r="H715">
        <v>31585</v>
      </c>
      <c r="I715">
        <v>31588</v>
      </c>
      <c r="J715">
        <v>31590</v>
      </c>
      <c r="K715">
        <v>33093</v>
      </c>
      <c r="L715">
        <v>33095</v>
      </c>
      <c r="M715" t="s">
        <v>988</v>
      </c>
    </row>
    <row r="716" spans="1:13" x14ac:dyDescent="0.3">
      <c r="A716">
        <v>2604</v>
      </c>
      <c r="B716" t="s">
        <v>2063</v>
      </c>
      <c r="C716" t="s">
        <v>2667</v>
      </c>
      <c r="D716" t="s">
        <v>1203</v>
      </c>
      <c r="E716" t="s">
        <v>1204</v>
      </c>
      <c r="F716">
        <v>5652</v>
      </c>
      <c r="G716" t="s">
        <v>2664</v>
      </c>
      <c r="H716">
        <v>22380</v>
      </c>
      <c r="I716">
        <v>23541</v>
      </c>
      <c r="J716">
        <v>24680</v>
      </c>
      <c r="K716">
        <v>25534</v>
      </c>
      <c r="L716">
        <v>26891</v>
      </c>
      <c r="M716" t="s">
        <v>988</v>
      </c>
    </row>
    <row r="717" spans="1:13" x14ac:dyDescent="0.3">
      <c r="A717">
        <v>2604</v>
      </c>
      <c r="B717" t="s">
        <v>2063</v>
      </c>
      <c r="C717" t="s">
        <v>2667</v>
      </c>
      <c r="D717" t="s">
        <v>1203</v>
      </c>
      <c r="E717" t="s">
        <v>1204</v>
      </c>
      <c r="F717">
        <v>5652</v>
      </c>
      <c r="G717" t="s">
        <v>2665</v>
      </c>
      <c r="H717">
        <v>22380</v>
      </c>
      <c r="I717">
        <v>23541</v>
      </c>
      <c r="J717">
        <v>24680</v>
      </c>
      <c r="K717">
        <v>25534</v>
      </c>
      <c r="L717">
        <v>26891</v>
      </c>
      <c r="M717" t="s">
        <v>988</v>
      </c>
    </row>
    <row r="718" spans="1:13" x14ac:dyDescent="0.3">
      <c r="A718">
        <v>2605</v>
      </c>
      <c r="B718" t="s">
        <v>2066</v>
      </c>
      <c r="C718" t="s">
        <v>2667</v>
      </c>
      <c r="D718" t="s">
        <v>1203</v>
      </c>
      <c r="E718" t="s">
        <v>1204</v>
      </c>
      <c r="F718">
        <v>5682</v>
      </c>
      <c r="G718" t="s">
        <v>2665</v>
      </c>
      <c r="H718">
        <v>5986</v>
      </c>
      <c r="I718">
        <v>6037</v>
      </c>
      <c r="J718">
        <v>6088</v>
      </c>
      <c r="K718">
        <v>6140</v>
      </c>
      <c r="M718" t="s">
        <v>988</v>
      </c>
    </row>
    <row r="719" spans="1:13" x14ac:dyDescent="0.3">
      <c r="A719">
        <v>2605</v>
      </c>
      <c r="B719" t="s">
        <v>2066</v>
      </c>
      <c r="C719" t="s">
        <v>2667</v>
      </c>
      <c r="D719" t="s">
        <v>1203</v>
      </c>
      <c r="E719" t="s">
        <v>1204</v>
      </c>
      <c r="F719">
        <v>5682</v>
      </c>
      <c r="G719" t="s">
        <v>2664</v>
      </c>
      <c r="H719">
        <v>6374</v>
      </c>
      <c r="I719">
        <v>6374</v>
      </c>
      <c r="J719">
        <v>6374</v>
      </c>
      <c r="K719">
        <v>6374</v>
      </c>
      <c r="M719" t="s">
        <v>988</v>
      </c>
    </row>
    <row r="720" spans="1:13" x14ac:dyDescent="0.3">
      <c r="A720">
        <v>2610</v>
      </c>
      <c r="B720" t="s">
        <v>2067</v>
      </c>
      <c r="C720" t="s">
        <v>2667</v>
      </c>
      <c r="D720" t="s">
        <v>159</v>
      </c>
      <c r="E720" t="s">
        <v>159</v>
      </c>
      <c r="F720">
        <v>7858</v>
      </c>
      <c r="G720" t="s">
        <v>2665</v>
      </c>
      <c r="H720">
        <v>2996.1</v>
      </c>
      <c r="I720">
        <v>3100.74</v>
      </c>
      <c r="J720">
        <v>3220.39</v>
      </c>
      <c r="K720">
        <v>3352.58</v>
      </c>
      <c r="L720">
        <v>3476.85</v>
      </c>
      <c r="M720" t="s">
        <v>988</v>
      </c>
    </row>
    <row r="721" spans="1:13" x14ac:dyDescent="0.3">
      <c r="A721">
        <v>2610</v>
      </c>
      <c r="B721" t="s">
        <v>2067</v>
      </c>
      <c r="C721" t="s">
        <v>2667</v>
      </c>
      <c r="D721" t="s">
        <v>159</v>
      </c>
      <c r="E721" t="s">
        <v>159</v>
      </c>
      <c r="F721">
        <v>7858</v>
      </c>
      <c r="G721" t="s">
        <v>2664</v>
      </c>
      <c r="H721">
        <v>3200</v>
      </c>
      <c r="I721">
        <v>3069</v>
      </c>
      <c r="J721">
        <v>3043</v>
      </c>
      <c r="K721">
        <v>3014</v>
      </c>
      <c r="L721">
        <v>2982</v>
      </c>
      <c r="M721" t="s">
        <v>988</v>
      </c>
    </row>
    <row r="722" spans="1:13" x14ac:dyDescent="0.3">
      <c r="A722">
        <v>2618</v>
      </c>
      <c r="B722" t="s">
        <v>2071</v>
      </c>
      <c r="C722" t="s">
        <v>2667</v>
      </c>
      <c r="D722" t="s">
        <v>1203</v>
      </c>
      <c r="E722" t="s">
        <v>1204</v>
      </c>
      <c r="F722">
        <v>5771</v>
      </c>
      <c r="G722" t="s">
        <v>2664</v>
      </c>
      <c r="H722">
        <v>4166</v>
      </c>
      <c r="I722">
        <v>4166</v>
      </c>
      <c r="J722">
        <v>4166</v>
      </c>
      <c r="K722">
        <v>4166</v>
      </c>
      <c r="L722">
        <v>4166</v>
      </c>
      <c r="M722" t="s">
        <v>988</v>
      </c>
    </row>
    <row r="723" spans="1:13" x14ac:dyDescent="0.3">
      <c r="A723">
        <v>2618</v>
      </c>
      <c r="B723" t="s">
        <v>2071</v>
      </c>
      <c r="C723" t="s">
        <v>2667</v>
      </c>
      <c r="D723" t="s">
        <v>1203</v>
      </c>
      <c r="E723" t="s">
        <v>1204</v>
      </c>
      <c r="F723">
        <v>5771</v>
      </c>
      <c r="G723" t="s">
        <v>2665</v>
      </c>
      <c r="H723">
        <v>3448.18</v>
      </c>
      <c r="I723">
        <v>3502.55</v>
      </c>
      <c r="J723">
        <v>3557.78</v>
      </c>
      <c r="K723">
        <v>3613.88</v>
      </c>
      <c r="L723">
        <v>3670.86</v>
      </c>
      <c r="M723" t="s">
        <v>988</v>
      </c>
    </row>
    <row r="724" spans="1:13" x14ac:dyDescent="0.3">
      <c r="A724">
        <v>2626</v>
      </c>
      <c r="B724" t="s">
        <v>2072</v>
      </c>
      <c r="C724" t="s">
        <v>2667</v>
      </c>
      <c r="D724" t="s">
        <v>1203</v>
      </c>
      <c r="E724" t="s">
        <v>1204</v>
      </c>
      <c r="F724">
        <v>5794</v>
      </c>
      <c r="G724" t="s">
        <v>2665</v>
      </c>
      <c r="H724">
        <v>14150.641876350001</v>
      </c>
      <c r="I724">
        <v>16556.649950750001</v>
      </c>
      <c r="J724">
        <v>19370.820109200002</v>
      </c>
      <c r="K724">
        <v>22666.805660099999</v>
      </c>
      <c r="M724" t="s">
        <v>988</v>
      </c>
    </row>
    <row r="725" spans="1:13" x14ac:dyDescent="0.3">
      <c r="A725">
        <v>2626</v>
      </c>
      <c r="B725" t="s">
        <v>2072</v>
      </c>
      <c r="C725" t="s">
        <v>2667</v>
      </c>
      <c r="D725" t="s">
        <v>1203</v>
      </c>
      <c r="E725" t="s">
        <v>1204</v>
      </c>
      <c r="F725">
        <v>5794</v>
      </c>
      <c r="G725" t="s">
        <v>2664</v>
      </c>
      <c r="H725">
        <v>25904.482341849998</v>
      </c>
      <c r="I725">
        <v>25904.482341849998</v>
      </c>
      <c r="J725">
        <v>25904.482341849998</v>
      </c>
      <c r="K725">
        <v>25904.482341849998</v>
      </c>
      <c r="M725" t="s">
        <v>988</v>
      </c>
    </row>
    <row r="726" spans="1:13" x14ac:dyDescent="0.3">
      <c r="A726">
        <v>2629</v>
      </c>
      <c r="B726" t="s">
        <v>2073</v>
      </c>
      <c r="C726" t="s">
        <v>2667</v>
      </c>
      <c r="D726" t="s">
        <v>1203</v>
      </c>
      <c r="E726" t="s">
        <v>1204</v>
      </c>
      <c r="F726">
        <v>5786</v>
      </c>
      <c r="G726" t="s">
        <v>2665</v>
      </c>
      <c r="H726">
        <v>10649</v>
      </c>
      <c r="I726">
        <v>11175</v>
      </c>
      <c r="J726">
        <v>11415</v>
      </c>
      <c r="K726">
        <v>11632</v>
      </c>
      <c r="L726">
        <v>11870</v>
      </c>
      <c r="M726" t="s">
        <v>988</v>
      </c>
    </row>
    <row r="727" spans="1:13" x14ac:dyDescent="0.3">
      <c r="A727">
        <v>2629</v>
      </c>
      <c r="B727" t="s">
        <v>2073</v>
      </c>
      <c r="C727" t="s">
        <v>2667</v>
      </c>
      <c r="D727" t="s">
        <v>1203</v>
      </c>
      <c r="E727" t="s">
        <v>1204</v>
      </c>
      <c r="F727">
        <v>5786</v>
      </c>
      <c r="G727" t="s">
        <v>2664</v>
      </c>
      <c r="H727">
        <v>13367</v>
      </c>
      <c r="I727">
        <v>12315</v>
      </c>
      <c r="J727">
        <v>12818</v>
      </c>
      <c r="K727">
        <v>13314</v>
      </c>
      <c r="L727">
        <v>13643</v>
      </c>
      <c r="M727" t="s">
        <v>988</v>
      </c>
    </row>
    <row r="728" spans="1:13" x14ac:dyDescent="0.3">
      <c r="A728">
        <v>2631</v>
      </c>
      <c r="B728" t="s">
        <v>2075</v>
      </c>
      <c r="C728" t="s">
        <v>2667</v>
      </c>
      <c r="D728" t="s">
        <v>159</v>
      </c>
      <c r="E728" t="s">
        <v>159</v>
      </c>
      <c r="F728">
        <v>5420</v>
      </c>
      <c r="G728" t="s">
        <v>2665</v>
      </c>
      <c r="H728">
        <v>20950</v>
      </c>
      <c r="I728">
        <v>22606</v>
      </c>
      <c r="J728">
        <v>24399</v>
      </c>
      <c r="K728">
        <v>26341</v>
      </c>
      <c r="L728">
        <v>26341</v>
      </c>
      <c r="M728" t="s">
        <v>988</v>
      </c>
    </row>
    <row r="729" spans="1:13" x14ac:dyDescent="0.3">
      <c r="A729">
        <v>2631</v>
      </c>
      <c r="B729" t="s">
        <v>2075</v>
      </c>
      <c r="C729" t="s">
        <v>2667</v>
      </c>
      <c r="D729" t="s">
        <v>159</v>
      </c>
      <c r="E729" t="s">
        <v>159</v>
      </c>
      <c r="F729">
        <v>5420</v>
      </c>
      <c r="G729" t="s">
        <v>2664</v>
      </c>
      <c r="H729">
        <v>22546</v>
      </c>
      <c r="I729">
        <v>24328</v>
      </c>
      <c r="J729">
        <v>26261</v>
      </c>
      <c r="K729">
        <v>28352</v>
      </c>
      <c r="L729">
        <v>28352</v>
      </c>
      <c r="M729" t="s">
        <v>988</v>
      </c>
    </row>
    <row r="730" spans="1:13" x14ac:dyDescent="0.3">
      <c r="A730">
        <v>2633</v>
      </c>
      <c r="B730" t="s">
        <v>2076</v>
      </c>
      <c r="C730" t="s">
        <v>2667</v>
      </c>
      <c r="D730" t="s">
        <v>1203</v>
      </c>
      <c r="E730" t="s">
        <v>1204</v>
      </c>
      <c r="F730">
        <v>5666</v>
      </c>
      <c r="G730" t="s">
        <v>2665</v>
      </c>
      <c r="H730">
        <v>10860</v>
      </c>
      <c r="I730">
        <v>10860</v>
      </c>
      <c r="J730">
        <v>10860</v>
      </c>
      <c r="K730">
        <v>10860</v>
      </c>
      <c r="L730">
        <v>10860</v>
      </c>
      <c r="M730" t="s">
        <v>988</v>
      </c>
    </row>
    <row r="731" spans="1:13" x14ac:dyDescent="0.3">
      <c r="A731">
        <v>2633</v>
      </c>
      <c r="B731" t="s">
        <v>2076</v>
      </c>
      <c r="C731" t="s">
        <v>2667</v>
      </c>
      <c r="D731" t="s">
        <v>1203</v>
      </c>
      <c r="E731" t="s">
        <v>1204</v>
      </c>
      <c r="F731">
        <v>5666</v>
      </c>
      <c r="G731" t="s">
        <v>2664</v>
      </c>
      <c r="H731">
        <v>10860</v>
      </c>
      <c r="I731">
        <v>10860</v>
      </c>
      <c r="J731">
        <v>10860</v>
      </c>
      <c r="K731">
        <v>10860</v>
      </c>
      <c r="L731">
        <v>10860</v>
      </c>
      <c r="M731" t="s">
        <v>988</v>
      </c>
    </row>
    <row r="732" spans="1:13" x14ac:dyDescent="0.3">
      <c r="A732">
        <v>2635</v>
      </c>
      <c r="B732" t="s">
        <v>2078</v>
      </c>
      <c r="C732" t="s">
        <v>2667</v>
      </c>
      <c r="D732" t="s">
        <v>1203</v>
      </c>
      <c r="E732" t="s">
        <v>1204</v>
      </c>
      <c r="F732">
        <v>5692</v>
      </c>
      <c r="G732" t="s">
        <v>2664</v>
      </c>
      <c r="H732">
        <v>26505</v>
      </c>
      <c r="I732">
        <v>28969</v>
      </c>
      <c r="J732">
        <v>30165</v>
      </c>
      <c r="K732">
        <v>31299</v>
      </c>
      <c r="L732">
        <v>32699</v>
      </c>
      <c r="M732" t="s">
        <v>988</v>
      </c>
    </row>
    <row r="733" spans="1:13" x14ac:dyDescent="0.3">
      <c r="A733">
        <v>2635</v>
      </c>
      <c r="B733" t="s">
        <v>2078</v>
      </c>
      <c r="C733" t="s">
        <v>2667</v>
      </c>
      <c r="D733" t="s">
        <v>1203</v>
      </c>
      <c r="E733" t="s">
        <v>1204</v>
      </c>
      <c r="F733">
        <v>5692</v>
      </c>
      <c r="G733" t="s">
        <v>2665</v>
      </c>
      <c r="H733">
        <v>26505</v>
      </c>
      <c r="I733">
        <v>28969</v>
      </c>
      <c r="J733">
        <v>30165</v>
      </c>
      <c r="K733">
        <v>31299</v>
      </c>
      <c r="L733">
        <v>32699</v>
      </c>
      <c r="M733" t="s">
        <v>988</v>
      </c>
    </row>
    <row r="734" spans="1:13" x14ac:dyDescent="0.3">
      <c r="A734">
        <v>2649</v>
      </c>
      <c r="B734" t="s">
        <v>2079</v>
      </c>
      <c r="C734" t="s">
        <v>2667</v>
      </c>
      <c r="D734" t="s">
        <v>1203</v>
      </c>
      <c r="E734" t="s">
        <v>1204</v>
      </c>
      <c r="F734">
        <v>5924</v>
      </c>
      <c r="G734" t="s">
        <v>2664</v>
      </c>
      <c r="H734">
        <v>20415</v>
      </c>
      <c r="I734">
        <v>21579</v>
      </c>
      <c r="J734">
        <v>22398</v>
      </c>
      <c r="K734">
        <v>23268</v>
      </c>
      <c r="L734">
        <v>23900</v>
      </c>
      <c r="M734" t="s">
        <v>988</v>
      </c>
    </row>
    <row r="735" spans="1:13" x14ac:dyDescent="0.3">
      <c r="A735">
        <v>2649</v>
      </c>
      <c r="B735" t="s">
        <v>2079</v>
      </c>
      <c r="C735" t="s">
        <v>2667</v>
      </c>
      <c r="D735" t="s">
        <v>1203</v>
      </c>
      <c r="E735" t="s">
        <v>1204</v>
      </c>
      <c r="F735">
        <v>5924</v>
      </c>
      <c r="G735" t="s">
        <v>2665</v>
      </c>
      <c r="H735">
        <v>20415</v>
      </c>
      <c r="I735">
        <v>21579</v>
      </c>
      <c r="J735">
        <v>22398</v>
      </c>
      <c r="K735">
        <v>23268</v>
      </c>
      <c r="L735">
        <v>23900</v>
      </c>
      <c r="M735" t="s">
        <v>988</v>
      </c>
    </row>
    <row r="736" spans="1:13" x14ac:dyDescent="0.3">
      <c r="A736">
        <v>2661</v>
      </c>
      <c r="B736" t="s">
        <v>2084</v>
      </c>
      <c r="C736" t="s">
        <v>2667</v>
      </c>
      <c r="D736" t="s">
        <v>1203</v>
      </c>
      <c r="E736" t="s">
        <v>1204</v>
      </c>
      <c r="F736">
        <v>5527</v>
      </c>
      <c r="G736" t="s">
        <v>2665</v>
      </c>
      <c r="H736">
        <v>21003</v>
      </c>
      <c r="I736">
        <v>21261</v>
      </c>
      <c r="J736">
        <v>21523</v>
      </c>
      <c r="K736">
        <v>21768</v>
      </c>
      <c r="L736">
        <v>22016</v>
      </c>
      <c r="M736" t="s">
        <v>988</v>
      </c>
    </row>
    <row r="737" spans="1:13" x14ac:dyDescent="0.3">
      <c r="A737">
        <v>2661</v>
      </c>
      <c r="B737" t="s">
        <v>2084</v>
      </c>
      <c r="C737" t="s">
        <v>2667</v>
      </c>
      <c r="D737" t="s">
        <v>1203</v>
      </c>
      <c r="E737" t="s">
        <v>1204</v>
      </c>
      <c r="F737">
        <v>5527</v>
      </c>
      <c r="G737" t="s">
        <v>2664</v>
      </c>
      <c r="H737">
        <v>21003</v>
      </c>
      <c r="I737">
        <v>21261</v>
      </c>
      <c r="J737">
        <v>21523</v>
      </c>
      <c r="K737">
        <v>21768</v>
      </c>
      <c r="L737">
        <v>22016</v>
      </c>
      <c r="M737" t="s">
        <v>988</v>
      </c>
    </row>
    <row r="738" spans="1:13" x14ac:dyDescent="0.3">
      <c r="A738">
        <v>2669</v>
      </c>
      <c r="B738" t="s">
        <v>2085</v>
      </c>
      <c r="C738" t="s">
        <v>2667</v>
      </c>
      <c r="D738" t="s">
        <v>1203</v>
      </c>
      <c r="E738" t="s">
        <v>1204</v>
      </c>
      <c r="F738">
        <v>5913</v>
      </c>
      <c r="G738" t="s">
        <v>2665</v>
      </c>
      <c r="H738">
        <v>8688</v>
      </c>
      <c r="I738">
        <v>8906</v>
      </c>
      <c r="J738">
        <v>9128</v>
      </c>
      <c r="K738">
        <v>9296</v>
      </c>
      <c r="L738">
        <v>9440</v>
      </c>
      <c r="M738" t="s">
        <v>988</v>
      </c>
    </row>
    <row r="739" spans="1:13" x14ac:dyDescent="0.3">
      <c r="A739">
        <v>2669</v>
      </c>
      <c r="B739" t="s">
        <v>2085</v>
      </c>
      <c r="C739" t="s">
        <v>2667</v>
      </c>
      <c r="D739" t="s">
        <v>1203</v>
      </c>
      <c r="E739" t="s">
        <v>1204</v>
      </c>
      <c r="F739">
        <v>5913</v>
      </c>
      <c r="G739" t="s">
        <v>2664</v>
      </c>
      <c r="H739">
        <v>21900</v>
      </c>
      <c r="I739">
        <v>21900</v>
      </c>
      <c r="J739">
        <v>21900</v>
      </c>
      <c r="K739">
        <v>21900</v>
      </c>
      <c r="L739">
        <v>21900</v>
      </c>
      <c r="M739" t="s">
        <v>988</v>
      </c>
    </row>
    <row r="740" spans="1:13" x14ac:dyDescent="0.3">
      <c r="A740">
        <v>2679</v>
      </c>
      <c r="B740" t="s">
        <v>2086</v>
      </c>
      <c r="C740" t="s">
        <v>2667</v>
      </c>
      <c r="D740" t="s">
        <v>1203</v>
      </c>
      <c r="E740" t="s">
        <v>1204</v>
      </c>
      <c r="F740">
        <v>5778</v>
      </c>
      <c r="G740" t="s">
        <v>2664</v>
      </c>
      <c r="H740">
        <v>17356</v>
      </c>
      <c r="I740">
        <v>17448</v>
      </c>
      <c r="J740">
        <v>17542</v>
      </c>
      <c r="K740">
        <v>17637</v>
      </c>
      <c r="L740">
        <v>17735</v>
      </c>
      <c r="M740" t="s">
        <v>988</v>
      </c>
    </row>
    <row r="741" spans="1:13" x14ac:dyDescent="0.3">
      <c r="A741">
        <v>2679</v>
      </c>
      <c r="B741" t="s">
        <v>2086</v>
      </c>
      <c r="C741" t="s">
        <v>2667</v>
      </c>
      <c r="D741" t="s">
        <v>1203</v>
      </c>
      <c r="E741" t="s">
        <v>1204</v>
      </c>
      <c r="F741">
        <v>5778</v>
      </c>
      <c r="G741" t="s">
        <v>2665</v>
      </c>
      <c r="H741">
        <v>17356</v>
      </c>
      <c r="I741">
        <v>17448</v>
      </c>
      <c r="J741">
        <v>17542</v>
      </c>
      <c r="K741">
        <v>17637</v>
      </c>
      <c r="L741">
        <v>17735</v>
      </c>
      <c r="M741" t="s">
        <v>988</v>
      </c>
    </row>
    <row r="742" spans="1:13" x14ac:dyDescent="0.3">
      <c r="A742">
        <v>2683</v>
      </c>
      <c r="B742" t="s">
        <v>871</v>
      </c>
      <c r="C742" t="s">
        <v>2667</v>
      </c>
      <c r="D742" t="s">
        <v>1203</v>
      </c>
      <c r="E742" t="s">
        <v>1204</v>
      </c>
      <c r="F742">
        <v>6775</v>
      </c>
      <c r="G742" t="s">
        <v>2665</v>
      </c>
      <c r="H742">
        <v>15351</v>
      </c>
      <c r="I742">
        <v>17556</v>
      </c>
      <c r="J742">
        <v>18260</v>
      </c>
      <c r="K742">
        <v>19173</v>
      </c>
      <c r="L742">
        <v>21420</v>
      </c>
      <c r="M742" t="s">
        <v>988</v>
      </c>
    </row>
    <row r="743" spans="1:13" x14ac:dyDescent="0.3">
      <c r="A743">
        <v>2683</v>
      </c>
      <c r="B743" t="s">
        <v>871</v>
      </c>
      <c r="C743" t="s">
        <v>2667</v>
      </c>
      <c r="D743" t="s">
        <v>1203</v>
      </c>
      <c r="E743" t="s">
        <v>1204</v>
      </c>
      <c r="F743">
        <v>6775</v>
      </c>
      <c r="G743" t="s">
        <v>2664</v>
      </c>
      <c r="H743">
        <v>26858</v>
      </c>
      <c r="I743">
        <v>27862</v>
      </c>
      <c r="J743">
        <v>28865</v>
      </c>
      <c r="K743">
        <v>29868</v>
      </c>
      <c r="L743">
        <v>30972</v>
      </c>
      <c r="M743" t="s">
        <v>988</v>
      </c>
    </row>
    <row r="744" spans="1:13" x14ac:dyDescent="0.3">
      <c r="A744">
        <v>2690</v>
      </c>
      <c r="B744" t="s">
        <v>2089</v>
      </c>
      <c r="C744" t="s">
        <v>2667</v>
      </c>
      <c r="D744" t="s">
        <v>1203</v>
      </c>
      <c r="E744" t="s">
        <v>1204</v>
      </c>
      <c r="F744">
        <v>5764</v>
      </c>
      <c r="G744" t="s">
        <v>2664</v>
      </c>
      <c r="H744">
        <v>29676</v>
      </c>
      <c r="I744">
        <v>31670</v>
      </c>
      <c r="J744">
        <v>33663</v>
      </c>
      <c r="K744">
        <v>35657</v>
      </c>
      <c r="L744">
        <v>37651</v>
      </c>
      <c r="M744" t="s">
        <v>988</v>
      </c>
    </row>
    <row r="745" spans="1:13" x14ac:dyDescent="0.3">
      <c r="A745">
        <v>2690</v>
      </c>
      <c r="B745" t="s">
        <v>2089</v>
      </c>
      <c r="C745" t="s">
        <v>2667</v>
      </c>
      <c r="D745" t="s">
        <v>1203</v>
      </c>
      <c r="E745" t="s">
        <v>1204</v>
      </c>
      <c r="F745">
        <v>5764</v>
      </c>
      <c r="G745" t="s">
        <v>2665</v>
      </c>
      <c r="H745">
        <v>25805</v>
      </c>
      <c r="I745">
        <v>27539</v>
      </c>
      <c r="J745">
        <v>29273</v>
      </c>
      <c r="K745">
        <v>31006</v>
      </c>
      <c r="L745">
        <v>32740</v>
      </c>
      <c r="M745" t="s">
        <v>988</v>
      </c>
    </row>
    <row r="746" spans="1:13" x14ac:dyDescent="0.3">
      <c r="A746">
        <v>2691</v>
      </c>
      <c r="B746" t="s">
        <v>2091</v>
      </c>
      <c r="C746" t="s">
        <v>2667</v>
      </c>
      <c r="D746" t="s">
        <v>1203</v>
      </c>
      <c r="E746" t="s">
        <v>1204</v>
      </c>
      <c r="F746">
        <v>5607</v>
      </c>
      <c r="G746" t="s">
        <v>2664</v>
      </c>
      <c r="H746">
        <v>595.36424290000002</v>
      </c>
      <c r="I746">
        <v>583.08869149999998</v>
      </c>
      <c r="J746">
        <v>583.08869149999998</v>
      </c>
      <c r="K746">
        <v>583.08869149999998</v>
      </c>
      <c r="L746">
        <v>497.15983169999998</v>
      </c>
      <c r="M746" t="s">
        <v>988</v>
      </c>
    </row>
    <row r="747" spans="1:13" x14ac:dyDescent="0.3">
      <c r="A747">
        <v>2691</v>
      </c>
      <c r="B747" t="s">
        <v>2091</v>
      </c>
      <c r="C747" t="s">
        <v>2667</v>
      </c>
      <c r="D747" t="s">
        <v>1203</v>
      </c>
      <c r="E747" t="s">
        <v>1204</v>
      </c>
      <c r="F747">
        <v>5607</v>
      </c>
      <c r="G747" t="s">
        <v>2665</v>
      </c>
      <c r="H747">
        <v>972.83744845000001</v>
      </c>
      <c r="I747">
        <v>960.56189704999997</v>
      </c>
      <c r="J747">
        <v>954.42412134999995</v>
      </c>
      <c r="K747">
        <v>951.35523350000005</v>
      </c>
      <c r="L747">
        <v>951.35523350000005</v>
      </c>
      <c r="M747" t="s">
        <v>988</v>
      </c>
    </row>
    <row r="748" spans="1:13" x14ac:dyDescent="0.3">
      <c r="A748">
        <v>2697</v>
      </c>
      <c r="B748" t="s">
        <v>2092</v>
      </c>
      <c r="C748" t="s">
        <v>2667</v>
      </c>
      <c r="D748" t="s">
        <v>159</v>
      </c>
      <c r="E748" t="s">
        <v>159</v>
      </c>
      <c r="F748">
        <v>7790</v>
      </c>
      <c r="G748" t="s">
        <v>2665</v>
      </c>
      <c r="H748">
        <v>30167</v>
      </c>
      <c r="I748">
        <v>33879</v>
      </c>
      <c r="J748">
        <v>37792</v>
      </c>
      <c r="K748">
        <v>42155</v>
      </c>
      <c r="L748">
        <v>46940</v>
      </c>
      <c r="M748" t="s">
        <v>988</v>
      </c>
    </row>
    <row r="749" spans="1:13" x14ac:dyDescent="0.3">
      <c r="A749">
        <v>2697</v>
      </c>
      <c r="B749" t="s">
        <v>2092</v>
      </c>
      <c r="C749" t="s">
        <v>2667</v>
      </c>
      <c r="D749" t="s">
        <v>159</v>
      </c>
      <c r="E749" t="s">
        <v>159</v>
      </c>
      <c r="F749">
        <v>7790</v>
      </c>
      <c r="G749" t="s">
        <v>2664</v>
      </c>
      <c r="H749">
        <v>34104</v>
      </c>
      <c r="I749">
        <v>38265</v>
      </c>
      <c r="J749">
        <v>42650</v>
      </c>
      <c r="K749">
        <v>47540</v>
      </c>
      <c r="L749">
        <v>52900</v>
      </c>
      <c r="M749" t="s">
        <v>988</v>
      </c>
    </row>
    <row r="750" spans="1:13" x14ac:dyDescent="0.3">
      <c r="A750">
        <v>2704</v>
      </c>
      <c r="B750" t="s">
        <v>2096</v>
      </c>
      <c r="C750" t="s">
        <v>2667</v>
      </c>
      <c r="D750" t="s">
        <v>159</v>
      </c>
      <c r="E750" t="s">
        <v>159</v>
      </c>
      <c r="F750">
        <v>7853</v>
      </c>
      <c r="G750" t="s">
        <v>2665</v>
      </c>
      <c r="H750">
        <v>11745</v>
      </c>
      <c r="I750">
        <v>11683</v>
      </c>
      <c r="J750">
        <v>11595</v>
      </c>
      <c r="K750">
        <v>11487</v>
      </c>
      <c r="L750">
        <v>11486</v>
      </c>
      <c r="M750" t="s">
        <v>988</v>
      </c>
    </row>
    <row r="751" spans="1:13" x14ac:dyDescent="0.3">
      <c r="A751">
        <v>2704</v>
      </c>
      <c r="B751" t="s">
        <v>2096</v>
      </c>
      <c r="C751" t="s">
        <v>2667</v>
      </c>
      <c r="D751" t="s">
        <v>159</v>
      </c>
      <c r="E751" t="s">
        <v>159</v>
      </c>
      <c r="F751">
        <v>7853</v>
      </c>
      <c r="G751" t="s">
        <v>2664</v>
      </c>
      <c r="H751">
        <v>11745</v>
      </c>
      <c r="I751">
        <v>11683</v>
      </c>
      <c r="J751">
        <v>11595</v>
      </c>
      <c r="K751">
        <v>11487</v>
      </c>
      <c r="L751">
        <v>11486</v>
      </c>
      <c r="M751" t="s">
        <v>988</v>
      </c>
    </row>
    <row r="752" spans="1:13" x14ac:dyDescent="0.3">
      <c r="A752">
        <v>2723</v>
      </c>
      <c r="B752" t="s">
        <v>2098</v>
      </c>
      <c r="C752" t="s">
        <v>2667</v>
      </c>
      <c r="D752" t="s">
        <v>1203</v>
      </c>
      <c r="E752" t="s">
        <v>1204</v>
      </c>
      <c r="F752">
        <v>5513</v>
      </c>
      <c r="G752" t="s">
        <v>2664</v>
      </c>
      <c r="H752">
        <v>7465</v>
      </c>
      <c r="I752">
        <v>7629</v>
      </c>
      <c r="J752">
        <v>7796</v>
      </c>
      <c r="K752">
        <v>7968</v>
      </c>
      <c r="L752">
        <v>8142</v>
      </c>
      <c r="M752" t="s">
        <v>988</v>
      </c>
    </row>
    <row r="753" spans="1:13" x14ac:dyDescent="0.3">
      <c r="A753">
        <v>2723</v>
      </c>
      <c r="B753" t="s">
        <v>2098</v>
      </c>
      <c r="C753" t="s">
        <v>2667</v>
      </c>
      <c r="D753" t="s">
        <v>1203</v>
      </c>
      <c r="E753" t="s">
        <v>1204</v>
      </c>
      <c r="F753">
        <v>5513</v>
      </c>
      <c r="G753" t="s">
        <v>2665</v>
      </c>
      <c r="H753">
        <v>7465</v>
      </c>
      <c r="I753">
        <v>7629</v>
      </c>
      <c r="J753">
        <v>7796</v>
      </c>
      <c r="K753">
        <v>7968</v>
      </c>
      <c r="L753">
        <v>8142</v>
      </c>
      <c r="M753" t="s">
        <v>988</v>
      </c>
    </row>
    <row r="754" spans="1:13" x14ac:dyDescent="0.3">
      <c r="A754">
        <v>2751</v>
      </c>
      <c r="B754" t="s">
        <v>2099</v>
      </c>
      <c r="C754" t="s">
        <v>2667</v>
      </c>
      <c r="D754" t="s">
        <v>1203</v>
      </c>
      <c r="E754" t="s">
        <v>1204</v>
      </c>
      <c r="F754">
        <v>5933</v>
      </c>
      <c r="G754" t="s">
        <v>2664</v>
      </c>
      <c r="H754">
        <v>7969</v>
      </c>
      <c r="I754">
        <v>7092</v>
      </c>
      <c r="J754">
        <v>7245</v>
      </c>
      <c r="K754">
        <v>7753</v>
      </c>
      <c r="M754" t="s">
        <v>988</v>
      </c>
    </row>
    <row r="755" spans="1:13" x14ac:dyDescent="0.3">
      <c r="A755">
        <v>2751</v>
      </c>
      <c r="B755" t="s">
        <v>2099</v>
      </c>
      <c r="C755" t="s">
        <v>2667</v>
      </c>
      <c r="D755" t="s">
        <v>1203</v>
      </c>
      <c r="E755" t="s">
        <v>1204</v>
      </c>
      <c r="F755">
        <v>5933</v>
      </c>
      <c r="G755" t="s">
        <v>2665</v>
      </c>
      <c r="H755">
        <v>6504</v>
      </c>
      <c r="I755">
        <v>6955</v>
      </c>
      <c r="J755">
        <v>7614</v>
      </c>
      <c r="K755">
        <v>8628</v>
      </c>
      <c r="M755" t="s">
        <v>988</v>
      </c>
    </row>
    <row r="756" spans="1:13" x14ac:dyDescent="0.3">
      <c r="A756">
        <v>2766</v>
      </c>
      <c r="B756" t="s">
        <v>2101</v>
      </c>
      <c r="C756" t="s">
        <v>2667</v>
      </c>
      <c r="D756" t="s">
        <v>1203</v>
      </c>
      <c r="E756" t="s">
        <v>1204</v>
      </c>
      <c r="F756">
        <v>5594</v>
      </c>
      <c r="G756" t="s">
        <v>2665</v>
      </c>
      <c r="H756">
        <v>12596</v>
      </c>
      <c r="I756">
        <v>13298</v>
      </c>
      <c r="J756">
        <v>14038</v>
      </c>
      <c r="K756">
        <v>14820</v>
      </c>
      <c r="L756">
        <v>15646</v>
      </c>
      <c r="M756" t="s">
        <v>988</v>
      </c>
    </row>
    <row r="757" spans="1:13" x14ac:dyDescent="0.3">
      <c r="A757">
        <v>2766</v>
      </c>
      <c r="B757" t="s">
        <v>2101</v>
      </c>
      <c r="C757" t="s">
        <v>2667</v>
      </c>
      <c r="D757" t="s">
        <v>1203</v>
      </c>
      <c r="E757" t="s">
        <v>1204</v>
      </c>
      <c r="F757">
        <v>5594</v>
      </c>
      <c r="G757" t="s">
        <v>2664</v>
      </c>
      <c r="H757">
        <v>20160</v>
      </c>
      <c r="I757">
        <v>20160</v>
      </c>
      <c r="J757">
        <v>20160</v>
      </c>
      <c r="K757">
        <v>24440</v>
      </c>
      <c r="L757">
        <v>24440</v>
      </c>
      <c r="M757" t="s">
        <v>988</v>
      </c>
    </row>
    <row r="758" spans="1:13" x14ac:dyDescent="0.3">
      <c r="A758">
        <v>2782</v>
      </c>
      <c r="B758" t="s">
        <v>2103</v>
      </c>
      <c r="C758" t="s">
        <v>2667</v>
      </c>
      <c r="D758" t="s">
        <v>1203</v>
      </c>
      <c r="E758" t="s">
        <v>1204</v>
      </c>
      <c r="F758">
        <v>5688</v>
      </c>
      <c r="G758" t="s">
        <v>2665</v>
      </c>
      <c r="H758">
        <v>20281</v>
      </c>
      <c r="I758">
        <v>20566</v>
      </c>
      <c r="J758">
        <v>20579</v>
      </c>
      <c r="K758">
        <v>20564</v>
      </c>
      <c r="L758">
        <v>20492</v>
      </c>
      <c r="M758" t="s">
        <v>988</v>
      </c>
    </row>
    <row r="759" spans="1:13" x14ac:dyDescent="0.3">
      <c r="A759">
        <v>2782</v>
      </c>
      <c r="B759" t="s">
        <v>2103</v>
      </c>
      <c r="C759" t="s">
        <v>2667</v>
      </c>
      <c r="D759" t="s">
        <v>1203</v>
      </c>
      <c r="E759" t="s">
        <v>1204</v>
      </c>
      <c r="F759">
        <v>5688</v>
      </c>
      <c r="G759" t="s">
        <v>2664</v>
      </c>
      <c r="H759">
        <v>20281</v>
      </c>
      <c r="I759">
        <v>20566</v>
      </c>
      <c r="J759">
        <v>20579</v>
      </c>
      <c r="K759">
        <v>20564</v>
      </c>
      <c r="L759">
        <v>20492</v>
      </c>
      <c r="M759" t="s">
        <v>988</v>
      </c>
    </row>
    <row r="760" spans="1:13" x14ac:dyDescent="0.3">
      <c r="A760">
        <v>2789</v>
      </c>
      <c r="B760" t="s">
        <v>2106</v>
      </c>
      <c r="C760" t="s">
        <v>2667</v>
      </c>
      <c r="D760" t="s">
        <v>1203</v>
      </c>
      <c r="E760" t="s">
        <v>1204</v>
      </c>
      <c r="F760">
        <v>5726</v>
      </c>
      <c r="G760" t="s">
        <v>2665</v>
      </c>
      <c r="H760">
        <v>1713</v>
      </c>
      <c r="I760">
        <v>1702.6224890000001</v>
      </c>
      <c r="J760">
        <v>1682</v>
      </c>
      <c r="K760">
        <v>1652</v>
      </c>
      <c r="L760">
        <v>1619</v>
      </c>
      <c r="M760" t="s">
        <v>988</v>
      </c>
    </row>
    <row r="761" spans="1:13" x14ac:dyDescent="0.3">
      <c r="A761">
        <v>2789</v>
      </c>
      <c r="B761" t="s">
        <v>2106</v>
      </c>
      <c r="C761" t="s">
        <v>2667</v>
      </c>
      <c r="D761" t="s">
        <v>1203</v>
      </c>
      <c r="E761" t="s">
        <v>1204</v>
      </c>
      <c r="F761">
        <v>5726</v>
      </c>
      <c r="G761" t="s">
        <v>2664</v>
      </c>
      <c r="H761">
        <v>7051</v>
      </c>
      <c r="I761">
        <v>7051</v>
      </c>
      <c r="J761">
        <v>7051</v>
      </c>
      <c r="K761">
        <v>7051</v>
      </c>
      <c r="L761">
        <v>7051</v>
      </c>
      <c r="M761" t="s">
        <v>988</v>
      </c>
    </row>
    <row r="762" spans="1:13" x14ac:dyDescent="0.3">
      <c r="A762">
        <v>2790</v>
      </c>
      <c r="B762" t="s">
        <v>763</v>
      </c>
      <c r="C762" t="s">
        <v>2667</v>
      </c>
      <c r="D762" t="s">
        <v>1203</v>
      </c>
      <c r="E762" t="s">
        <v>1204</v>
      </c>
      <c r="F762">
        <v>5830</v>
      </c>
      <c r="G762" t="s">
        <v>2665</v>
      </c>
      <c r="H762">
        <v>15628</v>
      </c>
      <c r="I762">
        <v>16254</v>
      </c>
      <c r="J762">
        <v>16958</v>
      </c>
      <c r="K762">
        <v>17845</v>
      </c>
      <c r="L762">
        <v>18722</v>
      </c>
      <c r="M762" t="s">
        <v>988</v>
      </c>
    </row>
    <row r="763" spans="1:13" x14ac:dyDescent="0.3">
      <c r="A763">
        <v>2790</v>
      </c>
      <c r="B763" t="s">
        <v>763</v>
      </c>
      <c r="C763" t="s">
        <v>2667</v>
      </c>
      <c r="D763" t="s">
        <v>1203</v>
      </c>
      <c r="E763" t="s">
        <v>1204</v>
      </c>
      <c r="F763">
        <v>5830</v>
      </c>
      <c r="G763" t="s">
        <v>2664</v>
      </c>
      <c r="H763">
        <v>24439</v>
      </c>
      <c r="I763">
        <v>24439</v>
      </c>
      <c r="J763">
        <v>24439</v>
      </c>
      <c r="K763">
        <v>24439</v>
      </c>
      <c r="L763">
        <v>24439</v>
      </c>
      <c r="M763" t="s">
        <v>988</v>
      </c>
    </row>
    <row r="764" spans="1:13" x14ac:dyDescent="0.3">
      <c r="A764">
        <v>2793</v>
      </c>
      <c r="B764" t="s">
        <v>2107</v>
      </c>
      <c r="C764" t="s">
        <v>2667</v>
      </c>
      <c r="D764" t="s">
        <v>1203</v>
      </c>
      <c r="E764" t="s">
        <v>1204</v>
      </c>
      <c r="F764">
        <v>5881</v>
      </c>
      <c r="G764" t="s">
        <v>2664</v>
      </c>
      <c r="H764">
        <v>59180</v>
      </c>
      <c r="I764">
        <v>65400</v>
      </c>
      <c r="J764">
        <v>72700</v>
      </c>
      <c r="K764">
        <v>78900</v>
      </c>
      <c r="L764">
        <v>85300</v>
      </c>
      <c r="M764" t="s">
        <v>988</v>
      </c>
    </row>
    <row r="765" spans="1:13" x14ac:dyDescent="0.3">
      <c r="A765">
        <v>2793</v>
      </c>
      <c r="B765" t="s">
        <v>2107</v>
      </c>
      <c r="C765" t="s">
        <v>2667</v>
      </c>
      <c r="D765" t="s">
        <v>1203</v>
      </c>
      <c r="E765" t="s">
        <v>1204</v>
      </c>
      <c r="F765">
        <v>5881</v>
      </c>
      <c r="G765" t="s">
        <v>2665</v>
      </c>
      <c r="H765">
        <v>12658</v>
      </c>
      <c r="I765">
        <v>12026</v>
      </c>
      <c r="J765">
        <v>11430</v>
      </c>
      <c r="K765">
        <v>10872</v>
      </c>
      <c r="L765">
        <v>10346</v>
      </c>
      <c r="M765" t="s">
        <v>988</v>
      </c>
    </row>
  </sheetData>
  <autoFilter ref="A1:M765" xr:uid="{231E2DD8-5158-406A-9D5C-123032AFB628}"/>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077BA-EF80-4956-B0E4-078FF811550D}">
  <sheetPr codeName="Sheet35">
    <tabColor rgb="FF7030A0"/>
  </sheetPr>
  <dimension ref="A1:M103"/>
  <sheetViews>
    <sheetView workbookViewId="0"/>
  </sheetViews>
  <sheetFormatPr defaultRowHeight="14.4" x14ac:dyDescent="0.3"/>
  <cols>
    <col min="2" max="2" width="49.5546875" bestFit="1" customWidth="1"/>
    <col min="3" max="3" width="63.88671875" bestFit="1" customWidth="1"/>
    <col min="8" max="12" width="22.6640625" bestFit="1" customWidth="1"/>
  </cols>
  <sheetData>
    <row r="1" spans="1:13" x14ac:dyDescent="0.3">
      <c r="A1" t="s">
        <v>1191</v>
      </c>
      <c r="B1" t="s">
        <v>1192</v>
      </c>
      <c r="C1" t="s">
        <v>1193</v>
      </c>
      <c r="D1" t="s">
        <v>1194</v>
      </c>
      <c r="E1" t="s">
        <v>1195</v>
      </c>
      <c r="F1" t="s">
        <v>1196</v>
      </c>
      <c r="G1" t="s">
        <v>2657</v>
      </c>
      <c r="H1" t="s">
        <v>2658</v>
      </c>
      <c r="I1" t="s">
        <v>2659</v>
      </c>
      <c r="J1" t="s">
        <v>2660</v>
      </c>
      <c r="K1" t="s">
        <v>2661</v>
      </c>
      <c r="L1" t="s">
        <v>2662</v>
      </c>
      <c r="M1" t="s">
        <v>2255</v>
      </c>
    </row>
    <row r="2" spans="1:13" x14ac:dyDescent="0.3">
      <c r="A2">
        <v>22</v>
      </c>
      <c r="B2" t="s">
        <v>916</v>
      </c>
      <c r="C2" t="s">
        <v>2668</v>
      </c>
      <c r="D2" t="s">
        <v>159</v>
      </c>
      <c r="E2" t="s">
        <v>159</v>
      </c>
      <c r="F2">
        <v>7263</v>
      </c>
      <c r="G2" t="s">
        <v>2665</v>
      </c>
      <c r="H2">
        <v>50300</v>
      </c>
      <c r="I2">
        <v>52800</v>
      </c>
      <c r="J2">
        <v>53800</v>
      </c>
      <c r="K2">
        <v>55300</v>
      </c>
      <c r="L2">
        <v>55300</v>
      </c>
      <c r="M2" t="s">
        <v>988</v>
      </c>
    </row>
    <row r="3" spans="1:13" x14ac:dyDescent="0.3">
      <c r="A3">
        <v>22</v>
      </c>
      <c r="B3" t="s">
        <v>916</v>
      </c>
      <c r="C3" t="s">
        <v>2668</v>
      </c>
      <c r="D3" t="s">
        <v>159</v>
      </c>
      <c r="E3" t="s">
        <v>159</v>
      </c>
      <c r="F3">
        <v>7263</v>
      </c>
      <c r="G3" t="s">
        <v>2664</v>
      </c>
      <c r="H3">
        <v>65600</v>
      </c>
      <c r="I3">
        <v>92100</v>
      </c>
      <c r="J3">
        <v>94200</v>
      </c>
      <c r="K3">
        <v>92500</v>
      </c>
      <c r="L3">
        <v>92300</v>
      </c>
      <c r="M3" t="s">
        <v>988</v>
      </c>
    </row>
    <row r="4" spans="1:13" x14ac:dyDescent="0.3">
      <c r="A4">
        <v>79</v>
      </c>
      <c r="B4" t="s">
        <v>941</v>
      </c>
      <c r="C4" t="s">
        <v>2668</v>
      </c>
      <c r="D4" t="s">
        <v>1203</v>
      </c>
      <c r="E4" t="s">
        <v>1204</v>
      </c>
      <c r="F4">
        <v>5721</v>
      </c>
      <c r="G4" t="s">
        <v>2665</v>
      </c>
      <c r="H4">
        <v>44440</v>
      </c>
      <c r="I4">
        <v>50990</v>
      </c>
      <c r="J4">
        <v>51880</v>
      </c>
      <c r="K4">
        <v>55210</v>
      </c>
      <c r="L4">
        <v>57590</v>
      </c>
      <c r="M4" t="s">
        <v>988</v>
      </c>
    </row>
    <row r="5" spans="1:13" x14ac:dyDescent="0.3">
      <c r="A5">
        <v>79</v>
      </c>
      <c r="B5" t="s">
        <v>941</v>
      </c>
      <c r="C5" t="s">
        <v>2668</v>
      </c>
      <c r="D5" t="s">
        <v>1203</v>
      </c>
      <c r="E5" t="s">
        <v>1204</v>
      </c>
      <c r="F5">
        <v>5721</v>
      </c>
      <c r="G5" t="s">
        <v>2664</v>
      </c>
      <c r="H5">
        <v>44440</v>
      </c>
      <c r="I5">
        <v>50990</v>
      </c>
      <c r="J5">
        <v>51880</v>
      </c>
      <c r="K5">
        <v>55210</v>
      </c>
      <c r="L5">
        <v>57590</v>
      </c>
      <c r="M5" t="s">
        <v>988</v>
      </c>
    </row>
    <row r="6" spans="1:13" x14ac:dyDescent="0.3">
      <c r="A6">
        <v>123</v>
      </c>
      <c r="B6" t="s">
        <v>1242</v>
      </c>
      <c r="C6" t="s">
        <v>2668</v>
      </c>
      <c r="D6" t="s">
        <v>1203</v>
      </c>
      <c r="E6" t="s">
        <v>1204</v>
      </c>
      <c r="F6">
        <v>5757</v>
      </c>
      <c r="G6" t="s">
        <v>2665</v>
      </c>
      <c r="H6">
        <v>100000</v>
      </c>
      <c r="I6">
        <v>100000</v>
      </c>
      <c r="J6">
        <v>100000</v>
      </c>
      <c r="K6">
        <v>100000</v>
      </c>
      <c r="M6" t="s">
        <v>988</v>
      </c>
    </row>
    <row r="7" spans="1:13" x14ac:dyDescent="0.3">
      <c r="A7">
        <v>123</v>
      </c>
      <c r="B7" t="s">
        <v>1242</v>
      </c>
      <c r="C7" t="s">
        <v>2668</v>
      </c>
      <c r="D7" t="s">
        <v>1203</v>
      </c>
      <c r="E7" t="s">
        <v>1204</v>
      </c>
      <c r="F7">
        <v>5757</v>
      </c>
      <c r="G7" t="s">
        <v>2664</v>
      </c>
      <c r="H7">
        <v>14079</v>
      </c>
      <c r="I7">
        <v>14079</v>
      </c>
      <c r="J7">
        <v>14079</v>
      </c>
      <c r="K7">
        <v>14079</v>
      </c>
      <c r="M7" t="s">
        <v>988</v>
      </c>
    </row>
    <row r="8" spans="1:13" x14ac:dyDescent="0.3">
      <c r="A8">
        <v>433</v>
      </c>
      <c r="B8" t="s">
        <v>2124</v>
      </c>
      <c r="C8" t="s">
        <v>2668</v>
      </c>
      <c r="D8" t="s">
        <v>1203</v>
      </c>
      <c r="E8" t="s">
        <v>1204</v>
      </c>
      <c r="F8">
        <v>5488</v>
      </c>
      <c r="G8" t="s">
        <v>2665</v>
      </c>
      <c r="H8">
        <v>86435</v>
      </c>
      <c r="I8">
        <v>87556</v>
      </c>
      <c r="J8">
        <v>89734</v>
      </c>
      <c r="K8">
        <v>91193</v>
      </c>
      <c r="L8">
        <v>91651</v>
      </c>
      <c r="M8" t="s">
        <v>988</v>
      </c>
    </row>
    <row r="9" spans="1:13" x14ac:dyDescent="0.3">
      <c r="A9">
        <v>433</v>
      </c>
      <c r="B9" t="s">
        <v>2124</v>
      </c>
      <c r="C9" t="s">
        <v>2668</v>
      </c>
      <c r="D9" t="s">
        <v>1203</v>
      </c>
      <c r="E9" t="s">
        <v>1204</v>
      </c>
      <c r="F9">
        <v>5488</v>
      </c>
      <c r="G9" t="s">
        <v>2664</v>
      </c>
      <c r="H9">
        <v>113080</v>
      </c>
      <c r="I9">
        <v>114190</v>
      </c>
      <c r="J9">
        <v>116346</v>
      </c>
      <c r="K9">
        <v>117791</v>
      </c>
      <c r="L9">
        <v>118244</v>
      </c>
      <c r="M9" t="s">
        <v>988</v>
      </c>
    </row>
    <row r="10" spans="1:13" x14ac:dyDescent="0.3">
      <c r="A10">
        <v>495</v>
      </c>
      <c r="B10" t="s">
        <v>1382</v>
      </c>
      <c r="C10" t="s">
        <v>2668</v>
      </c>
      <c r="D10" t="s">
        <v>1203</v>
      </c>
      <c r="E10" t="s">
        <v>1204</v>
      </c>
      <c r="F10">
        <v>5743</v>
      </c>
      <c r="G10" t="s">
        <v>2665</v>
      </c>
      <c r="H10">
        <v>4356</v>
      </c>
      <c r="I10">
        <v>4356</v>
      </c>
      <c r="J10">
        <v>4356</v>
      </c>
      <c r="K10">
        <v>4356</v>
      </c>
      <c r="M10" t="s">
        <v>988</v>
      </c>
    </row>
    <row r="11" spans="1:13" x14ac:dyDescent="0.3">
      <c r="A11">
        <v>495</v>
      </c>
      <c r="B11" t="s">
        <v>1382</v>
      </c>
      <c r="C11" t="s">
        <v>2668</v>
      </c>
      <c r="D11" t="s">
        <v>1203</v>
      </c>
      <c r="E11" t="s">
        <v>1204</v>
      </c>
      <c r="F11">
        <v>5743</v>
      </c>
      <c r="G11" t="s">
        <v>2664</v>
      </c>
      <c r="H11">
        <v>5103</v>
      </c>
      <c r="I11">
        <v>5103</v>
      </c>
      <c r="J11">
        <v>5103</v>
      </c>
      <c r="K11">
        <v>5103</v>
      </c>
      <c r="M11" t="s">
        <v>988</v>
      </c>
    </row>
    <row r="12" spans="1:13" x14ac:dyDescent="0.3">
      <c r="A12">
        <v>510</v>
      </c>
      <c r="B12" t="s">
        <v>2127</v>
      </c>
      <c r="C12" t="s">
        <v>2668</v>
      </c>
      <c r="D12" t="s">
        <v>1203</v>
      </c>
      <c r="E12" t="s">
        <v>1204</v>
      </c>
      <c r="F12">
        <v>5776</v>
      </c>
      <c r="G12" t="s">
        <v>2664</v>
      </c>
      <c r="H12">
        <v>308033</v>
      </c>
      <c r="I12">
        <v>313940</v>
      </c>
      <c r="J12">
        <v>319898</v>
      </c>
      <c r="K12">
        <v>325165</v>
      </c>
      <c r="L12">
        <v>328659</v>
      </c>
      <c r="M12" t="s">
        <v>988</v>
      </c>
    </row>
    <row r="13" spans="1:13" x14ac:dyDescent="0.3">
      <c r="A13">
        <v>510</v>
      </c>
      <c r="B13" t="s">
        <v>2127</v>
      </c>
      <c r="C13" t="s">
        <v>2668</v>
      </c>
      <c r="D13" t="s">
        <v>1203</v>
      </c>
      <c r="E13" t="s">
        <v>1204</v>
      </c>
      <c r="F13">
        <v>5776</v>
      </c>
      <c r="G13" t="s">
        <v>2665</v>
      </c>
      <c r="H13">
        <v>261446</v>
      </c>
      <c r="I13">
        <v>262156</v>
      </c>
      <c r="J13">
        <v>263412</v>
      </c>
      <c r="K13">
        <v>264312</v>
      </c>
      <c r="L13">
        <v>265881</v>
      </c>
      <c r="M13" t="s">
        <v>988</v>
      </c>
    </row>
    <row r="14" spans="1:13" x14ac:dyDescent="0.3">
      <c r="A14">
        <v>514</v>
      </c>
      <c r="B14" t="s">
        <v>2131</v>
      </c>
      <c r="C14" t="s">
        <v>2668</v>
      </c>
      <c r="D14" t="s">
        <v>1203</v>
      </c>
      <c r="E14" t="s">
        <v>1204</v>
      </c>
      <c r="F14">
        <v>5787</v>
      </c>
      <c r="G14" t="s">
        <v>2665</v>
      </c>
      <c r="H14">
        <v>3519</v>
      </c>
      <c r="I14">
        <v>3959</v>
      </c>
      <c r="J14">
        <v>4399</v>
      </c>
      <c r="K14">
        <v>4838</v>
      </c>
      <c r="L14">
        <v>5278</v>
      </c>
      <c r="M14" t="s">
        <v>988</v>
      </c>
    </row>
    <row r="15" spans="1:13" x14ac:dyDescent="0.3">
      <c r="A15">
        <v>514</v>
      </c>
      <c r="B15" t="s">
        <v>2131</v>
      </c>
      <c r="C15" t="s">
        <v>2668</v>
      </c>
      <c r="D15" t="s">
        <v>1203</v>
      </c>
      <c r="E15" t="s">
        <v>1204</v>
      </c>
      <c r="F15">
        <v>5787</v>
      </c>
      <c r="G15" t="s">
        <v>2664</v>
      </c>
      <c r="H15">
        <v>3519</v>
      </c>
      <c r="I15">
        <v>3959</v>
      </c>
      <c r="J15">
        <v>4399</v>
      </c>
      <c r="K15">
        <v>4838</v>
      </c>
      <c r="L15">
        <v>5278</v>
      </c>
      <c r="M15" t="s">
        <v>988</v>
      </c>
    </row>
    <row r="16" spans="1:13" x14ac:dyDescent="0.3">
      <c r="A16">
        <v>546</v>
      </c>
      <c r="B16" t="s">
        <v>2133</v>
      </c>
      <c r="C16" t="s">
        <v>2668</v>
      </c>
      <c r="D16" t="s">
        <v>1203</v>
      </c>
      <c r="E16" t="s">
        <v>1204</v>
      </c>
      <c r="F16">
        <v>5541</v>
      </c>
      <c r="G16" t="s">
        <v>2665</v>
      </c>
      <c r="H16">
        <v>40000</v>
      </c>
      <c r="I16">
        <v>40000</v>
      </c>
      <c r="J16">
        <v>40000</v>
      </c>
      <c r="K16">
        <v>40000</v>
      </c>
      <c r="L16">
        <v>40000</v>
      </c>
      <c r="M16" t="s">
        <v>988</v>
      </c>
    </row>
    <row r="17" spans="1:13" x14ac:dyDescent="0.3">
      <c r="A17">
        <v>546</v>
      </c>
      <c r="B17" t="s">
        <v>2133</v>
      </c>
      <c r="C17" t="s">
        <v>2668</v>
      </c>
      <c r="D17" t="s">
        <v>1203</v>
      </c>
      <c r="E17" t="s">
        <v>1204</v>
      </c>
      <c r="F17">
        <v>5541</v>
      </c>
      <c r="G17" t="s">
        <v>2664</v>
      </c>
      <c r="H17">
        <v>40000</v>
      </c>
      <c r="I17">
        <v>40000</v>
      </c>
      <c r="J17">
        <v>40000</v>
      </c>
      <c r="K17">
        <v>40000</v>
      </c>
      <c r="L17">
        <v>40000</v>
      </c>
      <c r="M17" t="s">
        <v>988</v>
      </c>
    </row>
    <row r="18" spans="1:13" x14ac:dyDescent="0.3">
      <c r="A18">
        <v>613</v>
      </c>
      <c r="B18" t="s">
        <v>804</v>
      </c>
      <c r="C18" t="s">
        <v>2668</v>
      </c>
      <c r="D18" t="s">
        <v>1203</v>
      </c>
      <c r="E18" t="s">
        <v>1204</v>
      </c>
      <c r="F18">
        <v>5673</v>
      </c>
      <c r="G18" t="s">
        <v>2665</v>
      </c>
      <c r="H18">
        <v>147300</v>
      </c>
      <c r="I18">
        <v>157300</v>
      </c>
      <c r="J18">
        <v>165000</v>
      </c>
      <c r="K18">
        <v>171300</v>
      </c>
      <c r="L18">
        <v>175900</v>
      </c>
      <c r="M18" t="s">
        <v>988</v>
      </c>
    </row>
    <row r="19" spans="1:13" x14ac:dyDescent="0.3">
      <c r="A19">
        <v>613</v>
      </c>
      <c r="B19" t="s">
        <v>804</v>
      </c>
      <c r="C19" t="s">
        <v>2668</v>
      </c>
      <c r="D19" t="s">
        <v>1203</v>
      </c>
      <c r="E19" t="s">
        <v>1204</v>
      </c>
      <c r="F19">
        <v>5673</v>
      </c>
      <c r="G19" t="s">
        <v>2664</v>
      </c>
      <c r="H19">
        <v>174000</v>
      </c>
      <c r="I19">
        <v>189100</v>
      </c>
      <c r="J19">
        <v>193100</v>
      </c>
      <c r="K19">
        <v>194200</v>
      </c>
      <c r="L19">
        <v>194900</v>
      </c>
      <c r="M19" t="s">
        <v>988</v>
      </c>
    </row>
    <row r="20" spans="1:13" x14ac:dyDescent="0.3">
      <c r="A20">
        <v>785</v>
      </c>
      <c r="B20" t="s">
        <v>1476</v>
      </c>
      <c r="C20" t="s">
        <v>2668</v>
      </c>
      <c r="D20" t="s">
        <v>1203</v>
      </c>
      <c r="E20" t="s">
        <v>1204</v>
      </c>
      <c r="F20">
        <v>5655</v>
      </c>
      <c r="G20" t="s">
        <v>2664</v>
      </c>
      <c r="H20">
        <v>4301</v>
      </c>
      <c r="I20">
        <v>4442</v>
      </c>
      <c r="J20">
        <v>4562</v>
      </c>
      <c r="K20">
        <v>4681</v>
      </c>
      <c r="L20">
        <v>4810</v>
      </c>
      <c r="M20" t="s">
        <v>988</v>
      </c>
    </row>
    <row r="21" spans="1:13" x14ac:dyDescent="0.3">
      <c r="A21">
        <v>785</v>
      </c>
      <c r="B21" t="s">
        <v>1476</v>
      </c>
      <c r="C21" t="s">
        <v>2668</v>
      </c>
      <c r="D21" t="s">
        <v>1203</v>
      </c>
      <c r="E21" t="s">
        <v>1204</v>
      </c>
      <c r="F21">
        <v>5655</v>
      </c>
      <c r="G21" t="s">
        <v>2665</v>
      </c>
      <c r="H21">
        <v>4301</v>
      </c>
      <c r="I21">
        <v>4442</v>
      </c>
      <c r="J21">
        <v>4562</v>
      </c>
      <c r="K21">
        <v>4681</v>
      </c>
      <c r="L21">
        <v>4810</v>
      </c>
      <c r="M21" t="s">
        <v>988</v>
      </c>
    </row>
    <row r="22" spans="1:13" x14ac:dyDescent="0.3">
      <c r="A22">
        <v>794</v>
      </c>
      <c r="B22" t="s">
        <v>1483</v>
      </c>
      <c r="C22" t="s">
        <v>2668</v>
      </c>
      <c r="D22" t="s">
        <v>159</v>
      </c>
      <c r="E22" t="s">
        <v>159</v>
      </c>
      <c r="F22">
        <v>6888</v>
      </c>
      <c r="G22" t="s">
        <v>2664</v>
      </c>
      <c r="H22">
        <v>64770</v>
      </c>
      <c r="I22">
        <v>59080</v>
      </c>
      <c r="J22">
        <v>61600</v>
      </c>
      <c r="K22">
        <v>63600</v>
      </c>
      <c r="L22">
        <v>65900</v>
      </c>
      <c r="M22" t="s">
        <v>988</v>
      </c>
    </row>
    <row r="23" spans="1:13" x14ac:dyDescent="0.3">
      <c r="A23">
        <v>794</v>
      </c>
      <c r="B23" t="s">
        <v>1483</v>
      </c>
      <c r="C23" t="s">
        <v>2668</v>
      </c>
      <c r="D23" t="s">
        <v>159</v>
      </c>
      <c r="E23" t="s">
        <v>159</v>
      </c>
      <c r="F23">
        <v>6888</v>
      </c>
      <c r="G23" t="s">
        <v>2665</v>
      </c>
      <c r="H23">
        <v>64770</v>
      </c>
      <c r="I23">
        <v>59080</v>
      </c>
      <c r="J23">
        <v>61600</v>
      </c>
      <c r="K23">
        <v>63600</v>
      </c>
      <c r="L23">
        <v>65900</v>
      </c>
      <c r="M23" t="s">
        <v>988</v>
      </c>
    </row>
    <row r="24" spans="1:13" x14ac:dyDescent="0.3">
      <c r="A24">
        <v>909</v>
      </c>
      <c r="B24" t="s">
        <v>2152</v>
      </c>
      <c r="C24" t="s">
        <v>2668</v>
      </c>
      <c r="D24" t="s">
        <v>1203</v>
      </c>
      <c r="E24" t="s">
        <v>1204</v>
      </c>
      <c r="F24">
        <v>5754</v>
      </c>
      <c r="G24" t="s">
        <v>2665</v>
      </c>
      <c r="H24">
        <v>9418</v>
      </c>
      <c r="I24">
        <v>9497</v>
      </c>
      <c r="J24">
        <v>9578</v>
      </c>
      <c r="K24">
        <v>9661</v>
      </c>
      <c r="L24">
        <v>9744</v>
      </c>
      <c r="M24" t="s">
        <v>988</v>
      </c>
    </row>
    <row r="25" spans="1:13" x14ac:dyDescent="0.3">
      <c r="A25">
        <v>909</v>
      </c>
      <c r="B25" t="s">
        <v>2152</v>
      </c>
      <c r="C25" t="s">
        <v>2668</v>
      </c>
      <c r="D25" t="s">
        <v>1203</v>
      </c>
      <c r="E25" t="s">
        <v>1204</v>
      </c>
      <c r="F25">
        <v>5754</v>
      </c>
      <c r="G25" t="s">
        <v>2664</v>
      </c>
      <c r="H25">
        <v>11773</v>
      </c>
      <c r="I25">
        <v>11773</v>
      </c>
      <c r="J25">
        <v>11773</v>
      </c>
      <c r="K25">
        <v>11773</v>
      </c>
      <c r="L25">
        <v>11773</v>
      </c>
      <c r="M25" t="s">
        <v>988</v>
      </c>
    </row>
    <row r="26" spans="1:13" x14ac:dyDescent="0.3">
      <c r="A26">
        <v>1144</v>
      </c>
      <c r="B26" t="s">
        <v>1581</v>
      </c>
      <c r="C26" t="s">
        <v>2668</v>
      </c>
      <c r="D26" t="s">
        <v>1203</v>
      </c>
      <c r="E26" t="s">
        <v>1204</v>
      </c>
      <c r="F26">
        <v>6619</v>
      </c>
      <c r="G26" t="s">
        <v>2665</v>
      </c>
      <c r="H26">
        <v>64.446644849999998</v>
      </c>
      <c r="I26">
        <v>64.446644849999998</v>
      </c>
      <c r="J26">
        <v>64.446644849999998</v>
      </c>
      <c r="K26">
        <v>64.446644849999998</v>
      </c>
      <c r="L26">
        <v>64.446644849999998</v>
      </c>
      <c r="M26" t="s">
        <v>988</v>
      </c>
    </row>
    <row r="27" spans="1:13" x14ac:dyDescent="0.3">
      <c r="A27">
        <v>1144</v>
      </c>
      <c r="B27" t="s">
        <v>1581</v>
      </c>
      <c r="C27" t="s">
        <v>2668</v>
      </c>
      <c r="D27" t="s">
        <v>1203</v>
      </c>
      <c r="E27" t="s">
        <v>1204</v>
      </c>
      <c r="F27">
        <v>6619</v>
      </c>
      <c r="G27" t="s">
        <v>2664</v>
      </c>
      <c r="H27">
        <v>52.171093450000001</v>
      </c>
      <c r="I27">
        <v>52.171093450000001</v>
      </c>
      <c r="J27">
        <v>52.171093450000001</v>
      </c>
      <c r="K27">
        <v>52.171093450000001</v>
      </c>
      <c r="L27">
        <v>52.171093450000001</v>
      </c>
      <c r="M27" t="s">
        <v>988</v>
      </c>
    </row>
    <row r="28" spans="1:13" x14ac:dyDescent="0.3">
      <c r="A28">
        <v>1209</v>
      </c>
      <c r="B28" t="s">
        <v>2160</v>
      </c>
      <c r="C28" t="s">
        <v>2668</v>
      </c>
      <c r="D28" t="s">
        <v>1203</v>
      </c>
      <c r="E28" t="s">
        <v>1204</v>
      </c>
      <c r="F28">
        <v>5873</v>
      </c>
      <c r="G28" t="s">
        <v>2664</v>
      </c>
      <c r="H28">
        <v>84000</v>
      </c>
      <c r="I28">
        <v>84000</v>
      </c>
      <c r="J28">
        <v>84000</v>
      </c>
      <c r="K28">
        <v>84000</v>
      </c>
      <c r="M28" t="s">
        <v>988</v>
      </c>
    </row>
    <row r="29" spans="1:13" x14ac:dyDescent="0.3">
      <c r="A29">
        <v>1209</v>
      </c>
      <c r="B29" t="s">
        <v>2160</v>
      </c>
      <c r="C29" t="s">
        <v>2668</v>
      </c>
      <c r="D29" t="s">
        <v>1203</v>
      </c>
      <c r="E29" t="s">
        <v>1204</v>
      </c>
      <c r="F29">
        <v>5873</v>
      </c>
      <c r="G29" t="s">
        <v>2665</v>
      </c>
      <c r="H29">
        <v>10083</v>
      </c>
      <c r="I29">
        <v>10413</v>
      </c>
      <c r="J29">
        <v>10751</v>
      </c>
      <c r="K29">
        <v>11099</v>
      </c>
      <c r="M29" t="s">
        <v>988</v>
      </c>
    </row>
    <row r="30" spans="1:13" x14ac:dyDescent="0.3">
      <c r="A30">
        <v>1239</v>
      </c>
      <c r="B30" t="s">
        <v>2169</v>
      </c>
      <c r="C30" t="s">
        <v>2668</v>
      </c>
      <c r="D30" t="s">
        <v>159</v>
      </c>
      <c r="E30" t="s">
        <v>159</v>
      </c>
      <c r="F30">
        <v>6849</v>
      </c>
      <c r="G30" t="s">
        <v>2665</v>
      </c>
      <c r="H30">
        <v>118899</v>
      </c>
      <c r="I30">
        <v>123938</v>
      </c>
      <c r="J30">
        <v>128009</v>
      </c>
      <c r="K30">
        <v>133007</v>
      </c>
      <c r="L30">
        <v>133571</v>
      </c>
      <c r="M30" t="s">
        <v>988</v>
      </c>
    </row>
    <row r="31" spans="1:13" x14ac:dyDescent="0.3">
      <c r="A31">
        <v>1239</v>
      </c>
      <c r="B31" t="s">
        <v>2169</v>
      </c>
      <c r="C31" t="s">
        <v>2668</v>
      </c>
      <c r="D31" t="s">
        <v>159</v>
      </c>
      <c r="E31" t="s">
        <v>159</v>
      </c>
      <c r="F31">
        <v>6849</v>
      </c>
      <c r="G31" t="s">
        <v>2664</v>
      </c>
      <c r="H31">
        <v>153329</v>
      </c>
      <c r="I31">
        <v>156462</v>
      </c>
      <c r="J31">
        <v>157397</v>
      </c>
      <c r="K31">
        <v>160091</v>
      </c>
      <c r="L31">
        <v>160091</v>
      </c>
      <c r="M31" t="s">
        <v>988</v>
      </c>
    </row>
    <row r="32" spans="1:13" x14ac:dyDescent="0.3">
      <c r="A32">
        <v>1288</v>
      </c>
      <c r="B32" t="s">
        <v>908</v>
      </c>
      <c r="C32" t="s">
        <v>2668</v>
      </c>
      <c r="D32" t="s">
        <v>159</v>
      </c>
      <c r="E32" t="s">
        <v>159</v>
      </c>
      <c r="F32">
        <v>5581</v>
      </c>
      <c r="G32" t="s">
        <v>2664</v>
      </c>
      <c r="H32">
        <v>83792</v>
      </c>
      <c r="I32">
        <v>83792</v>
      </c>
      <c r="J32">
        <v>83792</v>
      </c>
      <c r="K32">
        <v>83792</v>
      </c>
      <c r="L32">
        <v>83792</v>
      </c>
      <c r="M32" t="s">
        <v>988</v>
      </c>
    </row>
    <row r="33" spans="1:13" x14ac:dyDescent="0.3">
      <c r="A33">
        <v>1288</v>
      </c>
      <c r="B33" t="s">
        <v>908</v>
      </c>
      <c r="C33" t="s">
        <v>2668</v>
      </c>
      <c r="D33" t="s">
        <v>159</v>
      </c>
      <c r="E33" t="s">
        <v>159</v>
      </c>
      <c r="F33">
        <v>5581</v>
      </c>
      <c r="G33" t="s">
        <v>2665</v>
      </c>
      <c r="H33">
        <v>62575</v>
      </c>
      <c r="I33">
        <v>64075</v>
      </c>
      <c r="J33">
        <v>65600</v>
      </c>
      <c r="K33">
        <v>65600</v>
      </c>
      <c r="L33">
        <v>65600</v>
      </c>
      <c r="M33" t="s">
        <v>988</v>
      </c>
    </row>
    <row r="34" spans="1:13" x14ac:dyDescent="0.3">
      <c r="A34">
        <v>1599</v>
      </c>
      <c r="B34" t="s">
        <v>955</v>
      </c>
      <c r="C34" t="s">
        <v>2668</v>
      </c>
      <c r="D34" t="s">
        <v>159</v>
      </c>
      <c r="E34" t="s">
        <v>159</v>
      </c>
      <c r="F34">
        <v>5421</v>
      </c>
      <c r="G34" t="s">
        <v>2665</v>
      </c>
      <c r="H34">
        <v>1544000</v>
      </c>
      <c r="I34">
        <v>1500000</v>
      </c>
      <c r="J34">
        <v>1473000</v>
      </c>
      <c r="K34">
        <v>1496000</v>
      </c>
      <c r="L34">
        <v>1525000</v>
      </c>
      <c r="M34" t="s">
        <v>988</v>
      </c>
    </row>
    <row r="35" spans="1:13" x14ac:dyDescent="0.3">
      <c r="A35">
        <v>1599</v>
      </c>
      <c r="B35" t="s">
        <v>955</v>
      </c>
      <c r="C35" t="s">
        <v>2668</v>
      </c>
      <c r="D35" t="s">
        <v>159</v>
      </c>
      <c r="E35" t="s">
        <v>159</v>
      </c>
      <c r="F35">
        <v>5421</v>
      </c>
      <c r="G35" t="s">
        <v>2664</v>
      </c>
      <c r="H35">
        <v>2772000</v>
      </c>
      <c r="I35">
        <v>2761000</v>
      </c>
      <c r="J35">
        <v>2760000</v>
      </c>
      <c r="K35">
        <v>2760000</v>
      </c>
      <c r="L35">
        <v>2757000</v>
      </c>
      <c r="M35" t="s">
        <v>988</v>
      </c>
    </row>
    <row r="36" spans="1:13" x14ac:dyDescent="0.3">
      <c r="A36">
        <v>1632</v>
      </c>
      <c r="B36" t="s">
        <v>2173</v>
      </c>
      <c r="C36" t="s">
        <v>2668</v>
      </c>
      <c r="D36" t="s">
        <v>1203</v>
      </c>
      <c r="E36" t="s">
        <v>1204</v>
      </c>
      <c r="F36">
        <v>5632</v>
      </c>
      <c r="G36" t="s">
        <v>2664</v>
      </c>
      <c r="H36">
        <v>14933</v>
      </c>
      <c r="I36">
        <v>17067</v>
      </c>
      <c r="J36">
        <v>19200</v>
      </c>
      <c r="K36">
        <v>21333</v>
      </c>
      <c r="L36">
        <v>23467</v>
      </c>
      <c r="M36" t="s">
        <v>988</v>
      </c>
    </row>
    <row r="37" spans="1:13" x14ac:dyDescent="0.3">
      <c r="A37">
        <v>1632</v>
      </c>
      <c r="B37" t="s">
        <v>2173</v>
      </c>
      <c r="C37" t="s">
        <v>2668</v>
      </c>
      <c r="D37" t="s">
        <v>1203</v>
      </c>
      <c r="E37" t="s">
        <v>1204</v>
      </c>
      <c r="F37">
        <v>5632</v>
      </c>
      <c r="G37" t="s">
        <v>2665</v>
      </c>
      <c r="H37">
        <v>14933</v>
      </c>
      <c r="I37">
        <v>17067</v>
      </c>
      <c r="J37">
        <v>19200</v>
      </c>
      <c r="K37">
        <v>21333</v>
      </c>
      <c r="L37">
        <v>23467</v>
      </c>
      <c r="M37" t="s">
        <v>988</v>
      </c>
    </row>
    <row r="38" spans="1:13" x14ac:dyDescent="0.3">
      <c r="A38">
        <v>1635</v>
      </c>
      <c r="B38" t="s">
        <v>829</v>
      </c>
      <c r="C38" t="s">
        <v>2668</v>
      </c>
      <c r="D38" t="s">
        <v>159</v>
      </c>
      <c r="E38" t="s">
        <v>159</v>
      </c>
      <c r="F38">
        <v>7838</v>
      </c>
      <c r="G38" t="s">
        <v>2664</v>
      </c>
      <c r="H38">
        <v>130800</v>
      </c>
      <c r="I38">
        <v>135300</v>
      </c>
      <c r="J38">
        <v>137700</v>
      </c>
      <c r="K38">
        <v>140200</v>
      </c>
      <c r="L38">
        <v>142900</v>
      </c>
      <c r="M38" t="s">
        <v>988</v>
      </c>
    </row>
    <row r="39" spans="1:13" x14ac:dyDescent="0.3">
      <c r="A39">
        <v>1635</v>
      </c>
      <c r="B39" t="s">
        <v>829</v>
      </c>
      <c r="C39" t="s">
        <v>2668</v>
      </c>
      <c r="D39" t="s">
        <v>159</v>
      </c>
      <c r="E39" t="s">
        <v>159</v>
      </c>
      <c r="F39">
        <v>7838</v>
      </c>
      <c r="G39" t="s">
        <v>2665</v>
      </c>
      <c r="H39">
        <v>130800</v>
      </c>
      <c r="I39">
        <v>135300</v>
      </c>
      <c r="J39">
        <v>137700</v>
      </c>
      <c r="K39">
        <v>140200</v>
      </c>
      <c r="L39">
        <v>142900</v>
      </c>
      <c r="M39" t="s">
        <v>988</v>
      </c>
    </row>
    <row r="40" spans="1:13" x14ac:dyDescent="0.3">
      <c r="A40">
        <v>1642</v>
      </c>
      <c r="B40" t="s">
        <v>1720</v>
      </c>
      <c r="C40" t="s">
        <v>2668</v>
      </c>
      <c r="D40" t="s">
        <v>1203</v>
      </c>
      <c r="E40" t="s">
        <v>1204</v>
      </c>
      <c r="F40">
        <v>5531</v>
      </c>
      <c r="G40" t="s">
        <v>2664</v>
      </c>
      <c r="H40">
        <v>7378</v>
      </c>
      <c r="I40">
        <v>7378</v>
      </c>
      <c r="J40">
        <v>7378</v>
      </c>
      <c r="K40">
        <v>7378</v>
      </c>
      <c r="L40">
        <v>7378</v>
      </c>
      <c r="M40" t="s">
        <v>988</v>
      </c>
    </row>
    <row r="41" spans="1:13" x14ac:dyDescent="0.3">
      <c r="A41">
        <v>1642</v>
      </c>
      <c r="B41" t="s">
        <v>1720</v>
      </c>
      <c r="C41" t="s">
        <v>2668</v>
      </c>
      <c r="D41" t="s">
        <v>1203</v>
      </c>
      <c r="E41" t="s">
        <v>1204</v>
      </c>
      <c r="F41">
        <v>5531</v>
      </c>
      <c r="G41" t="s">
        <v>2665</v>
      </c>
      <c r="H41">
        <v>7378</v>
      </c>
      <c r="I41">
        <v>7378</v>
      </c>
      <c r="J41">
        <v>7378</v>
      </c>
      <c r="K41">
        <v>7378</v>
      </c>
      <c r="L41">
        <v>7378</v>
      </c>
      <c r="M41" t="s">
        <v>988</v>
      </c>
    </row>
    <row r="42" spans="1:13" x14ac:dyDescent="0.3">
      <c r="A42">
        <v>1684</v>
      </c>
      <c r="B42" t="s">
        <v>2176</v>
      </c>
      <c r="C42" t="s">
        <v>2668</v>
      </c>
      <c r="D42" t="s">
        <v>159</v>
      </c>
      <c r="E42" t="s">
        <v>159</v>
      </c>
      <c r="F42">
        <v>5423</v>
      </c>
      <c r="G42" t="s">
        <v>2664</v>
      </c>
      <c r="H42">
        <v>182545</v>
      </c>
      <c r="I42">
        <v>183425</v>
      </c>
      <c r="J42">
        <v>186530</v>
      </c>
      <c r="K42">
        <v>186110</v>
      </c>
      <c r="L42">
        <v>185806</v>
      </c>
      <c r="M42" t="s">
        <v>988</v>
      </c>
    </row>
    <row r="43" spans="1:13" x14ac:dyDescent="0.3">
      <c r="A43">
        <v>1684</v>
      </c>
      <c r="B43" t="s">
        <v>2176</v>
      </c>
      <c r="C43" t="s">
        <v>2668</v>
      </c>
      <c r="D43" t="s">
        <v>159</v>
      </c>
      <c r="E43" t="s">
        <v>159</v>
      </c>
      <c r="F43">
        <v>5423</v>
      </c>
      <c r="G43" t="s">
        <v>2665</v>
      </c>
      <c r="H43">
        <v>182545</v>
      </c>
      <c r="I43">
        <v>183425</v>
      </c>
      <c r="J43">
        <v>186530</v>
      </c>
      <c r="K43">
        <v>186110</v>
      </c>
      <c r="L43">
        <v>185806</v>
      </c>
      <c r="M43" t="s">
        <v>988</v>
      </c>
    </row>
    <row r="44" spans="1:13" x14ac:dyDescent="0.3">
      <c r="A44">
        <v>1927</v>
      </c>
      <c r="B44" t="s">
        <v>771</v>
      </c>
      <c r="C44" t="s">
        <v>2668</v>
      </c>
      <c r="D44" t="s">
        <v>1203</v>
      </c>
      <c r="E44" t="s">
        <v>1204</v>
      </c>
      <c r="F44">
        <v>6885</v>
      </c>
      <c r="G44" t="s">
        <v>2664</v>
      </c>
      <c r="H44">
        <v>185550</v>
      </c>
      <c r="I44">
        <v>207550</v>
      </c>
      <c r="J44">
        <v>210050</v>
      </c>
      <c r="K44">
        <v>213050</v>
      </c>
      <c r="M44" t="s">
        <v>988</v>
      </c>
    </row>
    <row r="45" spans="1:13" x14ac:dyDescent="0.3">
      <c r="A45">
        <v>1927</v>
      </c>
      <c r="B45" t="s">
        <v>771</v>
      </c>
      <c r="C45" t="s">
        <v>2668</v>
      </c>
      <c r="D45" t="s">
        <v>1203</v>
      </c>
      <c r="E45" t="s">
        <v>1204</v>
      </c>
      <c r="F45">
        <v>6885</v>
      </c>
      <c r="G45" t="s">
        <v>2665</v>
      </c>
      <c r="H45">
        <v>141078</v>
      </c>
      <c r="I45">
        <v>148926</v>
      </c>
      <c r="J45">
        <v>160380</v>
      </c>
      <c r="K45">
        <v>188488</v>
      </c>
      <c r="M45" t="s">
        <v>988</v>
      </c>
    </row>
    <row r="46" spans="1:13" x14ac:dyDescent="0.3">
      <c r="A46">
        <v>1954</v>
      </c>
      <c r="B46" t="s">
        <v>2180</v>
      </c>
      <c r="C46" t="s">
        <v>2668</v>
      </c>
      <c r="D46" t="s">
        <v>1203</v>
      </c>
      <c r="E46" t="s">
        <v>1204</v>
      </c>
      <c r="F46">
        <v>5648</v>
      </c>
      <c r="G46" t="s">
        <v>2664</v>
      </c>
      <c r="H46">
        <v>6983</v>
      </c>
      <c r="I46">
        <v>6453</v>
      </c>
      <c r="J46">
        <v>5924</v>
      </c>
      <c r="K46">
        <v>5394</v>
      </c>
      <c r="L46">
        <v>4936</v>
      </c>
      <c r="M46" t="s">
        <v>988</v>
      </c>
    </row>
    <row r="47" spans="1:13" x14ac:dyDescent="0.3">
      <c r="A47">
        <v>1954</v>
      </c>
      <c r="B47" t="s">
        <v>2180</v>
      </c>
      <c r="C47" t="s">
        <v>2668</v>
      </c>
      <c r="D47" t="s">
        <v>1203</v>
      </c>
      <c r="E47" t="s">
        <v>1204</v>
      </c>
      <c r="F47">
        <v>5648</v>
      </c>
      <c r="G47" t="s">
        <v>2665</v>
      </c>
      <c r="H47">
        <v>4494</v>
      </c>
      <c r="I47">
        <v>4843</v>
      </c>
      <c r="J47">
        <v>5223</v>
      </c>
      <c r="K47">
        <v>5631</v>
      </c>
      <c r="L47">
        <v>5946</v>
      </c>
      <c r="M47" t="s">
        <v>988</v>
      </c>
    </row>
    <row r="48" spans="1:13" x14ac:dyDescent="0.3">
      <c r="A48">
        <v>2083</v>
      </c>
      <c r="B48" t="s">
        <v>1854</v>
      </c>
      <c r="C48" t="s">
        <v>2668</v>
      </c>
      <c r="D48" t="s">
        <v>1203</v>
      </c>
      <c r="E48" t="s">
        <v>1204</v>
      </c>
      <c r="F48">
        <v>5706</v>
      </c>
      <c r="G48" t="s">
        <v>2664</v>
      </c>
      <c r="H48">
        <v>3000</v>
      </c>
      <c r="I48">
        <v>3000</v>
      </c>
      <c r="J48">
        <v>3000</v>
      </c>
      <c r="K48">
        <v>3000</v>
      </c>
      <c r="L48">
        <v>3000</v>
      </c>
      <c r="M48" t="s">
        <v>988</v>
      </c>
    </row>
    <row r="49" spans="1:13" x14ac:dyDescent="0.3">
      <c r="A49">
        <v>2083</v>
      </c>
      <c r="B49" t="s">
        <v>1854</v>
      </c>
      <c r="C49" t="s">
        <v>2668</v>
      </c>
      <c r="D49" t="s">
        <v>1203</v>
      </c>
      <c r="E49" t="s">
        <v>1204</v>
      </c>
      <c r="F49">
        <v>5706</v>
      </c>
      <c r="G49" t="s">
        <v>2665</v>
      </c>
      <c r="H49">
        <v>3000</v>
      </c>
      <c r="I49">
        <v>3000</v>
      </c>
      <c r="J49">
        <v>3000</v>
      </c>
      <c r="K49">
        <v>3000</v>
      </c>
      <c r="L49">
        <v>3000</v>
      </c>
      <c r="M49" t="s">
        <v>988</v>
      </c>
    </row>
    <row r="50" spans="1:13" x14ac:dyDescent="0.3">
      <c r="A50">
        <v>2130</v>
      </c>
      <c r="B50" t="s">
        <v>1879</v>
      </c>
      <c r="C50" t="s">
        <v>2668</v>
      </c>
      <c r="D50" t="s">
        <v>159</v>
      </c>
      <c r="E50" t="s">
        <v>159</v>
      </c>
      <c r="F50">
        <v>6776</v>
      </c>
      <c r="G50" t="s">
        <v>2665</v>
      </c>
      <c r="H50">
        <v>28406</v>
      </c>
      <c r="I50">
        <v>53135</v>
      </c>
      <c r="J50">
        <v>75098</v>
      </c>
      <c r="K50">
        <v>97060</v>
      </c>
      <c r="L50">
        <v>97060</v>
      </c>
      <c r="M50" t="s">
        <v>988</v>
      </c>
    </row>
    <row r="51" spans="1:13" x14ac:dyDescent="0.3">
      <c r="A51">
        <v>2130</v>
      </c>
      <c r="B51" t="s">
        <v>1879</v>
      </c>
      <c r="C51" t="s">
        <v>2668</v>
      </c>
      <c r="D51" t="s">
        <v>159</v>
      </c>
      <c r="E51" t="s">
        <v>159</v>
      </c>
      <c r="F51">
        <v>6776</v>
      </c>
      <c r="G51" t="s">
        <v>2664</v>
      </c>
      <c r="H51">
        <v>28406</v>
      </c>
      <c r="I51">
        <v>53135</v>
      </c>
      <c r="J51">
        <v>75098</v>
      </c>
      <c r="K51">
        <v>97060</v>
      </c>
      <c r="L51">
        <v>97060</v>
      </c>
      <c r="M51" t="s">
        <v>988</v>
      </c>
    </row>
    <row r="52" spans="1:13" x14ac:dyDescent="0.3">
      <c r="A52">
        <v>2132</v>
      </c>
      <c r="B52" t="s">
        <v>772</v>
      </c>
      <c r="C52" t="s">
        <v>2668</v>
      </c>
      <c r="D52" t="s">
        <v>1203</v>
      </c>
      <c r="E52" t="s">
        <v>1204</v>
      </c>
      <c r="F52">
        <v>5606</v>
      </c>
      <c r="G52" t="s">
        <v>2664</v>
      </c>
      <c r="H52">
        <v>2568</v>
      </c>
      <c r="I52">
        <v>2668</v>
      </c>
      <c r="J52">
        <v>2768</v>
      </c>
      <c r="K52">
        <v>2868</v>
      </c>
      <c r="L52">
        <v>3072</v>
      </c>
      <c r="M52" t="s">
        <v>988</v>
      </c>
    </row>
    <row r="53" spans="1:13" x14ac:dyDescent="0.3">
      <c r="A53">
        <v>2132</v>
      </c>
      <c r="B53" t="s">
        <v>772</v>
      </c>
      <c r="C53" t="s">
        <v>2668</v>
      </c>
      <c r="D53" t="s">
        <v>1203</v>
      </c>
      <c r="E53" t="s">
        <v>1204</v>
      </c>
      <c r="F53">
        <v>5606</v>
      </c>
      <c r="G53" t="s">
        <v>2665</v>
      </c>
      <c r="H53">
        <v>2568</v>
      </c>
      <c r="I53">
        <v>2668</v>
      </c>
      <c r="J53">
        <v>2768</v>
      </c>
      <c r="K53">
        <v>2868</v>
      </c>
      <c r="L53">
        <v>3072</v>
      </c>
      <c r="M53" t="s">
        <v>988</v>
      </c>
    </row>
    <row r="54" spans="1:13" x14ac:dyDescent="0.3">
      <c r="A54">
        <v>2146</v>
      </c>
      <c r="B54" t="s">
        <v>2194</v>
      </c>
      <c r="C54" t="s">
        <v>2668</v>
      </c>
      <c r="D54" t="s">
        <v>1203</v>
      </c>
      <c r="E54" t="s">
        <v>1204</v>
      </c>
      <c r="F54">
        <v>6101</v>
      </c>
      <c r="G54" t="s">
        <v>2664</v>
      </c>
      <c r="H54">
        <v>14571</v>
      </c>
      <c r="I54">
        <v>14571</v>
      </c>
      <c r="J54">
        <v>14571</v>
      </c>
      <c r="K54">
        <v>14571</v>
      </c>
      <c r="L54">
        <v>14571</v>
      </c>
      <c r="M54" t="s">
        <v>988</v>
      </c>
    </row>
    <row r="55" spans="1:13" x14ac:dyDescent="0.3">
      <c r="A55">
        <v>2146</v>
      </c>
      <c r="B55" t="s">
        <v>2194</v>
      </c>
      <c r="C55" t="s">
        <v>2668</v>
      </c>
      <c r="D55" t="s">
        <v>1203</v>
      </c>
      <c r="E55" t="s">
        <v>1204</v>
      </c>
      <c r="F55">
        <v>6101</v>
      </c>
      <c r="G55" t="s">
        <v>2665</v>
      </c>
      <c r="H55">
        <v>14571</v>
      </c>
      <c r="I55">
        <v>14571</v>
      </c>
      <c r="J55">
        <v>14571</v>
      </c>
      <c r="K55">
        <v>14571</v>
      </c>
      <c r="L55">
        <v>14571</v>
      </c>
      <c r="M55" t="s">
        <v>988</v>
      </c>
    </row>
    <row r="56" spans="1:13" x14ac:dyDescent="0.3">
      <c r="A56">
        <v>2149</v>
      </c>
      <c r="B56" t="s">
        <v>928</v>
      </c>
      <c r="C56" t="s">
        <v>2668</v>
      </c>
      <c r="D56" t="s">
        <v>1203</v>
      </c>
      <c r="E56" t="s">
        <v>1204</v>
      </c>
      <c r="F56">
        <v>7795</v>
      </c>
      <c r="G56" t="s">
        <v>2664</v>
      </c>
      <c r="H56">
        <v>6271</v>
      </c>
      <c r="I56">
        <v>7334</v>
      </c>
      <c r="J56">
        <v>8536</v>
      </c>
      <c r="K56">
        <v>9771</v>
      </c>
      <c r="M56" t="s">
        <v>988</v>
      </c>
    </row>
    <row r="57" spans="1:13" x14ac:dyDescent="0.3">
      <c r="A57">
        <v>2149</v>
      </c>
      <c r="B57" t="s">
        <v>928</v>
      </c>
      <c r="C57" t="s">
        <v>2668</v>
      </c>
      <c r="D57" t="s">
        <v>1203</v>
      </c>
      <c r="E57" t="s">
        <v>1204</v>
      </c>
      <c r="F57">
        <v>7795</v>
      </c>
      <c r="G57" t="s">
        <v>2665</v>
      </c>
      <c r="H57">
        <v>6271</v>
      </c>
      <c r="I57">
        <v>7334</v>
      </c>
      <c r="J57">
        <v>8536</v>
      </c>
      <c r="K57">
        <v>9771</v>
      </c>
      <c r="M57" t="s">
        <v>988</v>
      </c>
    </row>
    <row r="58" spans="1:13" x14ac:dyDescent="0.3">
      <c r="A58">
        <v>2156</v>
      </c>
      <c r="B58" t="s">
        <v>836</v>
      </c>
      <c r="C58" t="s">
        <v>2668</v>
      </c>
      <c r="D58" t="s">
        <v>1203</v>
      </c>
      <c r="E58" t="s">
        <v>1204</v>
      </c>
      <c r="F58">
        <v>5772</v>
      </c>
      <c r="G58" t="s">
        <v>2665</v>
      </c>
      <c r="H58">
        <v>15130</v>
      </c>
      <c r="I58">
        <v>15130</v>
      </c>
      <c r="J58">
        <v>15130</v>
      </c>
      <c r="K58">
        <v>45530</v>
      </c>
      <c r="L58">
        <v>45530</v>
      </c>
      <c r="M58" t="s">
        <v>988</v>
      </c>
    </row>
    <row r="59" spans="1:13" x14ac:dyDescent="0.3">
      <c r="A59">
        <v>2156</v>
      </c>
      <c r="B59" t="s">
        <v>836</v>
      </c>
      <c r="C59" t="s">
        <v>2668</v>
      </c>
      <c r="D59" t="s">
        <v>1203</v>
      </c>
      <c r="E59" t="s">
        <v>1204</v>
      </c>
      <c r="F59">
        <v>5772</v>
      </c>
      <c r="G59" t="s">
        <v>2664</v>
      </c>
      <c r="H59">
        <v>15130</v>
      </c>
      <c r="I59">
        <v>15130</v>
      </c>
      <c r="J59">
        <v>15130</v>
      </c>
      <c r="K59">
        <v>45530</v>
      </c>
      <c r="L59">
        <v>45530</v>
      </c>
      <c r="M59" t="s">
        <v>988</v>
      </c>
    </row>
    <row r="60" spans="1:13" x14ac:dyDescent="0.3">
      <c r="A60">
        <v>2160</v>
      </c>
      <c r="B60" t="s">
        <v>1904</v>
      </c>
      <c r="C60" t="s">
        <v>2668</v>
      </c>
      <c r="D60" t="s">
        <v>1203</v>
      </c>
      <c r="E60" t="s">
        <v>1204</v>
      </c>
      <c r="F60">
        <v>5474</v>
      </c>
      <c r="G60" t="s">
        <v>2664</v>
      </c>
      <c r="H60">
        <v>12709</v>
      </c>
      <c r="I60">
        <v>12758</v>
      </c>
      <c r="J60">
        <v>12799</v>
      </c>
      <c r="K60">
        <v>12840</v>
      </c>
      <c r="L60">
        <v>12868</v>
      </c>
      <c r="M60" t="s">
        <v>988</v>
      </c>
    </row>
    <row r="61" spans="1:13" x14ac:dyDescent="0.3">
      <c r="A61">
        <v>2160</v>
      </c>
      <c r="B61" t="s">
        <v>1904</v>
      </c>
      <c r="C61" t="s">
        <v>2668</v>
      </c>
      <c r="D61" t="s">
        <v>1203</v>
      </c>
      <c r="E61" t="s">
        <v>1204</v>
      </c>
      <c r="F61">
        <v>5474</v>
      </c>
      <c r="G61" t="s">
        <v>2665</v>
      </c>
      <c r="H61">
        <v>12709</v>
      </c>
      <c r="I61">
        <v>12758</v>
      </c>
      <c r="J61">
        <v>12799</v>
      </c>
      <c r="K61">
        <v>12840</v>
      </c>
      <c r="L61">
        <v>12868</v>
      </c>
      <c r="M61" t="s">
        <v>988</v>
      </c>
    </row>
    <row r="62" spans="1:13" x14ac:dyDescent="0.3">
      <c r="A62">
        <v>2161</v>
      </c>
      <c r="B62" t="s">
        <v>2205</v>
      </c>
      <c r="C62" t="s">
        <v>2668</v>
      </c>
      <c r="D62" t="s">
        <v>1203</v>
      </c>
      <c r="E62" t="s">
        <v>1204</v>
      </c>
      <c r="F62">
        <v>5711</v>
      </c>
      <c r="G62" t="s">
        <v>2665</v>
      </c>
      <c r="H62">
        <v>470475</v>
      </c>
      <c r="I62">
        <v>468679</v>
      </c>
      <c r="J62">
        <v>429635</v>
      </c>
      <c r="K62">
        <v>445258</v>
      </c>
      <c r="L62">
        <v>461419</v>
      </c>
      <c r="M62" t="s">
        <v>988</v>
      </c>
    </row>
    <row r="63" spans="1:13" x14ac:dyDescent="0.3">
      <c r="A63">
        <v>2161</v>
      </c>
      <c r="B63" t="s">
        <v>2205</v>
      </c>
      <c r="C63" t="s">
        <v>2668</v>
      </c>
      <c r="D63" t="s">
        <v>1203</v>
      </c>
      <c r="E63" t="s">
        <v>1204</v>
      </c>
      <c r="F63">
        <v>5711</v>
      </c>
      <c r="G63" t="s">
        <v>2664</v>
      </c>
      <c r="H63">
        <v>664932</v>
      </c>
      <c r="I63">
        <v>665374</v>
      </c>
      <c r="J63">
        <v>665816</v>
      </c>
      <c r="K63">
        <v>666258</v>
      </c>
      <c r="L63">
        <v>666700</v>
      </c>
      <c r="M63" t="s">
        <v>988</v>
      </c>
    </row>
    <row r="64" spans="1:13" x14ac:dyDescent="0.3">
      <c r="A64">
        <v>2164</v>
      </c>
      <c r="B64" t="s">
        <v>1909</v>
      </c>
      <c r="C64" t="s">
        <v>2668</v>
      </c>
      <c r="D64" t="s">
        <v>159</v>
      </c>
      <c r="E64" t="s">
        <v>159</v>
      </c>
      <c r="F64">
        <v>6833</v>
      </c>
      <c r="G64" t="s">
        <v>2664</v>
      </c>
      <c r="H64">
        <v>104510</v>
      </c>
      <c r="I64">
        <v>105520</v>
      </c>
      <c r="J64">
        <v>108100</v>
      </c>
      <c r="K64">
        <v>111120</v>
      </c>
      <c r="L64">
        <v>99360</v>
      </c>
      <c r="M64" t="s">
        <v>988</v>
      </c>
    </row>
    <row r="65" spans="1:13" x14ac:dyDescent="0.3">
      <c r="A65">
        <v>2164</v>
      </c>
      <c r="B65" t="s">
        <v>1909</v>
      </c>
      <c r="C65" t="s">
        <v>2668</v>
      </c>
      <c r="D65" t="s">
        <v>159</v>
      </c>
      <c r="E65" t="s">
        <v>159</v>
      </c>
      <c r="F65">
        <v>6833</v>
      </c>
      <c r="G65" t="s">
        <v>2665</v>
      </c>
      <c r="H65">
        <v>163550</v>
      </c>
      <c r="I65">
        <v>165680</v>
      </c>
      <c r="J65">
        <v>170160</v>
      </c>
      <c r="K65">
        <v>175080</v>
      </c>
      <c r="L65">
        <v>182370</v>
      </c>
      <c r="M65" t="s">
        <v>988</v>
      </c>
    </row>
    <row r="66" spans="1:13" x14ac:dyDescent="0.3">
      <c r="A66">
        <v>3994</v>
      </c>
      <c r="B66" t="s">
        <v>837</v>
      </c>
      <c r="C66" t="s">
        <v>2668</v>
      </c>
      <c r="D66" t="s">
        <v>1203</v>
      </c>
      <c r="E66" t="s">
        <v>1204</v>
      </c>
      <c r="F66">
        <v>5789</v>
      </c>
      <c r="G66" t="s">
        <v>2665</v>
      </c>
      <c r="H66">
        <v>18401</v>
      </c>
      <c r="I66">
        <v>18708</v>
      </c>
      <c r="J66">
        <v>19020</v>
      </c>
      <c r="K66">
        <v>19336</v>
      </c>
      <c r="L66">
        <v>19656</v>
      </c>
      <c r="M66" t="s">
        <v>988</v>
      </c>
    </row>
    <row r="67" spans="1:13" x14ac:dyDescent="0.3">
      <c r="A67">
        <v>3994</v>
      </c>
      <c r="B67" t="s">
        <v>837</v>
      </c>
      <c r="C67" t="s">
        <v>2668</v>
      </c>
      <c r="D67" t="s">
        <v>1203</v>
      </c>
      <c r="E67" t="s">
        <v>1204</v>
      </c>
      <c r="F67">
        <v>5789</v>
      </c>
      <c r="G67" t="s">
        <v>2664</v>
      </c>
      <c r="H67">
        <v>2016</v>
      </c>
      <c r="I67">
        <v>2016</v>
      </c>
      <c r="J67">
        <v>2016</v>
      </c>
      <c r="K67">
        <v>2016</v>
      </c>
      <c r="L67">
        <v>2016</v>
      </c>
      <c r="M67" t="s">
        <v>988</v>
      </c>
    </row>
    <row r="68" spans="1:13" x14ac:dyDescent="0.3">
      <c r="A68">
        <v>2168</v>
      </c>
      <c r="B68" t="s">
        <v>839</v>
      </c>
      <c r="C68" t="s">
        <v>2668</v>
      </c>
      <c r="D68" t="s">
        <v>1203</v>
      </c>
      <c r="E68" t="s">
        <v>1204</v>
      </c>
      <c r="F68">
        <v>5670</v>
      </c>
      <c r="G68" t="s">
        <v>2665</v>
      </c>
      <c r="H68">
        <v>30400</v>
      </c>
      <c r="I68">
        <v>32900</v>
      </c>
      <c r="J68">
        <v>35600</v>
      </c>
      <c r="K68">
        <v>38100</v>
      </c>
      <c r="L68">
        <v>40300</v>
      </c>
      <c r="M68" t="s">
        <v>988</v>
      </c>
    </row>
    <row r="69" spans="1:13" x14ac:dyDescent="0.3">
      <c r="A69">
        <v>2168</v>
      </c>
      <c r="B69" t="s">
        <v>839</v>
      </c>
      <c r="C69" t="s">
        <v>2668</v>
      </c>
      <c r="D69" t="s">
        <v>1203</v>
      </c>
      <c r="E69" t="s">
        <v>1204</v>
      </c>
      <c r="F69">
        <v>5670</v>
      </c>
      <c r="G69" t="s">
        <v>2664</v>
      </c>
      <c r="H69">
        <v>30400</v>
      </c>
      <c r="I69">
        <v>32900</v>
      </c>
      <c r="J69">
        <v>35600</v>
      </c>
      <c r="K69">
        <v>38100</v>
      </c>
      <c r="L69">
        <v>40300</v>
      </c>
      <c r="M69" t="s">
        <v>988</v>
      </c>
    </row>
    <row r="70" spans="1:13" x14ac:dyDescent="0.3">
      <c r="A70">
        <v>2179</v>
      </c>
      <c r="B70" t="s">
        <v>774</v>
      </c>
      <c r="C70" t="s">
        <v>2668</v>
      </c>
      <c r="D70" t="s">
        <v>1203</v>
      </c>
      <c r="E70" t="s">
        <v>1204</v>
      </c>
      <c r="F70">
        <v>5657</v>
      </c>
      <c r="G70" t="s">
        <v>2664</v>
      </c>
      <c r="H70">
        <v>46500</v>
      </c>
      <c r="I70">
        <v>46500</v>
      </c>
      <c r="J70">
        <v>46500</v>
      </c>
      <c r="K70">
        <v>46500</v>
      </c>
      <c r="L70">
        <v>46500</v>
      </c>
      <c r="M70" t="s">
        <v>988</v>
      </c>
    </row>
    <row r="71" spans="1:13" x14ac:dyDescent="0.3">
      <c r="A71">
        <v>2179</v>
      </c>
      <c r="B71" t="s">
        <v>774</v>
      </c>
      <c r="C71" t="s">
        <v>2668</v>
      </c>
      <c r="D71" t="s">
        <v>1203</v>
      </c>
      <c r="E71" t="s">
        <v>1204</v>
      </c>
      <c r="F71">
        <v>5657</v>
      </c>
      <c r="G71" t="s">
        <v>2665</v>
      </c>
      <c r="H71">
        <v>41585</v>
      </c>
      <c r="I71">
        <v>42110</v>
      </c>
      <c r="J71">
        <v>41795</v>
      </c>
      <c r="K71">
        <v>42530</v>
      </c>
      <c r="L71">
        <v>43160</v>
      </c>
      <c r="M71" t="s">
        <v>988</v>
      </c>
    </row>
    <row r="72" spans="1:13" x14ac:dyDescent="0.3">
      <c r="A72">
        <v>2184</v>
      </c>
      <c r="B72" t="s">
        <v>935</v>
      </c>
      <c r="C72" t="s">
        <v>2668</v>
      </c>
      <c r="D72" t="s">
        <v>1203</v>
      </c>
      <c r="E72" t="s">
        <v>1204</v>
      </c>
      <c r="F72">
        <v>6523</v>
      </c>
      <c r="G72" t="s">
        <v>2664</v>
      </c>
      <c r="H72">
        <v>7877</v>
      </c>
      <c r="I72">
        <v>7877</v>
      </c>
      <c r="J72">
        <v>7877</v>
      </c>
      <c r="K72">
        <v>7877</v>
      </c>
      <c r="L72">
        <v>7877</v>
      </c>
      <c r="M72" t="s">
        <v>988</v>
      </c>
    </row>
    <row r="73" spans="1:13" x14ac:dyDescent="0.3">
      <c r="A73">
        <v>2184</v>
      </c>
      <c r="B73" t="s">
        <v>935</v>
      </c>
      <c r="C73" t="s">
        <v>2668</v>
      </c>
      <c r="D73" t="s">
        <v>1203</v>
      </c>
      <c r="E73" t="s">
        <v>1204</v>
      </c>
      <c r="F73">
        <v>6523</v>
      </c>
      <c r="G73" t="s">
        <v>2665</v>
      </c>
      <c r="H73">
        <v>7877</v>
      </c>
      <c r="I73">
        <v>7877</v>
      </c>
      <c r="J73">
        <v>7877</v>
      </c>
      <c r="K73">
        <v>7877</v>
      </c>
      <c r="L73">
        <v>7877</v>
      </c>
      <c r="M73" t="s">
        <v>988</v>
      </c>
    </row>
    <row r="74" spans="1:13" x14ac:dyDescent="0.3">
      <c r="A74">
        <v>2211</v>
      </c>
      <c r="B74" t="s">
        <v>811</v>
      </c>
      <c r="C74" t="s">
        <v>2668</v>
      </c>
      <c r="D74" t="s">
        <v>159</v>
      </c>
      <c r="E74" t="s">
        <v>159</v>
      </c>
      <c r="F74">
        <v>5461</v>
      </c>
      <c r="G74" t="s">
        <v>2664</v>
      </c>
      <c r="H74">
        <v>355000</v>
      </c>
      <c r="I74">
        <v>373000</v>
      </c>
      <c r="J74">
        <v>497000</v>
      </c>
      <c r="K74">
        <v>503000</v>
      </c>
      <c r="L74">
        <v>505000</v>
      </c>
      <c r="M74" t="s">
        <v>988</v>
      </c>
    </row>
    <row r="75" spans="1:13" x14ac:dyDescent="0.3">
      <c r="A75">
        <v>2211</v>
      </c>
      <c r="B75" t="s">
        <v>811</v>
      </c>
      <c r="C75" t="s">
        <v>2668</v>
      </c>
      <c r="D75" t="s">
        <v>159</v>
      </c>
      <c r="E75" t="s">
        <v>159</v>
      </c>
      <c r="F75">
        <v>5461</v>
      </c>
      <c r="G75" t="s">
        <v>2665</v>
      </c>
      <c r="H75">
        <v>330000</v>
      </c>
      <c r="I75">
        <v>325000</v>
      </c>
      <c r="J75">
        <v>330000</v>
      </c>
      <c r="K75">
        <v>335000</v>
      </c>
      <c r="L75">
        <v>345000</v>
      </c>
      <c r="M75" t="s">
        <v>988</v>
      </c>
    </row>
    <row r="76" spans="1:13" x14ac:dyDescent="0.3">
      <c r="A76">
        <v>2328</v>
      </c>
      <c r="B76" t="s">
        <v>2217</v>
      </c>
      <c r="C76" t="s">
        <v>2668</v>
      </c>
      <c r="D76" t="s">
        <v>1203</v>
      </c>
      <c r="E76" t="s">
        <v>1204</v>
      </c>
      <c r="F76">
        <v>5466</v>
      </c>
      <c r="G76" t="s">
        <v>2664</v>
      </c>
      <c r="H76">
        <v>65020</v>
      </c>
      <c r="I76">
        <v>58168</v>
      </c>
      <c r="J76">
        <v>58897</v>
      </c>
      <c r="K76">
        <v>59789</v>
      </c>
      <c r="L76">
        <v>60656</v>
      </c>
      <c r="M76" t="s">
        <v>988</v>
      </c>
    </row>
    <row r="77" spans="1:13" x14ac:dyDescent="0.3">
      <c r="A77">
        <v>2328</v>
      </c>
      <c r="B77" t="s">
        <v>2217</v>
      </c>
      <c r="C77" t="s">
        <v>2668</v>
      </c>
      <c r="D77" t="s">
        <v>1203</v>
      </c>
      <c r="E77" t="s">
        <v>1204</v>
      </c>
      <c r="F77">
        <v>5466</v>
      </c>
      <c r="G77" t="s">
        <v>2665</v>
      </c>
      <c r="H77">
        <v>65020</v>
      </c>
      <c r="I77">
        <v>69177</v>
      </c>
      <c r="J77">
        <v>70725</v>
      </c>
      <c r="K77">
        <v>72588</v>
      </c>
      <c r="L77">
        <v>74547</v>
      </c>
      <c r="M77" t="s">
        <v>988</v>
      </c>
    </row>
    <row r="78" spans="1:13" x14ac:dyDescent="0.3">
      <c r="A78">
        <v>2346</v>
      </c>
      <c r="B78" t="s">
        <v>2220</v>
      </c>
      <c r="C78" t="s">
        <v>2668</v>
      </c>
      <c r="D78" t="s">
        <v>159</v>
      </c>
      <c r="E78" t="s">
        <v>159</v>
      </c>
      <c r="F78">
        <v>7918</v>
      </c>
      <c r="G78" t="s">
        <v>2665</v>
      </c>
      <c r="H78">
        <v>31522</v>
      </c>
      <c r="I78">
        <v>31522</v>
      </c>
      <c r="J78">
        <v>31522</v>
      </c>
      <c r="K78">
        <v>43090</v>
      </c>
      <c r="L78">
        <v>43090</v>
      </c>
      <c r="M78" t="s">
        <v>988</v>
      </c>
    </row>
    <row r="79" spans="1:13" x14ac:dyDescent="0.3">
      <c r="A79">
        <v>2346</v>
      </c>
      <c r="B79" t="s">
        <v>2220</v>
      </c>
      <c r="C79" t="s">
        <v>2668</v>
      </c>
      <c r="D79" t="s">
        <v>159</v>
      </c>
      <c r="E79" t="s">
        <v>159</v>
      </c>
      <c r="F79">
        <v>7918</v>
      </c>
      <c r="G79" t="s">
        <v>2664</v>
      </c>
      <c r="H79">
        <v>26448.25</v>
      </c>
      <c r="I79">
        <v>28961.5</v>
      </c>
      <c r="J79">
        <v>31474.75</v>
      </c>
      <c r="K79">
        <v>33988</v>
      </c>
      <c r="L79">
        <v>36501.25</v>
      </c>
      <c r="M79" t="s">
        <v>988</v>
      </c>
    </row>
    <row r="80" spans="1:13" x14ac:dyDescent="0.3">
      <c r="A80">
        <v>2382</v>
      </c>
      <c r="B80" t="s">
        <v>912</v>
      </c>
      <c r="C80" t="s">
        <v>2668</v>
      </c>
      <c r="D80" t="s">
        <v>1203</v>
      </c>
      <c r="E80" t="s">
        <v>1204</v>
      </c>
      <c r="F80">
        <v>5810</v>
      </c>
      <c r="G80" t="s">
        <v>2665</v>
      </c>
      <c r="H80">
        <v>68404</v>
      </c>
      <c r="I80">
        <v>71493</v>
      </c>
      <c r="J80">
        <v>0</v>
      </c>
      <c r="K80">
        <v>0</v>
      </c>
      <c r="L80">
        <v>0</v>
      </c>
      <c r="M80" t="s">
        <v>988</v>
      </c>
    </row>
    <row r="81" spans="1:13" x14ac:dyDescent="0.3">
      <c r="A81">
        <v>2382</v>
      </c>
      <c r="B81" t="s">
        <v>912</v>
      </c>
      <c r="C81" t="s">
        <v>2668</v>
      </c>
      <c r="D81" t="s">
        <v>1203</v>
      </c>
      <c r="E81" t="s">
        <v>1204</v>
      </c>
      <c r="F81">
        <v>5810</v>
      </c>
      <c r="G81" t="s">
        <v>2664</v>
      </c>
      <c r="H81">
        <v>79607</v>
      </c>
      <c r="I81">
        <v>85567</v>
      </c>
      <c r="J81">
        <v>92726</v>
      </c>
      <c r="K81">
        <v>99885</v>
      </c>
      <c r="L81">
        <v>107044</v>
      </c>
      <c r="M81" t="s">
        <v>988</v>
      </c>
    </row>
    <row r="82" spans="1:13" x14ac:dyDescent="0.3">
      <c r="B82" t="s">
        <v>2023</v>
      </c>
      <c r="C82" t="s">
        <v>2668</v>
      </c>
      <c r="D82" t="s">
        <v>159</v>
      </c>
      <c r="E82" t="s">
        <v>159</v>
      </c>
      <c r="F82">
        <v>7910</v>
      </c>
      <c r="G82" t="s">
        <v>2665</v>
      </c>
      <c r="M82" t="s">
        <v>988</v>
      </c>
    </row>
    <row r="83" spans="1:13" x14ac:dyDescent="0.3">
      <c r="B83" t="s">
        <v>2023</v>
      </c>
      <c r="C83" t="s">
        <v>2668</v>
      </c>
      <c r="D83" t="s">
        <v>159</v>
      </c>
      <c r="E83" t="s">
        <v>159</v>
      </c>
      <c r="F83">
        <v>7910</v>
      </c>
      <c r="G83" t="s">
        <v>2664</v>
      </c>
      <c r="M83" t="s">
        <v>988</v>
      </c>
    </row>
    <row r="84" spans="1:13" x14ac:dyDescent="0.3">
      <c r="B84" t="s">
        <v>2025</v>
      </c>
      <c r="C84" t="s">
        <v>2668</v>
      </c>
      <c r="D84" t="s">
        <v>1203</v>
      </c>
      <c r="E84" t="s">
        <v>1204</v>
      </c>
      <c r="F84">
        <v>7912</v>
      </c>
      <c r="G84" t="s">
        <v>2665</v>
      </c>
      <c r="M84" t="s">
        <v>988</v>
      </c>
    </row>
    <row r="85" spans="1:13" x14ac:dyDescent="0.3">
      <c r="B85" t="s">
        <v>2025</v>
      </c>
      <c r="C85" t="s">
        <v>2668</v>
      </c>
      <c r="D85" t="s">
        <v>1203</v>
      </c>
      <c r="E85" t="s">
        <v>1204</v>
      </c>
      <c r="F85">
        <v>7912</v>
      </c>
      <c r="G85" t="s">
        <v>2664</v>
      </c>
      <c r="M85" t="s">
        <v>988</v>
      </c>
    </row>
    <row r="86" spans="1:13" x14ac:dyDescent="0.3">
      <c r="A86">
        <v>440</v>
      </c>
      <c r="B86" t="s">
        <v>2026</v>
      </c>
      <c r="C86" t="s">
        <v>2668</v>
      </c>
      <c r="D86" t="s">
        <v>159</v>
      </c>
      <c r="E86" t="s">
        <v>159</v>
      </c>
      <c r="F86">
        <v>7913</v>
      </c>
      <c r="G86" t="s">
        <v>2665</v>
      </c>
      <c r="H86">
        <v>4.5913681809800003E-2</v>
      </c>
      <c r="I86">
        <v>6.8870522714699997E-2</v>
      </c>
      <c r="J86">
        <v>9.1827363619600005E-2</v>
      </c>
      <c r="K86">
        <v>0.1147842045245</v>
      </c>
      <c r="M86" t="s">
        <v>988</v>
      </c>
    </row>
    <row r="87" spans="1:13" x14ac:dyDescent="0.3">
      <c r="A87">
        <v>440</v>
      </c>
      <c r="B87" t="s">
        <v>2026</v>
      </c>
      <c r="C87" t="s">
        <v>2668</v>
      </c>
      <c r="D87" t="s">
        <v>159</v>
      </c>
      <c r="E87" t="s">
        <v>159</v>
      </c>
      <c r="F87">
        <v>7913</v>
      </c>
      <c r="G87" t="s">
        <v>2664</v>
      </c>
      <c r="H87">
        <v>2.2956840904900001E-2</v>
      </c>
      <c r="I87">
        <v>4.5913681809800003E-2</v>
      </c>
      <c r="J87">
        <v>6.8870522714699997E-2</v>
      </c>
      <c r="K87">
        <v>9.1827363619600005E-2</v>
      </c>
      <c r="M87" t="s">
        <v>988</v>
      </c>
    </row>
    <row r="88" spans="1:13" x14ac:dyDescent="0.3">
      <c r="A88">
        <v>2473</v>
      </c>
      <c r="B88" t="s">
        <v>2228</v>
      </c>
      <c r="C88" t="s">
        <v>2668</v>
      </c>
      <c r="D88" t="s">
        <v>159</v>
      </c>
      <c r="E88" t="s">
        <v>159</v>
      </c>
      <c r="F88">
        <v>5522</v>
      </c>
      <c r="G88" t="s">
        <v>2665</v>
      </c>
      <c r="H88">
        <v>57344</v>
      </c>
      <c r="I88">
        <v>57230</v>
      </c>
      <c r="J88">
        <v>57091</v>
      </c>
      <c r="K88">
        <v>56859</v>
      </c>
      <c r="L88">
        <v>56601</v>
      </c>
      <c r="M88" t="s">
        <v>988</v>
      </c>
    </row>
    <row r="89" spans="1:13" x14ac:dyDescent="0.3">
      <c r="A89">
        <v>2473</v>
      </c>
      <c r="B89" t="s">
        <v>2228</v>
      </c>
      <c r="C89" t="s">
        <v>2668</v>
      </c>
      <c r="D89" t="s">
        <v>159</v>
      </c>
      <c r="E89" t="s">
        <v>159</v>
      </c>
      <c r="F89">
        <v>5522</v>
      </c>
      <c r="G89" t="s">
        <v>2664</v>
      </c>
      <c r="H89">
        <v>57344</v>
      </c>
      <c r="I89">
        <v>57230</v>
      </c>
      <c r="J89">
        <v>57091</v>
      </c>
      <c r="K89">
        <v>56859</v>
      </c>
      <c r="L89">
        <v>56601</v>
      </c>
      <c r="M89" t="s">
        <v>988</v>
      </c>
    </row>
    <row r="90" spans="1:13" x14ac:dyDescent="0.3">
      <c r="A90">
        <v>2510</v>
      </c>
      <c r="B90" t="s">
        <v>2035</v>
      </c>
      <c r="C90" t="s">
        <v>2668</v>
      </c>
      <c r="D90" t="s">
        <v>1203</v>
      </c>
      <c r="E90" t="s">
        <v>1204</v>
      </c>
      <c r="F90">
        <v>5942</v>
      </c>
      <c r="G90" t="s">
        <v>2664</v>
      </c>
      <c r="H90">
        <v>509</v>
      </c>
      <c r="I90">
        <v>509</v>
      </c>
      <c r="J90">
        <v>509</v>
      </c>
      <c r="K90">
        <v>509</v>
      </c>
      <c r="M90" t="s">
        <v>988</v>
      </c>
    </row>
    <row r="91" spans="1:13" x14ac:dyDescent="0.3">
      <c r="A91">
        <v>2510</v>
      </c>
      <c r="B91" t="s">
        <v>2035</v>
      </c>
      <c r="C91" t="s">
        <v>2668</v>
      </c>
      <c r="D91" t="s">
        <v>1203</v>
      </c>
      <c r="E91" t="s">
        <v>1204</v>
      </c>
      <c r="F91">
        <v>5942</v>
      </c>
      <c r="G91" t="s">
        <v>2665</v>
      </c>
      <c r="H91">
        <v>509</v>
      </c>
      <c r="I91">
        <v>509</v>
      </c>
      <c r="J91">
        <v>509</v>
      </c>
      <c r="K91">
        <v>509</v>
      </c>
      <c r="M91" t="s">
        <v>988</v>
      </c>
    </row>
    <row r="92" spans="1:13" x14ac:dyDescent="0.3">
      <c r="A92">
        <v>2540</v>
      </c>
      <c r="B92" t="s">
        <v>2230</v>
      </c>
      <c r="C92" t="s">
        <v>2668</v>
      </c>
      <c r="D92" t="s">
        <v>1203</v>
      </c>
      <c r="E92" t="s">
        <v>1204</v>
      </c>
      <c r="F92">
        <v>5605</v>
      </c>
      <c r="G92" t="s">
        <v>2665</v>
      </c>
      <c r="H92">
        <v>12755</v>
      </c>
      <c r="I92">
        <v>10894</v>
      </c>
      <c r="J92">
        <v>9033</v>
      </c>
      <c r="K92">
        <v>7265</v>
      </c>
      <c r="L92">
        <v>7265</v>
      </c>
      <c r="M92" t="s">
        <v>988</v>
      </c>
    </row>
    <row r="93" spans="1:13" x14ac:dyDescent="0.3">
      <c r="A93">
        <v>2540</v>
      </c>
      <c r="B93" t="s">
        <v>2230</v>
      </c>
      <c r="C93" t="s">
        <v>2668</v>
      </c>
      <c r="D93" t="s">
        <v>1203</v>
      </c>
      <c r="E93" t="s">
        <v>1204</v>
      </c>
      <c r="F93">
        <v>5605</v>
      </c>
      <c r="G93" t="s">
        <v>2664</v>
      </c>
      <c r="H93">
        <v>12755</v>
      </c>
      <c r="I93">
        <v>10894</v>
      </c>
      <c r="J93">
        <v>9033</v>
      </c>
      <c r="K93">
        <v>7265</v>
      </c>
      <c r="L93">
        <v>7265</v>
      </c>
      <c r="M93" t="s">
        <v>988</v>
      </c>
    </row>
    <row r="94" spans="1:13" x14ac:dyDescent="0.3">
      <c r="A94">
        <v>2543</v>
      </c>
      <c r="B94" t="s">
        <v>2234</v>
      </c>
      <c r="C94" t="s">
        <v>2668</v>
      </c>
      <c r="D94" t="s">
        <v>1203</v>
      </c>
      <c r="E94" t="s">
        <v>1204</v>
      </c>
      <c r="F94">
        <v>5649</v>
      </c>
      <c r="G94" t="s">
        <v>2664</v>
      </c>
      <c r="H94">
        <v>82489</v>
      </c>
      <c r="I94">
        <v>80345</v>
      </c>
      <c r="J94">
        <v>114945</v>
      </c>
      <c r="K94">
        <v>108280</v>
      </c>
      <c r="L94">
        <v>108280</v>
      </c>
      <c r="M94" t="s">
        <v>988</v>
      </c>
    </row>
    <row r="95" spans="1:13" x14ac:dyDescent="0.3">
      <c r="A95">
        <v>2543</v>
      </c>
      <c r="B95" t="s">
        <v>2234</v>
      </c>
      <c r="C95" t="s">
        <v>2668</v>
      </c>
      <c r="D95" t="s">
        <v>1203</v>
      </c>
      <c r="E95" t="s">
        <v>1204</v>
      </c>
      <c r="F95">
        <v>5649</v>
      </c>
      <c r="G95" t="s">
        <v>2665</v>
      </c>
      <c r="H95">
        <v>77294</v>
      </c>
      <c r="I95">
        <v>75385</v>
      </c>
      <c r="J95">
        <v>75280</v>
      </c>
      <c r="K95">
        <v>68735</v>
      </c>
      <c r="L95">
        <v>68975</v>
      </c>
      <c r="M95" t="s">
        <v>988</v>
      </c>
    </row>
    <row r="96" spans="1:13" x14ac:dyDescent="0.3">
      <c r="A96">
        <v>2667</v>
      </c>
      <c r="B96" t="s">
        <v>2237</v>
      </c>
      <c r="C96" t="s">
        <v>2668</v>
      </c>
      <c r="D96" t="s">
        <v>1203</v>
      </c>
      <c r="E96" t="s">
        <v>1204</v>
      </c>
      <c r="F96">
        <v>5591</v>
      </c>
      <c r="G96" t="s">
        <v>2664</v>
      </c>
      <c r="H96">
        <v>30086</v>
      </c>
      <c r="I96">
        <v>31408</v>
      </c>
      <c r="J96">
        <v>32819</v>
      </c>
      <c r="K96">
        <v>34187</v>
      </c>
      <c r="L96">
        <v>35612</v>
      </c>
      <c r="M96" t="s">
        <v>988</v>
      </c>
    </row>
    <row r="97" spans="1:13" x14ac:dyDescent="0.3">
      <c r="A97">
        <v>2667</v>
      </c>
      <c r="B97" t="s">
        <v>2237</v>
      </c>
      <c r="C97" t="s">
        <v>2668</v>
      </c>
      <c r="D97" t="s">
        <v>1203</v>
      </c>
      <c r="E97" t="s">
        <v>1204</v>
      </c>
      <c r="F97">
        <v>5591</v>
      </c>
      <c r="G97" t="s">
        <v>2665</v>
      </c>
      <c r="H97">
        <v>30086</v>
      </c>
      <c r="I97">
        <v>31408</v>
      </c>
      <c r="J97">
        <v>32819</v>
      </c>
      <c r="K97">
        <v>34187</v>
      </c>
      <c r="L97">
        <v>35612</v>
      </c>
      <c r="M97" t="s">
        <v>988</v>
      </c>
    </row>
    <row r="98" spans="1:13" x14ac:dyDescent="0.3">
      <c r="A98">
        <v>2675</v>
      </c>
      <c r="B98" t="s">
        <v>2241</v>
      </c>
      <c r="C98" t="s">
        <v>2668</v>
      </c>
      <c r="D98" t="s">
        <v>1203</v>
      </c>
      <c r="E98" t="s">
        <v>1204</v>
      </c>
      <c r="F98">
        <v>5784</v>
      </c>
      <c r="G98" t="s">
        <v>2664</v>
      </c>
      <c r="H98">
        <v>146190</v>
      </c>
      <c r="I98">
        <v>150160</v>
      </c>
      <c r="J98">
        <v>160450</v>
      </c>
      <c r="K98">
        <v>165660</v>
      </c>
      <c r="L98">
        <v>165760</v>
      </c>
      <c r="M98" t="s">
        <v>988</v>
      </c>
    </row>
    <row r="99" spans="1:13" x14ac:dyDescent="0.3">
      <c r="A99">
        <v>2675</v>
      </c>
      <c r="B99" t="s">
        <v>2241</v>
      </c>
      <c r="C99" t="s">
        <v>2668</v>
      </c>
      <c r="D99" t="s">
        <v>1203</v>
      </c>
      <c r="E99" t="s">
        <v>1204</v>
      </c>
      <c r="F99">
        <v>5784</v>
      </c>
      <c r="G99" t="s">
        <v>2665</v>
      </c>
      <c r="H99">
        <v>146190</v>
      </c>
      <c r="I99">
        <v>150160</v>
      </c>
      <c r="J99">
        <v>160450</v>
      </c>
      <c r="K99">
        <v>165660</v>
      </c>
      <c r="L99">
        <v>165760</v>
      </c>
      <c r="M99" t="s">
        <v>988</v>
      </c>
    </row>
    <row r="100" spans="1:13" x14ac:dyDescent="0.3">
      <c r="A100">
        <v>2697</v>
      </c>
      <c r="B100" t="s">
        <v>2092</v>
      </c>
      <c r="C100" t="s">
        <v>2668</v>
      </c>
      <c r="D100" t="s">
        <v>159</v>
      </c>
      <c r="E100" t="s">
        <v>159</v>
      </c>
      <c r="F100">
        <v>7790</v>
      </c>
      <c r="G100" t="s">
        <v>2665</v>
      </c>
      <c r="H100">
        <v>96816</v>
      </c>
      <c r="I100">
        <v>100908</v>
      </c>
      <c r="J100">
        <v>106261</v>
      </c>
      <c r="K100">
        <v>112664</v>
      </c>
      <c r="L100">
        <v>121443</v>
      </c>
      <c r="M100" t="s">
        <v>988</v>
      </c>
    </row>
    <row r="101" spans="1:13" x14ac:dyDescent="0.3">
      <c r="A101">
        <v>2697</v>
      </c>
      <c r="B101" t="s">
        <v>2092</v>
      </c>
      <c r="C101" t="s">
        <v>2668</v>
      </c>
      <c r="D101" t="s">
        <v>159</v>
      </c>
      <c r="E101" t="s">
        <v>159</v>
      </c>
      <c r="F101">
        <v>7790</v>
      </c>
      <c r="G101" t="s">
        <v>2664</v>
      </c>
      <c r="H101">
        <v>96816</v>
      </c>
      <c r="I101">
        <v>100908</v>
      </c>
      <c r="J101">
        <v>106261</v>
      </c>
      <c r="K101">
        <v>112664</v>
      </c>
      <c r="L101">
        <v>121443</v>
      </c>
      <c r="M101" t="s">
        <v>988</v>
      </c>
    </row>
    <row r="102" spans="1:13" x14ac:dyDescent="0.3">
      <c r="A102">
        <v>4811</v>
      </c>
      <c r="B102" t="s">
        <v>2249</v>
      </c>
      <c r="C102" t="s">
        <v>2668</v>
      </c>
      <c r="D102" t="s">
        <v>1203</v>
      </c>
      <c r="E102" t="s">
        <v>1204</v>
      </c>
      <c r="F102">
        <v>6866</v>
      </c>
      <c r="G102" t="s">
        <v>2665</v>
      </c>
      <c r="H102">
        <v>20024</v>
      </c>
      <c r="I102">
        <v>20269</v>
      </c>
      <c r="J102">
        <v>21095</v>
      </c>
      <c r="K102">
        <v>21921</v>
      </c>
      <c r="L102">
        <v>22747</v>
      </c>
      <c r="M102" t="s">
        <v>988</v>
      </c>
    </row>
    <row r="103" spans="1:13" x14ac:dyDescent="0.3">
      <c r="A103">
        <v>4811</v>
      </c>
      <c r="B103" t="s">
        <v>2249</v>
      </c>
      <c r="C103" t="s">
        <v>2668</v>
      </c>
      <c r="D103" t="s">
        <v>1203</v>
      </c>
      <c r="E103" t="s">
        <v>1204</v>
      </c>
      <c r="F103">
        <v>6866</v>
      </c>
      <c r="G103" t="s">
        <v>2664</v>
      </c>
      <c r="H103">
        <v>19653</v>
      </c>
      <c r="I103">
        <v>19653</v>
      </c>
      <c r="J103">
        <v>19653</v>
      </c>
      <c r="K103">
        <v>19653</v>
      </c>
      <c r="L103">
        <v>19653</v>
      </c>
      <c r="M103" t="s">
        <v>988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7B820-3BBA-4EC2-AC63-12E665668D4D}">
  <sheetPr codeName="Sheet36" filterMode="1">
    <tabColor rgb="FF7030A0"/>
  </sheetPr>
  <dimension ref="A1:N4585"/>
  <sheetViews>
    <sheetView workbookViewId="0"/>
  </sheetViews>
  <sheetFormatPr defaultRowHeight="14.4" x14ac:dyDescent="0.3"/>
  <cols>
    <col min="2" max="2" width="63.5546875" bestFit="1" customWidth="1"/>
    <col min="3" max="3" width="62.44140625" bestFit="1" customWidth="1"/>
    <col min="7" max="7" width="20.6640625" bestFit="1" customWidth="1"/>
    <col min="8" max="8" width="14" bestFit="1" customWidth="1"/>
    <col min="9" max="13" width="23.88671875" bestFit="1" customWidth="1"/>
  </cols>
  <sheetData>
    <row r="1" spans="1:14" x14ac:dyDescent="0.3">
      <c r="A1" t="s">
        <v>1191</v>
      </c>
      <c r="B1" t="s">
        <v>1192</v>
      </c>
      <c r="C1" t="s">
        <v>1193</v>
      </c>
      <c r="D1" t="s">
        <v>1194</v>
      </c>
      <c r="E1" t="s">
        <v>1195</v>
      </c>
      <c r="F1" t="s">
        <v>1196</v>
      </c>
      <c r="G1" t="s">
        <v>2669</v>
      </c>
      <c r="H1" t="s">
        <v>2657</v>
      </c>
      <c r="I1" t="s">
        <v>2658</v>
      </c>
      <c r="J1" t="s">
        <v>2659</v>
      </c>
      <c r="K1" t="s">
        <v>2660</v>
      </c>
      <c r="L1" t="s">
        <v>2661</v>
      </c>
      <c r="M1" t="s">
        <v>2662</v>
      </c>
      <c r="N1" t="s">
        <v>2255</v>
      </c>
    </row>
    <row r="2" spans="1:14" hidden="1" x14ac:dyDescent="0.3">
      <c r="A2">
        <v>13</v>
      </c>
      <c r="B2" t="s">
        <v>1201</v>
      </c>
      <c r="C2" t="s">
        <v>2670</v>
      </c>
      <c r="D2" t="s">
        <v>1203</v>
      </c>
      <c r="E2" t="s">
        <v>1204</v>
      </c>
      <c r="F2">
        <v>5973</v>
      </c>
      <c r="G2" t="s">
        <v>2671</v>
      </c>
      <c r="H2" t="s">
        <v>2665</v>
      </c>
      <c r="I2">
        <v>4089</v>
      </c>
      <c r="J2">
        <v>4307</v>
      </c>
      <c r="K2">
        <v>4445</v>
      </c>
      <c r="L2">
        <v>4573</v>
      </c>
      <c r="M2">
        <v>4723</v>
      </c>
      <c r="N2" t="s">
        <v>988</v>
      </c>
    </row>
    <row r="3" spans="1:14" hidden="1" x14ac:dyDescent="0.3">
      <c r="A3">
        <v>13</v>
      </c>
      <c r="B3" t="s">
        <v>1201</v>
      </c>
      <c r="C3" t="s">
        <v>2670</v>
      </c>
      <c r="D3" t="s">
        <v>1203</v>
      </c>
      <c r="E3" t="s">
        <v>1204</v>
      </c>
      <c r="F3">
        <v>5973</v>
      </c>
      <c r="G3" t="s">
        <v>2671</v>
      </c>
      <c r="H3" t="s">
        <v>2664</v>
      </c>
      <c r="I3">
        <v>64426</v>
      </c>
      <c r="J3">
        <v>64429</v>
      </c>
      <c r="K3">
        <v>64155</v>
      </c>
      <c r="L3">
        <v>64431</v>
      </c>
      <c r="M3">
        <v>64433</v>
      </c>
      <c r="N3" t="s">
        <v>988</v>
      </c>
    </row>
    <row r="4" spans="1:14" hidden="1" x14ac:dyDescent="0.3">
      <c r="A4">
        <v>13</v>
      </c>
      <c r="B4" t="s">
        <v>1201</v>
      </c>
      <c r="C4" t="s">
        <v>2670</v>
      </c>
      <c r="D4" t="s">
        <v>1203</v>
      </c>
      <c r="E4" t="s">
        <v>1204</v>
      </c>
      <c r="F4">
        <v>5973</v>
      </c>
      <c r="G4" t="s">
        <v>2672</v>
      </c>
      <c r="H4" t="s">
        <v>2665</v>
      </c>
      <c r="N4" t="s">
        <v>988</v>
      </c>
    </row>
    <row r="5" spans="1:14" hidden="1" x14ac:dyDescent="0.3">
      <c r="A5">
        <v>13</v>
      </c>
      <c r="B5" t="s">
        <v>1201</v>
      </c>
      <c r="C5" t="s">
        <v>2670</v>
      </c>
      <c r="D5" t="s">
        <v>1203</v>
      </c>
      <c r="E5" t="s">
        <v>1204</v>
      </c>
      <c r="F5">
        <v>5973</v>
      </c>
      <c r="G5" t="s">
        <v>2672</v>
      </c>
      <c r="H5" t="s">
        <v>2664</v>
      </c>
      <c r="N5" t="s">
        <v>988</v>
      </c>
    </row>
    <row r="6" spans="1:14" hidden="1" x14ac:dyDescent="0.3">
      <c r="A6">
        <v>13</v>
      </c>
      <c r="B6" t="s">
        <v>1201</v>
      </c>
      <c r="C6" t="s">
        <v>2670</v>
      </c>
      <c r="D6" t="s">
        <v>1203</v>
      </c>
      <c r="E6" t="s">
        <v>1204</v>
      </c>
      <c r="F6">
        <v>5973</v>
      </c>
      <c r="G6" t="s">
        <v>2673</v>
      </c>
      <c r="H6" t="s">
        <v>2665</v>
      </c>
      <c r="I6">
        <v>4303</v>
      </c>
      <c r="J6">
        <v>4533</v>
      </c>
      <c r="K6">
        <v>4677</v>
      </c>
      <c r="L6">
        <v>4813</v>
      </c>
      <c r="M6">
        <v>4971</v>
      </c>
      <c r="N6" t="s">
        <v>988</v>
      </c>
    </row>
    <row r="7" spans="1:14" hidden="1" x14ac:dyDescent="0.3">
      <c r="A7">
        <v>13</v>
      </c>
      <c r="B7" t="s">
        <v>1201</v>
      </c>
      <c r="C7" t="s">
        <v>2670</v>
      </c>
      <c r="D7" t="s">
        <v>1203</v>
      </c>
      <c r="E7" t="s">
        <v>1204</v>
      </c>
      <c r="F7">
        <v>5973</v>
      </c>
      <c r="G7" t="s">
        <v>2673</v>
      </c>
      <c r="H7" t="s">
        <v>2664</v>
      </c>
      <c r="I7">
        <v>64426</v>
      </c>
      <c r="J7">
        <v>64429</v>
      </c>
      <c r="K7">
        <v>64155</v>
      </c>
      <c r="L7">
        <v>64431</v>
      </c>
      <c r="M7">
        <v>64433</v>
      </c>
      <c r="N7" t="s">
        <v>988</v>
      </c>
    </row>
    <row r="8" spans="1:14" hidden="1" x14ac:dyDescent="0.3">
      <c r="A8">
        <v>13</v>
      </c>
      <c r="B8" t="s">
        <v>1201</v>
      </c>
      <c r="C8" t="s">
        <v>2670</v>
      </c>
      <c r="D8" t="s">
        <v>1203</v>
      </c>
      <c r="E8" t="s">
        <v>1204</v>
      </c>
      <c r="F8">
        <v>5973</v>
      </c>
      <c r="G8" t="s">
        <v>2674</v>
      </c>
      <c r="H8" t="s">
        <v>2665</v>
      </c>
      <c r="I8">
        <v>4529</v>
      </c>
      <c r="J8">
        <v>4770</v>
      </c>
      <c r="K8">
        <v>4922</v>
      </c>
      <c r="L8">
        <v>5065</v>
      </c>
      <c r="M8">
        <v>5231</v>
      </c>
      <c r="N8" t="s">
        <v>988</v>
      </c>
    </row>
    <row r="9" spans="1:14" hidden="1" x14ac:dyDescent="0.3">
      <c r="A9">
        <v>13</v>
      </c>
      <c r="B9" t="s">
        <v>1201</v>
      </c>
      <c r="C9" t="s">
        <v>2670</v>
      </c>
      <c r="D9" t="s">
        <v>1203</v>
      </c>
      <c r="E9" t="s">
        <v>1204</v>
      </c>
      <c r="F9">
        <v>5973</v>
      </c>
      <c r="G9" t="s">
        <v>2674</v>
      </c>
      <c r="H9" t="s">
        <v>2664</v>
      </c>
      <c r="I9">
        <v>64426</v>
      </c>
      <c r="J9">
        <v>64429</v>
      </c>
      <c r="K9">
        <v>64155</v>
      </c>
      <c r="L9">
        <v>64431</v>
      </c>
      <c r="M9">
        <v>64433</v>
      </c>
      <c r="N9" t="s">
        <v>988</v>
      </c>
    </row>
    <row r="10" spans="1:14" hidden="1" x14ac:dyDescent="0.3">
      <c r="A10">
        <v>13</v>
      </c>
      <c r="B10" t="s">
        <v>1201</v>
      </c>
      <c r="C10" t="s">
        <v>2670</v>
      </c>
      <c r="D10" t="s">
        <v>1203</v>
      </c>
      <c r="E10" t="s">
        <v>1204</v>
      </c>
      <c r="F10">
        <v>5973</v>
      </c>
      <c r="G10" t="s">
        <v>2675</v>
      </c>
      <c r="H10" t="s">
        <v>2665</v>
      </c>
      <c r="I10">
        <v>4766</v>
      </c>
      <c r="J10">
        <v>5020</v>
      </c>
      <c r="K10">
        <v>5180</v>
      </c>
      <c r="L10">
        <v>5330</v>
      </c>
      <c r="M10">
        <v>5505</v>
      </c>
      <c r="N10" t="s">
        <v>988</v>
      </c>
    </row>
    <row r="11" spans="1:14" hidden="1" x14ac:dyDescent="0.3">
      <c r="A11">
        <v>13</v>
      </c>
      <c r="B11" t="s">
        <v>1201</v>
      </c>
      <c r="C11" t="s">
        <v>2670</v>
      </c>
      <c r="D11" t="s">
        <v>1203</v>
      </c>
      <c r="E11" t="s">
        <v>1204</v>
      </c>
      <c r="F11">
        <v>5973</v>
      </c>
      <c r="G11" t="s">
        <v>2675</v>
      </c>
      <c r="H11" t="s">
        <v>2664</v>
      </c>
      <c r="I11">
        <v>64426</v>
      </c>
      <c r="J11">
        <v>64429</v>
      </c>
      <c r="K11">
        <v>64155</v>
      </c>
      <c r="L11">
        <v>64431</v>
      </c>
      <c r="M11">
        <v>64433</v>
      </c>
      <c r="N11" t="s">
        <v>988</v>
      </c>
    </row>
    <row r="12" spans="1:14" hidden="1" x14ac:dyDescent="0.3">
      <c r="A12">
        <v>13</v>
      </c>
      <c r="B12" t="s">
        <v>1201</v>
      </c>
      <c r="C12" t="s">
        <v>2670</v>
      </c>
      <c r="D12" t="s">
        <v>1203</v>
      </c>
      <c r="E12" t="s">
        <v>1204</v>
      </c>
      <c r="F12">
        <v>5973</v>
      </c>
      <c r="G12" t="s">
        <v>2676</v>
      </c>
      <c r="H12" t="s">
        <v>2665</v>
      </c>
      <c r="I12">
        <v>5066</v>
      </c>
      <c r="J12">
        <v>5336</v>
      </c>
      <c r="K12">
        <v>5505</v>
      </c>
      <c r="L12">
        <v>5665</v>
      </c>
      <c r="M12">
        <v>5851</v>
      </c>
      <c r="N12" t="s">
        <v>988</v>
      </c>
    </row>
    <row r="13" spans="1:14" hidden="1" x14ac:dyDescent="0.3">
      <c r="A13">
        <v>13</v>
      </c>
      <c r="B13" t="s">
        <v>1201</v>
      </c>
      <c r="C13" t="s">
        <v>2670</v>
      </c>
      <c r="D13" t="s">
        <v>1203</v>
      </c>
      <c r="E13" t="s">
        <v>1204</v>
      </c>
      <c r="F13">
        <v>5973</v>
      </c>
      <c r="G13" t="s">
        <v>2676</v>
      </c>
      <c r="H13" t="s">
        <v>2664</v>
      </c>
      <c r="I13">
        <v>64426</v>
      </c>
      <c r="J13">
        <v>64429</v>
      </c>
      <c r="K13">
        <v>64155</v>
      </c>
      <c r="L13">
        <v>64431</v>
      </c>
      <c r="M13">
        <v>64433</v>
      </c>
      <c r="N13" t="s">
        <v>988</v>
      </c>
    </row>
    <row r="14" spans="1:14" hidden="1" x14ac:dyDescent="0.3">
      <c r="A14">
        <v>23</v>
      </c>
      <c r="B14" t="s">
        <v>801</v>
      </c>
      <c r="C14" t="s">
        <v>2670</v>
      </c>
      <c r="D14" t="s">
        <v>159</v>
      </c>
      <c r="E14" t="s">
        <v>159</v>
      </c>
      <c r="F14">
        <v>6868</v>
      </c>
      <c r="G14" t="s">
        <v>2672</v>
      </c>
      <c r="H14" t="s">
        <v>2665</v>
      </c>
      <c r="N14" t="s">
        <v>988</v>
      </c>
    </row>
    <row r="15" spans="1:14" hidden="1" x14ac:dyDescent="0.3">
      <c r="A15">
        <v>23</v>
      </c>
      <c r="B15" t="s">
        <v>801</v>
      </c>
      <c r="C15" t="s">
        <v>2670</v>
      </c>
      <c r="D15" t="s">
        <v>159</v>
      </c>
      <c r="E15" t="s">
        <v>159</v>
      </c>
      <c r="F15">
        <v>6868</v>
      </c>
      <c r="G15" t="s">
        <v>2676</v>
      </c>
      <c r="H15" t="s">
        <v>2664</v>
      </c>
      <c r="I15">
        <v>61400</v>
      </c>
      <c r="J15">
        <v>59900</v>
      </c>
      <c r="K15">
        <v>58200</v>
      </c>
      <c r="L15">
        <v>56700</v>
      </c>
      <c r="M15">
        <v>55300</v>
      </c>
      <c r="N15" t="s">
        <v>988</v>
      </c>
    </row>
    <row r="16" spans="1:14" hidden="1" x14ac:dyDescent="0.3">
      <c r="A16">
        <v>23</v>
      </c>
      <c r="B16" t="s">
        <v>801</v>
      </c>
      <c r="C16" t="s">
        <v>2670</v>
      </c>
      <c r="D16" t="s">
        <v>159</v>
      </c>
      <c r="E16" t="s">
        <v>159</v>
      </c>
      <c r="F16">
        <v>6868</v>
      </c>
      <c r="G16" t="s">
        <v>2676</v>
      </c>
      <c r="H16" t="s">
        <v>2665</v>
      </c>
      <c r="I16">
        <v>57000</v>
      </c>
      <c r="J16">
        <v>58800</v>
      </c>
      <c r="K16">
        <v>58200</v>
      </c>
      <c r="L16">
        <v>58000</v>
      </c>
      <c r="M16">
        <v>59100</v>
      </c>
      <c r="N16" t="s">
        <v>988</v>
      </c>
    </row>
    <row r="17" spans="1:14" hidden="1" x14ac:dyDescent="0.3">
      <c r="A17">
        <v>23</v>
      </c>
      <c r="B17" t="s">
        <v>801</v>
      </c>
      <c r="C17" t="s">
        <v>2670</v>
      </c>
      <c r="D17" t="s">
        <v>159</v>
      </c>
      <c r="E17" t="s">
        <v>159</v>
      </c>
      <c r="F17">
        <v>6868</v>
      </c>
      <c r="G17" t="s">
        <v>2672</v>
      </c>
      <c r="H17" t="s">
        <v>2664</v>
      </c>
      <c r="N17" t="s">
        <v>988</v>
      </c>
    </row>
    <row r="18" spans="1:14" hidden="1" x14ac:dyDescent="0.3">
      <c r="A18">
        <v>23</v>
      </c>
      <c r="B18" t="s">
        <v>801</v>
      </c>
      <c r="C18" t="s">
        <v>2670</v>
      </c>
      <c r="D18" t="s">
        <v>159</v>
      </c>
      <c r="E18" t="s">
        <v>159</v>
      </c>
      <c r="F18">
        <v>6868</v>
      </c>
      <c r="G18" t="s">
        <v>2675</v>
      </c>
      <c r="H18" t="s">
        <v>2664</v>
      </c>
      <c r="I18">
        <v>66300</v>
      </c>
      <c r="J18">
        <v>66500</v>
      </c>
      <c r="K18">
        <v>66700</v>
      </c>
      <c r="L18">
        <v>66900</v>
      </c>
      <c r="M18">
        <v>67600</v>
      </c>
      <c r="N18" t="s">
        <v>988</v>
      </c>
    </row>
    <row r="19" spans="1:14" hidden="1" x14ac:dyDescent="0.3">
      <c r="A19">
        <v>23</v>
      </c>
      <c r="B19" t="s">
        <v>801</v>
      </c>
      <c r="C19" t="s">
        <v>2670</v>
      </c>
      <c r="D19" t="s">
        <v>159</v>
      </c>
      <c r="E19" t="s">
        <v>159</v>
      </c>
      <c r="F19">
        <v>6868</v>
      </c>
      <c r="G19" t="s">
        <v>2671</v>
      </c>
      <c r="H19" t="s">
        <v>2665</v>
      </c>
      <c r="I19">
        <v>56100</v>
      </c>
      <c r="J19">
        <v>55600</v>
      </c>
      <c r="K19">
        <v>55300</v>
      </c>
      <c r="L19">
        <v>54800</v>
      </c>
      <c r="M19">
        <v>61000</v>
      </c>
      <c r="N19" t="s">
        <v>988</v>
      </c>
    </row>
    <row r="20" spans="1:14" hidden="1" x14ac:dyDescent="0.3">
      <c r="A20">
        <v>23</v>
      </c>
      <c r="B20" t="s">
        <v>801</v>
      </c>
      <c r="C20" t="s">
        <v>2670</v>
      </c>
      <c r="D20" t="s">
        <v>159</v>
      </c>
      <c r="E20" t="s">
        <v>159</v>
      </c>
      <c r="F20">
        <v>6868</v>
      </c>
      <c r="G20" t="s">
        <v>2674</v>
      </c>
      <c r="H20" t="s">
        <v>2664</v>
      </c>
      <c r="I20">
        <v>55500</v>
      </c>
      <c r="J20">
        <v>55500</v>
      </c>
      <c r="K20">
        <v>55500</v>
      </c>
      <c r="L20">
        <v>55500</v>
      </c>
      <c r="M20">
        <v>55100</v>
      </c>
      <c r="N20" t="s">
        <v>988</v>
      </c>
    </row>
    <row r="21" spans="1:14" hidden="1" x14ac:dyDescent="0.3">
      <c r="A21">
        <v>23</v>
      </c>
      <c r="B21" t="s">
        <v>801</v>
      </c>
      <c r="C21" t="s">
        <v>2670</v>
      </c>
      <c r="D21" t="s">
        <v>159</v>
      </c>
      <c r="E21" t="s">
        <v>159</v>
      </c>
      <c r="F21">
        <v>6868</v>
      </c>
      <c r="G21" t="s">
        <v>2674</v>
      </c>
      <c r="H21" t="s">
        <v>2665</v>
      </c>
      <c r="I21">
        <v>57100</v>
      </c>
      <c r="J21">
        <v>57800</v>
      </c>
      <c r="K21">
        <v>57200</v>
      </c>
      <c r="L21">
        <v>57000</v>
      </c>
      <c r="M21">
        <v>60500</v>
      </c>
      <c r="N21" t="s">
        <v>988</v>
      </c>
    </row>
    <row r="22" spans="1:14" hidden="1" x14ac:dyDescent="0.3">
      <c r="A22">
        <v>23</v>
      </c>
      <c r="B22" t="s">
        <v>801</v>
      </c>
      <c r="C22" t="s">
        <v>2670</v>
      </c>
      <c r="D22" t="s">
        <v>159</v>
      </c>
      <c r="E22" t="s">
        <v>159</v>
      </c>
      <c r="F22">
        <v>6868</v>
      </c>
      <c r="G22" t="s">
        <v>2673</v>
      </c>
      <c r="H22" t="s">
        <v>2664</v>
      </c>
      <c r="I22">
        <v>56100</v>
      </c>
      <c r="J22">
        <v>57100</v>
      </c>
      <c r="K22">
        <v>58200</v>
      </c>
      <c r="L22">
        <v>59100</v>
      </c>
      <c r="M22">
        <v>60500</v>
      </c>
      <c r="N22" t="s">
        <v>988</v>
      </c>
    </row>
    <row r="23" spans="1:14" hidden="1" x14ac:dyDescent="0.3">
      <c r="A23">
        <v>23</v>
      </c>
      <c r="B23" t="s">
        <v>801</v>
      </c>
      <c r="C23" t="s">
        <v>2670</v>
      </c>
      <c r="D23" t="s">
        <v>159</v>
      </c>
      <c r="E23" t="s">
        <v>159</v>
      </c>
      <c r="F23">
        <v>6868</v>
      </c>
      <c r="G23" t="s">
        <v>2673</v>
      </c>
      <c r="H23" t="s">
        <v>2665</v>
      </c>
      <c r="I23">
        <v>56000</v>
      </c>
      <c r="J23">
        <v>56000</v>
      </c>
      <c r="K23">
        <v>55700</v>
      </c>
      <c r="L23">
        <v>55500</v>
      </c>
      <c r="M23">
        <v>60200</v>
      </c>
      <c r="N23" t="s">
        <v>988</v>
      </c>
    </row>
    <row r="24" spans="1:14" hidden="1" x14ac:dyDescent="0.3">
      <c r="A24">
        <v>23</v>
      </c>
      <c r="B24" t="s">
        <v>801</v>
      </c>
      <c r="C24" t="s">
        <v>2670</v>
      </c>
      <c r="D24" t="s">
        <v>159</v>
      </c>
      <c r="E24" t="s">
        <v>159</v>
      </c>
      <c r="F24">
        <v>6868</v>
      </c>
      <c r="G24" t="s">
        <v>2671</v>
      </c>
      <c r="H24" t="s">
        <v>2664</v>
      </c>
      <c r="I24">
        <v>56700</v>
      </c>
      <c r="J24">
        <v>56700</v>
      </c>
      <c r="K24">
        <v>56700</v>
      </c>
      <c r="L24">
        <v>56500</v>
      </c>
      <c r="M24">
        <v>51200</v>
      </c>
      <c r="N24" t="s">
        <v>988</v>
      </c>
    </row>
    <row r="25" spans="1:14" hidden="1" x14ac:dyDescent="0.3">
      <c r="A25">
        <v>23</v>
      </c>
      <c r="B25" t="s">
        <v>801</v>
      </c>
      <c r="C25" t="s">
        <v>2670</v>
      </c>
      <c r="D25" t="s">
        <v>159</v>
      </c>
      <c r="E25" t="s">
        <v>159</v>
      </c>
      <c r="F25">
        <v>6868</v>
      </c>
      <c r="G25" t="s">
        <v>2675</v>
      </c>
      <c r="H25" t="s">
        <v>2665</v>
      </c>
      <c r="I25">
        <v>58100</v>
      </c>
      <c r="J25">
        <v>59300</v>
      </c>
      <c r="K25">
        <v>58900</v>
      </c>
      <c r="L25">
        <v>58300</v>
      </c>
      <c r="M25">
        <v>60500</v>
      </c>
      <c r="N25" t="s">
        <v>988</v>
      </c>
    </row>
    <row r="26" spans="1:14" hidden="1" x14ac:dyDescent="0.3">
      <c r="A26">
        <v>30</v>
      </c>
      <c r="B26" t="s">
        <v>1213</v>
      </c>
      <c r="C26" t="s">
        <v>2670</v>
      </c>
      <c r="D26" t="s">
        <v>159</v>
      </c>
      <c r="E26" t="s">
        <v>159</v>
      </c>
      <c r="F26">
        <v>5557</v>
      </c>
      <c r="G26" t="s">
        <v>2674</v>
      </c>
      <c r="H26" t="s">
        <v>2664</v>
      </c>
      <c r="I26">
        <v>12317</v>
      </c>
      <c r="J26">
        <v>12428</v>
      </c>
      <c r="K26">
        <v>12539</v>
      </c>
      <c r="L26">
        <v>12651</v>
      </c>
      <c r="M26">
        <v>12765</v>
      </c>
      <c r="N26" t="s">
        <v>988</v>
      </c>
    </row>
    <row r="27" spans="1:14" hidden="1" x14ac:dyDescent="0.3">
      <c r="A27">
        <v>30</v>
      </c>
      <c r="B27" t="s">
        <v>1213</v>
      </c>
      <c r="C27" t="s">
        <v>2670</v>
      </c>
      <c r="D27" t="s">
        <v>159</v>
      </c>
      <c r="E27" t="s">
        <v>159</v>
      </c>
      <c r="F27">
        <v>5557</v>
      </c>
      <c r="G27" t="s">
        <v>2674</v>
      </c>
      <c r="H27" t="s">
        <v>2665</v>
      </c>
      <c r="I27">
        <v>12317</v>
      </c>
      <c r="J27">
        <v>12428</v>
      </c>
      <c r="K27">
        <v>12539</v>
      </c>
      <c r="L27">
        <v>12651</v>
      </c>
      <c r="M27">
        <v>12765</v>
      </c>
      <c r="N27" t="s">
        <v>988</v>
      </c>
    </row>
    <row r="28" spans="1:14" hidden="1" x14ac:dyDescent="0.3">
      <c r="A28">
        <v>30</v>
      </c>
      <c r="B28" t="s">
        <v>1213</v>
      </c>
      <c r="C28" t="s">
        <v>2670</v>
      </c>
      <c r="D28" t="s">
        <v>159</v>
      </c>
      <c r="E28" t="s">
        <v>159</v>
      </c>
      <c r="F28">
        <v>5557</v>
      </c>
      <c r="G28" t="s">
        <v>2673</v>
      </c>
      <c r="H28" t="s">
        <v>2664</v>
      </c>
      <c r="I28">
        <v>10846</v>
      </c>
      <c r="J28">
        <v>10944</v>
      </c>
      <c r="K28">
        <v>11042</v>
      </c>
      <c r="L28">
        <v>11141</v>
      </c>
      <c r="M28">
        <v>11240</v>
      </c>
      <c r="N28" t="s">
        <v>988</v>
      </c>
    </row>
    <row r="29" spans="1:14" hidden="1" x14ac:dyDescent="0.3">
      <c r="A29">
        <v>30</v>
      </c>
      <c r="B29" t="s">
        <v>1213</v>
      </c>
      <c r="C29" t="s">
        <v>2670</v>
      </c>
      <c r="D29" t="s">
        <v>159</v>
      </c>
      <c r="E29" t="s">
        <v>159</v>
      </c>
      <c r="F29">
        <v>5557</v>
      </c>
      <c r="G29" t="s">
        <v>2673</v>
      </c>
      <c r="H29" t="s">
        <v>2665</v>
      </c>
      <c r="I29">
        <v>10846</v>
      </c>
      <c r="J29">
        <v>10944</v>
      </c>
      <c r="K29">
        <v>11042</v>
      </c>
      <c r="L29">
        <v>11141</v>
      </c>
      <c r="M29">
        <v>11240</v>
      </c>
      <c r="N29" t="s">
        <v>988</v>
      </c>
    </row>
    <row r="30" spans="1:14" hidden="1" x14ac:dyDescent="0.3">
      <c r="A30">
        <v>30</v>
      </c>
      <c r="B30" t="s">
        <v>1213</v>
      </c>
      <c r="C30" t="s">
        <v>2670</v>
      </c>
      <c r="D30" t="s">
        <v>159</v>
      </c>
      <c r="E30" t="s">
        <v>159</v>
      </c>
      <c r="F30">
        <v>5557</v>
      </c>
      <c r="G30" t="s">
        <v>2671</v>
      </c>
      <c r="H30" t="s">
        <v>2664</v>
      </c>
      <c r="I30">
        <v>9830</v>
      </c>
      <c r="J30">
        <v>9918</v>
      </c>
      <c r="K30">
        <v>10007</v>
      </c>
      <c r="L30">
        <v>10097</v>
      </c>
      <c r="M30">
        <v>10187</v>
      </c>
      <c r="N30" t="s">
        <v>988</v>
      </c>
    </row>
    <row r="31" spans="1:14" hidden="1" x14ac:dyDescent="0.3">
      <c r="A31">
        <v>30</v>
      </c>
      <c r="B31" t="s">
        <v>1213</v>
      </c>
      <c r="C31" t="s">
        <v>2670</v>
      </c>
      <c r="D31" t="s">
        <v>159</v>
      </c>
      <c r="E31" t="s">
        <v>159</v>
      </c>
      <c r="F31">
        <v>5557</v>
      </c>
      <c r="G31" t="s">
        <v>2671</v>
      </c>
      <c r="H31" t="s">
        <v>2665</v>
      </c>
      <c r="I31">
        <v>9830</v>
      </c>
      <c r="J31">
        <v>9918</v>
      </c>
      <c r="K31">
        <v>10007</v>
      </c>
      <c r="L31">
        <v>10097</v>
      </c>
      <c r="M31">
        <v>10187</v>
      </c>
      <c r="N31" t="s">
        <v>988</v>
      </c>
    </row>
    <row r="32" spans="1:14" hidden="1" x14ac:dyDescent="0.3">
      <c r="A32">
        <v>30</v>
      </c>
      <c r="B32" t="s">
        <v>1213</v>
      </c>
      <c r="C32" t="s">
        <v>2670</v>
      </c>
      <c r="D32" t="s">
        <v>159</v>
      </c>
      <c r="E32" t="s">
        <v>159</v>
      </c>
      <c r="F32">
        <v>5557</v>
      </c>
      <c r="G32" t="s">
        <v>2672</v>
      </c>
      <c r="H32" t="s">
        <v>2664</v>
      </c>
      <c r="N32" t="s">
        <v>988</v>
      </c>
    </row>
    <row r="33" spans="1:14" hidden="1" x14ac:dyDescent="0.3">
      <c r="A33">
        <v>30</v>
      </c>
      <c r="B33" t="s">
        <v>1213</v>
      </c>
      <c r="C33" t="s">
        <v>2670</v>
      </c>
      <c r="D33" t="s">
        <v>159</v>
      </c>
      <c r="E33" t="s">
        <v>159</v>
      </c>
      <c r="F33">
        <v>5557</v>
      </c>
      <c r="G33" t="s">
        <v>2672</v>
      </c>
      <c r="H33" t="s">
        <v>2665</v>
      </c>
      <c r="N33" t="s">
        <v>988</v>
      </c>
    </row>
    <row r="34" spans="1:14" hidden="1" x14ac:dyDescent="0.3">
      <c r="A34">
        <v>30</v>
      </c>
      <c r="B34" t="s">
        <v>1213</v>
      </c>
      <c r="C34" t="s">
        <v>2670</v>
      </c>
      <c r="D34" t="s">
        <v>159</v>
      </c>
      <c r="E34" t="s">
        <v>159</v>
      </c>
      <c r="F34">
        <v>5557</v>
      </c>
      <c r="G34" t="s">
        <v>2676</v>
      </c>
      <c r="H34" t="s">
        <v>2664</v>
      </c>
      <c r="I34">
        <v>12158</v>
      </c>
      <c r="J34">
        <v>12267</v>
      </c>
      <c r="K34">
        <v>12377</v>
      </c>
      <c r="L34">
        <v>12488</v>
      </c>
      <c r="M34">
        <v>12600</v>
      </c>
      <c r="N34" t="s">
        <v>988</v>
      </c>
    </row>
    <row r="35" spans="1:14" hidden="1" x14ac:dyDescent="0.3">
      <c r="A35">
        <v>30</v>
      </c>
      <c r="B35" t="s">
        <v>1213</v>
      </c>
      <c r="C35" t="s">
        <v>2670</v>
      </c>
      <c r="D35" t="s">
        <v>159</v>
      </c>
      <c r="E35" t="s">
        <v>159</v>
      </c>
      <c r="F35">
        <v>5557</v>
      </c>
      <c r="G35" t="s">
        <v>2676</v>
      </c>
      <c r="H35" t="s">
        <v>2665</v>
      </c>
      <c r="I35">
        <v>12158</v>
      </c>
      <c r="J35">
        <v>12267</v>
      </c>
      <c r="K35">
        <v>12377</v>
      </c>
      <c r="L35">
        <v>12488</v>
      </c>
      <c r="M35">
        <v>12600</v>
      </c>
      <c r="N35" t="s">
        <v>988</v>
      </c>
    </row>
    <row r="36" spans="1:14" hidden="1" x14ac:dyDescent="0.3">
      <c r="A36">
        <v>30</v>
      </c>
      <c r="B36" t="s">
        <v>1213</v>
      </c>
      <c r="C36" t="s">
        <v>2670</v>
      </c>
      <c r="D36" t="s">
        <v>159</v>
      </c>
      <c r="E36" t="s">
        <v>159</v>
      </c>
      <c r="F36">
        <v>5557</v>
      </c>
      <c r="G36" t="s">
        <v>2675</v>
      </c>
      <c r="H36" t="s">
        <v>2665</v>
      </c>
      <c r="I36">
        <v>12454</v>
      </c>
      <c r="J36">
        <v>12565</v>
      </c>
      <c r="K36">
        <v>12678</v>
      </c>
      <c r="L36">
        <v>12791</v>
      </c>
      <c r="M36">
        <v>12906</v>
      </c>
      <c r="N36" t="s">
        <v>988</v>
      </c>
    </row>
    <row r="37" spans="1:14" hidden="1" x14ac:dyDescent="0.3">
      <c r="A37">
        <v>30</v>
      </c>
      <c r="B37" t="s">
        <v>1213</v>
      </c>
      <c r="C37" t="s">
        <v>2670</v>
      </c>
      <c r="D37" t="s">
        <v>159</v>
      </c>
      <c r="E37" t="s">
        <v>159</v>
      </c>
      <c r="F37">
        <v>5557</v>
      </c>
      <c r="G37" t="s">
        <v>2675</v>
      </c>
      <c r="H37" t="s">
        <v>2664</v>
      </c>
      <c r="I37">
        <v>12454</v>
      </c>
      <c r="J37">
        <v>12565</v>
      </c>
      <c r="K37">
        <v>12678</v>
      </c>
      <c r="L37">
        <v>12791</v>
      </c>
      <c r="M37">
        <v>12906</v>
      </c>
      <c r="N37" t="s">
        <v>988</v>
      </c>
    </row>
    <row r="38" spans="1:14" hidden="1" x14ac:dyDescent="0.3">
      <c r="A38">
        <v>55</v>
      </c>
      <c r="B38" t="s">
        <v>1217</v>
      </c>
      <c r="C38" t="s">
        <v>2670</v>
      </c>
      <c r="D38" t="s">
        <v>1203</v>
      </c>
      <c r="E38" t="s">
        <v>1204</v>
      </c>
      <c r="F38">
        <v>5577</v>
      </c>
      <c r="G38" t="s">
        <v>2676</v>
      </c>
      <c r="H38" t="s">
        <v>2665</v>
      </c>
      <c r="I38">
        <v>8937</v>
      </c>
      <c r="J38">
        <v>9335</v>
      </c>
      <c r="K38">
        <v>9425</v>
      </c>
      <c r="L38">
        <v>9488</v>
      </c>
      <c r="M38">
        <v>9567</v>
      </c>
      <c r="N38" t="s">
        <v>988</v>
      </c>
    </row>
    <row r="39" spans="1:14" hidden="1" x14ac:dyDescent="0.3">
      <c r="A39">
        <v>55</v>
      </c>
      <c r="B39" t="s">
        <v>1217</v>
      </c>
      <c r="C39" t="s">
        <v>2670</v>
      </c>
      <c r="D39" t="s">
        <v>1203</v>
      </c>
      <c r="E39" t="s">
        <v>1204</v>
      </c>
      <c r="F39">
        <v>5577</v>
      </c>
      <c r="G39" t="s">
        <v>2676</v>
      </c>
      <c r="H39" t="s">
        <v>2664</v>
      </c>
      <c r="I39">
        <v>19803</v>
      </c>
      <c r="J39">
        <v>20042</v>
      </c>
      <c r="K39">
        <v>20050</v>
      </c>
      <c r="L39">
        <v>20057</v>
      </c>
      <c r="M39">
        <v>20065</v>
      </c>
      <c r="N39" t="s">
        <v>988</v>
      </c>
    </row>
    <row r="40" spans="1:14" hidden="1" x14ac:dyDescent="0.3">
      <c r="A40">
        <v>55</v>
      </c>
      <c r="B40" t="s">
        <v>1217</v>
      </c>
      <c r="C40" t="s">
        <v>2670</v>
      </c>
      <c r="D40" t="s">
        <v>1203</v>
      </c>
      <c r="E40" t="s">
        <v>1204</v>
      </c>
      <c r="F40">
        <v>5577</v>
      </c>
      <c r="G40" t="s">
        <v>2675</v>
      </c>
      <c r="H40" t="s">
        <v>2665</v>
      </c>
      <c r="I40">
        <v>8937</v>
      </c>
      <c r="J40">
        <v>9335</v>
      </c>
      <c r="K40">
        <v>9425</v>
      </c>
      <c r="L40">
        <v>9488</v>
      </c>
      <c r="M40">
        <v>9567</v>
      </c>
      <c r="N40" t="s">
        <v>988</v>
      </c>
    </row>
    <row r="41" spans="1:14" hidden="1" x14ac:dyDescent="0.3">
      <c r="A41">
        <v>55</v>
      </c>
      <c r="B41" t="s">
        <v>1217</v>
      </c>
      <c r="C41" t="s">
        <v>2670</v>
      </c>
      <c r="D41" t="s">
        <v>1203</v>
      </c>
      <c r="E41" t="s">
        <v>1204</v>
      </c>
      <c r="F41">
        <v>5577</v>
      </c>
      <c r="G41" t="s">
        <v>2674</v>
      </c>
      <c r="H41" t="s">
        <v>2664</v>
      </c>
      <c r="I41">
        <v>19803</v>
      </c>
      <c r="J41">
        <v>20042</v>
      </c>
      <c r="K41">
        <v>20050</v>
      </c>
      <c r="L41">
        <v>20057</v>
      </c>
      <c r="M41">
        <v>20065</v>
      </c>
      <c r="N41" t="s">
        <v>988</v>
      </c>
    </row>
    <row r="42" spans="1:14" hidden="1" x14ac:dyDescent="0.3">
      <c r="A42">
        <v>55</v>
      </c>
      <c r="B42" t="s">
        <v>1217</v>
      </c>
      <c r="C42" t="s">
        <v>2670</v>
      </c>
      <c r="D42" t="s">
        <v>1203</v>
      </c>
      <c r="E42" t="s">
        <v>1204</v>
      </c>
      <c r="F42">
        <v>5577</v>
      </c>
      <c r="G42" t="s">
        <v>2674</v>
      </c>
      <c r="H42" t="s">
        <v>2665</v>
      </c>
      <c r="I42">
        <v>6703</v>
      </c>
      <c r="J42">
        <v>7001</v>
      </c>
      <c r="K42">
        <v>7069</v>
      </c>
      <c r="L42">
        <v>7116</v>
      </c>
      <c r="M42">
        <v>7175</v>
      </c>
      <c r="N42" t="s">
        <v>988</v>
      </c>
    </row>
    <row r="43" spans="1:14" hidden="1" x14ac:dyDescent="0.3">
      <c r="A43">
        <v>55</v>
      </c>
      <c r="B43" t="s">
        <v>1217</v>
      </c>
      <c r="C43" t="s">
        <v>2670</v>
      </c>
      <c r="D43" t="s">
        <v>1203</v>
      </c>
      <c r="E43" t="s">
        <v>1204</v>
      </c>
      <c r="F43">
        <v>5577</v>
      </c>
      <c r="G43" t="s">
        <v>2673</v>
      </c>
      <c r="H43" t="s">
        <v>2664</v>
      </c>
      <c r="I43">
        <v>19803</v>
      </c>
      <c r="J43">
        <v>20042</v>
      </c>
      <c r="K43">
        <v>20050</v>
      </c>
      <c r="L43">
        <v>20057</v>
      </c>
      <c r="M43">
        <v>20065</v>
      </c>
      <c r="N43" t="s">
        <v>988</v>
      </c>
    </row>
    <row r="44" spans="1:14" hidden="1" x14ac:dyDescent="0.3">
      <c r="A44">
        <v>55</v>
      </c>
      <c r="B44" t="s">
        <v>1217</v>
      </c>
      <c r="C44" t="s">
        <v>2670</v>
      </c>
      <c r="D44" t="s">
        <v>1203</v>
      </c>
      <c r="E44" t="s">
        <v>1204</v>
      </c>
      <c r="F44">
        <v>5577</v>
      </c>
      <c r="G44" t="s">
        <v>2673</v>
      </c>
      <c r="H44" t="s">
        <v>2665</v>
      </c>
      <c r="I44">
        <v>6703</v>
      </c>
      <c r="J44">
        <v>7001</v>
      </c>
      <c r="K44">
        <v>7069</v>
      </c>
      <c r="L44">
        <v>7116</v>
      </c>
      <c r="M44">
        <v>7175</v>
      </c>
      <c r="N44" t="s">
        <v>988</v>
      </c>
    </row>
    <row r="45" spans="1:14" hidden="1" x14ac:dyDescent="0.3">
      <c r="A45">
        <v>55</v>
      </c>
      <c r="B45" t="s">
        <v>1217</v>
      </c>
      <c r="C45" t="s">
        <v>2670</v>
      </c>
      <c r="D45" t="s">
        <v>1203</v>
      </c>
      <c r="E45" t="s">
        <v>1204</v>
      </c>
      <c r="F45">
        <v>5577</v>
      </c>
      <c r="G45" t="s">
        <v>2675</v>
      </c>
      <c r="H45" t="s">
        <v>2664</v>
      </c>
      <c r="I45">
        <v>19803</v>
      </c>
      <c r="J45">
        <v>20042</v>
      </c>
      <c r="K45">
        <v>20050</v>
      </c>
      <c r="L45">
        <v>20057</v>
      </c>
      <c r="M45">
        <v>20065</v>
      </c>
      <c r="N45" t="s">
        <v>988</v>
      </c>
    </row>
    <row r="46" spans="1:14" hidden="1" x14ac:dyDescent="0.3">
      <c r="A46">
        <v>55</v>
      </c>
      <c r="B46" t="s">
        <v>1217</v>
      </c>
      <c r="C46" t="s">
        <v>2670</v>
      </c>
      <c r="D46" t="s">
        <v>1203</v>
      </c>
      <c r="E46" t="s">
        <v>1204</v>
      </c>
      <c r="F46">
        <v>5577</v>
      </c>
      <c r="G46" t="s">
        <v>2671</v>
      </c>
      <c r="H46" t="s">
        <v>2665</v>
      </c>
      <c r="I46">
        <v>6703</v>
      </c>
      <c r="J46">
        <v>7001</v>
      </c>
      <c r="K46">
        <v>7069</v>
      </c>
      <c r="L46">
        <v>7116</v>
      </c>
      <c r="M46">
        <v>7175</v>
      </c>
      <c r="N46" t="s">
        <v>988</v>
      </c>
    </row>
    <row r="47" spans="1:14" hidden="1" x14ac:dyDescent="0.3">
      <c r="A47">
        <v>55</v>
      </c>
      <c r="B47" t="s">
        <v>1217</v>
      </c>
      <c r="C47" t="s">
        <v>2670</v>
      </c>
      <c r="D47" t="s">
        <v>1203</v>
      </c>
      <c r="E47" t="s">
        <v>1204</v>
      </c>
      <c r="F47">
        <v>5577</v>
      </c>
      <c r="G47" t="s">
        <v>2672</v>
      </c>
      <c r="H47" t="s">
        <v>2664</v>
      </c>
      <c r="N47" t="s">
        <v>988</v>
      </c>
    </row>
    <row r="48" spans="1:14" hidden="1" x14ac:dyDescent="0.3">
      <c r="A48">
        <v>55</v>
      </c>
      <c r="B48" t="s">
        <v>1217</v>
      </c>
      <c r="C48" t="s">
        <v>2670</v>
      </c>
      <c r="D48" t="s">
        <v>1203</v>
      </c>
      <c r="E48" t="s">
        <v>1204</v>
      </c>
      <c r="F48">
        <v>5577</v>
      </c>
      <c r="G48" t="s">
        <v>2672</v>
      </c>
      <c r="H48" t="s">
        <v>2665</v>
      </c>
      <c r="N48" t="s">
        <v>988</v>
      </c>
    </row>
    <row r="49" spans="1:14" hidden="1" x14ac:dyDescent="0.3">
      <c r="A49">
        <v>55</v>
      </c>
      <c r="B49" t="s">
        <v>1217</v>
      </c>
      <c r="C49" t="s">
        <v>2670</v>
      </c>
      <c r="D49" t="s">
        <v>1203</v>
      </c>
      <c r="E49" t="s">
        <v>1204</v>
      </c>
      <c r="F49">
        <v>5577</v>
      </c>
      <c r="G49" t="s">
        <v>2671</v>
      </c>
      <c r="H49" t="s">
        <v>2664</v>
      </c>
      <c r="I49">
        <v>19803</v>
      </c>
      <c r="J49">
        <v>20042</v>
      </c>
      <c r="K49">
        <v>20050</v>
      </c>
      <c r="L49">
        <v>20057</v>
      </c>
      <c r="M49">
        <v>20065</v>
      </c>
      <c r="N49" t="s">
        <v>988</v>
      </c>
    </row>
    <row r="50" spans="1:14" hidden="1" x14ac:dyDescent="0.3">
      <c r="A50">
        <v>64</v>
      </c>
      <c r="B50" t="s">
        <v>1220</v>
      </c>
      <c r="C50" t="s">
        <v>2670</v>
      </c>
      <c r="D50" t="s">
        <v>159</v>
      </c>
      <c r="E50" t="s">
        <v>159</v>
      </c>
      <c r="F50">
        <v>6851</v>
      </c>
      <c r="G50" t="s">
        <v>2674</v>
      </c>
      <c r="H50" t="s">
        <v>2665</v>
      </c>
      <c r="I50">
        <v>60876</v>
      </c>
      <c r="J50">
        <v>64828</v>
      </c>
      <c r="K50">
        <v>66356</v>
      </c>
      <c r="L50">
        <v>68003</v>
      </c>
      <c r="M50">
        <v>68588</v>
      </c>
      <c r="N50" t="s">
        <v>988</v>
      </c>
    </row>
    <row r="51" spans="1:14" hidden="1" x14ac:dyDescent="0.3">
      <c r="A51">
        <v>64</v>
      </c>
      <c r="B51" t="s">
        <v>1220</v>
      </c>
      <c r="C51" t="s">
        <v>2670</v>
      </c>
      <c r="D51" t="s">
        <v>159</v>
      </c>
      <c r="E51" t="s">
        <v>159</v>
      </c>
      <c r="F51">
        <v>6851</v>
      </c>
      <c r="G51" t="s">
        <v>2673</v>
      </c>
      <c r="H51" t="s">
        <v>2664</v>
      </c>
      <c r="I51">
        <v>62253</v>
      </c>
      <c r="J51">
        <v>65384</v>
      </c>
      <c r="K51">
        <v>66595</v>
      </c>
      <c r="L51">
        <v>67900</v>
      </c>
      <c r="M51">
        <v>68364</v>
      </c>
      <c r="N51" t="s">
        <v>988</v>
      </c>
    </row>
    <row r="52" spans="1:14" hidden="1" x14ac:dyDescent="0.3">
      <c r="A52">
        <v>64</v>
      </c>
      <c r="B52" t="s">
        <v>1220</v>
      </c>
      <c r="C52" t="s">
        <v>2670</v>
      </c>
      <c r="D52" t="s">
        <v>159</v>
      </c>
      <c r="E52" t="s">
        <v>159</v>
      </c>
      <c r="F52">
        <v>6851</v>
      </c>
      <c r="G52" t="s">
        <v>2673</v>
      </c>
      <c r="H52" t="s">
        <v>2665</v>
      </c>
      <c r="I52">
        <v>58819</v>
      </c>
      <c r="J52">
        <v>62637</v>
      </c>
      <c r="K52">
        <v>64114</v>
      </c>
      <c r="L52">
        <v>65705</v>
      </c>
      <c r="M52">
        <v>66271</v>
      </c>
      <c r="N52" t="s">
        <v>988</v>
      </c>
    </row>
    <row r="53" spans="1:14" hidden="1" x14ac:dyDescent="0.3">
      <c r="A53">
        <v>64</v>
      </c>
      <c r="B53" t="s">
        <v>1220</v>
      </c>
      <c r="C53" t="s">
        <v>2670</v>
      </c>
      <c r="D53" t="s">
        <v>159</v>
      </c>
      <c r="E53" t="s">
        <v>159</v>
      </c>
      <c r="F53">
        <v>6851</v>
      </c>
      <c r="G53" t="s">
        <v>2671</v>
      </c>
      <c r="H53" t="s">
        <v>2664</v>
      </c>
      <c r="I53">
        <v>62783</v>
      </c>
      <c r="J53">
        <v>65949</v>
      </c>
      <c r="K53">
        <v>67173</v>
      </c>
      <c r="L53">
        <v>68492</v>
      </c>
      <c r="M53">
        <v>68961</v>
      </c>
      <c r="N53" t="s">
        <v>988</v>
      </c>
    </row>
    <row r="54" spans="1:14" hidden="1" x14ac:dyDescent="0.3">
      <c r="A54">
        <v>64</v>
      </c>
      <c r="B54" t="s">
        <v>1220</v>
      </c>
      <c r="C54" t="s">
        <v>2670</v>
      </c>
      <c r="D54" t="s">
        <v>159</v>
      </c>
      <c r="E54" t="s">
        <v>159</v>
      </c>
      <c r="F54">
        <v>6851</v>
      </c>
      <c r="G54" t="s">
        <v>2671</v>
      </c>
      <c r="H54" t="s">
        <v>2665</v>
      </c>
      <c r="I54">
        <v>59466</v>
      </c>
      <c r="J54">
        <v>63326</v>
      </c>
      <c r="K54">
        <v>64819</v>
      </c>
      <c r="L54">
        <v>66428</v>
      </c>
      <c r="M54">
        <v>66999</v>
      </c>
      <c r="N54" t="s">
        <v>988</v>
      </c>
    </row>
    <row r="55" spans="1:14" hidden="1" x14ac:dyDescent="0.3">
      <c r="A55">
        <v>64</v>
      </c>
      <c r="B55" t="s">
        <v>1220</v>
      </c>
      <c r="C55" t="s">
        <v>2670</v>
      </c>
      <c r="D55" t="s">
        <v>159</v>
      </c>
      <c r="E55" t="s">
        <v>159</v>
      </c>
      <c r="F55">
        <v>6851</v>
      </c>
      <c r="G55" t="s">
        <v>2676</v>
      </c>
      <c r="H55" t="s">
        <v>2664</v>
      </c>
      <c r="I55">
        <v>63169</v>
      </c>
      <c r="J55">
        <v>66359</v>
      </c>
      <c r="K55">
        <v>67593</v>
      </c>
      <c r="L55">
        <v>68923</v>
      </c>
      <c r="M55">
        <v>69395</v>
      </c>
      <c r="N55" t="s">
        <v>988</v>
      </c>
    </row>
    <row r="56" spans="1:14" hidden="1" x14ac:dyDescent="0.3">
      <c r="A56">
        <v>64</v>
      </c>
      <c r="B56" t="s">
        <v>1220</v>
      </c>
      <c r="C56" t="s">
        <v>2670</v>
      </c>
      <c r="D56" t="s">
        <v>159</v>
      </c>
      <c r="E56" t="s">
        <v>159</v>
      </c>
      <c r="F56">
        <v>6851</v>
      </c>
      <c r="G56" t="s">
        <v>2672</v>
      </c>
      <c r="H56" t="s">
        <v>2665</v>
      </c>
      <c r="N56" t="s">
        <v>988</v>
      </c>
    </row>
    <row r="57" spans="1:14" hidden="1" x14ac:dyDescent="0.3">
      <c r="A57">
        <v>64</v>
      </c>
      <c r="B57" t="s">
        <v>1220</v>
      </c>
      <c r="C57" t="s">
        <v>2670</v>
      </c>
      <c r="D57" t="s">
        <v>159</v>
      </c>
      <c r="E57" t="s">
        <v>159</v>
      </c>
      <c r="F57">
        <v>6851</v>
      </c>
      <c r="G57" t="s">
        <v>2674</v>
      </c>
      <c r="H57" t="s">
        <v>2664</v>
      </c>
      <c r="I57">
        <v>63940</v>
      </c>
      <c r="J57">
        <v>67180</v>
      </c>
      <c r="K57">
        <v>68433</v>
      </c>
      <c r="L57">
        <v>69784</v>
      </c>
      <c r="M57">
        <v>70264</v>
      </c>
      <c r="N57" t="s">
        <v>988</v>
      </c>
    </row>
    <row r="58" spans="1:14" hidden="1" x14ac:dyDescent="0.3">
      <c r="A58">
        <v>64</v>
      </c>
      <c r="B58" t="s">
        <v>1220</v>
      </c>
      <c r="C58" t="s">
        <v>2670</v>
      </c>
      <c r="D58" t="s">
        <v>159</v>
      </c>
      <c r="E58" t="s">
        <v>159</v>
      </c>
      <c r="F58">
        <v>6851</v>
      </c>
      <c r="G58" t="s">
        <v>2675</v>
      </c>
      <c r="H58" t="s">
        <v>2665</v>
      </c>
      <c r="I58">
        <v>60993</v>
      </c>
      <c r="J58">
        <v>64953</v>
      </c>
      <c r="K58">
        <v>66484</v>
      </c>
      <c r="L58">
        <v>68134</v>
      </c>
      <c r="M58">
        <v>68721</v>
      </c>
      <c r="N58" t="s">
        <v>988</v>
      </c>
    </row>
    <row r="59" spans="1:14" hidden="1" x14ac:dyDescent="0.3">
      <c r="A59">
        <v>64</v>
      </c>
      <c r="B59" t="s">
        <v>1220</v>
      </c>
      <c r="C59" t="s">
        <v>2670</v>
      </c>
      <c r="D59" t="s">
        <v>159</v>
      </c>
      <c r="E59" t="s">
        <v>159</v>
      </c>
      <c r="F59">
        <v>6851</v>
      </c>
      <c r="G59" t="s">
        <v>2675</v>
      </c>
      <c r="H59" t="s">
        <v>2664</v>
      </c>
      <c r="I59">
        <v>64036</v>
      </c>
      <c r="J59">
        <v>67283</v>
      </c>
      <c r="K59">
        <v>68539</v>
      </c>
      <c r="L59">
        <v>69892</v>
      </c>
      <c r="M59">
        <v>70373</v>
      </c>
      <c r="N59" t="s">
        <v>988</v>
      </c>
    </row>
    <row r="60" spans="1:14" hidden="1" x14ac:dyDescent="0.3">
      <c r="A60">
        <v>64</v>
      </c>
      <c r="B60" t="s">
        <v>1220</v>
      </c>
      <c r="C60" t="s">
        <v>2670</v>
      </c>
      <c r="D60" t="s">
        <v>159</v>
      </c>
      <c r="E60" t="s">
        <v>159</v>
      </c>
      <c r="F60">
        <v>6851</v>
      </c>
      <c r="G60" t="s">
        <v>2676</v>
      </c>
      <c r="H60" t="s">
        <v>2665</v>
      </c>
      <c r="I60">
        <v>59936</v>
      </c>
      <c r="J60">
        <v>63826</v>
      </c>
      <c r="K60">
        <v>65331</v>
      </c>
      <c r="L60">
        <v>66953</v>
      </c>
      <c r="M60">
        <v>67529</v>
      </c>
      <c r="N60" t="s">
        <v>988</v>
      </c>
    </row>
    <row r="61" spans="1:14" hidden="1" x14ac:dyDescent="0.3">
      <c r="A61">
        <v>64</v>
      </c>
      <c r="B61" t="s">
        <v>1220</v>
      </c>
      <c r="C61" t="s">
        <v>2670</v>
      </c>
      <c r="D61" t="s">
        <v>159</v>
      </c>
      <c r="E61" t="s">
        <v>159</v>
      </c>
      <c r="F61">
        <v>6851</v>
      </c>
      <c r="G61" t="s">
        <v>2672</v>
      </c>
      <c r="H61" t="s">
        <v>2664</v>
      </c>
      <c r="N61" t="s">
        <v>988</v>
      </c>
    </row>
    <row r="62" spans="1:14" hidden="1" x14ac:dyDescent="0.3">
      <c r="A62">
        <v>82</v>
      </c>
      <c r="B62" t="s">
        <v>1224</v>
      </c>
      <c r="C62" t="s">
        <v>2670</v>
      </c>
      <c r="D62" t="s">
        <v>159</v>
      </c>
      <c r="E62" t="s">
        <v>159</v>
      </c>
      <c r="F62">
        <v>6783</v>
      </c>
      <c r="G62" t="s">
        <v>2672</v>
      </c>
      <c r="H62" t="s">
        <v>2665</v>
      </c>
      <c r="N62" t="s">
        <v>988</v>
      </c>
    </row>
    <row r="63" spans="1:14" hidden="1" x14ac:dyDescent="0.3">
      <c r="A63">
        <v>82</v>
      </c>
      <c r="B63" t="s">
        <v>1224</v>
      </c>
      <c r="C63" t="s">
        <v>2670</v>
      </c>
      <c r="D63" t="s">
        <v>159</v>
      </c>
      <c r="E63" t="s">
        <v>159</v>
      </c>
      <c r="F63">
        <v>6783</v>
      </c>
      <c r="G63" t="s">
        <v>2672</v>
      </c>
      <c r="H63" t="s">
        <v>2664</v>
      </c>
      <c r="N63" t="s">
        <v>988</v>
      </c>
    </row>
    <row r="64" spans="1:14" hidden="1" x14ac:dyDescent="0.3">
      <c r="A64">
        <v>82</v>
      </c>
      <c r="B64" t="s">
        <v>1224</v>
      </c>
      <c r="C64" t="s">
        <v>2670</v>
      </c>
      <c r="D64" t="s">
        <v>159</v>
      </c>
      <c r="E64" t="s">
        <v>159</v>
      </c>
      <c r="F64">
        <v>6783</v>
      </c>
      <c r="G64" t="s">
        <v>2671</v>
      </c>
      <c r="H64" t="s">
        <v>2665</v>
      </c>
      <c r="I64">
        <v>14356.257362300001</v>
      </c>
      <c r="J64">
        <v>14620.181717400001</v>
      </c>
      <c r="K64">
        <v>14881.03718465</v>
      </c>
      <c r="L64">
        <v>15141.8926519</v>
      </c>
      <c r="M64">
        <v>15408.88589485</v>
      </c>
      <c r="N64" t="s">
        <v>988</v>
      </c>
    </row>
    <row r="65" spans="1:14" hidden="1" x14ac:dyDescent="0.3">
      <c r="A65">
        <v>82</v>
      </c>
      <c r="B65" t="s">
        <v>1224</v>
      </c>
      <c r="C65" t="s">
        <v>2670</v>
      </c>
      <c r="D65" t="s">
        <v>159</v>
      </c>
      <c r="E65" t="s">
        <v>159</v>
      </c>
      <c r="F65">
        <v>6783</v>
      </c>
      <c r="G65" t="s">
        <v>2671</v>
      </c>
      <c r="H65" t="s">
        <v>2664</v>
      </c>
      <c r="I65">
        <v>18671.113679400001</v>
      </c>
      <c r="J65">
        <v>18683.389230799999</v>
      </c>
      <c r="K65">
        <v>18695.664782200001</v>
      </c>
      <c r="L65">
        <v>18707.9403336</v>
      </c>
      <c r="M65">
        <v>18723.284772849998</v>
      </c>
      <c r="N65" t="s">
        <v>988</v>
      </c>
    </row>
    <row r="66" spans="1:14" hidden="1" x14ac:dyDescent="0.3">
      <c r="A66">
        <v>82</v>
      </c>
      <c r="B66" t="s">
        <v>1224</v>
      </c>
      <c r="C66" t="s">
        <v>2670</v>
      </c>
      <c r="D66" t="s">
        <v>159</v>
      </c>
      <c r="E66" t="s">
        <v>159</v>
      </c>
      <c r="F66">
        <v>6783</v>
      </c>
      <c r="G66" t="s">
        <v>2673</v>
      </c>
      <c r="H66" t="s">
        <v>2665</v>
      </c>
      <c r="I66">
        <v>14356.257362300001</v>
      </c>
      <c r="J66">
        <v>14620.181717400001</v>
      </c>
      <c r="K66">
        <v>14881.03718465</v>
      </c>
      <c r="L66">
        <v>15141.8926519</v>
      </c>
      <c r="M66">
        <v>15408.88589485</v>
      </c>
      <c r="N66" t="s">
        <v>988</v>
      </c>
    </row>
    <row r="67" spans="1:14" hidden="1" x14ac:dyDescent="0.3">
      <c r="A67">
        <v>82</v>
      </c>
      <c r="B67" t="s">
        <v>1224</v>
      </c>
      <c r="C67" t="s">
        <v>2670</v>
      </c>
      <c r="D67" t="s">
        <v>159</v>
      </c>
      <c r="E67" t="s">
        <v>159</v>
      </c>
      <c r="F67">
        <v>6783</v>
      </c>
      <c r="G67" t="s">
        <v>2673</v>
      </c>
      <c r="H67" t="s">
        <v>2664</v>
      </c>
      <c r="I67">
        <v>17848.6517356</v>
      </c>
      <c r="J67">
        <v>17860.927286999999</v>
      </c>
      <c r="K67">
        <v>17873.2028384</v>
      </c>
      <c r="L67">
        <v>17885.478389799999</v>
      </c>
      <c r="M67">
        <v>17900.822829050001</v>
      </c>
      <c r="N67" t="s">
        <v>988</v>
      </c>
    </row>
    <row r="68" spans="1:14" hidden="1" x14ac:dyDescent="0.3">
      <c r="A68">
        <v>82</v>
      </c>
      <c r="B68" t="s">
        <v>1224</v>
      </c>
      <c r="C68" t="s">
        <v>2670</v>
      </c>
      <c r="D68" t="s">
        <v>159</v>
      </c>
      <c r="E68" t="s">
        <v>159</v>
      </c>
      <c r="F68">
        <v>6783</v>
      </c>
      <c r="G68" t="s">
        <v>2674</v>
      </c>
      <c r="H68" t="s">
        <v>2665</v>
      </c>
      <c r="I68">
        <v>14356.257362300001</v>
      </c>
      <c r="J68">
        <v>14620.181717400001</v>
      </c>
      <c r="K68">
        <v>14881.03718465</v>
      </c>
      <c r="L68">
        <v>15141.8926519</v>
      </c>
      <c r="M68">
        <v>15408.88589485</v>
      </c>
      <c r="N68" t="s">
        <v>988</v>
      </c>
    </row>
    <row r="69" spans="1:14" hidden="1" x14ac:dyDescent="0.3">
      <c r="A69">
        <v>82</v>
      </c>
      <c r="B69" t="s">
        <v>1224</v>
      </c>
      <c r="C69" t="s">
        <v>2670</v>
      </c>
      <c r="D69" t="s">
        <v>159</v>
      </c>
      <c r="E69" t="s">
        <v>159</v>
      </c>
      <c r="F69">
        <v>6783</v>
      </c>
      <c r="G69" t="s">
        <v>2674</v>
      </c>
      <c r="H69" t="s">
        <v>2664</v>
      </c>
      <c r="I69">
        <v>19297.166800800002</v>
      </c>
      <c r="J69">
        <v>19309.4423522</v>
      </c>
      <c r="K69">
        <v>19321.717903600002</v>
      </c>
      <c r="L69">
        <v>19333.993455</v>
      </c>
      <c r="M69">
        <v>19349.337894249998</v>
      </c>
      <c r="N69" t="s">
        <v>988</v>
      </c>
    </row>
    <row r="70" spans="1:14" hidden="1" x14ac:dyDescent="0.3">
      <c r="A70">
        <v>82</v>
      </c>
      <c r="B70" t="s">
        <v>1224</v>
      </c>
      <c r="C70" t="s">
        <v>2670</v>
      </c>
      <c r="D70" t="s">
        <v>159</v>
      </c>
      <c r="E70" t="s">
        <v>159</v>
      </c>
      <c r="F70">
        <v>6783</v>
      </c>
      <c r="G70" t="s">
        <v>2675</v>
      </c>
      <c r="H70" t="s">
        <v>2665</v>
      </c>
      <c r="I70">
        <v>14356.257362300001</v>
      </c>
      <c r="J70">
        <v>14620.181717400001</v>
      </c>
      <c r="K70">
        <v>14881.03718465</v>
      </c>
      <c r="L70">
        <v>15141.8926519</v>
      </c>
      <c r="M70">
        <v>15408.88589485</v>
      </c>
      <c r="N70" t="s">
        <v>988</v>
      </c>
    </row>
    <row r="71" spans="1:14" hidden="1" x14ac:dyDescent="0.3">
      <c r="A71">
        <v>82</v>
      </c>
      <c r="B71" t="s">
        <v>1224</v>
      </c>
      <c r="C71" t="s">
        <v>2670</v>
      </c>
      <c r="D71" t="s">
        <v>159</v>
      </c>
      <c r="E71" t="s">
        <v>159</v>
      </c>
      <c r="F71">
        <v>6783</v>
      </c>
      <c r="G71" t="s">
        <v>2675</v>
      </c>
      <c r="H71" t="s">
        <v>2664</v>
      </c>
      <c r="I71">
        <v>20736.475202450001</v>
      </c>
      <c r="J71">
        <v>20748.750753849999</v>
      </c>
      <c r="K71">
        <v>20757.957417400001</v>
      </c>
      <c r="L71">
        <v>20770.232968799999</v>
      </c>
      <c r="M71">
        <v>20785.577408050001</v>
      </c>
      <c r="N71" t="s">
        <v>988</v>
      </c>
    </row>
    <row r="72" spans="1:14" hidden="1" x14ac:dyDescent="0.3">
      <c r="A72">
        <v>82</v>
      </c>
      <c r="B72" t="s">
        <v>1224</v>
      </c>
      <c r="C72" t="s">
        <v>2670</v>
      </c>
      <c r="D72" t="s">
        <v>159</v>
      </c>
      <c r="E72" t="s">
        <v>159</v>
      </c>
      <c r="F72">
        <v>6783</v>
      </c>
      <c r="G72" t="s">
        <v>2676</v>
      </c>
      <c r="H72" t="s">
        <v>2665</v>
      </c>
      <c r="I72">
        <v>14356.257362300001</v>
      </c>
      <c r="J72">
        <v>14620.181717400001</v>
      </c>
      <c r="K72">
        <v>14881.03718465</v>
      </c>
      <c r="L72">
        <v>15141.8926519</v>
      </c>
      <c r="M72">
        <v>15408.88589485</v>
      </c>
      <c r="N72" t="s">
        <v>988</v>
      </c>
    </row>
    <row r="73" spans="1:14" hidden="1" x14ac:dyDescent="0.3">
      <c r="A73">
        <v>82</v>
      </c>
      <c r="B73" t="s">
        <v>1224</v>
      </c>
      <c r="C73" t="s">
        <v>2670</v>
      </c>
      <c r="D73" t="s">
        <v>159</v>
      </c>
      <c r="E73" t="s">
        <v>159</v>
      </c>
      <c r="F73">
        <v>6783</v>
      </c>
      <c r="G73" t="s">
        <v>2676</v>
      </c>
      <c r="H73" t="s">
        <v>2664</v>
      </c>
      <c r="I73">
        <v>21046.432875300001</v>
      </c>
      <c r="J73">
        <v>21058.708426699999</v>
      </c>
      <c r="K73">
        <v>21070.983978100001</v>
      </c>
      <c r="L73">
        <v>21083.259529499999</v>
      </c>
      <c r="M73">
        <v>21098.603968750002</v>
      </c>
      <c r="N73" t="s">
        <v>988</v>
      </c>
    </row>
    <row r="74" spans="1:14" hidden="1" x14ac:dyDescent="0.3">
      <c r="A74">
        <v>87</v>
      </c>
      <c r="B74" t="s">
        <v>1228</v>
      </c>
      <c r="C74" t="s">
        <v>2670</v>
      </c>
      <c r="D74" t="s">
        <v>1203</v>
      </c>
      <c r="E74" t="s">
        <v>1204</v>
      </c>
      <c r="F74">
        <v>5448</v>
      </c>
      <c r="G74" t="s">
        <v>2672</v>
      </c>
      <c r="H74" t="s">
        <v>2665</v>
      </c>
      <c r="N74" t="s">
        <v>988</v>
      </c>
    </row>
    <row r="75" spans="1:14" hidden="1" x14ac:dyDescent="0.3">
      <c r="A75">
        <v>87</v>
      </c>
      <c r="B75" t="s">
        <v>1228</v>
      </c>
      <c r="C75" t="s">
        <v>2670</v>
      </c>
      <c r="D75" t="s">
        <v>1203</v>
      </c>
      <c r="E75" t="s">
        <v>1204</v>
      </c>
      <c r="F75">
        <v>5448</v>
      </c>
      <c r="G75" t="s">
        <v>2672</v>
      </c>
      <c r="H75" t="s">
        <v>2664</v>
      </c>
      <c r="N75" t="s">
        <v>988</v>
      </c>
    </row>
    <row r="76" spans="1:14" hidden="1" x14ac:dyDescent="0.3">
      <c r="A76">
        <v>87</v>
      </c>
      <c r="B76" t="s">
        <v>1228</v>
      </c>
      <c r="C76" t="s">
        <v>2670</v>
      </c>
      <c r="D76" t="s">
        <v>1203</v>
      </c>
      <c r="E76" t="s">
        <v>1204</v>
      </c>
      <c r="F76">
        <v>5448</v>
      </c>
      <c r="G76" t="s">
        <v>2671</v>
      </c>
      <c r="H76" t="s">
        <v>2665</v>
      </c>
      <c r="I76">
        <v>14296</v>
      </c>
      <c r="J76">
        <v>14856</v>
      </c>
      <c r="K76">
        <v>15446</v>
      </c>
      <c r="L76">
        <v>16069</v>
      </c>
      <c r="M76">
        <v>16726</v>
      </c>
      <c r="N76" t="s">
        <v>988</v>
      </c>
    </row>
    <row r="77" spans="1:14" hidden="1" x14ac:dyDescent="0.3">
      <c r="A77">
        <v>87</v>
      </c>
      <c r="B77" t="s">
        <v>1228</v>
      </c>
      <c r="C77" t="s">
        <v>2670</v>
      </c>
      <c r="D77" t="s">
        <v>1203</v>
      </c>
      <c r="E77" t="s">
        <v>1204</v>
      </c>
      <c r="F77">
        <v>5448</v>
      </c>
      <c r="G77" t="s">
        <v>2671</v>
      </c>
      <c r="H77" t="s">
        <v>2664</v>
      </c>
      <c r="I77">
        <v>14296</v>
      </c>
      <c r="J77">
        <v>14856</v>
      </c>
      <c r="K77">
        <v>15446</v>
      </c>
      <c r="L77">
        <v>16069</v>
      </c>
      <c r="M77">
        <v>16726</v>
      </c>
      <c r="N77" t="s">
        <v>988</v>
      </c>
    </row>
    <row r="78" spans="1:14" hidden="1" x14ac:dyDescent="0.3">
      <c r="A78">
        <v>87</v>
      </c>
      <c r="B78" t="s">
        <v>1228</v>
      </c>
      <c r="C78" t="s">
        <v>2670</v>
      </c>
      <c r="D78" t="s">
        <v>1203</v>
      </c>
      <c r="E78" t="s">
        <v>1204</v>
      </c>
      <c r="F78">
        <v>5448</v>
      </c>
      <c r="G78" t="s">
        <v>2673</v>
      </c>
      <c r="H78" t="s">
        <v>2665</v>
      </c>
      <c r="I78">
        <v>17440</v>
      </c>
      <c r="J78">
        <v>18122</v>
      </c>
      <c r="K78">
        <v>18842</v>
      </c>
      <c r="L78">
        <v>19602</v>
      </c>
      <c r="M78">
        <v>20403</v>
      </c>
      <c r="N78" t="s">
        <v>988</v>
      </c>
    </row>
    <row r="79" spans="1:14" hidden="1" x14ac:dyDescent="0.3">
      <c r="A79">
        <v>87</v>
      </c>
      <c r="B79" t="s">
        <v>1228</v>
      </c>
      <c r="C79" t="s">
        <v>2670</v>
      </c>
      <c r="D79" t="s">
        <v>1203</v>
      </c>
      <c r="E79" t="s">
        <v>1204</v>
      </c>
      <c r="F79">
        <v>5448</v>
      </c>
      <c r="G79" t="s">
        <v>2676</v>
      </c>
      <c r="H79" t="s">
        <v>2664</v>
      </c>
      <c r="I79">
        <v>19285</v>
      </c>
      <c r="J79">
        <v>20039</v>
      </c>
      <c r="K79">
        <v>20835</v>
      </c>
      <c r="L79">
        <v>21675</v>
      </c>
      <c r="M79">
        <v>22561</v>
      </c>
      <c r="N79" t="s">
        <v>988</v>
      </c>
    </row>
    <row r="80" spans="1:14" hidden="1" x14ac:dyDescent="0.3">
      <c r="A80">
        <v>87</v>
      </c>
      <c r="B80" t="s">
        <v>1228</v>
      </c>
      <c r="C80" t="s">
        <v>2670</v>
      </c>
      <c r="D80" t="s">
        <v>1203</v>
      </c>
      <c r="E80" t="s">
        <v>1204</v>
      </c>
      <c r="F80">
        <v>5448</v>
      </c>
      <c r="G80" t="s">
        <v>2674</v>
      </c>
      <c r="H80" t="s">
        <v>2665</v>
      </c>
      <c r="I80">
        <v>18114</v>
      </c>
      <c r="J80">
        <v>18823</v>
      </c>
      <c r="K80">
        <v>19571</v>
      </c>
      <c r="L80">
        <v>20360</v>
      </c>
      <c r="M80">
        <v>21192</v>
      </c>
      <c r="N80" t="s">
        <v>988</v>
      </c>
    </row>
    <row r="81" spans="1:14" hidden="1" x14ac:dyDescent="0.3">
      <c r="A81">
        <v>87</v>
      </c>
      <c r="B81" t="s">
        <v>1228</v>
      </c>
      <c r="C81" t="s">
        <v>2670</v>
      </c>
      <c r="D81" t="s">
        <v>1203</v>
      </c>
      <c r="E81" t="s">
        <v>1204</v>
      </c>
      <c r="F81">
        <v>5448</v>
      </c>
      <c r="G81" t="s">
        <v>2674</v>
      </c>
      <c r="H81" t="s">
        <v>2664</v>
      </c>
      <c r="I81">
        <v>18114</v>
      </c>
      <c r="J81">
        <v>18823</v>
      </c>
      <c r="K81">
        <v>19571</v>
      </c>
      <c r="L81">
        <v>20360</v>
      </c>
      <c r="M81">
        <v>21192</v>
      </c>
      <c r="N81" t="s">
        <v>988</v>
      </c>
    </row>
    <row r="82" spans="1:14" hidden="1" x14ac:dyDescent="0.3">
      <c r="A82">
        <v>87</v>
      </c>
      <c r="B82" t="s">
        <v>1228</v>
      </c>
      <c r="C82" t="s">
        <v>2670</v>
      </c>
      <c r="D82" t="s">
        <v>1203</v>
      </c>
      <c r="E82" t="s">
        <v>1204</v>
      </c>
      <c r="F82">
        <v>5448</v>
      </c>
      <c r="G82" t="s">
        <v>2675</v>
      </c>
      <c r="H82" t="s">
        <v>2665</v>
      </c>
      <c r="I82">
        <v>17760</v>
      </c>
      <c r="J82">
        <v>18454</v>
      </c>
      <c r="K82">
        <v>19188</v>
      </c>
      <c r="L82">
        <v>19961</v>
      </c>
      <c r="M82">
        <v>20777</v>
      </c>
      <c r="N82" t="s">
        <v>988</v>
      </c>
    </row>
    <row r="83" spans="1:14" hidden="1" x14ac:dyDescent="0.3">
      <c r="A83">
        <v>87</v>
      </c>
      <c r="B83" t="s">
        <v>1228</v>
      </c>
      <c r="C83" t="s">
        <v>2670</v>
      </c>
      <c r="D83" t="s">
        <v>1203</v>
      </c>
      <c r="E83" t="s">
        <v>1204</v>
      </c>
      <c r="F83">
        <v>5448</v>
      </c>
      <c r="G83" t="s">
        <v>2675</v>
      </c>
      <c r="H83" t="s">
        <v>2664</v>
      </c>
      <c r="I83">
        <v>17760</v>
      </c>
      <c r="J83">
        <v>18454</v>
      </c>
      <c r="K83">
        <v>19188</v>
      </c>
      <c r="L83">
        <v>19961</v>
      </c>
      <c r="M83">
        <v>20777</v>
      </c>
      <c r="N83" t="s">
        <v>988</v>
      </c>
    </row>
    <row r="84" spans="1:14" hidden="1" x14ac:dyDescent="0.3">
      <c r="A84">
        <v>87</v>
      </c>
      <c r="B84" t="s">
        <v>1228</v>
      </c>
      <c r="C84" t="s">
        <v>2670</v>
      </c>
      <c r="D84" t="s">
        <v>1203</v>
      </c>
      <c r="E84" t="s">
        <v>1204</v>
      </c>
      <c r="F84">
        <v>5448</v>
      </c>
      <c r="G84" t="s">
        <v>2676</v>
      </c>
      <c r="H84" t="s">
        <v>2665</v>
      </c>
      <c r="I84">
        <v>19285</v>
      </c>
      <c r="J84">
        <v>20039</v>
      </c>
      <c r="K84">
        <v>20835</v>
      </c>
      <c r="L84">
        <v>21675</v>
      </c>
      <c r="M84">
        <v>22561</v>
      </c>
      <c r="N84" t="s">
        <v>988</v>
      </c>
    </row>
    <row r="85" spans="1:14" hidden="1" x14ac:dyDescent="0.3">
      <c r="A85">
        <v>87</v>
      </c>
      <c r="B85" t="s">
        <v>1228</v>
      </c>
      <c r="C85" t="s">
        <v>2670</v>
      </c>
      <c r="D85" t="s">
        <v>1203</v>
      </c>
      <c r="E85" t="s">
        <v>1204</v>
      </c>
      <c r="F85">
        <v>5448</v>
      </c>
      <c r="G85" t="s">
        <v>2673</v>
      </c>
      <c r="H85" t="s">
        <v>2664</v>
      </c>
      <c r="I85">
        <v>17440</v>
      </c>
      <c r="J85">
        <v>18122</v>
      </c>
      <c r="K85">
        <v>18842</v>
      </c>
      <c r="L85">
        <v>19602</v>
      </c>
      <c r="M85">
        <v>20403</v>
      </c>
      <c r="N85" t="s">
        <v>988</v>
      </c>
    </row>
    <row r="86" spans="1:14" hidden="1" x14ac:dyDescent="0.3">
      <c r="A86">
        <v>93</v>
      </c>
      <c r="B86" t="s">
        <v>1231</v>
      </c>
      <c r="C86" t="s">
        <v>2670</v>
      </c>
      <c r="D86" t="s">
        <v>159</v>
      </c>
      <c r="E86" t="s">
        <v>159</v>
      </c>
      <c r="F86">
        <v>5447</v>
      </c>
      <c r="G86" t="s">
        <v>2672</v>
      </c>
      <c r="H86" t="s">
        <v>2665</v>
      </c>
      <c r="N86" t="s">
        <v>988</v>
      </c>
    </row>
    <row r="87" spans="1:14" hidden="1" x14ac:dyDescent="0.3">
      <c r="A87">
        <v>93</v>
      </c>
      <c r="B87" t="s">
        <v>1231</v>
      </c>
      <c r="C87" t="s">
        <v>2670</v>
      </c>
      <c r="D87" t="s">
        <v>159</v>
      </c>
      <c r="E87" t="s">
        <v>159</v>
      </c>
      <c r="F87">
        <v>5447</v>
      </c>
      <c r="G87" t="s">
        <v>2672</v>
      </c>
      <c r="H87" t="s">
        <v>2664</v>
      </c>
      <c r="N87" t="s">
        <v>988</v>
      </c>
    </row>
    <row r="88" spans="1:14" hidden="1" x14ac:dyDescent="0.3">
      <c r="A88">
        <v>93</v>
      </c>
      <c r="B88" t="s">
        <v>1231</v>
      </c>
      <c r="C88" t="s">
        <v>2670</v>
      </c>
      <c r="D88" t="s">
        <v>159</v>
      </c>
      <c r="E88" t="s">
        <v>159</v>
      </c>
      <c r="F88">
        <v>5447</v>
      </c>
      <c r="G88" t="s">
        <v>2671</v>
      </c>
      <c r="H88" t="s">
        <v>2665</v>
      </c>
      <c r="I88">
        <v>12960</v>
      </c>
      <c r="J88">
        <v>13144</v>
      </c>
      <c r="K88">
        <v>13331</v>
      </c>
      <c r="L88">
        <v>13521</v>
      </c>
      <c r="M88">
        <v>13714</v>
      </c>
      <c r="N88" t="s">
        <v>988</v>
      </c>
    </row>
    <row r="89" spans="1:14" hidden="1" x14ac:dyDescent="0.3">
      <c r="A89">
        <v>93</v>
      </c>
      <c r="B89" t="s">
        <v>1231</v>
      </c>
      <c r="C89" t="s">
        <v>2670</v>
      </c>
      <c r="D89" t="s">
        <v>159</v>
      </c>
      <c r="E89" t="s">
        <v>159</v>
      </c>
      <c r="F89">
        <v>5447</v>
      </c>
      <c r="G89" t="s">
        <v>2671</v>
      </c>
      <c r="H89" t="s">
        <v>2664</v>
      </c>
      <c r="I89">
        <v>12960</v>
      </c>
      <c r="J89">
        <v>13144</v>
      </c>
      <c r="K89">
        <v>13331</v>
      </c>
      <c r="L89">
        <v>13521</v>
      </c>
      <c r="M89">
        <v>13714</v>
      </c>
      <c r="N89" t="s">
        <v>988</v>
      </c>
    </row>
    <row r="90" spans="1:14" hidden="1" x14ac:dyDescent="0.3">
      <c r="A90">
        <v>93</v>
      </c>
      <c r="B90" t="s">
        <v>1231</v>
      </c>
      <c r="C90" t="s">
        <v>2670</v>
      </c>
      <c r="D90" t="s">
        <v>159</v>
      </c>
      <c r="E90" t="s">
        <v>159</v>
      </c>
      <c r="F90">
        <v>5447</v>
      </c>
      <c r="G90" t="s">
        <v>2673</v>
      </c>
      <c r="H90" t="s">
        <v>2665</v>
      </c>
      <c r="I90">
        <v>16058</v>
      </c>
      <c r="J90">
        <v>16286</v>
      </c>
      <c r="K90">
        <v>16518</v>
      </c>
      <c r="L90">
        <v>16754</v>
      </c>
      <c r="M90">
        <v>16993</v>
      </c>
      <c r="N90" t="s">
        <v>988</v>
      </c>
    </row>
    <row r="91" spans="1:14" hidden="1" x14ac:dyDescent="0.3">
      <c r="A91">
        <v>93</v>
      </c>
      <c r="B91" t="s">
        <v>1231</v>
      </c>
      <c r="C91" t="s">
        <v>2670</v>
      </c>
      <c r="D91" t="s">
        <v>159</v>
      </c>
      <c r="E91" t="s">
        <v>159</v>
      </c>
      <c r="F91">
        <v>5447</v>
      </c>
      <c r="G91" t="s">
        <v>2676</v>
      </c>
      <c r="H91" t="s">
        <v>2664</v>
      </c>
      <c r="I91">
        <v>17182</v>
      </c>
      <c r="J91">
        <v>17427</v>
      </c>
      <c r="K91">
        <v>17675</v>
      </c>
      <c r="L91">
        <v>17927</v>
      </c>
      <c r="M91">
        <v>18182</v>
      </c>
      <c r="N91" t="s">
        <v>988</v>
      </c>
    </row>
    <row r="92" spans="1:14" hidden="1" x14ac:dyDescent="0.3">
      <c r="A92">
        <v>93</v>
      </c>
      <c r="B92" t="s">
        <v>1231</v>
      </c>
      <c r="C92" t="s">
        <v>2670</v>
      </c>
      <c r="D92" t="s">
        <v>159</v>
      </c>
      <c r="E92" t="s">
        <v>159</v>
      </c>
      <c r="F92">
        <v>5447</v>
      </c>
      <c r="G92" t="s">
        <v>2674</v>
      </c>
      <c r="H92" t="s">
        <v>2665</v>
      </c>
      <c r="I92">
        <v>18286</v>
      </c>
      <c r="J92">
        <v>18546</v>
      </c>
      <c r="K92">
        <v>18810</v>
      </c>
      <c r="L92">
        <v>19078</v>
      </c>
      <c r="M92">
        <v>19350</v>
      </c>
      <c r="N92" t="s">
        <v>988</v>
      </c>
    </row>
    <row r="93" spans="1:14" hidden="1" x14ac:dyDescent="0.3">
      <c r="A93">
        <v>93</v>
      </c>
      <c r="B93" t="s">
        <v>1231</v>
      </c>
      <c r="C93" t="s">
        <v>2670</v>
      </c>
      <c r="D93" t="s">
        <v>159</v>
      </c>
      <c r="E93" t="s">
        <v>159</v>
      </c>
      <c r="F93">
        <v>5447</v>
      </c>
      <c r="G93" t="s">
        <v>2674</v>
      </c>
      <c r="H93" t="s">
        <v>2664</v>
      </c>
      <c r="I93">
        <v>18286</v>
      </c>
      <c r="J93">
        <v>18546</v>
      </c>
      <c r="K93">
        <v>18810</v>
      </c>
      <c r="L93">
        <v>19078</v>
      </c>
      <c r="M93">
        <v>19350</v>
      </c>
      <c r="N93" t="s">
        <v>988</v>
      </c>
    </row>
    <row r="94" spans="1:14" hidden="1" x14ac:dyDescent="0.3">
      <c r="A94">
        <v>93</v>
      </c>
      <c r="B94" t="s">
        <v>1231</v>
      </c>
      <c r="C94" t="s">
        <v>2670</v>
      </c>
      <c r="D94" t="s">
        <v>159</v>
      </c>
      <c r="E94" t="s">
        <v>159</v>
      </c>
      <c r="F94">
        <v>5447</v>
      </c>
      <c r="G94" t="s">
        <v>2675</v>
      </c>
      <c r="H94" t="s">
        <v>2665</v>
      </c>
      <c r="I94">
        <v>18033</v>
      </c>
      <c r="J94">
        <v>18290</v>
      </c>
      <c r="K94">
        <v>18551</v>
      </c>
      <c r="L94">
        <v>18815</v>
      </c>
      <c r="M94">
        <v>19083</v>
      </c>
      <c r="N94" t="s">
        <v>988</v>
      </c>
    </row>
    <row r="95" spans="1:14" hidden="1" x14ac:dyDescent="0.3">
      <c r="A95">
        <v>93</v>
      </c>
      <c r="B95" t="s">
        <v>1231</v>
      </c>
      <c r="C95" t="s">
        <v>2670</v>
      </c>
      <c r="D95" t="s">
        <v>159</v>
      </c>
      <c r="E95" t="s">
        <v>159</v>
      </c>
      <c r="F95">
        <v>5447</v>
      </c>
      <c r="G95" t="s">
        <v>2675</v>
      </c>
      <c r="H95" t="s">
        <v>2664</v>
      </c>
      <c r="I95">
        <v>18033</v>
      </c>
      <c r="J95">
        <v>18290</v>
      </c>
      <c r="K95">
        <v>18551</v>
      </c>
      <c r="L95">
        <v>18815</v>
      </c>
      <c r="M95">
        <v>19083</v>
      </c>
      <c r="N95" t="s">
        <v>988</v>
      </c>
    </row>
    <row r="96" spans="1:14" hidden="1" x14ac:dyDescent="0.3">
      <c r="A96">
        <v>93</v>
      </c>
      <c r="B96" t="s">
        <v>1231</v>
      </c>
      <c r="C96" t="s">
        <v>2670</v>
      </c>
      <c r="D96" t="s">
        <v>159</v>
      </c>
      <c r="E96" t="s">
        <v>159</v>
      </c>
      <c r="F96">
        <v>5447</v>
      </c>
      <c r="G96" t="s">
        <v>2676</v>
      </c>
      <c r="H96" t="s">
        <v>2665</v>
      </c>
      <c r="I96">
        <v>17182</v>
      </c>
      <c r="J96">
        <v>17427</v>
      </c>
      <c r="K96">
        <v>17675</v>
      </c>
      <c r="L96">
        <v>17927</v>
      </c>
      <c r="M96">
        <v>18182</v>
      </c>
      <c r="N96" t="s">
        <v>988</v>
      </c>
    </row>
    <row r="97" spans="1:14" hidden="1" x14ac:dyDescent="0.3">
      <c r="A97">
        <v>93</v>
      </c>
      <c r="B97" t="s">
        <v>1231</v>
      </c>
      <c r="C97" t="s">
        <v>2670</v>
      </c>
      <c r="D97" t="s">
        <v>159</v>
      </c>
      <c r="E97" t="s">
        <v>159</v>
      </c>
      <c r="F97">
        <v>5447</v>
      </c>
      <c r="G97" t="s">
        <v>2673</v>
      </c>
      <c r="H97" t="s">
        <v>2664</v>
      </c>
      <c r="I97">
        <v>16058</v>
      </c>
      <c r="J97">
        <v>16286</v>
      </c>
      <c r="K97">
        <v>16518</v>
      </c>
      <c r="L97">
        <v>16754</v>
      </c>
      <c r="M97">
        <v>16993</v>
      </c>
      <c r="N97" t="s">
        <v>988</v>
      </c>
    </row>
    <row r="98" spans="1:14" hidden="1" x14ac:dyDescent="0.3">
      <c r="A98">
        <v>94</v>
      </c>
      <c r="B98" t="s">
        <v>1232</v>
      </c>
      <c r="C98" t="s">
        <v>2670</v>
      </c>
      <c r="D98" t="s">
        <v>159</v>
      </c>
      <c r="E98" t="s">
        <v>159</v>
      </c>
      <c r="F98">
        <v>7274</v>
      </c>
      <c r="G98" t="s">
        <v>2676</v>
      </c>
      <c r="H98" t="s">
        <v>2664</v>
      </c>
      <c r="I98">
        <v>4201.3074666499997</v>
      </c>
      <c r="J98">
        <v>4201.3074666499997</v>
      </c>
      <c r="K98">
        <v>4201.3074666499997</v>
      </c>
      <c r="L98">
        <v>4201.3074666499997</v>
      </c>
      <c r="M98">
        <v>4201.3074666499997</v>
      </c>
      <c r="N98" t="s">
        <v>988</v>
      </c>
    </row>
    <row r="99" spans="1:14" hidden="1" x14ac:dyDescent="0.3">
      <c r="A99">
        <v>94</v>
      </c>
      <c r="B99" t="s">
        <v>1232</v>
      </c>
      <c r="C99" t="s">
        <v>2670</v>
      </c>
      <c r="D99" t="s">
        <v>159</v>
      </c>
      <c r="E99" t="s">
        <v>159</v>
      </c>
      <c r="F99">
        <v>7274</v>
      </c>
      <c r="G99" t="s">
        <v>2676</v>
      </c>
      <c r="H99" t="s">
        <v>2665</v>
      </c>
      <c r="I99">
        <v>1997.84599035</v>
      </c>
      <c r="J99">
        <v>2102.1881772500001</v>
      </c>
      <c r="K99">
        <v>2212.66813985</v>
      </c>
      <c r="L99">
        <v>2329.2858781499999</v>
      </c>
      <c r="M99">
        <v>2455.1102799999999</v>
      </c>
      <c r="N99" t="s">
        <v>988</v>
      </c>
    </row>
    <row r="100" spans="1:14" hidden="1" x14ac:dyDescent="0.3">
      <c r="A100">
        <v>94</v>
      </c>
      <c r="B100" t="s">
        <v>1232</v>
      </c>
      <c r="C100" t="s">
        <v>2670</v>
      </c>
      <c r="D100" t="s">
        <v>159</v>
      </c>
      <c r="E100" t="s">
        <v>159</v>
      </c>
      <c r="F100">
        <v>7274</v>
      </c>
      <c r="G100" t="s">
        <v>2675</v>
      </c>
      <c r="H100" t="s">
        <v>2664</v>
      </c>
      <c r="I100">
        <v>4201.3074666499997</v>
      </c>
      <c r="J100">
        <v>4201.3074666499997</v>
      </c>
      <c r="K100">
        <v>4201.3074666499997</v>
      </c>
      <c r="L100">
        <v>4201.3074666499997</v>
      </c>
      <c r="M100">
        <v>4201.3074666499997</v>
      </c>
      <c r="N100" t="s">
        <v>988</v>
      </c>
    </row>
    <row r="101" spans="1:14" hidden="1" x14ac:dyDescent="0.3">
      <c r="A101">
        <v>94</v>
      </c>
      <c r="B101" t="s">
        <v>1232</v>
      </c>
      <c r="C101" t="s">
        <v>2670</v>
      </c>
      <c r="D101" t="s">
        <v>159</v>
      </c>
      <c r="E101" t="s">
        <v>159</v>
      </c>
      <c r="F101">
        <v>7274</v>
      </c>
      <c r="G101" t="s">
        <v>2675</v>
      </c>
      <c r="H101" t="s">
        <v>2665</v>
      </c>
      <c r="I101">
        <v>1997.84599035</v>
      </c>
      <c r="J101">
        <v>2102.1881772500001</v>
      </c>
      <c r="K101">
        <v>2212.66813985</v>
      </c>
      <c r="L101">
        <v>2329.2858781499999</v>
      </c>
      <c r="M101">
        <v>2455.1102799999999</v>
      </c>
      <c r="N101" t="s">
        <v>988</v>
      </c>
    </row>
    <row r="102" spans="1:14" hidden="1" x14ac:dyDescent="0.3">
      <c r="A102">
        <v>94</v>
      </c>
      <c r="B102" t="s">
        <v>1232</v>
      </c>
      <c r="C102" t="s">
        <v>2670</v>
      </c>
      <c r="D102" t="s">
        <v>159</v>
      </c>
      <c r="E102" t="s">
        <v>159</v>
      </c>
      <c r="F102">
        <v>7274</v>
      </c>
      <c r="G102" t="s">
        <v>2674</v>
      </c>
      <c r="H102" t="s">
        <v>2664</v>
      </c>
      <c r="I102">
        <v>4201.3074666499997</v>
      </c>
      <c r="J102">
        <v>4201.3074666499997</v>
      </c>
      <c r="K102">
        <v>4201.3074666499997</v>
      </c>
      <c r="L102">
        <v>4201.3074666499997</v>
      </c>
      <c r="M102">
        <v>4201.3074666499997</v>
      </c>
      <c r="N102" t="s">
        <v>988</v>
      </c>
    </row>
    <row r="103" spans="1:14" hidden="1" x14ac:dyDescent="0.3">
      <c r="A103">
        <v>94</v>
      </c>
      <c r="B103" t="s">
        <v>1232</v>
      </c>
      <c r="C103" t="s">
        <v>2670</v>
      </c>
      <c r="D103" t="s">
        <v>159</v>
      </c>
      <c r="E103" t="s">
        <v>159</v>
      </c>
      <c r="F103">
        <v>7274</v>
      </c>
      <c r="G103" t="s">
        <v>2674</v>
      </c>
      <c r="H103" t="s">
        <v>2665</v>
      </c>
      <c r="I103">
        <v>1997.84599035</v>
      </c>
      <c r="J103">
        <v>2102.1881772500001</v>
      </c>
      <c r="K103">
        <v>2212.66813985</v>
      </c>
      <c r="L103">
        <v>2329.2858781499999</v>
      </c>
      <c r="M103">
        <v>2455.1102799999999</v>
      </c>
      <c r="N103" t="s">
        <v>988</v>
      </c>
    </row>
    <row r="104" spans="1:14" hidden="1" x14ac:dyDescent="0.3">
      <c r="A104">
        <v>94</v>
      </c>
      <c r="B104" t="s">
        <v>1232</v>
      </c>
      <c r="C104" t="s">
        <v>2670</v>
      </c>
      <c r="D104" t="s">
        <v>159</v>
      </c>
      <c r="E104" t="s">
        <v>159</v>
      </c>
      <c r="F104">
        <v>7274</v>
      </c>
      <c r="G104" t="s">
        <v>2673</v>
      </c>
      <c r="H104" t="s">
        <v>2664</v>
      </c>
      <c r="I104">
        <v>4201.3074666499997</v>
      </c>
      <c r="J104">
        <v>4201.3074666499997</v>
      </c>
      <c r="K104">
        <v>4201.3074666499997</v>
      </c>
      <c r="L104">
        <v>4201.3074666499997</v>
      </c>
      <c r="M104">
        <v>4201.3074666499997</v>
      </c>
      <c r="N104" t="s">
        <v>988</v>
      </c>
    </row>
    <row r="105" spans="1:14" hidden="1" x14ac:dyDescent="0.3">
      <c r="A105">
        <v>94</v>
      </c>
      <c r="B105" t="s">
        <v>1232</v>
      </c>
      <c r="C105" t="s">
        <v>2670</v>
      </c>
      <c r="D105" t="s">
        <v>159</v>
      </c>
      <c r="E105" t="s">
        <v>159</v>
      </c>
      <c r="F105">
        <v>7274</v>
      </c>
      <c r="G105" t="s">
        <v>2673</v>
      </c>
      <c r="H105" t="s">
        <v>2665</v>
      </c>
      <c r="I105">
        <v>1997.84599035</v>
      </c>
      <c r="J105">
        <v>2102.1881772500001</v>
      </c>
      <c r="K105">
        <v>2212.66813985</v>
      </c>
      <c r="L105">
        <v>2329.2858781499999</v>
      </c>
      <c r="M105">
        <v>2455.1102799999999</v>
      </c>
      <c r="N105" t="s">
        <v>988</v>
      </c>
    </row>
    <row r="106" spans="1:14" hidden="1" x14ac:dyDescent="0.3">
      <c r="A106">
        <v>94</v>
      </c>
      <c r="B106" t="s">
        <v>1232</v>
      </c>
      <c r="C106" t="s">
        <v>2670</v>
      </c>
      <c r="D106" t="s">
        <v>159</v>
      </c>
      <c r="E106" t="s">
        <v>159</v>
      </c>
      <c r="F106">
        <v>7274</v>
      </c>
      <c r="G106" t="s">
        <v>2671</v>
      </c>
      <c r="H106" t="s">
        <v>2664</v>
      </c>
      <c r="I106">
        <v>4201.3074666499997</v>
      </c>
      <c r="J106">
        <v>4201.3074666499997</v>
      </c>
      <c r="K106">
        <v>4201.3074666499997</v>
      </c>
      <c r="L106">
        <v>4201.3074666499997</v>
      </c>
      <c r="M106">
        <v>4201.3074666499997</v>
      </c>
      <c r="N106" t="s">
        <v>988</v>
      </c>
    </row>
    <row r="107" spans="1:14" hidden="1" x14ac:dyDescent="0.3">
      <c r="A107">
        <v>94</v>
      </c>
      <c r="B107" t="s">
        <v>1232</v>
      </c>
      <c r="C107" t="s">
        <v>2670</v>
      </c>
      <c r="D107" t="s">
        <v>159</v>
      </c>
      <c r="E107" t="s">
        <v>159</v>
      </c>
      <c r="F107">
        <v>7274</v>
      </c>
      <c r="G107" t="s">
        <v>2671</v>
      </c>
      <c r="H107" t="s">
        <v>2665</v>
      </c>
      <c r="I107">
        <v>1997.84599035</v>
      </c>
      <c r="J107">
        <v>2102.1881772500001</v>
      </c>
      <c r="K107">
        <v>2212.66813985</v>
      </c>
      <c r="L107">
        <v>2329.2858781499999</v>
      </c>
      <c r="M107">
        <v>2455.1102799999999</v>
      </c>
      <c r="N107" t="s">
        <v>988</v>
      </c>
    </row>
    <row r="108" spans="1:14" hidden="1" x14ac:dyDescent="0.3">
      <c r="A108">
        <v>94</v>
      </c>
      <c r="B108" t="s">
        <v>1232</v>
      </c>
      <c r="C108" t="s">
        <v>2670</v>
      </c>
      <c r="D108" t="s">
        <v>159</v>
      </c>
      <c r="E108" t="s">
        <v>159</v>
      </c>
      <c r="F108">
        <v>7274</v>
      </c>
      <c r="G108" t="s">
        <v>2672</v>
      </c>
      <c r="H108" t="s">
        <v>2665</v>
      </c>
      <c r="N108" t="s">
        <v>988</v>
      </c>
    </row>
    <row r="109" spans="1:14" hidden="1" x14ac:dyDescent="0.3">
      <c r="A109">
        <v>94</v>
      </c>
      <c r="B109" t="s">
        <v>1232</v>
      </c>
      <c r="C109" t="s">
        <v>2670</v>
      </c>
      <c r="D109" t="s">
        <v>159</v>
      </c>
      <c r="E109" t="s">
        <v>159</v>
      </c>
      <c r="F109">
        <v>7274</v>
      </c>
      <c r="G109" t="s">
        <v>2672</v>
      </c>
      <c r="H109" t="s">
        <v>2664</v>
      </c>
      <c r="N109" t="s">
        <v>988</v>
      </c>
    </row>
    <row r="110" spans="1:14" hidden="1" x14ac:dyDescent="0.3">
      <c r="A110">
        <v>102</v>
      </c>
      <c r="B110" t="s">
        <v>1237</v>
      </c>
      <c r="C110" t="s">
        <v>2670</v>
      </c>
      <c r="D110" t="s">
        <v>1203</v>
      </c>
      <c r="E110" t="s">
        <v>1204</v>
      </c>
      <c r="F110">
        <v>5765</v>
      </c>
      <c r="G110" t="s">
        <v>2676</v>
      </c>
      <c r="H110" t="s">
        <v>2665</v>
      </c>
      <c r="I110">
        <v>2918.51234535</v>
      </c>
      <c r="J110">
        <v>3041.26785935</v>
      </c>
      <c r="K110">
        <v>3167.0922611999999</v>
      </c>
      <c r="L110">
        <v>3295.9855508999999</v>
      </c>
      <c r="N110" t="s">
        <v>988</v>
      </c>
    </row>
    <row r="111" spans="1:14" hidden="1" x14ac:dyDescent="0.3">
      <c r="A111">
        <v>102</v>
      </c>
      <c r="B111" t="s">
        <v>1237</v>
      </c>
      <c r="C111" t="s">
        <v>2670</v>
      </c>
      <c r="D111" t="s">
        <v>1203</v>
      </c>
      <c r="E111" t="s">
        <v>1204</v>
      </c>
      <c r="F111">
        <v>5765</v>
      </c>
      <c r="G111" t="s">
        <v>2675</v>
      </c>
      <c r="H111" t="s">
        <v>2664</v>
      </c>
      <c r="I111">
        <v>3243.8144574500002</v>
      </c>
      <c r="J111">
        <v>3378.8455228500002</v>
      </c>
      <c r="K111">
        <v>3520.0143639500002</v>
      </c>
      <c r="L111">
        <v>3661.1832050500002</v>
      </c>
      <c r="N111" t="s">
        <v>988</v>
      </c>
    </row>
    <row r="112" spans="1:14" hidden="1" x14ac:dyDescent="0.3">
      <c r="A112">
        <v>102</v>
      </c>
      <c r="B112" t="s">
        <v>1237</v>
      </c>
      <c r="C112" t="s">
        <v>2670</v>
      </c>
      <c r="D112" t="s">
        <v>1203</v>
      </c>
      <c r="E112" t="s">
        <v>1204</v>
      </c>
      <c r="F112">
        <v>5765</v>
      </c>
      <c r="G112" t="s">
        <v>2675</v>
      </c>
      <c r="H112" t="s">
        <v>2665</v>
      </c>
      <c r="I112">
        <v>2596.2791210999999</v>
      </c>
      <c r="J112">
        <v>2703.6901958499998</v>
      </c>
      <c r="K112">
        <v>2817.2390463000002</v>
      </c>
      <c r="L112">
        <v>2927.7190089000001</v>
      </c>
      <c r="N112" t="s">
        <v>988</v>
      </c>
    </row>
    <row r="113" spans="1:14" hidden="1" x14ac:dyDescent="0.3">
      <c r="A113">
        <v>102</v>
      </c>
      <c r="B113" t="s">
        <v>1237</v>
      </c>
      <c r="C113" t="s">
        <v>2670</v>
      </c>
      <c r="D113" t="s">
        <v>1203</v>
      </c>
      <c r="E113" t="s">
        <v>1204</v>
      </c>
      <c r="F113">
        <v>5765</v>
      </c>
      <c r="G113" t="s">
        <v>2674</v>
      </c>
      <c r="H113" t="s">
        <v>2664</v>
      </c>
      <c r="I113">
        <v>3243.8144574500002</v>
      </c>
      <c r="J113">
        <v>3378.8455228500002</v>
      </c>
      <c r="K113">
        <v>3520.0143639500002</v>
      </c>
      <c r="L113">
        <v>3661.1832050500002</v>
      </c>
      <c r="N113" t="s">
        <v>988</v>
      </c>
    </row>
    <row r="114" spans="1:14" hidden="1" x14ac:dyDescent="0.3">
      <c r="A114">
        <v>102</v>
      </c>
      <c r="B114" t="s">
        <v>1237</v>
      </c>
      <c r="C114" t="s">
        <v>2670</v>
      </c>
      <c r="D114" t="s">
        <v>1203</v>
      </c>
      <c r="E114" t="s">
        <v>1204</v>
      </c>
      <c r="F114">
        <v>5765</v>
      </c>
      <c r="G114" t="s">
        <v>2674</v>
      </c>
      <c r="H114" t="s">
        <v>2665</v>
      </c>
      <c r="I114">
        <v>2270.9770090000002</v>
      </c>
      <c r="J114">
        <v>2366.11253235</v>
      </c>
      <c r="K114">
        <v>2464.3169435499999</v>
      </c>
      <c r="L114">
        <v>2562.5213547499998</v>
      </c>
      <c r="N114" t="s">
        <v>988</v>
      </c>
    </row>
    <row r="115" spans="1:14" hidden="1" x14ac:dyDescent="0.3">
      <c r="A115">
        <v>102</v>
      </c>
      <c r="B115" t="s">
        <v>1237</v>
      </c>
      <c r="C115" t="s">
        <v>2670</v>
      </c>
      <c r="D115" t="s">
        <v>1203</v>
      </c>
      <c r="E115" t="s">
        <v>1204</v>
      </c>
      <c r="F115">
        <v>5765</v>
      </c>
      <c r="G115" t="s">
        <v>2676</v>
      </c>
      <c r="H115" t="s">
        <v>2664</v>
      </c>
      <c r="I115">
        <v>3243.8144574500002</v>
      </c>
      <c r="J115">
        <v>3378.8455228500002</v>
      </c>
      <c r="K115">
        <v>3520.0143639500002</v>
      </c>
      <c r="L115">
        <v>3661.1832050500002</v>
      </c>
      <c r="N115" t="s">
        <v>988</v>
      </c>
    </row>
    <row r="116" spans="1:14" hidden="1" x14ac:dyDescent="0.3">
      <c r="A116">
        <v>102</v>
      </c>
      <c r="B116" t="s">
        <v>1237</v>
      </c>
      <c r="C116" t="s">
        <v>2670</v>
      </c>
      <c r="D116" t="s">
        <v>1203</v>
      </c>
      <c r="E116" t="s">
        <v>1204</v>
      </c>
      <c r="F116">
        <v>5765</v>
      </c>
      <c r="G116" t="s">
        <v>2673</v>
      </c>
      <c r="H116" t="s">
        <v>2665</v>
      </c>
      <c r="I116">
        <v>1945.6748969</v>
      </c>
      <c r="J116">
        <v>2028.5348688500001</v>
      </c>
      <c r="K116">
        <v>2111.3948408000001</v>
      </c>
      <c r="L116">
        <v>2197.3237005999999</v>
      </c>
      <c r="N116" t="s">
        <v>988</v>
      </c>
    </row>
    <row r="117" spans="1:14" hidden="1" x14ac:dyDescent="0.3">
      <c r="A117">
        <v>102</v>
      </c>
      <c r="B117" t="s">
        <v>1237</v>
      </c>
      <c r="C117" t="s">
        <v>2670</v>
      </c>
      <c r="D117" t="s">
        <v>1203</v>
      </c>
      <c r="E117" t="s">
        <v>1204</v>
      </c>
      <c r="F117">
        <v>5765</v>
      </c>
      <c r="G117" t="s">
        <v>2671</v>
      </c>
      <c r="H117" t="s">
        <v>2664</v>
      </c>
      <c r="I117">
        <v>3243.8144574500002</v>
      </c>
      <c r="J117">
        <v>3378.8455228500002</v>
      </c>
      <c r="K117">
        <v>3520.0143639500002</v>
      </c>
      <c r="L117">
        <v>3661.1832050500002</v>
      </c>
      <c r="N117" t="s">
        <v>988</v>
      </c>
    </row>
    <row r="118" spans="1:14" hidden="1" x14ac:dyDescent="0.3">
      <c r="A118">
        <v>102</v>
      </c>
      <c r="B118" t="s">
        <v>1237</v>
      </c>
      <c r="C118" t="s">
        <v>2670</v>
      </c>
      <c r="D118" t="s">
        <v>1203</v>
      </c>
      <c r="E118" t="s">
        <v>1204</v>
      </c>
      <c r="F118">
        <v>5765</v>
      </c>
      <c r="G118" t="s">
        <v>2671</v>
      </c>
      <c r="H118" t="s">
        <v>2665</v>
      </c>
      <c r="I118">
        <v>1623.4416726500001</v>
      </c>
      <c r="J118">
        <v>1690.9572053500001</v>
      </c>
      <c r="K118">
        <v>1761.5416259000001</v>
      </c>
      <c r="L118">
        <v>1832.1260464500001</v>
      </c>
      <c r="N118" t="s">
        <v>988</v>
      </c>
    </row>
    <row r="119" spans="1:14" hidden="1" x14ac:dyDescent="0.3">
      <c r="A119">
        <v>102</v>
      </c>
      <c r="B119" t="s">
        <v>1237</v>
      </c>
      <c r="C119" t="s">
        <v>2670</v>
      </c>
      <c r="D119" t="s">
        <v>1203</v>
      </c>
      <c r="E119" t="s">
        <v>1204</v>
      </c>
      <c r="F119">
        <v>5765</v>
      </c>
      <c r="G119" t="s">
        <v>2672</v>
      </c>
      <c r="H119" t="s">
        <v>2664</v>
      </c>
      <c r="N119" t="s">
        <v>988</v>
      </c>
    </row>
    <row r="120" spans="1:14" hidden="1" x14ac:dyDescent="0.3">
      <c r="A120">
        <v>102</v>
      </c>
      <c r="B120" t="s">
        <v>1237</v>
      </c>
      <c r="C120" t="s">
        <v>2670</v>
      </c>
      <c r="D120" t="s">
        <v>1203</v>
      </c>
      <c r="E120" t="s">
        <v>1204</v>
      </c>
      <c r="F120">
        <v>5765</v>
      </c>
      <c r="G120" t="s">
        <v>2672</v>
      </c>
      <c r="H120" t="s">
        <v>2665</v>
      </c>
      <c r="N120" t="s">
        <v>988</v>
      </c>
    </row>
    <row r="121" spans="1:14" hidden="1" x14ac:dyDescent="0.3">
      <c r="A121">
        <v>102</v>
      </c>
      <c r="B121" t="s">
        <v>1237</v>
      </c>
      <c r="C121" t="s">
        <v>2670</v>
      </c>
      <c r="D121" t="s">
        <v>1203</v>
      </c>
      <c r="E121" t="s">
        <v>1204</v>
      </c>
      <c r="F121">
        <v>5765</v>
      </c>
      <c r="G121" t="s">
        <v>2673</v>
      </c>
      <c r="H121" t="s">
        <v>2664</v>
      </c>
      <c r="I121">
        <v>3243.8144574500002</v>
      </c>
      <c r="J121">
        <v>3378.8455228500002</v>
      </c>
      <c r="K121">
        <v>3520.0143639500002</v>
      </c>
      <c r="L121">
        <v>3661.1832050500002</v>
      </c>
      <c r="N121" t="s">
        <v>988</v>
      </c>
    </row>
    <row r="122" spans="1:14" hidden="1" x14ac:dyDescent="0.3">
      <c r="A122">
        <v>107</v>
      </c>
      <c r="B122" t="s">
        <v>1238</v>
      </c>
      <c r="C122" t="s">
        <v>2670</v>
      </c>
      <c r="D122" t="s">
        <v>159</v>
      </c>
      <c r="E122" t="s">
        <v>159</v>
      </c>
      <c r="F122">
        <v>7175</v>
      </c>
      <c r="G122" t="s">
        <v>2676</v>
      </c>
      <c r="H122" t="s">
        <v>2664</v>
      </c>
      <c r="I122">
        <v>5527.0670178500004</v>
      </c>
      <c r="J122">
        <v>5855.4380178000001</v>
      </c>
      <c r="K122">
        <v>6076.3979429999999</v>
      </c>
      <c r="L122">
        <v>6315.7711952999998</v>
      </c>
      <c r="M122">
        <v>6567.4199989999997</v>
      </c>
      <c r="N122" t="s">
        <v>988</v>
      </c>
    </row>
    <row r="123" spans="1:14" hidden="1" x14ac:dyDescent="0.3">
      <c r="A123">
        <v>107</v>
      </c>
      <c r="B123" t="s">
        <v>1238</v>
      </c>
      <c r="C123" t="s">
        <v>2670</v>
      </c>
      <c r="D123" t="s">
        <v>159</v>
      </c>
      <c r="E123" t="s">
        <v>159</v>
      </c>
      <c r="F123">
        <v>7175</v>
      </c>
      <c r="G123" t="s">
        <v>2672</v>
      </c>
      <c r="H123" t="s">
        <v>2665</v>
      </c>
      <c r="I123">
        <v>5527.0670178500004</v>
      </c>
      <c r="J123">
        <v>5855.4380178000001</v>
      </c>
      <c r="K123">
        <v>6076.3979429999999</v>
      </c>
      <c r="L123">
        <v>6315.7711952999998</v>
      </c>
      <c r="M123">
        <v>6567.4199989999997</v>
      </c>
      <c r="N123" t="s">
        <v>988</v>
      </c>
    </row>
    <row r="124" spans="1:14" hidden="1" x14ac:dyDescent="0.3">
      <c r="A124">
        <v>107</v>
      </c>
      <c r="B124" t="s">
        <v>1238</v>
      </c>
      <c r="C124" t="s">
        <v>2670</v>
      </c>
      <c r="D124" t="s">
        <v>159</v>
      </c>
      <c r="E124" t="s">
        <v>159</v>
      </c>
      <c r="F124">
        <v>7175</v>
      </c>
      <c r="G124" t="s">
        <v>2676</v>
      </c>
      <c r="H124" t="s">
        <v>2665</v>
      </c>
      <c r="I124">
        <v>5527.0670178500004</v>
      </c>
      <c r="J124">
        <v>5855.4380178000001</v>
      </c>
      <c r="K124">
        <v>6076.3979429999999</v>
      </c>
      <c r="L124">
        <v>6315.7711952999998</v>
      </c>
      <c r="M124">
        <v>6567.4199989999997</v>
      </c>
      <c r="N124" t="s">
        <v>988</v>
      </c>
    </row>
    <row r="125" spans="1:14" hidden="1" x14ac:dyDescent="0.3">
      <c r="A125">
        <v>107</v>
      </c>
      <c r="B125" t="s">
        <v>1238</v>
      </c>
      <c r="C125" t="s">
        <v>2670</v>
      </c>
      <c r="D125" t="s">
        <v>159</v>
      </c>
      <c r="E125" t="s">
        <v>159</v>
      </c>
      <c r="F125">
        <v>7175</v>
      </c>
      <c r="G125" t="s">
        <v>2675</v>
      </c>
      <c r="H125" t="s">
        <v>2664</v>
      </c>
      <c r="I125">
        <v>5527.0670178500004</v>
      </c>
      <c r="J125">
        <v>5855.4380178000001</v>
      </c>
      <c r="K125">
        <v>6076.3979429999999</v>
      </c>
      <c r="L125">
        <v>6315.7711952999998</v>
      </c>
      <c r="M125">
        <v>6567.4199989999997</v>
      </c>
      <c r="N125" t="s">
        <v>988</v>
      </c>
    </row>
    <row r="126" spans="1:14" hidden="1" x14ac:dyDescent="0.3">
      <c r="A126">
        <v>107</v>
      </c>
      <c r="B126" t="s">
        <v>1238</v>
      </c>
      <c r="C126" t="s">
        <v>2670</v>
      </c>
      <c r="D126" t="s">
        <v>159</v>
      </c>
      <c r="E126" t="s">
        <v>159</v>
      </c>
      <c r="F126">
        <v>7175</v>
      </c>
      <c r="G126" t="s">
        <v>2675</v>
      </c>
      <c r="H126" t="s">
        <v>2665</v>
      </c>
      <c r="I126">
        <v>5527.0670178500004</v>
      </c>
      <c r="J126">
        <v>5855.4380178000001</v>
      </c>
      <c r="K126">
        <v>6076.3979429999999</v>
      </c>
      <c r="L126">
        <v>6315.7711952999998</v>
      </c>
      <c r="M126">
        <v>6567.4199989999997</v>
      </c>
      <c r="N126" t="s">
        <v>988</v>
      </c>
    </row>
    <row r="127" spans="1:14" hidden="1" x14ac:dyDescent="0.3">
      <c r="A127">
        <v>107</v>
      </c>
      <c r="B127" t="s">
        <v>1238</v>
      </c>
      <c r="C127" t="s">
        <v>2670</v>
      </c>
      <c r="D127" t="s">
        <v>159</v>
      </c>
      <c r="E127" t="s">
        <v>159</v>
      </c>
      <c r="F127">
        <v>7175</v>
      </c>
      <c r="G127" t="s">
        <v>2674</v>
      </c>
      <c r="H127" t="s">
        <v>2664</v>
      </c>
      <c r="I127">
        <v>5527.0670178500004</v>
      </c>
      <c r="J127">
        <v>5855.4380178000001</v>
      </c>
      <c r="K127">
        <v>6076.3979429999999</v>
      </c>
      <c r="L127">
        <v>6315.7711952999998</v>
      </c>
      <c r="M127">
        <v>6567.4199989999997</v>
      </c>
      <c r="N127" t="s">
        <v>988</v>
      </c>
    </row>
    <row r="128" spans="1:14" hidden="1" x14ac:dyDescent="0.3">
      <c r="A128">
        <v>107</v>
      </c>
      <c r="B128" t="s">
        <v>1238</v>
      </c>
      <c r="C128" t="s">
        <v>2670</v>
      </c>
      <c r="D128" t="s">
        <v>159</v>
      </c>
      <c r="E128" t="s">
        <v>159</v>
      </c>
      <c r="F128">
        <v>7175</v>
      </c>
      <c r="G128" t="s">
        <v>2674</v>
      </c>
      <c r="H128" t="s">
        <v>2665</v>
      </c>
      <c r="I128">
        <v>5527.0670178500004</v>
      </c>
      <c r="J128">
        <v>5855.4380178000001</v>
      </c>
      <c r="K128">
        <v>6076.3979429999999</v>
      </c>
      <c r="L128">
        <v>6315.7711952999998</v>
      </c>
      <c r="M128">
        <v>6567.4199989999997</v>
      </c>
      <c r="N128" t="s">
        <v>988</v>
      </c>
    </row>
    <row r="129" spans="1:14" hidden="1" x14ac:dyDescent="0.3">
      <c r="A129">
        <v>107</v>
      </c>
      <c r="B129" t="s">
        <v>1238</v>
      </c>
      <c r="C129" t="s">
        <v>2670</v>
      </c>
      <c r="D129" t="s">
        <v>159</v>
      </c>
      <c r="E129" t="s">
        <v>159</v>
      </c>
      <c r="F129">
        <v>7175</v>
      </c>
      <c r="G129" t="s">
        <v>2673</v>
      </c>
      <c r="H129" t="s">
        <v>2664</v>
      </c>
      <c r="I129">
        <v>5527.0670178500004</v>
      </c>
      <c r="J129">
        <v>5855.4380178000001</v>
      </c>
      <c r="K129">
        <v>6076.3979429999999</v>
      </c>
      <c r="L129">
        <v>6315.7711952999998</v>
      </c>
      <c r="M129">
        <v>6567.4199989999997</v>
      </c>
      <c r="N129" t="s">
        <v>988</v>
      </c>
    </row>
    <row r="130" spans="1:14" hidden="1" x14ac:dyDescent="0.3">
      <c r="A130">
        <v>107</v>
      </c>
      <c r="B130" t="s">
        <v>1238</v>
      </c>
      <c r="C130" t="s">
        <v>2670</v>
      </c>
      <c r="D130" t="s">
        <v>159</v>
      </c>
      <c r="E130" t="s">
        <v>159</v>
      </c>
      <c r="F130">
        <v>7175</v>
      </c>
      <c r="G130" t="s">
        <v>2673</v>
      </c>
      <c r="H130" t="s">
        <v>2665</v>
      </c>
      <c r="I130">
        <v>5527.0670178500004</v>
      </c>
      <c r="J130">
        <v>5855.4380178000001</v>
      </c>
      <c r="K130">
        <v>6076.3979429999999</v>
      </c>
      <c r="L130">
        <v>6315.7711952999998</v>
      </c>
      <c r="M130">
        <v>6567.4199989999997</v>
      </c>
      <c r="N130" t="s">
        <v>988</v>
      </c>
    </row>
    <row r="131" spans="1:14" hidden="1" x14ac:dyDescent="0.3">
      <c r="A131">
        <v>107</v>
      </c>
      <c r="B131" t="s">
        <v>1238</v>
      </c>
      <c r="C131" t="s">
        <v>2670</v>
      </c>
      <c r="D131" t="s">
        <v>159</v>
      </c>
      <c r="E131" t="s">
        <v>159</v>
      </c>
      <c r="F131">
        <v>7175</v>
      </c>
      <c r="G131" t="s">
        <v>2671</v>
      </c>
      <c r="H131" t="s">
        <v>2664</v>
      </c>
      <c r="I131">
        <v>5527.0670178500004</v>
      </c>
      <c r="J131">
        <v>5855.4380178000001</v>
      </c>
      <c r="K131">
        <v>6076.3979429999999</v>
      </c>
      <c r="L131">
        <v>6315.7711952999998</v>
      </c>
      <c r="M131">
        <v>6567.4199989999997</v>
      </c>
      <c r="N131" t="s">
        <v>988</v>
      </c>
    </row>
    <row r="132" spans="1:14" hidden="1" x14ac:dyDescent="0.3">
      <c r="A132">
        <v>107</v>
      </c>
      <c r="B132" t="s">
        <v>1238</v>
      </c>
      <c r="C132" t="s">
        <v>2670</v>
      </c>
      <c r="D132" t="s">
        <v>159</v>
      </c>
      <c r="E132" t="s">
        <v>159</v>
      </c>
      <c r="F132">
        <v>7175</v>
      </c>
      <c r="G132" t="s">
        <v>2671</v>
      </c>
      <c r="H132" t="s">
        <v>2665</v>
      </c>
      <c r="I132">
        <v>5527.0670178500004</v>
      </c>
      <c r="J132">
        <v>5855.4380178000001</v>
      </c>
      <c r="K132">
        <v>6076.3979429999999</v>
      </c>
      <c r="L132">
        <v>6315.7711952999998</v>
      </c>
      <c r="M132">
        <v>6567.4199989999997</v>
      </c>
      <c r="N132" t="s">
        <v>988</v>
      </c>
    </row>
    <row r="133" spans="1:14" hidden="1" x14ac:dyDescent="0.3">
      <c r="A133">
        <v>107</v>
      </c>
      <c r="B133" t="s">
        <v>1238</v>
      </c>
      <c r="C133" t="s">
        <v>2670</v>
      </c>
      <c r="D133" t="s">
        <v>159</v>
      </c>
      <c r="E133" t="s">
        <v>159</v>
      </c>
      <c r="F133">
        <v>7175</v>
      </c>
      <c r="G133" t="s">
        <v>2672</v>
      </c>
      <c r="H133" t="s">
        <v>2664</v>
      </c>
      <c r="I133">
        <v>5527.0670178500004</v>
      </c>
      <c r="J133">
        <v>5855.4380178000001</v>
      </c>
      <c r="K133">
        <v>6076.3979429999999</v>
      </c>
      <c r="L133">
        <v>6315.7711952999998</v>
      </c>
      <c r="M133">
        <v>6567.4199989999997</v>
      </c>
      <c r="N133" t="s">
        <v>988</v>
      </c>
    </row>
    <row r="134" spans="1:14" hidden="1" x14ac:dyDescent="0.3">
      <c r="A134">
        <v>110</v>
      </c>
      <c r="B134" t="s">
        <v>1239</v>
      </c>
      <c r="C134" t="s">
        <v>2670</v>
      </c>
      <c r="D134" t="s">
        <v>1203</v>
      </c>
      <c r="E134" t="s">
        <v>1204</v>
      </c>
      <c r="F134">
        <v>7792</v>
      </c>
      <c r="G134" t="s">
        <v>2672</v>
      </c>
      <c r="H134" t="s">
        <v>2665</v>
      </c>
      <c r="N134" t="s">
        <v>988</v>
      </c>
    </row>
    <row r="135" spans="1:14" hidden="1" x14ac:dyDescent="0.3">
      <c r="A135">
        <v>110</v>
      </c>
      <c r="B135" t="s">
        <v>1239</v>
      </c>
      <c r="C135" t="s">
        <v>2670</v>
      </c>
      <c r="D135" t="s">
        <v>1203</v>
      </c>
      <c r="E135" t="s">
        <v>1204</v>
      </c>
      <c r="F135">
        <v>7792</v>
      </c>
      <c r="G135" t="s">
        <v>2676</v>
      </c>
      <c r="H135" t="s">
        <v>2665</v>
      </c>
      <c r="I135">
        <v>6749</v>
      </c>
      <c r="J135">
        <v>7227</v>
      </c>
      <c r="K135">
        <v>7739</v>
      </c>
      <c r="L135">
        <v>8287</v>
      </c>
      <c r="N135" t="s">
        <v>988</v>
      </c>
    </row>
    <row r="136" spans="1:14" hidden="1" x14ac:dyDescent="0.3">
      <c r="A136">
        <v>110</v>
      </c>
      <c r="B136" t="s">
        <v>1239</v>
      </c>
      <c r="C136" t="s">
        <v>2670</v>
      </c>
      <c r="D136" t="s">
        <v>1203</v>
      </c>
      <c r="E136" t="s">
        <v>1204</v>
      </c>
      <c r="F136">
        <v>7792</v>
      </c>
      <c r="G136" t="s">
        <v>2675</v>
      </c>
      <c r="H136" t="s">
        <v>2664</v>
      </c>
      <c r="I136">
        <v>6749</v>
      </c>
      <c r="J136">
        <v>7227</v>
      </c>
      <c r="K136">
        <v>7739</v>
      </c>
      <c r="L136">
        <v>8287</v>
      </c>
      <c r="N136" t="s">
        <v>988</v>
      </c>
    </row>
    <row r="137" spans="1:14" hidden="1" x14ac:dyDescent="0.3">
      <c r="A137">
        <v>110</v>
      </c>
      <c r="B137" t="s">
        <v>1239</v>
      </c>
      <c r="C137" t="s">
        <v>2670</v>
      </c>
      <c r="D137" t="s">
        <v>1203</v>
      </c>
      <c r="E137" t="s">
        <v>1204</v>
      </c>
      <c r="F137">
        <v>7792</v>
      </c>
      <c r="G137" t="s">
        <v>2675</v>
      </c>
      <c r="H137" t="s">
        <v>2665</v>
      </c>
      <c r="I137">
        <v>6749</v>
      </c>
      <c r="J137">
        <v>7227</v>
      </c>
      <c r="K137">
        <v>7739</v>
      </c>
      <c r="L137">
        <v>8287</v>
      </c>
      <c r="N137" t="s">
        <v>988</v>
      </c>
    </row>
    <row r="138" spans="1:14" hidden="1" x14ac:dyDescent="0.3">
      <c r="A138">
        <v>110</v>
      </c>
      <c r="B138" t="s">
        <v>1239</v>
      </c>
      <c r="C138" t="s">
        <v>2670</v>
      </c>
      <c r="D138" t="s">
        <v>1203</v>
      </c>
      <c r="E138" t="s">
        <v>1204</v>
      </c>
      <c r="F138">
        <v>7792</v>
      </c>
      <c r="G138" t="s">
        <v>2674</v>
      </c>
      <c r="H138" t="s">
        <v>2664</v>
      </c>
      <c r="I138">
        <v>6749</v>
      </c>
      <c r="J138">
        <v>7227</v>
      </c>
      <c r="K138">
        <v>7739</v>
      </c>
      <c r="L138">
        <v>8287</v>
      </c>
      <c r="N138" t="s">
        <v>988</v>
      </c>
    </row>
    <row r="139" spans="1:14" hidden="1" x14ac:dyDescent="0.3">
      <c r="A139">
        <v>110</v>
      </c>
      <c r="B139" t="s">
        <v>1239</v>
      </c>
      <c r="C139" t="s">
        <v>2670</v>
      </c>
      <c r="D139" t="s">
        <v>1203</v>
      </c>
      <c r="E139" t="s">
        <v>1204</v>
      </c>
      <c r="F139">
        <v>7792</v>
      </c>
      <c r="G139" t="s">
        <v>2676</v>
      </c>
      <c r="H139" t="s">
        <v>2664</v>
      </c>
      <c r="I139">
        <v>6749</v>
      </c>
      <c r="J139">
        <v>7227</v>
      </c>
      <c r="K139">
        <v>7739</v>
      </c>
      <c r="L139">
        <v>8287</v>
      </c>
      <c r="N139" t="s">
        <v>988</v>
      </c>
    </row>
    <row r="140" spans="1:14" hidden="1" x14ac:dyDescent="0.3">
      <c r="A140">
        <v>110</v>
      </c>
      <c r="B140" t="s">
        <v>1239</v>
      </c>
      <c r="C140" t="s">
        <v>2670</v>
      </c>
      <c r="D140" t="s">
        <v>1203</v>
      </c>
      <c r="E140" t="s">
        <v>1204</v>
      </c>
      <c r="F140">
        <v>7792</v>
      </c>
      <c r="G140" t="s">
        <v>2673</v>
      </c>
      <c r="H140" t="s">
        <v>2664</v>
      </c>
      <c r="I140">
        <v>7713</v>
      </c>
      <c r="J140">
        <v>8260</v>
      </c>
      <c r="K140">
        <v>8844</v>
      </c>
      <c r="L140">
        <v>9471</v>
      </c>
      <c r="N140" t="s">
        <v>988</v>
      </c>
    </row>
    <row r="141" spans="1:14" hidden="1" x14ac:dyDescent="0.3">
      <c r="A141">
        <v>110</v>
      </c>
      <c r="B141" t="s">
        <v>1239</v>
      </c>
      <c r="C141" t="s">
        <v>2670</v>
      </c>
      <c r="D141" t="s">
        <v>1203</v>
      </c>
      <c r="E141" t="s">
        <v>1204</v>
      </c>
      <c r="F141">
        <v>7792</v>
      </c>
      <c r="G141" t="s">
        <v>2673</v>
      </c>
      <c r="H141" t="s">
        <v>2665</v>
      </c>
      <c r="I141">
        <v>7713</v>
      </c>
      <c r="J141">
        <v>8260</v>
      </c>
      <c r="K141">
        <v>8844</v>
      </c>
      <c r="L141">
        <v>9471</v>
      </c>
      <c r="N141" t="s">
        <v>988</v>
      </c>
    </row>
    <row r="142" spans="1:14" hidden="1" x14ac:dyDescent="0.3">
      <c r="A142">
        <v>110</v>
      </c>
      <c r="B142" t="s">
        <v>1239</v>
      </c>
      <c r="C142" t="s">
        <v>2670</v>
      </c>
      <c r="D142" t="s">
        <v>1203</v>
      </c>
      <c r="E142" t="s">
        <v>1204</v>
      </c>
      <c r="F142">
        <v>7792</v>
      </c>
      <c r="G142" t="s">
        <v>2671</v>
      </c>
      <c r="H142" t="s">
        <v>2664</v>
      </c>
      <c r="I142">
        <v>8677</v>
      </c>
      <c r="J142">
        <v>9292</v>
      </c>
      <c r="K142">
        <v>9950</v>
      </c>
      <c r="L142">
        <v>10655</v>
      </c>
      <c r="N142" t="s">
        <v>988</v>
      </c>
    </row>
    <row r="143" spans="1:14" hidden="1" x14ac:dyDescent="0.3">
      <c r="A143">
        <v>110</v>
      </c>
      <c r="B143" t="s">
        <v>1239</v>
      </c>
      <c r="C143" t="s">
        <v>2670</v>
      </c>
      <c r="D143" t="s">
        <v>1203</v>
      </c>
      <c r="E143" t="s">
        <v>1204</v>
      </c>
      <c r="F143">
        <v>7792</v>
      </c>
      <c r="G143" t="s">
        <v>2671</v>
      </c>
      <c r="H143" t="s">
        <v>2665</v>
      </c>
      <c r="I143">
        <v>8677</v>
      </c>
      <c r="J143">
        <v>9292</v>
      </c>
      <c r="K143">
        <v>9950</v>
      </c>
      <c r="L143">
        <v>10655</v>
      </c>
      <c r="N143" t="s">
        <v>988</v>
      </c>
    </row>
    <row r="144" spans="1:14" hidden="1" x14ac:dyDescent="0.3">
      <c r="A144">
        <v>110</v>
      </c>
      <c r="B144" t="s">
        <v>1239</v>
      </c>
      <c r="C144" t="s">
        <v>2670</v>
      </c>
      <c r="D144" t="s">
        <v>1203</v>
      </c>
      <c r="E144" t="s">
        <v>1204</v>
      </c>
      <c r="F144">
        <v>7792</v>
      </c>
      <c r="G144" t="s">
        <v>2672</v>
      </c>
      <c r="H144" t="s">
        <v>2664</v>
      </c>
      <c r="N144" t="s">
        <v>988</v>
      </c>
    </row>
    <row r="145" spans="1:14" hidden="1" x14ac:dyDescent="0.3">
      <c r="A145">
        <v>110</v>
      </c>
      <c r="B145" t="s">
        <v>1239</v>
      </c>
      <c r="C145" t="s">
        <v>2670</v>
      </c>
      <c r="D145" t="s">
        <v>1203</v>
      </c>
      <c r="E145" t="s">
        <v>1204</v>
      </c>
      <c r="F145">
        <v>7792</v>
      </c>
      <c r="G145" t="s">
        <v>2674</v>
      </c>
      <c r="H145" t="s">
        <v>2665</v>
      </c>
      <c r="I145">
        <v>6749</v>
      </c>
      <c r="J145">
        <v>7227</v>
      </c>
      <c r="K145">
        <v>7739</v>
      </c>
      <c r="L145">
        <v>8287</v>
      </c>
      <c r="N145" t="s">
        <v>988</v>
      </c>
    </row>
    <row r="146" spans="1:14" hidden="1" x14ac:dyDescent="0.3">
      <c r="A146">
        <v>117</v>
      </c>
      <c r="B146" t="s">
        <v>1240</v>
      </c>
      <c r="C146" t="s">
        <v>2670</v>
      </c>
      <c r="D146" t="s">
        <v>159</v>
      </c>
      <c r="E146" t="s">
        <v>159</v>
      </c>
      <c r="F146">
        <v>7816</v>
      </c>
      <c r="G146" t="s">
        <v>2676</v>
      </c>
      <c r="H146" t="s">
        <v>2664</v>
      </c>
      <c r="I146">
        <v>30826</v>
      </c>
      <c r="J146">
        <v>30826</v>
      </c>
      <c r="K146">
        <v>30826</v>
      </c>
      <c r="L146">
        <v>30826</v>
      </c>
      <c r="M146">
        <v>30826</v>
      </c>
      <c r="N146" t="s">
        <v>988</v>
      </c>
    </row>
    <row r="147" spans="1:14" hidden="1" x14ac:dyDescent="0.3">
      <c r="A147">
        <v>117</v>
      </c>
      <c r="B147" t="s">
        <v>1240</v>
      </c>
      <c r="C147" t="s">
        <v>2670</v>
      </c>
      <c r="D147" t="s">
        <v>159</v>
      </c>
      <c r="E147" t="s">
        <v>159</v>
      </c>
      <c r="F147">
        <v>7816</v>
      </c>
      <c r="G147" t="s">
        <v>2672</v>
      </c>
      <c r="H147" t="s">
        <v>2665</v>
      </c>
      <c r="N147" t="s">
        <v>988</v>
      </c>
    </row>
    <row r="148" spans="1:14" hidden="1" x14ac:dyDescent="0.3">
      <c r="A148">
        <v>117</v>
      </c>
      <c r="B148" t="s">
        <v>1240</v>
      </c>
      <c r="C148" t="s">
        <v>2670</v>
      </c>
      <c r="D148" t="s">
        <v>159</v>
      </c>
      <c r="E148" t="s">
        <v>159</v>
      </c>
      <c r="F148">
        <v>7816</v>
      </c>
      <c r="G148" t="s">
        <v>2672</v>
      </c>
      <c r="H148" t="s">
        <v>2664</v>
      </c>
      <c r="N148" t="s">
        <v>988</v>
      </c>
    </row>
    <row r="149" spans="1:14" hidden="1" x14ac:dyDescent="0.3">
      <c r="A149">
        <v>117</v>
      </c>
      <c r="B149" t="s">
        <v>1240</v>
      </c>
      <c r="C149" t="s">
        <v>2670</v>
      </c>
      <c r="D149" t="s">
        <v>159</v>
      </c>
      <c r="E149" t="s">
        <v>159</v>
      </c>
      <c r="F149">
        <v>7816</v>
      </c>
      <c r="G149" t="s">
        <v>2671</v>
      </c>
      <c r="H149" t="s">
        <v>2665</v>
      </c>
      <c r="I149">
        <v>17559</v>
      </c>
      <c r="J149">
        <v>17845</v>
      </c>
      <c r="K149">
        <v>18135</v>
      </c>
      <c r="L149">
        <v>18430</v>
      </c>
      <c r="M149">
        <v>18729</v>
      </c>
      <c r="N149" t="s">
        <v>988</v>
      </c>
    </row>
    <row r="150" spans="1:14" hidden="1" x14ac:dyDescent="0.3">
      <c r="A150">
        <v>117</v>
      </c>
      <c r="B150" t="s">
        <v>1240</v>
      </c>
      <c r="C150" t="s">
        <v>2670</v>
      </c>
      <c r="D150" t="s">
        <v>159</v>
      </c>
      <c r="E150" t="s">
        <v>159</v>
      </c>
      <c r="F150">
        <v>7816</v>
      </c>
      <c r="G150" t="s">
        <v>2671</v>
      </c>
      <c r="H150" t="s">
        <v>2664</v>
      </c>
      <c r="I150">
        <v>23447</v>
      </c>
      <c r="J150">
        <v>23447</v>
      </c>
      <c r="K150">
        <v>23447</v>
      </c>
      <c r="L150">
        <v>23447</v>
      </c>
      <c r="M150">
        <v>23447</v>
      </c>
      <c r="N150" t="s">
        <v>988</v>
      </c>
    </row>
    <row r="151" spans="1:14" hidden="1" x14ac:dyDescent="0.3">
      <c r="A151">
        <v>117</v>
      </c>
      <c r="B151" t="s">
        <v>1240</v>
      </c>
      <c r="C151" t="s">
        <v>2670</v>
      </c>
      <c r="D151" t="s">
        <v>159</v>
      </c>
      <c r="E151" t="s">
        <v>159</v>
      </c>
      <c r="F151">
        <v>7816</v>
      </c>
      <c r="G151" t="s">
        <v>2676</v>
      </c>
      <c r="H151" t="s">
        <v>2665</v>
      </c>
      <c r="I151">
        <v>19978</v>
      </c>
      <c r="J151">
        <v>20303</v>
      </c>
      <c r="K151">
        <v>20633</v>
      </c>
      <c r="L151">
        <v>20968</v>
      </c>
      <c r="M151">
        <v>21309</v>
      </c>
      <c r="N151" t="s">
        <v>988</v>
      </c>
    </row>
    <row r="152" spans="1:14" hidden="1" x14ac:dyDescent="0.3">
      <c r="A152">
        <v>117</v>
      </c>
      <c r="B152" t="s">
        <v>1240</v>
      </c>
      <c r="C152" t="s">
        <v>2670</v>
      </c>
      <c r="D152" t="s">
        <v>159</v>
      </c>
      <c r="E152" t="s">
        <v>159</v>
      </c>
      <c r="F152">
        <v>7816</v>
      </c>
      <c r="G152" t="s">
        <v>2673</v>
      </c>
      <c r="H152" t="s">
        <v>2664</v>
      </c>
      <c r="I152">
        <v>23447</v>
      </c>
      <c r="J152">
        <v>23447</v>
      </c>
      <c r="K152">
        <v>23447</v>
      </c>
      <c r="L152">
        <v>23447</v>
      </c>
      <c r="M152">
        <v>23447</v>
      </c>
      <c r="N152" t="s">
        <v>988</v>
      </c>
    </row>
    <row r="153" spans="1:14" hidden="1" x14ac:dyDescent="0.3">
      <c r="A153">
        <v>117</v>
      </c>
      <c r="B153" t="s">
        <v>1240</v>
      </c>
      <c r="C153" t="s">
        <v>2670</v>
      </c>
      <c r="D153" t="s">
        <v>159</v>
      </c>
      <c r="E153" t="s">
        <v>159</v>
      </c>
      <c r="F153">
        <v>7816</v>
      </c>
      <c r="G153" t="s">
        <v>2674</v>
      </c>
      <c r="H153" t="s">
        <v>2665</v>
      </c>
      <c r="I153">
        <v>21230</v>
      </c>
      <c r="J153">
        <v>21575</v>
      </c>
      <c r="K153">
        <v>21926</v>
      </c>
      <c r="L153">
        <v>22283</v>
      </c>
      <c r="M153">
        <v>22645</v>
      </c>
      <c r="N153" t="s">
        <v>988</v>
      </c>
    </row>
    <row r="154" spans="1:14" hidden="1" x14ac:dyDescent="0.3">
      <c r="A154">
        <v>117</v>
      </c>
      <c r="B154" t="s">
        <v>1240</v>
      </c>
      <c r="C154" t="s">
        <v>2670</v>
      </c>
      <c r="D154" t="s">
        <v>159</v>
      </c>
      <c r="E154" t="s">
        <v>159</v>
      </c>
      <c r="F154">
        <v>7816</v>
      </c>
      <c r="G154" t="s">
        <v>2674</v>
      </c>
      <c r="H154" t="s">
        <v>2664</v>
      </c>
      <c r="I154">
        <v>27136</v>
      </c>
      <c r="J154">
        <v>27136</v>
      </c>
      <c r="K154">
        <v>27136</v>
      </c>
      <c r="L154">
        <v>27136</v>
      </c>
      <c r="M154">
        <v>27136</v>
      </c>
      <c r="N154" t="s">
        <v>988</v>
      </c>
    </row>
    <row r="155" spans="1:14" hidden="1" x14ac:dyDescent="0.3">
      <c r="A155">
        <v>117</v>
      </c>
      <c r="B155" t="s">
        <v>1240</v>
      </c>
      <c r="C155" t="s">
        <v>2670</v>
      </c>
      <c r="D155" t="s">
        <v>159</v>
      </c>
      <c r="E155" t="s">
        <v>159</v>
      </c>
      <c r="F155">
        <v>7816</v>
      </c>
      <c r="G155" t="s">
        <v>2675</v>
      </c>
      <c r="H155" t="s">
        <v>2665</v>
      </c>
      <c r="I155">
        <v>21252</v>
      </c>
      <c r="J155">
        <v>21598</v>
      </c>
      <c r="K155">
        <v>21949</v>
      </c>
      <c r="L155">
        <v>22306</v>
      </c>
      <c r="M155">
        <v>22669</v>
      </c>
      <c r="N155" t="s">
        <v>988</v>
      </c>
    </row>
    <row r="156" spans="1:14" hidden="1" x14ac:dyDescent="0.3">
      <c r="A156">
        <v>117</v>
      </c>
      <c r="B156" t="s">
        <v>1240</v>
      </c>
      <c r="C156" t="s">
        <v>2670</v>
      </c>
      <c r="D156" t="s">
        <v>159</v>
      </c>
      <c r="E156" t="s">
        <v>159</v>
      </c>
      <c r="F156">
        <v>7816</v>
      </c>
      <c r="G156" t="s">
        <v>2675</v>
      </c>
      <c r="H156" t="s">
        <v>2664</v>
      </c>
      <c r="I156">
        <v>29596</v>
      </c>
      <c r="J156">
        <v>29596</v>
      </c>
      <c r="K156">
        <v>29596</v>
      </c>
      <c r="L156">
        <v>29596</v>
      </c>
      <c r="M156">
        <v>29596</v>
      </c>
      <c r="N156" t="s">
        <v>988</v>
      </c>
    </row>
    <row r="157" spans="1:14" hidden="1" x14ac:dyDescent="0.3">
      <c r="A157">
        <v>117</v>
      </c>
      <c r="B157" t="s">
        <v>1240</v>
      </c>
      <c r="C157" t="s">
        <v>2670</v>
      </c>
      <c r="D157" t="s">
        <v>159</v>
      </c>
      <c r="E157" t="s">
        <v>159</v>
      </c>
      <c r="F157">
        <v>7816</v>
      </c>
      <c r="G157" t="s">
        <v>2673</v>
      </c>
      <c r="H157" t="s">
        <v>2665</v>
      </c>
      <c r="I157">
        <v>20154</v>
      </c>
      <c r="J157">
        <v>20481</v>
      </c>
      <c r="K157">
        <v>20815</v>
      </c>
      <c r="L157">
        <v>21153</v>
      </c>
      <c r="M157">
        <v>21497</v>
      </c>
      <c r="N157" t="s">
        <v>988</v>
      </c>
    </row>
    <row r="158" spans="1:14" hidden="1" x14ac:dyDescent="0.3">
      <c r="A158">
        <v>123</v>
      </c>
      <c r="B158" t="s">
        <v>1242</v>
      </c>
      <c r="C158" t="s">
        <v>2670</v>
      </c>
      <c r="D158" t="s">
        <v>1203</v>
      </c>
      <c r="E158" t="s">
        <v>1204</v>
      </c>
      <c r="F158">
        <v>5757</v>
      </c>
      <c r="G158" t="s">
        <v>2675</v>
      </c>
      <c r="H158" t="s">
        <v>2665</v>
      </c>
      <c r="I158">
        <v>45171</v>
      </c>
      <c r="J158">
        <v>49386</v>
      </c>
      <c r="K158">
        <v>53992</v>
      </c>
      <c r="L158">
        <v>59030</v>
      </c>
      <c r="N158" t="s">
        <v>988</v>
      </c>
    </row>
    <row r="159" spans="1:14" hidden="1" x14ac:dyDescent="0.3">
      <c r="A159">
        <v>123</v>
      </c>
      <c r="B159" t="s">
        <v>1242</v>
      </c>
      <c r="C159" t="s">
        <v>2670</v>
      </c>
      <c r="D159" t="s">
        <v>1203</v>
      </c>
      <c r="E159" t="s">
        <v>1204</v>
      </c>
      <c r="F159">
        <v>5757</v>
      </c>
      <c r="G159" t="s">
        <v>2675</v>
      </c>
      <c r="H159" t="s">
        <v>2664</v>
      </c>
      <c r="I159">
        <v>45171</v>
      </c>
      <c r="J159">
        <v>49386</v>
      </c>
      <c r="K159">
        <v>53992</v>
      </c>
      <c r="L159">
        <v>59030</v>
      </c>
      <c r="N159" t="s">
        <v>988</v>
      </c>
    </row>
    <row r="160" spans="1:14" hidden="1" x14ac:dyDescent="0.3">
      <c r="A160">
        <v>123</v>
      </c>
      <c r="B160" t="s">
        <v>1242</v>
      </c>
      <c r="C160" t="s">
        <v>2670</v>
      </c>
      <c r="D160" t="s">
        <v>1203</v>
      </c>
      <c r="E160" t="s">
        <v>1204</v>
      </c>
      <c r="F160">
        <v>5757</v>
      </c>
      <c r="G160" t="s">
        <v>2676</v>
      </c>
      <c r="H160" t="s">
        <v>2665</v>
      </c>
      <c r="I160">
        <v>50190</v>
      </c>
      <c r="J160">
        <v>54873</v>
      </c>
      <c r="K160">
        <v>59991</v>
      </c>
      <c r="L160">
        <v>65589</v>
      </c>
      <c r="N160" t="s">
        <v>988</v>
      </c>
    </row>
    <row r="161" spans="1:14" hidden="1" x14ac:dyDescent="0.3">
      <c r="A161">
        <v>123</v>
      </c>
      <c r="B161" t="s">
        <v>1242</v>
      </c>
      <c r="C161" t="s">
        <v>2670</v>
      </c>
      <c r="D161" t="s">
        <v>1203</v>
      </c>
      <c r="E161" t="s">
        <v>1204</v>
      </c>
      <c r="F161">
        <v>5757</v>
      </c>
      <c r="G161" t="s">
        <v>2676</v>
      </c>
      <c r="H161" t="s">
        <v>2664</v>
      </c>
      <c r="I161">
        <v>50190</v>
      </c>
      <c r="J161">
        <v>54873</v>
      </c>
      <c r="K161">
        <v>59991</v>
      </c>
      <c r="L161">
        <v>65589</v>
      </c>
      <c r="N161" t="s">
        <v>988</v>
      </c>
    </row>
    <row r="162" spans="1:14" hidden="1" x14ac:dyDescent="0.3">
      <c r="A162">
        <v>123</v>
      </c>
      <c r="B162" t="s">
        <v>1242</v>
      </c>
      <c r="C162" t="s">
        <v>2670</v>
      </c>
      <c r="D162" t="s">
        <v>1203</v>
      </c>
      <c r="E162" t="s">
        <v>1204</v>
      </c>
      <c r="F162">
        <v>5757</v>
      </c>
      <c r="G162" t="s">
        <v>2674</v>
      </c>
      <c r="H162" t="s">
        <v>2664</v>
      </c>
      <c r="I162">
        <v>42662</v>
      </c>
      <c r="J162">
        <v>46642</v>
      </c>
      <c r="K162">
        <v>50992</v>
      </c>
      <c r="L162">
        <v>55751</v>
      </c>
      <c r="N162" t="s">
        <v>988</v>
      </c>
    </row>
    <row r="163" spans="1:14" hidden="1" x14ac:dyDescent="0.3">
      <c r="A163">
        <v>123</v>
      </c>
      <c r="B163" t="s">
        <v>1242</v>
      </c>
      <c r="C163" t="s">
        <v>2670</v>
      </c>
      <c r="D163" t="s">
        <v>1203</v>
      </c>
      <c r="E163" t="s">
        <v>1204</v>
      </c>
      <c r="F163">
        <v>5757</v>
      </c>
      <c r="G163" t="s">
        <v>2672</v>
      </c>
      <c r="H163" t="s">
        <v>2665</v>
      </c>
      <c r="N163" t="s">
        <v>988</v>
      </c>
    </row>
    <row r="164" spans="1:14" hidden="1" x14ac:dyDescent="0.3">
      <c r="A164">
        <v>123</v>
      </c>
      <c r="B164" t="s">
        <v>1242</v>
      </c>
      <c r="C164" t="s">
        <v>2670</v>
      </c>
      <c r="D164" t="s">
        <v>1203</v>
      </c>
      <c r="E164" t="s">
        <v>1204</v>
      </c>
      <c r="F164">
        <v>5757</v>
      </c>
      <c r="G164" t="s">
        <v>2673</v>
      </c>
      <c r="H164" t="s">
        <v>2664</v>
      </c>
      <c r="I164">
        <v>42662</v>
      </c>
      <c r="J164">
        <v>46642</v>
      </c>
      <c r="K164">
        <v>50992</v>
      </c>
      <c r="L164">
        <v>55751</v>
      </c>
      <c r="N164" t="s">
        <v>988</v>
      </c>
    </row>
    <row r="165" spans="1:14" hidden="1" x14ac:dyDescent="0.3">
      <c r="A165">
        <v>123</v>
      </c>
      <c r="B165" t="s">
        <v>1242</v>
      </c>
      <c r="C165" t="s">
        <v>2670</v>
      </c>
      <c r="D165" t="s">
        <v>1203</v>
      </c>
      <c r="E165" t="s">
        <v>1204</v>
      </c>
      <c r="F165">
        <v>5757</v>
      </c>
      <c r="G165" t="s">
        <v>2673</v>
      </c>
      <c r="H165" t="s">
        <v>2665</v>
      </c>
      <c r="I165">
        <v>42662</v>
      </c>
      <c r="J165">
        <v>46642</v>
      </c>
      <c r="K165">
        <v>50992</v>
      </c>
      <c r="L165">
        <v>55751</v>
      </c>
      <c r="N165" t="s">
        <v>988</v>
      </c>
    </row>
    <row r="166" spans="1:14" hidden="1" x14ac:dyDescent="0.3">
      <c r="A166">
        <v>123</v>
      </c>
      <c r="B166" t="s">
        <v>1242</v>
      </c>
      <c r="C166" t="s">
        <v>2670</v>
      </c>
      <c r="D166" t="s">
        <v>1203</v>
      </c>
      <c r="E166" t="s">
        <v>1204</v>
      </c>
      <c r="F166">
        <v>5757</v>
      </c>
      <c r="G166" t="s">
        <v>2671</v>
      </c>
      <c r="H166" t="s">
        <v>2664</v>
      </c>
      <c r="I166">
        <v>42662</v>
      </c>
      <c r="J166">
        <v>46642</v>
      </c>
      <c r="K166">
        <v>50992</v>
      </c>
      <c r="L166">
        <v>55751</v>
      </c>
      <c r="N166" t="s">
        <v>988</v>
      </c>
    </row>
    <row r="167" spans="1:14" hidden="1" x14ac:dyDescent="0.3">
      <c r="A167">
        <v>123</v>
      </c>
      <c r="B167" t="s">
        <v>1242</v>
      </c>
      <c r="C167" t="s">
        <v>2670</v>
      </c>
      <c r="D167" t="s">
        <v>1203</v>
      </c>
      <c r="E167" t="s">
        <v>1204</v>
      </c>
      <c r="F167">
        <v>5757</v>
      </c>
      <c r="G167" t="s">
        <v>2671</v>
      </c>
      <c r="H167" t="s">
        <v>2665</v>
      </c>
      <c r="I167">
        <v>42662</v>
      </c>
      <c r="J167">
        <v>46642</v>
      </c>
      <c r="K167">
        <v>50992</v>
      </c>
      <c r="L167">
        <v>55751</v>
      </c>
      <c r="N167" t="s">
        <v>988</v>
      </c>
    </row>
    <row r="168" spans="1:14" hidden="1" x14ac:dyDescent="0.3">
      <c r="A168">
        <v>123</v>
      </c>
      <c r="B168" t="s">
        <v>1242</v>
      </c>
      <c r="C168" t="s">
        <v>2670</v>
      </c>
      <c r="D168" t="s">
        <v>1203</v>
      </c>
      <c r="E168" t="s">
        <v>1204</v>
      </c>
      <c r="F168">
        <v>5757</v>
      </c>
      <c r="G168" t="s">
        <v>2672</v>
      </c>
      <c r="H168" t="s">
        <v>2664</v>
      </c>
      <c r="N168" t="s">
        <v>988</v>
      </c>
    </row>
    <row r="169" spans="1:14" hidden="1" x14ac:dyDescent="0.3">
      <c r="A169">
        <v>123</v>
      </c>
      <c r="B169" t="s">
        <v>1242</v>
      </c>
      <c r="C169" t="s">
        <v>2670</v>
      </c>
      <c r="D169" t="s">
        <v>1203</v>
      </c>
      <c r="E169" t="s">
        <v>1204</v>
      </c>
      <c r="F169">
        <v>5757</v>
      </c>
      <c r="G169" t="s">
        <v>2674</v>
      </c>
      <c r="H169" t="s">
        <v>2665</v>
      </c>
      <c r="I169">
        <v>42662</v>
      </c>
      <c r="J169">
        <v>46642</v>
      </c>
      <c r="K169">
        <v>50992</v>
      </c>
      <c r="L169">
        <v>55751</v>
      </c>
      <c r="N169" t="s">
        <v>988</v>
      </c>
    </row>
    <row r="170" spans="1:14" hidden="1" x14ac:dyDescent="0.3">
      <c r="A170">
        <v>124</v>
      </c>
      <c r="B170" t="s">
        <v>1246</v>
      </c>
      <c r="C170" t="s">
        <v>2670</v>
      </c>
      <c r="D170" t="s">
        <v>1203</v>
      </c>
      <c r="E170" t="s">
        <v>1204</v>
      </c>
      <c r="F170">
        <v>6589</v>
      </c>
      <c r="G170" t="s">
        <v>2673</v>
      </c>
      <c r="H170" t="s">
        <v>2664</v>
      </c>
      <c r="I170">
        <v>3722.5609620499999</v>
      </c>
      <c r="J170">
        <v>3596.7365602</v>
      </c>
      <c r="K170">
        <v>3811.5587096999998</v>
      </c>
      <c r="L170">
        <v>4029.44974705</v>
      </c>
      <c r="N170" t="s">
        <v>988</v>
      </c>
    </row>
    <row r="171" spans="1:14" hidden="1" x14ac:dyDescent="0.3">
      <c r="A171">
        <v>124</v>
      </c>
      <c r="B171" t="s">
        <v>1246</v>
      </c>
      <c r="C171" t="s">
        <v>2670</v>
      </c>
      <c r="D171" t="s">
        <v>1203</v>
      </c>
      <c r="E171" t="s">
        <v>1204</v>
      </c>
      <c r="F171">
        <v>6589</v>
      </c>
      <c r="G171" t="s">
        <v>2671</v>
      </c>
      <c r="H171" t="s">
        <v>2665</v>
      </c>
      <c r="I171">
        <v>3722.5609620499999</v>
      </c>
      <c r="J171">
        <v>3596.7365602</v>
      </c>
      <c r="K171">
        <v>3811.5587096999998</v>
      </c>
      <c r="L171">
        <v>4029.44974705</v>
      </c>
      <c r="N171" t="s">
        <v>988</v>
      </c>
    </row>
    <row r="172" spans="1:14" hidden="1" x14ac:dyDescent="0.3">
      <c r="A172">
        <v>124</v>
      </c>
      <c r="B172" t="s">
        <v>1246</v>
      </c>
      <c r="C172" t="s">
        <v>2670</v>
      </c>
      <c r="D172" t="s">
        <v>1203</v>
      </c>
      <c r="E172" t="s">
        <v>1204</v>
      </c>
      <c r="F172">
        <v>6589</v>
      </c>
      <c r="G172" t="s">
        <v>2672</v>
      </c>
      <c r="H172" t="s">
        <v>2664</v>
      </c>
      <c r="I172">
        <v>3722.5609620499999</v>
      </c>
      <c r="J172">
        <v>3596.7365602</v>
      </c>
      <c r="K172">
        <v>3811.5587096999998</v>
      </c>
      <c r="L172">
        <v>4029.44974705</v>
      </c>
      <c r="N172" t="s">
        <v>988</v>
      </c>
    </row>
    <row r="173" spans="1:14" hidden="1" x14ac:dyDescent="0.3">
      <c r="A173">
        <v>124</v>
      </c>
      <c r="B173" t="s">
        <v>1246</v>
      </c>
      <c r="C173" t="s">
        <v>2670</v>
      </c>
      <c r="D173" t="s">
        <v>1203</v>
      </c>
      <c r="E173" t="s">
        <v>1204</v>
      </c>
      <c r="F173">
        <v>6589</v>
      </c>
      <c r="G173" t="s">
        <v>2672</v>
      </c>
      <c r="H173" t="s">
        <v>2665</v>
      </c>
      <c r="I173">
        <v>3722.5609620499999</v>
      </c>
      <c r="J173">
        <v>3596.7365602</v>
      </c>
      <c r="K173">
        <v>3811.5587096999998</v>
      </c>
      <c r="L173">
        <v>4029.44974705</v>
      </c>
      <c r="N173" t="s">
        <v>988</v>
      </c>
    </row>
    <row r="174" spans="1:14" hidden="1" x14ac:dyDescent="0.3">
      <c r="A174">
        <v>124</v>
      </c>
      <c r="B174" t="s">
        <v>1246</v>
      </c>
      <c r="C174" t="s">
        <v>2670</v>
      </c>
      <c r="D174" t="s">
        <v>1203</v>
      </c>
      <c r="E174" t="s">
        <v>1204</v>
      </c>
      <c r="F174">
        <v>6589</v>
      </c>
      <c r="G174" t="s">
        <v>2676</v>
      </c>
      <c r="H174" t="s">
        <v>2664</v>
      </c>
      <c r="I174">
        <v>3722.5609620499999</v>
      </c>
      <c r="J174">
        <v>3596.7365602</v>
      </c>
      <c r="K174">
        <v>3811.5587096999998</v>
      </c>
      <c r="L174">
        <v>4029.44974705</v>
      </c>
      <c r="N174" t="s">
        <v>988</v>
      </c>
    </row>
    <row r="175" spans="1:14" hidden="1" x14ac:dyDescent="0.3">
      <c r="A175">
        <v>124</v>
      </c>
      <c r="B175" t="s">
        <v>1246</v>
      </c>
      <c r="C175" t="s">
        <v>2670</v>
      </c>
      <c r="D175" t="s">
        <v>1203</v>
      </c>
      <c r="E175" t="s">
        <v>1204</v>
      </c>
      <c r="F175">
        <v>6589</v>
      </c>
      <c r="G175" t="s">
        <v>2676</v>
      </c>
      <c r="H175" t="s">
        <v>2665</v>
      </c>
      <c r="I175">
        <v>3722.5609620499999</v>
      </c>
      <c r="J175">
        <v>3596.7365602</v>
      </c>
      <c r="K175">
        <v>3811.5587096999998</v>
      </c>
      <c r="L175">
        <v>4029.44974705</v>
      </c>
      <c r="N175" t="s">
        <v>988</v>
      </c>
    </row>
    <row r="176" spans="1:14" hidden="1" x14ac:dyDescent="0.3">
      <c r="A176">
        <v>124</v>
      </c>
      <c r="B176" t="s">
        <v>1246</v>
      </c>
      <c r="C176" t="s">
        <v>2670</v>
      </c>
      <c r="D176" t="s">
        <v>1203</v>
      </c>
      <c r="E176" t="s">
        <v>1204</v>
      </c>
      <c r="F176">
        <v>6589</v>
      </c>
      <c r="G176" t="s">
        <v>2675</v>
      </c>
      <c r="H176" t="s">
        <v>2664</v>
      </c>
      <c r="I176">
        <v>3722.5609620499999</v>
      </c>
      <c r="J176">
        <v>3596.7365602</v>
      </c>
      <c r="K176">
        <v>3811.5587096999998</v>
      </c>
      <c r="L176">
        <v>4029.44974705</v>
      </c>
      <c r="N176" t="s">
        <v>988</v>
      </c>
    </row>
    <row r="177" spans="1:14" hidden="1" x14ac:dyDescent="0.3">
      <c r="A177">
        <v>124</v>
      </c>
      <c r="B177" t="s">
        <v>1246</v>
      </c>
      <c r="C177" t="s">
        <v>2670</v>
      </c>
      <c r="D177" t="s">
        <v>1203</v>
      </c>
      <c r="E177" t="s">
        <v>1204</v>
      </c>
      <c r="F177">
        <v>6589</v>
      </c>
      <c r="G177" t="s">
        <v>2675</v>
      </c>
      <c r="H177" t="s">
        <v>2665</v>
      </c>
      <c r="I177">
        <v>3722.5609620499999</v>
      </c>
      <c r="J177">
        <v>3596.7365602</v>
      </c>
      <c r="K177">
        <v>3811.5587096999998</v>
      </c>
      <c r="L177">
        <v>4029.44974705</v>
      </c>
      <c r="N177" t="s">
        <v>988</v>
      </c>
    </row>
    <row r="178" spans="1:14" hidden="1" x14ac:dyDescent="0.3">
      <c r="A178">
        <v>124</v>
      </c>
      <c r="B178" t="s">
        <v>1246</v>
      </c>
      <c r="C178" t="s">
        <v>2670</v>
      </c>
      <c r="D178" t="s">
        <v>1203</v>
      </c>
      <c r="E178" t="s">
        <v>1204</v>
      </c>
      <c r="F178">
        <v>6589</v>
      </c>
      <c r="G178" t="s">
        <v>2674</v>
      </c>
      <c r="H178" t="s">
        <v>2664</v>
      </c>
      <c r="I178">
        <v>3722.5609620499999</v>
      </c>
      <c r="J178">
        <v>3596.7365602</v>
      </c>
      <c r="K178">
        <v>3811.5587096999998</v>
      </c>
      <c r="L178">
        <v>4029.44974705</v>
      </c>
      <c r="N178" t="s">
        <v>988</v>
      </c>
    </row>
    <row r="179" spans="1:14" hidden="1" x14ac:dyDescent="0.3">
      <c r="A179">
        <v>124</v>
      </c>
      <c r="B179" t="s">
        <v>1246</v>
      </c>
      <c r="C179" t="s">
        <v>2670</v>
      </c>
      <c r="D179" t="s">
        <v>1203</v>
      </c>
      <c r="E179" t="s">
        <v>1204</v>
      </c>
      <c r="F179">
        <v>6589</v>
      </c>
      <c r="G179" t="s">
        <v>2674</v>
      </c>
      <c r="H179" t="s">
        <v>2665</v>
      </c>
      <c r="I179">
        <v>3722.5609620499999</v>
      </c>
      <c r="J179">
        <v>3596.7365602</v>
      </c>
      <c r="K179">
        <v>3811.5587096999998</v>
      </c>
      <c r="L179">
        <v>4029.44974705</v>
      </c>
      <c r="N179" t="s">
        <v>988</v>
      </c>
    </row>
    <row r="180" spans="1:14" hidden="1" x14ac:dyDescent="0.3">
      <c r="A180">
        <v>124</v>
      </c>
      <c r="B180" t="s">
        <v>1246</v>
      </c>
      <c r="C180" t="s">
        <v>2670</v>
      </c>
      <c r="D180" t="s">
        <v>1203</v>
      </c>
      <c r="E180" t="s">
        <v>1204</v>
      </c>
      <c r="F180">
        <v>6589</v>
      </c>
      <c r="G180" t="s">
        <v>2671</v>
      </c>
      <c r="H180" t="s">
        <v>2664</v>
      </c>
      <c r="I180">
        <v>3722.5609620499999</v>
      </c>
      <c r="J180">
        <v>3596.7365602</v>
      </c>
      <c r="K180">
        <v>3811.5587096999998</v>
      </c>
      <c r="L180">
        <v>4029.44974705</v>
      </c>
      <c r="N180" t="s">
        <v>988</v>
      </c>
    </row>
    <row r="181" spans="1:14" hidden="1" x14ac:dyDescent="0.3">
      <c r="A181">
        <v>124</v>
      </c>
      <c r="B181" t="s">
        <v>1246</v>
      </c>
      <c r="C181" t="s">
        <v>2670</v>
      </c>
      <c r="D181" t="s">
        <v>1203</v>
      </c>
      <c r="E181" t="s">
        <v>1204</v>
      </c>
      <c r="F181">
        <v>6589</v>
      </c>
      <c r="G181" t="s">
        <v>2673</v>
      </c>
      <c r="H181" t="s">
        <v>2665</v>
      </c>
      <c r="I181">
        <v>3722.5609620499999</v>
      </c>
      <c r="J181">
        <v>3596.7365602</v>
      </c>
      <c r="K181">
        <v>3811.5587096999998</v>
      </c>
      <c r="L181">
        <v>4029.44974705</v>
      </c>
      <c r="N181" t="s">
        <v>988</v>
      </c>
    </row>
    <row r="182" spans="1:14" hidden="1" x14ac:dyDescent="0.3">
      <c r="A182">
        <v>129</v>
      </c>
      <c r="B182" t="s">
        <v>1250</v>
      </c>
      <c r="C182" t="s">
        <v>2670</v>
      </c>
      <c r="D182" t="s">
        <v>159</v>
      </c>
      <c r="E182" t="s">
        <v>159</v>
      </c>
      <c r="F182">
        <v>7821</v>
      </c>
      <c r="G182" t="s">
        <v>2674</v>
      </c>
      <c r="H182" t="s">
        <v>2665</v>
      </c>
      <c r="I182">
        <v>9172</v>
      </c>
      <c r="J182">
        <v>10438</v>
      </c>
      <c r="K182">
        <v>11578</v>
      </c>
      <c r="L182">
        <v>12581</v>
      </c>
      <c r="M182">
        <v>13458</v>
      </c>
      <c r="N182" t="s">
        <v>988</v>
      </c>
    </row>
    <row r="183" spans="1:14" hidden="1" x14ac:dyDescent="0.3">
      <c r="A183">
        <v>129</v>
      </c>
      <c r="B183" t="s">
        <v>1250</v>
      </c>
      <c r="C183" t="s">
        <v>2670</v>
      </c>
      <c r="D183" t="s">
        <v>159</v>
      </c>
      <c r="E183" t="s">
        <v>159</v>
      </c>
      <c r="F183">
        <v>7821</v>
      </c>
      <c r="G183" t="s">
        <v>2673</v>
      </c>
      <c r="H183" t="s">
        <v>2664</v>
      </c>
      <c r="I183">
        <v>9507</v>
      </c>
      <c r="J183">
        <v>10678</v>
      </c>
      <c r="K183">
        <v>11789</v>
      </c>
      <c r="L183">
        <v>12766</v>
      </c>
      <c r="M183">
        <v>13619</v>
      </c>
      <c r="N183" t="s">
        <v>988</v>
      </c>
    </row>
    <row r="184" spans="1:14" hidden="1" x14ac:dyDescent="0.3">
      <c r="A184">
        <v>129</v>
      </c>
      <c r="B184" t="s">
        <v>1250</v>
      </c>
      <c r="C184" t="s">
        <v>2670</v>
      </c>
      <c r="D184" t="s">
        <v>159</v>
      </c>
      <c r="E184" t="s">
        <v>159</v>
      </c>
      <c r="F184">
        <v>7821</v>
      </c>
      <c r="G184" t="s">
        <v>2673</v>
      </c>
      <c r="H184" t="s">
        <v>2665</v>
      </c>
      <c r="I184">
        <v>9443</v>
      </c>
      <c r="J184">
        <v>10678</v>
      </c>
      <c r="K184">
        <v>11789</v>
      </c>
      <c r="L184">
        <v>12766</v>
      </c>
      <c r="M184">
        <v>13619</v>
      </c>
      <c r="N184" t="s">
        <v>988</v>
      </c>
    </row>
    <row r="185" spans="1:14" hidden="1" x14ac:dyDescent="0.3">
      <c r="A185">
        <v>129</v>
      </c>
      <c r="B185" t="s">
        <v>1250</v>
      </c>
      <c r="C185" t="s">
        <v>2670</v>
      </c>
      <c r="D185" t="s">
        <v>159</v>
      </c>
      <c r="E185" t="s">
        <v>159</v>
      </c>
      <c r="F185">
        <v>7821</v>
      </c>
      <c r="G185" t="s">
        <v>2671</v>
      </c>
      <c r="H185" t="s">
        <v>2664</v>
      </c>
      <c r="I185">
        <v>9684</v>
      </c>
      <c r="J185">
        <v>10911</v>
      </c>
      <c r="K185">
        <v>11995</v>
      </c>
      <c r="L185">
        <v>12946</v>
      </c>
      <c r="M185">
        <v>13732</v>
      </c>
      <c r="N185" t="s">
        <v>988</v>
      </c>
    </row>
    <row r="186" spans="1:14" hidden="1" x14ac:dyDescent="0.3">
      <c r="A186">
        <v>129</v>
      </c>
      <c r="B186" t="s">
        <v>1250</v>
      </c>
      <c r="C186" t="s">
        <v>2670</v>
      </c>
      <c r="D186" t="s">
        <v>159</v>
      </c>
      <c r="E186" t="s">
        <v>159</v>
      </c>
      <c r="F186">
        <v>7821</v>
      </c>
      <c r="G186" t="s">
        <v>2671</v>
      </c>
      <c r="H186" t="s">
        <v>2665</v>
      </c>
      <c r="I186">
        <v>9684</v>
      </c>
      <c r="J186">
        <v>10911</v>
      </c>
      <c r="K186">
        <v>11995</v>
      </c>
      <c r="L186">
        <v>12946</v>
      </c>
      <c r="M186">
        <v>13732</v>
      </c>
      <c r="N186" t="s">
        <v>988</v>
      </c>
    </row>
    <row r="187" spans="1:14" hidden="1" x14ac:dyDescent="0.3">
      <c r="A187">
        <v>129</v>
      </c>
      <c r="B187" t="s">
        <v>1250</v>
      </c>
      <c r="C187" t="s">
        <v>2670</v>
      </c>
      <c r="D187" t="s">
        <v>159</v>
      </c>
      <c r="E187" t="s">
        <v>159</v>
      </c>
      <c r="F187">
        <v>7821</v>
      </c>
      <c r="G187" t="s">
        <v>2674</v>
      </c>
      <c r="H187" t="s">
        <v>2664</v>
      </c>
      <c r="I187">
        <v>9507</v>
      </c>
      <c r="J187">
        <v>10438</v>
      </c>
      <c r="K187">
        <v>11578</v>
      </c>
      <c r="L187">
        <v>12581</v>
      </c>
      <c r="M187">
        <v>13458</v>
      </c>
      <c r="N187" t="s">
        <v>988</v>
      </c>
    </row>
    <row r="188" spans="1:14" hidden="1" x14ac:dyDescent="0.3">
      <c r="A188">
        <v>129</v>
      </c>
      <c r="B188" t="s">
        <v>1250</v>
      </c>
      <c r="C188" t="s">
        <v>2670</v>
      </c>
      <c r="D188" t="s">
        <v>159</v>
      </c>
      <c r="E188" t="s">
        <v>159</v>
      </c>
      <c r="F188">
        <v>7821</v>
      </c>
      <c r="G188" t="s">
        <v>2672</v>
      </c>
      <c r="H188" t="s">
        <v>2665</v>
      </c>
      <c r="N188" t="s">
        <v>988</v>
      </c>
    </row>
    <row r="189" spans="1:14" hidden="1" x14ac:dyDescent="0.3">
      <c r="A189">
        <v>129</v>
      </c>
      <c r="B189" t="s">
        <v>1250</v>
      </c>
      <c r="C189" t="s">
        <v>2670</v>
      </c>
      <c r="D189" t="s">
        <v>159</v>
      </c>
      <c r="E189" t="s">
        <v>159</v>
      </c>
      <c r="F189">
        <v>7821</v>
      </c>
      <c r="G189" t="s">
        <v>2676</v>
      </c>
      <c r="H189" t="s">
        <v>2664</v>
      </c>
      <c r="I189">
        <v>9507</v>
      </c>
      <c r="J189">
        <v>10234</v>
      </c>
      <c r="K189">
        <v>11467</v>
      </c>
      <c r="L189">
        <v>12554</v>
      </c>
      <c r="M189">
        <v>13507</v>
      </c>
      <c r="N189" t="s">
        <v>988</v>
      </c>
    </row>
    <row r="190" spans="1:14" hidden="1" x14ac:dyDescent="0.3">
      <c r="A190">
        <v>129</v>
      </c>
      <c r="B190" t="s">
        <v>1250</v>
      </c>
      <c r="C190" t="s">
        <v>2670</v>
      </c>
      <c r="D190" t="s">
        <v>159</v>
      </c>
      <c r="E190" t="s">
        <v>159</v>
      </c>
      <c r="F190">
        <v>7821</v>
      </c>
      <c r="G190" t="s">
        <v>2676</v>
      </c>
      <c r="H190" t="s">
        <v>2665</v>
      </c>
      <c r="I190">
        <v>8865</v>
      </c>
      <c r="J190">
        <v>10234</v>
      </c>
      <c r="K190">
        <v>11467</v>
      </c>
      <c r="L190">
        <v>12554</v>
      </c>
      <c r="M190">
        <v>13507</v>
      </c>
      <c r="N190" t="s">
        <v>988</v>
      </c>
    </row>
    <row r="191" spans="1:14" hidden="1" x14ac:dyDescent="0.3">
      <c r="A191">
        <v>129</v>
      </c>
      <c r="B191" t="s">
        <v>1250</v>
      </c>
      <c r="C191" t="s">
        <v>2670</v>
      </c>
      <c r="D191" t="s">
        <v>159</v>
      </c>
      <c r="E191" t="s">
        <v>159</v>
      </c>
      <c r="F191">
        <v>7821</v>
      </c>
      <c r="G191" t="s">
        <v>2675</v>
      </c>
      <c r="H191" t="s">
        <v>2664</v>
      </c>
      <c r="I191">
        <v>9507</v>
      </c>
      <c r="J191">
        <v>10793</v>
      </c>
      <c r="K191">
        <v>12030</v>
      </c>
      <c r="L191">
        <v>13120</v>
      </c>
      <c r="M191">
        <v>14074</v>
      </c>
      <c r="N191" t="s">
        <v>988</v>
      </c>
    </row>
    <row r="192" spans="1:14" hidden="1" x14ac:dyDescent="0.3">
      <c r="A192">
        <v>129</v>
      </c>
      <c r="B192" t="s">
        <v>1250</v>
      </c>
      <c r="C192" t="s">
        <v>2670</v>
      </c>
      <c r="D192" t="s">
        <v>159</v>
      </c>
      <c r="E192" t="s">
        <v>159</v>
      </c>
      <c r="F192">
        <v>7821</v>
      </c>
      <c r="G192" t="s">
        <v>2675</v>
      </c>
      <c r="H192" t="s">
        <v>2665</v>
      </c>
      <c r="I192">
        <v>9419</v>
      </c>
      <c r="J192">
        <v>10793</v>
      </c>
      <c r="K192">
        <v>12030</v>
      </c>
      <c r="L192">
        <v>13120</v>
      </c>
      <c r="M192">
        <v>14074</v>
      </c>
      <c r="N192" t="s">
        <v>988</v>
      </c>
    </row>
    <row r="193" spans="1:14" hidden="1" x14ac:dyDescent="0.3">
      <c r="A193">
        <v>129</v>
      </c>
      <c r="B193" t="s">
        <v>1250</v>
      </c>
      <c r="C193" t="s">
        <v>2670</v>
      </c>
      <c r="D193" t="s">
        <v>159</v>
      </c>
      <c r="E193" t="s">
        <v>159</v>
      </c>
      <c r="F193">
        <v>7821</v>
      </c>
      <c r="G193" t="s">
        <v>2672</v>
      </c>
      <c r="H193" t="s">
        <v>2664</v>
      </c>
      <c r="N193" t="s">
        <v>988</v>
      </c>
    </row>
    <row r="194" spans="1:14" hidden="1" x14ac:dyDescent="0.3">
      <c r="A194">
        <v>159</v>
      </c>
      <c r="B194" t="s">
        <v>1251</v>
      </c>
      <c r="C194" t="s">
        <v>2670</v>
      </c>
      <c r="D194" t="s">
        <v>1203</v>
      </c>
      <c r="E194" t="s">
        <v>1204</v>
      </c>
      <c r="F194">
        <v>6161</v>
      </c>
      <c r="G194" t="s">
        <v>2676</v>
      </c>
      <c r="H194" t="s">
        <v>2664</v>
      </c>
      <c r="I194">
        <v>7349</v>
      </c>
      <c r="J194">
        <v>7878</v>
      </c>
      <c r="K194">
        <v>8944</v>
      </c>
      <c r="L194">
        <v>9195</v>
      </c>
      <c r="M194">
        <v>9792</v>
      </c>
      <c r="N194" t="s">
        <v>988</v>
      </c>
    </row>
    <row r="195" spans="1:14" hidden="1" x14ac:dyDescent="0.3">
      <c r="A195">
        <v>159</v>
      </c>
      <c r="B195" t="s">
        <v>1251</v>
      </c>
      <c r="C195" t="s">
        <v>2670</v>
      </c>
      <c r="D195" t="s">
        <v>1203</v>
      </c>
      <c r="E195" t="s">
        <v>1204</v>
      </c>
      <c r="F195">
        <v>6161</v>
      </c>
      <c r="G195" t="s">
        <v>2672</v>
      </c>
      <c r="H195" t="s">
        <v>2665</v>
      </c>
      <c r="I195">
        <v>9257</v>
      </c>
      <c r="J195">
        <v>10004</v>
      </c>
      <c r="K195">
        <v>10858</v>
      </c>
      <c r="L195">
        <v>11474</v>
      </c>
      <c r="M195">
        <v>11993</v>
      </c>
      <c r="N195" t="s">
        <v>988</v>
      </c>
    </row>
    <row r="196" spans="1:14" hidden="1" x14ac:dyDescent="0.3">
      <c r="A196">
        <v>159</v>
      </c>
      <c r="B196" t="s">
        <v>1251</v>
      </c>
      <c r="C196" t="s">
        <v>2670</v>
      </c>
      <c r="D196" t="s">
        <v>1203</v>
      </c>
      <c r="E196" t="s">
        <v>1204</v>
      </c>
      <c r="F196">
        <v>6161</v>
      </c>
      <c r="G196" t="s">
        <v>2672</v>
      </c>
      <c r="H196" t="s">
        <v>2664</v>
      </c>
      <c r="I196">
        <v>10709</v>
      </c>
      <c r="J196">
        <v>10747</v>
      </c>
      <c r="K196">
        <v>11482</v>
      </c>
      <c r="L196">
        <v>11329</v>
      </c>
      <c r="M196">
        <v>11625</v>
      </c>
      <c r="N196" t="s">
        <v>988</v>
      </c>
    </row>
    <row r="197" spans="1:14" hidden="1" x14ac:dyDescent="0.3">
      <c r="A197">
        <v>159</v>
      </c>
      <c r="B197" t="s">
        <v>1251</v>
      </c>
      <c r="C197" t="s">
        <v>2670</v>
      </c>
      <c r="D197" t="s">
        <v>1203</v>
      </c>
      <c r="E197" t="s">
        <v>1204</v>
      </c>
      <c r="F197">
        <v>6161</v>
      </c>
      <c r="G197" t="s">
        <v>2671</v>
      </c>
      <c r="H197" t="s">
        <v>2665</v>
      </c>
      <c r="I197">
        <v>10800</v>
      </c>
      <c r="J197">
        <v>11671</v>
      </c>
      <c r="K197">
        <v>12668</v>
      </c>
      <c r="L197">
        <v>13387</v>
      </c>
      <c r="M197">
        <v>13992</v>
      </c>
      <c r="N197" t="s">
        <v>988</v>
      </c>
    </row>
    <row r="198" spans="1:14" hidden="1" x14ac:dyDescent="0.3">
      <c r="A198">
        <v>159</v>
      </c>
      <c r="B198" t="s">
        <v>1251</v>
      </c>
      <c r="C198" t="s">
        <v>2670</v>
      </c>
      <c r="D198" t="s">
        <v>1203</v>
      </c>
      <c r="E198" t="s">
        <v>1204</v>
      </c>
      <c r="F198">
        <v>6161</v>
      </c>
      <c r="G198" t="s">
        <v>2671</v>
      </c>
      <c r="H198" t="s">
        <v>2664</v>
      </c>
      <c r="I198">
        <v>10639</v>
      </c>
      <c r="J198">
        <v>10697</v>
      </c>
      <c r="K198">
        <v>11456</v>
      </c>
      <c r="L198">
        <v>11331</v>
      </c>
      <c r="M198">
        <v>11642</v>
      </c>
      <c r="N198" t="s">
        <v>988</v>
      </c>
    </row>
    <row r="199" spans="1:14" hidden="1" x14ac:dyDescent="0.3">
      <c r="A199">
        <v>159</v>
      </c>
      <c r="B199" t="s">
        <v>1251</v>
      </c>
      <c r="C199" t="s">
        <v>2670</v>
      </c>
      <c r="D199" t="s">
        <v>1203</v>
      </c>
      <c r="E199" t="s">
        <v>1204</v>
      </c>
      <c r="F199">
        <v>6161</v>
      </c>
      <c r="G199" t="s">
        <v>2673</v>
      </c>
      <c r="H199" t="s">
        <v>2665</v>
      </c>
      <c r="I199">
        <v>11572</v>
      </c>
      <c r="J199">
        <v>12505</v>
      </c>
      <c r="K199">
        <v>13573</v>
      </c>
      <c r="L199">
        <v>14343</v>
      </c>
      <c r="M199">
        <v>14991</v>
      </c>
      <c r="N199" t="s">
        <v>988</v>
      </c>
    </row>
    <row r="200" spans="1:14" hidden="1" x14ac:dyDescent="0.3">
      <c r="A200">
        <v>159</v>
      </c>
      <c r="B200" t="s">
        <v>1251</v>
      </c>
      <c r="C200" t="s">
        <v>2670</v>
      </c>
      <c r="D200" t="s">
        <v>1203</v>
      </c>
      <c r="E200" t="s">
        <v>1204</v>
      </c>
      <c r="F200">
        <v>6161</v>
      </c>
      <c r="G200" t="s">
        <v>2673</v>
      </c>
      <c r="H200" t="s">
        <v>2664</v>
      </c>
      <c r="I200">
        <v>11006</v>
      </c>
      <c r="J200">
        <v>11093</v>
      </c>
      <c r="K200">
        <v>11833</v>
      </c>
      <c r="L200">
        <v>11674</v>
      </c>
      <c r="M200">
        <v>11956</v>
      </c>
      <c r="N200" t="s">
        <v>988</v>
      </c>
    </row>
    <row r="201" spans="1:14" hidden="1" x14ac:dyDescent="0.3">
      <c r="A201">
        <v>159</v>
      </c>
      <c r="B201" t="s">
        <v>1251</v>
      </c>
      <c r="C201" t="s">
        <v>2670</v>
      </c>
      <c r="D201" t="s">
        <v>1203</v>
      </c>
      <c r="E201" t="s">
        <v>1204</v>
      </c>
      <c r="F201">
        <v>6161</v>
      </c>
      <c r="G201" t="s">
        <v>2674</v>
      </c>
      <c r="H201" t="s">
        <v>2665</v>
      </c>
      <c r="I201">
        <v>12343</v>
      </c>
      <c r="J201">
        <v>13338</v>
      </c>
      <c r="K201">
        <v>14478</v>
      </c>
      <c r="L201">
        <v>15299</v>
      </c>
      <c r="M201">
        <v>15990</v>
      </c>
      <c r="N201" t="s">
        <v>988</v>
      </c>
    </row>
    <row r="202" spans="1:14" hidden="1" x14ac:dyDescent="0.3">
      <c r="A202">
        <v>159</v>
      </c>
      <c r="B202" t="s">
        <v>1251</v>
      </c>
      <c r="C202" t="s">
        <v>2670</v>
      </c>
      <c r="D202" t="s">
        <v>1203</v>
      </c>
      <c r="E202" t="s">
        <v>1204</v>
      </c>
      <c r="F202">
        <v>6161</v>
      </c>
      <c r="G202" t="s">
        <v>2675</v>
      </c>
      <c r="H202" t="s">
        <v>2665</v>
      </c>
      <c r="I202">
        <v>13886</v>
      </c>
      <c r="J202">
        <v>15006</v>
      </c>
      <c r="K202">
        <v>16287</v>
      </c>
      <c r="L202">
        <v>17212</v>
      </c>
      <c r="M202">
        <v>17989</v>
      </c>
      <c r="N202" t="s">
        <v>988</v>
      </c>
    </row>
    <row r="203" spans="1:14" hidden="1" x14ac:dyDescent="0.3">
      <c r="A203">
        <v>159</v>
      </c>
      <c r="B203" t="s">
        <v>1251</v>
      </c>
      <c r="C203" t="s">
        <v>2670</v>
      </c>
      <c r="D203" t="s">
        <v>1203</v>
      </c>
      <c r="E203" t="s">
        <v>1204</v>
      </c>
      <c r="F203">
        <v>6161</v>
      </c>
      <c r="G203" t="s">
        <v>2674</v>
      </c>
      <c r="H203" t="s">
        <v>2664</v>
      </c>
      <c r="I203">
        <v>9617</v>
      </c>
      <c r="J203">
        <v>9778</v>
      </c>
      <c r="K203">
        <v>10626</v>
      </c>
      <c r="L203">
        <v>10623</v>
      </c>
      <c r="M203">
        <v>11021</v>
      </c>
      <c r="N203" t="s">
        <v>988</v>
      </c>
    </row>
    <row r="204" spans="1:14" hidden="1" x14ac:dyDescent="0.3">
      <c r="A204">
        <v>159</v>
      </c>
      <c r="B204" t="s">
        <v>1251</v>
      </c>
      <c r="C204" t="s">
        <v>2670</v>
      </c>
      <c r="D204" t="s">
        <v>1203</v>
      </c>
      <c r="E204" t="s">
        <v>1204</v>
      </c>
      <c r="F204">
        <v>6161</v>
      </c>
      <c r="G204" t="s">
        <v>2675</v>
      </c>
      <c r="H204" t="s">
        <v>2664</v>
      </c>
      <c r="I204">
        <v>8708</v>
      </c>
      <c r="J204">
        <v>8963</v>
      </c>
      <c r="K204">
        <v>9893</v>
      </c>
      <c r="L204">
        <v>1002</v>
      </c>
      <c r="M204">
        <v>10481</v>
      </c>
      <c r="N204" t="s">
        <v>988</v>
      </c>
    </row>
    <row r="205" spans="1:14" hidden="1" x14ac:dyDescent="0.3">
      <c r="A205">
        <v>159</v>
      </c>
      <c r="B205" t="s">
        <v>1251</v>
      </c>
      <c r="C205" t="s">
        <v>2670</v>
      </c>
      <c r="D205" t="s">
        <v>1203</v>
      </c>
      <c r="E205" t="s">
        <v>1204</v>
      </c>
      <c r="F205">
        <v>6161</v>
      </c>
      <c r="G205" t="s">
        <v>2676</v>
      </c>
      <c r="H205" t="s">
        <v>2665</v>
      </c>
      <c r="I205">
        <v>15429</v>
      </c>
      <c r="J205">
        <v>16673</v>
      </c>
      <c r="K205">
        <v>18097</v>
      </c>
      <c r="L205">
        <v>19124</v>
      </c>
      <c r="M205">
        <v>19988</v>
      </c>
      <c r="N205" t="s">
        <v>988</v>
      </c>
    </row>
    <row r="206" spans="1:14" hidden="1" x14ac:dyDescent="0.3">
      <c r="A206">
        <v>167</v>
      </c>
      <c r="B206" t="s">
        <v>1257</v>
      </c>
      <c r="C206" t="s">
        <v>2670</v>
      </c>
      <c r="D206" t="s">
        <v>1203</v>
      </c>
      <c r="E206" t="s">
        <v>1204</v>
      </c>
      <c r="F206">
        <v>5807</v>
      </c>
      <c r="G206" t="s">
        <v>2674</v>
      </c>
      <c r="H206" t="s">
        <v>2665</v>
      </c>
      <c r="I206">
        <v>10053</v>
      </c>
      <c r="J206">
        <v>10267</v>
      </c>
      <c r="K206">
        <v>10485</v>
      </c>
      <c r="L206">
        <v>10705</v>
      </c>
      <c r="M206">
        <v>10934</v>
      </c>
      <c r="N206" t="s">
        <v>988</v>
      </c>
    </row>
    <row r="207" spans="1:14" hidden="1" x14ac:dyDescent="0.3">
      <c r="A207">
        <v>167</v>
      </c>
      <c r="B207" t="s">
        <v>1257</v>
      </c>
      <c r="C207" t="s">
        <v>2670</v>
      </c>
      <c r="D207" t="s">
        <v>1203</v>
      </c>
      <c r="E207" t="s">
        <v>1204</v>
      </c>
      <c r="F207">
        <v>5807</v>
      </c>
      <c r="G207" t="s">
        <v>2673</v>
      </c>
      <c r="H207" t="s">
        <v>2664</v>
      </c>
      <c r="I207">
        <v>9792</v>
      </c>
      <c r="J207">
        <v>10602</v>
      </c>
      <c r="K207">
        <v>10602</v>
      </c>
      <c r="L207">
        <v>10602</v>
      </c>
      <c r="M207">
        <v>10602</v>
      </c>
      <c r="N207" t="s">
        <v>988</v>
      </c>
    </row>
    <row r="208" spans="1:14" hidden="1" x14ac:dyDescent="0.3">
      <c r="A208">
        <v>167</v>
      </c>
      <c r="B208" t="s">
        <v>1257</v>
      </c>
      <c r="C208" t="s">
        <v>2670</v>
      </c>
      <c r="D208" t="s">
        <v>1203</v>
      </c>
      <c r="E208" t="s">
        <v>1204</v>
      </c>
      <c r="F208">
        <v>5807</v>
      </c>
      <c r="G208" t="s">
        <v>2673</v>
      </c>
      <c r="H208" t="s">
        <v>2665</v>
      </c>
      <c r="I208">
        <v>10095</v>
      </c>
      <c r="J208">
        <v>10310</v>
      </c>
      <c r="K208">
        <v>10529</v>
      </c>
      <c r="L208">
        <v>10750</v>
      </c>
      <c r="M208">
        <v>10980</v>
      </c>
      <c r="N208" t="s">
        <v>988</v>
      </c>
    </row>
    <row r="209" spans="1:14" hidden="1" x14ac:dyDescent="0.3">
      <c r="A209">
        <v>167</v>
      </c>
      <c r="B209" t="s">
        <v>1257</v>
      </c>
      <c r="C209" t="s">
        <v>2670</v>
      </c>
      <c r="D209" t="s">
        <v>1203</v>
      </c>
      <c r="E209" t="s">
        <v>1204</v>
      </c>
      <c r="F209">
        <v>5807</v>
      </c>
      <c r="G209" t="s">
        <v>2671</v>
      </c>
      <c r="H209" t="s">
        <v>2664</v>
      </c>
      <c r="I209">
        <v>7301</v>
      </c>
      <c r="J209">
        <v>8030</v>
      </c>
      <c r="K209">
        <v>8030</v>
      </c>
      <c r="L209">
        <v>8030</v>
      </c>
      <c r="M209">
        <v>8030</v>
      </c>
      <c r="N209" t="s">
        <v>988</v>
      </c>
    </row>
    <row r="210" spans="1:14" hidden="1" x14ac:dyDescent="0.3">
      <c r="A210">
        <v>167</v>
      </c>
      <c r="B210" t="s">
        <v>1257</v>
      </c>
      <c r="C210" t="s">
        <v>2670</v>
      </c>
      <c r="D210" t="s">
        <v>1203</v>
      </c>
      <c r="E210" t="s">
        <v>1204</v>
      </c>
      <c r="F210">
        <v>5807</v>
      </c>
      <c r="G210" t="s">
        <v>2671</v>
      </c>
      <c r="H210" t="s">
        <v>2665</v>
      </c>
      <c r="I210">
        <v>10138</v>
      </c>
      <c r="J210">
        <v>10353</v>
      </c>
      <c r="K210">
        <v>10573</v>
      </c>
      <c r="L210">
        <v>10795</v>
      </c>
      <c r="M210">
        <v>11026</v>
      </c>
      <c r="N210" t="s">
        <v>988</v>
      </c>
    </row>
    <row r="211" spans="1:14" hidden="1" x14ac:dyDescent="0.3">
      <c r="A211">
        <v>167</v>
      </c>
      <c r="B211" t="s">
        <v>1257</v>
      </c>
      <c r="C211" t="s">
        <v>2670</v>
      </c>
      <c r="D211" t="s">
        <v>1203</v>
      </c>
      <c r="E211" t="s">
        <v>1204</v>
      </c>
      <c r="F211">
        <v>5807</v>
      </c>
      <c r="G211" t="s">
        <v>2676</v>
      </c>
      <c r="H211" t="s">
        <v>2665</v>
      </c>
      <c r="I211">
        <v>9969</v>
      </c>
      <c r="J211">
        <v>10181</v>
      </c>
      <c r="K211">
        <v>10397</v>
      </c>
      <c r="L211">
        <v>10616</v>
      </c>
      <c r="M211">
        <v>10843</v>
      </c>
      <c r="N211" t="s">
        <v>988</v>
      </c>
    </row>
    <row r="212" spans="1:14" hidden="1" x14ac:dyDescent="0.3">
      <c r="A212">
        <v>167</v>
      </c>
      <c r="B212" t="s">
        <v>1257</v>
      </c>
      <c r="C212" t="s">
        <v>2670</v>
      </c>
      <c r="D212" t="s">
        <v>1203</v>
      </c>
      <c r="E212" t="s">
        <v>1204</v>
      </c>
      <c r="F212">
        <v>5807</v>
      </c>
      <c r="G212" t="s">
        <v>2672</v>
      </c>
      <c r="H212" t="s">
        <v>2665</v>
      </c>
      <c r="N212" t="s">
        <v>988</v>
      </c>
    </row>
    <row r="213" spans="1:14" hidden="1" x14ac:dyDescent="0.3">
      <c r="A213">
        <v>167</v>
      </c>
      <c r="B213" t="s">
        <v>1257</v>
      </c>
      <c r="C213" t="s">
        <v>2670</v>
      </c>
      <c r="D213" t="s">
        <v>1203</v>
      </c>
      <c r="E213" t="s">
        <v>1204</v>
      </c>
      <c r="F213">
        <v>5807</v>
      </c>
      <c r="G213" t="s">
        <v>2676</v>
      </c>
      <c r="H213" t="s">
        <v>2664</v>
      </c>
      <c r="I213">
        <v>22020</v>
      </c>
      <c r="J213">
        <v>22020</v>
      </c>
      <c r="K213">
        <v>22020</v>
      </c>
      <c r="L213">
        <v>22020</v>
      </c>
      <c r="M213">
        <v>22020</v>
      </c>
      <c r="N213" t="s">
        <v>988</v>
      </c>
    </row>
    <row r="214" spans="1:14" hidden="1" x14ac:dyDescent="0.3">
      <c r="A214">
        <v>167</v>
      </c>
      <c r="B214" t="s">
        <v>1257</v>
      </c>
      <c r="C214" t="s">
        <v>2670</v>
      </c>
      <c r="D214" t="s">
        <v>1203</v>
      </c>
      <c r="E214" t="s">
        <v>1204</v>
      </c>
      <c r="F214">
        <v>5807</v>
      </c>
      <c r="G214" t="s">
        <v>2674</v>
      </c>
      <c r="H214" t="s">
        <v>2664</v>
      </c>
      <c r="I214">
        <v>8036</v>
      </c>
      <c r="J214">
        <v>8936</v>
      </c>
      <c r="K214">
        <v>8936</v>
      </c>
      <c r="L214">
        <v>8936</v>
      </c>
      <c r="M214">
        <v>8936</v>
      </c>
      <c r="N214" t="s">
        <v>988</v>
      </c>
    </row>
    <row r="215" spans="1:14" hidden="1" x14ac:dyDescent="0.3">
      <c r="A215">
        <v>167</v>
      </c>
      <c r="B215" t="s">
        <v>1257</v>
      </c>
      <c r="C215" t="s">
        <v>2670</v>
      </c>
      <c r="D215" t="s">
        <v>1203</v>
      </c>
      <c r="E215" t="s">
        <v>1204</v>
      </c>
      <c r="F215">
        <v>5807</v>
      </c>
      <c r="G215" t="s">
        <v>2675</v>
      </c>
      <c r="H215" t="s">
        <v>2665</v>
      </c>
      <c r="I215">
        <v>10011</v>
      </c>
      <c r="J215">
        <v>10224</v>
      </c>
      <c r="K215">
        <v>10441</v>
      </c>
      <c r="L215">
        <v>10661</v>
      </c>
      <c r="M215">
        <v>10889</v>
      </c>
      <c r="N215" t="s">
        <v>988</v>
      </c>
    </row>
    <row r="216" spans="1:14" hidden="1" x14ac:dyDescent="0.3">
      <c r="A216">
        <v>167</v>
      </c>
      <c r="B216" t="s">
        <v>1257</v>
      </c>
      <c r="C216" t="s">
        <v>2670</v>
      </c>
      <c r="D216" t="s">
        <v>1203</v>
      </c>
      <c r="E216" t="s">
        <v>1204</v>
      </c>
      <c r="F216">
        <v>5807</v>
      </c>
      <c r="G216" t="s">
        <v>2675</v>
      </c>
      <c r="H216" t="s">
        <v>2664</v>
      </c>
      <c r="I216">
        <v>10609</v>
      </c>
      <c r="J216">
        <v>11609</v>
      </c>
      <c r="K216">
        <v>11609</v>
      </c>
      <c r="L216">
        <v>11609</v>
      </c>
      <c r="M216">
        <v>11609</v>
      </c>
      <c r="N216" t="s">
        <v>988</v>
      </c>
    </row>
    <row r="217" spans="1:14" hidden="1" x14ac:dyDescent="0.3">
      <c r="A217">
        <v>167</v>
      </c>
      <c r="B217" t="s">
        <v>1257</v>
      </c>
      <c r="C217" t="s">
        <v>2670</v>
      </c>
      <c r="D217" t="s">
        <v>1203</v>
      </c>
      <c r="E217" t="s">
        <v>1204</v>
      </c>
      <c r="F217">
        <v>5807</v>
      </c>
      <c r="G217" t="s">
        <v>2672</v>
      </c>
      <c r="H217" t="s">
        <v>2664</v>
      </c>
      <c r="N217" t="s">
        <v>988</v>
      </c>
    </row>
    <row r="218" spans="1:14" hidden="1" x14ac:dyDescent="0.3">
      <c r="A218">
        <v>170</v>
      </c>
      <c r="B218" t="s">
        <v>1258</v>
      </c>
      <c r="C218" t="s">
        <v>2670</v>
      </c>
      <c r="D218" t="s">
        <v>1203</v>
      </c>
      <c r="E218" t="s">
        <v>1204</v>
      </c>
      <c r="F218">
        <v>5955</v>
      </c>
      <c r="G218" t="s">
        <v>2672</v>
      </c>
      <c r="H218" t="s">
        <v>2665</v>
      </c>
      <c r="N218" t="s">
        <v>988</v>
      </c>
    </row>
    <row r="219" spans="1:14" hidden="1" x14ac:dyDescent="0.3">
      <c r="A219">
        <v>170</v>
      </c>
      <c r="B219" t="s">
        <v>1258</v>
      </c>
      <c r="C219" t="s">
        <v>2670</v>
      </c>
      <c r="D219" t="s">
        <v>1203</v>
      </c>
      <c r="E219" t="s">
        <v>1204</v>
      </c>
      <c r="F219">
        <v>5955</v>
      </c>
      <c r="G219" t="s">
        <v>2672</v>
      </c>
      <c r="H219" t="s">
        <v>2664</v>
      </c>
      <c r="N219" t="s">
        <v>988</v>
      </c>
    </row>
    <row r="220" spans="1:14" hidden="1" x14ac:dyDescent="0.3">
      <c r="A220">
        <v>170</v>
      </c>
      <c r="B220" t="s">
        <v>1258</v>
      </c>
      <c r="C220" t="s">
        <v>2670</v>
      </c>
      <c r="D220" t="s">
        <v>1203</v>
      </c>
      <c r="E220" t="s">
        <v>1204</v>
      </c>
      <c r="F220">
        <v>5955</v>
      </c>
      <c r="G220" t="s">
        <v>2671</v>
      </c>
      <c r="H220" t="s">
        <v>2665</v>
      </c>
      <c r="I220">
        <v>6055</v>
      </c>
      <c r="J220">
        <v>6059</v>
      </c>
      <c r="K220">
        <v>6062</v>
      </c>
      <c r="L220">
        <v>6066</v>
      </c>
      <c r="M220">
        <v>6070</v>
      </c>
      <c r="N220" t="s">
        <v>988</v>
      </c>
    </row>
    <row r="221" spans="1:14" hidden="1" x14ac:dyDescent="0.3">
      <c r="A221">
        <v>170</v>
      </c>
      <c r="B221" t="s">
        <v>1258</v>
      </c>
      <c r="C221" t="s">
        <v>2670</v>
      </c>
      <c r="D221" t="s">
        <v>1203</v>
      </c>
      <c r="E221" t="s">
        <v>1204</v>
      </c>
      <c r="F221">
        <v>5955</v>
      </c>
      <c r="G221" t="s">
        <v>2671</v>
      </c>
      <c r="H221" t="s">
        <v>2664</v>
      </c>
      <c r="I221">
        <v>6423</v>
      </c>
      <c r="J221">
        <v>6423</v>
      </c>
      <c r="K221">
        <v>6423</v>
      </c>
      <c r="L221">
        <v>6423</v>
      </c>
      <c r="M221">
        <v>6423</v>
      </c>
      <c r="N221" t="s">
        <v>988</v>
      </c>
    </row>
    <row r="222" spans="1:14" hidden="1" x14ac:dyDescent="0.3">
      <c r="A222">
        <v>170</v>
      </c>
      <c r="B222" t="s">
        <v>1258</v>
      </c>
      <c r="C222" t="s">
        <v>2670</v>
      </c>
      <c r="D222" t="s">
        <v>1203</v>
      </c>
      <c r="E222" t="s">
        <v>1204</v>
      </c>
      <c r="F222">
        <v>5955</v>
      </c>
      <c r="G222" t="s">
        <v>2673</v>
      </c>
      <c r="H222" t="s">
        <v>2665</v>
      </c>
      <c r="I222">
        <v>6207</v>
      </c>
      <c r="J222">
        <v>6211</v>
      </c>
      <c r="K222">
        <v>6214</v>
      </c>
      <c r="L222">
        <v>6218</v>
      </c>
      <c r="M222">
        <v>6222</v>
      </c>
      <c r="N222" t="s">
        <v>988</v>
      </c>
    </row>
    <row r="223" spans="1:14" hidden="1" x14ac:dyDescent="0.3">
      <c r="A223">
        <v>170</v>
      </c>
      <c r="B223" t="s">
        <v>1258</v>
      </c>
      <c r="C223" t="s">
        <v>2670</v>
      </c>
      <c r="D223" t="s">
        <v>1203</v>
      </c>
      <c r="E223" t="s">
        <v>1204</v>
      </c>
      <c r="F223">
        <v>5955</v>
      </c>
      <c r="G223" t="s">
        <v>2673</v>
      </c>
      <c r="H223" t="s">
        <v>2664</v>
      </c>
      <c r="I223">
        <v>6423</v>
      </c>
      <c r="J223">
        <v>6423</v>
      </c>
      <c r="K223">
        <v>6423</v>
      </c>
      <c r="L223">
        <v>6423</v>
      </c>
      <c r="M223">
        <v>6423</v>
      </c>
      <c r="N223" t="s">
        <v>988</v>
      </c>
    </row>
    <row r="224" spans="1:14" hidden="1" x14ac:dyDescent="0.3">
      <c r="A224">
        <v>170</v>
      </c>
      <c r="B224" t="s">
        <v>1258</v>
      </c>
      <c r="C224" t="s">
        <v>2670</v>
      </c>
      <c r="D224" t="s">
        <v>1203</v>
      </c>
      <c r="E224" t="s">
        <v>1204</v>
      </c>
      <c r="F224">
        <v>5955</v>
      </c>
      <c r="G224" t="s">
        <v>2674</v>
      </c>
      <c r="H224" t="s">
        <v>2665</v>
      </c>
      <c r="I224">
        <v>6363</v>
      </c>
      <c r="J224">
        <v>6367</v>
      </c>
      <c r="K224">
        <v>6370</v>
      </c>
      <c r="L224">
        <v>6374</v>
      </c>
      <c r="M224">
        <v>6378</v>
      </c>
      <c r="N224" t="s">
        <v>988</v>
      </c>
    </row>
    <row r="225" spans="1:14" hidden="1" x14ac:dyDescent="0.3">
      <c r="A225">
        <v>170</v>
      </c>
      <c r="B225" t="s">
        <v>1258</v>
      </c>
      <c r="C225" t="s">
        <v>2670</v>
      </c>
      <c r="D225" t="s">
        <v>1203</v>
      </c>
      <c r="E225" t="s">
        <v>1204</v>
      </c>
      <c r="F225">
        <v>5955</v>
      </c>
      <c r="G225" t="s">
        <v>2674</v>
      </c>
      <c r="H225" t="s">
        <v>2664</v>
      </c>
      <c r="I225">
        <v>6423</v>
      </c>
      <c r="J225">
        <v>6423</v>
      </c>
      <c r="K225">
        <v>6423</v>
      </c>
      <c r="L225">
        <v>6423</v>
      </c>
      <c r="M225">
        <v>6423</v>
      </c>
      <c r="N225" t="s">
        <v>988</v>
      </c>
    </row>
    <row r="226" spans="1:14" hidden="1" x14ac:dyDescent="0.3">
      <c r="A226">
        <v>170</v>
      </c>
      <c r="B226" t="s">
        <v>1258</v>
      </c>
      <c r="C226" t="s">
        <v>2670</v>
      </c>
      <c r="D226" t="s">
        <v>1203</v>
      </c>
      <c r="E226" t="s">
        <v>1204</v>
      </c>
      <c r="F226">
        <v>5955</v>
      </c>
      <c r="G226" t="s">
        <v>2675</v>
      </c>
      <c r="H226" t="s">
        <v>2665</v>
      </c>
      <c r="I226">
        <v>6587</v>
      </c>
      <c r="J226">
        <v>6591</v>
      </c>
      <c r="K226">
        <v>6594</v>
      </c>
      <c r="L226">
        <v>6598</v>
      </c>
      <c r="M226">
        <v>6602</v>
      </c>
      <c r="N226" t="s">
        <v>988</v>
      </c>
    </row>
    <row r="227" spans="1:14" hidden="1" x14ac:dyDescent="0.3">
      <c r="A227">
        <v>170</v>
      </c>
      <c r="B227" t="s">
        <v>1258</v>
      </c>
      <c r="C227" t="s">
        <v>2670</v>
      </c>
      <c r="D227" t="s">
        <v>1203</v>
      </c>
      <c r="E227" t="s">
        <v>1204</v>
      </c>
      <c r="F227">
        <v>5955</v>
      </c>
      <c r="G227" t="s">
        <v>2675</v>
      </c>
      <c r="H227" t="s">
        <v>2664</v>
      </c>
      <c r="I227">
        <v>6423</v>
      </c>
      <c r="J227">
        <v>6423</v>
      </c>
      <c r="K227">
        <v>6423</v>
      </c>
      <c r="L227">
        <v>6423</v>
      </c>
      <c r="M227">
        <v>6423</v>
      </c>
      <c r="N227" t="s">
        <v>988</v>
      </c>
    </row>
    <row r="228" spans="1:14" hidden="1" x14ac:dyDescent="0.3">
      <c r="A228">
        <v>170</v>
      </c>
      <c r="B228" t="s">
        <v>1258</v>
      </c>
      <c r="C228" t="s">
        <v>2670</v>
      </c>
      <c r="D228" t="s">
        <v>1203</v>
      </c>
      <c r="E228" t="s">
        <v>1204</v>
      </c>
      <c r="F228">
        <v>5955</v>
      </c>
      <c r="G228" t="s">
        <v>2676</v>
      </c>
      <c r="H228" t="s">
        <v>2665</v>
      </c>
      <c r="I228">
        <v>5834</v>
      </c>
      <c r="J228">
        <v>5838</v>
      </c>
      <c r="K228">
        <v>5841</v>
      </c>
      <c r="L228">
        <v>5845</v>
      </c>
      <c r="M228">
        <v>5849</v>
      </c>
      <c r="N228" t="s">
        <v>988</v>
      </c>
    </row>
    <row r="229" spans="1:14" hidden="1" x14ac:dyDescent="0.3">
      <c r="A229">
        <v>170</v>
      </c>
      <c r="B229" t="s">
        <v>1258</v>
      </c>
      <c r="C229" t="s">
        <v>2670</v>
      </c>
      <c r="D229" t="s">
        <v>1203</v>
      </c>
      <c r="E229" t="s">
        <v>1204</v>
      </c>
      <c r="F229">
        <v>5955</v>
      </c>
      <c r="G229" t="s">
        <v>2676</v>
      </c>
      <c r="H229" t="s">
        <v>2664</v>
      </c>
      <c r="I229">
        <v>6423</v>
      </c>
      <c r="J229">
        <v>6423</v>
      </c>
      <c r="K229">
        <v>6423</v>
      </c>
      <c r="L229">
        <v>6423</v>
      </c>
      <c r="M229">
        <v>6423</v>
      </c>
      <c r="N229" t="s">
        <v>988</v>
      </c>
    </row>
    <row r="230" spans="1:14" hidden="1" x14ac:dyDescent="0.3">
      <c r="A230">
        <v>178</v>
      </c>
      <c r="B230" t="s">
        <v>1261</v>
      </c>
      <c r="C230" t="s">
        <v>2670</v>
      </c>
      <c r="D230" t="s">
        <v>1203</v>
      </c>
      <c r="E230" t="s">
        <v>1204</v>
      </c>
      <c r="F230">
        <v>5494</v>
      </c>
      <c r="G230" t="s">
        <v>2672</v>
      </c>
      <c r="H230" t="s">
        <v>2665</v>
      </c>
      <c r="N230" t="s">
        <v>988</v>
      </c>
    </row>
    <row r="231" spans="1:14" hidden="1" x14ac:dyDescent="0.3">
      <c r="A231">
        <v>178</v>
      </c>
      <c r="B231" t="s">
        <v>1261</v>
      </c>
      <c r="C231" t="s">
        <v>2670</v>
      </c>
      <c r="D231" t="s">
        <v>1203</v>
      </c>
      <c r="E231" t="s">
        <v>1204</v>
      </c>
      <c r="F231">
        <v>5494</v>
      </c>
      <c r="G231" t="s">
        <v>2672</v>
      </c>
      <c r="H231" t="s">
        <v>2664</v>
      </c>
      <c r="N231" t="s">
        <v>988</v>
      </c>
    </row>
    <row r="232" spans="1:14" hidden="1" x14ac:dyDescent="0.3">
      <c r="A232">
        <v>178</v>
      </c>
      <c r="B232" t="s">
        <v>1261</v>
      </c>
      <c r="C232" t="s">
        <v>2670</v>
      </c>
      <c r="D232" t="s">
        <v>1203</v>
      </c>
      <c r="E232" t="s">
        <v>1204</v>
      </c>
      <c r="F232">
        <v>5494</v>
      </c>
      <c r="G232" t="s">
        <v>2676</v>
      </c>
      <c r="H232" t="s">
        <v>2664</v>
      </c>
      <c r="I232">
        <v>28088</v>
      </c>
      <c r="J232">
        <v>28088</v>
      </c>
      <c r="K232">
        <v>28088</v>
      </c>
      <c r="L232">
        <v>28088</v>
      </c>
      <c r="M232">
        <v>28088</v>
      </c>
      <c r="N232" t="s">
        <v>988</v>
      </c>
    </row>
    <row r="233" spans="1:14" hidden="1" x14ac:dyDescent="0.3">
      <c r="A233">
        <v>178</v>
      </c>
      <c r="B233" t="s">
        <v>1261</v>
      </c>
      <c r="C233" t="s">
        <v>2670</v>
      </c>
      <c r="D233" t="s">
        <v>1203</v>
      </c>
      <c r="E233" t="s">
        <v>1204</v>
      </c>
      <c r="F233">
        <v>5494</v>
      </c>
      <c r="G233" t="s">
        <v>2676</v>
      </c>
      <c r="H233" t="s">
        <v>2665</v>
      </c>
      <c r="I233">
        <v>10247</v>
      </c>
      <c r="J233">
        <v>10301</v>
      </c>
      <c r="K233">
        <v>10424</v>
      </c>
      <c r="L233">
        <v>10538</v>
      </c>
      <c r="M233">
        <v>10798</v>
      </c>
      <c r="N233" t="s">
        <v>988</v>
      </c>
    </row>
    <row r="234" spans="1:14" hidden="1" x14ac:dyDescent="0.3">
      <c r="A234">
        <v>178</v>
      </c>
      <c r="B234" t="s">
        <v>1261</v>
      </c>
      <c r="C234" t="s">
        <v>2670</v>
      </c>
      <c r="D234" t="s">
        <v>1203</v>
      </c>
      <c r="E234" t="s">
        <v>1204</v>
      </c>
      <c r="F234">
        <v>5494</v>
      </c>
      <c r="G234" t="s">
        <v>2675</v>
      </c>
      <c r="H234" t="s">
        <v>2664</v>
      </c>
      <c r="I234">
        <v>21530</v>
      </c>
      <c r="J234">
        <v>21530</v>
      </c>
      <c r="K234">
        <v>21530</v>
      </c>
      <c r="L234">
        <v>21530</v>
      </c>
      <c r="M234">
        <v>21530</v>
      </c>
      <c r="N234" t="s">
        <v>988</v>
      </c>
    </row>
    <row r="235" spans="1:14" hidden="1" x14ac:dyDescent="0.3">
      <c r="A235">
        <v>178</v>
      </c>
      <c r="B235" t="s">
        <v>1261</v>
      </c>
      <c r="C235" t="s">
        <v>2670</v>
      </c>
      <c r="D235" t="s">
        <v>1203</v>
      </c>
      <c r="E235" t="s">
        <v>1204</v>
      </c>
      <c r="F235">
        <v>5494</v>
      </c>
      <c r="G235" t="s">
        <v>2675</v>
      </c>
      <c r="H235" t="s">
        <v>2665</v>
      </c>
      <c r="I235">
        <v>10247</v>
      </c>
      <c r="J235">
        <v>10301</v>
      </c>
      <c r="K235">
        <v>10424</v>
      </c>
      <c r="L235">
        <v>10538</v>
      </c>
      <c r="M235">
        <v>10798</v>
      </c>
      <c r="N235" t="s">
        <v>988</v>
      </c>
    </row>
    <row r="236" spans="1:14" hidden="1" x14ac:dyDescent="0.3">
      <c r="A236">
        <v>178</v>
      </c>
      <c r="B236" t="s">
        <v>1261</v>
      </c>
      <c r="C236" t="s">
        <v>2670</v>
      </c>
      <c r="D236" t="s">
        <v>1203</v>
      </c>
      <c r="E236" t="s">
        <v>1204</v>
      </c>
      <c r="F236">
        <v>5494</v>
      </c>
      <c r="G236" t="s">
        <v>2674</v>
      </c>
      <c r="H236" t="s">
        <v>2664</v>
      </c>
      <c r="I236">
        <v>15790</v>
      </c>
      <c r="J236">
        <v>15790</v>
      </c>
      <c r="K236">
        <v>15790</v>
      </c>
      <c r="L236">
        <v>15790</v>
      </c>
      <c r="M236">
        <v>15790</v>
      </c>
      <c r="N236" t="s">
        <v>988</v>
      </c>
    </row>
    <row r="237" spans="1:14" hidden="1" x14ac:dyDescent="0.3">
      <c r="A237">
        <v>178</v>
      </c>
      <c r="B237" t="s">
        <v>1261</v>
      </c>
      <c r="C237" t="s">
        <v>2670</v>
      </c>
      <c r="D237" t="s">
        <v>1203</v>
      </c>
      <c r="E237" t="s">
        <v>1204</v>
      </c>
      <c r="F237">
        <v>5494</v>
      </c>
      <c r="G237" t="s">
        <v>2674</v>
      </c>
      <c r="H237" t="s">
        <v>2665</v>
      </c>
      <c r="I237">
        <v>10247</v>
      </c>
      <c r="J237">
        <v>10301</v>
      </c>
      <c r="K237">
        <v>10424</v>
      </c>
      <c r="L237">
        <v>10538</v>
      </c>
      <c r="M237">
        <v>10798</v>
      </c>
      <c r="N237" t="s">
        <v>988</v>
      </c>
    </row>
    <row r="238" spans="1:14" hidden="1" x14ac:dyDescent="0.3">
      <c r="A238">
        <v>178</v>
      </c>
      <c r="B238" t="s">
        <v>1261</v>
      </c>
      <c r="C238" t="s">
        <v>2670</v>
      </c>
      <c r="D238" t="s">
        <v>1203</v>
      </c>
      <c r="E238" t="s">
        <v>1204</v>
      </c>
      <c r="F238">
        <v>5494</v>
      </c>
      <c r="G238" t="s">
        <v>2673</v>
      </c>
      <c r="H238" t="s">
        <v>2664</v>
      </c>
      <c r="I238">
        <v>15210</v>
      </c>
      <c r="J238">
        <v>15210</v>
      </c>
      <c r="K238">
        <v>15210</v>
      </c>
      <c r="L238">
        <v>15210</v>
      </c>
      <c r="M238">
        <v>15210</v>
      </c>
      <c r="N238" t="s">
        <v>988</v>
      </c>
    </row>
    <row r="239" spans="1:14" hidden="1" x14ac:dyDescent="0.3">
      <c r="A239">
        <v>178</v>
      </c>
      <c r="B239" t="s">
        <v>1261</v>
      </c>
      <c r="C239" t="s">
        <v>2670</v>
      </c>
      <c r="D239" t="s">
        <v>1203</v>
      </c>
      <c r="E239" t="s">
        <v>1204</v>
      </c>
      <c r="F239">
        <v>5494</v>
      </c>
      <c r="G239" t="s">
        <v>2673</v>
      </c>
      <c r="H239" t="s">
        <v>2665</v>
      </c>
      <c r="I239">
        <v>10247</v>
      </c>
      <c r="J239">
        <v>10301</v>
      </c>
      <c r="K239">
        <v>10424</v>
      </c>
      <c r="L239">
        <v>10538</v>
      </c>
      <c r="M239">
        <v>10798</v>
      </c>
      <c r="N239" t="s">
        <v>988</v>
      </c>
    </row>
    <row r="240" spans="1:14" hidden="1" x14ac:dyDescent="0.3">
      <c r="A240">
        <v>178</v>
      </c>
      <c r="B240" t="s">
        <v>1261</v>
      </c>
      <c r="C240" t="s">
        <v>2670</v>
      </c>
      <c r="D240" t="s">
        <v>1203</v>
      </c>
      <c r="E240" t="s">
        <v>1204</v>
      </c>
      <c r="F240">
        <v>5494</v>
      </c>
      <c r="G240" t="s">
        <v>2671</v>
      </c>
      <c r="H240" t="s">
        <v>2664</v>
      </c>
      <c r="I240">
        <v>18650</v>
      </c>
      <c r="J240">
        <v>18650</v>
      </c>
      <c r="K240">
        <v>18650</v>
      </c>
      <c r="L240">
        <v>18650</v>
      </c>
      <c r="M240">
        <v>18650</v>
      </c>
      <c r="N240" t="s">
        <v>988</v>
      </c>
    </row>
    <row r="241" spans="1:14" hidden="1" x14ac:dyDescent="0.3">
      <c r="A241">
        <v>178</v>
      </c>
      <c r="B241" t="s">
        <v>1261</v>
      </c>
      <c r="C241" t="s">
        <v>2670</v>
      </c>
      <c r="D241" t="s">
        <v>1203</v>
      </c>
      <c r="E241" t="s">
        <v>1204</v>
      </c>
      <c r="F241">
        <v>5494</v>
      </c>
      <c r="G241" t="s">
        <v>2671</v>
      </c>
      <c r="H241" t="s">
        <v>2665</v>
      </c>
      <c r="I241">
        <v>10247</v>
      </c>
      <c r="J241">
        <v>10301</v>
      </c>
      <c r="K241">
        <v>10424</v>
      </c>
      <c r="L241">
        <v>10538</v>
      </c>
      <c r="M241">
        <v>10798</v>
      </c>
      <c r="N241" t="s">
        <v>988</v>
      </c>
    </row>
    <row r="242" spans="1:14" hidden="1" x14ac:dyDescent="0.3">
      <c r="A242">
        <v>193</v>
      </c>
      <c r="B242" t="s">
        <v>1265</v>
      </c>
      <c r="C242" t="s">
        <v>2670</v>
      </c>
      <c r="D242" t="s">
        <v>1203</v>
      </c>
      <c r="E242" t="s">
        <v>1204</v>
      </c>
      <c r="F242">
        <v>5906</v>
      </c>
      <c r="G242" t="s">
        <v>2672</v>
      </c>
      <c r="H242" t="s">
        <v>2665</v>
      </c>
      <c r="N242" t="s">
        <v>988</v>
      </c>
    </row>
    <row r="243" spans="1:14" hidden="1" x14ac:dyDescent="0.3">
      <c r="A243">
        <v>193</v>
      </c>
      <c r="B243" t="s">
        <v>1265</v>
      </c>
      <c r="C243" t="s">
        <v>2670</v>
      </c>
      <c r="D243" t="s">
        <v>1203</v>
      </c>
      <c r="E243" t="s">
        <v>1204</v>
      </c>
      <c r="F243">
        <v>5906</v>
      </c>
      <c r="G243" t="s">
        <v>2676</v>
      </c>
      <c r="H243" t="s">
        <v>2665</v>
      </c>
      <c r="I243">
        <v>12064</v>
      </c>
      <c r="J243">
        <v>12264</v>
      </c>
      <c r="K243">
        <v>12476</v>
      </c>
      <c r="L243">
        <v>12720</v>
      </c>
      <c r="M243">
        <v>12908</v>
      </c>
      <c r="N243" t="s">
        <v>988</v>
      </c>
    </row>
    <row r="244" spans="1:14" hidden="1" x14ac:dyDescent="0.3">
      <c r="A244">
        <v>193</v>
      </c>
      <c r="B244" t="s">
        <v>1265</v>
      </c>
      <c r="C244" t="s">
        <v>2670</v>
      </c>
      <c r="D244" t="s">
        <v>1203</v>
      </c>
      <c r="E244" t="s">
        <v>1204</v>
      </c>
      <c r="F244">
        <v>5906</v>
      </c>
      <c r="G244" t="s">
        <v>2675</v>
      </c>
      <c r="H244" t="s">
        <v>2664</v>
      </c>
      <c r="I244">
        <v>12219</v>
      </c>
      <c r="J244">
        <v>12422</v>
      </c>
      <c r="K244">
        <v>12636</v>
      </c>
      <c r="L244">
        <v>12884</v>
      </c>
      <c r="M244">
        <v>13074</v>
      </c>
      <c r="N244" t="s">
        <v>988</v>
      </c>
    </row>
    <row r="245" spans="1:14" hidden="1" x14ac:dyDescent="0.3">
      <c r="A245">
        <v>193</v>
      </c>
      <c r="B245" t="s">
        <v>1265</v>
      </c>
      <c r="C245" t="s">
        <v>2670</v>
      </c>
      <c r="D245" t="s">
        <v>1203</v>
      </c>
      <c r="E245" t="s">
        <v>1204</v>
      </c>
      <c r="F245">
        <v>5906</v>
      </c>
      <c r="G245" t="s">
        <v>2675</v>
      </c>
      <c r="H245" t="s">
        <v>2665</v>
      </c>
      <c r="I245">
        <v>12219</v>
      </c>
      <c r="J245">
        <v>12422</v>
      </c>
      <c r="K245">
        <v>12636</v>
      </c>
      <c r="L245">
        <v>12884</v>
      </c>
      <c r="M245">
        <v>13074</v>
      </c>
      <c r="N245" t="s">
        <v>988</v>
      </c>
    </row>
    <row r="246" spans="1:14" hidden="1" x14ac:dyDescent="0.3">
      <c r="A246">
        <v>193</v>
      </c>
      <c r="B246" t="s">
        <v>1265</v>
      </c>
      <c r="C246" t="s">
        <v>2670</v>
      </c>
      <c r="D246" t="s">
        <v>1203</v>
      </c>
      <c r="E246" t="s">
        <v>1204</v>
      </c>
      <c r="F246">
        <v>5906</v>
      </c>
      <c r="G246" t="s">
        <v>2674</v>
      </c>
      <c r="H246" t="s">
        <v>2664</v>
      </c>
      <c r="I246">
        <v>12255</v>
      </c>
      <c r="J246">
        <v>12459</v>
      </c>
      <c r="K246">
        <v>12673</v>
      </c>
      <c r="L246">
        <v>12922</v>
      </c>
      <c r="M246">
        <v>13113</v>
      </c>
      <c r="N246" t="s">
        <v>988</v>
      </c>
    </row>
    <row r="247" spans="1:14" hidden="1" x14ac:dyDescent="0.3">
      <c r="A247">
        <v>193</v>
      </c>
      <c r="B247" t="s">
        <v>1265</v>
      </c>
      <c r="C247" t="s">
        <v>2670</v>
      </c>
      <c r="D247" t="s">
        <v>1203</v>
      </c>
      <c r="E247" t="s">
        <v>1204</v>
      </c>
      <c r="F247">
        <v>5906</v>
      </c>
      <c r="G247" t="s">
        <v>2676</v>
      </c>
      <c r="H247" t="s">
        <v>2664</v>
      </c>
      <c r="I247">
        <v>12064</v>
      </c>
      <c r="J247">
        <v>12264</v>
      </c>
      <c r="K247">
        <v>12476</v>
      </c>
      <c r="L247">
        <v>12720</v>
      </c>
      <c r="M247">
        <v>12908</v>
      </c>
      <c r="N247" t="s">
        <v>988</v>
      </c>
    </row>
    <row r="248" spans="1:14" hidden="1" x14ac:dyDescent="0.3">
      <c r="A248">
        <v>193</v>
      </c>
      <c r="B248" t="s">
        <v>1265</v>
      </c>
      <c r="C248" t="s">
        <v>2670</v>
      </c>
      <c r="D248" t="s">
        <v>1203</v>
      </c>
      <c r="E248" t="s">
        <v>1204</v>
      </c>
      <c r="F248">
        <v>5906</v>
      </c>
      <c r="G248" t="s">
        <v>2673</v>
      </c>
      <c r="H248" t="s">
        <v>2664</v>
      </c>
      <c r="I248">
        <v>11826</v>
      </c>
      <c r="J248">
        <v>12022</v>
      </c>
      <c r="K248">
        <v>12229</v>
      </c>
      <c r="L248">
        <v>12469</v>
      </c>
      <c r="M248">
        <v>12653</v>
      </c>
      <c r="N248" t="s">
        <v>988</v>
      </c>
    </row>
    <row r="249" spans="1:14" hidden="1" x14ac:dyDescent="0.3">
      <c r="A249">
        <v>193</v>
      </c>
      <c r="B249" t="s">
        <v>1265</v>
      </c>
      <c r="C249" t="s">
        <v>2670</v>
      </c>
      <c r="D249" t="s">
        <v>1203</v>
      </c>
      <c r="E249" t="s">
        <v>1204</v>
      </c>
      <c r="F249">
        <v>5906</v>
      </c>
      <c r="G249" t="s">
        <v>2673</v>
      </c>
      <c r="H249" t="s">
        <v>2665</v>
      </c>
      <c r="I249">
        <v>11826</v>
      </c>
      <c r="J249">
        <v>12022</v>
      </c>
      <c r="K249">
        <v>12229</v>
      </c>
      <c r="L249">
        <v>12469</v>
      </c>
      <c r="M249">
        <v>12653</v>
      </c>
      <c r="N249" t="s">
        <v>988</v>
      </c>
    </row>
    <row r="250" spans="1:14" hidden="1" x14ac:dyDescent="0.3">
      <c r="A250">
        <v>193</v>
      </c>
      <c r="B250" t="s">
        <v>1265</v>
      </c>
      <c r="C250" t="s">
        <v>2670</v>
      </c>
      <c r="D250" t="s">
        <v>1203</v>
      </c>
      <c r="E250" t="s">
        <v>1204</v>
      </c>
      <c r="F250">
        <v>5906</v>
      </c>
      <c r="G250" t="s">
        <v>2671</v>
      </c>
      <c r="H250" t="s">
        <v>2664</v>
      </c>
      <c r="I250">
        <v>11969</v>
      </c>
      <c r="J250">
        <v>12167</v>
      </c>
      <c r="K250">
        <v>12377</v>
      </c>
      <c r="L250">
        <v>12620</v>
      </c>
      <c r="M250">
        <v>12806</v>
      </c>
      <c r="N250" t="s">
        <v>988</v>
      </c>
    </row>
    <row r="251" spans="1:14" hidden="1" x14ac:dyDescent="0.3">
      <c r="A251">
        <v>193</v>
      </c>
      <c r="B251" t="s">
        <v>1265</v>
      </c>
      <c r="C251" t="s">
        <v>2670</v>
      </c>
      <c r="D251" t="s">
        <v>1203</v>
      </c>
      <c r="E251" t="s">
        <v>1204</v>
      </c>
      <c r="F251">
        <v>5906</v>
      </c>
      <c r="G251" t="s">
        <v>2671</v>
      </c>
      <c r="H251" t="s">
        <v>2665</v>
      </c>
      <c r="I251">
        <v>11969</v>
      </c>
      <c r="J251">
        <v>12167</v>
      </c>
      <c r="K251">
        <v>12377</v>
      </c>
      <c r="L251">
        <v>12620</v>
      </c>
      <c r="M251">
        <v>12806</v>
      </c>
      <c r="N251" t="s">
        <v>988</v>
      </c>
    </row>
    <row r="252" spans="1:14" hidden="1" x14ac:dyDescent="0.3">
      <c r="A252">
        <v>193</v>
      </c>
      <c r="B252" t="s">
        <v>1265</v>
      </c>
      <c r="C252" t="s">
        <v>2670</v>
      </c>
      <c r="D252" t="s">
        <v>1203</v>
      </c>
      <c r="E252" t="s">
        <v>1204</v>
      </c>
      <c r="F252">
        <v>5906</v>
      </c>
      <c r="G252" t="s">
        <v>2672</v>
      </c>
      <c r="H252" t="s">
        <v>2664</v>
      </c>
      <c r="N252" t="s">
        <v>988</v>
      </c>
    </row>
    <row r="253" spans="1:14" hidden="1" x14ac:dyDescent="0.3">
      <c r="A253">
        <v>193</v>
      </c>
      <c r="B253" t="s">
        <v>1265</v>
      </c>
      <c r="C253" t="s">
        <v>2670</v>
      </c>
      <c r="D253" t="s">
        <v>1203</v>
      </c>
      <c r="E253" t="s">
        <v>1204</v>
      </c>
      <c r="F253">
        <v>5906</v>
      </c>
      <c r="G253" t="s">
        <v>2674</v>
      </c>
      <c r="H253" t="s">
        <v>2665</v>
      </c>
      <c r="I253">
        <v>12255</v>
      </c>
      <c r="J253">
        <v>12459</v>
      </c>
      <c r="K253">
        <v>12673</v>
      </c>
      <c r="L253">
        <v>12922</v>
      </c>
      <c r="M253">
        <v>13113</v>
      </c>
      <c r="N253" t="s">
        <v>988</v>
      </c>
    </row>
    <row r="254" spans="1:14" hidden="1" x14ac:dyDescent="0.3">
      <c r="A254">
        <v>197</v>
      </c>
      <c r="B254" t="s">
        <v>1268</v>
      </c>
      <c r="C254" t="s">
        <v>2670</v>
      </c>
      <c r="D254" t="s">
        <v>159</v>
      </c>
      <c r="E254" t="s">
        <v>159</v>
      </c>
      <c r="F254">
        <v>5480</v>
      </c>
      <c r="G254" t="s">
        <v>2676</v>
      </c>
      <c r="H254" t="s">
        <v>2664</v>
      </c>
      <c r="I254">
        <v>1185</v>
      </c>
      <c r="J254">
        <v>1206</v>
      </c>
      <c r="K254">
        <v>1227</v>
      </c>
      <c r="L254">
        <v>1249</v>
      </c>
      <c r="M254">
        <v>1271</v>
      </c>
      <c r="N254" t="s">
        <v>988</v>
      </c>
    </row>
    <row r="255" spans="1:14" hidden="1" x14ac:dyDescent="0.3">
      <c r="A255">
        <v>197</v>
      </c>
      <c r="B255" t="s">
        <v>1268</v>
      </c>
      <c r="C255" t="s">
        <v>2670</v>
      </c>
      <c r="D255" t="s">
        <v>159</v>
      </c>
      <c r="E255" t="s">
        <v>159</v>
      </c>
      <c r="F255">
        <v>5480</v>
      </c>
      <c r="G255" t="s">
        <v>2672</v>
      </c>
      <c r="H255" t="s">
        <v>2665</v>
      </c>
      <c r="N255" t="s">
        <v>988</v>
      </c>
    </row>
    <row r="256" spans="1:14" hidden="1" x14ac:dyDescent="0.3">
      <c r="A256">
        <v>197</v>
      </c>
      <c r="B256" t="s">
        <v>1268</v>
      </c>
      <c r="C256" t="s">
        <v>2670</v>
      </c>
      <c r="D256" t="s">
        <v>159</v>
      </c>
      <c r="E256" t="s">
        <v>159</v>
      </c>
      <c r="F256">
        <v>5480</v>
      </c>
      <c r="G256" t="s">
        <v>2676</v>
      </c>
      <c r="H256" t="s">
        <v>2665</v>
      </c>
      <c r="I256">
        <v>1185</v>
      </c>
      <c r="J256">
        <v>1206</v>
      </c>
      <c r="K256">
        <v>1227</v>
      </c>
      <c r="L256">
        <v>1249</v>
      </c>
      <c r="M256">
        <v>1271</v>
      </c>
      <c r="N256" t="s">
        <v>988</v>
      </c>
    </row>
    <row r="257" spans="1:14" hidden="1" x14ac:dyDescent="0.3">
      <c r="A257">
        <v>197</v>
      </c>
      <c r="B257" t="s">
        <v>1268</v>
      </c>
      <c r="C257" t="s">
        <v>2670</v>
      </c>
      <c r="D257" t="s">
        <v>159</v>
      </c>
      <c r="E257" t="s">
        <v>159</v>
      </c>
      <c r="F257">
        <v>5480</v>
      </c>
      <c r="G257" t="s">
        <v>2675</v>
      </c>
      <c r="H257" t="s">
        <v>2664</v>
      </c>
      <c r="I257">
        <v>1189</v>
      </c>
      <c r="J257">
        <v>1210</v>
      </c>
      <c r="K257">
        <v>1231</v>
      </c>
      <c r="L257">
        <v>1253</v>
      </c>
      <c r="N257" t="s">
        <v>988</v>
      </c>
    </row>
    <row r="258" spans="1:14" hidden="1" x14ac:dyDescent="0.3">
      <c r="A258">
        <v>197</v>
      </c>
      <c r="B258" t="s">
        <v>1268</v>
      </c>
      <c r="C258" t="s">
        <v>2670</v>
      </c>
      <c r="D258" t="s">
        <v>159</v>
      </c>
      <c r="E258" t="s">
        <v>159</v>
      </c>
      <c r="F258">
        <v>5480</v>
      </c>
      <c r="G258" t="s">
        <v>2675</v>
      </c>
      <c r="H258" t="s">
        <v>2665</v>
      </c>
      <c r="I258">
        <v>1189</v>
      </c>
      <c r="J258">
        <v>1210</v>
      </c>
      <c r="K258">
        <v>1231</v>
      </c>
      <c r="L258">
        <v>1253</v>
      </c>
      <c r="N258" t="s">
        <v>988</v>
      </c>
    </row>
    <row r="259" spans="1:14" hidden="1" x14ac:dyDescent="0.3">
      <c r="A259">
        <v>197</v>
      </c>
      <c r="B259" t="s">
        <v>1268</v>
      </c>
      <c r="C259" t="s">
        <v>2670</v>
      </c>
      <c r="D259" t="s">
        <v>159</v>
      </c>
      <c r="E259" t="s">
        <v>159</v>
      </c>
      <c r="F259">
        <v>5480</v>
      </c>
      <c r="G259" t="s">
        <v>2674</v>
      </c>
      <c r="H259" t="s">
        <v>2664</v>
      </c>
      <c r="I259">
        <v>1193</v>
      </c>
      <c r="J259">
        <v>1214</v>
      </c>
      <c r="K259">
        <v>1236</v>
      </c>
      <c r="L259">
        <v>1258</v>
      </c>
      <c r="N259" t="s">
        <v>988</v>
      </c>
    </row>
    <row r="260" spans="1:14" hidden="1" x14ac:dyDescent="0.3">
      <c r="A260">
        <v>197</v>
      </c>
      <c r="B260" t="s">
        <v>1268</v>
      </c>
      <c r="C260" t="s">
        <v>2670</v>
      </c>
      <c r="D260" t="s">
        <v>159</v>
      </c>
      <c r="E260" t="s">
        <v>159</v>
      </c>
      <c r="F260">
        <v>5480</v>
      </c>
      <c r="G260" t="s">
        <v>2674</v>
      </c>
      <c r="H260" t="s">
        <v>2665</v>
      </c>
      <c r="I260">
        <v>1193</v>
      </c>
      <c r="J260">
        <v>1214</v>
      </c>
      <c r="K260">
        <v>1236</v>
      </c>
      <c r="L260">
        <v>1258</v>
      </c>
      <c r="N260" t="s">
        <v>988</v>
      </c>
    </row>
    <row r="261" spans="1:14" hidden="1" x14ac:dyDescent="0.3">
      <c r="A261">
        <v>197</v>
      </c>
      <c r="B261" t="s">
        <v>1268</v>
      </c>
      <c r="C261" t="s">
        <v>2670</v>
      </c>
      <c r="D261" t="s">
        <v>159</v>
      </c>
      <c r="E261" t="s">
        <v>159</v>
      </c>
      <c r="F261">
        <v>5480</v>
      </c>
      <c r="G261" t="s">
        <v>2673</v>
      </c>
      <c r="H261" t="s">
        <v>2664</v>
      </c>
      <c r="I261">
        <v>1197</v>
      </c>
      <c r="J261">
        <v>1219</v>
      </c>
      <c r="K261">
        <v>1240</v>
      </c>
      <c r="L261">
        <v>1262</v>
      </c>
      <c r="N261" t="s">
        <v>988</v>
      </c>
    </row>
    <row r="262" spans="1:14" hidden="1" x14ac:dyDescent="0.3">
      <c r="A262">
        <v>197</v>
      </c>
      <c r="B262" t="s">
        <v>1268</v>
      </c>
      <c r="C262" t="s">
        <v>2670</v>
      </c>
      <c r="D262" t="s">
        <v>159</v>
      </c>
      <c r="E262" t="s">
        <v>159</v>
      </c>
      <c r="F262">
        <v>5480</v>
      </c>
      <c r="G262" t="s">
        <v>2673</v>
      </c>
      <c r="H262" t="s">
        <v>2665</v>
      </c>
      <c r="I262">
        <v>1197</v>
      </c>
      <c r="J262">
        <v>1219</v>
      </c>
      <c r="K262">
        <v>1240</v>
      </c>
      <c r="L262">
        <v>1262</v>
      </c>
      <c r="N262" t="s">
        <v>988</v>
      </c>
    </row>
    <row r="263" spans="1:14" hidden="1" x14ac:dyDescent="0.3">
      <c r="A263">
        <v>197</v>
      </c>
      <c r="B263" t="s">
        <v>1268</v>
      </c>
      <c r="C263" t="s">
        <v>2670</v>
      </c>
      <c r="D263" t="s">
        <v>159</v>
      </c>
      <c r="E263" t="s">
        <v>159</v>
      </c>
      <c r="F263">
        <v>5480</v>
      </c>
      <c r="G263" t="s">
        <v>2671</v>
      </c>
      <c r="H263" t="s">
        <v>2664</v>
      </c>
      <c r="I263">
        <v>1202</v>
      </c>
      <c r="J263">
        <v>1223</v>
      </c>
      <c r="K263">
        <v>1244</v>
      </c>
      <c r="L263">
        <v>1267</v>
      </c>
      <c r="N263" t="s">
        <v>988</v>
      </c>
    </row>
    <row r="264" spans="1:14" hidden="1" x14ac:dyDescent="0.3">
      <c r="A264">
        <v>197</v>
      </c>
      <c r="B264" t="s">
        <v>1268</v>
      </c>
      <c r="C264" t="s">
        <v>2670</v>
      </c>
      <c r="D264" t="s">
        <v>159</v>
      </c>
      <c r="E264" t="s">
        <v>159</v>
      </c>
      <c r="F264">
        <v>5480</v>
      </c>
      <c r="G264" t="s">
        <v>2671</v>
      </c>
      <c r="H264" t="s">
        <v>2665</v>
      </c>
      <c r="I264">
        <v>1202</v>
      </c>
      <c r="J264">
        <v>1223</v>
      </c>
      <c r="K264">
        <v>1244</v>
      </c>
      <c r="L264">
        <v>1267</v>
      </c>
      <c r="N264" t="s">
        <v>988</v>
      </c>
    </row>
    <row r="265" spans="1:14" hidden="1" x14ac:dyDescent="0.3">
      <c r="A265">
        <v>197</v>
      </c>
      <c r="B265" t="s">
        <v>1268</v>
      </c>
      <c r="C265" t="s">
        <v>2670</v>
      </c>
      <c r="D265" t="s">
        <v>159</v>
      </c>
      <c r="E265" t="s">
        <v>159</v>
      </c>
      <c r="F265">
        <v>5480</v>
      </c>
      <c r="G265" t="s">
        <v>2672</v>
      </c>
      <c r="H265" t="s">
        <v>2664</v>
      </c>
      <c r="N265" t="s">
        <v>988</v>
      </c>
    </row>
    <row r="266" spans="1:14" hidden="1" x14ac:dyDescent="0.3">
      <c r="A266">
        <v>198</v>
      </c>
      <c r="B266" t="s">
        <v>1270</v>
      </c>
      <c r="C266" t="s">
        <v>2670</v>
      </c>
      <c r="D266" t="s">
        <v>159</v>
      </c>
      <c r="E266" t="s">
        <v>159</v>
      </c>
      <c r="F266">
        <v>7825</v>
      </c>
      <c r="G266" t="s">
        <v>2676</v>
      </c>
      <c r="H266" t="s">
        <v>2664</v>
      </c>
      <c r="I266">
        <v>3100</v>
      </c>
      <c r="J266">
        <v>3100</v>
      </c>
      <c r="K266">
        <v>3100</v>
      </c>
      <c r="L266">
        <v>3100</v>
      </c>
      <c r="M266">
        <v>3100</v>
      </c>
      <c r="N266" t="s">
        <v>988</v>
      </c>
    </row>
    <row r="267" spans="1:14" hidden="1" x14ac:dyDescent="0.3">
      <c r="A267">
        <v>198</v>
      </c>
      <c r="B267" t="s">
        <v>1270</v>
      </c>
      <c r="C267" t="s">
        <v>2670</v>
      </c>
      <c r="D267" t="s">
        <v>159</v>
      </c>
      <c r="E267" t="s">
        <v>159</v>
      </c>
      <c r="F267">
        <v>7825</v>
      </c>
      <c r="G267" t="s">
        <v>2675</v>
      </c>
      <c r="H267" t="s">
        <v>2664</v>
      </c>
      <c r="I267">
        <v>3100</v>
      </c>
      <c r="J267">
        <v>3100</v>
      </c>
      <c r="K267">
        <v>3100</v>
      </c>
      <c r="L267">
        <v>3100</v>
      </c>
      <c r="M267">
        <v>3100</v>
      </c>
      <c r="N267" t="s">
        <v>988</v>
      </c>
    </row>
    <row r="268" spans="1:14" hidden="1" x14ac:dyDescent="0.3">
      <c r="A268">
        <v>198</v>
      </c>
      <c r="B268" t="s">
        <v>1270</v>
      </c>
      <c r="C268" t="s">
        <v>2670</v>
      </c>
      <c r="D268" t="s">
        <v>159</v>
      </c>
      <c r="E268" t="s">
        <v>159</v>
      </c>
      <c r="F268">
        <v>7825</v>
      </c>
      <c r="G268" t="s">
        <v>2675</v>
      </c>
      <c r="H268" t="s">
        <v>2665</v>
      </c>
      <c r="I268">
        <v>2176</v>
      </c>
      <c r="J268">
        <v>2193</v>
      </c>
      <c r="K268">
        <v>2219</v>
      </c>
      <c r="L268">
        <v>2261</v>
      </c>
      <c r="M268">
        <v>2313</v>
      </c>
      <c r="N268" t="s">
        <v>988</v>
      </c>
    </row>
    <row r="269" spans="1:14" hidden="1" x14ac:dyDescent="0.3">
      <c r="A269">
        <v>198</v>
      </c>
      <c r="B269" t="s">
        <v>1270</v>
      </c>
      <c r="C269" t="s">
        <v>2670</v>
      </c>
      <c r="D269" t="s">
        <v>159</v>
      </c>
      <c r="E269" t="s">
        <v>159</v>
      </c>
      <c r="F269">
        <v>7825</v>
      </c>
      <c r="G269" t="s">
        <v>2674</v>
      </c>
      <c r="H269" t="s">
        <v>2664</v>
      </c>
      <c r="I269">
        <v>3100</v>
      </c>
      <c r="J269">
        <v>3100</v>
      </c>
      <c r="K269">
        <v>3100</v>
      </c>
      <c r="L269">
        <v>3100</v>
      </c>
      <c r="M269">
        <v>3100</v>
      </c>
      <c r="N269" t="s">
        <v>988</v>
      </c>
    </row>
    <row r="270" spans="1:14" hidden="1" x14ac:dyDescent="0.3">
      <c r="A270">
        <v>198</v>
      </c>
      <c r="B270" t="s">
        <v>1270</v>
      </c>
      <c r="C270" t="s">
        <v>2670</v>
      </c>
      <c r="D270" t="s">
        <v>159</v>
      </c>
      <c r="E270" t="s">
        <v>159</v>
      </c>
      <c r="F270">
        <v>7825</v>
      </c>
      <c r="G270" t="s">
        <v>2674</v>
      </c>
      <c r="H270" t="s">
        <v>2665</v>
      </c>
      <c r="I270">
        <v>2356</v>
      </c>
      <c r="J270">
        <v>2375</v>
      </c>
      <c r="K270">
        <v>2404</v>
      </c>
      <c r="L270">
        <v>2449</v>
      </c>
      <c r="M270">
        <v>2506</v>
      </c>
      <c r="N270" t="s">
        <v>988</v>
      </c>
    </row>
    <row r="271" spans="1:14" hidden="1" x14ac:dyDescent="0.3">
      <c r="A271">
        <v>198</v>
      </c>
      <c r="B271" t="s">
        <v>1270</v>
      </c>
      <c r="C271" t="s">
        <v>2670</v>
      </c>
      <c r="D271" t="s">
        <v>159</v>
      </c>
      <c r="E271" t="s">
        <v>159</v>
      </c>
      <c r="F271">
        <v>7825</v>
      </c>
      <c r="G271" t="s">
        <v>2676</v>
      </c>
      <c r="H271" t="s">
        <v>2665</v>
      </c>
      <c r="I271">
        <v>2102</v>
      </c>
      <c r="J271">
        <v>2118</v>
      </c>
      <c r="K271">
        <v>2144</v>
      </c>
      <c r="L271">
        <v>2184</v>
      </c>
      <c r="M271">
        <v>2235</v>
      </c>
      <c r="N271" t="s">
        <v>988</v>
      </c>
    </row>
    <row r="272" spans="1:14" hidden="1" x14ac:dyDescent="0.3">
      <c r="A272">
        <v>198</v>
      </c>
      <c r="B272" t="s">
        <v>1270</v>
      </c>
      <c r="C272" t="s">
        <v>2670</v>
      </c>
      <c r="D272" t="s">
        <v>159</v>
      </c>
      <c r="E272" t="s">
        <v>159</v>
      </c>
      <c r="F272">
        <v>7825</v>
      </c>
      <c r="G272" t="s">
        <v>2673</v>
      </c>
      <c r="H272" t="s">
        <v>2665</v>
      </c>
      <c r="I272">
        <v>2125</v>
      </c>
      <c r="J272">
        <v>2142</v>
      </c>
      <c r="K272">
        <v>2168</v>
      </c>
      <c r="L272">
        <v>2208</v>
      </c>
      <c r="M272">
        <v>2260</v>
      </c>
      <c r="N272" t="s">
        <v>988</v>
      </c>
    </row>
    <row r="273" spans="1:14" hidden="1" x14ac:dyDescent="0.3">
      <c r="A273">
        <v>198</v>
      </c>
      <c r="B273" t="s">
        <v>1270</v>
      </c>
      <c r="C273" t="s">
        <v>2670</v>
      </c>
      <c r="D273" t="s">
        <v>159</v>
      </c>
      <c r="E273" t="s">
        <v>159</v>
      </c>
      <c r="F273">
        <v>7825</v>
      </c>
      <c r="G273" t="s">
        <v>2671</v>
      </c>
      <c r="H273" t="s">
        <v>2664</v>
      </c>
      <c r="I273">
        <v>3100</v>
      </c>
      <c r="J273">
        <v>3100</v>
      </c>
      <c r="K273">
        <v>3100</v>
      </c>
      <c r="L273">
        <v>3100</v>
      </c>
      <c r="M273">
        <v>3100</v>
      </c>
      <c r="N273" t="s">
        <v>988</v>
      </c>
    </row>
    <row r="274" spans="1:14" hidden="1" x14ac:dyDescent="0.3">
      <c r="A274">
        <v>198</v>
      </c>
      <c r="B274" t="s">
        <v>1270</v>
      </c>
      <c r="C274" t="s">
        <v>2670</v>
      </c>
      <c r="D274" t="s">
        <v>159</v>
      </c>
      <c r="E274" t="s">
        <v>159</v>
      </c>
      <c r="F274">
        <v>7825</v>
      </c>
      <c r="G274" t="s">
        <v>2671</v>
      </c>
      <c r="H274" t="s">
        <v>2665</v>
      </c>
      <c r="I274">
        <v>1976</v>
      </c>
      <c r="J274">
        <v>1992</v>
      </c>
      <c r="K274">
        <v>2016</v>
      </c>
      <c r="L274">
        <v>2054</v>
      </c>
      <c r="M274">
        <v>2102</v>
      </c>
      <c r="N274" t="s">
        <v>988</v>
      </c>
    </row>
    <row r="275" spans="1:14" hidden="1" x14ac:dyDescent="0.3">
      <c r="A275">
        <v>198</v>
      </c>
      <c r="B275" t="s">
        <v>1270</v>
      </c>
      <c r="C275" t="s">
        <v>2670</v>
      </c>
      <c r="D275" t="s">
        <v>159</v>
      </c>
      <c r="E275" t="s">
        <v>159</v>
      </c>
      <c r="F275">
        <v>7825</v>
      </c>
      <c r="G275" t="s">
        <v>2672</v>
      </c>
      <c r="H275" t="s">
        <v>2664</v>
      </c>
      <c r="N275" t="s">
        <v>988</v>
      </c>
    </row>
    <row r="276" spans="1:14" hidden="1" x14ac:dyDescent="0.3">
      <c r="A276">
        <v>198</v>
      </c>
      <c r="B276" t="s">
        <v>1270</v>
      </c>
      <c r="C276" t="s">
        <v>2670</v>
      </c>
      <c r="D276" t="s">
        <v>159</v>
      </c>
      <c r="E276" t="s">
        <v>159</v>
      </c>
      <c r="F276">
        <v>7825</v>
      </c>
      <c r="G276" t="s">
        <v>2672</v>
      </c>
      <c r="H276" t="s">
        <v>2665</v>
      </c>
      <c r="N276" t="s">
        <v>988</v>
      </c>
    </row>
    <row r="277" spans="1:14" hidden="1" x14ac:dyDescent="0.3">
      <c r="A277">
        <v>198</v>
      </c>
      <c r="B277" t="s">
        <v>1270</v>
      </c>
      <c r="C277" t="s">
        <v>2670</v>
      </c>
      <c r="D277" t="s">
        <v>159</v>
      </c>
      <c r="E277" t="s">
        <v>159</v>
      </c>
      <c r="F277">
        <v>7825</v>
      </c>
      <c r="G277" t="s">
        <v>2673</v>
      </c>
      <c r="H277" t="s">
        <v>2664</v>
      </c>
      <c r="I277">
        <v>3100</v>
      </c>
      <c r="J277">
        <v>3100</v>
      </c>
      <c r="K277">
        <v>3100</v>
      </c>
      <c r="L277">
        <v>3100</v>
      </c>
      <c r="M277">
        <v>3100</v>
      </c>
      <c r="N277" t="s">
        <v>988</v>
      </c>
    </row>
    <row r="278" spans="1:14" hidden="1" x14ac:dyDescent="0.3">
      <c r="A278">
        <v>241</v>
      </c>
      <c r="B278" t="s">
        <v>1271</v>
      </c>
      <c r="C278" t="s">
        <v>2670</v>
      </c>
      <c r="D278" t="s">
        <v>1203</v>
      </c>
      <c r="E278" t="s">
        <v>1204</v>
      </c>
      <c r="F278">
        <v>5667</v>
      </c>
      <c r="G278" t="s">
        <v>2676</v>
      </c>
      <c r="H278" t="s">
        <v>2664</v>
      </c>
      <c r="I278">
        <v>3424</v>
      </c>
      <c r="J278">
        <v>3684</v>
      </c>
      <c r="K278">
        <v>3929</v>
      </c>
      <c r="L278">
        <v>4159</v>
      </c>
      <c r="M278">
        <v>4375</v>
      </c>
      <c r="N278" t="s">
        <v>988</v>
      </c>
    </row>
    <row r="279" spans="1:14" hidden="1" x14ac:dyDescent="0.3">
      <c r="A279">
        <v>241</v>
      </c>
      <c r="B279" t="s">
        <v>1271</v>
      </c>
      <c r="C279" t="s">
        <v>2670</v>
      </c>
      <c r="D279" t="s">
        <v>1203</v>
      </c>
      <c r="E279" t="s">
        <v>1204</v>
      </c>
      <c r="F279">
        <v>5667</v>
      </c>
      <c r="G279" t="s">
        <v>2672</v>
      </c>
      <c r="H279" t="s">
        <v>2665</v>
      </c>
      <c r="N279" t="s">
        <v>988</v>
      </c>
    </row>
    <row r="280" spans="1:14" hidden="1" x14ac:dyDescent="0.3">
      <c r="A280">
        <v>241</v>
      </c>
      <c r="B280" t="s">
        <v>1271</v>
      </c>
      <c r="C280" t="s">
        <v>2670</v>
      </c>
      <c r="D280" t="s">
        <v>1203</v>
      </c>
      <c r="E280" t="s">
        <v>1204</v>
      </c>
      <c r="F280">
        <v>5667</v>
      </c>
      <c r="G280" t="s">
        <v>2672</v>
      </c>
      <c r="H280" t="s">
        <v>2664</v>
      </c>
      <c r="N280" t="s">
        <v>988</v>
      </c>
    </row>
    <row r="281" spans="1:14" hidden="1" x14ac:dyDescent="0.3">
      <c r="A281">
        <v>241</v>
      </c>
      <c r="B281" t="s">
        <v>1271</v>
      </c>
      <c r="C281" t="s">
        <v>2670</v>
      </c>
      <c r="D281" t="s">
        <v>1203</v>
      </c>
      <c r="E281" t="s">
        <v>1204</v>
      </c>
      <c r="F281">
        <v>5667</v>
      </c>
      <c r="G281" t="s">
        <v>2671</v>
      </c>
      <c r="H281" t="s">
        <v>2665</v>
      </c>
      <c r="I281">
        <v>3530</v>
      </c>
      <c r="J281">
        <v>3770</v>
      </c>
      <c r="K281">
        <v>3996</v>
      </c>
      <c r="L281">
        <v>4209</v>
      </c>
      <c r="M281">
        <v>4409</v>
      </c>
      <c r="N281" t="s">
        <v>988</v>
      </c>
    </row>
    <row r="282" spans="1:14" hidden="1" x14ac:dyDescent="0.3">
      <c r="A282">
        <v>241</v>
      </c>
      <c r="B282" t="s">
        <v>1271</v>
      </c>
      <c r="C282" t="s">
        <v>2670</v>
      </c>
      <c r="D282" t="s">
        <v>1203</v>
      </c>
      <c r="E282" t="s">
        <v>1204</v>
      </c>
      <c r="F282">
        <v>5667</v>
      </c>
      <c r="G282" t="s">
        <v>2671</v>
      </c>
      <c r="H282" t="s">
        <v>2664</v>
      </c>
      <c r="I282">
        <v>3530</v>
      </c>
      <c r="J282">
        <v>3770</v>
      </c>
      <c r="K282">
        <v>3996</v>
      </c>
      <c r="L282">
        <v>4209</v>
      </c>
      <c r="M282">
        <v>4409</v>
      </c>
      <c r="N282" t="s">
        <v>988</v>
      </c>
    </row>
    <row r="283" spans="1:14" hidden="1" x14ac:dyDescent="0.3">
      <c r="A283">
        <v>241</v>
      </c>
      <c r="B283" t="s">
        <v>1271</v>
      </c>
      <c r="C283" t="s">
        <v>2670</v>
      </c>
      <c r="D283" t="s">
        <v>1203</v>
      </c>
      <c r="E283" t="s">
        <v>1204</v>
      </c>
      <c r="F283">
        <v>5667</v>
      </c>
      <c r="G283" t="s">
        <v>2676</v>
      </c>
      <c r="H283" t="s">
        <v>2665</v>
      </c>
      <c r="I283">
        <v>3424</v>
      </c>
      <c r="J283">
        <v>3684</v>
      </c>
      <c r="K283">
        <v>3929</v>
      </c>
      <c r="L283">
        <v>4159</v>
      </c>
      <c r="M283">
        <v>4375</v>
      </c>
      <c r="N283" t="s">
        <v>988</v>
      </c>
    </row>
    <row r="284" spans="1:14" hidden="1" x14ac:dyDescent="0.3">
      <c r="A284">
        <v>241</v>
      </c>
      <c r="B284" t="s">
        <v>1271</v>
      </c>
      <c r="C284" t="s">
        <v>2670</v>
      </c>
      <c r="D284" t="s">
        <v>1203</v>
      </c>
      <c r="E284" t="s">
        <v>1204</v>
      </c>
      <c r="F284">
        <v>5667</v>
      </c>
      <c r="G284" t="s">
        <v>2673</v>
      </c>
      <c r="H284" t="s">
        <v>2664</v>
      </c>
      <c r="I284">
        <v>3480</v>
      </c>
      <c r="J284">
        <v>3723</v>
      </c>
      <c r="K284">
        <v>3952</v>
      </c>
      <c r="L284">
        <v>4168</v>
      </c>
      <c r="M284">
        <v>4370</v>
      </c>
      <c r="N284" t="s">
        <v>988</v>
      </c>
    </row>
    <row r="285" spans="1:14" hidden="1" x14ac:dyDescent="0.3">
      <c r="A285">
        <v>241</v>
      </c>
      <c r="B285" t="s">
        <v>1271</v>
      </c>
      <c r="C285" t="s">
        <v>2670</v>
      </c>
      <c r="D285" t="s">
        <v>1203</v>
      </c>
      <c r="E285" t="s">
        <v>1204</v>
      </c>
      <c r="F285">
        <v>5667</v>
      </c>
      <c r="G285" t="s">
        <v>2674</v>
      </c>
      <c r="H285" t="s">
        <v>2665</v>
      </c>
      <c r="I285">
        <v>3429</v>
      </c>
      <c r="J285">
        <v>3676</v>
      </c>
      <c r="K285">
        <v>3908</v>
      </c>
      <c r="L285">
        <v>4126</v>
      </c>
      <c r="M285">
        <v>4331</v>
      </c>
      <c r="N285" t="s">
        <v>988</v>
      </c>
    </row>
    <row r="286" spans="1:14" hidden="1" x14ac:dyDescent="0.3">
      <c r="A286">
        <v>241</v>
      </c>
      <c r="B286" t="s">
        <v>1271</v>
      </c>
      <c r="C286" t="s">
        <v>2670</v>
      </c>
      <c r="D286" t="s">
        <v>1203</v>
      </c>
      <c r="E286" t="s">
        <v>1204</v>
      </c>
      <c r="F286">
        <v>5667</v>
      </c>
      <c r="G286" t="s">
        <v>2674</v>
      </c>
      <c r="H286" t="s">
        <v>2664</v>
      </c>
      <c r="I286">
        <v>3429</v>
      </c>
      <c r="J286">
        <v>3676</v>
      </c>
      <c r="K286">
        <v>3908</v>
      </c>
      <c r="L286">
        <v>4126</v>
      </c>
      <c r="M286">
        <v>4331</v>
      </c>
      <c r="N286" t="s">
        <v>988</v>
      </c>
    </row>
    <row r="287" spans="1:14" hidden="1" x14ac:dyDescent="0.3">
      <c r="A287">
        <v>241</v>
      </c>
      <c r="B287" t="s">
        <v>1271</v>
      </c>
      <c r="C287" t="s">
        <v>2670</v>
      </c>
      <c r="D287" t="s">
        <v>1203</v>
      </c>
      <c r="E287" t="s">
        <v>1204</v>
      </c>
      <c r="F287">
        <v>5667</v>
      </c>
      <c r="G287" t="s">
        <v>2675</v>
      </c>
      <c r="H287" t="s">
        <v>2665</v>
      </c>
      <c r="I287">
        <v>3577</v>
      </c>
      <c r="J287">
        <v>3841</v>
      </c>
      <c r="K287">
        <v>4089</v>
      </c>
      <c r="L287">
        <v>4323</v>
      </c>
      <c r="M287">
        <v>4543</v>
      </c>
      <c r="N287" t="s">
        <v>988</v>
      </c>
    </row>
    <row r="288" spans="1:14" hidden="1" x14ac:dyDescent="0.3">
      <c r="A288">
        <v>241</v>
      </c>
      <c r="B288" t="s">
        <v>1271</v>
      </c>
      <c r="C288" t="s">
        <v>2670</v>
      </c>
      <c r="D288" t="s">
        <v>1203</v>
      </c>
      <c r="E288" t="s">
        <v>1204</v>
      </c>
      <c r="F288">
        <v>5667</v>
      </c>
      <c r="G288" t="s">
        <v>2675</v>
      </c>
      <c r="H288" t="s">
        <v>2664</v>
      </c>
      <c r="I288">
        <v>3577</v>
      </c>
      <c r="J288">
        <v>3841</v>
      </c>
      <c r="K288">
        <v>4089</v>
      </c>
      <c r="L288">
        <v>4323</v>
      </c>
      <c r="M288">
        <v>4543</v>
      </c>
      <c r="N288" t="s">
        <v>988</v>
      </c>
    </row>
    <row r="289" spans="1:14" hidden="1" x14ac:dyDescent="0.3">
      <c r="A289">
        <v>241</v>
      </c>
      <c r="B289" t="s">
        <v>1271</v>
      </c>
      <c r="C289" t="s">
        <v>2670</v>
      </c>
      <c r="D289" t="s">
        <v>1203</v>
      </c>
      <c r="E289" t="s">
        <v>1204</v>
      </c>
      <c r="F289">
        <v>5667</v>
      </c>
      <c r="G289" t="s">
        <v>2673</v>
      </c>
      <c r="H289" t="s">
        <v>2665</v>
      </c>
      <c r="I289">
        <v>3480</v>
      </c>
      <c r="J289">
        <v>3723</v>
      </c>
      <c r="K289">
        <v>3952</v>
      </c>
      <c r="L289">
        <v>4168</v>
      </c>
      <c r="M289">
        <v>4370</v>
      </c>
      <c r="N289" t="s">
        <v>988</v>
      </c>
    </row>
    <row r="290" spans="1:14" hidden="1" x14ac:dyDescent="0.3">
      <c r="A290">
        <v>262</v>
      </c>
      <c r="B290" t="s">
        <v>1273</v>
      </c>
      <c r="C290" t="s">
        <v>2670</v>
      </c>
      <c r="D290" t="s">
        <v>1203</v>
      </c>
      <c r="E290" t="s">
        <v>1204</v>
      </c>
      <c r="F290">
        <v>5902</v>
      </c>
      <c r="G290" t="s">
        <v>2676</v>
      </c>
      <c r="H290" t="s">
        <v>2664</v>
      </c>
      <c r="I290">
        <v>15123.479324800001</v>
      </c>
      <c r="J290">
        <v>15123.479324800001</v>
      </c>
      <c r="K290">
        <v>15123.479324800001</v>
      </c>
      <c r="L290">
        <v>15123.479324800001</v>
      </c>
      <c r="M290">
        <v>15123.479324800001</v>
      </c>
      <c r="N290" t="s">
        <v>988</v>
      </c>
    </row>
    <row r="291" spans="1:14" hidden="1" x14ac:dyDescent="0.3">
      <c r="A291">
        <v>262</v>
      </c>
      <c r="B291" t="s">
        <v>1273</v>
      </c>
      <c r="C291" t="s">
        <v>2670</v>
      </c>
      <c r="D291" t="s">
        <v>1203</v>
      </c>
      <c r="E291" t="s">
        <v>1204</v>
      </c>
      <c r="F291">
        <v>5902</v>
      </c>
      <c r="G291" t="s">
        <v>2672</v>
      </c>
      <c r="H291" t="s">
        <v>2665</v>
      </c>
      <c r="I291">
        <v>7254.8508774000002</v>
      </c>
      <c r="J291">
        <v>7524.9130082000001</v>
      </c>
      <c r="K291">
        <v>7801.1129147000001</v>
      </c>
      <c r="L291">
        <v>8092.6572604499997</v>
      </c>
      <c r="M291">
        <v>8396.4771576000003</v>
      </c>
      <c r="N291" t="s">
        <v>988</v>
      </c>
    </row>
    <row r="292" spans="1:14" hidden="1" x14ac:dyDescent="0.3">
      <c r="A292">
        <v>262</v>
      </c>
      <c r="B292" t="s">
        <v>1273</v>
      </c>
      <c r="C292" t="s">
        <v>2670</v>
      </c>
      <c r="D292" t="s">
        <v>1203</v>
      </c>
      <c r="E292" t="s">
        <v>1204</v>
      </c>
      <c r="F292">
        <v>5902</v>
      </c>
      <c r="G292" t="s">
        <v>2672</v>
      </c>
      <c r="H292" t="s">
        <v>2664</v>
      </c>
      <c r="I292">
        <v>15123.479324800001</v>
      </c>
      <c r="J292">
        <v>15123.479324800001</v>
      </c>
      <c r="K292">
        <v>15123.479324800001</v>
      </c>
      <c r="L292">
        <v>15123.479324800001</v>
      </c>
      <c r="M292">
        <v>15123.479324800001</v>
      </c>
      <c r="N292" t="s">
        <v>988</v>
      </c>
    </row>
    <row r="293" spans="1:14" hidden="1" x14ac:dyDescent="0.3">
      <c r="A293">
        <v>262</v>
      </c>
      <c r="B293" t="s">
        <v>1273</v>
      </c>
      <c r="C293" t="s">
        <v>2670</v>
      </c>
      <c r="D293" t="s">
        <v>1203</v>
      </c>
      <c r="E293" t="s">
        <v>1204</v>
      </c>
      <c r="F293">
        <v>5902</v>
      </c>
      <c r="G293" t="s">
        <v>2671</v>
      </c>
      <c r="H293" t="s">
        <v>2665</v>
      </c>
      <c r="I293">
        <v>7254.8508774000002</v>
      </c>
      <c r="J293">
        <v>7524.9130082000001</v>
      </c>
      <c r="K293">
        <v>7801.1129147000001</v>
      </c>
      <c r="L293">
        <v>8092.6572604499997</v>
      </c>
      <c r="M293">
        <v>8396.4771576000003</v>
      </c>
      <c r="N293" t="s">
        <v>988</v>
      </c>
    </row>
    <row r="294" spans="1:14" hidden="1" x14ac:dyDescent="0.3">
      <c r="A294">
        <v>262</v>
      </c>
      <c r="B294" t="s">
        <v>1273</v>
      </c>
      <c r="C294" t="s">
        <v>2670</v>
      </c>
      <c r="D294" t="s">
        <v>1203</v>
      </c>
      <c r="E294" t="s">
        <v>1204</v>
      </c>
      <c r="F294">
        <v>5902</v>
      </c>
      <c r="G294" t="s">
        <v>2671</v>
      </c>
      <c r="H294" t="s">
        <v>2664</v>
      </c>
      <c r="I294">
        <v>15123.479324800001</v>
      </c>
      <c r="J294">
        <v>15123.479324800001</v>
      </c>
      <c r="K294">
        <v>15123.479324800001</v>
      </c>
      <c r="L294">
        <v>15123.479324800001</v>
      </c>
      <c r="M294">
        <v>15123.479324800001</v>
      </c>
      <c r="N294" t="s">
        <v>988</v>
      </c>
    </row>
    <row r="295" spans="1:14" hidden="1" x14ac:dyDescent="0.3">
      <c r="A295">
        <v>262</v>
      </c>
      <c r="B295" t="s">
        <v>1273</v>
      </c>
      <c r="C295" t="s">
        <v>2670</v>
      </c>
      <c r="D295" t="s">
        <v>1203</v>
      </c>
      <c r="E295" t="s">
        <v>1204</v>
      </c>
      <c r="F295">
        <v>5902</v>
      </c>
      <c r="G295" t="s">
        <v>2676</v>
      </c>
      <c r="H295" t="s">
        <v>2665</v>
      </c>
      <c r="I295">
        <v>7254.8508774000002</v>
      </c>
      <c r="J295">
        <v>7524.9130082000001</v>
      </c>
      <c r="K295">
        <v>7801.1129147000001</v>
      </c>
      <c r="L295">
        <v>8092.6572604499997</v>
      </c>
      <c r="M295">
        <v>8396.4771576000003</v>
      </c>
      <c r="N295" t="s">
        <v>988</v>
      </c>
    </row>
    <row r="296" spans="1:14" hidden="1" x14ac:dyDescent="0.3">
      <c r="A296">
        <v>262</v>
      </c>
      <c r="B296" t="s">
        <v>1273</v>
      </c>
      <c r="C296" t="s">
        <v>2670</v>
      </c>
      <c r="D296" t="s">
        <v>1203</v>
      </c>
      <c r="E296" t="s">
        <v>1204</v>
      </c>
      <c r="F296">
        <v>5902</v>
      </c>
      <c r="G296" t="s">
        <v>2673</v>
      </c>
      <c r="H296" t="s">
        <v>2664</v>
      </c>
      <c r="I296">
        <v>15123.479324800001</v>
      </c>
      <c r="J296">
        <v>15123.479324800001</v>
      </c>
      <c r="K296">
        <v>15123.479324800001</v>
      </c>
      <c r="L296">
        <v>15123.479324800001</v>
      </c>
      <c r="M296">
        <v>15123.479324800001</v>
      </c>
      <c r="N296" t="s">
        <v>988</v>
      </c>
    </row>
    <row r="297" spans="1:14" hidden="1" x14ac:dyDescent="0.3">
      <c r="A297">
        <v>262</v>
      </c>
      <c r="B297" t="s">
        <v>1273</v>
      </c>
      <c r="C297" t="s">
        <v>2670</v>
      </c>
      <c r="D297" t="s">
        <v>1203</v>
      </c>
      <c r="E297" t="s">
        <v>1204</v>
      </c>
      <c r="F297">
        <v>5902</v>
      </c>
      <c r="G297" t="s">
        <v>2674</v>
      </c>
      <c r="H297" t="s">
        <v>2665</v>
      </c>
      <c r="I297">
        <v>7254.8508774000002</v>
      </c>
      <c r="J297">
        <v>7524.9130082000001</v>
      </c>
      <c r="K297">
        <v>7801.1129147000001</v>
      </c>
      <c r="L297">
        <v>8092.6572604499997</v>
      </c>
      <c r="M297">
        <v>8396.4771576000003</v>
      </c>
      <c r="N297" t="s">
        <v>988</v>
      </c>
    </row>
    <row r="298" spans="1:14" hidden="1" x14ac:dyDescent="0.3">
      <c r="A298">
        <v>262</v>
      </c>
      <c r="B298" t="s">
        <v>1273</v>
      </c>
      <c r="C298" t="s">
        <v>2670</v>
      </c>
      <c r="D298" t="s">
        <v>1203</v>
      </c>
      <c r="E298" t="s">
        <v>1204</v>
      </c>
      <c r="F298">
        <v>5902</v>
      </c>
      <c r="G298" t="s">
        <v>2674</v>
      </c>
      <c r="H298" t="s">
        <v>2664</v>
      </c>
      <c r="I298">
        <v>15123.479324800001</v>
      </c>
      <c r="J298">
        <v>15123.479324800001</v>
      </c>
      <c r="K298">
        <v>15123.479324800001</v>
      </c>
      <c r="L298">
        <v>15123.479324800001</v>
      </c>
      <c r="M298">
        <v>15123.479324800001</v>
      </c>
      <c r="N298" t="s">
        <v>988</v>
      </c>
    </row>
    <row r="299" spans="1:14" hidden="1" x14ac:dyDescent="0.3">
      <c r="A299">
        <v>262</v>
      </c>
      <c r="B299" t="s">
        <v>1273</v>
      </c>
      <c r="C299" t="s">
        <v>2670</v>
      </c>
      <c r="D299" t="s">
        <v>1203</v>
      </c>
      <c r="E299" t="s">
        <v>1204</v>
      </c>
      <c r="F299">
        <v>5902</v>
      </c>
      <c r="G299" t="s">
        <v>2675</v>
      </c>
      <c r="H299" t="s">
        <v>2665</v>
      </c>
      <c r="I299">
        <v>7254.8508774000002</v>
      </c>
      <c r="J299">
        <v>7524.9130082000001</v>
      </c>
      <c r="K299">
        <v>7801.1129147000001</v>
      </c>
      <c r="L299">
        <v>8092.6572604499997</v>
      </c>
      <c r="M299">
        <v>8396.4771576000003</v>
      </c>
      <c r="N299" t="s">
        <v>988</v>
      </c>
    </row>
    <row r="300" spans="1:14" hidden="1" x14ac:dyDescent="0.3">
      <c r="A300">
        <v>262</v>
      </c>
      <c r="B300" t="s">
        <v>1273</v>
      </c>
      <c r="C300" t="s">
        <v>2670</v>
      </c>
      <c r="D300" t="s">
        <v>1203</v>
      </c>
      <c r="E300" t="s">
        <v>1204</v>
      </c>
      <c r="F300">
        <v>5902</v>
      </c>
      <c r="G300" t="s">
        <v>2675</v>
      </c>
      <c r="H300" t="s">
        <v>2664</v>
      </c>
      <c r="I300">
        <v>15123.479324800001</v>
      </c>
      <c r="J300">
        <v>15123.479324800001</v>
      </c>
      <c r="K300">
        <v>15123.479324800001</v>
      </c>
      <c r="L300">
        <v>15123.479324800001</v>
      </c>
      <c r="M300">
        <v>15123.479324800001</v>
      </c>
      <c r="N300" t="s">
        <v>988</v>
      </c>
    </row>
    <row r="301" spans="1:14" hidden="1" x14ac:dyDescent="0.3">
      <c r="A301">
        <v>262</v>
      </c>
      <c r="B301" t="s">
        <v>1273</v>
      </c>
      <c r="C301" t="s">
        <v>2670</v>
      </c>
      <c r="D301" t="s">
        <v>1203</v>
      </c>
      <c r="E301" t="s">
        <v>1204</v>
      </c>
      <c r="F301">
        <v>5902</v>
      </c>
      <c r="G301" t="s">
        <v>2673</v>
      </c>
      <c r="H301" t="s">
        <v>2665</v>
      </c>
      <c r="I301">
        <v>7254.8508774000002</v>
      </c>
      <c r="J301">
        <v>7524.9130082000001</v>
      </c>
      <c r="K301">
        <v>7801.1129147000001</v>
      </c>
      <c r="L301">
        <v>8092.6572604499997</v>
      </c>
      <c r="M301">
        <v>8396.4771576000003</v>
      </c>
      <c r="N301" t="s">
        <v>988</v>
      </c>
    </row>
    <row r="302" spans="1:14" hidden="1" x14ac:dyDescent="0.3">
      <c r="A302">
        <v>263</v>
      </c>
      <c r="B302" t="s">
        <v>1278</v>
      </c>
      <c r="C302" t="s">
        <v>2670</v>
      </c>
      <c r="D302" t="s">
        <v>159</v>
      </c>
      <c r="E302" t="s">
        <v>159</v>
      </c>
      <c r="F302">
        <v>5651</v>
      </c>
      <c r="G302" t="s">
        <v>2676</v>
      </c>
      <c r="H302" t="s">
        <v>2665</v>
      </c>
      <c r="I302">
        <v>9766</v>
      </c>
      <c r="J302">
        <v>10147</v>
      </c>
      <c r="K302">
        <v>10276</v>
      </c>
      <c r="L302">
        <v>10279</v>
      </c>
      <c r="M302">
        <v>10313</v>
      </c>
      <c r="N302" t="s">
        <v>988</v>
      </c>
    </row>
    <row r="303" spans="1:14" hidden="1" x14ac:dyDescent="0.3">
      <c r="A303">
        <v>263</v>
      </c>
      <c r="B303" t="s">
        <v>1278</v>
      </c>
      <c r="C303" t="s">
        <v>2670</v>
      </c>
      <c r="D303" t="s">
        <v>159</v>
      </c>
      <c r="E303" t="s">
        <v>159</v>
      </c>
      <c r="F303">
        <v>5651</v>
      </c>
      <c r="G303" t="s">
        <v>2675</v>
      </c>
      <c r="H303" t="s">
        <v>2664</v>
      </c>
      <c r="I303">
        <v>9854</v>
      </c>
      <c r="J303">
        <v>10180</v>
      </c>
      <c r="K303">
        <v>10275</v>
      </c>
      <c r="L303">
        <v>10287</v>
      </c>
      <c r="M303">
        <v>10317</v>
      </c>
      <c r="N303" t="s">
        <v>988</v>
      </c>
    </row>
    <row r="304" spans="1:14" hidden="1" x14ac:dyDescent="0.3">
      <c r="A304">
        <v>263</v>
      </c>
      <c r="B304" t="s">
        <v>1278</v>
      </c>
      <c r="C304" t="s">
        <v>2670</v>
      </c>
      <c r="D304" t="s">
        <v>159</v>
      </c>
      <c r="E304" t="s">
        <v>159</v>
      </c>
      <c r="F304">
        <v>5651</v>
      </c>
      <c r="G304" t="s">
        <v>2675</v>
      </c>
      <c r="H304" t="s">
        <v>2665</v>
      </c>
      <c r="I304">
        <v>9854</v>
      </c>
      <c r="J304">
        <v>10180</v>
      </c>
      <c r="K304">
        <v>10275</v>
      </c>
      <c r="L304">
        <v>10287</v>
      </c>
      <c r="M304">
        <v>10317</v>
      </c>
      <c r="N304" t="s">
        <v>988</v>
      </c>
    </row>
    <row r="305" spans="1:14" hidden="1" x14ac:dyDescent="0.3">
      <c r="A305">
        <v>263</v>
      </c>
      <c r="B305" t="s">
        <v>1278</v>
      </c>
      <c r="C305" t="s">
        <v>2670</v>
      </c>
      <c r="D305" t="s">
        <v>159</v>
      </c>
      <c r="E305" t="s">
        <v>159</v>
      </c>
      <c r="F305">
        <v>5651</v>
      </c>
      <c r="G305" t="s">
        <v>2674</v>
      </c>
      <c r="H305" t="s">
        <v>2664</v>
      </c>
      <c r="I305">
        <v>9941</v>
      </c>
      <c r="J305">
        <v>10212</v>
      </c>
      <c r="K305">
        <v>10274</v>
      </c>
      <c r="L305">
        <v>10294</v>
      </c>
      <c r="M305">
        <v>10322</v>
      </c>
      <c r="N305" t="s">
        <v>988</v>
      </c>
    </row>
    <row r="306" spans="1:14" hidden="1" x14ac:dyDescent="0.3">
      <c r="A306">
        <v>263</v>
      </c>
      <c r="B306" t="s">
        <v>1278</v>
      </c>
      <c r="C306" t="s">
        <v>2670</v>
      </c>
      <c r="D306" t="s">
        <v>159</v>
      </c>
      <c r="E306" t="s">
        <v>159</v>
      </c>
      <c r="F306">
        <v>5651</v>
      </c>
      <c r="G306" t="s">
        <v>2674</v>
      </c>
      <c r="H306" t="s">
        <v>2665</v>
      </c>
      <c r="I306">
        <v>9941</v>
      </c>
      <c r="J306">
        <v>10212</v>
      </c>
      <c r="K306">
        <v>10274</v>
      </c>
      <c r="L306">
        <v>10294</v>
      </c>
      <c r="M306">
        <v>10322</v>
      </c>
      <c r="N306" t="s">
        <v>988</v>
      </c>
    </row>
    <row r="307" spans="1:14" hidden="1" x14ac:dyDescent="0.3">
      <c r="A307">
        <v>263</v>
      </c>
      <c r="B307" t="s">
        <v>1278</v>
      </c>
      <c r="C307" t="s">
        <v>2670</v>
      </c>
      <c r="D307" t="s">
        <v>159</v>
      </c>
      <c r="E307" t="s">
        <v>159</v>
      </c>
      <c r="F307">
        <v>5651</v>
      </c>
      <c r="G307" t="s">
        <v>2673</v>
      </c>
      <c r="H307" t="s">
        <v>2664</v>
      </c>
      <c r="I307">
        <v>10028</v>
      </c>
      <c r="J307">
        <v>10244</v>
      </c>
      <c r="K307">
        <v>10273</v>
      </c>
      <c r="L307">
        <v>10302</v>
      </c>
      <c r="M307">
        <v>10326</v>
      </c>
      <c r="N307" t="s">
        <v>988</v>
      </c>
    </row>
    <row r="308" spans="1:14" hidden="1" x14ac:dyDescent="0.3">
      <c r="A308">
        <v>263</v>
      </c>
      <c r="B308" t="s">
        <v>1278</v>
      </c>
      <c r="C308" t="s">
        <v>2670</v>
      </c>
      <c r="D308" t="s">
        <v>159</v>
      </c>
      <c r="E308" t="s">
        <v>159</v>
      </c>
      <c r="F308">
        <v>5651</v>
      </c>
      <c r="G308" t="s">
        <v>2673</v>
      </c>
      <c r="H308" t="s">
        <v>2665</v>
      </c>
      <c r="I308">
        <v>10028</v>
      </c>
      <c r="J308">
        <v>10244</v>
      </c>
      <c r="K308">
        <v>10273</v>
      </c>
      <c r="L308">
        <v>10302</v>
      </c>
      <c r="M308">
        <v>10326</v>
      </c>
      <c r="N308" t="s">
        <v>988</v>
      </c>
    </row>
    <row r="309" spans="1:14" hidden="1" x14ac:dyDescent="0.3">
      <c r="A309">
        <v>263</v>
      </c>
      <c r="B309" t="s">
        <v>1278</v>
      </c>
      <c r="C309" t="s">
        <v>2670</v>
      </c>
      <c r="D309" t="s">
        <v>159</v>
      </c>
      <c r="E309" t="s">
        <v>159</v>
      </c>
      <c r="F309">
        <v>5651</v>
      </c>
      <c r="G309" t="s">
        <v>2671</v>
      </c>
      <c r="H309" t="s">
        <v>2664</v>
      </c>
      <c r="I309">
        <v>10115</v>
      </c>
      <c r="J309">
        <v>10277</v>
      </c>
      <c r="K309">
        <v>10272</v>
      </c>
      <c r="L309">
        <v>10309</v>
      </c>
      <c r="M309">
        <v>10330</v>
      </c>
      <c r="N309" t="s">
        <v>988</v>
      </c>
    </row>
    <row r="310" spans="1:14" hidden="1" x14ac:dyDescent="0.3">
      <c r="A310">
        <v>263</v>
      </c>
      <c r="B310" t="s">
        <v>1278</v>
      </c>
      <c r="C310" t="s">
        <v>2670</v>
      </c>
      <c r="D310" t="s">
        <v>159</v>
      </c>
      <c r="E310" t="s">
        <v>159</v>
      </c>
      <c r="F310">
        <v>5651</v>
      </c>
      <c r="G310" t="s">
        <v>2671</v>
      </c>
      <c r="H310" t="s">
        <v>2665</v>
      </c>
      <c r="I310">
        <v>10115</v>
      </c>
      <c r="J310">
        <v>10277</v>
      </c>
      <c r="K310">
        <v>10272</v>
      </c>
      <c r="L310">
        <v>10309</v>
      </c>
      <c r="M310">
        <v>10330</v>
      </c>
      <c r="N310" t="s">
        <v>988</v>
      </c>
    </row>
    <row r="311" spans="1:14" hidden="1" x14ac:dyDescent="0.3">
      <c r="A311">
        <v>263</v>
      </c>
      <c r="B311" t="s">
        <v>1278</v>
      </c>
      <c r="C311" t="s">
        <v>2670</v>
      </c>
      <c r="D311" t="s">
        <v>159</v>
      </c>
      <c r="E311" t="s">
        <v>159</v>
      </c>
      <c r="F311">
        <v>5651</v>
      </c>
      <c r="G311" t="s">
        <v>2672</v>
      </c>
      <c r="H311" t="s">
        <v>2664</v>
      </c>
      <c r="N311" t="s">
        <v>988</v>
      </c>
    </row>
    <row r="312" spans="1:14" hidden="1" x14ac:dyDescent="0.3">
      <c r="A312">
        <v>263</v>
      </c>
      <c r="B312" t="s">
        <v>1278</v>
      </c>
      <c r="C312" t="s">
        <v>2670</v>
      </c>
      <c r="D312" t="s">
        <v>159</v>
      </c>
      <c r="E312" t="s">
        <v>159</v>
      </c>
      <c r="F312">
        <v>5651</v>
      </c>
      <c r="G312" t="s">
        <v>2676</v>
      </c>
      <c r="H312" t="s">
        <v>2664</v>
      </c>
      <c r="I312">
        <v>9766</v>
      </c>
      <c r="J312">
        <v>10147</v>
      </c>
      <c r="K312">
        <v>10276</v>
      </c>
      <c r="L312">
        <v>10279</v>
      </c>
      <c r="M312">
        <v>10313</v>
      </c>
      <c r="N312" t="s">
        <v>988</v>
      </c>
    </row>
    <row r="313" spans="1:14" hidden="1" x14ac:dyDescent="0.3">
      <c r="A313">
        <v>263</v>
      </c>
      <c r="B313" t="s">
        <v>1278</v>
      </c>
      <c r="C313" t="s">
        <v>2670</v>
      </c>
      <c r="D313" t="s">
        <v>159</v>
      </c>
      <c r="E313" t="s">
        <v>159</v>
      </c>
      <c r="F313">
        <v>5651</v>
      </c>
      <c r="G313" t="s">
        <v>2672</v>
      </c>
      <c r="H313" t="s">
        <v>2665</v>
      </c>
      <c r="N313" t="s">
        <v>988</v>
      </c>
    </row>
    <row r="314" spans="1:14" hidden="1" x14ac:dyDescent="0.3">
      <c r="A314">
        <v>264</v>
      </c>
      <c r="B314" t="s">
        <v>1283</v>
      </c>
      <c r="C314" t="s">
        <v>2670</v>
      </c>
      <c r="D314" t="s">
        <v>159</v>
      </c>
      <c r="E314" t="s">
        <v>159</v>
      </c>
      <c r="F314">
        <v>6905</v>
      </c>
      <c r="G314" t="s">
        <v>2675</v>
      </c>
      <c r="H314" t="s">
        <v>2664</v>
      </c>
      <c r="I314">
        <v>21519.0416042</v>
      </c>
      <c r="J314">
        <v>21666.348221</v>
      </c>
      <c r="K314">
        <v>21813.654837800001</v>
      </c>
      <c r="L314">
        <v>21960.961454600001</v>
      </c>
      <c r="M314">
        <v>21960.961454600001</v>
      </c>
      <c r="N314" t="s">
        <v>988</v>
      </c>
    </row>
    <row r="315" spans="1:14" hidden="1" x14ac:dyDescent="0.3">
      <c r="A315">
        <v>264</v>
      </c>
      <c r="B315" t="s">
        <v>1283</v>
      </c>
      <c r="C315" t="s">
        <v>2670</v>
      </c>
      <c r="D315" t="s">
        <v>159</v>
      </c>
      <c r="E315" t="s">
        <v>159</v>
      </c>
      <c r="F315">
        <v>6905</v>
      </c>
      <c r="G315" t="s">
        <v>2675</v>
      </c>
      <c r="H315" t="s">
        <v>2665</v>
      </c>
      <c r="I315">
        <v>12831.020100850001</v>
      </c>
      <c r="J315">
        <v>13631.9998297</v>
      </c>
      <c r="K315">
        <v>14469.80621275</v>
      </c>
      <c r="L315">
        <v>15347.50813785</v>
      </c>
      <c r="M315">
        <v>16117.7989882</v>
      </c>
      <c r="N315" t="s">
        <v>988</v>
      </c>
    </row>
    <row r="316" spans="1:14" hidden="1" x14ac:dyDescent="0.3">
      <c r="A316">
        <v>264</v>
      </c>
      <c r="B316" t="s">
        <v>1283</v>
      </c>
      <c r="C316" t="s">
        <v>2670</v>
      </c>
      <c r="D316" t="s">
        <v>159</v>
      </c>
      <c r="E316" t="s">
        <v>159</v>
      </c>
      <c r="F316">
        <v>6905</v>
      </c>
      <c r="G316" t="s">
        <v>2674</v>
      </c>
      <c r="H316" t="s">
        <v>2664</v>
      </c>
      <c r="I316">
        <v>21519.0416042</v>
      </c>
      <c r="J316">
        <v>21666.348221</v>
      </c>
      <c r="K316">
        <v>21813.654837800001</v>
      </c>
      <c r="L316">
        <v>21960.961454600001</v>
      </c>
      <c r="M316">
        <v>21960.961454600001</v>
      </c>
      <c r="N316" t="s">
        <v>988</v>
      </c>
    </row>
    <row r="317" spans="1:14" hidden="1" x14ac:dyDescent="0.3">
      <c r="A317">
        <v>264</v>
      </c>
      <c r="B317" t="s">
        <v>1283</v>
      </c>
      <c r="C317" t="s">
        <v>2670</v>
      </c>
      <c r="D317" t="s">
        <v>159</v>
      </c>
      <c r="E317" t="s">
        <v>159</v>
      </c>
      <c r="F317">
        <v>6905</v>
      </c>
      <c r="G317" t="s">
        <v>2674</v>
      </c>
      <c r="H317" t="s">
        <v>2665</v>
      </c>
      <c r="I317">
        <v>12831.020100850001</v>
      </c>
      <c r="J317">
        <v>13631.9998297</v>
      </c>
      <c r="K317">
        <v>14469.80621275</v>
      </c>
      <c r="L317">
        <v>15347.50813785</v>
      </c>
      <c r="M317">
        <v>16117.7989882</v>
      </c>
      <c r="N317" t="s">
        <v>988</v>
      </c>
    </row>
    <row r="318" spans="1:14" hidden="1" x14ac:dyDescent="0.3">
      <c r="A318">
        <v>264</v>
      </c>
      <c r="B318" t="s">
        <v>1283</v>
      </c>
      <c r="C318" t="s">
        <v>2670</v>
      </c>
      <c r="D318" t="s">
        <v>159</v>
      </c>
      <c r="E318" t="s">
        <v>159</v>
      </c>
      <c r="F318">
        <v>6905</v>
      </c>
      <c r="G318" t="s">
        <v>2673</v>
      </c>
      <c r="H318" t="s">
        <v>2664</v>
      </c>
      <c r="I318">
        <v>21519.0416042</v>
      </c>
      <c r="J318">
        <v>21666.348221</v>
      </c>
      <c r="K318">
        <v>21813.654837800001</v>
      </c>
      <c r="L318">
        <v>21960.961454600001</v>
      </c>
      <c r="M318">
        <v>21960.961454600001</v>
      </c>
      <c r="N318" t="s">
        <v>988</v>
      </c>
    </row>
    <row r="319" spans="1:14" hidden="1" x14ac:dyDescent="0.3">
      <c r="A319">
        <v>264</v>
      </c>
      <c r="B319" t="s">
        <v>1283</v>
      </c>
      <c r="C319" t="s">
        <v>2670</v>
      </c>
      <c r="D319" t="s">
        <v>159</v>
      </c>
      <c r="E319" t="s">
        <v>159</v>
      </c>
      <c r="F319">
        <v>6905</v>
      </c>
      <c r="G319" t="s">
        <v>2676</v>
      </c>
      <c r="H319" t="s">
        <v>2665</v>
      </c>
      <c r="I319">
        <v>12831.020100850001</v>
      </c>
      <c r="J319">
        <v>13631.9998297</v>
      </c>
      <c r="K319">
        <v>14469.80621275</v>
      </c>
      <c r="L319">
        <v>15347.50813785</v>
      </c>
      <c r="M319">
        <v>16117.7989882</v>
      </c>
      <c r="N319" t="s">
        <v>988</v>
      </c>
    </row>
    <row r="320" spans="1:14" hidden="1" x14ac:dyDescent="0.3">
      <c r="A320">
        <v>264</v>
      </c>
      <c r="B320" t="s">
        <v>1283</v>
      </c>
      <c r="C320" t="s">
        <v>2670</v>
      </c>
      <c r="D320" t="s">
        <v>159</v>
      </c>
      <c r="E320" t="s">
        <v>159</v>
      </c>
      <c r="F320">
        <v>6905</v>
      </c>
      <c r="G320" t="s">
        <v>2671</v>
      </c>
      <c r="H320" t="s">
        <v>2664</v>
      </c>
      <c r="I320">
        <v>21519.0416042</v>
      </c>
      <c r="J320">
        <v>21666.348221</v>
      </c>
      <c r="K320">
        <v>21813.654837800001</v>
      </c>
      <c r="L320">
        <v>21960.961454600001</v>
      </c>
      <c r="M320">
        <v>21960.961454600001</v>
      </c>
      <c r="N320" t="s">
        <v>988</v>
      </c>
    </row>
    <row r="321" spans="1:14" hidden="1" x14ac:dyDescent="0.3">
      <c r="A321">
        <v>264</v>
      </c>
      <c r="B321" t="s">
        <v>1283</v>
      </c>
      <c r="C321" t="s">
        <v>2670</v>
      </c>
      <c r="D321" t="s">
        <v>159</v>
      </c>
      <c r="E321" t="s">
        <v>159</v>
      </c>
      <c r="F321">
        <v>6905</v>
      </c>
      <c r="G321" t="s">
        <v>2671</v>
      </c>
      <c r="H321" t="s">
        <v>2665</v>
      </c>
      <c r="I321">
        <v>12831.020100850001</v>
      </c>
      <c r="J321">
        <v>13631.9998297</v>
      </c>
      <c r="K321">
        <v>14469.80621275</v>
      </c>
      <c r="L321">
        <v>15347.50813785</v>
      </c>
      <c r="M321">
        <v>16117.7989882</v>
      </c>
      <c r="N321" t="s">
        <v>988</v>
      </c>
    </row>
    <row r="322" spans="1:14" hidden="1" x14ac:dyDescent="0.3">
      <c r="A322">
        <v>264</v>
      </c>
      <c r="B322" t="s">
        <v>1283</v>
      </c>
      <c r="C322" t="s">
        <v>2670</v>
      </c>
      <c r="D322" t="s">
        <v>159</v>
      </c>
      <c r="E322" t="s">
        <v>159</v>
      </c>
      <c r="F322">
        <v>6905</v>
      </c>
      <c r="G322" t="s">
        <v>2672</v>
      </c>
      <c r="H322" t="s">
        <v>2664</v>
      </c>
      <c r="I322">
        <v>21519.0416042</v>
      </c>
      <c r="J322">
        <v>21666.348221</v>
      </c>
      <c r="K322">
        <v>21813.654837800001</v>
      </c>
      <c r="L322">
        <v>21960.961454600001</v>
      </c>
      <c r="M322">
        <v>21960.961454600001</v>
      </c>
      <c r="N322" t="s">
        <v>988</v>
      </c>
    </row>
    <row r="323" spans="1:14" hidden="1" x14ac:dyDescent="0.3">
      <c r="A323">
        <v>264</v>
      </c>
      <c r="B323" t="s">
        <v>1283</v>
      </c>
      <c r="C323" t="s">
        <v>2670</v>
      </c>
      <c r="D323" t="s">
        <v>159</v>
      </c>
      <c r="E323" t="s">
        <v>159</v>
      </c>
      <c r="F323">
        <v>6905</v>
      </c>
      <c r="G323" t="s">
        <v>2672</v>
      </c>
      <c r="H323" t="s">
        <v>2665</v>
      </c>
      <c r="I323">
        <v>12831.020100850001</v>
      </c>
      <c r="J323">
        <v>13631.9998297</v>
      </c>
      <c r="K323">
        <v>14469.80621275</v>
      </c>
      <c r="L323">
        <v>15347.50813785</v>
      </c>
      <c r="M323">
        <v>16117.7989882</v>
      </c>
      <c r="N323" t="s">
        <v>988</v>
      </c>
    </row>
    <row r="324" spans="1:14" hidden="1" x14ac:dyDescent="0.3">
      <c r="A324">
        <v>264</v>
      </c>
      <c r="B324" t="s">
        <v>1283</v>
      </c>
      <c r="C324" t="s">
        <v>2670</v>
      </c>
      <c r="D324" t="s">
        <v>159</v>
      </c>
      <c r="E324" t="s">
        <v>159</v>
      </c>
      <c r="F324">
        <v>6905</v>
      </c>
      <c r="G324" t="s">
        <v>2676</v>
      </c>
      <c r="H324" t="s">
        <v>2664</v>
      </c>
      <c r="I324">
        <v>21519.0416042</v>
      </c>
      <c r="J324">
        <v>21666.348221</v>
      </c>
      <c r="K324">
        <v>21813.654837800001</v>
      </c>
      <c r="L324">
        <v>21960.961454600001</v>
      </c>
      <c r="M324">
        <v>21960.961454600001</v>
      </c>
      <c r="N324" t="s">
        <v>988</v>
      </c>
    </row>
    <row r="325" spans="1:14" hidden="1" x14ac:dyDescent="0.3">
      <c r="A325">
        <v>264</v>
      </c>
      <c r="B325" t="s">
        <v>1283</v>
      </c>
      <c r="C325" t="s">
        <v>2670</v>
      </c>
      <c r="D325" t="s">
        <v>159</v>
      </c>
      <c r="E325" t="s">
        <v>159</v>
      </c>
      <c r="F325">
        <v>6905</v>
      </c>
      <c r="G325" t="s">
        <v>2673</v>
      </c>
      <c r="H325" t="s">
        <v>2665</v>
      </c>
      <c r="I325">
        <v>12831.020100850001</v>
      </c>
      <c r="J325">
        <v>13631.9998297</v>
      </c>
      <c r="K325">
        <v>14469.80621275</v>
      </c>
      <c r="L325">
        <v>15347.50813785</v>
      </c>
      <c r="M325">
        <v>16117.7989882</v>
      </c>
      <c r="N325" t="s">
        <v>988</v>
      </c>
    </row>
    <row r="326" spans="1:14" hidden="1" x14ac:dyDescent="0.3">
      <c r="A326">
        <v>283</v>
      </c>
      <c r="B326" t="s">
        <v>1288</v>
      </c>
      <c r="C326" t="s">
        <v>2670</v>
      </c>
      <c r="D326" t="s">
        <v>1203</v>
      </c>
      <c r="E326" t="s">
        <v>1204</v>
      </c>
      <c r="F326">
        <v>5636</v>
      </c>
      <c r="G326" t="s">
        <v>2676</v>
      </c>
      <c r="H326" t="s">
        <v>2664</v>
      </c>
      <c r="I326">
        <v>14266</v>
      </c>
      <c r="J326">
        <v>15000</v>
      </c>
      <c r="K326">
        <v>14380</v>
      </c>
      <c r="L326">
        <v>14507</v>
      </c>
      <c r="M326">
        <v>14612</v>
      </c>
      <c r="N326" t="s">
        <v>988</v>
      </c>
    </row>
    <row r="327" spans="1:14" hidden="1" x14ac:dyDescent="0.3">
      <c r="A327">
        <v>283</v>
      </c>
      <c r="B327" t="s">
        <v>1288</v>
      </c>
      <c r="C327" t="s">
        <v>2670</v>
      </c>
      <c r="D327" t="s">
        <v>1203</v>
      </c>
      <c r="E327" t="s">
        <v>1204</v>
      </c>
      <c r="F327">
        <v>5636</v>
      </c>
      <c r="G327" t="s">
        <v>2676</v>
      </c>
      <c r="H327" t="s">
        <v>2665</v>
      </c>
      <c r="I327">
        <v>14266</v>
      </c>
      <c r="J327">
        <v>15000</v>
      </c>
      <c r="K327">
        <v>14380</v>
      </c>
      <c r="L327">
        <v>14507</v>
      </c>
      <c r="M327">
        <v>14612</v>
      </c>
      <c r="N327" t="s">
        <v>988</v>
      </c>
    </row>
    <row r="328" spans="1:14" hidden="1" x14ac:dyDescent="0.3">
      <c r="A328">
        <v>283</v>
      </c>
      <c r="B328" t="s">
        <v>1288</v>
      </c>
      <c r="C328" t="s">
        <v>2670</v>
      </c>
      <c r="D328" t="s">
        <v>1203</v>
      </c>
      <c r="E328" t="s">
        <v>1204</v>
      </c>
      <c r="F328">
        <v>5636</v>
      </c>
      <c r="G328" t="s">
        <v>2675</v>
      </c>
      <c r="H328" t="s">
        <v>2664</v>
      </c>
      <c r="I328">
        <v>14489</v>
      </c>
      <c r="J328">
        <v>14838</v>
      </c>
      <c r="K328">
        <v>14406</v>
      </c>
      <c r="L328">
        <v>14529</v>
      </c>
      <c r="M328">
        <v>14628</v>
      </c>
      <c r="N328" t="s">
        <v>988</v>
      </c>
    </row>
    <row r="329" spans="1:14" hidden="1" x14ac:dyDescent="0.3">
      <c r="A329">
        <v>283</v>
      </c>
      <c r="B329" t="s">
        <v>1288</v>
      </c>
      <c r="C329" t="s">
        <v>2670</v>
      </c>
      <c r="D329" t="s">
        <v>1203</v>
      </c>
      <c r="E329" t="s">
        <v>1204</v>
      </c>
      <c r="F329">
        <v>5636</v>
      </c>
      <c r="G329" t="s">
        <v>2675</v>
      </c>
      <c r="H329" t="s">
        <v>2665</v>
      </c>
      <c r="I329">
        <v>14489</v>
      </c>
      <c r="J329">
        <v>14838</v>
      </c>
      <c r="K329">
        <v>14406</v>
      </c>
      <c r="L329">
        <v>14529</v>
      </c>
      <c r="M329">
        <v>14628</v>
      </c>
      <c r="N329" t="s">
        <v>988</v>
      </c>
    </row>
    <row r="330" spans="1:14" hidden="1" x14ac:dyDescent="0.3">
      <c r="A330">
        <v>283</v>
      </c>
      <c r="B330" t="s">
        <v>1288</v>
      </c>
      <c r="C330" t="s">
        <v>2670</v>
      </c>
      <c r="D330" t="s">
        <v>1203</v>
      </c>
      <c r="E330" t="s">
        <v>1204</v>
      </c>
      <c r="F330">
        <v>5636</v>
      </c>
      <c r="G330" t="s">
        <v>2674</v>
      </c>
      <c r="H330" t="s">
        <v>2664</v>
      </c>
      <c r="I330">
        <v>14713</v>
      </c>
      <c r="J330">
        <v>14677</v>
      </c>
      <c r="K330">
        <v>14433</v>
      </c>
      <c r="L330">
        <v>14551</v>
      </c>
      <c r="M330">
        <v>14645</v>
      </c>
      <c r="N330" t="s">
        <v>988</v>
      </c>
    </row>
    <row r="331" spans="1:14" hidden="1" x14ac:dyDescent="0.3">
      <c r="A331">
        <v>283</v>
      </c>
      <c r="B331" t="s">
        <v>1288</v>
      </c>
      <c r="C331" t="s">
        <v>2670</v>
      </c>
      <c r="D331" t="s">
        <v>1203</v>
      </c>
      <c r="E331" t="s">
        <v>1204</v>
      </c>
      <c r="F331">
        <v>5636</v>
      </c>
      <c r="G331" t="s">
        <v>2672</v>
      </c>
      <c r="H331" t="s">
        <v>2665</v>
      </c>
      <c r="N331" t="s">
        <v>988</v>
      </c>
    </row>
    <row r="332" spans="1:14" hidden="1" x14ac:dyDescent="0.3">
      <c r="A332">
        <v>283</v>
      </c>
      <c r="B332" t="s">
        <v>1288</v>
      </c>
      <c r="C332" t="s">
        <v>2670</v>
      </c>
      <c r="D332" t="s">
        <v>1203</v>
      </c>
      <c r="E332" t="s">
        <v>1204</v>
      </c>
      <c r="F332">
        <v>5636</v>
      </c>
      <c r="G332" t="s">
        <v>2673</v>
      </c>
      <c r="H332" t="s">
        <v>2664</v>
      </c>
      <c r="I332">
        <v>14937</v>
      </c>
      <c r="J332">
        <v>14515</v>
      </c>
      <c r="K332">
        <v>14459</v>
      </c>
      <c r="L332">
        <v>14573</v>
      </c>
      <c r="M332">
        <v>14662</v>
      </c>
      <c r="N332" t="s">
        <v>988</v>
      </c>
    </row>
    <row r="333" spans="1:14" hidden="1" x14ac:dyDescent="0.3">
      <c r="A333">
        <v>283</v>
      </c>
      <c r="B333" t="s">
        <v>1288</v>
      </c>
      <c r="C333" t="s">
        <v>2670</v>
      </c>
      <c r="D333" t="s">
        <v>1203</v>
      </c>
      <c r="E333" t="s">
        <v>1204</v>
      </c>
      <c r="F333">
        <v>5636</v>
      </c>
      <c r="G333" t="s">
        <v>2673</v>
      </c>
      <c r="H333" t="s">
        <v>2665</v>
      </c>
      <c r="I333">
        <v>14937</v>
      </c>
      <c r="J333">
        <v>14515</v>
      </c>
      <c r="K333">
        <v>14459</v>
      </c>
      <c r="L333">
        <v>14573</v>
      </c>
      <c r="M333">
        <v>14662</v>
      </c>
      <c r="N333" t="s">
        <v>988</v>
      </c>
    </row>
    <row r="334" spans="1:14" hidden="1" x14ac:dyDescent="0.3">
      <c r="A334">
        <v>283</v>
      </c>
      <c r="B334" t="s">
        <v>1288</v>
      </c>
      <c r="C334" t="s">
        <v>2670</v>
      </c>
      <c r="D334" t="s">
        <v>1203</v>
      </c>
      <c r="E334" t="s">
        <v>1204</v>
      </c>
      <c r="F334">
        <v>5636</v>
      </c>
      <c r="G334" t="s">
        <v>2671</v>
      </c>
      <c r="H334" t="s">
        <v>2664</v>
      </c>
      <c r="I334">
        <v>15161</v>
      </c>
      <c r="J334">
        <v>14354</v>
      </c>
      <c r="K334">
        <v>14485</v>
      </c>
      <c r="L334">
        <v>14595</v>
      </c>
      <c r="M334">
        <v>14679</v>
      </c>
      <c r="N334" t="s">
        <v>988</v>
      </c>
    </row>
    <row r="335" spans="1:14" hidden="1" x14ac:dyDescent="0.3">
      <c r="A335">
        <v>283</v>
      </c>
      <c r="B335" t="s">
        <v>1288</v>
      </c>
      <c r="C335" t="s">
        <v>2670</v>
      </c>
      <c r="D335" t="s">
        <v>1203</v>
      </c>
      <c r="E335" t="s">
        <v>1204</v>
      </c>
      <c r="F335">
        <v>5636</v>
      </c>
      <c r="G335" t="s">
        <v>2671</v>
      </c>
      <c r="H335" t="s">
        <v>2665</v>
      </c>
      <c r="I335">
        <v>15161</v>
      </c>
      <c r="J335">
        <v>14354</v>
      </c>
      <c r="K335">
        <v>14485</v>
      </c>
      <c r="L335">
        <v>14595</v>
      </c>
      <c r="M335">
        <v>14679</v>
      </c>
      <c r="N335" t="s">
        <v>988</v>
      </c>
    </row>
    <row r="336" spans="1:14" hidden="1" x14ac:dyDescent="0.3">
      <c r="A336">
        <v>283</v>
      </c>
      <c r="B336" t="s">
        <v>1288</v>
      </c>
      <c r="C336" t="s">
        <v>2670</v>
      </c>
      <c r="D336" t="s">
        <v>1203</v>
      </c>
      <c r="E336" t="s">
        <v>1204</v>
      </c>
      <c r="F336">
        <v>5636</v>
      </c>
      <c r="G336" t="s">
        <v>2672</v>
      </c>
      <c r="H336" t="s">
        <v>2664</v>
      </c>
      <c r="N336" t="s">
        <v>988</v>
      </c>
    </row>
    <row r="337" spans="1:14" hidden="1" x14ac:dyDescent="0.3">
      <c r="A337">
        <v>283</v>
      </c>
      <c r="B337" t="s">
        <v>1288</v>
      </c>
      <c r="C337" t="s">
        <v>2670</v>
      </c>
      <c r="D337" t="s">
        <v>1203</v>
      </c>
      <c r="E337" t="s">
        <v>1204</v>
      </c>
      <c r="F337">
        <v>5636</v>
      </c>
      <c r="G337" t="s">
        <v>2674</v>
      </c>
      <c r="H337" t="s">
        <v>2665</v>
      </c>
      <c r="I337">
        <v>14713</v>
      </c>
      <c r="J337">
        <v>14677</v>
      </c>
      <c r="K337">
        <v>14433</v>
      </c>
      <c r="L337">
        <v>14551</v>
      </c>
      <c r="M337">
        <v>14645</v>
      </c>
      <c r="N337" t="s">
        <v>988</v>
      </c>
    </row>
    <row r="338" spans="1:14" hidden="1" x14ac:dyDescent="0.3">
      <c r="A338">
        <v>285</v>
      </c>
      <c r="B338" t="s">
        <v>1290</v>
      </c>
      <c r="C338" t="s">
        <v>2670</v>
      </c>
      <c r="D338" t="s">
        <v>1203</v>
      </c>
      <c r="E338" t="s">
        <v>1204</v>
      </c>
      <c r="F338">
        <v>5744</v>
      </c>
      <c r="G338" t="s">
        <v>2676</v>
      </c>
      <c r="H338" t="s">
        <v>2665</v>
      </c>
      <c r="I338">
        <v>28554</v>
      </c>
      <c r="J338">
        <v>30659</v>
      </c>
      <c r="K338">
        <v>32033</v>
      </c>
      <c r="L338">
        <v>32451</v>
      </c>
      <c r="M338">
        <v>32746</v>
      </c>
      <c r="N338" t="s">
        <v>988</v>
      </c>
    </row>
    <row r="339" spans="1:14" hidden="1" x14ac:dyDescent="0.3">
      <c r="A339">
        <v>285</v>
      </c>
      <c r="B339" t="s">
        <v>1290</v>
      </c>
      <c r="C339" t="s">
        <v>2670</v>
      </c>
      <c r="D339" t="s">
        <v>1203</v>
      </c>
      <c r="E339" t="s">
        <v>1204</v>
      </c>
      <c r="F339">
        <v>5744</v>
      </c>
      <c r="G339" t="s">
        <v>2676</v>
      </c>
      <c r="H339" t="s">
        <v>2664</v>
      </c>
      <c r="I339">
        <v>28554</v>
      </c>
      <c r="J339">
        <v>30659</v>
      </c>
      <c r="K339">
        <v>32033</v>
      </c>
      <c r="L339">
        <v>32451</v>
      </c>
      <c r="M339">
        <v>32746</v>
      </c>
      <c r="N339" t="s">
        <v>988</v>
      </c>
    </row>
    <row r="340" spans="1:14" hidden="1" x14ac:dyDescent="0.3">
      <c r="A340">
        <v>285</v>
      </c>
      <c r="B340" t="s">
        <v>1290</v>
      </c>
      <c r="C340" t="s">
        <v>2670</v>
      </c>
      <c r="D340" t="s">
        <v>1203</v>
      </c>
      <c r="E340" t="s">
        <v>1204</v>
      </c>
      <c r="F340">
        <v>5744</v>
      </c>
      <c r="G340" t="s">
        <v>2675</v>
      </c>
      <c r="H340" t="s">
        <v>2664</v>
      </c>
      <c r="I340">
        <v>28940</v>
      </c>
      <c r="J340">
        <v>30946</v>
      </c>
      <c r="K340">
        <v>32033</v>
      </c>
      <c r="L340">
        <v>32512</v>
      </c>
      <c r="M340">
        <v>32746</v>
      </c>
      <c r="N340" t="s">
        <v>988</v>
      </c>
    </row>
    <row r="341" spans="1:14" hidden="1" x14ac:dyDescent="0.3">
      <c r="A341">
        <v>285</v>
      </c>
      <c r="B341" t="s">
        <v>1290</v>
      </c>
      <c r="C341" t="s">
        <v>2670</v>
      </c>
      <c r="D341" t="s">
        <v>1203</v>
      </c>
      <c r="E341" t="s">
        <v>1204</v>
      </c>
      <c r="F341">
        <v>5744</v>
      </c>
      <c r="G341" t="s">
        <v>2675</v>
      </c>
      <c r="H341" t="s">
        <v>2665</v>
      </c>
      <c r="I341">
        <v>28940</v>
      </c>
      <c r="J341">
        <v>30946</v>
      </c>
      <c r="K341">
        <v>32033</v>
      </c>
      <c r="L341">
        <v>32512</v>
      </c>
      <c r="M341">
        <v>32746</v>
      </c>
      <c r="N341" t="s">
        <v>988</v>
      </c>
    </row>
    <row r="342" spans="1:14" hidden="1" x14ac:dyDescent="0.3">
      <c r="A342">
        <v>285</v>
      </c>
      <c r="B342" t="s">
        <v>1290</v>
      </c>
      <c r="C342" t="s">
        <v>2670</v>
      </c>
      <c r="D342" t="s">
        <v>1203</v>
      </c>
      <c r="E342" t="s">
        <v>1204</v>
      </c>
      <c r="F342">
        <v>5744</v>
      </c>
      <c r="G342" t="s">
        <v>2674</v>
      </c>
      <c r="H342" t="s">
        <v>2664</v>
      </c>
      <c r="I342">
        <v>29326</v>
      </c>
      <c r="J342">
        <v>31233</v>
      </c>
      <c r="K342">
        <v>32033</v>
      </c>
      <c r="L342">
        <v>32572</v>
      </c>
      <c r="M342">
        <v>32746</v>
      </c>
      <c r="N342" t="s">
        <v>988</v>
      </c>
    </row>
    <row r="343" spans="1:14" hidden="1" x14ac:dyDescent="0.3">
      <c r="A343">
        <v>285</v>
      </c>
      <c r="B343" t="s">
        <v>1290</v>
      </c>
      <c r="C343" t="s">
        <v>2670</v>
      </c>
      <c r="D343" t="s">
        <v>1203</v>
      </c>
      <c r="E343" t="s">
        <v>1204</v>
      </c>
      <c r="F343">
        <v>5744</v>
      </c>
      <c r="G343" t="s">
        <v>2674</v>
      </c>
      <c r="H343" t="s">
        <v>2665</v>
      </c>
      <c r="I343">
        <v>29326</v>
      </c>
      <c r="J343">
        <v>31233</v>
      </c>
      <c r="K343">
        <v>32033</v>
      </c>
      <c r="L343">
        <v>32572</v>
      </c>
      <c r="M343">
        <v>32746</v>
      </c>
      <c r="N343" t="s">
        <v>988</v>
      </c>
    </row>
    <row r="344" spans="1:14" hidden="1" x14ac:dyDescent="0.3">
      <c r="A344">
        <v>285</v>
      </c>
      <c r="B344" t="s">
        <v>1290</v>
      </c>
      <c r="C344" t="s">
        <v>2670</v>
      </c>
      <c r="D344" t="s">
        <v>1203</v>
      </c>
      <c r="E344" t="s">
        <v>1204</v>
      </c>
      <c r="F344">
        <v>5744</v>
      </c>
      <c r="G344" t="s">
        <v>2673</v>
      </c>
      <c r="H344" t="s">
        <v>2664</v>
      </c>
      <c r="I344">
        <v>29713</v>
      </c>
      <c r="J344">
        <v>31520</v>
      </c>
      <c r="K344">
        <v>32231</v>
      </c>
      <c r="L344">
        <v>32633</v>
      </c>
      <c r="M344">
        <v>32746</v>
      </c>
      <c r="N344" t="s">
        <v>988</v>
      </c>
    </row>
    <row r="345" spans="1:14" hidden="1" x14ac:dyDescent="0.3">
      <c r="A345">
        <v>285</v>
      </c>
      <c r="B345" t="s">
        <v>1290</v>
      </c>
      <c r="C345" t="s">
        <v>2670</v>
      </c>
      <c r="D345" t="s">
        <v>1203</v>
      </c>
      <c r="E345" t="s">
        <v>1204</v>
      </c>
      <c r="F345">
        <v>5744</v>
      </c>
      <c r="G345" t="s">
        <v>2673</v>
      </c>
      <c r="H345" t="s">
        <v>2665</v>
      </c>
      <c r="I345">
        <v>29713</v>
      </c>
      <c r="J345">
        <v>31520</v>
      </c>
      <c r="K345">
        <v>32231</v>
      </c>
      <c r="L345">
        <v>32633</v>
      </c>
      <c r="M345">
        <v>32746</v>
      </c>
      <c r="N345" t="s">
        <v>988</v>
      </c>
    </row>
    <row r="346" spans="1:14" hidden="1" x14ac:dyDescent="0.3">
      <c r="A346">
        <v>285</v>
      </c>
      <c r="B346" t="s">
        <v>1290</v>
      </c>
      <c r="C346" t="s">
        <v>2670</v>
      </c>
      <c r="D346" t="s">
        <v>1203</v>
      </c>
      <c r="E346" t="s">
        <v>1204</v>
      </c>
      <c r="F346">
        <v>5744</v>
      </c>
      <c r="G346" t="s">
        <v>2671</v>
      </c>
      <c r="H346" t="s">
        <v>2664</v>
      </c>
      <c r="I346">
        <v>30099</v>
      </c>
      <c r="J346">
        <v>31806</v>
      </c>
      <c r="K346">
        <v>32298</v>
      </c>
      <c r="L346">
        <v>32694</v>
      </c>
      <c r="M346">
        <v>32746</v>
      </c>
      <c r="N346" t="s">
        <v>988</v>
      </c>
    </row>
    <row r="347" spans="1:14" hidden="1" x14ac:dyDescent="0.3">
      <c r="A347">
        <v>285</v>
      </c>
      <c r="B347" t="s">
        <v>1290</v>
      </c>
      <c r="C347" t="s">
        <v>2670</v>
      </c>
      <c r="D347" t="s">
        <v>1203</v>
      </c>
      <c r="E347" t="s">
        <v>1204</v>
      </c>
      <c r="F347">
        <v>5744</v>
      </c>
      <c r="G347" t="s">
        <v>2671</v>
      </c>
      <c r="H347" t="s">
        <v>2665</v>
      </c>
      <c r="I347">
        <v>30099</v>
      </c>
      <c r="J347">
        <v>31806</v>
      </c>
      <c r="K347">
        <v>32298</v>
      </c>
      <c r="L347">
        <v>32694</v>
      </c>
      <c r="M347">
        <v>32746</v>
      </c>
      <c r="N347" t="s">
        <v>988</v>
      </c>
    </row>
    <row r="348" spans="1:14" hidden="1" x14ac:dyDescent="0.3">
      <c r="A348">
        <v>285</v>
      </c>
      <c r="B348" t="s">
        <v>1290</v>
      </c>
      <c r="C348" t="s">
        <v>2670</v>
      </c>
      <c r="D348" t="s">
        <v>1203</v>
      </c>
      <c r="E348" t="s">
        <v>1204</v>
      </c>
      <c r="F348">
        <v>5744</v>
      </c>
      <c r="G348" t="s">
        <v>2672</v>
      </c>
      <c r="H348" t="s">
        <v>2664</v>
      </c>
      <c r="N348" t="s">
        <v>988</v>
      </c>
    </row>
    <row r="349" spans="1:14" hidden="1" x14ac:dyDescent="0.3">
      <c r="A349">
        <v>285</v>
      </c>
      <c r="B349" t="s">
        <v>1290</v>
      </c>
      <c r="C349" t="s">
        <v>2670</v>
      </c>
      <c r="D349" t="s">
        <v>1203</v>
      </c>
      <c r="E349" t="s">
        <v>1204</v>
      </c>
      <c r="F349">
        <v>5744</v>
      </c>
      <c r="G349" t="s">
        <v>2672</v>
      </c>
      <c r="H349" t="s">
        <v>2665</v>
      </c>
      <c r="N349" t="s">
        <v>988</v>
      </c>
    </row>
    <row r="350" spans="1:14" hidden="1" x14ac:dyDescent="0.3">
      <c r="A350">
        <v>286</v>
      </c>
      <c r="B350" t="s">
        <v>1295</v>
      </c>
      <c r="C350" t="s">
        <v>2670</v>
      </c>
      <c r="D350" t="s">
        <v>1203</v>
      </c>
      <c r="E350" t="s">
        <v>1204</v>
      </c>
      <c r="F350">
        <v>5826</v>
      </c>
      <c r="G350" t="s">
        <v>2672</v>
      </c>
      <c r="H350" t="s">
        <v>2665</v>
      </c>
      <c r="N350" t="s">
        <v>988</v>
      </c>
    </row>
    <row r="351" spans="1:14" hidden="1" x14ac:dyDescent="0.3">
      <c r="A351">
        <v>286</v>
      </c>
      <c r="B351" t="s">
        <v>1295</v>
      </c>
      <c r="C351" t="s">
        <v>2670</v>
      </c>
      <c r="D351" t="s">
        <v>1203</v>
      </c>
      <c r="E351" t="s">
        <v>1204</v>
      </c>
      <c r="F351">
        <v>5826</v>
      </c>
      <c r="G351" t="s">
        <v>2672</v>
      </c>
      <c r="H351" t="s">
        <v>2664</v>
      </c>
      <c r="N351" t="s">
        <v>988</v>
      </c>
    </row>
    <row r="352" spans="1:14" hidden="1" x14ac:dyDescent="0.3">
      <c r="A352">
        <v>286</v>
      </c>
      <c r="B352" t="s">
        <v>1295</v>
      </c>
      <c r="C352" t="s">
        <v>2670</v>
      </c>
      <c r="D352" t="s">
        <v>1203</v>
      </c>
      <c r="E352" t="s">
        <v>1204</v>
      </c>
      <c r="F352">
        <v>5826</v>
      </c>
      <c r="G352" t="s">
        <v>2671</v>
      </c>
      <c r="H352" t="s">
        <v>2665</v>
      </c>
      <c r="I352">
        <v>4704.6050740500004</v>
      </c>
      <c r="J352">
        <v>4821.2228123499999</v>
      </c>
      <c r="K352">
        <v>4962.4223423285002</v>
      </c>
      <c r="L352">
        <v>5118.9049338000004</v>
      </c>
      <c r="N352" t="s">
        <v>988</v>
      </c>
    </row>
    <row r="353" spans="1:14" hidden="1" x14ac:dyDescent="0.3">
      <c r="A353">
        <v>286</v>
      </c>
      <c r="B353" t="s">
        <v>1295</v>
      </c>
      <c r="C353" t="s">
        <v>2670</v>
      </c>
      <c r="D353" t="s">
        <v>1203</v>
      </c>
      <c r="E353" t="s">
        <v>1204</v>
      </c>
      <c r="F353">
        <v>5826</v>
      </c>
      <c r="G353" t="s">
        <v>2671</v>
      </c>
      <c r="H353" t="s">
        <v>2664</v>
      </c>
      <c r="I353">
        <v>2587.0724575499999</v>
      </c>
      <c r="J353">
        <v>2651.5191024000001</v>
      </c>
      <c r="K353">
        <v>2481.1958267250002</v>
      </c>
      <c r="L353">
        <v>2458.1791678499999</v>
      </c>
      <c r="N353" t="s">
        <v>988</v>
      </c>
    </row>
    <row r="354" spans="1:14" hidden="1" x14ac:dyDescent="0.3">
      <c r="A354">
        <v>286</v>
      </c>
      <c r="B354" t="s">
        <v>1295</v>
      </c>
      <c r="C354" t="s">
        <v>2670</v>
      </c>
      <c r="D354" t="s">
        <v>1203</v>
      </c>
      <c r="E354" t="s">
        <v>1204</v>
      </c>
      <c r="F354">
        <v>5826</v>
      </c>
      <c r="G354" t="s">
        <v>2673</v>
      </c>
      <c r="H354" t="s">
        <v>2665</v>
      </c>
      <c r="I354">
        <v>4704.6050740500004</v>
      </c>
      <c r="J354">
        <v>4821.2228123499999</v>
      </c>
      <c r="K354">
        <v>4962.4223423285002</v>
      </c>
      <c r="L354">
        <v>5118.9049338000004</v>
      </c>
      <c r="N354" t="s">
        <v>988</v>
      </c>
    </row>
    <row r="355" spans="1:14" hidden="1" x14ac:dyDescent="0.3">
      <c r="A355">
        <v>286</v>
      </c>
      <c r="B355" t="s">
        <v>1295</v>
      </c>
      <c r="C355" t="s">
        <v>2670</v>
      </c>
      <c r="D355" t="s">
        <v>1203</v>
      </c>
      <c r="E355" t="s">
        <v>1204</v>
      </c>
      <c r="F355">
        <v>5826</v>
      </c>
      <c r="G355" t="s">
        <v>2676</v>
      </c>
      <c r="H355" t="s">
        <v>2664</v>
      </c>
      <c r="I355">
        <v>3010.5789808499999</v>
      </c>
      <c r="J355">
        <v>3084.2322892500001</v>
      </c>
      <c r="K355">
        <v>3176.29892475</v>
      </c>
      <c r="L355">
        <v>3225.4011303500001</v>
      </c>
      <c r="N355" t="s">
        <v>988</v>
      </c>
    </row>
    <row r="356" spans="1:14" hidden="1" x14ac:dyDescent="0.3">
      <c r="A356">
        <v>286</v>
      </c>
      <c r="B356" t="s">
        <v>1295</v>
      </c>
      <c r="C356" t="s">
        <v>2670</v>
      </c>
      <c r="D356" t="s">
        <v>1203</v>
      </c>
      <c r="E356" t="s">
        <v>1204</v>
      </c>
      <c r="F356">
        <v>5826</v>
      </c>
      <c r="G356" t="s">
        <v>2674</v>
      </c>
      <c r="H356" t="s">
        <v>2665</v>
      </c>
      <c r="I356">
        <v>4704.6050740500004</v>
      </c>
      <c r="J356">
        <v>4821.2228123499999</v>
      </c>
      <c r="K356">
        <v>4962.4223423285002</v>
      </c>
      <c r="L356">
        <v>5118.9049338000004</v>
      </c>
      <c r="N356" t="s">
        <v>988</v>
      </c>
    </row>
    <row r="357" spans="1:14" hidden="1" x14ac:dyDescent="0.3">
      <c r="A357">
        <v>286</v>
      </c>
      <c r="B357" t="s">
        <v>1295</v>
      </c>
      <c r="C357" t="s">
        <v>2670</v>
      </c>
      <c r="D357" t="s">
        <v>1203</v>
      </c>
      <c r="E357" t="s">
        <v>1204</v>
      </c>
      <c r="F357">
        <v>5826</v>
      </c>
      <c r="G357" t="s">
        <v>2674</v>
      </c>
      <c r="H357" t="s">
        <v>2664</v>
      </c>
      <c r="I357">
        <v>2587.0724575499999</v>
      </c>
      <c r="J357">
        <v>2651.5191024000001</v>
      </c>
      <c r="K357">
        <v>2679.1390930500002</v>
      </c>
      <c r="L357">
        <v>2765.06795285</v>
      </c>
      <c r="N357" t="s">
        <v>988</v>
      </c>
    </row>
    <row r="358" spans="1:14" hidden="1" x14ac:dyDescent="0.3">
      <c r="A358">
        <v>286</v>
      </c>
      <c r="B358" t="s">
        <v>1295</v>
      </c>
      <c r="C358" t="s">
        <v>2670</v>
      </c>
      <c r="D358" t="s">
        <v>1203</v>
      </c>
      <c r="E358" t="s">
        <v>1204</v>
      </c>
      <c r="F358">
        <v>5826</v>
      </c>
      <c r="G358" t="s">
        <v>2675</v>
      </c>
      <c r="H358" t="s">
        <v>2665</v>
      </c>
      <c r="I358">
        <v>4704.6050740500004</v>
      </c>
      <c r="J358">
        <v>4821.2228123499999</v>
      </c>
      <c r="K358">
        <v>4962.4223423285002</v>
      </c>
      <c r="L358">
        <v>5118.9049338000004</v>
      </c>
      <c r="N358" t="s">
        <v>988</v>
      </c>
    </row>
    <row r="359" spans="1:14" hidden="1" x14ac:dyDescent="0.3">
      <c r="A359">
        <v>286</v>
      </c>
      <c r="B359" t="s">
        <v>1295</v>
      </c>
      <c r="C359" t="s">
        <v>2670</v>
      </c>
      <c r="D359" t="s">
        <v>1203</v>
      </c>
      <c r="E359" t="s">
        <v>1204</v>
      </c>
      <c r="F359">
        <v>5826</v>
      </c>
      <c r="G359" t="s">
        <v>2675</v>
      </c>
      <c r="H359" t="s">
        <v>2664</v>
      </c>
      <c r="I359">
        <v>2587.0724575499999</v>
      </c>
      <c r="J359">
        <v>2651.5191024000001</v>
      </c>
      <c r="K359">
        <v>2679.1390930500002</v>
      </c>
      <c r="L359">
        <v>2765.06795285</v>
      </c>
      <c r="N359" t="s">
        <v>988</v>
      </c>
    </row>
    <row r="360" spans="1:14" hidden="1" x14ac:dyDescent="0.3">
      <c r="A360">
        <v>286</v>
      </c>
      <c r="B360" t="s">
        <v>1295</v>
      </c>
      <c r="C360" t="s">
        <v>2670</v>
      </c>
      <c r="D360" t="s">
        <v>1203</v>
      </c>
      <c r="E360" t="s">
        <v>1204</v>
      </c>
      <c r="F360">
        <v>5826</v>
      </c>
      <c r="G360" t="s">
        <v>2676</v>
      </c>
      <c r="H360" t="s">
        <v>2665</v>
      </c>
      <c r="I360">
        <v>4704.6050740500004</v>
      </c>
      <c r="J360">
        <v>4821.2228123499999</v>
      </c>
      <c r="K360">
        <v>4962.4223423285002</v>
      </c>
      <c r="L360">
        <v>5118.9049338000004</v>
      </c>
      <c r="N360" t="s">
        <v>988</v>
      </c>
    </row>
    <row r="361" spans="1:14" hidden="1" x14ac:dyDescent="0.3">
      <c r="A361">
        <v>286</v>
      </c>
      <c r="B361" t="s">
        <v>1295</v>
      </c>
      <c r="C361" t="s">
        <v>2670</v>
      </c>
      <c r="D361" t="s">
        <v>1203</v>
      </c>
      <c r="E361" t="s">
        <v>1204</v>
      </c>
      <c r="F361">
        <v>5826</v>
      </c>
      <c r="G361" t="s">
        <v>2673</v>
      </c>
      <c r="H361" t="s">
        <v>2664</v>
      </c>
      <c r="I361">
        <v>2587.0724575499999</v>
      </c>
      <c r="J361">
        <v>2651.5191024000001</v>
      </c>
      <c r="K361">
        <v>2679.1390930500002</v>
      </c>
      <c r="L361">
        <v>2458.1791678499999</v>
      </c>
      <c r="N361" t="s">
        <v>988</v>
      </c>
    </row>
    <row r="362" spans="1:14" hidden="1" x14ac:dyDescent="0.3">
      <c r="A362">
        <v>351</v>
      </c>
      <c r="B362" t="s">
        <v>1297</v>
      </c>
      <c r="C362" t="s">
        <v>2670</v>
      </c>
      <c r="D362" t="s">
        <v>1203</v>
      </c>
      <c r="E362" t="s">
        <v>1204</v>
      </c>
      <c r="F362">
        <v>5475</v>
      </c>
      <c r="G362" t="s">
        <v>2672</v>
      </c>
      <c r="H362" t="s">
        <v>2665</v>
      </c>
      <c r="N362" t="s">
        <v>988</v>
      </c>
    </row>
    <row r="363" spans="1:14" hidden="1" x14ac:dyDescent="0.3">
      <c r="A363">
        <v>351</v>
      </c>
      <c r="B363" t="s">
        <v>1297</v>
      </c>
      <c r="C363" t="s">
        <v>2670</v>
      </c>
      <c r="D363" t="s">
        <v>1203</v>
      </c>
      <c r="E363" t="s">
        <v>1204</v>
      </c>
      <c r="F363">
        <v>5475</v>
      </c>
      <c r="G363" t="s">
        <v>2672</v>
      </c>
      <c r="H363" t="s">
        <v>2664</v>
      </c>
      <c r="N363" t="s">
        <v>988</v>
      </c>
    </row>
    <row r="364" spans="1:14" hidden="1" x14ac:dyDescent="0.3">
      <c r="A364">
        <v>351</v>
      </c>
      <c r="B364" t="s">
        <v>1297</v>
      </c>
      <c r="C364" t="s">
        <v>2670</v>
      </c>
      <c r="D364" t="s">
        <v>1203</v>
      </c>
      <c r="E364" t="s">
        <v>1204</v>
      </c>
      <c r="F364">
        <v>5475</v>
      </c>
      <c r="G364" t="s">
        <v>2671</v>
      </c>
      <c r="H364" t="s">
        <v>2665</v>
      </c>
      <c r="I364">
        <v>12954</v>
      </c>
      <c r="J364">
        <v>22348</v>
      </c>
      <c r="K364">
        <v>29152</v>
      </c>
      <c r="L364">
        <v>36488</v>
      </c>
      <c r="M364">
        <v>44907</v>
      </c>
      <c r="N364" t="s">
        <v>988</v>
      </c>
    </row>
    <row r="365" spans="1:14" hidden="1" x14ac:dyDescent="0.3">
      <c r="A365">
        <v>351</v>
      </c>
      <c r="B365" t="s">
        <v>1297</v>
      </c>
      <c r="C365" t="s">
        <v>2670</v>
      </c>
      <c r="D365" t="s">
        <v>1203</v>
      </c>
      <c r="E365" t="s">
        <v>1204</v>
      </c>
      <c r="F365">
        <v>5475</v>
      </c>
      <c r="G365" t="s">
        <v>2671</v>
      </c>
      <c r="H365" t="s">
        <v>2664</v>
      </c>
      <c r="I365">
        <v>74378</v>
      </c>
      <c r="J365">
        <v>74502</v>
      </c>
      <c r="K365">
        <v>74626</v>
      </c>
      <c r="L365">
        <v>74750</v>
      </c>
      <c r="M365">
        <v>74856</v>
      </c>
      <c r="N365" t="s">
        <v>988</v>
      </c>
    </row>
    <row r="366" spans="1:14" hidden="1" x14ac:dyDescent="0.3">
      <c r="A366">
        <v>351</v>
      </c>
      <c r="B366" t="s">
        <v>1297</v>
      </c>
      <c r="C366" t="s">
        <v>2670</v>
      </c>
      <c r="D366" t="s">
        <v>1203</v>
      </c>
      <c r="E366" t="s">
        <v>1204</v>
      </c>
      <c r="F366">
        <v>5475</v>
      </c>
      <c r="G366" t="s">
        <v>2673</v>
      </c>
      <c r="H366" t="s">
        <v>2665</v>
      </c>
      <c r="I366">
        <v>12954</v>
      </c>
      <c r="J366">
        <v>22348</v>
      </c>
      <c r="K366">
        <v>29152</v>
      </c>
      <c r="L366">
        <v>36488</v>
      </c>
      <c r="M366">
        <v>44907</v>
      </c>
      <c r="N366" t="s">
        <v>988</v>
      </c>
    </row>
    <row r="367" spans="1:14" hidden="1" x14ac:dyDescent="0.3">
      <c r="A367">
        <v>351</v>
      </c>
      <c r="B367" t="s">
        <v>1297</v>
      </c>
      <c r="C367" t="s">
        <v>2670</v>
      </c>
      <c r="D367" t="s">
        <v>1203</v>
      </c>
      <c r="E367" t="s">
        <v>1204</v>
      </c>
      <c r="F367">
        <v>5475</v>
      </c>
      <c r="G367" t="s">
        <v>2676</v>
      </c>
      <c r="H367" t="s">
        <v>2664</v>
      </c>
      <c r="I367">
        <v>87396</v>
      </c>
      <c r="J367">
        <v>87520</v>
      </c>
      <c r="K367">
        <v>87644</v>
      </c>
      <c r="L367">
        <v>87768</v>
      </c>
      <c r="M367">
        <v>87874</v>
      </c>
      <c r="N367" t="s">
        <v>988</v>
      </c>
    </row>
    <row r="368" spans="1:14" hidden="1" x14ac:dyDescent="0.3">
      <c r="A368">
        <v>351</v>
      </c>
      <c r="B368" t="s">
        <v>1297</v>
      </c>
      <c r="C368" t="s">
        <v>2670</v>
      </c>
      <c r="D368" t="s">
        <v>1203</v>
      </c>
      <c r="E368" t="s">
        <v>1204</v>
      </c>
      <c r="F368">
        <v>5475</v>
      </c>
      <c r="G368" t="s">
        <v>2674</v>
      </c>
      <c r="H368" t="s">
        <v>2665</v>
      </c>
      <c r="I368">
        <v>12954</v>
      </c>
      <c r="J368">
        <v>22348</v>
      </c>
      <c r="K368">
        <v>29152</v>
      </c>
      <c r="L368">
        <v>36488</v>
      </c>
      <c r="M368">
        <v>44907</v>
      </c>
      <c r="N368" t="s">
        <v>988</v>
      </c>
    </row>
    <row r="369" spans="1:14" hidden="1" x14ac:dyDescent="0.3">
      <c r="A369">
        <v>351</v>
      </c>
      <c r="B369" t="s">
        <v>1297</v>
      </c>
      <c r="C369" t="s">
        <v>2670</v>
      </c>
      <c r="D369" t="s">
        <v>1203</v>
      </c>
      <c r="E369" t="s">
        <v>1204</v>
      </c>
      <c r="F369">
        <v>5475</v>
      </c>
      <c r="G369" t="s">
        <v>2674</v>
      </c>
      <c r="H369" t="s">
        <v>2664</v>
      </c>
      <c r="I369">
        <v>81811</v>
      </c>
      <c r="J369">
        <v>81935</v>
      </c>
      <c r="K369">
        <v>82059</v>
      </c>
      <c r="L369">
        <v>82183</v>
      </c>
      <c r="M369">
        <v>82289</v>
      </c>
      <c r="N369" t="s">
        <v>988</v>
      </c>
    </row>
    <row r="370" spans="1:14" hidden="1" x14ac:dyDescent="0.3">
      <c r="A370">
        <v>351</v>
      </c>
      <c r="B370" t="s">
        <v>1297</v>
      </c>
      <c r="C370" t="s">
        <v>2670</v>
      </c>
      <c r="D370" t="s">
        <v>1203</v>
      </c>
      <c r="E370" t="s">
        <v>1204</v>
      </c>
      <c r="F370">
        <v>5475</v>
      </c>
      <c r="G370" t="s">
        <v>2675</v>
      </c>
      <c r="H370" t="s">
        <v>2665</v>
      </c>
      <c r="I370">
        <v>12954</v>
      </c>
      <c r="J370">
        <v>22348</v>
      </c>
      <c r="K370">
        <v>29152</v>
      </c>
      <c r="L370">
        <v>36488</v>
      </c>
      <c r="M370">
        <v>44907</v>
      </c>
      <c r="N370" t="s">
        <v>988</v>
      </c>
    </row>
    <row r="371" spans="1:14" hidden="1" x14ac:dyDescent="0.3">
      <c r="A371">
        <v>351</v>
      </c>
      <c r="B371" t="s">
        <v>1297</v>
      </c>
      <c r="C371" t="s">
        <v>2670</v>
      </c>
      <c r="D371" t="s">
        <v>1203</v>
      </c>
      <c r="E371" t="s">
        <v>1204</v>
      </c>
      <c r="F371">
        <v>5475</v>
      </c>
      <c r="G371" t="s">
        <v>2675</v>
      </c>
      <c r="H371" t="s">
        <v>2664</v>
      </c>
      <c r="I371">
        <v>84604</v>
      </c>
      <c r="J371">
        <v>84728</v>
      </c>
      <c r="K371">
        <v>84852</v>
      </c>
      <c r="L371">
        <v>84976</v>
      </c>
      <c r="M371">
        <v>85082</v>
      </c>
      <c r="N371" t="s">
        <v>988</v>
      </c>
    </row>
    <row r="372" spans="1:14" hidden="1" x14ac:dyDescent="0.3">
      <c r="A372">
        <v>351</v>
      </c>
      <c r="B372" t="s">
        <v>1297</v>
      </c>
      <c r="C372" t="s">
        <v>2670</v>
      </c>
      <c r="D372" t="s">
        <v>1203</v>
      </c>
      <c r="E372" t="s">
        <v>1204</v>
      </c>
      <c r="F372">
        <v>5475</v>
      </c>
      <c r="G372" t="s">
        <v>2676</v>
      </c>
      <c r="H372" t="s">
        <v>2665</v>
      </c>
      <c r="I372">
        <v>12954</v>
      </c>
      <c r="J372">
        <v>22348</v>
      </c>
      <c r="K372">
        <v>29152</v>
      </c>
      <c r="L372">
        <v>36488</v>
      </c>
      <c r="M372">
        <v>44907</v>
      </c>
      <c r="N372" t="s">
        <v>988</v>
      </c>
    </row>
    <row r="373" spans="1:14" hidden="1" x14ac:dyDescent="0.3">
      <c r="A373">
        <v>351</v>
      </c>
      <c r="B373" t="s">
        <v>1297</v>
      </c>
      <c r="C373" t="s">
        <v>2670</v>
      </c>
      <c r="D373" t="s">
        <v>1203</v>
      </c>
      <c r="E373" t="s">
        <v>1204</v>
      </c>
      <c r="F373">
        <v>5475</v>
      </c>
      <c r="G373" t="s">
        <v>2673</v>
      </c>
      <c r="H373" t="s">
        <v>2664</v>
      </c>
      <c r="I373">
        <v>77170</v>
      </c>
      <c r="J373">
        <v>77294</v>
      </c>
      <c r="K373">
        <v>77418</v>
      </c>
      <c r="L373">
        <v>77542</v>
      </c>
      <c r="M373">
        <v>77648</v>
      </c>
      <c r="N373" t="s">
        <v>988</v>
      </c>
    </row>
    <row r="374" spans="1:14" hidden="1" x14ac:dyDescent="0.3">
      <c r="A374">
        <v>353</v>
      </c>
      <c r="B374" t="s">
        <v>1298</v>
      </c>
      <c r="C374" t="s">
        <v>2670</v>
      </c>
      <c r="D374" t="s">
        <v>1203</v>
      </c>
      <c r="E374" t="s">
        <v>1204</v>
      </c>
      <c r="F374">
        <v>7537</v>
      </c>
      <c r="G374" t="s">
        <v>2672</v>
      </c>
      <c r="H374" t="s">
        <v>2665</v>
      </c>
      <c r="N374" t="s">
        <v>988</v>
      </c>
    </row>
    <row r="375" spans="1:14" hidden="1" x14ac:dyDescent="0.3">
      <c r="A375">
        <v>353</v>
      </c>
      <c r="B375" t="s">
        <v>1298</v>
      </c>
      <c r="C375" t="s">
        <v>2670</v>
      </c>
      <c r="D375" t="s">
        <v>1203</v>
      </c>
      <c r="E375" t="s">
        <v>1204</v>
      </c>
      <c r="F375">
        <v>7537</v>
      </c>
      <c r="G375" t="s">
        <v>2672</v>
      </c>
      <c r="H375" t="s">
        <v>2664</v>
      </c>
      <c r="N375" t="s">
        <v>988</v>
      </c>
    </row>
    <row r="376" spans="1:14" hidden="1" x14ac:dyDescent="0.3">
      <c r="A376">
        <v>353</v>
      </c>
      <c r="B376" t="s">
        <v>1298</v>
      </c>
      <c r="C376" t="s">
        <v>2670</v>
      </c>
      <c r="D376" t="s">
        <v>1203</v>
      </c>
      <c r="E376" t="s">
        <v>1204</v>
      </c>
      <c r="F376">
        <v>7537</v>
      </c>
      <c r="G376" t="s">
        <v>2671</v>
      </c>
      <c r="H376" t="s">
        <v>2665</v>
      </c>
      <c r="I376">
        <v>7334.6419615000004</v>
      </c>
      <c r="J376">
        <v>7801.1129147000001</v>
      </c>
      <c r="K376">
        <v>8239.9638772500002</v>
      </c>
      <c r="L376">
        <v>8651.1948491500007</v>
      </c>
      <c r="M376">
        <v>9037.8747182499992</v>
      </c>
      <c r="N376" t="s">
        <v>988</v>
      </c>
    </row>
    <row r="377" spans="1:14" hidden="1" x14ac:dyDescent="0.3">
      <c r="A377">
        <v>353</v>
      </c>
      <c r="B377" t="s">
        <v>1298</v>
      </c>
      <c r="C377" t="s">
        <v>2670</v>
      </c>
      <c r="D377" t="s">
        <v>1203</v>
      </c>
      <c r="E377" t="s">
        <v>1204</v>
      </c>
      <c r="F377">
        <v>7537</v>
      </c>
      <c r="G377" t="s">
        <v>2671</v>
      </c>
      <c r="H377" t="s">
        <v>2664</v>
      </c>
      <c r="I377">
        <v>8961.1525220000003</v>
      </c>
      <c r="J377">
        <v>8961.1525220000003</v>
      </c>
      <c r="K377">
        <v>8961.1525220000003</v>
      </c>
      <c r="L377">
        <v>8961.1525220000003</v>
      </c>
      <c r="M377">
        <v>10081.296587250001</v>
      </c>
      <c r="N377" t="s">
        <v>988</v>
      </c>
    </row>
    <row r="378" spans="1:14" hidden="1" x14ac:dyDescent="0.3">
      <c r="A378">
        <v>353</v>
      </c>
      <c r="B378" t="s">
        <v>1298</v>
      </c>
      <c r="C378" t="s">
        <v>2670</v>
      </c>
      <c r="D378" t="s">
        <v>1203</v>
      </c>
      <c r="E378" t="s">
        <v>1204</v>
      </c>
      <c r="F378">
        <v>7537</v>
      </c>
      <c r="G378" t="s">
        <v>2673</v>
      </c>
      <c r="H378" t="s">
        <v>2665</v>
      </c>
      <c r="I378">
        <v>7334.6419615000004</v>
      </c>
      <c r="J378">
        <v>7801.1129147000001</v>
      </c>
      <c r="K378">
        <v>8239.9638772500002</v>
      </c>
      <c r="L378">
        <v>8651.1948491500007</v>
      </c>
      <c r="M378">
        <v>9037.8747182499992</v>
      </c>
      <c r="N378" t="s">
        <v>988</v>
      </c>
    </row>
    <row r="379" spans="1:14" hidden="1" x14ac:dyDescent="0.3">
      <c r="A379">
        <v>353</v>
      </c>
      <c r="B379" t="s">
        <v>1298</v>
      </c>
      <c r="C379" t="s">
        <v>2670</v>
      </c>
      <c r="D379" t="s">
        <v>1203</v>
      </c>
      <c r="E379" t="s">
        <v>1204</v>
      </c>
      <c r="F379">
        <v>7537</v>
      </c>
      <c r="G379" t="s">
        <v>2676</v>
      </c>
      <c r="H379" t="s">
        <v>2664</v>
      </c>
      <c r="I379">
        <v>8961.1525220000003</v>
      </c>
      <c r="J379">
        <v>8961.1525220000003</v>
      </c>
      <c r="K379">
        <v>8961.1525220000003</v>
      </c>
      <c r="L379">
        <v>8961.1525220000003</v>
      </c>
      <c r="M379">
        <v>10081.296587250001</v>
      </c>
      <c r="N379" t="s">
        <v>988</v>
      </c>
    </row>
    <row r="380" spans="1:14" hidden="1" x14ac:dyDescent="0.3">
      <c r="A380">
        <v>353</v>
      </c>
      <c r="B380" t="s">
        <v>1298</v>
      </c>
      <c r="C380" t="s">
        <v>2670</v>
      </c>
      <c r="D380" t="s">
        <v>1203</v>
      </c>
      <c r="E380" t="s">
        <v>1204</v>
      </c>
      <c r="F380">
        <v>7537</v>
      </c>
      <c r="G380" t="s">
        <v>2674</v>
      </c>
      <c r="H380" t="s">
        <v>2665</v>
      </c>
      <c r="I380">
        <v>7334.6419615000004</v>
      </c>
      <c r="J380">
        <v>7801.1129147000001</v>
      </c>
      <c r="K380">
        <v>8239.9638772500002</v>
      </c>
      <c r="L380">
        <v>8651.1948491500007</v>
      </c>
      <c r="M380">
        <v>9037.8747182499992</v>
      </c>
      <c r="N380" t="s">
        <v>988</v>
      </c>
    </row>
    <row r="381" spans="1:14" hidden="1" x14ac:dyDescent="0.3">
      <c r="A381">
        <v>353</v>
      </c>
      <c r="B381" t="s">
        <v>1298</v>
      </c>
      <c r="C381" t="s">
        <v>2670</v>
      </c>
      <c r="D381" t="s">
        <v>1203</v>
      </c>
      <c r="E381" t="s">
        <v>1204</v>
      </c>
      <c r="F381">
        <v>7537</v>
      </c>
      <c r="G381" t="s">
        <v>2674</v>
      </c>
      <c r="H381" t="s">
        <v>2664</v>
      </c>
      <c r="I381">
        <v>8961.1525220000003</v>
      </c>
      <c r="J381">
        <v>8961.1525220000003</v>
      </c>
      <c r="K381">
        <v>8961.1525220000003</v>
      </c>
      <c r="L381">
        <v>8961.1525220000003</v>
      </c>
      <c r="M381">
        <v>10081.296587250001</v>
      </c>
      <c r="N381" t="s">
        <v>988</v>
      </c>
    </row>
    <row r="382" spans="1:14" hidden="1" x14ac:dyDescent="0.3">
      <c r="A382">
        <v>353</v>
      </c>
      <c r="B382" t="s">
        <v>1298</v>
      </c>
      <c r="C382" t="s">
        <v>2670</v>
      </c>
      <c r="D382" t="s">
        <v>1203</v>
      </c>
      <c r="E382" t="s">
        <v>1204</v>
      </c>
      <c r="F382">
        <v>7537</v>
      </c>
      <c r="G382" t="s">
        <v>2675</v>
      </c>
      <c r="H382" t="s">
        <v>2665</v>
      </c>
      <c r="I382">
        <v>7908.52398945</v>
      </c>
      <c r="J382">
        <v>8411.8215968500008</v>
      </c>
      <c r="K382">
        <v>8887.4992136000001</v>
      </c>
      <c r="L382">
        <v>9329.4190639999997</v>
      </c>
      <c r="M382">
        <v>9746.7878115999993</v>
      </c>
      <c r="N382" t="s">
        <v>988</v>
      </c>
    </row>
    <row r="383" spans="1:14" hidden="1" x14ac:dyDescent="0.3">
      <c r="A383">
        <v>353</v>
      </c>
      <c r="B383" t="s">
        <v>1298</v>
      </c>
      <c r="C383" t="s">
        <v>2670</v>
      </c>
      <c r="D383" t="s">
        <v>1203</v>
      </c>
      <c r="E383" t="s">
        <v>1204</v>
      </c>
      <c r="F383">
        <v>7537</v>
      </c>
      <c r="G383" t="s">
        <v>2675</v>
      </c>
      <c r="H383" t="s">
        <v>2664</v>
      </c>
      <c r="I383">
        <v>8961.1525220000003</v>
      </c>
      <c r="J383">
        <v>8961.1525220000003</v>
      </c>
      <c r="K383">
        <v>8961.1525220000003</v>
      </c>
      <c r="L383">
        <v>10081.296587250001</v>
      </c>
      <c r="M383">
        <v>10081.296587250001</v>
      </c>
      <c r="N383" t="s">
        <v>988</v>
      </c>
    </row>
    <row r="384" spans="1:14" hidden="1" x14ac:dyDescent="0.3">
      <c r="A384">
        <v>353</v>
      </c>
      <c r="B384" t="s">
        <v>1298</v>
      </c>
      <c r="C384" t="s">
        <v>2670</v>
      </c>
      <c r="D384" t="s">
        <v>1203</v>
      </c>
      <c r="E384" t="s">
        <v>1204</v>
      </c>
      <c r="F384">
        <v>7537</v>
      </c>
      <c r="G384" t="s">
        <v>2676</v>
      </c>
      <c r="H384" t="s">
        <v>2665</v>
      </c>
      <c r="I384">
        <v>7549.4641110000002</v>
      </c>
      <c r="J384">
        <v>8031.2795034500004</v>
      </c>
      <c r="K384">
        <v>8482.4060174000006</v>
      </c>
      <c r="L384">
        <v>8905.9125406999992</v>
      </c>
      <c r="M384">
        <v>9304.8679611999996</v>
      </c>
      <c r="N384" t="s">
        <v>988</v>
      </c>
    </row>
    <row r="385" spans="1:14" hidden="1" x14ac:dyDescent="0.3">
      <c r="A385">
        <v>353</v>
      </c>
      <c r="B385" t="s">
        <v>1298</v>
      </c>
      <c r="C385" t="s">
        <v>2670</v>
      </c>
      <c r="D385" t="s">
        <v>1203</v>
      </c>
      <c r="E385" t="s">
        <v>1204</v>
      </c>
      <c r="F385">
        <v>7537</v>
      </c>
      <c r="G385" t="s">
        <v>2673</v>
      </c>
      <c r="H385" t="s">
        <v>2664</v>
      </c>
      <c r="I385">
        <v>8961.1525220000003</v>
      </c>
      <c r="J385">
        <v>8961.1525220000003</v>
      </c>
      <c r="K385">
        <v>8961.1525220000003</v>
      </c>
      <c r="L385">
        <v>8961.1525220000003</v>
      </c>
      <c r="M385">
        <v>10081.296587250001</v>
      </c>
      <c r="N385" t="s">
        <v>988</v>
      </c>
    </row>
    <row r="386" spans="1:14" hidden="1" x14ac:dyDescent="0.3">
      <c r="A386">
        <v>368</v>
      </c>
      <c r="B386" t="s">
        <v>1299</v>
      </c>
      <c r="C386" t="s">
        <v>2670</v>
      </c>
      <c r="D386" t="s">
        <v>1203</v>
      </c>
      <c r="E386" t="s">
        <v>1204</v>
      </c>
      <c r="F386">
        <v>5562</v>
      </c>
      <c r="G386" t="s">
        <v>2672</v>
      </c>
      <c r="H386" t="s">
        <v>2665</v>
      </c>
      <c r="N386" t="s">
        <v>988</v>
      </c>
    </row>
    <row r="387" spans="1:14" hidden="1" x14ac:dyDescent="0.3">
      <c r="A387">
        <v>368</v>
      </c>
      <c r="B387" t="s">
        <v>1299</v>
      </c>
      <c r="C387" t="s">
        <v>2670</v>
      </c>
      <c r="D387" t="s">
        <v>1203</v>
      </c>
      <c r="E387" t="s">
        <v>1204</v>
      </c>
      <c r="F387">
        <v>5562</v>
      </c>
      <c r="G387" t="s">
        <v>2672</v>
      </c>
      <c r="H387" t="s">
        <v>2664</v>
      </c>
      <c r="N387" t="s">
        <v>988</v>
      </c>
    </row>
    <row r="388" spans="1:14" hidden="1" x14ac:dyDescent="0.3">
      <c r="A388">
        <v>368</v>
      </c>
      <c r="B388" t="s">
        <v>1299</v>
      </c>
      <c r="C388" t="s">
        <v>2670</v>
      </c>
      <c r="D388" t="s">
        <v>1203</v>
      </c>
      <c r="E388" t="s">
        <v>1204</v>
      </c>
      <c r="F388">
        <v>5562</v>
      </c>
      <c r="G388" t="s">
        <v>2671</v>
      </c>
      <c r="H388" t="s">
        <v>2665</v>
      </c>
      <c r="I388">
        <v>19342</v>
      </c>
      <c r="J388">
        <v>19607</v>
      </c>
      <c r="K388">
        <v>19810</v>
      </c>
      <c r="L388">
        <v>19999</v>
      </c>
      <c r="N388" t="s">
        <v>988</v>
      </c>
    </row>
    <row r="389" spans="1:14" hidden="1" x14ac:dyDescent="0.3">
      <c r="A389">
        <v>368</v>
      </c>
      <c r="B389" t="s">
        <v>1299</v>
      </c>
      <c r="C389" t="s">
        <v>2670</v>
      </c>
      <c r="D389" t="s">
        <v>1203</v>
      </c>
      <c r="E389" t="s">
        <v>1204</v>
      </c>
      <c r="F389">
        <v>5562</v>
      </c>
      <c r="G389" t="s">
        <v>2671</v>
      </c>
      <c r="H389" t="s">
        <v>2664</v>
      </c>
      <c r="I389">
        <v>19342</v>
      </c>
      <c r="J389">
        <v>19607</v>
      </c>
      <c r="K389">
        <v>19810</v>
      </c>
      <c r="L389">
        <v>19999</v>
      </c>
      <c r="N389" t="s">
        <v>988</v>
      </c>
    </row>
    <row r="390" spans="1:14" hidden="1" x14ac:dyDescent="0.3">
      <c r="A390">
        <v>368</v>
      </c>
      <c r="B390" t="s">
        <v>1299</v>
      </c>
      <c r="C390" t="s">
        <v>2670</v>
      </c>
      <c r="D390" t="s">
        <v>1203</v>
      </c>
      <c r="E390" t="s">
        <v>1204</v>
      </c>
      <c r="F390">
        <v>5562</v>
      </c>
      <c r="G390" t="s">
        <v>2676</v>
      </c>
      <c r="H390" t="s">
        <v>2664</v>
      </c>
      <c r="I390">
        <v>23966</v>
      </c>
      <c r="J390">
        <v>24298</v>
      </c>
      <c r="K390">
        <v>24629</v>
      </c>
      <c r="L390">
        <v>24865</v>
      </c>
      <c r="M390">
        <v>25101</v>
      </c>
      <c r="N390" t="s">
        <v>988</v>
      </c>
    </row>
    <row r="391" spans="1:14" hidden="1" x14ac:dyDescent="0.3">
      <c r="A391">
        <v>368</v>
      </c>
      <c r="B391" t="s">
        <v>1299</v>
      </c>
      <c r="C391" t="s">
        <v>2670</v>
      </c>
      <c r="D391" t="s">
        <v>1203</v>
      </c>
      <c r="E391" t="s">
        <v>1204</v>
      </c>
      <c r="F391">
        <v>5562</v>
      </c>
      <c r="G391" t="s">
        <v>2673</v>
      </c>
      <c r="H391" t="s">
        <v>2665</v>
      </c>
      <c r="I391">
        <v>19200</v>
      </c>
      <c r="J391">
        <v>19463</v>
      </c>
      <c r="K391">
        <v>19681</v>
      </c>
      <c r="L391">
        <v>19868</v>
      </c>
      <c r="N391" t="s">
        <v>988</v>
      </c>
    </row>
    <row r="392" spans="1:14" hidden="1" x14ac:dyDescent="0.3">
      <c r="A392">
        <v>368</v>
      </c>
      <c r="B392" t="s">
        <v>1299</v>
      </c>
      <c r="C392" t="s">
        <v>2670</v>
      </c>
      <c r="D392" t="s">
        <v>1203</v>
      </c>
      <c r="E392" t="s">
        <v>1204</v>
      </c>
      <c r="F392">
        <v>5562</v>
      </c>
      <c r="G392" t="s">
        <v>2675</v>
      </c>
      <c r="H392" t="s">
        <v>2664</v>
      </c>
      <c r="I392">
        <v>24718</v>
      </c>
      <c r="J392">
        <v>25059</v>
      </c>
      <c r="K392">
        <v>25380</v>
      </c>
      <c r="L392">
        <v>25623</v>
      </c>
      <c r="N392" t="s">
        <v>988</v>
      </c>
    </row>
    <row r="393" spans="1:14" hidden="1" x14ac:dyDescent="0.3">
      <c r="A393">
        <v>368</v>
      </c>
      <c r="B393" t="s">
        <v>1299</v>
      </c>
      <c r="C393" t="s">
        <v>2670</v>
      </c>
      <c r="D393" t="s">
        <v>1203</v>
      </c>
      <c r="E393" t="s">
        <v>1204</v>
      </c>
      <c r="F393">
        <v>5562</v>
      </c>
      <c r="G393" t="s">
        <v>2675</v>
      </c>
      <c r="H393" t="s">
        <v>2665</v>
      </c>
      <c r="I393">
        <v>24718</v>
      </c>
      <c r="J393">
        <v>25059</v>
      </c>
      <c r="K393">
        <v>25380</v>
      </c>
      <c r="L393">
        <v>25623</v>
      </c>
      <c r="N393" t="s">
        <v>988</v>
      </c>
    </row>
    <row r="394" spans="1:14" hidden="1" x14ac:dyDescent="0.3">
      <c r="A394">
        <v>368</v>
      </c>
      <c r="B394" t="s">
        <v>1299</v>
      </c>
      <c r="C394" t="s">
        <v>2670</v>
      </c>
      <c r="D394" t="s">
        <v>1203</v>
      </c>
      <c r="E394" t="s">
        <v>1204</v>
      </c>
      <c r="F394">
        <v>5562</v>
      </c>
      <c r="G394" t="s">
        <v>2674</v>
      </c>
      <c r="H394" t="s">
        <v>2664</v>
      </c>
      <c r="I394">
        <v>24073</v>
      </c>
      <c r="J394">
        <v>24404</v>
      </c>
      <c r="K394">
        <v>24697</v>
      </c>
      <c r="L394">
        <v>24932</v>
      </c>
      <c r="N394" t="s">
        <v>988</v>
      </c>
    </row>
    <row r="395" spans="1:14" hidden="1" x14ac:dyDescent="0.3">
      <c r="A395">
        <v>368</v>
      </c>
      <c r="B395" t="s">
        <v>1299</v>
      </c>
      <c r="C395" t="s">
        <v>2670</v>
      </c>
      <c r="D395" t="s">
        <v>1203</v>
      </c>
      <c r="E395" t="s">
        <v>1204</v>
      </c>
      <c r="F395">
        <v>5562</v>
      </c>
      <c r="G395" t="s">
        <v>2674</v>
      </c>
      <c r="H395" t="s">
        <v>2665</v>
      </c>
      <c r="I395">
        <v>24073</v>
      </c>
      <c r="J395">
        <v>24404</v>
      </c>
      <c r="K395">
        <v>24697</v>
      </c>
      <c r="L395">
        <v>24932</v>
      </c>
      <c r="N395" t="s">
        <v>988</v>
      </c>
    </row>
    <row r="396" spans="1:14" hidden="1" x14ac:dyDescent="0.3">
      <c r="A396">
        <v>368</v>
      </c>
      <c r="B396" t="s">
        <v>1299</v>
      </c>
      <c r="C396" t="s">
        <v>2670</v>
      </c>
      <c r="D396" t="s">
        <v>1203</v>
      </c>
      <c r="E396" t="s">
        <v>1204</v>
      </c>
      <c r="F396">
        <v>5562</v>
      </c>
      <c r="G396" t="s">
        <v>2673</v>
      </c>
      <c r="H396" t="s">
        <v>2664</v>
      </c>
      <c r="I396">
        <v>19200</v>
      </c>
      <c r="J396">
        <v>19463</v>
      </c>
      <c r="K396">
        <v>19681</v>
      </c>
      <c r="L396">
        <v>19868</v>
      </c>
      <c r="N396" t="s">
        <v>988</v>
      </c>
    </row>
    <row r="397" spans="1:14" hidden="1" x14ac:dyDescent="0.3">
      <c r="A397">
        <v>368</v>
      </c>
      <c r="B397" t="s">
        <v>1299</v>
      </c>
      <c r="C397" t="s">
        <v>2670</v>
      </c>
      <c r="D397" t="s">
        <v>1203</v>
      </c>
      <c r="E397" t="s">
        <v>1204</v>
      </c>
      <c r="F397">
        <v>5562</v>
      </c>
      <c r="G397" t="s">
        <v>2676</v>
      </c>
      <c r="H397" t="s">
        <v>2665</v>
      </c>
      <c r="I397">
        <v>23966</v>
      </c>
      <c r="J397">
        <v>24298</v>
      </c>
      <c r="K397">
        <v>24629</v>
      </c>
      <c r="L397">
        <v>24865</v>
      </c>
      <c r="M397">
        <v>25101</v>
      </c>
      <c r="N397" t="s">
        <v>988</v>
      </c>
    </row>
    <row r="398" spans="1:14" hidden="1" x14ac:dyDescent="0.3">
      <c r="A398">
        <v>369</v>
      </c>
      <c r="B398" t="s">
        <v>1305</v>
      </c>
      <c r="C398" t="s">
        <v>2670</v>
      </c>
      <c r="D398" t="s">
        <v>1203</v>
      </c>
      <c r="E398" t="s">
        <v>1204</v>
      </c>
      <c r="F398">
        <v>5748</v>
      </c>
      <c r="G398" t="s">
        <v>2672</v>
      </c>
      <c r="H398" t="s">
        <v>2665</v>
      </c>
      <c r="N398" t="s">
        <v>988</v>
      </c>
    </row>
    <row r="399" spans="1:14" hidden="1" x14ac:dyDescent="0.3">
      <c r="A399">
        <v>369</v>
      </c>
      <c r="B399" t="s">
        <v>1305</v>
      </c>
      <c r="C399" t="s">
        <v>2670</v>
      </c>
      <c r="D399" t="s">
        <v>1203</v>
      </c>
      <c r="E399" t="s">
        <v>1204</v>
      </c>
      <c r="F399">
        <v>5748</v>
      </c>
      <c r="G399" t="s">
        <v>2676</v>
      </c>
      <c r="H399" t="s">
        <v>2665</v>
      </c>
      <c r="I399">
        <v>7904</v>
      </c>
      <c r="J399">
        <v>11883</v>
      </c>
      <c r="K399">
        <v>12474</v>
      </c>
      <c r="L399">
        <v>13065</v>
      </c>
      <c r="M399">
        <v>13656</v>
      </c>
      <c r="N399" t="s">
        <v>988</v>
      </c>
    </row>
    <row r="400" spans="1:14" hidden="1" x14ac:dyDescent="0.3">
      <c r="A400">
        <v>369</v>
      </c>
      <c r="B400" t="s">
        <v>1305</v>
      </c>
      <c r="C400" t="s">
        <v>2670</v>
      </c>
      <c r="D400" t="s">
        <v>1203</v>
      </c>
      <c r="E400" t="s">
        <v>1204</v>
      </c>
      <c r="F400">
        <v>5748</v>
      </c>
      <c r="G400" t="s">
        <v>2675</v>
      </c>
      <c r="H400" t="s">
        <v>2664</v>
      </c>
      <c r="I400">
        <v>8436</v>
      </c>
      <c r="J400">
        <v>17441</v>
      </c>
      <c r="K400">
        <v>17833</v>
      </c>
      <c r="L400">
        <v>18210</v>
      </c>
      <c r="M400">
        <v>18210</v>
      </c>
      <c r="N400" t="s">
        <v>988</v>
      </c>
    </row>
    <row r="401" spans="1:14" hidden="1" x14ac:dyDescent="0.3">
      <c r="A401">
        <v>369</v>
      </c>
      <c r="B401" t="s">
        <v>1305</v>
      </c>
      <c r="C401" t="s">
        <v>2670</v>
      </c>
      <c r="D401" t="s">
        <v>1203</v>
      </c>
      <c r="E401" t="s">
        <v>1204</v>
      </c>
      <c r="F401">
        <v>5748</v>
      </c>
      <c r="G401" t="s">
        <v>2675</v>
      </c>
      <c r="H401" t="s">
        <v>2665</v>
      </c>
      <c r="I401">
        <v>6902</v>
      </c>
      <c r="J401">
        <v>11883</v>
      </c>
      <c r="K401">
        <v>12474</v>
      </c>
      <c r="L401">
        <v>13065</v>
      </c>
      <c r="M401">
        <v>13656</v>
      </c>
      <c r="N401" t="s">
        <v>988</v>
      </c>
    </row>
    <row r="402" spans="1:14" hidden="1" x14ac:dyDescent="0.3">
      <c r="A402">
        <v>369</v>
      </c>
      <c r="B402" t="s">
        <v>1305</v>
      </c>
      <c r="C402" t="s">
        <v>2670</v>
      </c>
      <c r="D402" t="s">
        <v>1203</v>
      </c>
      <c r="E402" t="s">
        <v>1204</v>
      </c>
      <c r="F402">
        <v>5748</v>
      </c>
      <c r="G402" t="s">
        <v>2674</v>
      </c>
      <c r="H402" t="s">
        <v>2664</v>
      </c>
      <c r="I402">
        <v>7211</v>
      </c>
      <c r="J402">
        <v>16717</v>
      </c>
      <c r="K402">
        <v>17306</v>
      </c>
      <c r="L402">
        <v>17871</v>
      </c>
      <c r="M402">
        <v>17871</v>
      </c>
      <c r="N402" t="s">
        <v>988</v>
      </c>
    </row>
    <row r="403" spans="1:14" hidden="1" x14ac:dyDescent="0.3">
      <c r="A403">
        <v>369</v>
      </c>
      <c r="B403" t="s">
        <v>1305</v>
      </c>
      <c r="C403" t="s">
        <v>2670</v>
      </c>
      <c r="D403" t="s">
        <v>1203</v>
      </c>
      <c r="E403" t="s">
        <v>1204</v>
      </c>
      <c r="F403">
        <v>5748</v>
      </c>
      <c r="G403" t="s">
        <v>2674</v>
      </c>
      <c r="H403" t="s">
        <v>2665</v>
      </c>
      <c r="I403">
        <v>5900</v>
      </c>
      <c r="J403">
        <v>11883</v>
      </c>
      <c r="K403">
        <v>12474</v>
      </c>
      <c r="L403">
        <v>13065</v>
      </c>
      <c r="M403">
        <v>13656</v>
      </c>
      <c r="N403" t="s">
        <v>988</v>
      </c>
    </row>
    <row r="404" spans="1:14" hidden="1" x14ac:dyDescent="0.3">
      <c r="A404">
        <v>369</v>
      </c>
      <c r="B404" t="s">
        <v>1305</v>
      </c>
      <c r="C404" t="s">
        <v>2670</v>
      </c>
      <c r="D404" t="s">
        <v>1203</v>
      </c>
      <c r="E404" t="s">
        <v>1204</v>
      </c>
      <c r="F404">
        <v>5748</v>
      </c>
      <c r="G404" t="s">
        <v>2673</v>
      </c>
      <c r="H404" t="s">
        <v>2664</v>
      </c>
      <c r="I404">
        <v>6325</v>
      </c>
      <c r="J404">
        <v>16333</v>
      </c>
      <c r="K404">
        <v>17118</v>
      </c>
      <c r="L404">
        <v>17871</v>
      </c>
      <c r="M404">
        <v>17871</v>
      </c>
      <c r="N404" t="s">
        <v>988</v>
      </c>
    </row>
    <row r="405" spans="1:14" hidden="1" x14ac:dyDescent="0.3">
      <c r="A405">
        <v>369</v>
      </c>
      <c r="B405" t="s">
        <v>1305</v>
      </c>
      <c r="C405" t="s">
        <v>2670</v>
      </c>
      <c r="D405" t="s">
        <v>1203</v>
      </c>
      <c r="E405" t="s">
        <v>1204</v>
      </c>
      <c r="F405">
        <v>5748</v>
      </c>
      <c r="G405" t="s">
        <v>2673</v>
      </c>
      <c r="H405" t="s">
        <v>2665</v>
      </c>
      <c r="I405">
        <v>5175</v>
      </c>
      <c r="J405">
        <v>11883</v>
      </c>
      <c r="K405">
        <v>12474</v>
      </c>
      <c r="L405">
        <v>13065</v>
      </c>
      <c r="M405">
        <v>13656</v>
      </c>
      <c r="N405" t="s">
        <v>988</v>
      </c>
    </row>
    <row r="406" spans="1:14" hidden="1" x14ac:dyDescent="0.3">
      <c r="A406">
        <v>369</v>
      </c>
      <c r="B406" t="s">
        <v>1305</v>
      </c>
      <c r="C406" t="s">
        <v>2670</v>
      </c>
      <c r="D406" t="s">
        <v>1203</v>
      </c>
      <c r="E406" t="s">
        <v>1204</v>
      </c>
      <c r="F406">
        <v>5748</v>
      </c>
      <c r="G406" t="s">
        <v>2671</v>
      </c>
      <c r="H406" t="s">
        <v>2664</v>
      </c>
      <c r="I406">
        <v>5438</v>
      </c>
      <c r="J406">
        <v>15948</v>
      </c>
      <c r="K406">
        <v>16930</v>
      </c>
      <c r="L406">
        <v>17871</v>
      </c>
      <c r="M406">
        <v>17871</v>
      </c>
      <c r="N406" t="s">
        <v>988</v>
      </c>
    </row>
    <row r="407" spans="1:14" hidden="1" x14ac:dyDescent="0.3">
      <c r="A407">
        <v>369</v>
      </c>
      <c r="B407" t="s">
        <v>1305</v>
      </c>
      <c r="C407" t="s">
        <v>2670</v>
      </c>
      <c r="D407" t="s">
        <v>1203</v>
      </c>
      <c r="E407" t="s">
        <v>1204</v>
      </c>
      <c r="F407">
        <v>5748</v>
      </c>
      <c r="G407" t="s">
        <v>2671</v>
      </c>
      <c r="H407" t="s">
        <v>2665</v>
      </c>
      <c r="I407">
        <v>4450</v>
      </c>
      <c r="J407">
        <v>11883</v>
      </c>
      <c r="K407">
        <v>12474</v>
      </c>
      <c r="L407">
        <v>13065</v>
      </c>
      <c r="M407">
        <v>13656</v>
      </c>
      <c r="N407" t="s">
        <v>988</v>
      </c>
    </row>
    <row r="408" spans="1:14" hidden="1" x14ac:dyDescent="0.3">
      <c r="A408">
        <v>369</v>
      </c>
      <c r="B408" t="s">
        <v>1305</v>
      </c>
      <c r="C408" t="s">
        <v>2670</v>
      </c>
      <c r="D408" t="s">
        <v>1203</v>
      </c>
      <c r="E408" t="s">
        <v>1204</v>
      </c>
      <c r="F408">
        <v>5748</v>
      </c>
      <c r="G408" t="s">
        <v>2672</v>
      </c>
      <c r="H408" t="s">
        <v>2664</v>
      </c>
      <c r="N408" t="s">
        <v>988</v>
      </c>
    </row>
    <row r="409" spans="1:14" hidden="1" x14ac:dyDescent="0.3">
      <c r="A409">
        <v>369</v>
      </c>
      <c r="B409" t="s">
        <v>1305</v>
      </c>
      <c r="C409" t="s">
        <v>2670</v>
      </c>
      <c r="D409" t="s">
        <v>1203</v>
      </c>
      <c r="E409" t="s">
        <v>1204</v>
      </c>
      <c r="F409">
        <v>5748</v>
      </c>
      <c r="G409" t="s">
        <v>2676</v>
      </c>
      <c r="H409" t="s">
        <v>2664</v>
      </c>
      <c r="I409">
        <v>9661</v>
      </c>
      <c r="J409">
        <v>18164</v>
      </c>
      <c r="K409">
        <v>18361</v>
      </c>
      <c r="L409">
        <v>18549</v>
      </c>
      <c r="M409">
        <v>18549</v>
      </c>
      <c r="N409" t="s">
        <v>988</v>
      </c>
    </row>
    <row r="410" spans="1:14" hidden="1" x14ac:dyDescent="0.3">
      <c r="A410">
        <v>372</v>
      </c>
      <c r="B410" t="s">
        <v>1310</v>
      </c>
      <c r="C410" t="s">
        <v>2670</v>
      </c>
      <c r="D410" t="s">
        <v>1203</v>
      </c>
      <c r="E410" t="s">
        <v>1204</v>
      </c>
      <c r="F410">
        <v>5790</v>
      </c>
      <c r="G410" t="s">
        <v>2673</v>
      </c>
      <c r="H410" t="s">
        <v>2664</v>
      </c>
      <c r="I410">
        <v>126913.85703675001</v>
      </c>
      <c r="J410">
        <v>126913.85703675001</v>
      </c>
      <c r="K410">
        <v>128681.53643835</v>
      </c>
      <c r="L410">
        <v>131345.33109215001</v>
      </c>
      <c r="N410" t="s">
        <v>988</v>
      </c>
    </row>
    <row r="411" spans="1:14" hidden="1" x14ac:dyDescent="0.3">
      <c r="A411">
        <v>372</v>
      </c>
      <c r="B411" t="s">
        <v>1310</v>
      </c>
      <c r="C411" t="s">
        <v>2670</v>
      </c>
      <c r="D411" t="s">
        <v>1203</v>
      </c>
      <c r="E411" t="s">
        <v>1204</v>
      </c>
      <c r="F411">
        <v>5790</v>
      </c>
      <c r="G411" t="s">
        <v>2673</v>
      </c>
      <c r="H411" t="s">
        <v>2665</v>
      </c>
      <c r="I411">
        <v>31548.167098000002</v>
      </c>
      <c r="J411">
        <v>34564.883854549997</v>
      </c>
      <c r="K411">
        <v>36949.409714000001</v>
      </c>
      <c r="L411">
        <v>39889.404274300003</v>
      </c>
      <c r="N411" t="s">
        <v>988</v>
      </c>
    </row>
    <row r="412" spans="1:14" hidden="1" x14ac:dyDescent="0.3">
      <c r="A412">
        <v>372</v>
      </c>
      <c r="B412" t="s">
        <v>1310</v>
      </c>
      <c r="C412" t="s">
        <v>2670</v>
      </c>
      <c r="D412" t="s">
        <v>1203</v>
      </c>
      <c r="E412" t="s">
        <v>1204</v>
      </c>
      <c r="F412">
        <v>5790</v>
      </c>
      <c r="G412" t="s">
        <v>2671</v>
      </c>
      <c r="H412" t="s">
        <v>2664</v>
      </c>
      <c r="I412">
        <v>126913.85703675001</v>
      </c>
      <c r="J412">
        <v>126913.85703675001</v>
      </c>
      <c r="K412">
        <v>128681.53643835</v>
      </c>
      <c r="L412">
        <v>131345.33109215001</v>
      </c>
      <c r="N412" t="s">
        <v>988</v>
      </c>
    </row>
    <row r="413" spans="1:14" hidden="1" x14ac:dyDescent="0.3">
      <c r="A413">
        <v>372</v>
      </c>
      <c r="B413" t="s">
        <v>1310</v>
      </c>
      <c r="C413" t="s">
        <v>2670</v>
      </c>
      <c r="D413" t="s">
        <v>1203</v>
      </c>
      <c r="E413" t="s">
        <v>1204</v>
      </c>
      <c r="F413">
        <v>5790</v>
      </c>
      <c r="G413" t="s">
        <v>2676</v>
      </c>
      <c r="H413" t="s">
        <v>2664</v>
      </c>
      <c r="I413">
        <v>126913.85703675001</v>
      </c>
      <c r="J413">
        <v>126913.85703675001</v>
      </c>
      <c r="K413">
        <v>128681.53643835</v>
      </c>
      <c r="L413">
        <v>131345.33109215001</v>
      </c>
      <c r="N413" t="s">
        <v>988</v>
      </c>
    </row>
    <row r="414" spans="1:14" hidden="1" x14ac:dyDescent="0.3">
      <c r="A414">
        <v>372</v>
      </c>
      <c r="B414" t="s">
        <v>1310</v>
      </c>
      <c r="C414" t="s">
        <v>2670</v>
      </c>
      <c r="D414" t="s">
        <v>1203</v>
      </c>
      <c r="E414" t="s">
        <v>1204</v>
      </c>
      <c r="F414">
        <v>5790</v>
      </c>
      <c r="G414" t="s">
        <v>2676</v>
      </c>
      <c r="H414" t="s">
        <v>2665</v>
      </c>
      <c r="I414">
        <v>31548.167098000002</v>
      </c>
      <c r="J414">
        <v>34564.883854549997</v>
      </c>
      <c r="K414">
        <v>36949.409714000001</v>
      </c>
      <c r="L414">
        <v>39889.404274300003</v>
      </c>
      <c r="N414" t="s">
        <v>988</v>
      </c>
    </row>
    <row r="415" spans="1:14" hidden="1" x14ac:dyDescent="0.3">
      <c r="A415">
        <v>372</v>
      </c>
      <c r="B415" t="s">
        <v>1310</v>
      </c>
      <c r="C415" t="s">
        <v>2670</v>
      </c>
      <c r="D415" t="s">
        <v>1203</v>
      </c>
      <c r="E415" t="s">
        <v>1204</v>
      </c>
      <c r="F415">
        <v>5790</v>
      </c>
      <c r="G415" t="s">
        <v>2671</v>
      </c>
      <c r="H415" t="s">
        <v>2665</v>
      </c>
      <c r="I415">
        <v>31548.167098000002</v>
      </c>
      <c r="J415">
        <v>34564.883854549997</v>
      </c>
      <c r="K415">
        <v>36949.409714000001</v>
      </c>
      <c r="L415">
        <v>39889.404274300003</v>
      </c>
      <c r="N415" t="s">
        <v>988</v>
      </c>
    </row>
    <row r="416" spans="1:14" hidden="1" x14ac:dyDescent="0.3">
      <c r="A416">
        <v>372</v>
      </c>
      <c r="B416" t="s">
        <v>1310</v>
      </c>
      <c r="C416" t="s">
        <v>2670</v>
      </c>
      <c r="D416" t="s">
        <v>1203</v>
      </c>
      <c r="E416" t="s">
        <v>1204</v>
      </c>
      <c r="F416">
        <v>5790</v>
      </c>
      <c r="G416" t="s">
        <v>2675</v>
      </c>
      <c r="H416" t="s">
        <v>2664</v>
      </c>
      <c r="I416">
        <v>126913.85703675001</v>
      </c>
      <c r="J416">
        <v>126913.85703675001</v>
      </c>
      <c r="K416">
        <v>128681.53643835</v>
      </c>
      <c r="L416">
        <v>131345.33109215001</v>
      </c>
      <c r="N416" t="s">
        <v>988</v>
      </c>
    </row>
    <row r="417" spans="1:14" hidden="1" x14ac:dyDescent="0.3">
      <c r="A417">
        <v>372</v>
      </c>
      <c r="B417" t="s">
        <v>1310</v>
      </c>
      <c r="C417" t="s">
        <v>2670</v>
      </c>
      <c r="D417" t="s">
        <v>1203</v>
      </c>
      <c r="E417" t="s">
        <v>1204</v>
      </c>
      <c r="F417">
        <v>5790</v>
      </c>
      <c r="G417" t="s">
        <v>2675</v>
      </c>
      <c r="H417" t="s">
        <v>2665</v>
      </c>
      <c r="I417">
        <v>31548.167098000002</v>
      </c>
      <c r="J417">
        <v>34564.883854549997</v>
      </c>
      <c r="K417">
        <v>36949.409714000001</v>
      </c>
      <c r="L417">
        <v>39889.404274300003</v>
      </c>
      <c r="N417" t="s">
        <v>988</v>
      </c>
    </row>
    <row r="418" spans="1:14" hidden="1" x14ac:dyDescent="0.3">
      <c r="A418">
        <v>372</v>
      </c>
      <c r="B418" t="s">
        <v>1310</v>
      </c>
      <c r="C418" t="s">
        <v>2670</v>
      </c>
      <c r="D418" t="s">
        <v>1203</v>
      </c>
      <c r="E418" t="s">
        <v>1204</v>
      </c>
      <c r="F418">
        <v>5790</v>
      </c>
      <c r="G418" t="s">
        <v>2674</v>
      </c>
      <c r="H418" t="s">
        <v>2665</v>
      </c>
      <c r="I418">
        <v>31548.167098000002</v>
      </c>
      <c r="J418">
        <v>34564.883854549997</v>
      </c>
      <c r="K418">
        <v>36949.409714000001</v>
      </c>
      <c r="L418">
        <v>39889.404274300003</v>
      </c>
      <c r="N418" t="s">
        <v>988</v>
      </c>
    </row>
    <row r="419" spans="1:14" hidden="1" x14ac:dyDescent="0.3">
      <c r="A419">
        <v>372</v>
      </c>
      <c r="B419" t="s">
        <v>1310</v>
      </c>
      <c r="C419" t="s">
        <v>2670</v>
      </c>
      <c r="D419" t="s">
        <v>1203</v>
      </c>
      <c r="E419" t="s">
        <v>1204</v>
      </c>
      <c r="F419">
        <v>5790</v>
      </c>
      <c r="G419" t="s">
        <v>2672</v>
      </c>
      <c r="H419" t="s">
        <v>2665</v>
      </c>
      <c r="N419" t="s">
        <v>988</v>
      </c>
    </row>
    <row r="420" spans="1:14" hidden="1" x14ac:dyDescent="0.3">
      <c r="A420">
        <v>372</v>
      </c>
      <c r="B420" t="s">
        <v>1310</v>
      </c>
      <c r="C420" t="s">
        <v>2670</v>
      </c>
      <c r="D420" t="s">
        <v>1203</v>
      </c>
      <c r="E420" t="s">
        <v>1204</v>
      </c>
      <c r="F420">
        <v>5790</v>
      </c>
      <c r="G420" t="s">
        <v>2672</v>
      </c>
      <c r="H420" t="s">
        <v>2664</v>
      </c>
      <c r="N420" t="s">
        <v>988</v>
      </c>
    </row>
    <row r="421" spans="1:14" hidden="1" x14ac:dyDescent="0.3">
      <c r="A421">
        <v>372</v>
      </c>
      <c r="B421" t="s">
        <v>1310</v>
      </c>
      <c r="C421" t="s">
        <v>2670</v>
      </c>
      <c r="D421" t="s">
        <v>1203</v>
      </c>
      <c r="E421" t="s">
        <v>1204</v>
      </c>
      <c r="F421">
        <v>5790</v>
      </c>
      <c r="G421" t="s">
        <v>2674</v>
      </c>
      <c r="H421" t="s">
        <v>2664</v>
      </c>
      <c r="I421">
        <v>126913.85703675001</v>
      </c>
      <c r="J421">
        <v>126913.85703675001</v>
      </c>
      <c r="K421">
        <v>128681.53643835</v>
      </c>
      <c r="L421">
        <v>131345.33109215001</v>
      </c>
      <c r="N421" t="s">
        <v>988</v>
      </c>
    </row>
    <row r="422" spans="1:14" hidden="1" x14ac:dyDescent="0.3">
      <c r="A422">
        <v>373</v>
      </c>
      <c r="B422" t="s">
        <v>1339</v>
      </c>
      <c r="C422" t="s">
        <v>2670</v>
      </c>
      <c r="D422" t="s">
        <v>1203</v>
      </c>
      <c r="E422" t="s">
        <v>1204</v>
      </c>
      <c r="F422">
        <v>6638</v>
      </c>
      <c r="G422" t="s">
        <v>2676</v>
      </c>
      <c r="H422" t="s">
        <v>2664</v>
      </c>
      <c r="I422">
        <v>12082.21146545</v>
      </c>
      <c r="J422">
        <v>11026.51404505</v>
      </c>
      <c r="K422">
        <v>11321.127278649999</v>
      </c>
      <c r="L422">
        <v>11621.87828795</v>
      </c>
      <c r="N422" t="s">
        <v>988</v>
      </c>
    </row>
    <row r="423" spans="1:14" hidden="1" x14ac:dyDescent="0.3">
      <c r="A423">
        <v>373</v>
      </c>
      <c r="B423" t="s">
        <v>1339</v>
      </c>
      <c r="C423" t="s">
        <v>2670</v>
      </c>
      <c r="D423" t="s">
        <v>1203</v>
      </c>
      <c r="E423" t="s">
        <v>1204</v>
      </c>
      <c r="F423">
        <v>6638</v>
      </c>
      <c r="G423" t="s">
        <v>2676</v>
      </c>
      <c r="H423" t="s">
        <v>2665</v>
      </c>
      <c r="I423">
        <v>10069.021035850001</v>
      </c>
      <c r="J423">
        <v>10308.394288150001</v>
      </c>
      <c r="K423">
        <v>10553.90531615</v>
      </c>
      <c r="L423">
        <v>10805.55411985</v>
      </c>
      <c r="N423" t="s">
        <v>988</v>
      </c>
    </row>
    <row r="424" spans="1:14" hidden="1" x14ac:dyDescent="0.3">
      <c r="A424">
        <v>373</v>
      </c>
      <c r="B424" t="s">
        <v>1339</v>
      </c>
      <c r="C424" t="s">
        <v>2670</v>
      </c>
      <c r="D424" t="s">
        <v>1203</v>
      </c>
      <c r="E424" t="s">
        <v>1204</v>
      </c>
      <c r="F424">
        <v>6638</v>
      </c>
      <c r="G424" t="s">
        <v>2675</v>
      </c>
      <c r="H424" t="s">
        <v>2665</v>
      </c>
      <c r="I424">
        <v>10431.149802149999</v>
      </c>
      <c r="J424">
        <v>10679.729718000001</v>
      </c>
      <c r="K424">
        <v>10934.447409550001</v>
      </c>
      <c r="L424">
        <v>11195.3028768</v>
      </c>
      <c r="N424" t="s">
        <v>988</v>
      </c>
    </row>
    <row r="425" spans="1:14" hidden="1" x14ac:dyDescent="0.3">
      <c r="A425">
        <v>373</v>
      </c>
      <c r="B425" t="s">
        <v>1339</v>
      </c>
      <c r="C425" t="s">
        <v>2670</v>
      </c>
      <c r="D425" t="s">
        <v>1203</v>
      </c>
      <c r="E425" t="s">
        <v>1204</v>
      </c>
      <c r="F425">
        <v>6638</v>
      </c>
      <c r="G425" t="s">
        <v>2675</v>
      </c>
      <c r="H425" t="s">
        <v>2664</v>
      </c>
      <c r="I425">
        <v>12517.993540150001</v>
      </c>
      <c r="J425">
        <v>11471.5027833</v>
      </c>
      <c r="K425">
        <v>11775.322680449999</v>
      </c>
      <c r="L425">
        <v>12088.349241149999</v>
      </c>
      <c r="N425" t="s">
        <v>988</v>
      </c>
    </row>
    <row r="426" spans="1:14" hidden="1" x14ac:dyDescent="0.3">
      <c r="A426">
        <v>373</v>
      </c>
      <c r="B426" t="s">
        <v>1339</v>
      </c>
      <c r="C426" t="s">
        <v>2670</v>
      </c>
      <c r="D426" t="s">
        <v>1203</v>
      </c>
      <c r="E426" t="s">
        <v>1204</v>
      </c>
      <c r="F426">
        <v>6638</v>
      </c>
      <c r="G426" t="s">
        <v>2672</v>
      </c>
      <c r="H426" t="s">
        <v>2665</v>
      </c>
      <c r="N426" t="s">
        <v>988</v>
      </c>
    </row>
    <row r="427" spans="1:14" hidden="1" x14ac:dyDescent="0.3">
      <c r="A427">
        <v>373</v>
      </c>
      <c r="B427" t="s">
        <v>1339</v>
      </c>
      <c r="C427" t="s">
        <v>2670</v>
      </c>
      <c r="D427" t="s">
        <v>1203</v>
      </c>
      <c r="E427" t="s">
        <v>1204</v>
      </c>
      <c r="F427">
        <v>6638</v>
      </c>
      <c r="G427" t="s">
        <v>2672</v>
      </c>
      <c r="H427" t="s">
        <v>2664</v>
      </c>
      <c r="N427" t="s">
        <v>988</v>
      </c>
    </row>
    <row r="428" spans="1:14" hidden="1" x14ac:dyDescent="0.3">
      <c r="A428">
        <v>373</v>
      </c>
      <c r="B428" t="s">
        <v>1339</v>
      </c>
      <c r="C428" t="s">
        <v>2670</v>
      </c>
      <c r="D428" t="s">
        <v>1203</v>
      </c>
      <c r="E428" t="s">
        <v>1204</v>
      </c>
      <c r="F428">
        <v>6638</v>
      </c>
      <c r="G428" t="s">
        <v>2671</v>
      </c>
      <c r="H428" t="s">
        <v>2665</v>
      </c>
      <c r="I428">
        <v>10311.463175999999</v>
      </c>
      <c r="J428">
        <v>10556.974204</v>
      </c>
      <c r="K428">
        <v>10808.6230077</v>
      </c>
      <c r="L428">
        <v>11066.409587100001</v>
      </c>
      <c r="N428" t="s">
        <v>988</v>
      </c>
    </row>
    <row r="429" spans="1:14" hidden="1" x14ac:dyDescent="0.3">
      <c r="A429">
        <v>373</v>
      </c>
      <c r="B429" t="s">
        <v>1339</v>
      </c>
      <c r="C429" t="s">
        <v>2670</v>
      </c>
      <c r="D429" t="s">
        <v>1203</v>
      </c>
      <c r="E429" t="s">
        <v>1204</v>
      </c>
      <c r="F429">
        <v>6638</v>
      </c>
      <c r="G429" t="s">
        <v>2671</v>
      </c>
      <c r="H429" t="s">
        <v>2664</v>
      </c>
      <c r="I429">
        <v>12373.755811200001</v>
      </c>
      <c r="J429">
        <v>11324.1961665</v>
      </c>
      <c r="K429">
        <v>11624.9471758</v>
      </c>
      <c r="L429">
        <v>11934.90484865</v>
      </c>
      <c r="N429" t="s">
        <v>988</v>
      </c>
    </row>
    <row r="430" spans="1:14" hidden="1" x14ac:dyDescent="0.3">
      <c r="A430">
        <v>373</v>
      </c>
      <c r="B430" t="s">
        <v>1339</v>
      </c>
      <c r="C430" t="s">
        <v>2670</v>
      </c>
      <c r="D430" t="s">
        <v>1203</v>
      </c>
      <c r="E430" t="s">
        <v>1204</v>
      </c>
      <c r="F430">
        <v>6638</v>
      </c>
      <c r="G430" t="s">
        <v>2673</v>
      </c>
      <c r="H430" t="s">
        <v>2665</v>
      </c>
      <c r="I430">
        <v>10311.463175999999</v>
      </c>
      <c r="J430">
        <v>10556.974204</v>
      </c>
      <c r="K430">
        <v>10808.6230077</v>
      </c>
      <c r="L430">
        <v>11066.409587100001</v>
      </c>
      <c r="N430" t="s">
        <v>988</v>
      </c>
    </row>
    <row r="431" spans="1:14" hidden="1" x14ac:dyDescent="0.3">
      <c r="A431">
        <v>373</v>
      </c>
      <c r="B431" t="s">
        <v>1339</v>
      </c>
      <c r="C431" t="s">
        <v>2670</v>
      </c>
      <c r="D431" t="s">
        <v>1203</v>
      </c>
      <c r="E431" t="s">
        <v>1204</v>
      </c>
      <c r="F431">
        <v>6638</v>
      </c>
      <c r="G431" t="s">
        <v>2673</v>
      </c>
      <c r="H431" t="s">
        <v>2664</v>
      </c>
      <c r="I431">
        <v>12373.755811200001</v>
      </c>
      <c r="J431">
        <v>11324.1961665</v>
      </c>
      <c r="K431">
        <v>11624.9471758</v>
      </c>
      <c r="L431">
        <v>11934.90484865</v>
      </c>
      <c r="N431" t="s">
        <v>988</v>
      </c>
    </row>
    <row r="432" spans="1:14" hidden="1" x14ac:dyDescent="0.3">
      <c r="A432">
        <v>373</v>
      </c>
      <c r="B432" t="s">
        <v>1339</v>
      </c>
      <c r="C432" t="s">
        <v>2670</v>
      </c>
      <c r="D432" t="s">
        <v>1203</v>
      </c>
      <c r="E432" t="s">
        <v>1204</v>
      </c>
      <c r="F432">
        <v>6638</v>
      </c>
      <c r="G432" t="s">
        <v>2674</v>
      </c>
      <c r="H432" t="s">
        <v>2665</v>
      </c>
      <c r="I432">
        <v>10431.149802149999</v>
      </c>
      <c r="J432">
        <v>10679.729718000001</v>
      </c>
      <c r="K432">
        <v>10934.447409550001</v>
      </c>
      <c r="L432">
        <v>11195.3028768</v>
      </c>
      <c r="N432" t="s">
        <v>988</v>
      </c>
    </row>
    <row r="433" spans="1:14" hidden="1" x14ac:dyDescent="0.3">
      <c r="A433">
        <v>373</v>
      </c>
      <c r="B433" t="s">
        <v>1339</v>
      </c>
      <c r="C433" t="s">
        <v>2670</v>
      </c>
      <c r="D433" t="s">
        <v>1203</v>
      </c>
      <c r="E433" t="s">
        <v>1204</v>
      </c>
      <c r="F433">
        <v>6638</v>
      </c>
      <c r="G433" t="s">
        <v>2674</v>
      </c>
      <c r="H433" t="s">
        <v>2664</v>
      </c>
      <c r="I433">
        <v>12517.993540150001</v>
      </c>
      <c r="J433">
        <v>11471.5027833</v>
      </c>
      <c r="K433">
        <v>11775.322680449999</v>
      </c>
      <c r="L433">
        <v>12088.349241149999</v>
      </c>
      <c r="N433" t="s">
        <v>988</v>
      </c>
    </row>
    <row r="434" spans="1:14" hidden="1" x14ac:dyDescent="0.3">
      <c r="A434">
        <v>376</v>
      </c>
      <c r="B434" t="s">
        <v>1342</v>
      </c>
      <c r="C434" t="s">
        <v>2670</v>
      </c>
      <c r="D434" t="s">
        <v>1203</v>
      </c>
      <c r="E434" t="s">
        <v>1204</v>
      </c>
      <c r="F434">
        <v>5548</v>
      </c>
      <c r="G434" t="s">
        <v>2676</v>
      </c>
      <c r="H434" t="s">
        <v>2665</v>
      </c>
      <c r="I434">
        <v>18586</v>
      </c>
      <c r="J434">
        <v>18707</v>
      </c>
      <c r="K434">
        <v>18827</v>
      </c>
      <c r="L434">
        <v>18938</v>
      </c>
      <c r="M434">
        <v>19049</v>
      </c>
      <c r="N434" t="s">
        <v>988</v>
      </c>
    </row>
    <row r="435" spans="1:14" hidden="1" x14ac:dyDescent="0.3">
      <c r="A435">
        <v>376</v>
      </c>
      <c r="B435" t="s">
        <v>1342</v>
      </c>
      <c r="C435" t="s">
        <v>2670</v>
      </c>
      <c r="D435" t="s">
        <v>1203</v>
      </c>
      <c r="E435" t="s">
        <v>1204</v>
      </c>
      <c r="F435">
        <v>5548</v>
      </c>
      <c r="G435" t="s">
        <v>2675</v>
      </c>
      <c r="H435" t="s">
        <v>2664</v>
      </c>
      <c r="I435">
        <v>18559</v>
      </c>
      <c r="J435">
        <v>18559</v>
      </c>
      <c r="K435">
        <v>18559</v>
      </c>
      <c r="L435">
        <v>18559</v>
      </c>
      <c r="N435" t="s">
        <v>988</v>
      </c>
    </row>
    <row r="436" spans="1:14" hidden="1" x14ac:dyDescent="0.3">
      <c r="A436">
        <v>376</v>
      </c>
      <c r="B436" t="s">
        <v>1342</v>
      </c>
      <c r="C436" t="s">
        <v>2670</v>
      </c>
      <c r="D436" t="s">
        <v>1203</v>
      </c>
      <c r="E436" t="s">
        <v>1204</v>
      </c>
      <c r="F436">
        <v>5548</v>
      </c>
      <c r="G436" t="s">
        <v>2676</v>
      </c>
      <c r="H436" t="s">
        <v>2664</v>
      </c>
      <c r="I436">
        <v>18586</v>
      </c>
      <c r="J436">
        <v>18707</v>
      </c>
      <c r="K436">
        <v>18827</v>
      </c>
      <c r="L436">
        <v>18938</v>
      </c>
      <c r="M436">
        <v>19049</v>
      </c>
      <c r="N436" t="s">
        <v>988</v>
      </c>
    </row>
    <row r="437" spans="1:14" hidden="1" x14ac:dyDescent="0.3">
      <c r="A437">
        <v>376</v>
      </c>
      <c r="B437" t="s">
        <v>1342</v>
      </c>
      <c r="C437" t="s">
        <v>2670</v>
      </c>
      <c r="D437" t="s">
        <v>1203</v>
      </c>
      <c r="E437" t="s">
        <v>1204</v>
      </c>
      <c r="F437">
        <v>5548</v>
      </c>
      <c r="G437" t="s">
        <v>2673</v>
      </c>
      <c r="H437" t="s">
        <v>2665</v>
      </c>
      <c r="I437">
        <v>14078</v>
      </c>
      <c r="J437">
        <v>14169</v>
      </c>
      <c r="K437">
        <v>14255</v>
      </c>
      <c r="L437">
        <v>14339</v>
      </c>
      <c r="N437" t="s">
        <v>988</v>
      </c>
    </row>
    <row r="438" spans="1:14" hidden="1" x14ac:dyDescent="0.3">
      <c r="A438">
        <v>376</v>
      </c>
      <c r="B438" t="s">
        <v>1342</v>
      </c>
      <c r="C438" t="s">
        <v>2670</v>
      </c>
      <c r="D438" t="s">
        <v>1203</v>
      </c>
      <c r="E438" t="s">
        <v>1204</v>
      </c>
      <c r="F438">
        <v>5548</v>
      </c>
      <c r="G438" t="s">
        <v>2673</v>
      </c>
      <c r="H438" t="s">
        <v>2664</v>
      </c>
      <c r="I438">
        <v>18559</v>
      </c>
      <c r="J438">
        <v>18559</v>
      </c>
      <c r="K438">
        <v>18559</v>
      </c>
      <c r="L438">
        <v>18559</v>
      </c>
      <c r="N438" t="s">
        <v>988</v>
      </c>
    </row>
    <row r="439" spans="1:14" hidden="1" x14ac:dyDescent="0.3">
      <c r="A439">
        <v>376</v>
      </c>
      <c r="B439" t="s">
        <v>1342</v>
      </c>
      <c r="C439" t="s">
        <v>2670</v>
      </c>
      <c r="D439" t="s">
        <v>1203</v>
      </c>
      <c r="E439" t="s">
        <v>1204</v>
      </c>
      <c r="F439">
        <v>5548</v>
      </c>
      <c r="G439" t="s">
        <v>2672</v>
      </c>
      <c r="H439" t="s">
        <v>2665</v>
      </c>
      <c r="N439" t="s">
        <v>988</v>
      </c>
    </row>
    <row r="440" spans="1:14" hidden="1" x14ac:dyDescent="0.3">
      <c r="A440">
        <v>376</v>
      </c>
      <c r="B440" t="s">
        <v>1342</v>
      </c>
      <c r="C440" t="s">
        <v>2670</v>
      </c>
      <c r="D440" t="s">
        <v>1203</v>
      </c>
      <c r="E440" t="s">
        <v>1204</v>
      </c>
      <c r="F440">
        <v>5548</v>
      </c>
      <c r="G440" t="s">
        <v>2674</v>
      </c>
      <c r="H440" t="s">
        <v>2664</v>
      </c>
      <c r="I440">
        <v>18559</v>
      </c>
      <c r="J440">
        <v>18559</v>
      </c>
      <c r="K440">
        <v>18559</v>
      </c>
      <c r="L440">
        <v>18559</v>
      </c>
      <c r="N440" t="s">
        <v>988</v>
      </c>
    </row>
    <row r="441" spans="1:14" hidden="1" x14ac:dyDescent="0.3">
      <c r="A441">
        <v>376</v>
      </c>
      <c r="B441" t="s">
        <v>1342</v>
      </c>
      <c r="C441" t="s">
        <v>2670</v>
      </c>
      <c r="D441" t="s">
        <v>1203</v>
      </c>
      <c r="E441" t="s">
        <v>1204</v>
      </c>
      <c r="F441">
        <v>5548</v>
      </c>
      <c r="G441" t="s">
        <v>2675</v>
      </c>
      <c r="H441" t="s">
        <v>2665</v>
      </c>
      <c r="I441">
        <v>17863</v>
      </c>
      <c r="J441">
        <v>17979</v>
      </c>
      <c r="K441">
        <v>18093</v>
      </c>
      <c r="L441">
        <v>18200</v>
      </c>
      <c r="N441" t="s">
        <v>988</v>
      </c>
    </row>
    <row r="442" spans="1:14" hidden="1" x14ac:dyDescent="0.3">
      <c r="A442">
        <v>376</v>
      </c>
      <c r="B442" t="s">
        <v>1342</v>
      </c>
      <c r="C442" t="s">
        <v>2670</v>
      </c>
      <c r="D442" t="s">
        <v>1203</v>
      </c>
      <c r="E442" t="s">
        <v>1204</v>
      </c>
      <c r="F442">
        <v>5548</v>
      </c>
      <c r="G442" t="s">
        <v>2671</v>
      </c>
      <c r="H442" t="s">
        <v>2664</v>
      </c>
      <c r="I442">
        <v>18559</v>
      </c>
      <c r="J442">
        <v>18559</v>
      </c>
      <c r="K442">
        <v>18559</v>
      </c>
      <c r="L442">
        <v>18559</v>
      </c>
      <c r="N442" t="s">
        <v>988</v>
      </c>
    </row>
    <row r="443" spans="1:14" hidden="1" x14ac:dyDescent="0.3">
      <c r="A443">
        <v>376</v>
      </c>
      <c r="B443" t="s">
        <v>1342</v>
      </c>
      <c r="C443" t="s">
        <v>2670</v>
      </c>
      <c r="D443" t="s">
        <v>1203</v>
      </c>
      <c r="E443" t="s">
        <v>1204</v>
      </c>
      <c r="F443">
        <v>5548</v>
      </c>
      <c r="G443" t="s">
        <v>2671</v>
      </c>
      <c r="H443" t="s">
        <v>2665</v>
      </c>
      <c r="I443">
        <v>15352</v>
      </c>
      <c r="J443">
        <v>15451</v>
      </c>
      <c r="K443">
        <v>15544</v>
      </c>
      <c r="L443">
        <v>15635</v>
      </c>
      <c r="N443" t="s">
        <v>988</v>
      </c>
    </row>
    <row r="444" spans="1:14" hidden="1" x14ac:dyDescent="0.3">
      <c r="A444">
        <v>376</v>
      </c>
      <c r="B444" t="s">
        <v>1342</v>
      </c>
      <c r="C444" t="s">
        <v>2670</v>
      </c>
      <c r="D444" t="s">
        <v>1203</v>
      </c>
      <c r="E444" t="s">
        <v>1204</v>
      </c>
      <c r="F444">
        <v>5548</v>
      </c>
      <c r="G444" t="s">
        <v>2672</v>
      </c>
      <c r="H444" t="s">
        <v>2664</v>
      </c>
      <c r="N444" t="s">
        <v>988</v>
      </c>
    </row>
    <row r="445" spans="1:14" hidden="1" x14ac:dyDescent="0.3">
      <c r="A445">
        <v>376</v>
      </c>
      <c r="B445" t="s">
        <v>1342</v>
      </c>
      <c r="C445" t="s">
        <v>2670</v>
      </c>
      <c r="D445" t="s">
        <v>1203</v>
      </c>
      <c r="E445" t="s">
        <v>1204</v>
      </c>
      <c r="F445">
        <v>5548</v>
      </c>
      <c r="G445" t="s">
        <v>2674</v>
      </c>
      <c r="H445" t="s">
        <v>2665</v>
      </c>
      <c r="I445">
        <v>14714</v>
      </c>
      <c r="J445">
        <v>14810</v>
      </c>
      <c r="K445">
        <v>14902</v>
      </c>
      <c r="L445">
        <v>14990</v>
      </c>
      <c r="N445" t="s">
        <v>988</v>
      </c>
    </row>
    <row r="446" spans="1:14" hidden="1" x14ac:dyDescent="0.3">
      <c r="A446">
        <v>384</v>
      </c>
      <c r="B446" t="s">
        <v>1343</v>
      </c>
      <c r="C446" t="s">
        <v>2670</v>
      </c>
      <c r="D446" t="s">
        <v>1203</v>
      </c>
      <c r="E446" t="s">
        <v>1204</v>
      </c>
      <c r="F446">
        <v>5848</v>
      </c>
      <c r="G446" t="s">
        <v>2672</v>
      </c>
      <c r="H446" t="s">
        <v>2665</v>
      </c>
      <c r="N446" t="s">
        <v>988</v>
      </c>
    </row>
    <row r="447" spans="1:14" hidden="1" x14ac:dyDescent="0.3">
      <c r="A447">
        <v>384</v>
      </c>
      <c r="B447" t="s">
        <v>1343</v>
      </c>
      <c r="C447" t="s">
        <v>2670</v>
      </c>
      <c r="D447" t="s">
        <v>1203</v>
      </c>
      <c r="E447" t="s">
        <v>1204</v>
      </c>
      <c r="F447">
        <v>5848</v>
      </c>
      <c r="G447" t="s">
        <v>2676</v>
      </c>
      <c r="H447" t="s">
        <v>2664</v>
      </c>
      <c r="I447">
        <v>726</v>
      </c>
      <c r="J447">
        <v>706</v>
      </c>
      <c r="K447">
        <v>711</v>
      </c>
      <c r="L447">
        <v>716</v>
      </c>
      <c r="M447">
        <v>723</v>
      </c>
      <c r="N447" t="s">
        <v>988</v>
      </c>
    </row>
    <row r="448" spans="1:14" hidden="1" x14ac:dyDescent="0.3">
      <c r="A448">
        <v>384</v>
      </c>
      <c r="B448" t="s">
        <v>1343</v>
      </c>
      <c r="C448" t="s">
        <v>2670</v>
      </c>
      <c r="D448" t="s">
        <v>1203</v>
      </c>
      <c r="E448" t="s">
        <v>1204</v>
      </c>
      <c r="F448">
        <v>5848</v>
      </c>
      <c r="G448" t="s">
        <v>2672</v>
      </c>
      <c r="H448" t="s">
        <v>2664</v>
      </c>
      <c r="N448" t="s">
        <v>988</v>
      </c>
    </row>
    <row r="449" spans="1:14" hidden="1" x14ac:dyDescent="0.3">
      <c r="A449">
        <v>384</v>
      </c>
      <c r="B449" t="s">
        <v>1343</v>
      </c>
      <c r="C449" t="s">
        <v>2670</v>
      </c>
      <c r="D449" t="s">
        <v>1203</v>
      </c>
      <c r="E449" t="s">
        <v>1204</v>
      </c>
      <c r="F449">
        <v>5848</v>
      </c>
      <c r="G449" t="s">
        <v>2671</v>
      </c>
      <c r="H449" t="s">
        <v>2665</v>
      </c>
      <c r="I449">
        <v>726</v>
      </c>
      <c r="J449">
        <v>706</v>
      </c>
      <c r="K449">
        <v>711</v>
      </c>
      <c r="L449">
        <v>716</v>
      </c>
      <c r="M449">
        <v>723</v>
      </c>
      <c r="N449" t="s">
        <v>988</v>
      </c>
    </row>
    <row r="450" spans="1:14" hidden="1" x14ac:dyDescent="0.3">
      <c r="A450">
        <v>384</v>
      </c>
      <c r="B450" t="s">
        <v>1343</v>
      </c>
      <c r="C450" t="s">
        <v>2670</v>
      </c>
      <c r="D450" t="s">
        <v>1203</v>
      </c>
      <c r="E450" t="s">
        <v>1204</v>
      </c>
      <c r="F450">
        <v>5848</v>
      </c>
      <c r="G450" t="s">
        <v>2671</v>
      </c>
      <c r="H450" t="s">
        <v>2664</v>
      </c>
      <c r="I450">
        <v>726</v>
      </c>
      <c r="J450">
        <v>706</v>
      </c>
      <c r="K450">
        <v>711</v>
      </c>
      <c r="L450">
        <v>716</v>
      </c>
      <c r="M450">
        <v>723</v>
      </c>
      <c r="N450" t="s">
        <v>988</v>
      </c>
    </row>
    <row r="451" spans="1:14" hidden="1" x14ac:dyDescent="0.3">
      <c r="A451">
        <v>384</v>
      </c>
      <c r="B451" t="s">
        <v>1343</v>
      </c>
      <c r="C451" t="s">
        <v>2670</v>
      </c>
      <c r="D451" t="s">
        <v>1203</v>
      </c>
      <c r="E451" t="s">
        <v>1204</v>
      </c>
      <c r="F451">
        <v>5848</v>
      </c>
      <c r="G451" t="s">
        <v>2676</v>
      </c>
      <c r="H451" t="s">
        <v>2665</v>
      </c>
      <c r="I451">
        <v>726</v>
      </c>
      <c r="J451">
        <v>706</v>
      </c>
      <c r="K451">
        <v>711</v>
      </c>
      <c r="L451">
        <v>716</v>
      </c>
      <c r="M451">
        <v>723</v>
      </c>
      <c r="N451" t="s">
        <v>988</v>
      </c>
    </row>
    <row r="452" spans="1:14" hidden="1" x14ac:dyDescent="0.3">
      <c r="A452">
        <v>384</v>
      </c>
      <c r="B452" t="s">
        <v>1343</v>
      </c>
      <c r="C452" t="s">
        <v>2670</v>
      </c>
      <c r="D452" t="s">
        <v>1203</v>
      </c>
      <c r="E452" t="s">
        <v>1204</v>
      </c>
      <c r="F452">
        <v>5848</v>
      </c>
      <c r="G452" t="s">
        <v>2673</v>
      </c>
      <c r="H452" t="s">
        <v>2664</v>
      </c>
      <c r="I452">
        <v>726</v>
      </c>
      <c r="J452">
        <v>706</v>
      </c>
      <c r="K452">
        <v>711</v>
      </c>
      <c r="L452">
        <v>716</v>
      </c>
      <c r="M452">
        <v>723</v>
      </c>
      <c r="N452" t="s">
        <v>988</v>
      </c>
    </row>
    <row r="453" spans="1:14" hidden="1" x14ac:dyDescent="0.3">
      <c r="A453">
        <v>384</v>
      </c>
      <c r="B453" t="s">
        <v>1343</v>
      </c>
      <c r="C453" t="s">
        <v>2670</v>
      </c>
      <c r="D453" t="s">
        <v>1203</v>
      </c>
      <c r="E453" t="s">
        <v>1204</v>
      </c>
      <c r="F453">
        <v>5848</v>
      </c>
      <c r="G453" t="s">
        <v>2674</v>
      </c>
      <c r="H453" t="s">
        <v>2665</v>
      </c>
      <c r="I453">
        <v>726</v>
      </c>
      <c r="J453">
        <v>706</v>
      </c>
      <c r="K453">
        <v>711</v>
      </c>
      <c r="L453">
        <v>716</v>
      </c>
      <c r="M453">
        <v>723</v>
      </c>
      <c r="N453" t="s">
        <v>988</v>
      </c>
    </row>
    <row r="454" spans="1:14" hidden="1" x14ac:dyDescent="0.3">
      <c r="A454">
        <v>384</v>
      </c>
      <c r="B454" t="s">
        <v>1343</v>
      </c>
      <c r="C454" t="s">
        <v>2670</v>
      </c>
      <c r="D454" t="s">
        <v>1203</v>
      </c>
      <c r="E454" t="s">
        <v>1204</v>
      </c>
      <c r="F454">
        <v>5848</v>
      </c>
      <c r="G454" t="s">
        <v>2674</v>
      </c>
      <c r="H454" t="s">
        <v>2664</v>
      </c>
      <c r="I454">
        <v>726</v>
      </c>
      <c r="J454">
        <v>706</v>
      </c>
      <c r="K454">
        <v>711</v>
      </c>
      <c r="L454">
        <v>716</v>
      </c>
      <c r="M454">
        <v>723</v>
      </c>
      <c r="N454" t="s">
        <v>988</v>
      </c>
    </row>
    <row r="455" spans="1:14" hidden="1" x14ac:dyDescent="0.3">
      <c r="A455">
        <v>384</v>
      </c>
      <c r="B455" t="s">
        <v>1343</v>
      </c>
      <c r="C455" t="s">
        <v>2670</v>
      </c>
      <c r="D455" t="s">
        <v>1203</v>
      </c>
      <c r="E455" t="s">
        <v>1204</v>
      </c>
      <c r="F455">
        <v>5848</v>
      </c>
      <c r="G455" t="s">
        <v>2675</v>
      </c>
      <c r="H455" t="s">
        <v>2665</v>
      </c>
      <c r="I455">
        <v>726</v>
      </c>
      <c r="J455">
        <v>706</v>
      </c>
      <c r="K455">
        <v>711</v>
      </c>
      <c r="L455">
        <v>716</v>
      </c>
      <c r="M455">
        <v>723</v>
      </c>
      <c r="N455" t="s">
        <v>988</v>
      </c>
    </row>
    <row r="456" spans="1:14" hidden="1" x14ac:dyDescent="0.3">
      <c r="A456">
        <v>384</v>
      </c>
      <c r="B456" t="s">
        <v>1343</v>
      </c>
      <c r="C456" t="s">
        <v>2670</v>
      </c>
      <c r="D456" t="s">
        <v>1203</v>
      </c>
      <c r="E456" t="s">
        <v>1204</v>
      </c>
      <c r="F456">
        <v>5848</v>
      </c>
      <c r="G456" t="s">
        <v>2675</v>
      </c>
      <c r="H456" t="s">
        <v>2664</v>
      </c>
      <c r="I456">
        <v>726</v>
      </c>
      <c r="J456">
        <v>706</v>
      </c>
      <c r="K456">
        <v>711</v>
      </c>
      <c r="L456">
        <v>716</v>
      </c>
      <c r="M456">
        <v>723</v>
      </c>
      <c r="N456" t="s">
        <v>988</v>
      </c>
    </row>
    <row r="457" spans="1:14" hidden="1" x14ac:dyDescent="0.3">
      <c r="A457">
        <v>384</v>
      </c>
      <c r="B457" t="s">
        <v>1343</v>
      </c>
      <c r="C457" t="s">
        <v>2670</v>
      </c>
      <c r="D457" t="s">
        <v>1203</v>
      </c>
      <c r="E457" t="s">
        <v>1204</v>
      </c>
      <c r="F457">
        <v>5848</v>
      </c>
      <c r="G457" t="s">
        <v>2673</v>
      </c>
      <c r="H457" t="s">
        <v>2665</v>
      </c>
      <c r="I457">
        <v>726</v>
      </c>
      <c r="J457">
        <v>706</v>
      </c>
      <c r="K457">
        <v>711</v>
      </c>
      <c r="L457">
        <v>716</v>
      </c>
      <c r="M457">
        <v>723</v>
      </c>
      <c r="N457" t="s">
        <v>988</v>
      </c>
    </row>
    <row r="458" spans="1:14" hidden="1" x14ac:dyDescent="0.3">
      <c r="A458">
        <v>386</v>
      </c>
      <c r="B458" t="s">
        <v>1345</v>
      </c>
      <c r="C458" t="s">
        <v>2670</v>
      </c>
      <c r="D458" t="s">
        <v>1203</v>
      </c>
      <c r="E458" t="s">
        <v>1204</v>
      </c>
      <c r="F458">
        <v>5850</v>
      </c>
      <c r="G458" t="s">
        <v>2673</v>
      </c>
      <c r="H458" t="s">
        <v>2664</v>
      </c>
      <c r="I458">
        <v>62188</v>
      </c>
      <c r="J458">
        <v>64504</v>
      </c>
      <c r="K458">
        <v>67318</v>
      </c>
      <c r="L458">
        <v>69860</v>
      </c>
      <c r="M458">
        <v>72382</v>
      </c>
      <c r="N458" t="s">
        <v>988</v>
      </c>
    </row>
    <row r="459" spans="1:14" hidden="1" x14ac:dyDescent="0.3">
      <c r="A459">
        <v>386</v>
      </c>
      <c r="B459" t="s">
        <v>1345</v>
      </c>
      <c r="C459" t="s">
        <v>2670</v>
      </c>
      <c r="D459" t="s">
        <v>1203</v>
      </c>
      <c r="E459" t="s">
        <v>1204</v>
      </c>
      <c r="F459">
        <v>5850</v>
      </c>
      <c r="G459" t="s">
        <v>2676</v>
      </c>
      <c r="H459" t="s">
        <v>2664</v>
      </c>
      <c r="I459">
        <v>62188</v>
      </c>
      <c r="J459">
        <v>64504</v>
      </c>
      <c r="K459">
        <v>67318</v>
      </c>
      <c r="L459">
        <v>69860</v>
      </c>
      <c r="M459">
        <v>72382</v>
      </c>
      <c r="N459" t="s">
        <v>988</v>
      </c>
    </row>
    <row r="460" spans="1:14" hidden="1" x14ac:dyDescent="0.3">
      <c r="A460">
        <v>386</v>
      </c>
      <c r="B460" t="s">
        <v>1345</v>
      </c>
      <c r="C460" t="s">
        <v>2670</v>
      </c>
      <c r="D460" t="s">
        <v>1203</v>
      </c>
      <c r="E460" t="s">
        <v>1204</v>
      </c>
      <c r="F460">
        <v>5850</v>
      </c>
      <c r="G460" t="s">
        <v>2676</v>
      </c>
      <c r="H460" t="s">
        <v>2665</v>
      </c>
      <c r="I460">
        <v>62188</v>
      </c>
      <c r="J460">
        <v>64504</v>
      </c>
      <c r="K460">
        <v>67318</v>
      </c>
      <c r="L460">
        <v>69860</v>
      </c>
      <c r="M460">
        <v>72382</v>
      </c>
      <c r="N460" t="s">
        <v>988</v>
      </c>
    </row>
    <row r="461" spans="1:14" hidden="1" x14ac:dyDescent="0.3">
      <c r="A461">
        <v>386</v>
      </c>
      <c r="B461" t="s">
        <v>1345</v>
      </c>
      <c r="C461" t="s">
        <v>2670</v>
      </c>
      <c r="D461" t="s">
        <v>1203</v>
      </c>
      <c r="E461" t="s">
        <v>1204</v>
      </c>
      <c r="F461">
        <v>5850</v>
      </c>
      <c r="G461" t="s">
        <v>2675</v>
      </c>
      <c r="H461" t="s">
        <v>2664</v>
      </c>
      <c r="I461">
        <v>62188</v>
      </c>
      <c r="J461">
        <v>64504</v>
      </c>
      <c r="K461">
        <v>67318</v>
      </c>
      <c r="L461">
        <v>69860</v>
      </c>
      <c r="M461">
        <v>72382</v>
      </c>
      <c r="N461" t="s">
        <v>988</v>
      </c>
    </row>
    <row r="462" spans="1:14" hidden="1" x14ac:dyDescent="0.3">
      <c r="A462">
        <v>386</v>
      </c>
      <c r="B462" t="s">
        <v>1345</v>
      </c>
      <c r="C462" t="s">
        <v>2670</v>
      </c>
      <c r="D462" t="s">
        <v>1203</v>
      </c>
      <c r="E462" t="s">
        <v>1204</v>
      </c>
      <c r="F462">
        <v>5850</v>
      </c>
      <c r="G462" t="s">
        <v>2675</v>
      </c>
      <c r="H462" t="s">
        <v>2665</v>
      </c>
      <c r="I462">
        <v>62188</v>
      </c>
      <c r="J462">
        <v>64504</v>
      </c>
      <c r="K462">
        <v>67318</v>
      </c>
      <c r="L462">
        <v>69860</v>
      </c>
      <c r="M462">
        <v>72382</v>
      </c>
      <c r="N462" t="s">
        <v>988</v>
      </c>
    </row>
    <row r="463" spans="1:14" hidden="1" x14ac:dyDescent="0.3">
      <c r="A463">
        <v>386</v>
      </c>
      <c r="B463" t="s">
        <v>1345</v>
      </c>
      <c r="C463" t="s">
        <v>2670</v>
      </c>
      <c r="D463" t="s">
        <v>1203</v>
      </c>
      <c r="E463" t="s">
        <v>1204</v>
      </c>
      <c r="F463">
        <v>5850</v>
      </c>
      <c r="G463" t="s">
        <v>2674</v>
      </c>
      <c r="H463" t="s">
        <v>2664</v>
      </c>
      <c r="I463">
        <v>62188</v>
      </c>
      <c r="J463">
        <v>64504</v>
      </c>
      <c r="K463">
        <v>67318</v>
      </c>
      <c r="L463">
        <v>69860</v>
      </c>
      <c r="M463">
        <v>72382</v>
      </c>
      <c r="N463" t="s">
        <v>988</v>
      </c>
    </row>
    <row r="464" spans="1:14" hidden="1" x14ac:dyDescent="0.3">
      <c r="A464">
        <v>386</v>
      </c>
      <c r="B464" t="s">
        <v>1345</v>
      </c>
      <c r="C464" t="s">
        <v>2670</v>
      </c>
      <c r="D464" t="s">
        <v>1203</v>
      </c>
      <c r="E464" t="s">
        <v>1204</v>
      </c>
      <c r="F464">
        <v>5850</v>
      </c>
      <c r="G464" t="s">
        <v>2674</v>
      </c>
      <c r="H464" t="s">
        <v>2665</v>
      </c>
      <c r="I464">
        <v>62188</v>
      </c>
      <c r="J464">
        <v>64504</v>
      </c>
      <c r="K464">
        <v>67318</v>
      </c>
      <c r="L464">
        <v>69860</v>
      </c>
      <c r="M464">
        <v>72382</v>
      </c>
      <c r="N464" t="s">
        <v>988</v>
      </c>
    </row>
    <row r="465" spans="1:14" hidden="1" x14ac:dyDescent="0.3">
      <c r="A465">
        <v>386</v>
      </c>
      <c r="B465" t="s">
        <v>1345</v>
      </c>
      <c r="C465" t="s">
        <v>2670</v>
      </c>
      <c r="D465" t="s">
        <v>1203</v>
      </c>
      <c r="E465" t="s">
        <v>1204</v>
      </c>
      <c r="F465">
        <v>5850</v>
      </c>
      <c r="G465" t="s">
        <v>2673</v>
      </c>
      <c r="H465" t="s">
        <v>2665</v>
      </c>
      <c r="I465">
        <v>62188</v>
      </c>
      <c r="J465">
        <v>64504</v>
      </c>
      <c r="K465">
        <v>67318</v>
      </c>
      <c r="L465">
        <v>69860</v>
      </c>
      <c r="M465">
        <v>72382</v>
      </c>
      <c r="N465" t="s">
        <v>988</v>
      </c>
    </row>
    <row r="466" spans="1:14" hidden="1" x14ac:dyDescent="0.3">
      <c r="A466">
        <v>386</v>
      </c>
      <c r="B466" t="s">
        <v>1345</v>
      </c>
      <c r="C466" t="s">
        <v>2670</v>
      </c>
      <c r="D466" t="s">
        <v>1203</v>
      </c>
      <c r="E466" t="s">
        <v>1204</v>
      </c>
      <c r="F466">
        <v>5850</v>
      </c>
      <c r="G466" t="s">
        <v>2671</v>
      </c>
      <c r="H466" t="s">
        <v>2664</v>
      </c>
      <c r="I466">
        <v>62188</v>
      </c>
      <c r="J466">
        <v>64504</v>
      </c>
      <c r="K466">
        <v>67318</v>
      </c>
      <c r="L466">
        <v>69860</v>
      </c>
      <c r="M466">
        <v>72382</v>
      </c>
      <c r="N466" t="s">
        <v>988</v>
      </c>
    </row>
    <row r="467" spans="1:14" hidden="1" x14ac:dyDescent="0.3">
      <c r="A467">
        <v>386</v>
      </c>
      <c r="B467" t="s">
        <v>1345</v>
      </c>
      <c r="C467" t="s">
        <v>2670</v>
      </c>
      <c r="D467" t="s">
        <v>1203</v>
      </c>
      <c r="E467" t="s">
        <v>1204</v>
      </c>
      <c r="F467">
        <v>5850</v>
      </c>
      <c r="G467" t="s">
        <v>2671</v>
      </c>
      <c r="H467" t="s">
        <v>2665</v>
      </c>
      <c r="I467">
        <v>62188</v>
      </c>
      <c r="J467">
        <v>64504</v>
      </c>
      <c r="K467">
        <v>67318</v>
      </c>
      <c r="L467">
        <v>69860</v>
      </c>
      <c r="M467">
        <v>72382</v>
      </c>
      <c r="N467" t="s">
        <v>988</v>
      </c>
    </row>
    <row r="468" spans="1:14" hidden="1" x14ac:dyDescent="0.3">
      <c r="A468">
        <v>386</v>
      </c>
      <c r="B468" t="s">
        <v>1345</v>
      </c>
      <c r="C468" t="s">
        <v>2670</v>
      </c>
      <c r="D468" t="s">
        <v>1203</v>
      </c>
      <c r="E468" t="s">
        <v>1204</v>
      </c>
      <c r="F468">
        <v>5850</v>
      </c>
      <c r="G468" t="s">
        <v>2672</v>
      </c>
      <c r="H468" t="s">
        <v>2664</v>
      </c>
      <c r="N468" t="s">
        <v>988</v>
      </c>
    </row>
    <row r="469" spans="1:14" hidden="1" x14ac:dyDescent="0.3">
      <c r="A469">
        <v>386</v>
      </c>
      <c r="B469" t="s">
        <v>1345</v>
      </c>
      <c r="C469" t="s">
        <v>2670</v>
      </c>
      <c r="D469" t="s">
        <v>1203</v>
      </c>
      <c r="E469" t="s">
        <v>1204</v>
      </c>
      <c r="F469">
        <v>5850</v>
      </c>
      <c r="G469" t="s">
        <v>2672</v>
      </c>
      <c r="H469" t="s">
        <v>2665</v>
      </c>
      <c r="N469" t="s">
        <v>988</v>
      </c>
    </row>
    <row r="470" spans="1:14" hidden="1" x14ac:dyDescent="0.3">
      <c r="A470">
        <v>387</v>
      </c>
      <c r="B470" t="s">
        <v>1347</v>
      </c>
      <c r="C470" t="s">
        <v>2670</v>
      </c>
      <c r="D470" t="s">
        <v>1203</v>
      </c>
      <c r="E470" t="s">
        <v>1204</v>
      </c>
      <c r="F470">
        <v>5849</v>
      </c>
      <c r="G470" t="s">
        <v>2673</v>
      </c>
      <c r="H470" t="s">
        <v>2664</v>
      </c>
      <c r="I470">
        <v>7534.308</v>
      </c>
      <c r="J470">
        <v>7477.473</v>
      </c>
      <c r="K470">
        <v>7359.5739999999996</v>
      </c>
      <c r="L470">
        <v>6513.7349999999997</v>
      </c>
      <c r="M470">
        <v>6251.8559999999998</v>
      </c>
      <c r="N470" t="s">
        <v>988</v>
      </c>
    </row>
    <row r="471" spans="1:14" hidden="1" x14ac:dyDescent="0.3">
      <c r="A471">
        <v>387</v>
      </c>
      <c r="B471" t="s">
        <v>1347</v>
      </c>
      <c r="C471" t="s">
        <v>2670</v>
      </c>
      <c r="D471" t="s">
        <v>1203</v>
      </c>
      <c r="E471" t="s">
        <v>1204</v>
      </c>
      <c r="F471">
        <v>5849</v>
      </c>
      <c r="G471" t="s">
        <v>2673</v>
      </c>
      <c r="H471" t="s">
        <v>2665</v>
      </c>
      <c r="I471">
        <v>13698.742</v>
      </c>
      <c r="J471">
        <v>13595.406000000001</v>
      </c>
      <c r="K471">
        <v>13628.841</v>
      </c>
      <c r="L471">
        <v>13570.28</v>
      </c>
      <c r="M471">
        <v>13590.992</v>
      </c>
      <c r="N471" t="s">
        <v>988</v>
      </c>
    </row>
    <row r="472" spans="1:14" hidden="1" x14ac:dyDescent="0.3">
      <c r="A472">
        <v>387</v>
      </c>
      <c r="B472" t="s">
        <v>1347</v>
      </c>
      <c r="C472" t="s">
        <v>2670</v>
      </c>
      <c r="D472" t="s">
        <v>1203</v>
      </c>
      <c r="E472" t="s">
        <v>1204</v>
      </c>
      <c r="F472">
        <v>5849</v>
      </c>
      <c r="G472" t="s">
        <v>2671</v>
      </c>
      <c r="H472" t="s">
        <v>2664</v>
      </c>
      <c r="I472">
        <v>7534.308</v>
      </c>
      <c r="J472">
        <v>7477.473</v>
      </c>
      <c r="K472">
        <v>6814.4210000000003</v>
      </c>
      <c r="L472">
        <v>6513.7349999999997</v>
      </c>
      <c r="M472">
        <v>6251.8559999999998</v>
      </c>
      <c r="N472" t="s">
        <v>988</v>
      </c>
    </row>
    <row r="473" spans="1:14" hidden="1" x14ac:dyDescent="0.3">
      <c r="A473">
        <v>387</v>
      </c>
      <c r="B473" t="s">
        <v>1347</v>
      </c>
      <c r="C473" t="s">
        <v>2670</v>
      </c>
      <c r="D473" t="s">
        <v>1203</v>
      </c>
      <c r="E473" t="s">
        <v>1204</v>
      </c>
      <c r="F473">
        <v>5849</v>
      </c>
      <c r="G473" t="s">
        <v>2671</v>
      </c>
      <c r="H473" t="s">
        <v>2665</v>
      </c>
      <c r="I473">
        <v>13698.742</v>
      </c>
      <c r="J473">
        <v>13595.406000000001</v>
      </c>
      <c r="K473">
        <v>13628.841</v>
      </c>
      <c r="L473">
        <v>13570.28</v>
      </c>
      <c r="M473">
        <v>13590.992</v>
      </c>
      <c r="N473" t="s">
        <v>988</v>
      </c>
    </row>
    <row r="474" spans="1:14" hidden="1" x14ac:dyDescent="0.3">
      <c r="A474">
        <v>387</v>
      </c>
      <c r="B474" t="s">
        <v>1347</v>
      </c>
      <c r="C474" t="s">
        <v>2670</v>
      </c>
      <c r="D474" t="s">
        <v>1203</v>
      </c>
      <c r="E474" t="s">
        <v>1204</v>
      </c>
      <c r="F474">
        <v>5849</v>
      </c>
      <c r="G474" t="s">
        <v>2672</v>
      </c>
      <c r="H474" t="s">
        <v>2664</v>
      </c>
      <c r="N474" t="s">
        <v>988</v>
      </c>
    </row>
    <row r="475" spans="1:14" hidden="1" x14ac:dyDescent="0.3">
      <c r="A475">
        <v>387</v>
      </c>
      <c r="B475" t="s">
        <v>1347</v>
      </c>
      <c r="C475" t="s">
        <v>2670</v>
      </c>
      <c r="D475" t="s">
        <v>1203</v>
      </c>
      <c r="E475" t="s">
        <v>1204</v>
      </c>
      <c r="F475">
        <v>5849</v>
      </c>
      <c r="G475" t="s">
        <v>2672</v>
      </c>
      <c r="H475" t="s">
        <v>2665</v>
      </c>
      <c r="N475" t="s">
        <v>988</v>
      </c>
    </row>
    <row r="476" spans="1:14" hidden="1" x14ac:dyDescent="0.3">
      <c r="A476">
        <v>387</v>
      </c>
      <c r="B476" t="s">
        <v>1347</v>
      </c>
      <c r="C476" t="s">
        <v>2670</v>
      </c>
      <c r="D476" t="s">
        <v>1203</v>
      </c>
      <c r="E476" t="s">
        <v>1204</v>
      </c>
      <c r="F476">
        <v>5849</v>
      </c>
      <c r="G476" t="s">
        <v>2674</v>
      </c>
      <c r="H476" t="s">
        <v>2664</v>
      </c>
      <c r="I476">
        <v>7534.308</v>
      </c>
      <c r="J476">
        <v>7477.473</v>
      </c>
      <c r="K476">
        <v>7359.5739999999996</v>
      </c>
      <c r="L476">
        <v>7327.951</v>
      </c>
      <c r="M476">
        <v>7339.1350000000002</v>
      </c>
      <c r="N476" t="s">
        <v>988</v>
      </c>
    </row>
    <row r="477" spans="1:14" hidden="1" x14ac:dyDescent="0.3">
      <c r="A477">
        <v>387</v>
      </c>
      <c r="B477" t="s">
        <v>1347</v>
      </c>
      <c r="C477" t="s">
        <v>2670</v>
      </c>
      <c r="D477" t="s">
        <v>1203</v>
      </c>
      <c r="E477" t="s">
        <v>1204</v>
      </c>
      <c r="F477">
        <v>5849</v>
      </c>
      <c r="G477" t="s">
        <v>2675</v>
      </c>
      <c r="H477" t="s">
        <v>2665</v>
      </c>
      <c r="I477">
        <v>13698.742</v>
      </c>
      <c r="J477">
        <v>13595.406000000001</v>
      </c>
      <c r="K477">
        <v>13628.841</v>
      </c>
      <c r="L477">
        <v>13570.28</v>
      </c>
      <c r="M477">
        <v>13590.992</v>
      </c>
      <c r="N477" t="s">
        <v>988</v>
      </c>
    </row>
    <row r="478" spans="1:14" hidden="1" x14ac:dyDescent="0.3">
      <c r="A478">
        <v>387</v>
      </c>
      <c r="B478" t="s">
        <v>1347</v>
      </c>
      <c r="C478" t="s">
        <v>2670</v>
      </c>
      <c r="D478" t="s">
        <v>1203</v>
      </c>
      <c r="E478" t="s">
        <v>1204</v>
      </c>
      <c r="F478">
        <v>5849</v>
      </c>
      <c r="G478" t="s">
        <v>2675</v>
      </c>
      <c r="H478" t="s">
        <v>2664</v>
      </c>
      <c r="I478">
        <v>7534.308</v>
      </c>
      <c r="J478">
        <v>7477.473</v>
      </c>
      <c r="K478">
        <v>7359.5739999999996</v>
      </c>
      <c r="L478">
        <v>7327.951</v>
      </c>
      <c r="M478">
        <v>7339.1350000000002</v>
      </c>
      <c r="N478" t="s">
        <v>988</v>
      </c>
    </row>
    <row r="479" spans="1:14" hidden="1" x14ac:dyDescent="0.3">
      <c r="A479">
        <v>387</v>
      </c>
      <c r="B479" t="s">
        <v>1347</v>
      </c>
      <c r="C479" t="s">
        <v>2670</v>
      </c>
      <c r="D479" t="s">
        <v>1203</v>
      </c>
      <c r="E479" t="s">
        <v>1204</v>
      </c>
      <c r="F479">
        <v>5849</v>
      </c>
      <c r="G479" t="s">
        <v>2676</v>
      </c>
      <c r="H479" t="s">
        <v>2665</v>
      </c>
      <c r="I479">
        <v>13698.742</v>
      </c>
      <c r="J479">
        <v>13595.406000000001</v>
      </c>
      <c r="K479">
        <v>13628.841</v>
      </c>
      <c r="L479">
        <v>13570.28</v>
      </c>
      <c r="M479">
        <v>13590.992</v>
      </c>
      <c r="N479" t="s">
        <v>988</v>
      </c>
    </row>
    <row r="480" spans="1:14" hidden="1" x14ac:dyDescent="0.3">
      <c r="A480">
        <v>387</v>
      </c>
      <c r="B480" t="s">
        <v>1347</v>
      </c>
      <c r="C480" t="s">
        <v>2670</v>
      </c>
      <c r="D480" t="s">
        <v>1203</v>
      </c>
      <c r="E480" t="s">
        <v>1204</v>
      </c>
      <c r="F480">
        <v>5849</v>
      </c>
      <c r="G480" t="s">
        <v>2676</v>
      </c>
      <c r="H480" t="s">
        <v>2664</v>
      </c>
      <c r="I480">
        <v>8767.1949999999997</v>
      </c>
      <c r="J480">
        <v>8701.06</v>
      </c>
      <c r="K480">
        <v>8722.4590000000007</v>
      </c>
      <c r="L480">
        <v>8549.277</v>
      </c>
      <c r="M480">
        <v>7339.1350000000002</v>
      </c>
      <c r="N480" t="s">
        <v>988</v>
      </c>
    </row>
    <row r="481" spans="1:14" hidden="1" x14ac:dyDescent="0.3">
      <c r="A481">
        <v>387</v>
      </c>
      <c r="B481" t="s">
        <v>1347</v>
      </c>
      <c r="C481" t="s">
        <v>2670</v>
      </c>
      <c r="D481" t="s">
        <v>1203</v>
      </c>
      <c r="E481" t="s">
        <v>1204</v>
      </c>
      <c r="F481">
        <v>5849</v>
      </c>
      <c r="G481" t="s">
        <v>2674</v>
      </c>
      <c r="H481" t="s">
        <v>2665</v>
      </c>
      <c r="I481">
        <v>13698.742</v>
      </c>
      <c r="J481">
        <v>13595.406000000001</v>
      </c>
      <c r="K481">
        <v>13628.841</v>
      </c>
      <c r="L481">
        <v>13570.28</v>
      </c>
      <c r="M481">
        <v>13590.992</v>
      </c>
      <c r="N481" t="s">
        <v>988</v>
      </c>
    </row>
    <row r="482" spans="1:14" hidden="1" x14ac:dyDescent="0.3">
      <c r="A482">
        <v>388</v>
      </c>
      <c r="B482" t="s">
        <v>1348</v>
      </c>
      <c r="C482" t="s">
        <v>2670</v>
      </c>
      <c r="D482" t="s">
        <v>1203</v>
      </c>
      <c r="E482" t="s">
        <v>1204</v>
      </c>
      <c r="F482">
        <v>5851</v>
      </c>
      <c r="G482" t="s">
        <v>2673</v>
      </c>
      <c r="H482" t="s">
        <v>2665</v>
      </c>
      <c r="I482">
        <v>25355</v>
      </c>
      <c r="J482">
        <v>26597</v>
      </c>
      <c r="K482">
        <v>27747</v>
      </c>
      <c r="L482">
        <v>28317</v>
      </c>
      <c r="M482">
        <v>28723</v>
      </c>
      <c r="N482" t="s">
        <v>988</v>
      </c>
    </row>
    <row r="483" spans="1:14" hidden="1" x14ac:dyDescent="0.3">
      <c r="A483">
        <v>388</v>
      </c>
      <c r="B483" t="s">
        <v>1348</v>
      </c>
      <c r="C483" t="s">
        <v>2670</v>
      </c>
      <c r="D483" t="s">
        <v>1203</v>
      </c>
      <c r="E483" t="s">
        <v>1204</v>
      </c>
      <c r="F483">
        <v>5851</v>
      </c>
      <c r="G483" t="s">
        <v>2671</v>
      </c>
      <c r="H483" t="s">
        <v>2664</v>
      </c>
      <c r="I483">
        <v>25355</v>
      </c>
      <c r="J483">
        <v>26597</v>
      </c>
      <c r="K483">
        <v>27747</v>
      </c>
      <c r="L483">
        <v>28317</v>
      </c>
      <c r="M483">
        <v>28723</v>
      </c>
      <c r="N483" t="s">
        <v>988</v>
      </c>
    </row>
    <row r="484" spans="1:14" hidden="1" x14ac:dyDescent="0.3">
      <c r="A484">
        <v>388</v>
      </c>
      <c r="B484" t="s">
        <v>1348</v>
      </c>
      <c r="C484" t="s">
        <v>2670</v>
      </c>
      <c r="D484" t="s">
        <v>1203</v>
      </c>
      <c r="E484" t="s">
        <v>1204</v>
      </c>
      <c r="F484">
        <v>5851</v>
      </c>
      <c r="G484" t="s">
        <v>2671</v>
      </c>
      <c r="H484" t="s">
        <v>2665</v>
      </c>
      <c r="I484">
        <v>25355</v>
      </c>
      <c r="J484">
        <v>26597</v>
      </c>
      <c r="K484">
        <v>27747</v>
      </c>
      <c r="L484">
        <v>28317</v>
      </c>
      <c r="M484">
        <v>28723</v>
      </c>
      <c r="N484" t="s">
        <v>988</v>
      </c>
    </row>
    <row r="485" spans="1:14" hidden="1" x14ac:dyDescent="0.3">
      <c r="A485">
        <v>388</v>
      </c>
      <c r="B485" t="s">
        <v>1348</v>
      </c>
      <c r="C485" t="s">
        <v>2670</v>
      </c>
      <c r="D485" t="s">
        <v>1203</v>
      </c>
      <c r="E485" t="s">
        <v>1204</v>
      </c>
      <c r="F485">
        <v>5851</v>
      </c>
      <c r="G485" t="s">
        <v>2672</v>
      </c>
      <c r="H485" t="s">
        <v>2664</v>
      </c>
      <c r="N485" t="s">
        <v>988</v>
      </c>
    </row>
    <row r="486" spans="1:14" hidden="1" x14ac:dyDescent="0.3">
      <c r="A486">
        <v>388</v>
      </c>
      <c r="B486" t="s">
        <v>1348</v>
      </c>
      <c r="C486" t="s">
        <v>2670</v>
      </c>
      <c r="D486" t="s">
        <v>1203</v>
      </c>
      <c r="E486" t="s">
        <v>1204</v>
      </c>
      <c r="F486">
        <v>5851</v>
      </c>
      <c r="G486" t="s">
        <v>2672</v>
      </c>
      <c r="H486" t="s">
        <v>2665</v>
      </c>
      <c r="N486" t="s">
        <v>988</v>
      </c>
    </row>
    <row r="487" spans="1:14" hidden="1" x14ac:dyDescent="0.3">
      <c r="A487">
        <v>388</v>
      </c>
      <c r="B487" t="s">
        <v>1348</v>
      </c>
      <c r="C487" t="s">
        <v>2670</v>
      </c>
      <c r="D487" t="s">
        <v>1203</v>
      </c>
      <c r="E487" t="s">
        <v>1204</v>
      </c>
      <c r="F487">
        <v>5851</v>
      </c>
      <c r="G487" t="s">
        <v>2673</v>
      </c>
      <c r="H487" t="s">
        <v>2664</v>
      </c>
      <c r="I487">
        <v>25355</v>
      </c>
      <c r="J487">
        <v>26597</v>
      </c>
      <c r="K487">
        <v>27747</v>
      </c>
      <c r="L487">
        <v>28317</v>
      </c>
      <c r="M487">
        <v>28723</v>
      </c>
      <c r="N487" t="s">
        <v>988</v>
      </c>
    </row>
    <row r="488" spans="1:14" hidden="1" x14ac:dyDescent="0.3">
      <c r="A488">
        <v>388</v>
      </c>
      <c r="B488" t="s">
        <v>1348</v>
      </c>
      <c r="C488" t="s">
        <v>2670</v>
      </c>
      <c r="D488" t="s">
        <v>1203</v>
      </c>
      <c r="E488" t="s">
        <v>1204</v>
      </c>
      <c r="F488">
        <v>5851</v>
      </c>
      <c r="G488" t="s">
        <v>2676</v>
      </c>
      <c r="H488" t="s">
        <v>2664</v>
      </c>
      <c r="I488">
        <v>25355</v>
      </c>
      <c r="J488">
        <v>26597</v>
      </c>
      <c r="K488">
        <v>27747</v>
      </c>
      <c r="L488">
        <v>28317</v>
      </c>
      <c r="M488">
        <v>28723</v>
      </c>
      <c r="N488" t="s">
        <v>988</v>
      </c>
    </row>
    <row r="489" spans="1:14" hidden="1" x14ac:dyDescent="0.3">
      <c r="A489">
        <v>388</v>
      </c>
      <c r="B489" t="s">
        <v>1348</v>
      </c>
      <c r="C489" t="s">
        <v>2670</v>
      </c>
      <c r="D489" t="s">
        <v>1203</v>
      </c>
      <c r="E489" t="s">
        <v>1204</v>
      </c>
      <c r="F489">
        <v>5851</v>
      </c>
      <c r="G489" t="s">
        <v>2676</v>
      </c>
      <c r="H489" t="s">
        <v>2665</v>
      </c>
      <c r="I489">
        <v>25355</v>
      </c>
      <c r="J489">
        <v>26597</v>
      </c>
      <c r="K489">
        <v>27747</v>
      </c>
      <c r="L489">
        <v>28317</v>
      </c>
      <c r="M489">
        <v>28723</v>
      </c>
      <c r="N489" t="s">
        <v>988</v>
      </c>
    </row>
    <row r="490" spans="1:14" hidden="1" x14ac:dyDescent="0.3">
      <c r="A490">
        <v>388</v>
      </c>
      <c r="B490" t="s">
        <v>1348</v>
      </c>
      <c r="C490" t="s">
        <v>2670</v>
      </c>
      <c r="D490" t="s">
        <v>1203</v>
      </c>
      <c r="E490" t="s">
        <v>1204</v>
      </c>
      <c r="F490">
        <v>5851</v>
      </c>
      <c r="G490" t="s">
        <v>2675</v>
      </c>
      <c r="H490" t="s">
        <v>2664</v>
      </c>
      <c r="I490">
        <v>25355</v>
      </c>
      <c r="J490">
        <v>26597</v>
      </c>
      <c r="K490">
        <v>27747</v>
      </c>
      <c r="L490">
        <v>28317</v>
      </c>
      <c r="M490">
        <v>28723</v>
      </c>
      <c r="N490" t="s">
        <v>988</v>
      </c>
    </row>
    <row r="491" spans="1:14" hidden="1" x14ac:dyDescent="0.3">
      <c r="A491">
        <v>388</v>
      </c>
      <c r="B491" t="s">
        <v>1348</v>
      </c>
      <c r="C491" t="s">
        <v>2670</v>
      </c>
      <c r="D491" t="s">
        <v>1203</v>
      </c>
      <c r="E491" t="s">
        <v>1204</v>
      </c>
      <c r="F491">
        <v>5851</v>
      </c>
      <c r="G491" t="s">
        <v>2675</v>
      </c>
      <c r="H491" t="s">
        <v>2665</v>
      </c>
      <c r="I491">
        <v>25355</v>
      </c>
      <c r="J491">
        <v>26597</v>
      </c>
      <c r="K491">
        <v>27747</v>
      </c>
      <c r="L491">
        <v>28317</v>
      </c>
      <c r="M491">
        <v>28723</v>
      </c>
      <c r="N491" t="s">
        <v>988</v>
      </c>
    </row>
    <row r="492" spans="1:14" hidden="1" x14ac:dyDescent="0.3">
      <c r="A492">
        <v>388</v>
      </c>
      <c r="B492" t="s">
        <v>1348</v>
      </c>
      <c r="C492" t="s">
        <v>2670</v>
      </c>
      <c r="D492" t="s">
        <v>1203</v>
      </c>
      <c r="E492" t="s">
        <v>1204</v>
      </c>
      <c r="F492">
        <v>5851</v>
      </c>
      <c r="G492" t="s">
        <v>2674</v>
      </c>
      <c r="H492" t="s">
        <v>2664</v>
      </c>
      <c r="I492">
        <v>25355</v>
      </c>
      <c r="J492">
        <v>26597</v>
      </c>
      <c r="K492">
        <v>27747</v>
      </c>
      <c r="L492">
        <v>28317</v>
      </c>
      <c r="M492">
        <v>28723</v>
      </c>
      <c r="N492" t="s">
        <v>988</v>
      </c>
    </row>
    <row r="493" spans="1:14" hidden="1" x14ac:dyDescent="0.3">
      <c r="A493">
        <v>388</v>
      </c>
      <c r="B493" t="s">
        <v>1348</v>
      </c>
      <c r="C493" t="s">
        <v>2670</v>
      </c>
      <c r="D493" t="s">
        <v>1203</v>
      </c>
      <c r="E493" t="s">
        <v>1204</v>
      </c>
      <c r="F493">
        <v>5851</v>
      </c>
      <c r="G493" t="s">
        <v>2674</v>
      </c>
      <c r="H493" t="s">
        <v>2665</v>
      </c>
      <c r="I493">
        <v>25355</v>
      </c>
      <c r="J493">
        <v>26597</v>
      </c>
      <c r="K493">
        <v>27747</v>
      </c>
      <c r="L493">
        <v>28317</v>
      </c>
      <c r="M493">
        <v>28723</v>
      </c>
      <c r="N493" t="s">
        <v>988</v>
      </c>
    </row>
    <row r="494" spans="1:14" hidden="1" x14ac:dyDescent="0.3">
      <c r="A494">
        <v>390</v>
      </c>
      <c r="B494" t="s">
        <v>1349</v>
      </c>
      <c r="C494" t="s">
        <v>2670</v>
      </c>
      <c r="D494" t="s">
        <v>1203</v>
      </c>
      <c r="E494" t="s">
        <v>1204</v>
      </c>
      <c r="F494">
        <v>5852</v>
      </c>
      <c r="G494" t="s">
        <v>2675</v>
      </c>
      <c r="H494" t="s">
        <v>2664</v>
      </c>
      <c r="I494">
        <v>1423</v>
      </c>
      <c r="J494">
        <v>1380</v>
      </c>
      <c r="K494">
        <v>1387</v>
      </c>
      <c r="L494">
        <v>1393</v>
      </c>
      <c r="M494">
        <v>1407</v>
      </c>
      <c r="N494" t="s">
        <v>988</v>
      </c>
    </row>
    <row r="495" spans="1:14" hidden="1" x14ac:dyDescent="0.3">
      <c r="A495">
        <v>390</v>
      </c>
      <c r="B495" t="s">
        <v>1349</v>
      </c>
      <c r="C495" t="s">
        <v>2670</v>
      </c>
      <c r="D495" t="s">
        <v>1203</v>
      </c>
      <c r="E495" t="s">
        <v>1204</v>
      </c>
      <c r="F495">
        <v>5852</v>
      </c>
      <c r="G495" t="s">
        <v>2675</v>
      </c>
      <c r="H495" t="s">
        <v>2665</v>
      </c>
      <c r="I495">
        <v>1423</v>
      </c>
      <c r="J495">
        <v>1380</v>
      </c>
      <c r="K495">
        <v>1387</v>
      </c>
      <c r="L495">
        <v>1393</v>
      </c>
      <c r="M495">
        <v>1407</v>
      </c>
      <c r="N495" t="s">
        <v>988</v>
      </c>
    </row>
    <row r="496" spans="1:14" hidden="1" x14ac:dyDescent="0.3">
      <c r="A496">
        <v>390</v>
      </c>
      <c r="B496" t="s">
        <v>1349</v>
      </c>
      <c r="C496" t="s">
        <v>2670</v>
      </c>
      <c r="D496" t="s">
        <v>1203</v>
      </c>
      <c r="E496" t="s">
        <v>1204</v>
      </c>
      <c r="F496">
        <v>5852</v>
      </c>
      <c r="G496" t="s">
        <v>2674</v>
      </c>
      <c r="H496" t="s">
        <v>2664</v>
      </c>
      <c r="I496">
        <v>1423</v>
      </c>
      <c r="J496">
        <v>1380</v>
      </c>
      <c r="K496">
        <v>1387</v>
      </c>
      <c r="L496">
        <v>1393</v>
      </c>
      <c r="M496">
        <v>1407</v>
      </c>
      <c r="N496" t="s">
        <v>988</v>
      </c>
    </row>
    <row r="497" spans="1:14" hidden="1" x14ac:dyDescent="0.3">
      <c r="A497">
        <v>390</v>
      </c>
      <c r="B497" t="s">
        <v>1349</v>
      </c>
      <c r="C497" t="s">
        <v>2670</v>
      </c>
      <c r="D497" t="s">
        <v>1203</v>
      </c>
      <c r="E497" t="s">
        <v>1204</v>
      </c>
      <c r="F497">
        <v>5852</v>
      </c>
      <c r="G497" t="s">
        <v>2674</v>
      </c>
      <c r="H497" t="s">
        <v>2665</v>
      </c>
      <c r="I497">
        <v>1423</v>
      </c>
      <c r="J497">
        <v>1380</v>
      </c>
      <c r="K497">
        <v>1387</v>
      </c>
      <c r="L497">
        <v>1393</v>
      </c>
      <c r="M497">
        <v>1407</v>
      </c>
      <c r="N497" t="s">
        <v>988</v>
      </c>
    </row>
    <row r="498" spans="1:14" hidden="1" x14ac:dyDescent="0.3">
      <c r="A498">
        <v>390</v>
      </c>
      <c r="B498" t="s">
        <v>1349</v>
      </c>
      <c r="C498" t="s">
        <v>2670</v>
      </c>
      <c r="D498" t="s">
        <v>1203</v>
      </c>
      <c r="E498" t="s">
        <v>1204</v>
      </c>
      <c r="F498">
        <v>5852</v>
      </c>
      <c r="G498" t="s">
        <v>2673</v>
      </c>
      <c r="H498" t="s">
        <v>2664</v>
      </c>
      <c r="I498">
        <v>1423</v>
      </c>
      <c r="J498">
        <v>1380</v>
      </c>
      <c r="K498">
        <v>1387</v>
      </c>
      <c r="L498">
        <v>1393</v>
      </c>
      <c r="M498">
        <v>1407</v>
      </c>
      <c r="N498" t="s">
        <v>988</v>
      </c>
    </row>
    <row r="499" spans="1:14" hidden="1" x14ac:dyDescent="0.3">
      <c r="A499">
        <v>390</v>
      </c>
      <c r="B499" t="s">
        <v>1349</v>
      </c>
      <c r="C499" t="s">
        <v>2670</v>
      </c>
      <c r="D499" t="s">
        <v>1203</v>
      </c>
      <c r="E499" t="s">
        <v>1204</v>
      </c>
      <c r="F499">
        <v>5852</v>
      </c>
      <c r="G499" t="s">
        <v>2676</v>
      </c>
      <c r="H499" t="s">
        <v>2665</v>
      </c>
      <c r="I499">
        <v>1423</v>
      </c>
      <c r="J499">
        <v>1380</v>
      </c>
      <c r="K499">
        <v>1387</v>
      </c>
      <c r="L499">
        <v>1393</v>
      </c>
      <c r="M499">
        <v>1407</v>
      </c>
      <c r="N499" t="s">
        <v>988</v>
      </c>
    </row>
    <row r="500" spans="1:14" hidden="1" x14ac:dyDescent="0.3">
      <c r="A500">
        <v>390</v>
      </c>
      <c r="B500" t="s">
        <v>1349</v>
      </c>
      <c r="C500" t="s">
        <v>2670</v>
      </c>
      <c r="D500" t="s">
        <v>1203</v>
      </c>
      <c r="E500" t="s">
        <v>1204</v>
      </c>
      <c r="F500">
        <v>5852</v>
      </c>
      <c r="G500" t="s">
        <v>2672</v>
      </c>
      <c r="H500" t="s">
        <v>2664</v>
      </c>
      <c r="N500" t="s">
        <v>988</v>
      </c>
    </row>
    <row r="501" spans="1:14" hidden="1" x14ac:dyDescent="0.3">
      <c r="A501">
        <v>390</v>
      </c>
      <c r="B501" t="s">
        <v>1349</v>
      </c>
      <c r="C501" t="s">
        <v>2670</v>
      </c>
      <c r="D501" t="s">
        <v>1203</v>
      </c>
      <c r="E501" t="s">
        <v>1204</v>
      </c>
      <c r="F501">
        <v>5852</v>
      </c>
      <c r="G501" t="s">
        <v>2671</v>
      </c>
      <c r="H501" t="s">
        <v>2665</v>
      </c>
      <c r="I501">
        <v>1423</v>
      </c>
      <c r="J501">
        <v>1380</v>
      </c>
      <c r="K501">
        <v>1387</v>
      </c>
      <c r="L501">
        <v>1393</v>
      </c>
      <c r="M501">
        <v>1407</v>
      </c>
      <c r="N501" t="s">
        <v>988</v>
      </c>
    </row>
    <row r="502" spans="1:14" hidden="1" x14ac:dyDescent="0.3">
      <c r="A502">
        <v>390</v>
      </c>
      <c r="B502" t="s">
        <v>1349</v>
      </c>
      <c r="C502" t="s">
        <v>2670</v>
      </c>
      <c r="D502" t="s">
        <v>1203</v>
      </c>
      <c r="E502" t="s">
        <v>1204</v>
      </c>
      <c r="F502">
        <v>5852</v>
      </c>
      <c r="G502" t="s">
        <v>2671</v>
      </c>
      <c r="H502" t="s">
        <v>2664</v>
      </c>
      <c r="I502">
        <v>1423</v>
      </c>
      <c r="J502">
        <v>1380</v>
      </c>
      <c r="K502">
        <v>1387</v>
      </c>
      <c r="L502">
        <v>1393</v>
      </c>
      <c r="M502">
        <v>1407</v>
      </c>
      <c r="N502" t="s">
        <v>988</v>
      </c>
    </row>
    <row r="503" spans="1:14" hidden="1" x14ac:dyDescent="0.3">
      <c r="A503">
        <v>390</v>
      </c>
      <c r="B503" t="s">
        <v>1349</v>
      </c>
      <c r="C503" t="s">
        <v>2670</v>
      </c>
      <c r="D503" t="s">
        <v>1203</v>
      </c>
      <c r="E503" t="s">
        <v>1204</v>
      </c>
      <c r="F503">
        <v>5852</v>
      </c>
      <c r="G503" t="s">
        <v>2673</v>
      </c>
      <c r="H503" t="s">
        <v>2665</v>
      </c>
      <c r="I503">
        <v>1423</v>
      </c>
      <c r="J503">
        <v>1380</v>
      </c>
      <c r="K503">
        <v>1387</v>
      </c>
      <c r="L503">
        <v>1393</v>
      </c>
      <c r="M503">
        <v>1407</v>
      </c>
      <c r="N503" t="s">
        <v>988</v>
      </c>
    </row>
    <row r="504" spans="1:14" hidden="1" x14ac:dyDescent="0.3">
      <c r="A504">
        <v>390</v>
      </c>
      <c r="B504" t="s">
        <v>1349</v>
      </c>
      <c r="C504" t="s">
        <v>2670</v>
      </c>
      <c r="D504" t="s">
        <v>1203</v>
      </c>
      <c r="E504" t="s">
        <v>1204</v>
      </c>
      <c r="F504">
        <v>5852</v>
      </c>
      <c r="G504" t="s">
        <v>2676</v>
      </c>
      <c r="H504" t="s">
        <v>2664</v>
      </c>
      <c r="I504">
        <v>1423</v>
      </c>
      <c r="J504">
        <v>1380</v>
      </c>
      <c r="K504">
        <v>1387</v>
      </c>
      <c r="L504">
        <v>1393</v>
      </c>
      <c r="M504">
        <v>1407</v>
      </c>
      <c r="N504" t="s">
        <v>988</v>
      </c>
    </row>
    <row r="505" spans="1:14" hidden="1" x14ac:dyDescent="0.3">
      <c r="A505">
        <v>390</v>
      </c>
      <c r="B505" t="s">
        <v>1349</v>
      </c>
      <c r="C505" t="s">
        <v>2670</v>
      </c>
      <c r="D505" t="s">
        <v>1203</v>
      </c>
      <c r="E505" t="s">
        <v>1204</v>
      </c>
      <c r="F505">
        <v>5852</v>
      </c>
      <c r="G505" t="s">
        <v>2672</v>
      </c>
      <c r="H505" t="s">
        <v>2665</v>
      </c>
      <c r="N505" t="s">
        <v>988</v>
      </c>
    </row>
    <row r="506" spans="1:14" hidden="1" x14ac:dyDescent="0.3">
      <c r="A506">
        <v>391</v>
      </c>
      <c r="B506" t="s">
        <v>1350</v>
      </c>
      <c r="C506" t="s">
        <v>2670</v>
      </c>
      <c r="D506" t="s">
        <v>1203</v>
      </c>
      <c r="E506" t="s">
        <v>1204</v>
      </c>
      <c r="F506">
        <v>7554</v>
      </c>
      <c r="G506" t="s">
        <v>2674</v>
      </c>
      <c r="H506" t="s">
        <v>2665</v>
      </c>
      <c r="I506">
        <v>34038</v>
      </c>
      <c r="J506">
        <v>33768</v>
      </c>
      <c r="K506">
        <v>33808</v>
      </c>
      <c r="L506">
        <v>33860</v>
      </c>
      <c r="M506">
        <v>34014</v>
      </c>
      <c r="N506" t="s">
        <v>988</v>
      </c>
    </row>
    <row r="507" spans="1:14" hidden="1" x14ac:dyDescent="0.3">
      <c r="A507">
        <v>391</v>
      </c>
      <c r="B507" t="s">
        <v>1350</v>
      </c>
      <c r="C507" t="s">
        <v>2670</v>
      </c>
      <c r="D507" t="s">
        <v>1203</v>
      </c>
      <c r="E507" t="s">
        <v>1204</v>
      </c>
      <c r="F507">
        <v>7554</v>
      </c>
      <c r="G507" t="s">
        <v>2674</v>
      </c>
      <c r="H507" t="s">
        <v>2664</v>
      </c>
      <c r="I507">
        <v>34038</v>
      </c>
      <c r="J507">
        <v>33768</v>
      </c>
      <c r="K507">
        <v>33808</v>
      </c>
      <c r="L507">
        <v>33860</v>
      </c>
      <c r="M507">
        <v>34014</v>
      </c>
      <c r="N507" t="s">
        <v>988</v>
      </c>
    </row>
    <row r="508" spans="1:14" hidden="1" x14ac:dyDescent="0.3">
      <c r="A508">
        <v>391</v>
      </c>
      <c r="B508" t="s">
        <v>1350</v>
      </c>
      <c r="C508" t="s">
        <v>2670</v>
      </c>
      <c r="D508" t="s">
        <v>1203</v>
      </c>
      <c r="E508" t="s">
        <v>1204</v>
      </c>
      <c r="F508">
        <v>7554</v>
      </c>
      <c r="G508" t="s">
        <v>2675</v>
      </c>
      <c r="H508" t="s">
        <v>2665</v>
      </c>
      <c r="I508">
        <v>34038</v>
      </c>
      <c r="J508">
        <v>33768</v>
      </c>
      <c r="K508">
        <v>33808</v>
      </c>
      <c r="L508">
        <v>33860</v>
      </c>
      <c r="M508">
        <v>34014</v>
      </c>
      <c r="N508" t="s">
        <v>988</v>
      </c>
    </row>
    <row r="509" spans="1:14" hidden="1" x14ac:dyDescent="0.3">
      <c r="A509">
        <v>391</v>
      </c>
      <c r="B509" t="s">
        <v>1350</v>
      </c>
      <c r="C509" t="s">
        <v>2670</v>
      </c>
      <c r="D509" t="s">
        <v>1203</v>
      </c>
      <c r="E509" t="s">
        <v>1204</v>
      </c>
      <c r="F509">
        <v>7554</v>
      </c>
      <c r="G509" t="s">
        <v>2675</v>
      </c>
      <c r="H509" t="s">
        <v>2664</v>
      </c>
      <c r="I509">
        <v>34038</v>
      </c>
      <c r="J509">
        <v>33768</v>
      </c>
      <c r="K509">
        <v>33808</v>
      </c>
      <c r="L509">
        <v>33860</v>
      </c>
      <c r="M509">
        <v>34014</v>
      </c>
      <c r="N509" t="s">
        <v>988</v>
      </c>
    </row>
    <row r="510" spans="1:14" hidden="1" x14ac:dyDescent="0.3">
      <c r="A510">
        <v>391</v>
      </c>
      <c r="B510" t="s">
        <v>1350</v>
      </c>
      <c r="C510" t="s">
        <v>2670</v>
      </c>
      <c r="D510" t="s">
        <v>1203</v>
      </c>
      <c r="E510" t="s">
        <v>1204</v>
      </c>
      <c r="F510">
        <v>7554</v>
      </c>
      <c r="G510" t="s">
        <v>2676</v>
      </c>
      <c r="H510" t="s">
        <v>2665</v>
      </c>
      <c r="I510">
        <v>34038</v>
      </c>
      <c r="J510">
        <v>33768</v>
      </c>
      <c r="K510">
        <v>33808</v>
      </c>
      <c r="L510">
        <v>33860</v>
      </c>
      <c r="M510">
        <v>34014</v>
      </c>
      <c r="N510" t="s">
        <v>988</v>
      </c>
    </row>
    <row r="511" spans="1:14" hidden="1" x14ac:dyDescent="0.3">
      <c r="A511">
        <v>391</v>
      </c>
      <c r="B511" t="s">
        <v>1350</v>
      </c>
      <c r="C511" t="s">
        <v>2670</v>
      </c>
      <c r="D511" t="s">
        <v>1203</v>
      </c>
      <c r="E511" t="s">
        <v>1204</v>
      </c>
      <c r="F511">
        <v>7554</v>
      </c>
      <c r="G511" t="s">
        <v>2672</v>
      </c>
      <c r="H511" t="s">
        <v>2665</v>
      </c>
      <c r="N511" t="s">
        <v>988</v>
      </c>
    </row>
    <row r="512" spans="1:14" hidden="1" x14ac:dyDescent="0.3">
      <c r="A512">
        <v>391</v>
      </c>
      <c r="B512" t="s">
        <v>1350</v>
      </c>
      <c r="C512" t="s">
        <v>2670</v>
      </c>
      <c r="D512" t="s">
        <v>1203</v>
      </c>
      <c r="E512" t="s">
        <v>1204</v>
      </c>
      <c r="F512">
        <v>7554</v>
      </c>
      <c r="G512" t="s">
        <v>2672</v>
      </c>
      <c r="H512" t="s">
        <v>2664</v>
      </c>
      <c r="N512" t="s">
        <v>988</v>
      </c>
    </row>
    <row r="513" spans="1:14" hidden="1" x14ac:dyDescent="0.3">
      <c r="A513">
        <v>391</v>
      </c>
      <c r="B513" t="s">
        <v>1350</v>
      </c>
      <c r="C513" t="s">
        <v>2670</v>
      </c>
      <c r="D513" t="s">
        <v>1203</v>
      </c>
      <c r="E513" t="s">
        <v>1204</v>
      </c>
      <c r="F513">
        <v>7554</v>
      </c>
      <c r="G513" t="s">
        <v>2671</v>
      </c>
      <c r="H513" t="s">
        <v>2665</v>
      </c>
      <c r="I513">
        <v>34038</v>
      </c>
      <c r="J513">
        <v>33768</v>
      </c>
      <c r="K513">
        <v>33808</v>
      </c>
      <c r="L513">
        <v>33860</v>
      </c>
      <c r="M513">
        <v>34014</v>
      </c>
      <c r="N513" t="s">
        <v>988</v>
      </c>
    </row>
    <row r="514" spans="1:14" hidden="1" x14ac:dyDescent="0.3">
      <c r="A514">
        <v>391</v>
      </c>
      <c r="B514" t="s">
        <v>1350</v>
      </c>
      <c r="C514" t="s">
        <v>2670</v>
      </c>
      <c r="D514" t="s">
        <v>1203</v>
      </c>
      <c r="E514" t="s">
        <v>1204</v>
      </c>
      <c r="F514">
        <v>7554</v>
      </c>
      <c r="G514" t="s">
        <v>2671</v>
      </c>
      <c r="H514" t="s">
        <v>2664</v>
      </c>
      <c r="I514">
        <v>34038</v>
      </c>
      <c r="J514">
        <v>33768</v>
      </c>
      <c r="K514">
        <v>33808</v>
      </c>
      <c r="L514">
        <v>33860</v>
      </c>
      <c r="M514">
        <v>34014</v>
      </c>
      <c r="N514" t="s">
        <v>988</v>
      </c>
    </row>
    <row r="515" spans="1:14" hidden="1" x14ac:dyDescent="0.3">
      <c r="A515">
        <v>391</v>
      </c>
      <c r="B515" t="s">
        <v>1350</v>
      </c>
      <c r="C515" t="s">
        <v>2670</v>
      </c>
      <c r="D515" t="s">
        <v>1203</v>
      </c>
      <c r="E515" t="s">
        <v>1204</v>
      </c>
      <c r="F515">
        <v>7554</v>
      </c>
      <c r="G515" t="s">
        <v>2673</v>
      </c>
      <c r="H515" t="s">
        <v>2665</v>
      </c>
      <c r="I515">
        <v>34038</v>
      </c>
      <c r="J515">
        <v>33768</v>
      </c>
      <c r="K515">
        <v>33808</v>
      </c>
      <c r="L515">
        <v>33860</v>
      </c>
      <c r="M515">
        <v>34014</v>
      </c>
      <c r="N515" t="s">
        <v>988</v>
      </c>
    </row>
    <row r="516" spans="1:14" hidden="1" x14ac:dyDescent="0.3">
      <c r="A516">
        <v>391</v>
      </c>
      <c r="B516" t="s">
        <v>1350</v>
      </c>
      <c r="C516" t="s">
        <v>2670</v>
      </c>
      <c r="D516" t="s">
        <v>1203</v>
      </c>
      <c r="E516" t="s">
        <v>1204</v>
      </c>
      <c r="F516">
        <v>7554</v>
      </c>
      <c r="G516" t="s">
        <v>2673</v>
      </c>
      <c r="H516" t="s">
        <v>2664</v>
      </c>
      <c r="I516">
        <v>34038</v>
      </c>
      <c r="J516">
        <v>33768</v>
      </c>
      <c r="K516">
        <v>33808</v>
      </c>
      <c r="L516">
        <v>33860</v>
      </c>
      <c r="M516">
        <v>34014</v>
      </c>
      <c r="N516" t="s">
        <v>988</v>
      </c>
    </row>
    <row r="517" spans="1:14" hidden="1" x14ac:dyDescent="0.3">
      <c r="A517">
        <v>391</v>
      </c>
      <c r="B517" t="s">
        <v>1350</v>
      </c>
      <c r="C517" t="s">
        <v>2670</v>
      </c>
      <c r="D517" t="s">
        <v>1203</v>
      </c>
      <c r="E517" t="s">
        <v>1204</v>
      </c>
      <c r="F517">
        <v>7554</v>
      </c>
      <c r="G517" t="s">
        <v>2676</v>
      </c>
      <c r="H517" t="s">
        <v>2664</v>
      </c>
      <c r="I517">
        <v>34038</v>
      </c>
      <c r="J517">
        <v>33768</v>
      </c>
      <c r="K517">
        <v>33808</v>
      </c>
      <c r="L517">
        <v>33860</v>
      </c>
      <c r="M517">
        <v>34014</v>
      </c>
      <c r="N517" t="s">
        <v>988</v>
      </c>
    </row>
    <row r="518" spans="1:14" hidden="1" x14ac:dyDescent="0.3">
      <c r="A518">
        <v>392</v>
      </c>
      <c r="B518" t="s">
        <v>1351</v>
      </c>
      <c r="C518" t="s">
        <v>2670</v>
      </c>
      <c r="D518" t="s">
        <v>1203</v>
      </c>
      <c r="E518" t="s">
        <v>1204</v>
      </c>
      <c r="F518">
        <v>5854</v>
      </c>
      <c r="G518" t="s">
        <v>2673</v>
      </c>
      <c r="H518" t="s">
        <v>2664</v>
      </c>
      <c r="I518">
        <v>14477</v>
      </c>
      <c r="J518">
        <v>14144</v>
      </c>
      <c r="K518">
        <v>14147</v>
      </c>
      <c r="L518">
        <v>14163</v>
      </c>
      <c r="M518">
        <v>14261</v>
      </c>
      <c r="N518" t="s">
        <v>988</v>
      </c>
    </row>
    <row r="519" spans="1:14" hidden="1" x14ac:dyDescent="0.3">
      <c r="A519">
        <v>392</v>
      </c>
      <c r="B519" t="s">
        <v>1351</v>
      </c>
      <c r="C519" t="s">
        <v>2670</v>
      </c>
      <c r="D519" t="s">
        <v>1203</v>
      </c>
      <c r="E519" t="s">
        <v>1204</v>
      </c>
      <c r="F519">
        <v>5854</v>
      </c>
      <c r="G519" t="s">
        <v>2676</v>
      </c>
      <c r="H519" t="s">
        <v>2664</v>
      </c>
      <c r="I519">
        <v>14477</v>
      </c>
      <c r="J519">
        <v>14144</v>
      </c>
      <c r="K519">
        <v>14147</v>
      </c>
      <c r="L519">
        <v>14163</v>
      </c>
      <c r="M519">
        <v>14261</v>
      </c>
      <c r="N519" t="s">
        <v>988</v>
      </c>
    </row>
    <row r="520" spans="1:14" hidden="1" x14ac:dyDescent="0.3">
      <c r="A520">
        <v>392</v>
      </c>
      <c r="B520" t="s">
        <v>1351</v>
      </c>
      <c r="C520" t="s">
        <v>2670</v>
      </c>
      <c r="D520" t="s">
        <v>1203</v>
      </c>
      <c r="E520" t="s">
        <v>1204</v>
      </c>
      <c r="F520">
        <v>5854</v>
      </c>
      <c r="G520" t="s">
        <v>2672</v>
      </c>
      <c r="H520" t="s">
        <v>2665</v>
      </c>
      <c r="N520" t="s">
        <v>988</v>
      </c>
    </row>
    <row r="521" spans="1:14" hidden="1" x14ac:dyDescent="0.3">
      <c r="A521">
        <v>392</v>
      </c>
      <c r="B521" t="s">
        <v>1351</v>
      </c>
      <c r="C521" t="s">
        <v>2670</v>
      </c>
      <c r="D521" t="s">
        <v>1203</v>
      </c>
      <c r="E521" t="s">
        <v>1204</v>
      </c>
      <c r="F521">
        <v>5854</v>
      </c>
      <c r="G521" t="s">
        <v>2672</v>
      </c>
      <c r="H521" t="s">
        <v>2664</v>
      </c>
      <c r="N521" t="s">
        <v>988</v>
      </c>
    </row>
    <row r="522" spans="1:14" hidden="1" x14ac:dyDescent="0.3">
      <c r="A522">
        <v>392</v>
      </c>
      <c r="B522" t="s">
        <v>1351</v>
      </c>
      <c r="C522" t="s">
        <v>2670</v>
      </c>
      <c r="D522" t="s">
        <v>1203</v>
      </c>
      <c r="E522" t="s">
        <v>1204</v>
      </c>
      <c r="F522">
        <v>5854</v>
      </c>
      <c r="G522" t="s">
        <v>2671</v>
      </c>
      <c r="H522" t="s">
        <v>2665</v>
      </c>
      <c r="I522">
        <v>14477</v>
      </c>
      <c r="J522">
        <v>14144</v>
      </c>
      <c r="K522">
        <v>14147</v>
      </c>
      <c r="L522">
        <v>14163</v>
      </c>
      <c r="M522">
        <v>14261</v>
      </c>
      <c r="N522" t="s">
        <v>988</v>
      </c>
    </row>
    <row r="523" spans="1:14" hidden="1" x14ac:dyDescent="0.3">
      <c r="A523">
        <v>392</v>
      </c>
      <c r="B523" t="s">
        <v>1351</v>
      </c>
      <c r="C523" t="s">
        <v>2670</v>
      </c>
      <c r="D523" t="s">
        <v>1203</v>
      </c>
      <c r="E523" t="s">
        <v>1204</v>
      </c>
      <c r="F523">
        <v>5854</v>
      </c>
      <c r="G523" t="s">
        <v>2676</v>
      </c>
      <c r="H523" t="s">
        <v>2665</v>
      </c>
      <c r="I523">
        <v>14477</v>
      </c>
      <c r="J523">
        <v>14144</v>
      </c>
      <c r="K523">
        <v>14147</v>
      </c>
      <c r="L523">
        <v>14163</v>
      </c>
      <c r="M523">
        <v>14261</v>
      </c>
      <c r="N523" t="s">
        <v>988</v>
      </c>
    </row>
    <row r="524" spans="1:14" hidden="1" x14ac:dyDescent="0.3">
      <c r="A524">
        <v>392</v>
      </c>
      <c r="B524" t="s">
        <v>1351</v>
      </c>
      <c r="C524" t="s">
        <v>2670</v>
      </c>
      <c r="D524" t="s">
        <v>1203</v>
      </c>
      <c r="E524" t="s">
        <v>1204</v>
      </c>
      <c r="F524">
        <v>5854</v>
      </c>
      <c r="G524" t="s">
        <v>2673</v>
      </c>
      <c r="H524" t="s">
        <v>2665</v>
      </c>
      <c r="I524">
        <v>14477</v>
      </c>
      <c r="J524">
        <v>14144</v>
      </c>
      <c r="K524">
        <v>14147</v>
      </c>
      <c r="L524">
        <v>14163</v>
      </c>
      <c r="M524">
        <v>14261</v>
      </c>
      <c r="N524" t="s">
        <v>988</v>
      </c>
    </row>
    <row r="525" spans="1:14" hidden="1" x14ac:dyDescent="0.3">
      <c r="A525">
        <v>392</v>
      </c>
      <c r="B525" t="s">
        <v>1351</v>
      </c>
      <c r="C525" t="s">
        <v>2670</v>
      </c>
      <c r="D525" t="s">
        <v>1203</v>
      </c>
      <c r="E525" t="s">
        <v>1204</v>
      </c>
      <c r="F525">
        <v>5854</v>
      </c>
      <c r="G525" t="s">
        <v>2674</v>
      </c>
      <c r="H525" t="s">
        <v>2665</v>
      </c>
      <c r="I525">
        <v>14477</v>
      </c>
      <c r="J525">
        <v>14144</v>
      </c>
      <c r="K525">
        <v>14147</v>
      </c>
      <c r="L525">
        <v>14163</v>
      </c>
      <c r="M525">
        <v>14261</v>
      </c>
      <c r="N525" t="s">
        <v>988</v>
      </c>
    </row>
    <row r="526" spans="1:14" hidden="1" x14ac:dyDescent="0.3">
      <c r="A526">
        <v>392</v>
      </c>
      <c r="B526" t="s">
        <v>1351</v>
      </c>
      <c r="C526" t="s">
        <v>2670</v>
      </c>
      <c r="D526" t="s">
        <v>1203</v>
      </c>
      <c r="E526" t="s">
        <v>1204</v>
      </c>
      <c r="F526">
        <v>5854</v>
      </c>
      <c r="G526" t="s">
        <v>2674</v>
      </c>
      <c r="H526" t="s">
        <v>2664</v>
      </c>
      <c r="I526">
        <v>14477</v>
      </c>
      <c r="J526">
        <v>14144</v>
      </c>
      <c r="K526">
        <v>14147</v>
      </c>
      <c r="L526">
        <v>14163</v>
      </c>
      <c r="M526">
        <v>14261</v>
      </c>
      <c r="N526" t="s">
        <v>988</v>
      </c>
    </row>
    <row r="527" spans="1:14" hidden="1" x14ac:dyDescent="0.3">
      <c r="A527">
        <v>392</v>
      </c>
      <c r="B527" t="s">
        <v>1351</v>
      </c>
      <c r="C527" t="s">
        <v>2670</v>
      </c>
      <c r="D527" t="s">
        <v>1203</v>
      </c>
      <c r="E527" t="s">
        <v>1204</v>
      </c>
      <c r="F527">
        <v>5854</v>
      </c>
      <c r="G527" t="s">
        <v>2675</v>
      </c>
      <c r="H527" t="s">
        <v>2665</v>
      </c>
      <c r="I527">
        <v>14477</v>
      </c>
      <c r="J527">
        <v>14144</v>
      </c>
      <c r="K527">
        <v>14147</v>
      </c>
      <c r="L527">
        <v>14163</v>
      </c>
      <c r="M527">
        <v>14261</v>
      </c>
      <c r="N527" t="s">
        <v>988</v>
      </c>
    </row>
    <row r="528" spans="1:14" hidden="1" x14ac:dyDescent="0.3">
      <c r="A528">
        <v>392</v>
      </c>
      <c r="B528" t="s">
        <v>1351</v>
      </c>
      <c r="C528" t="s">
        <v>2670</v>
      </c>
      <c r="D528" t="s">
        <v>1203</v>
      </c>
      <c r="E528" t="s">
        <v>1204</v>
      </c>
      <c r="F528">
        <v>5854</v>
      </c>
      <c r="G528" t="s">
        <v>2675</v>
      </c>
      <c r="H528" t="s">
        <v>2664</v>
      </c>
      <c r="I528">
        <v>14477</v>
      </c>
      <c r="J528">
        <v>14144</v>
      </c>
      <c r="K528">
        <v>14147</v>
      </c>
      <c r="L528">
        <v>14163</v>
      </c>
      <c r="M528">
        <v>14261</v>
      </c>
      <c r="N528" t="s">
        <v>988</v>
      </c>
    </row>
    <row r="529" spans="1:14" hidden="1" x14ac:dyDescent="0.3">
      <c r="A529">
        <v>392</v>
      </c>
      <c r="B529" t="s">
        <v>1351</v>
      </c>
      <c r="C529" t="s">
        <v>2670</v>
      </c>
      <c r="D529" t="s">
        <v>1203</v>
      </c>
      <c r="E529" t="s">
        <v>1204</v>
      </c>
      <c r="F529">
        <v>5854</v>
      </c>
      <c r="G529" t="s">
        <v>2671</v>
      </c>
      <c r="H529" t="s">
        <v>2664</v>
      </c>
      <c r="I529">
        <v>14477</v>
      </c>
      <c r="J529">
        <v>14144</v>
      </c>
      <c r="K529">
        <v>14147</v>
      </c>
      <c r="L529">
        <v>14163</v>
      </c>
      <c r="M529">
        <v>14261</v>
      </c>
      <c r="N529" t="s">
        <v>988</v>
      </c>
    </row>
    <row r="530" spans="1:14" hidden="1" x14ac:dyDescent="0.3">
      <c r="A530">
        <v>396</v>
      </c>
      <c r="B530" t="s">
        <v>1353</v>
      </c>
      <c r="C530" t="s">
        <v>2670</v>
      </c>
      <c r="D530" t="s">
        <v>1203</v>
      </c>
      <c r="E530" t="s">
        <v>1204</v>
      </c>
      <c r="F530">
        <v>7555</v>
      </c>
      <c r="G530" t="s">
        <v>2676</v>
      </c>
      <c r="H530" t="s">
        <v>2664</v>
      </c>
      <c r="I530">
        <v>11228</v>
      </c>
      <c r="J530">
        <v>11055</v>
      </c>
      <c r="K530">
        <v>11047</v>
      </c>
      <c r="L530">
        <v>11041</v>
      </c>
      <c r="M530">
        <v>11129</v>
      </c>
      <c r="N530" t="s">
        <v>988</v>
      </c>
    </row>
    <row r="531" spans="1:14" hidden="1" x14ac:dyDescent="0.3">
      <c r="A531">
        <v>396</v>
      </c>
      <c r="B531" t="s">
        <v>1353</v>
      </c>
      <c r="C531" t="s">
        <v>2670</v>
      </c>
      <c r="D531" t="s">
        <v>1203</v>
      </c>
      <c r="E531" t="s">
        <v>1204</v>
      </c>
      <c r="F531">
        <v>7555</v>
      </c>
      <c r="G531" t="s">
        <v>2672</v>
      </c>
      <c r="H531" t="s">
        <v>2665</v>
      </c>
      <c r="N531" t="s">
        <v>988</v>
      </c>
    </row>
    <row r="532" spans="1:14" hidden="1" x14ac:dyDescent="0.3">
      <c r="A532">
        <v>396</v>
      </c>
      <c r="B532" t="s">
        <v>1353</v>
      </c>
      <c r="C532" t="s">
        <v>2670</v>
      </c>
      <c r="D532" t="s">
        <v>1203</v>
      </c>
      <c r="E532" t="s">
        <v>1204</v>
      </c>
      <c r="F532">
        <v>7555</v>
      </c>
      <c r="G532" t="s">
        <v>2672</v>
      </c>
      <c r="H532" t="s">
        <v>2664</v>
      </c>
      <c r="N532" t="s">
        <v>988</v>
      </c>
    </row>
    <row r="533" spans="1:14" hidden="1" x14ac:dyDescent="0.3">
      <c r="A533">
        <v>396</v>
      </c>
      <c r="B533" t="s">
        <v>1353</v>
      </c>
      <c r="C533" t="s">
        <v>2670</v>
      </c>
      <c r="D533" t="s">
        <v>1203</v>
      </c>
      <c r="E533" t="s">
        <v>1204</v>
      </c>
      <c r="F533">
        <v>7555</v>
      </c>
      <c r="G533" t="s">
        <v>2671</v>
      </c>
      <c r="H533" t="s">
        <v>2665</v>
      </c>
      <c r="I533">
        <v>11228</v>
      </c>
      <c r="J533">
        <v>11055</v>
      </c>
      <c r="K533">
        <v>11047</v>
      </c>
      <c r="L533">
        <v>11041</v>
      </c>
      <c r="M533">
        <v>11129</v>
      </c>
      <c r="N533" t="s">
        <v>988</v>
      </c>
    </row>
    <row r="534" spans="1:14" hidden="1" x14ac:dyDescent="0.3">
      <c r="A534">
        <v>396</v>
      </c>
      <c r="B534" t="s">
        <v>1353</v>
      </c>
      <c r="C534" t="s">
        <v>2670</v>
      </c>
      <c r="D534" t="s">
        <v>1203</v>
      </c>
      <c r="E534" t="s">
        <v>1204</v>
      </c>
      <c r="F534">
        <v>7555</v>
      </c>
      <c r="G534" t="s">
        <v>2671</v>
      </c>
      <c r="H534" t="s">
        <v>2664</v>
      </c>
      <c r="I534">
        <v>11228</v>
      </c>
      <c r="J534">
        <v>11055</v>
      </c>
      <c r="K534">
        <v>11047</v>
      </c>
      <c r="L534">
        <v>11041</v>
      </c>
      <c r="M534">
        <v>11129</v>
      </c>
      <c r="N534" t="s">
        <v>988</v>
      </c>
    </row>
    <row r="535" spans="1:14" hidden="1" x14ac:dyDescent="0.3">
      <c r="A535">
        <v>396</v>
      </c>
      <c r="B535" t="s">
        <v>1353</v>
      </c>
      <c r="C535" t="s">
        <v>2670</v>
      </c>
      <c r="D535" t="s">
        <v>1203</v>
      </c>
      <c r="E535" t="s">
        <v>1204</v>
      </c>
      <c r="F535">
        <v>7555</v>
      </c>
      <c r="G535" t="s">
        <v>2676</v>
      </c>
      <c r="H535" t="s">
        <v>2665</v>
      </c>
      <c r="I535">
        <v>11228</v>
      </c>
      <c r="J535">
        <v>11055</v>
      </c>
      <c r="K535">
        <v>11047</v>
      </c>
      <c r="L535">
        <v>11041</v>
      </c>
      <c r="M535">
        <v>11129</v>
      </c>
      <c r="N535" t="s">
        <v>988</v>
      </c>
    </row>
    <row r="536" spans="1:14" hidden="1" x14ac:dyDescent="0.3">
      <c r="A536">
        <v>396</v>
      </c>
      <c r="B536" t="s">
        <v>1353</v>
      </c>
      <c r="C536" t="s">
        <v>2670</v>
      </c>
      <c r="D536" t="s">
        <v>1203</v>
      </c>
      <c r="E536" t="s">
        <v>1204</v>
      </c>
      <c r="F536">
        <v>7555</v>
      </c>
      <c r="G536" t="s">
        <v>2673</v>
      </c>
      <c r="H536" t="s">
        <v>2664</v>
      </c>
      <c r="I536">
        <v>11228</v>
      </c>
      <c r="J536">
        <v>11055</v>
      </c>
      <c r="K536">
        <v>11047</v>
      </c>
      <c r="L536">
        <v>11041</v>
      </c>
      <c r="M536">
        <v>11129</v>
      </c>
      <c r="N536" t="s">
        <v>988</v>
      </c>
    </row>
    <row r="537" spans="1:14" hidden="1" x14ac:dyDescent="0.3">
      <c r="A537">
        <v>396</v>
      </c>
      <c r="B537" t="s">
        <v>1353</v>
      </c>
      <c r="C537" t="s">
        <v>2670</v>
      </c>
      <c r="D537" t="s">
        <v>1203</v>
      </c>
      <c r="E537" t="s">
        <v>1204</v>
      </c>
      <c r="F537">
        <v>7555</v>
      </c>
      <c r="G537" t="s">
        <v>2674</v>
      </c>
      <c r="H537" t="s">
        <v>2665</v>
      </c>
      <c r="I537">
        <v>11228</v>
      </c>
      <c r="J537">
        <v>11055</v>
      </c>
      <c r="K537">
        <v>11047</v>
      </c>
      <c r="L537">
        <v>11041</v>
      </c>
      <c r="M537">
        <v>11129</v>
      </c>
      <c r="N537" t="s">
        <v>988</v>
      </c>
    </row>
    <row r="538" spans="1:14" hidden="1" x14ac:dyDescent="0.3">
      <c r="A538">
        <v>396</v>
      </c>
      <c r="B538" t="s">
        <v>1353</v>
      </c>
      <c r="C538" t="s">
        <v>2670</v>
      </c>
      <c r="D538" t="s">
        <v>1203</v>
      </c>
      <c r="E538" t="s">
        <v>1204</v>
      </c>
      <c r="F538">
        <v>7555</v>
      </c>
      <c r="G538" t="s">
        <v>2674</v>
      </c>
      <c r="H538" t="s">
        <v>2664</v>
      </c>
      <c r="I538">
        <v>11228</v>
      </c>
      <c r="J538">
        <v>11055</v>
      </c>
      <c r="K538">
        <v>11047</v>
      </c>
      <c r="L538">
        <v>11041</v>
      </c>
      <c r="M538">
        <v>11129</v>
      </c>
      <c r="N538" t="s">
        <v>988</v>
      </c>
    </row>
    <row r="539" spans="1:14" hidden="1" x14ac:dyDescent="0.3">
      <c r="A539">
        <v>396</v>
      </c>
      <c r="B539" t="s">
        <v>1353</v>
      </c>
      <c r="C539" t="s">
        <v>2670</v>
      </c>
      <c r="D539" t="s">
        <v>1203</v>
      </c>
      <c r="E539" t="s">
        <v>1204</v>
      </c>
      <c r="F539">
        <v>7555</v>
      </c>
      <c r="G539" t="s">
        <v>2675</v>
      </c>
      <c r="H539" t="s">
        <v>2665</v>
      </c>
      <c r="I539">
        <v>11228</v>
      </c>
      <c r="J539">
        <v>11055</v>
      </c>
      <c r="K539">
        <v>11047</v>
      </c>
      <c r="L539">
        <v>11041</v>
      </c>
      <c r="M539">
        <v>11129</v>
      </c>
      <c r="N539" t="s">
        <v>988</v>
      </c>
    </row>
    <row r="540" spans="1:14" hidden="1" x14ac:dyDescent="0.3">
      <c r="A540">
        <v>396</v>
      </c>
      <c r="B540" t="s">
        <v>1353</v>
      </c>
      <c r="C540" t="s">
        <v>2670</v>
      </c>
      <c r="D540" t="s">
        <v>1203</v>
      </c>
      <c r="E540" t="s">
        <v>1204</v>
      </c>
      <c r="F540">
        <v>7555</v>
      </c>
      <c r="G540" t="s">
        <v>2675</v>
      </c>
      <c r="H540" t="s">
        <v>2664</v>
      </c>
      <c r="I540">
        <v>11228</v>
      </c>
      <c r="J540">
        <v>11055</v>
      </c>
      <c r="K540">
        <v>11047</v>
      </c>
      <c r="L540">
        <v>11041</v>
      </c>
      <c r="M540">
        <v>11129</v>
      </c>
      <c r="N540" t="s">
        <v>988</v>
      </c>
    </row>
    <row r="541" spans="1:14" hidden="1" x14ac:dyDescent="0.3">
      <c r="A541">
        <v>396</v>
      </c>
      <c r="B541" t="s">
        <v>1353</v>
      </c>
      <c r="C541" t="s">
        <v>2670</v>
      </c>
      <c r="D541" t="s">
        <v>1203</v>
      </c>
      <c r="E541" t="s">
        <v>1204</v>
      </c>
      <c r="F541">
        <v>7555</v>
      </c>
      <c r="G541" t="s">
        <v>2673</v>
      </c>
      <c r="H541" t="s">
        <v>2665</v>
      </c>
      <c r="I541">
        <v>11228</v>
      </c>
      <c r="J541">
        <v>11055</v>
      </c>
      <c r="K541">
        <v>11047</v>
      </c>
      <c r="L541">
        <v>11041</v>
      </c>
      <c r="M541">
        <v>11129</v>
      </c>
      <c r="N541" t="s">
        <v>988</v>
      </c>
    </row>
    <row r="542" spans="1:14" hidden="1" x14ac:dyDescent="0.3">
      <c r="A542">
        <v>397</v>
      </c>
      <c r="B542" t="s">
        <v>1354</v>
      </c>
      <c r="C542" t="s">
        <v>2670</v>
      </c>
      <c r="D542" t="s">
        <v>1203</v>
      </c>
      <c r="E542" t="s">
        <v>1204</v>
      </c>
      <c r="F542">
        <v>5858</v>
      </c>
      <c r="G542" t="s">
        <v>2673</v>
      </c>
      <c r="H542" t="s">
        <v>2665</v>
      </c>
      <c r="I542">
        <v>790</v>
      </c>
      <c r="J542">
        <v>787</v>
      </c>
      <c r="K542">
        <v>784</v>
      </c>
      <c r="L542">
        <v>780</v>
      </c>
      <c r="M542">
        <v>778</v>
      </c>
      <c r="N542" t="s">
        <v>988</v>
      </c>
    </row>
    <row r="543" spans="1:14" hidden="1" x14ac:dyDescent="0.3">
      <c r="A543">
        <v>397</v>
      </c>
      <c r="B543" t="s">
        <v>1354</v>
      </c>
      <c r="C543" t="s">
        <v>2670</v>
      </c>
      <c r="D543" t="s">
        <v>1203</v>
      </c>
      <c r="E543" t="s">
        <v>1204</v>
      </c>
      <c r="F543">
        <v>5858</v>
      </c>
      <c r="G543" t="s">
        <v>2673</v>
      </c>
      <c r="H543" t="s">
        <v>2664</v>
      </c>
      <c r="I543">
        <v>790</v>
      </c>
      <c r="J543">
        <v>787</v>
      </c>
      <c r="K543">
        <v>784</v>
      </c>
      <c r="L543">
        <v>780</v>
      </c>
      <c r="M543">
        <v>778</v>
      </c>
      <c r="N543" t="s">
        <v>988</v>
      </c>
    </row>
    <row r="544" spans="1:14" hidden="1" x14ac:dyDescent="0.3">
      <c r="A544">
        <v>397</v>
      </c>
      <c r="B544" t="s">
        <v>1354</v>
      </c>
      <c r="C544" t="s">
        <v>2670</v>
      </c>
      <c r="D544" t="s">
        <v>1203</v>
      </c>
      <c r="E544" t="s">
        <v>1204</v>
      </c>
      <c r="F544">
        <v>5858</v>
      </c>
      <c r="G544" t="s">
        <v>2676</v>
      </c>
      <c r="H544" t="s">
        <v>2664</v>
      </c>
      <c r="I544">
        <v>790</v>
      </c>
      <c r="J544">
        <v>787</v>
      </c>
      <c r="K544">
        <v>784</v>
      </c>
      <c r="L544">
        <v>780</v>
      </c>
      <c r="M544">
        <v>778</v>
      </c>
      <c r="N544" t="s">
        <v>988</v>
      </c>
    </row>
    <row r="545" spans="1:14" hidden="1" x14ac:dyDescent="0.3">
      <c r="A545">
        <v>397</v>
      </c>
      <c r="B545" t="s">
        <v>1354</v>
      </c>
      <c r="C545" t="s">
        <v>2670</v>
      </c>
      <c r="D545" t="s">
        <v>1203</v>
      </c>
      <c r="E545" t="s">
        <v>1204</v>
      </c>
      <c r="F545">
        <v>5858</v>
      </c>
      <c r="G545" t="s">
        <v>2676</v>
      </c>
      <c r="H545" t="s">
        <v>2665</v>
      </c>
      <c r="I545">
        <v>790</v>
      </c>
      <c r="J545">
        <v>787</v>
      </c>
      <c r="K545">
        <v>784</v>
      </c>
      <c r="L545">
        <v>780</v>
      </c>
      <c r="M545">
        <v>778</v>
      </c>
      <c r="N545" t="s">
        <v>988</v>
      </c>
    </row>
    <row r="546" spans="1:14" hidden="1" x14ac:dyDescent="0.3">
      <c r="A546">
        <v>397</v>
      </c>
      <c r="B546" t="s">
        <v>1354</v>
      </c>
      <c r="C546" t="s">
        <v>2670</v>
      </c>
      <c r="D546" t="s">
        <v>1203</v>
      </c>
      <c r="E546" t="s">
        <v>1204</v>
      </c>
      <c r="F546">
        <v>5858</v>
      </c>
      <c r="G546" t="s">
        <v>2671</v>
      </c>
      <c r="H546" t="s">
        <v>2664</v>
      </c>
      <c r="I546">
        <v>790</v>
      </c>
      <c r="J546">
        <v>787</v>
      </c>
      <c r="K546">
        <v>784</v>
      </c>
      <c r="L546">
        <v>780</v>
      </c>
      <c r="M546">
        <v>778</v>
      </c>
      <c r="N546" t="s">
        <v>988</v>
      </c>
    </row>
    <row r="547" spans="1:14" hidden="1" x14ac:dyDescent="0.3">
      <c r="A547">
        <v>397</v>
      </c>
      <c r="B547" t="s">
        <v>1354</v>
      </c>
      <c r="C547" t="s">
        <v>2670</v>
      </c>
      <c r="D547" t="s">
        <v>1203</v>
      </c>
      <c r="E547" t="s">
        <v>1204</v>
      </c>
      <c r="F547">
        <v>5858</v>
      </c>
      <c r="G547" t="s">
        <v>2671</v>
      </c>
      <c r="H547" t="s">
        <v>2665</v>
      </c>
      <c r="I547">
        <v>790</v>
      </c>
      <c r="J547">
        <v>787</v>
      </c>
      <c r="K547">
        <v>784</v>
      </c>
      <c r="L547">
        <v>780</v>
      </c>
      <c r="M547">
        <v>778</v>
      </c>
      <c r="N547" t="s">
        <v>988</v>
      </c>
    </row>
    <row r="548" spans="1:14" hidden="1" x14ac:dyDescent="0.3">
      <c r="A548">
        <v>397</v>
      </c>
      <c r="B548" t="s">
        <v>1354</v>
      </c>
      <c r="C548" t="s">
        <v>2670</v>
      </c>
      <c r="D548" t="s">
        <v>1203</v>
      </c>
      <c r="E548" t="s">
        <v>1204</v>
      </c>
      <c r="F548">
        <v>5858</v>
      </c>
      <c r="G548" t="s">
        <v>2672</v>
      </c>
      <c r="H548" t="s">
        <v>2664</v>
      </c>
      <c r="N548" t="s">
        <v>988</v>
      </c>
    </row>
    <row r="549" spans="1:14" hidden="1" x14ac:dyDescent="0.3">
      <c r="A549">
        <v>397</v>
      </c>
      <c r="B549" t="s">
        <v>1354</v>
      </c>
      <c r="C549" t="s">
        <v>2670</v>
      </c>
      <c r="D549" t="s">
        <v>1203</v>
      </c>
      <c r="E549" t="s">
        <v>1204</v>
      </c>
      <c r="F549">
        <v>5858</v>
      </c>
      <c r="G549" t="s">
        <v>2675</v>
      </c>
      <c r="H549" t="s">
        <v>2664</v>
      </c>
      <c r="I549">
        <v>790</v>
      </c>
      <c r="J549">
        <v>787</v>
      </c>
      <c r="K549">
        <v>784</v>
      </c>
      <c r="L549">
        <v>780</v>
      </c>
      <c r="M549">
        <v>778</v>
      </c>
      <c r="N549" t="s">
        <v>988</v>
      </c>
    </row>
    <row r="550" spans="1:14" hidden="1" x14ac:dyDescent="0.3">
      <c r="A550">
        <v>397</v>
      </c>
      <c r="B550" t="s">
        <v>1354</v>
      </c>
      <c r="C550" t="s">
        <v>2670</v>
      </c>
      <c r="D550" t="s">
        <v>1203</v>
      </c>
      <c r="E550" t="s">
        <v>1204</v>
      </c>
      <c r="F550">
        <v>5858</v>
      </c>
      <c r="G550" t="s">
        <v>2672</v>
      </c>
      <c r="H550" t="s">
        <v>2665</v>
      </c>
      <c r="N550" t="s">
        <v>988</v>
      </c>
    </row>
    <row r="551" spans="1:14" hidden="1" x14ac:dyDescent="0.3">
      <c r="A551">
        <v>397</v>
      </c>
      <c r="B551" t="s">
        <v>1354</v>
      </c>
      <c r="C551" t="s">
        <v>2670</v>
      </c>
      <c r="D551" t="s">
        <v>1203</v>
      </c>
      <c r="E551" t="s">
        <v>1204</v>
      </c>
      <c r="F551">
        <v>5858</v>
      </c>
      <c r="G551" t="s">
        <v>2675</v>
      </c>
      <c r="H551" t="s">
        <v>2665</v>
      </c>
      <c r="I551">
        <v>790</v>
      </c>
      <c r="J551">
        <v>787</v>
      </c>
      <c r="K551">
        <v>784</v>
      </c>
      <c r="L551">
        <v>780</v>
      </c>
      <c r="M551">
        <v>778</v>
      </c>
      <c r="N551" t="s">
        <v>988</v>
      </c>
    </row>
    <row r="552" spans="1:14" hidden="1" x14ac:dyDescent="0.3">
      <c r="A552">
        <v>397</v>
      </c>
      <c r="B552" t="s">
        <v>1354</v>
      </c>
      <c r="C552" t="s">
        <v>2670</v>
      </c>
      <c r="D552" t="s">
        <v>1203</v>
      </c>
      <c r="E552" t="s">
        <v>1204</v>
      </c>
      <c r="F552">
        <v>5858</v>
      </c>
      <c r="G552" t="s">
        <v>2674</v>
      </c>
      <c r="H552" t="s">
        <v>2664</v>
      </c>
      <c r="I552">
        <v>790</v>
      </c>
      <c r="J552">
        <v>787</v>
      </c>
      <c r="K552">
        <v>784</v>
      </c>
      <c r="L552">
        <v>780</v>
      </c>
      <c r="M552">
        <v>778</v>
      </c>
      <c r="N552" t="s">
        <v>988</v>
      </c>
    </row>
    <row r="553" spans="1:14" hidden="1" x14ac:dyDescent="0.3">
      <c r="A553">
        <v>397</v>
      </c>
      <c r="B553" t="s">
        <v>1354</v>
      </c>
      <c r="C553" t="s">
        <v>2670</v>
      </c>
      <c r="D553" t="s">
        <v>1203</v>
      </c>
      <c r="E553" t="s">
        <v>1204</v>
      </c>
      <c r="F553">
        <v>5858</v>
      </c>
      <c r="G553" t="s">
        <v>2674</v>
      </c>
      <c r="H553" t="s">
        <v>2665</v>
      </c>
      <c r="I553">
        <v>790</v>
      </c>
      <c r="J553">
        <v>787</v>
      </c>
      <c r="K553">
        <v>784</v>
      </c>
      <c r="L553">
        <v>780</v>
      </c>
      <c r="M553">
        <v>778</v>
      </c>
      <c r="N553" t="s">
        <v>988</v>
      </c>
    </row>
    <row r="554" spans="1:14" hidden="1" x14ac:dyDescent="0.3">
      <c r="A554">
        <v>398</v>
      </c>
      <c r="B554" t="s">
        <v>1355</v>
      </c>
      <c r="C554" t="s">
        <v>2670</v>
      </c>
      <c r="D554" t="s">
        <v>1203</v>
      </c>
      <c r="E554" t="s">
        <v>1204</v>
      </c>
      <c r="F554">
        <v>5857</v>
      </c>
      <c r="G554" t="s">
        <v>2676</v>
      </c>
      <c r="H554" t="s">
        <v>2665</v>
      </c>
      <c r="I554">
        <v>1762</v>
      </c>
      <c r="J554">
        <v>1772</v>
      </c>
      <c r="K554">
        <v>1814</v>
      </c>
      <c r="L554">
        <v>1856</v>
      </c>
      <c r="M554">
        <v>1906</v>
      </c>
      <c r="N554" t="s">
        <v>988</v>
      </c>
    </row>
    <row r="555" spans="1:14" hidden="1" x14ac:dyDescent="0.3">
      <c r="A555">
        <v>398</v>
      </c>
      <c r="B555" t="s">
        <v>1355</v>
      </c>
      <c r="C555" t="s">
        <v>2670</v>
      </c>
      <c r="D555" t="s">
        <v>1203</v>
      </c>
      <c r="E555" t="s">
        <v>1204</v>
      </c>
      <c r="F555">
        <v>5857</v>
      </c>
      <c r="G555" t="s">
        <v>2675</v>
      </c>
      <c r="H555" t="s">
        <v>2665</v>
      </c>
      <c r="I555">
        <v>1762</v>
      </c>
      <c r="J555">
        <v>1772</v>
      </c>
      <c r="K555">
        <v>1814</v>
      </c>
      <c r="L555">
        <v>1856</v>
      </c>
      <c r="M555">
        <v>1906</v>
      </c>
      <c r="N555" t="s">
        <v>988</v>
      </c>
    </row>
    <row r="556" spans="1:14" hidden="1" x14ac:dyDescent="0.3">
      <c r="A556">
        <v>398</v>
      </c>
      <c r="B556" t="s">
        <v>1355</v>
      </c>
      <c r="C556" t="s">
        <v>2670</v>
      </c>
      <c r="D556" t="s">
        <v>1203</v>
      </c>
      <c r="E556" t="s">
        <v>1204</v>
      </c>
      <c r="F556">
        <v>5857</v>
      </c>
      <c r="G556" t="s">
        <v>2674</v>
      </c>
      <c r="H556" t="s">
        <v>2664</v>
      </c>
      <c r="I556">
        <v>1762</v>
      </c>
      <c r="J556">
        <v>1772</v>
      </c>
      <c r="K556">
        <v>1814</v>
      </c>
      <c r="L556">
        <v>1856</v>
      </c>
      <c r="M556">
        <v>1906</v>
      </c>
      <c r="N556" t="s">
        <v>988</v>
      </c>
    </row>
    <row r="557" spans="1:14" hidden="1" x14ac:dyDescent="0.3">
      <c r="A557">
        <v>398</v>
      </c>
      <c r="B557" t="s">
        <v>1355</v>
      </c>
      <c r="C557" t="s">
        <v>2670</v>
      </c>
      <c r="D557" t="s">
        <v>1203</v>
      </c>
      <c r="E557" t="s">
        <v>1204</v>
      </c>
      <c r="F557">
        <v>5857</v>
      </c>
      <c r="G557" t="s">
        <v>2674</v>
      </c>
      <c r="H557" t="s">
        <v>2665</v>
      </c>
      <c r="I557">
        <v>1762</v>
      </c>
      <c r="J557">
        <v>1772</v>
      </c>
      <c r="K557">
        <v>1814</v>
      </c>
      <c r="L557">
        <v>1856</v>
      </c>
      <c r="M557">
        <v>1906</v>
      </c>
      <c r="N557" t="s">
        <v>988</v>
      </c>
    </row>
    <row r="558" spans="1:14" hidden="1" x14ac:dyDescent="0.3">
      <c r="A558">
        <v>398</v>
      </c>
      <c r="B558" t="s">
        <v>1355</v>
      </c>
      <c r="C558" t="s">
        <v>2670</v>
      </c>
      <c r="D558" t="s">
        <v>1203</v>
      </c>
      <c r="E558" t="s">
        <v>1204</v>
      </c>
      <c r="F558">
        <v>5857</v>
      </c>
      <c r="G558" t="s">
        <v>2673</v>
      </c>
      <c r="H558" t="s">
        <v>2664</v>
      </c>
      <c r="I558">
        <v>1762</v>
      </c>
      <c r="J558">
        <v>1772</v>
      </c>
      <c r="K558">
        <v>1814</v>
      </c>
      <c r="L558">
        <v>1856</v>
      </c>
      <c r="M558">
        <v>1906</v>
      </c>
      <c r="N558" t="s">
        <v>988</v>
      </c>
    </row>
    <row r="559" spans="1:14" hidden="1" x14ac:dyDescent="0.3">
      <c r="A559">
        <v>398</v>
      </c>
      <c r="B559" t="s">
        <v>1355</v>
      </c>
      <c r="C559" t="s">
        <v>2670</v>
      </c>
      <c r="D559" t="s">
        <v>1203</v>
      </c>
      <c r="E559" t="s">
        <v>1204</v>
      </c>
      <c r="F559">
        <v>5857</v>
      </c>
      <c r="G559" t="s">
        <v>2675</v>
      </c>
      <c r="H559" t="s">
        <v>2664</v>
      </c>
      <c r="I559">
        <v>1762</v>
      </c>
      <c r="J559">
        <v>1772</v>
      </c>
      <c r="K559">
        <v>1814</v>
      </c>
      <c r="L559">
        <v>1856</v>
      </c>
      <c r="M559">
        <v>1906</v>
      </c>
      <c r="N559" t="s">
        <v>988</v>
      </c>
    </row>
    <row r="560" spans="1:14" hidden="1" x14ac:dyDescent="0.3">
      <c r="A560">
        <v>398</v>
      </c>
      <c r="B560" t="s">
        <v>1355</v>
      </c>
      <c r="C560" t="s">
        <v>2670</v>
      </c>
      <c r="D560" t="s">
        <v>1203</v>
      </c>
      <c r="E560" t="s">
        <v>1204</v>
      </c>
      <c r="F560">
        <v>5857</v>
      </c>
      <c r="G560" t="s">
        <v>2671</v>
      </c>
      <c r="H560" t="s">
        <v>2664</v>
      </c>
      <c r="I560">
        <v>1762</v>
      </c>
      <c r="J560">
        <v>1772</v>
      </c>
      <c r="K560">
        <v>1814</v>
      </c>
      <c r="L560">
        <v>1856</v>
      </c>
      <c r="M560">
        <v>1906</v>
      </c>
      <c r="N560" t="s">
        <v>988</v>
      </c>
    </row>
    <row r="561" spans="1:14" hidden="1" x14ac:dyDescent="0.3">
      <c r="A561">
        <v>398</v>
      </c>
      <c r="B561" t="s">
        <v>1355</v>
      </c>
      <c r="C561" t="s">
        <v>2670</v>
      </c>
      <c r="D561" t="s">
        <v>1203</v>
      </c>
      <c r="E561" t="s">
        <v>1204</v>
      </c>
      <c r="F561">
        <v>5857</v>
      </c>
      <c r="G561" t="s">
        <v>2671</v>
      </c>
      <c r="H561" t="s">
        <v>2665</v>
      </c>
      <c r="I561">
        <v>1762</v>
      </c>
      <c r="J561">
        <v>1772</v>
      </c>
      <c r="K561">
        <v>1814</v>
      </c>
      <c r="L561">
        <v>1856</v>
      </c>
      <c r="M561">
        <v>1906</v>
      </c>
      <c r="N561" t="s">
        <v>988</v>
      </c>
    </row>
    <row r="562" spans="1:14" hidden="1" x14ac:dyDescent="0.3">
      <c r="A562">
        <v>398</v>
      </c>
      <c r="B562" t="s">
        <v>1355</v>
      </c>
      <c r="C562" t="s">
        <v>2670</v>
      </c>
      <c r="D562" t="s">
        <v>1203</v>
      </c>
      <c r="E562" t="s">
        <v>1204</v>
      </c>
      <c r="F562">
        <v>5857</v>
      </c>
      <c r="G562" t="s">
        <v>2672</v>
      </c>
      <c r="H562" t="s">
        <v>2664</v>
      </c>
      <c r="N562" t="s">
        <v>988</v>
      </c>
    </row>
    <row r="563" spans="1:14" hidden="1" x14ac:dyDescent="0.3">
      <c r="A563">
        <v>398</v>
      </c>
      <c r="B563" t="s">
        <v>1355</v>
      </c>
      <c r="C563" t="s">
        <v>2670</v>
      </c>
      <c r="D563" t="s">
        <v>1203</v>
      </c>
      <c r="E563" t="s">
        <v>1204</v>
      </c>
      <c r="F563">
        <v>5857</v>
      </c>
      <c r="G563" t="s">
        <v>2672</v>
      </c>
      <c r="H563" t="s">
        <v>2665</v>
      </c>
      <c r="N563" t="s">
        <v>988</v>
      </c>
    </row>
    <row r="564" spans="1:14" hidden="1" x14ac:dyDescent="0.3">
      <c r="A564">
        <v>398</v>
      </c>
      <c r="B564" t="s">
        <v>1355</v>
      </c>
      <c r="C564" t="s">
        <v>2670</v>
      </c>
      <c r="D564" t="s">
        <v>1203</v>
      </c>
      <c r="E564" t="s">
        <v>1204</v>
      </c>
      <c r="F564">
        <v>5857</v>
      </c>
      <c r="G564" t="s">
        <v>2676</v>
      </c>
      <c r="H564" t="s">
        <v>2664</v>
      </c>
      <c r="I564">
        <v>1762</v>
      </c>
      <c r="J564">
        <v>1772</v>
      </c>
      <c r="K564">
        <v>1814</v>
      </c>
      <c r="L564">
        <v>1856</v>
      </c>
      <c r="M564">
        <v>1906</v>
      </c>
      <c r="N564" t="s">
        <v>988</v>
      </c>
    </row>
    <row r="565" spans="1:14" hidden="1" x14ac:dyDescent="0.3">
      <c r="A565">
        <v>398</v>
      </c>
      <c r="B565" t="s">
        <v>1355</v>
      </c>
      <c r="C565" t="s">
        <v>2670</v>
      </c>
      <c r="D565" t="s">
        <v>1203</v>
      </c>
      <c r="E565" t="s">
        <v>1204</v>
      </c>
      <c r="F565">
        <v>5857</v>
      </c>
      <c r="G565" t="s">
        <v>2673</v>
      </c>
      <c r="H565" t="s">
        <v>2665</v>
      </c>
      <c r="I565">
        <v>1762</v>
      </c>
      <c r="J565">
        <v>1772</v>
      </c>
      <c r="K565">
        <v>1814</v>
      </c>
      <c r="L565">
        <v>1856</v>
      </c>
      <c r="M565">
        <v>1906</v>
      </c>
      <c r="N565" t="s">
        <v>988</v>
      </c>
    </row>
    <row r="566" spans="1:14" hidden="1" x14ac:dyDescent="0.3">
      <c r="A566">
        <v>401</v>
      </c>
      <c r="B566" t="s">
        <v>1356</v>
      </c>
      <c r="C566" t="s">
        <v>2670</v>
      </c>
      <c r="D566" t="s">
        <v>1203</v>
      </c>
      <c r="E566" t="s">
        <v>1204</v>
      </c>
      <c r="F566">
        <v>5859</v>
      </c>
      <c r="G566" t="s">
        <v>2674</v>
      </c>
      <c r="H566" t="s">
        <v>2665</v>
      </c>
      <c r="I566">
        <v>9822</v>
      </c>
      <c r="J566">
        <v>9846</v>
      </c>
      <c r="K566">
        <v>10006</v>
      </c>
      <c r="L566">
        <v>10047</v>
      </c>
      <c r="M566">
        <v>10128</v>
      </c>
      <c r="N566" t="s">
        <v>988</v>
      </c>
    </row>
    <row r="567" spans="1:14" hidden="1" x14ac:dyDescent="0.3">
      <c r="A567">
        <v>401</v>
      </c>
      <c r="B567" t="s">
        <v>1356</v>
      </c>
      <c r="C567" t="s">
        <v>2670</v>
      </c>
      <c r="D567" t="s">
        <v>1203</v>
      </c>
      <c r="E567" t="s">
        <v>1204</v>
      </c>
      <c r="F567">
        <v>5859</v>
      </c>
      <c r="G567" t="s">
        <v>2673</v>
      </c>
      <c r="H567" t="s">
        <v>2664</v>
      </c>
      <c r="I567">
        <v>9822</v>
      </c>
      <c r="J567">
        <v>9846</v>
      </c>
      <c r="K567">
        <v>10006</v>
      </c>
      <c r="L567">
        <v>10047</v>
      </c>
      <c r="M567">
        <v>10128</v>
      </c>
      <c r="N567" t="s">
        <v>988</v>
      </c>
    </row>
    <row r="568" spans="1:14" hidden="1" x14ac:dyDescent="0.3">
      <c r="A568">
        <v>401</v>
      </c>
      <c r="B568" t="s">
        <v>1356</v>
      </c>
      <c r="C568" t="s">
        <v>2670</v>
      </c>
      <c r="D568" t="s">
        <v>1203</v>
      </c>
      <c r="E568" t="s">
        <v>1204</v>
      </c>
      <c r="F568">
        <v>5859</v>
      </c>
      <c r="G568" t="s">
        <v>2673</v>
      </c>
      <c r="H568" t="s">
        <v>2665</v>
      </c>
      <c r="I568">
        <v>9822</v>
      </c>
      <c r="J568">
        <v>9846</v>
      </c>
      <c r="K568">
        <v>10006</v>
      </c>
      <c r="L568">
        <v>10047</v>
      </c>
      <c r="M568">
        <v>10128</v>
      </c>
      <c r="N568" t="s">
        <v>988</v>
      </c>
    </row>
    <row r="569" spans="1:14" hidden="1" x14ac:dyDescent="0.3">
      <c r="A569">
        <v>401</v>
      </c>
      <c r="B569" t="s">
        <v>1356</v>
      </c>
      <c r="C569" t="s">
        <v>2670</v>
      </c>
      <c r="D569" t="s">
        <v>1203</v>
      </c>
      <c r="E569" t="s">
        <v>1204</v>
      </c>
      <c r="F569">
        <v>5859</v>
      </c>
      <c r="G569" t="s">
        <v>2671</v>
      </c>
      <c r="H569" t="s">
        <v>2664</v>
      </c>
      <c r="I569">
        <v>9822</v>
      </c>
      <c r="J569">
        <v>9846</v>
      </c>
      <c r="K569">
        <v>10006</v>
      </c>
      <c r="L569">
        <v>10047</v>
      </c>
      <c r="M569">
        <v>10128</v>
      </c>
      <c r="N569" t="s">
        <v>988</v>
      </c>
    </row>
    <row r="570" spans="1:14" hidden="1" x14ac:dyDescent="0.3">
      <c r="A570">
        <v>401</v>
      </c>
      <c r="B570" t="s">
        <v>1356</v>
      </c>
      <c r="C570" t="s">
        <v>2670</v>
      </c>
      <c r="D570" t="s">
        <v>1203</v>
      </c>
      <c r="E570" t="s">
        <v>1204</v>
      </c>
      <c r="F570">
        <v>5859</v>
      </c>
      <c r="G570" t="s">
        <v>2671</v>
      </c>
      <c r="H570" t="s">
        <v>2665</v>
      </c>
      <c r="I570">
        <v>9822</v>
      </c>
      <c r="J570">
        <v>9846</v>
      </c>
      <c r="K570">
        <v>10006</v>
      </c>
      <c r="L570">
        <v>10047</v>
      </c>
      <c r="M570">
        <v>10128</v>
      </c>
      <c r="N570" t="s">
        <v>988</v>
      </c>
    </row>
    <row r="571" spans="1:14" hidden="1" x14ac:dyDescent="0.3">
      <c r="A571">
        <v>401</v>
      </c>
      <c r="B571" t="s">
        <v>1356</v>
      </c>
      <c r="C571" t="s">
        <v>2670</v>
      </c>
      <c r="D571" t="s">
        <v>1203</v>
      </c>
      <c r="E571" t="s">
        <v>1204</v>
      </c>
      <c r="F571">
        <v>5859</v>
      </c>
      <c r="G571" t="s">
        <v>2674</v>
      </c>
      <c r="H571" t="s">
        <v>2664</v>
      </c>
      <c r="I571">
        <v>9822</v>
      </c>
      <c r="J571">
        <v>9846</v>
      </c>
      <c r="K571">
        <v>10006</v>
      </c>
      <c r="L571">
        <v>10047</v>
      </c>
      <c r="M571">
        <v>10128</v>
      </c>
      <c r="N571" t="s">
        <v>988</v>
      </c>
    </row>
    <row r="572" spans="1:14" hidden="1" x14ac:dyDescent="0.3">
      <c r="A572">
        <v>401</v>
      </c>
      <c r="B572" t="s">
        <v>1356</v>
      </c>
      <c r="C572" t="s">
        <v>2670</v>
      </c>
      <c r="D572" t="s">
        <v>1203</v>
      </c>
      <c r="E572" t="s">
        <v>1204</v>
      </c>
      <c r="F572">
        <v>5859</v>
      </c>
      <c r="G572" t="s">
        <v>2672</v>
      </c>
      <c r="H572" t="s">
        <v>2665</v>
      </c>
      <c r="N572" t="s">
        <v>988</v>
      </c>
    </row>
    <row r="573" spans="1:14" hidden="1" x14ac:dyDescent="0.3">
      <c r="A573">
        <v>401</v>
      </c>
      <c r="B573" t="s">
        <v>1356</v>
      </c>
      <c r="C573" t="s">
        <v>2670</v>
      </c>
      <c r="D573" t="s">
        <v>1203</v>
      </c>
      <c r="E573" t="s">
        <v>1204</v>
      </c>
      <c r="F573">
        <v>5859</v>
      </c>
      <c r="G573" t="s">
        <v>2676</v>
      </c>
      <c r="H573" t="s">
        <v>2664</v>
      </c>
      <c r="I573">
        <v>9822</v>
      </c>
      <c r="J573">
        <v>9846</v>
      </c>
      <c r="K573">
        <v>10006</v>
      </c>
      <c r="L573">
        <v>10047</v>
      </c>
      <c r="M573">
        <v>10128</v>
      </c>
      <c r="N573" t="s">
        <v>988</v>
      </c>
    </row>
    <row r="574" spans="1:14" hidden="1" x14ac:dyDescent="0.3">
      <c r="A574">
        <v>401</v>
      </c>
      <c r="B574" t="s">
        <v>1356</v>
      </c>
      <c r="C574" t="s">
        <v>2670</v>
      </c>
      <c r="D574" t="s">
        <v>1203</v>
      </c>
      <c r="E574" t="s">
        <v>1204</v>
      </c>
      <c r="F574">
        <v>5859</v>
      </c>
      <c r="G574" t="s">
        <v>2676</v>
      </c>
      <c r="H574" t="s">
        <v>2665</v>
      </c>
      <c r="I574">
        <v>9822</v>
      </c>
      <c r="J574">
        <v>9846</v>
      </c>
      <c r="K574">
        <v>10006</v>
      </c>
      <c r="L574">
        <v>10047</v>
      </c>
      <c r="M574">
        <v>10128</v>
      </c>
      <c r="N574" t="s">
        <v>988</v>
      </c>
    </row>
    <row r="575" spans="1:14" hidden="1" x14ac:dyDescent="0.3">
      <c r="A575">
        <v>401</v>
      </c>
      <c r="B575" t="s">
        <v>1356</v>
      </c>
      <c r="C575" t="s">
        <v>2670</v>
      </c>
      <c r="D575" t="s">
        <v>1203</v>
      </c>
      <c r="E575" t="s">
        <v>1204</v>
      </c>
      <c r="F575">
        <v>5859</v>
      </c>
      <c r="G575" t="s">
        <v>2675</v>
      </c>
      <c r="H575" t="s">
        <v>2664</v>
      </c>
      <c r="I575">
        <v>9822</v>
      </c>
      <c r="J575">
        <v>9846</v>
      </c>
      <c r="K575">
        <v>10006</v>
      </c>
      <c r="L575">
        <v>10047</v>
      </c>
      <c r="M575">
        <v>10128</v>
      </c>
      <c r="N575" t="s">
        <v>988</v>
      </c>
    </row>
    <row r="576" spans="1:14" hidden="1" x14ac:dyDescent="0.3">
      <c r="A576">
        <v>401</v>
      </c>
      <c r="B576" t="s">
        <v>1356</v>
      </c>
      <c r="C576" t="s">
        <v>2670</v>
      </c>
      <c r="D576" t="s">
        <v>1203</v>
      </c>
      <c r="E576" t="s">
        <v>1204</v>
      </c>
      <c r="F576">
        <v>5859</v>
      </c>
      <c r="G576" t="s">
        <v>2675</v>
      </c>
      <c r="H576" t="s">
        <v>2665</v>
      </c>
      <c r="I576">
        <v>9822</v>
      </c>
      <c r="J576">
        <v>9846</v>
      </c>
      <c r="K576">
        <v>10006</v>
      </c>
      <c r="L576">
        <v>10047</v>
      </c>
      <c r="M576">
        <v>10128</v>
      </c>
      <c r="N576" t="s">
        <v>988</v>
      </c>
    </row>
    <row r="577" spans="1:14" hidden="1" x14ac:dyDescent="0.3">
      <c r="A577">
        <v>401</v>
      </c>
      <c r="B577" t="s">
        <v>1356</v>
      </c>
      <c r="C577" t="s">
        <v>2670</v>
      </c>
      <c r="D577" t="s">
        <v>1203</v>
      </c>
      <c r="E577" t="s">
        <v>1204</v>
      </c>
      <c r="F577">
        <v>5859</v>
      </c>
      <c r="G577" t="s">
        <v>2672</v>
      </c>
      <c r="H577" t="s">
        <v>2664</v>
      </c>
      <c r="N577" t="s">
        <v>988</v>
      </c>
    </row>
    <row r="578" spans="1:14" hidden="1" x14ac:dyDescent="0.3">
      <c r="A578">
        <v>402</v>
      </c>
      <c r="B578" t="s">
        <v>1357</v>
      </c>
      <c r="C578" t="s">
        <v>2670</v>
      </c>
      <c r="D578" t="s">
        <v>1203</v>
      </c>
      <c r="E578" t="s">
        <v>1204</v>
      </c>
      <c r="F578">
        <v>5860</v>
      </c>
      <c r="G578" t="s">
        <v>2675</v>
      </c>
      <c r="H578" t="s">
        <v>2664</v>
      </c>
      <c r="I578">
        <v>14070</v>
      </c>
      <c r="J578">
        <v>14066</v>
      </c>
      <c r="K578">
        <v>14404</v>
      </c>
      <c r="L578">
        <v>14761</v>
      </c>
      <c r="M578">
        <v>15214</v>
      </c>
      <c r="N578" t="s">
        <v>988</v>
      </c>
    </row>
    <row r="579" spans="1:14" hidden="1" x14ac:dyDescent="0.3">
      <c r="A579">
        <v>402</v>
      </c>
      <c r="B579" t="s">
        <v>1357</v>
      </c>
      <c r="C579" t="s">
        <v>2670</v>
      </c>
      <c r="D579" t="s">
        <v>1203</v>
      </c>
      <c r="E579" t="s">
        <v>1204</v>
      </c>
      <c r="F579">
        <v>5860</v>
      </c>
      <c r="G579" t="s">
        <v>2675</v>
      </c>
      <c r="H579" t="s">
        <v>2665</v>
      </c>
      <c r="I579">
        <v>14070</v>
      </c>
      <c r="J579">
        <v>14066</v>
      </c>
      <c r="K579">
        <v>14404</v>
      </c>
      <c r="L579">
        <v>14761</v>
      </c>
      <c r="M579">
        <v>15214</v>
      </c>
      <c r="N579" t="s">
        <v>988</v>
      </c>
    </row>
    <row r="580" spans="1:14" hidden="1" x14ac:dyDescent="0.3">
      <c r="A580">
        <v>402</v>
      </c>
      <c r="B580" t="s">
        <v>1357</v>
      </c>
      <c r="C580" t="s">
        <v>2670</v>
      </c>
      <c r="D580" t="s">
        <v>1203</v>
      </c>
      <c r="E580" t="s">
        <v>1204</v>
      </c>
      <c r="F580">
        <v>5860</v>
      </c>
      <c r="G580" t="s">
        <v>2674</v>
      </c>
      <c r="H580" t="s">
        <v>2664</v>
      </c>
      <c r="I580">
        <v>14070</v>
      </c>
      <c r="J580">
        <v>14066</v>
      </c>
      <c r="K580">
        <v>14404</v>
      </c>
      <c r="L580">
        <v>14761</v>
      </c>
      <c r="M580">
        <v>15214</v>
      </c>
      <c r="N580" t="s">
        <v>988</v>
      </c>
    </row>
    <row r="581" spans="1:14" hidden="1" x14ac:dyDescent="0.3">
      <c r="A581">
        <v>402</v>
      </c>
      <c r="B581" t="s">
        <v>1357</v>
      </c>
      <c r="C581" t="s">
        <v>2670</v>
      </c>
      <c r="D581" t="s">
        <v>1203</v>
      </c>
      <c r="E581" t="s">
        <v>1204</v>
      </c>
      <c r="F581">
        <v>5860</v>
      </c>
      <c r="G581" t="s">
        <v>2674</v>
      </c>
      <c r="H581" t="s">
        <v>2665</v>
      </c>
      <c r="I581">
        <v>14070</v>
      </c>
      <c r="J581">
        <v>14066</v>
      </c>
      <c r="K581">
        <v>14404</v>
      </c>
      <c r="L581">
        <v>14761</v>
      </c>
      <c r="M581">
        <v>15214</v>
      </c>
      <c r="N581" t="s">
        <v>988</v>
      </c>
    </row>
    <row r="582" spans="1:14" hidden="1" x14ac:dyDescent="0.3">
      <c r="A582">
        <v>402</v>
      </c>
      <c r="B582" t="s">
        <v>1357</v>
      </c>
      <c r="C582" t="s">
        <v>2670</v>
      </c>
      <c r="D582" t="s">
        <v>1203</v>
      </c>
      <c r="E582" t="s">
        <v>1204</v>
      </c>
      <c r="F582">
        <v>5860</v>
      </c>
      <c r="G582" t="s">
        <v>2673</v>
      </c>
      <c r="H582" t="s">
        <v>2664</v>
      </c>
      <c r="I582">
        <v>14070</v>
      </c>
      <c r="J582">
        <v>14066</v>
      </c>
      <c r="K582">
        <v>14404</v>
      </c>
      <c r="L582">
        <v>14761</v>
      </c>
      <c r="M582">
        <v>15214</v>
      </c>
      <c r="N582" t="s">
        <v>988</v>
      </c>
    </row>
    <row r="583" spans="1:14" hidden="1" x14ac:dyDescent="0.3">
      <c r="A583">
        <v>402</v>
      </c>
      <c r="B583" t="s">
        <v>1357</v>
      </c>
      <c r="C583" t="s">
        <v>2670</v>
      </c>
      <c r="D583" t="s">
        <v>1203</v>
      </c>
      <c r="E583" t="s">
        <v>1204</v>
      </c>
      <c r="F583">
        <v>5860</v>
      </c>
      <c r="G583" t="s">
        <v>2673</v>
      </c>
      <c r="H583" t="s">
        <v>2665</v>
      </c>
      <c r="I583">
        <v>14070</v>
      </c>
      <c r="J583">
        <v>14066</v>
      </c>
      <c r="K583">
        <v>14404</v>
      </c>
      <c r="L583">
        <v>14761</v>
      </c>
      <c r="M583">
        <v>15214</v>
      </c>
      <c r="N583" t="s">
        <v>988</v>
      </c>
    </row>
    <row r="584" spans="1:14" hidden="1" x14ac:dyDescent="0.3">
      <c r="A584">
        <v>402</v>
      </c>
      <c r="B584" t="s">
        <v>1357</v>
      </c>
      <c r="C584" t="s">
        <v>2670</v>
      </c>
      <c r="D584" t="s">
        <v>1203</v>
      </c>
      <c r="E584" t="s">
        <v>1204</v>
      </c>
      <c r="F584">
        <v>5860</v>
      </c>
      <c r="G584" t="s">
        <v>2671</v>
      </c>
      <c r="H584" t="s">
        <v>2664</v>
      </c>
      <c r="I584">
        <v>14070</v>
      </c>
      <c r="J584">
        <v>14066</v>
      </c>
      <c r="K584">
        <v>14404</v>
      </c>
      <c r="L584">
        <v>14761</v>
      </c>
      <c r="M584">
        <v>15214</v>
      </c>
      <c r="N584" t="s">
        <v>988</v>
      </c>
    </row>
    <row r="585" spans="1:14" hidden="1" x14ac:dyDescent="0.3">
      <c r="A585">
        <v>402</v>
      </c>
      <c r="B585" t="s">
        <v>1357</v>
      </c>
      <c r="C585" t="s">
        <v>2670</v>
      </c>
      <c r="D585" t="s">
        <v>1203</v>
      </c>
      <c r="E585" t="s">
        <v>1204</v>
      </c>
      <c r="F585">
        <v>5860</v>
      </c>
      <c r="G585" t="s">
        <v>2671</v>
      </c>
      <c r="H585" t="s">
        <v>2665</v>
      </c>
      <c r="I585">
        <v>14070</v>
      </c>
      <c r="J585">
        <v>14066</v>
      </c>
      <c r="K585">
        <v>14404</v>
      </c>
      <c r="L585">
        <v>14761</v>
      </c>
      <c r="M585">
        <v>15214</v>
      </c>
      <c r="N585" t="s">
        <v>988</v>
      </c>
    </row>
    <row r="586" spans="1:14" hidden="1" x14ac:dyDescent="0.3">
      <c r="A586">
        <v>402</v>
      </c>
      <c r="B586" t="s">
        <v>1357</v>
      </c>
      <c r="C586" t="s">
        <v>2670</v>
      </c>
      <c r="D586" t="s">
        <v>1203</v>
      </c>
      <c r="E586" t="s">
        <v>1204</v>
      </c>
      <c r="F586">
        <v>5860</v>
      </c>
      <c r="G586" t="s">
        <v>2672</v>
      </c>
      <c r="H586" t="s">
        <v>2664</v>
      </c>
      <c r="N586" t="s">
        <v>988</v>
      </c>
    </row>
    <row r="587" spans="1:14" hidden="1" x14ac:dyDescent="0.3">
      <c r="A587">
        <v>402</v>
      </c>
      <c r="B587" t="s">
        <v>1357</v>
      </c>
      <c r="C587" t="s">
        <v>2670</v>
      </c>
      <c r="D587" t="s">
        <v>1203</v>
      </c>
      <c r="E587" t="s">
        <v>1204</v>
      </c>
      <c r="F587">
        <v>5860</v>
      </c>
      <c r="G587" t="s">
        <v>2676</v>
      </c>
      <c r="H587" t="s">
        <v>2665</v>
      </c>
      <c r="I587">
        <v>14070</v>
      </c>
      <c r="J587">
        <v>14066</v>
      </c>
      <c r="K587">
        <v>14404</v>
      </c>
      <c r="L587">
        <v>14761</v>
      </c>
      <c r="M587">
        <v>15214</v>
      </c>
      <c r="N587" t="s">
        <v>988</v>
      </c>
    </row>
    <row r="588" spans="1:14" hidden="1" x14ac:dyDescent="0.3">
      <c r="A588">
        <v>402</v>
      </c>
      <c r="B588" t="s">
        <v>1357</v>
      </c>
      <c r="C588" t="s">
        <v>2670</v>
      </c>
      <c r="D588" t="s">
        <v>1203</v>
      </c>
      <c r="E588" t="s">
        <v>1204</v>
      </c>
      <c r="F588">
        <v>5860</v>
      </c>
      <c r="G588" t="s">
        <v>2676</v>
      </c>
      <c r="H588" t="s">
        <v>2664</v>
      </c>
      <c r="I588">
        <v>14070</v>
      </c>
      <c r="J588">
        <v>14066</v>
      </c>
      <c r="K588">
        <v>14404</v>
      </c>
      <c r="L588">
        <v>14761</v>
      </c>
      <c r="M588">
        <v>15214</v>
      </c>
      <c r="N588" t="s">
        <v>988</v>
      </c>
    </row>
    <row r="589" spans="1:14" hidden="1" x14ac:dyDescent="0.3">
      <c r="A589">
        <v>402</v>
      </c>
      <c r="B589" t="s">
        <v>1357</v>
      </c>
      <c r="C589" t="s">
        <v>2670</v>
      </c>
      <c r="D589" t="s">
        <v>1203</v>
      </c>
      <c r="E589" t="s">
        <v>1204</v>
      </c>
      <c r="F589">
        <v>5860</v>
      </c>
      <c r="G589" t="s">
        <v>2672</v>
      </c>
      <c r="H589" t="s">
        <v>2665</v>
      </c>
      <c r="N589" t="s">
        <v>988</v>
      </c>
    </row>
    <row r="590" spans="1:14" hidden="1" x14ac:dyDescent="0.3">
      <c r="A590">
        <v>405</v>
      </c>
      <c r="B590" t="s">
        <v>1358</v>
      </c>
      <c r="C590" t="s">
        <v>2670</v>
      </c>
      <c r="D590" t="s">
        <v>1203</v>
      </c>
      <c r="E590" t="s">
        <v>1204</v>
      </c>
      <c r="F590">
        <v>5861</v>
      </c>
      <c r="G590" t="s">
        <v>2672</v>
      </c>
      <c r="H590" t="s">
        <v>2665</v>
      </c>
      <c r="N590" t="s">
        <v>988</v>
      </c>
    </row>
    <row r="591" spans="1:14" hidden="1" x14ac:dyDescent="0.3">
      <c r="A591">
        <v>405</v>
      </c>
      <c r="B591" t="s">
        <v>1358</v>
      </c>
      <c r="C591" t="s">
        <v>2670</v>
      </c>
      <c r="D591" t="s">
        <v>1203</v>
      </c>
      <c r="E591" t="s">
        <v>1204</v>
      </c>
      <c r="F591">
        <v>5861</v>
      </c>
      <c r="G591" t="s">
        <v>2672</v>
      </c>
      <c r="H591" t="s">
        <v>2664</v>
      </c>
      <c r="N591" t="s">
        <v>988</v>
      </c>
    </row>
    <row r="592" spans="1:14" hidden="1" x14ac:dyDescent="0.3">
      <c r="A592">
        <v>405</v>
      </c>
      <c r="B592" t="s">
        <v>1358</v>
      </c>
      <c r="C592" t="s">
        <v>2670</v>
      </c>
      <c r="D592" t="s">
        <v>1203</v>
      </c>
      <c r="E592" t="s">
        <v>1204</v>
      </c>
      <c r="F592">
        <v>5861</v>
      </c>
      <c r="G592" t="s">
        <v>2676</v>
      </c>
      <c r="H592" t="s">
        <v>2664</v>
      </c>
      <c r="I592">
        <v>2084</v>
      </c>
      <c r="J592">
        <v>2057</v>
      </c>
      <c r="K592">
        <v>2036</v>
      </c>
      <c r="L592">
        <v>2019</v>
      </c>
      <c r="M592">
        <v>2011</v>
      </c>
      <c r="N592" t="s">
        <v>988</v>
      </c>
    </row>
    <row r="593" spans="1:14" hidden="1" x14ac:dyDescent="0.3">
      <c r="A593">
        <v>405</v>
      </c>
      <c r="B593" t="s">
        <v>1358</v>
      </c>
      <c r="C593" t="s">
        <v>2670</v>
      </c>
      <c r="D593" t="s">
        <v>1203</v>
      </c>
      <c r="E593" t="s">
        <v>1204</v>
      </c>
      <c r="F593">
        <v>5861</v>
      </c>
      <c r="G593" t="s">
        <v>2676</v>
      </c>
      <c r="H593" t="s">
        <v>2665</v>
      </c>
      <c r="I593">
        <v>2084</v>
      </c>
      <c r="J593">
        <v>2057</v>
      </c>
      <c r="K593">
        <v>2036</v>
      </c>
      <c r="L593">
        <v>2019</v>
      </c>
      <c r="M593">
        <v>2011</v>
      </c>
      <c r="N593" t="s">
        <v>988</v>
      </c>
    </row>
    <row r="594" spans="1:14" hidden="1" x14ac:dyDescent="0.3">
      <c r="A594">
        <v>405</v>
      </c>
      <c r="B594" t="s">
        <v>1358</v>
      </c>
      <c r="C594" t="s">
        <v>2670</v>
      </c>
      <c r="D594" t="s">
        <v>1203</v>
      </c>
      <c r="E594" t="s">
        <v>1204</v>
      </c>
      <c r="F594">
        <v>5861</v>
      </c>
      <c r="G594" t="s">
        <v>2675</v>
      </c>
      <c r="H594" t="s">
        <v>2664</v>
      </c>
      <c r="I594">
        <v>2084</v>
      </c>
      <c r="J594">
        <v>2057</v>
      </c>
      <c r="K594">
        <v>2036</v>
      </c>
      <c r="L594">
        <v>2019</v>
      </c>
      <c r="M594">
        <v>2011</v>
      </c>
      <c r="N594" t="s">
        <v>988</v>
      </c>
    </row>
    <row r="595" spans="1:14" hidden="1" x14ac:dyDescent="0.3">
      <c r="A595">
        <v>405</v>
      </c>
      <c r="B595" t="s">
        <v>1358</v>
      </c>
      <c r="C595" t="s">
        <v>2670</v>
      </c>
      <c r="D595" t="s">
        <v>1203</v>
      </c>
      <c r="E595" t="s">
        <v>1204</v>
      </c>
      <c r="F595">
        <v>5861</v>
      </c>
      <c r="G595" t="s">
        <v>2675</v>
      </c>
      <c r="H595" t="s">
        <v>2665</v>
      </c>
      <c r="I595">
        <v>2084</v>
      </c>
      <c r="J595">
        <v>2057</v>
      </c>
      <c r="K595">
        <v>2036</v>
      </c>
      <c r="L595">
        <v>2019</v>
      </c>
      <c r="M595">
        <v>2011</v>
      </c>
      <c r="N595" t="s">
        <v>988</v>
      </c>
    </row>
    <row r="596" spans="1:14" hidden="1" x14ac:dyDescent="0.3">
      <c r="A596">
        <v>405</v>
      </c>
      <c r="B596" t="s">
        <v>1358</v>
      </c>
      <c r="C596" t="s">
        <v>2670</v>
      </c>
      <c r="D596" t="s">
        <v>1203</v>
      </c>
      <c r="E596" t="s">
        <v>1204</v>
      </c>
      <c r="F596">
        <v>5861</v>
      </c>
      <c r="G596" t="s">
        <v>2674</v>
      </c>
      <c r="H596" t="s">
        <v>2664</v>
      </c>
      <c r="I596">
        <v>2084</v>
      </c>
      <c r="J596">
        <v>2057</v>
      </c>
      <c r="K596">
        <v>2036</v>
      </c>
      <c r="L596">
        <v>2019</v>
      </c>
      <c r="M596">
        <v>2011</v>
      </c>
      <c r="N596" t="s">
        <v>988</v>
      </c>
    </row>
    <row r="597" spans="1:14" hidden="1" x14ac:dyDescent="0.3">
      <c r="A597">
        <v>405</v>
      </c>
      <c r="B597" t="s">
        <v>1358</v>
      </c>
      <c r="C597" t="s">
        <v>2670</v>
      </c>
      <c r="D597" t="s">
        <v>1203</v>
      </c>
      <c r="E597" t="s">
        <v>1204</v>
      </c>
      <c r="F597">
        <v>5861</v>
      </c>
      <c r="G597" t="s">
        <v>2674</v>
      </c>
      <c r="H597" t="s">
        <v>2665</v>
      </c>
      <c r="I597">
        <v>2084</v>
      </c>
      <c r="J597">
        <v>2057</v>
      </c>
      <c r="K597">
        <v>2036</v>
      </c>
      <c r="L597">
        <v>2019</v>
      </c>
      <c r="M597">
        <v>2011</v>
      </c>
      <c r="N597" t="s">
        <v>988</v>
      </c>
    </row>
    <row r="598" spans="1:14" hidden="1" x14ac:dyDescent="0.3">
      <c r="A598">
        <v>405</v>
      </c>
      <c r="B598" t="s">
        <v>1358</v>
      </c>
      <c r="C598" t="s">
        <v>2670</v>
      </c>
      <c r="D598" t="s">
        <v>1203</v>
      </c>
      <c r="E598" t="s">
        <v>1204</v>
      </c>
      <c r="F598">
        <v>5861</v>
      </c>
      <c r="G598" t="s">
        <v>2673</v>
      </c>
      <c r="H598" t="s">
        <v>2664</v>
      </c>
      <c r="I598">
        <v>2084</v>
      </c>
      <c r="J598">
        <v>2057</v>
      </c>
      <c r="K598">
        <v>2036</v>
      </c>
      <c r="L598">
        <v>2019</v>
      </c>
      <c r="M598">
        <v>2011</v>
      </c>
      <c r="N598" t="s">
        <v>988</v>
      </c>
    </row>
    <row r="599" spans="1:14" hidden="1" x14ac:dyDescent="0.3">
      <c r="A599">
        <v>405</v>
      </c>
      <c r="B599" t="s">
        <v>1358</v>
      </c>
      <c r="C599" t="s">
        <v>2670</v>
      </c>
      <c r="D599" t="s">
        <v>1203</v>
      </c>
      <c r="E599" t="s">
        <v>1204</v>
      </c>
      <c r="F599">
        <v>5861</v>
      </c>
      <c r="G599" t="s">
        <v>2673</v>
      </c>
      <c r="H599" t="s">
        <v>2665</v>
      </c>
      <c r="I599">
        <v>2084</v>
      </c>
      <c r="J599">
        <v>2057</v>
      </c>
      <c r="K599">
        <v>2036</v>
      </c>
      <c r="L599">
        <v>2019</v>
      </c>
      <c r="M599">
        <v>2011</v>
      </c>
      <c r="N599" t="s">
        <v>988</v>
      </c>
    </row>
    <row r="600" spans="1:14" hidden="1" x14ac:dyDescent="0.3">
      <c r="A600">
        <v>405</v>
      </c>
      <c r="B600" t="s">
        <v>1358</v>
      </c>
      <c r="C600" t="s">
        <v>2670</v>
      </c>
      <c r="D600" t="s">
        <v>1203</v>
      </c>
      <c r="E600" t="s">
        <v>1204</v>
      </c>
      <c r="F600">
        <v>5861</v>
      </c>
      <c r="G600" t="s">
        <v>2671</v>
      </c>
      <c r="H600" t="s">
        <v>2664</v>
      </c>
      <c r="I600">
        <v>2084</v>
      </c>
      <c r="J600">
        <v>2057</v>
      </c>
      <c r="K600">
        <v>2036</v>
      </c>
      <c r="L600">
        <v>2019</v>
      </c>
      <c r="M600">
        <v>2011</v>
      </c>
      <c r="N600" t="s">
        <v>988</v>
      </c>
    </row>
    <row r="601" spans="1:14" hidden="1" x14ac:dyDescent="0.3">
      <c r="A601">
        <v>405</v>
      </c>
      <c r="B601" t="s">
        <v>1358</v>
      </c>
      <c r="C601" t="s">
        <v>2670</v>
      </c>
      <c r="D601" t="s">
        <v>1203</v>
      </c>
      <c r="E601" t="s">
        <v>1204</v>
      </c>
      <c r="F601">
        <v>5861</v>
      </c>
      <c r="G601" t="s">
        <v>2671</v>
      </c>
      <c r="H601" t="s">
        <v>2665</v>
      </c>
      <c r="I601">
        <v>2084</v>
      </c>
      <c r="J601">
        <v>2057</v>
      </c>
      <c r="K601">
        <v>2036</v>
      </c>
      <c r="L601">
        <v>2019</v>
      </c>
      <c r="M601">
        <v>2011</v>
      </c>
      <c r="N601" t="s">
        <v>988</v>
      </c>
    </row>
    <row r="602" spans="1:14" hidden="1" x14ac:dyDescent="0.3">
      <c r="A602">
        <v>420</v>
      </c>
      <c r="B602" t="s">
        <v>1359</v>
      </c>
      <c r="C602" t="s">
        <v>2670</v>
      </c>
      <c r="D602" t="s">
        <v>1203</v>
      </c>
      <c r="E602" t="s">
        <v>1204</v>
      </c>
      <c r="F602">
        <v>5862</v>
      </c>
      <c r="G602" t="s">
        <v>2672</v>
      </c>
      <c r="H602" t="s">
        <v>2665</v>
      </c>
      <c r="N602" t="s">
        <v>988</v>
      </c>
    </row>
    <row r="603" spans="1:14" hidden="1" x14ac:dyDescent="0.3">
      <c r="A603">
        <v>420</v>
      </c>
      <c r="B603" t="s">
        <v>1359</v>
      </c>
      <c r="C603" t="s">
        <v>2670</v>
      </c>
      <c r="D603" t="s">
        <v>1203</v>
      </c>
      <c r="E603" t="s">
        <v>1204</v>
      </c>
      <c r="F603">
        <v>5862</v>
      </c>
      <c r="G603" t="s">
        <v>2676</v>
      </c>
      <c r="H603" t="s">
        <v>2665</v>
      </c>
      <c r="I603">
        <v>15031.44</v>
      </c>
      <c r="J603">
        <v>15142.567999999999</v>
      </c>
      <c r="K603">
        <v>15405.005999999999</v>
      </c>
      <c r="L603">
        <v>15595.264999999999</v>
      </c>
      <c r="M603">
        <v>15899.815000000001</v>
      </c>
      <c r="N603" t="s">
        <v>988</v>
      </c>
    </row>
    <row r="604" spans="1:14" hidden="1" x14ac:dyDescent="0.3">
      <c r="A604">
        <v>420</v>
      </c>
      <c r="B604" t="s">
        <v>1359</v>
      </c>
      <c r="C604" t="s">
        <v>2670</v>
      </c>
      <c r="D604" t="s">
        <v>1203</v>
      </c>
      <c r="E604" t="s">
        <v>1204</v>
      </c>
      <c r="F604">
        <v>5862</v>
      </c>
      <c r="G604" t="s">
        <v>2675</v>
      </c>
      <c r="H604" t="s">
        <v>2664</v>
      </c>
      <c r="I604">
        <v>7863.134</v>
      </c>
      <c r="J604">
        <v>7847.35</v>
      </c>
      <c r="K604">
        <v>7871.2209999999995</v>
      </c>
      <c r="L604">
        <v>7974.8810000000003</v>
      </c>
      <c r="M604">
        <v>8080.8159999999998</v>
      </c>
      <c r="N604" t="s">
        <v>988</v>
      </c>
    </row>
    <row r="605" spans="1:14" hidden="1" x14ac:dyDescent="0.3">
      <c r="A605">
        <v>420</v>
      </c>
      <c r="B605" t="s">
        <v>1359</v>
      </c>
      <c r="C605" t="s">
        <v>2670</v>
      </c>
      <c r="D605" t="s">
        <v>1203</v>
      </c>
      <c r="E605" t="s">
        <v>1204</v>
      </c>
      <c r="F605">
        <v>5862</v>
      </c>
      <c r="G605" t="s">
        <v>2675</v>
      </c>
      <c r="H605" t="s">
        <v>2665</v>
      </c>
      <c r="I605">
        <v>15031.44</v>
      </c>
      <c r="J605">
        <v>15142.567999999999</v>
      </c>
      <c r="K605">
        <v>15405.005999999999</v>
      </c>
      <c r="L605">
        <v>15595.264999999999</v>
      </c>
      <c r="M605">
        <v>15899.815000000001</v>
      </c>
      <c r="N605" t="s">
        <v>988</v>
      </c>
    </row>
    <row r="606" spans="1:14" hidden="1" x14ac:dyDescent="0.3">
      <c r="A606">
        <v>420</v>
      </c>
      <c r="B606" t="s">
        <v>1359</v>
      </c>
      <c r="C606" t="s">
        <v>2670</v>
      </c>
      <c r="D606" t="s">
        <v>1203</v>
      </c>
      <c r="E606" t="s">
        <v>1204</v>
      </c>
      <c r="F606">
        <v>5862</v>
      </c>
      <c r="G606" t="s">
        <v>2674</v>
      </c>
      <c r="H606" t="s">
        <v>2664</v>
      </c>
      <c r="I606">
        <v>7863.134</v>
      </c>
      <c r="J606">
        <v>7847.35</v>
      </c>
      <c r="K606">
        <v>7871.2209999999995</v>
      </c>
      <c r="L606">
        <v>7974.8810000000003</v>
      </c>
      <c r="M606">
        <v>8080.8159999999998</v>
      </c>
      <c r="N606" t="s">
        <v>988</v>
      </c>
    </row>
    <row r="607" spans="1:14" hidden="1" x14ac:dyDescent="0.3">
      <c r="A607">
        <v>420</v>
      </c>
      <c r="B607" t="s">
        <v>1359</v>
      </c>
      <c r="C607" t="s">
        <v>2670</v>
      </c>
      <c r="D607" t="s">
        <v>1203</v>
      </c>
      <c r="E607" t="s">
        <v>1204</v>
      </c>
      <c r="F607">
        <v>5862</v>
      </c>
      <c r="G607" t="s">
        <v>2676</v>
      </c>
      <c r="H607" t="s">
        <v>2664</v>
      </c>
      <c r="I607">
        <v>9169.6689999999999</v>
      </c>
      <c r="J607">
        <v>9146.3880000000008</v>
      </c>
      <c r="K607">
        <v>9185.5169999999998</v>
      </c>
      <c r="L607">
        <v>9295.9629999999997</v>
      </c>
      <c r="M607">
        <v>8080.8159999999998</v>
      </c>
      <c r="N607" t="s">
        <v>988</v>
      </c>
    </row>
    <row r="608" spans="1:14" hidden="1" x14ac:dyDescent="0.3">
      <c r="A608">
        <v>420</v>
      </c>
      <c r="B608" t="s">
        <v>1359</v>
      </c>
      <c r="C608" t="s">
        <v>2670</v>
      </c>
      <c r="D608" t="s">
        <v>1203</v>
      </c>
      <c r="E608" t="s">
        <v>1204</v>
      </c>
      <c r="F608">
        <v>5862</v>
      </c>
      <c r="G608" t="s">
        <v>2673</v>
      </c>
      <c r="H608" t="s">
        <v>2664</v>
      </c>
      <c r="I608">
        <v>7863.134</v>
      </c>
      <c r="J608">
        <v>7847.35</v>
      </c>
      <c r="K608">
        <v>7871.2209999999995</v>
      </c>
      <c r="L608">
        <v>7036.0910000000003</v>
      </c>
      <c r="M608">
        <v>6868.4520000000002</v>
      </c>
      <c r="N608" t="s">
        <v>988</v>
      </c>
    </row>
    <row r="609" spans="1:14" hidden="1" x14ac:dyDescent="0.3">
      <c r="A609">
        <v>420</v>
      </c>
      <c r="B609" t="s">
        <v>1359</v>
      </c>
      <c r="C609" t="s">
        <v>2670</v>
      </c>
      <c r="D609" t="s">
        <v>1203</v>
      </c>
      <c r="E609" t="s">
        <v>1204</v>
      </c>
      <c r="F609">
        <v>5862</v>
      </c>
      <c r="G609" t="s">
        <v>2673</v>
      </c>
      <c r="H609" t="s">
        <v>2665</v>
      </c>
      <c r="I609">
        <v>15031.44</v>
      </c>
      <c r="J609">
        <v>15142.567999999999</v>
      </c>
      <c r="K609">
        <v>15405.005999999999</v>
      </c>
      <c r="L609">
        <v>15595.264999999999</v>
      </c>
      <c r="M609">
        <v>15899.815000000001</v>
      </c>
      <c r="N609" t="s">
        <v>988</v>
      </c>
    </row>
    <row r="610" spans="1:14" hidden="1" x14ac:dyDescent="0.3">
      <c r="A610">
        <v>420</v>
      </c>
      <c r="B610" t="s">
        <v>1359</v>
      </c>
      <c r="C610" t="s">
        <v>2670</v>
      </c>
      <c r="D610" t="s">
        <v>1203</v>
      </c>
      <c r="E610" t="s">
        <v>1204</v>
      </c>
      <c r="F610">
        <v>5862</v>
      </c>
      <c r="G610" t="s">
        <v>2671</v>
      </c>
      <c r="H610" t="s">
        <v>2664</v>
      </c>
      <c r="I610">
        <v>7863.134</v>
      </c>
      <c r="J610">
        <v>7847.35</v>
      </c>
      <c r="K610">
        <v>7216.4989999999998</v>
      </c>
      <c r="L610">
        <v>7036.0910000000003</v>
      </c>
      <c r="M610">
        <v>6868.4520000000002</v>
      </c>
      <c r="N610" t="s">
        <v>988</v>
      </c>
    </row>
    <row r="611" spans="1:14" hidden="1" x14ac:dyDescent="0.3">
      <c r="A611">
        <v>420</v>
      </c>
      <c r="B611" t="s">
        <v>1359</v>
      </c>
      <c r="C611" t="s">
        <v>2670</v>
      </c>
      <c r="D611" t="s">
        <v>1203</v>
      </c>
      <c r="E611" t="s">
        <v>1204</v>
      </c>
      <c r="F611">
        <v>5862</v>
      </c>
      <c r="G611" t="s">
        <v>2671</v>
      </c>
      <c r="H611" t="s">
        <v>2665</v>
      </c>
      <c r="I611">
        <v>15031.44</v>
      </c>
      <c r="J611">
        <v>15142.567999999999</v>
      </c>
      <c r="K611">
        <v>15405.005999999999</v>
      </c>
      <c r="L611">
        <v>15595.264999999999</v>
      </c>
      <c r="M611">
        <v>15899.815000000001</v>
      </c>
      <c r="N611" t="s">
        <v>988</v>
      </c>
    </row>
    <row r="612" spans="1:14" hidden="1" x14ac:dyDescent="0.3">
      <c r="A612">
        <v>420</v>
      </c>
      <c r="B612" t="s">
        <v>1359</v>
      </c>
      <c r="C612" t="s">
        <v>2670</v>
      </c>
      <c r="D612" t="s">
        <v>1203</v>
      </c>
      <c r="E612" t="s">
        <v>1204</v>
      </c>
      <c r="F612">
        <v>5862</v>
      </c>
      <c r="G612" t="s">
        <v>2672</v>
      </c>
      <c r="H612" t="s">
        <v>2664</v>
      </c>
      <c r="N612" t="s">
        <v>988</v>
      </c>
    </row>
    <row r="613" spans="1:14" hidden="1" x14ac:dyDescent="0.3">
      <c r="A613">
        <v>420</v>
      </c>
      <c r="B613" t="s">
        <v>1359</v>
      </c>
      <c r="C613" t="s">
        <v>2670</v>
      </c>
      <c r="D613" t="s">
        <v>1203</v>
      </c>
      <c r="E613" t="s">
        <v>1204</v>
      </c>
      <c r="F613">
        <v>5862</v>
      </c>
      <c r="G613" t="s">
        <v>2674</v>
      </c>
      <c r="H613" t="s">
        <v>2665</v>
      </c>
      <c r="I613">
        <v>15031.44</v>
      </c>
      <c r="J613">
        <v>15142.567999999999</v>
      </c>
      <c r="K613">
        <v>15405.005999999999</v>
      </c>
      <c r="L613">
        <v>15595.264999999999</v>
      </c>
      <c r="M613">
        <v>15899.815000000001</v>
      </c>
      <c r="N613" t="s">
        <v>988</v>
      </c>
    </row>
    <row r="614" spans="1:14" hidden="1" x14ac:dyDescent="0.3">
      <c r="A614">
        <v>412</v>
      </c>
      <c r="B614" t="s">
        <v>1360</v>
      </c>
      <c r="C614" t="s">
        <v>2670</v>
      </c>
      <c r="D614" t="s">
        <v>1203</v>
      </c>
      <c r="E614" t="s">
        <v>1204</v>
      </c>
      <c r="F614">
        <v>5863</v>
      </c>
      <c r="G614" t="s">
        <v>2673</v>
      </c>
      <c r="H614" t="s">
        <v>2665</v>
      </c>
      <c r="I614">
        <v>2833</v>
      </c>
      <c r="J614">
        <v>2775</v>
      </c>
      <c r="K614">
        <v>2769</v>
      </c>
      <c r="L614">
        <v>2761</v>
      </c>
      <c r="M614">
        <v>2760</v>
      </c>
      <c r="N614" t="s">
        <v>988</v>
      </c>
    </row>
    <row r="615" spans="1:14" hidden="1" x14ac:dyDescent="0.3">
      <c r="A615">
        <v>412</v>
      </c>
      <c r="B615" t="s">
        <v>1360</v>
      </c>
      <c r="C615" t="s">
        <v>2670</v>
      </c>
      <c r="D615" t="s">
        <v>1203</v>
      </c>
      <c r="E615" t="s">
        <v>1204</v>
      </c>
      <c r="F615">
        <v>5863</v>
      </c>
      <c r="G615" t="s">
        <v>2673</v>
      </c>
      <c r="H615" t="s">
        <v>2664</v>
      </c>
      <c r="I615">
        <v>2833</v>
      </c>
      <c r="J615">
        <v>2775</v>
      </c>
      <c r="K615">
        <v>2769</v>
      </c>
      <c r="L615">
        <v>2761</v>
      </c>
      <c r="M615">
        <v>2760</v>
      </c>
      <c r="N615" t="s">
        <v>988</v>
      </c>
    </row>
    <row r="616" spans="1:14" hidden="1" x14ac:dyDescent="0.3">
      <c r="A616">
        <v>412</v>
      </c>
      <c r="B616" t="s">
        <v>1360</v>
      </c>
      <c r="C616" t="s">
        <v>2670</v>
      </c>
      <c r="D616" t="s">
        <v>1203</v>
      </c>
      <c r="E616" t="s">
        <v>1204</v>
      </c>
      <c r="F616">
        <v>5863</v>
      </c>
      <c r="G616" t="s">
        <v>2674</v>
      </c>
      <c r="H616" t="s">
        <v>2665</v>
      </c>
      <c r="I616">
        <v>2833</v>
      </c>
      <c r="J616">
        <v>2775</v>
      </c>
      <c r="K616">
        <v>2769</v>
      </c>
      <c r="L616">
        <v>2761</v>
      </c>
      <c r="M616">
        <v>2760</v>
      </c>
      <c r="N616" t="s">
        <v>988</v>
      </c>
    </row>
    <row r="617" spans="1:14" hidden="1" x14ac:dyDescent="0.3">
      <c r="A617">
        <v>412</v>
      </c>
      <c r="B617" t="s">
        <v>1360</v>
      </c>
      <c r="C617" t="s">
        <v>2670</v>
      </c>
      <c r="D617" t="s">
        <v>1203</v>
      </c>
      <c r="E617" t="s">
        <v>1204</v>
      </c>
      <c r="F617">
        <v>5863</v>
      </c>
      <c r="G617" t="s">
        <v>2674</v>
      </c>
      <c r="H617" t="s">
        <v>2664</v>
      </c>
      <c r="I617">
        <v>2833</v>
      </c>
      <c r="J617">
        <v>2775</v>
      </c>
      <c r="K617">
        <v>2769</v>
      </c>
      <c r="L617">
        <v>2761</v>
      </c>
      <c r="M617">
        <v>2760</v>
      </c>
      <c r="N617" t="s">
        <v>988</v>
      </c>
    </row>
    <row r="618" spans="1:14" hidden="1" x14ac:dyDescent="0.3">
      <c r="A618">
        <v>412</v>
      </c>
      <c r="B618" t="s">
        <v>1360</v>
      </c>
      <c r="C618" t="s">
        <v>2670</v>
      </c>
      <c r="D618" t="s">
        <v>1203</v>
      </c>
      <c r="E618" t="s">
        <v>1204</v>
      </c>
      <c r="F618">
        <v>5863</v>
      </c>
      <c r="G618" t="s">
        <v>2675</v>
      </c>
      <c r="H618" t="s">
        <v>2665</v>
      </c>
      <c r="I618">
        <v>2833</v>
      </c>
      <c r="J618">
        <v>2775</v>
      </c>
      <c r="K618">
        <v>2769</v>
      </c>
      <c r="L618">
        <v>2761</v>
      </c>
      <c r="M618">
        <v>2760</v>
      </c>
      <c r="N618" t="s">
        <v>988</v>
      </c>
    </row>
    <row r="619" spans="1:14" hidden="1" x14ac:dyDescent="0.3">
      <c r="A619">
        <v>412</v>
      </c>
      <c r="B619" t="s">
        <v>1360</v>
      </c>
      <c r="C619" t="s">
        <v>2670</v>
      </c>
      <c r="D619" t="s">
        <v>1203</v>
      </c>
      <c r="E619" t="s">
        <v>1204</v>
      </c>
      <c r="F619">
        <v>5863</v>
      </c>
      <c r="G619" t="s">
        <v>2671</v>
      </c>
      <c r="H619" t="s">
        <v>2664</v>
      </c>
      <c r="I619">
        <v>2833</v>
      </c>
      <c r="J619">
        <v>2775</v>
      </c>
      <c r="K619">
        <v>2769</v>
      </c>
      <c r="L619">
        <v>2761</v>
      </c>
      <c r="M619">
        <v>2760</v>
      </c>
      <c r="N619" t="s">
        <v>988</v>
      </c>
    </row>
    <row r="620" spans="1:14" hidden="1" x14ac:dyDescent="0.3">
      <c r="A620">
        <v>412</v>
      </c>
      <c r="B620" t="s">
        <v>1360</v>
      </c>
      <c r="C620" t="s">
        <v>2670</v>
      </c>
      <c r="D620" t="s">
        <v>1203</v>
      </c>
      <c r="E620" t="s">
        <v>1204</v>
      </c>
      <c r="F620">
        <v>5863</v>
      </c>
      <c r="G620" t="s">
        <v>2676</v>
      </c>
      <c r="H620" t="s">
        <v>2665</v>
      </c>
      <c r="I620">
        <v>2833</v>
      </c>
      <c r="J620">
        <v>2775</v>
      </c>
      <c r="K620">
        <v>2769</v>
      </c>
      <c r="L620">
        <v>2761</v>
      </c>
      <c r="M620">
        <v>2760</v>
      </c>
      <c r="N620" t="s">
        <v>988</v>
      </c>
    </row>
    <row r="621" spans="1:14" hidden="1" x14ac:dyDescent="0.3">
      <c r="A621">
        <v>412</v>
      </c>
      <c r="B621" t="s">
        <v>1360</v>
      </c>
      <c r="C621" t="s">
        <v>2670</v>
      </c>
      <c r="D621" t="s">
        <v>1203</v>
      </c>
      <c r="E621" t="s">
        <v>1204</v>
      </c>
      <c r="F621">
        <v>5863</v>
      </c>
      <c r="G621" t="s">
        <v>2676</v>
      </c>
      <c r="H621" t="s">
        <v>2664</v>
      </c>
      <c r="I621">
        <v>2833</v>
      </c>
      <c r="J621">
        <v>2775</v>
      </c>
      <c r="K621">
        <v>2769</v>
      </c>
      <c r="L621">
        <v>2761</v>
      </c>
      <c r="M621">
        <v>2760</v>
      </c>
      <c r="N621" t="s">
        <v>988</v>
      </c>
    </row>
    <row r="622" spans="1:14" hidden="1" x14ac:dyDescent="0.3">
      <c r="A622">
        <v>412</v>
      </c>
      <c r="B622" t="s">
        <v>1360</v>
      </c>
      <c r="C622" t="s">
        <v>2670</v>
      </c>
      <c r="D622" t="s">
        <v>1203</v>
      </c>
      <c r="E622" t="s">
        <v>1204</v>
      </c>
      <c r="F622">
        <v>5863</v>
      </c>
      <c r="G622" t="s">
        <v>2672</v>
      </c>
      <c r="H622" t="s">
        <v>2665</v>
      </c>
      <c r="N622" t="s">
        <v>988</v>
      </c>
    </row>
    <row r="623" spans="1:14" hidden="1" x14ac:dyDescent="0.3">
      <c r="A623">
        <v>412</v>
      </c>
      <c r="B623" t="s">
        <v>1360</v>
      </c>
      <c r="C623" t="s">
        <v>2670</v>
      </c>
      <c r="D623" t="s">
        <v>1203</v>
      </c>
      <c r="E623" t="s">
        <v>1204</v>
      </c>
      <c r="F623">
        <v>5863</v>
      </c>
      <c r="G623" t="s">
        <v>2672</v>
      </c>
      <c r="H623" t="s">
        <v>2664</v>
      </c>
      <c r="N623" t="s">
        <v>988</v>
      </c>
    </row>
    <row r="624" spans="1:14" hidden="1" x14ac:dyDescent="0.3">
      <c r="A624">
        <v>412</v>
      </c>
      <c r="B624" t="s">
        <v>1360</v>
      </c>
      <c r="C624" t="s">
        <v>2670</v>
      </c>
      <c r="D624" t="s">
        <v>1203</v>
      </c>
      <c r="E624" t="s">
        <v>1204</v>
      </c>
      <c r="F624">
        <v>5863</v>
      </c>
      <c r="G624" t="s">
        <v>2671</v>
      </c>
      <c r="H624" t="s">
        <v>2665</v>
      </c>
      <c r="I624">
        <v>2833</v>
      </c>
      <c r="J624">
        <v>2775</v>
      </c>
      <c r="K624">
        <v>2769</v>
      </c>
      <c r="L624">
        <v>2761</v>
      </c>
      <c r="M624">
        <v>2760</v>
      </c>
      <c r="N624" t="s">
        <v>988</v>
      </c>
    </row>
    <row r="625" spans="1:14" hidden="1" x14ac:dyDescent="0.3">
      <c r="A625">
        <v>412</v>
      </c>
      <c r="B625" t="s">
        <v>1360</v>
      </c>
      <c r="C625" t="s">
        <v>2670</v>
      </c>
      <c r="D625" t="s">
        <v>1203</v>
      </c>
      <c r="E625" t="s">
        <v>1204</v>
      </c>
      <c r="F625">
        <v>5863</v>
      </c>
      <c r="G625" t="s">
        <v>2675</v>
      </c>
      <c r="H625" t="s">
        <v>2664</v>
      </c>
      <c r="I625">
        <v>2833</v>
      </c>
      <c r="J625">
        <v>2775</v>
      </c>
      <c r="K625">
        <v>2769</v>
      </c>
      <c r="L625">
        <v>2761</v>
      </c>
      <c r="M625">
        <v>2760</v>
      </c>
      <c r="N625" t="s">
        <v>988</v>
      </c>
    </row>
    <row r="626" spans="1:14" hidden="1" x14ac:dyDescent="0.3">
      <c r="A626">
        <v>413</v>
      </c>
      <c r="B626" t="s">
        <v>1361</v>
      </c>
      <c r="C626" t="s">
        <v>2670</v>
      </c>
      <c r="D626" t="s">
        <v>1203</v>
      </c>
      <c r="E626" t="s">
        <v>1204</v>
      </c>
      <c r="F626">
        <v>5864</v>
      </c>
      <c r="G626" t="s">
        <v>2672</v>
      </c>
      <c r="H626" t="s">
        <v>2665</v>
      </c>
      <c r="N626" t="s">
        <v>988</v>
      </c>
    </row>
    <row r="627" spans="1:14" hidden="1" x14ac:dyDescent="0.3">
      <c r="A627">
        <v>413</v>
      </c>
      <c r="B627" t="s">
        <v>1361</v>
      </c>
      <c r="C627" t="s">
        <v>2670</v>
      </c>
      <c r="D627" t="s">
        <v>1203</v>
      </c>
      <c r="E627" t="s">
        <v>1204</v>
      </c>
      <c r="F627">
        <v>5864</v>
      </c>
      <c r="G627" t="s">
        <v>2672</v>
      </c>
      <c r="H627" t="s">
        <v>2664</v>
      </c>
      <c r="N627" t="s">
        <v>988</v>
      </c>
    </row>
    <row r="628" spans="1:14" hidden="1" x14ac:dyDescent="0.3">
      <c r="A628">
        <v>413</v>
      </c>
      <c r="B628" t="s">
        <v>1361</v>
      </c>
      <c r="C628" t="s">
        <v>2670</v>
      </c>
      <c r="D628" t="s">
        <v>1203</v>
      </c>
      <c r="E628" t="s">
        <v>1204</v>
      </c>
      <c r="F628">
        <v>5864</v>
      </c>
      <c r="G628" t="s">
        <v>2671</v>
      </c>
      <c r="H628" t="s">
        <v>2665</v>
      </c>
      <c r="I628">
        <v>18476</v>
      </c>
      <c r="J628">
        <v>18576</v>
      </c>
      <c r="K628">
        <v>18750</v>
      </c>
      <c r="L628">
        <v>18874</v>
      </c>
      <c r="M628">
        <v>19113</v>
      </c>
      <c r="N628" t="s">
        <v>988</v>
      </c>
    </row>
    <row r="629" spans="1:14" hidden="1" x14ac:dyDescent="0.3">
      <c r="A629">
        <v>413</v>
      </c>
      <c r="B629" t="s">
        <v>1361</v>
      </c>
      <c r="C629" t="s">
        <v>2670</v>
      </c>
      <c r="D629" t="s">
        <v>1203</v>
      </c>
      <c r="E629" t="s">
        <v>1204</v>
      </c>
      <c r="F629">
        <v>5864</v>
      </c>
      <c r="G629" t="s">
        <v>2671</v>
      </c>
      <c r="H629" t="s">
        <v>2664</v>
      </c>
      <c r="I629">
        <v>18476</v>
      </c>
      <c r="J629">
        <v>18576</v>
      </c>
      <c r="K629">
        <v>18750</v>
      </c>
      <c r="L629">
        <v>18874</v>
      </c>
      <c r="M629">
        <v>19113</v>
      </c>
      <c r="N629" t="s">
        <v>988</v>
      </c>
    </row>
    <row r="630" spans="1:14" hidden="1" x14ac:dyDescent="0.3">
      <c r="A630">
        <v>413</v>
      </c>
      <c r="B630" t="s">
        <v>1361</v>
      </c>
      <c r="C630" t="s">
        <v>2670</v>
      </c>
      <c r="D630" t="s">
        <v>1203</v>
      </c>
      <c r="E630" t="s">
        <v>1204</v>
      </c>
      <c r="F630">
        <v>5864</v>
      </c>
      <c r="G630" t="s">
        <v>2673</v>
      </c>
      <c r="H630" t="s">
        <v>2665</v>
      </c>
      <c r="I630">
        <v>18476</v>
      </c>
      <c r="J630">
        <v>18576</v>
      </c>
      <c r="K630">
        <v>18750</v>
      </c>
      <c r="L630">
        <v>18874</v>
      </c>
      <c r="M630">
        <v>19113</v>
      </c>
      <c r="N630" t="s">
        <v>988</v>
      </c>
    </row>
    <row r="631" spans="1:14" hidden="1" x14ac:dyDescent="0.3">
      <c r="A631">
        <v>413</v>
      </c>
      <c r="B631" t="s">
        <v>1361</v>
      </c>
      <c r="C631" t="s">
        <v>2670</v>
      </c>
      <c r="D631" t="s">
        <v>1203</v>
      </c>
      <c r="E631" t="s">
        <v>1204</v>
      </c>
      <c r="F631">
        <v>5864</v>
      </c>
      <c r="G631" t="s">
        <v>2676</v>
      </c>
      <c r="H631" t="s">
        <v>2664</v>
      </c>
      <c r="I631">
        <v>18476</v>
      </c>
      <c r="J631">
        <v>18576</v>
      </c>
      <c r="K631">
        <v>18750</v>
      </c>
      <c r="L631">
        <v>18874</v>
      </c>
      <c r="M631">
        <v>19113</v>
      </c>
      <c r="N631" t="s">
        <v>988</v>
      </c>
    </row>
    <row r="632" spans="1:14" hidden="1" x14ac:dyDescent="0.3">
      <c r="A632">
        <v>413</v>
      </c>
      <c r="B632" t="s">
        <v>1361</v>
      </c>
      <c r="C632" t="s">
        <v>2670</v>
      </c>
      <c r="D632" t="s">
        <v>1203</v>
      </c>
      <c r="E632" t="s">
        <v>1204</v>
      </c>
      <c r="F632">
        <v>5864</v>
      </c>
      <c r="G632" t="s">
        <v>2674</v>
      </c>
      <c r="H632" t="s">
        <v>2665</v>
      </c>
      <c r="I632">
        <v>18476</v>
      </c>
      <c r="J632">
        <v>18576</v>
      </c>
      <c r="K632">
        <v>18750</v>
      </c>
      <c r="L632">
        <v>18874</v>
      </c>
      <c r="M632">
        <v>19113</v>
      </c>
      <c r="N632" t="s">
        <v>988</v>
      </c>
    </row>
    <row r="633" spans="1:14" hidden="1" x14ac:dyDescent="0.3">
      <c r="A633">
        <v>413</v>
      </c>
      <c r="B633" t="s">
        <v>1361</v>
      </c>
      <c r="C633" t="s">
        <v>2670</v>
      </c>
      <c r="D633" t="s">
        <v>1203</v>
      </c>
      <c r="E633" t="s">
        <v>1204</v>
      </c>
      <c r="F633">
        <v>5864</v>
      </c>
      <c r="G633" t="s">
        <v>2674</v>
      </c>
      <c r="H633" t="s">
        <v>2664</v>
      </c>
      <c r="I633">
        <v>18476</v>
      </c>
      <c r="J633">
        <v>18576</v>
      </c>
      <c r="K633">
        <v>18750</v>
      </c>
      <c r="L633">
        <v>18874</v>
      </c>
      <c r="M633">
        <v>19113</v>
      </c>
      <c r="N633" t="s">
        <v>988</v>
      </c>
    </row>
    <row r="634" spans="1:14" hidden="1" x14ac:dyDescent="0.3">
      <c r="A634">
        <v>413</v>
      </c>
      <c r="B634" t="s">
        <v>1361</v>
      </c>
      <c r="C634" t="s">
        <v>2670</v>
      </c>
      <c r="D634" t="s">
        <v>1203</v>
      </c>
      <c r="E634" t="s">
        <v>1204</v>
      </c>
      <c r="F634">
        <v>5864</v>
      </c>
      <c r="G634" t="s">
        <v>2675</v>
      </c>
      <c r="H634" t="s">
        <v>2665</v>
      </c>
      <c r="I634">
        <v>18476</v>
      </c>
      <c r="J634">
        <v>18576</v>
      </c>
      <c r="K634">
        <v>18750</v>
      </c>
      <c r="L634">
        <v>18874</v>
      </c>
      <c r="M634">
        <v>19113</v>
      </c>
      <c r="N634" t="s">
        <v>988</v>
      </c>
    </row>
    <row r="635" spans="1:14" hidden="1" x14ac:dyDescent="0.3">
      <c r="A635">
        <v>413</v>
      </c>
      <c r="B635" t="s">
        <v>1361</v>
      </c>
      <c r="C635" t="s">
        <v>2670</v>
      </c>
      <c r="D635" t="s">
        <v>1203</v>
      </c>
      <c r="E635" t="s">
        <v>1204</v>
      </c>
      <c r="F635">
        <v>5864</v>
      </c>
      <c r="G635" t="s">
        <v>2675</v>
      </c>
      <c r="H635" t="s">
        <v>2664</v>
      </c>
      <c r="I635">
        <v>18476</v>
      </c>
      <c r="J635">
        <v>18576</v>
      </c>
      <c r="K635">
        <v>18750</v>
      </c>
      <c r="L635">
        <v>18874</v>
      </c>
      <c r="M635">
        <v>19113</v>
      </c>
      <c r="N635" t="s">
        <v>988</v>
      </c>
    </row>
    <row r="636" spans="1:14" hidden="1" x14ac:dyDescent="0.3">
      <c r="A636">
        <v>413</v>
      </c>
      <c r="B636" t="s">
        <v>1361</v>
      </c>
      <c r="C636" t="s">
        <v>2670</v>
      </c>
      <c r="D636" t="s">
        <v>1203</v>
      </c>
      <c r="E636" t="s">
        <v>1204</v>
      </c>
      <c r="F636">
        <v>5864</v>
      </c>
      <c r="G636" t="s">
        <v>2676</v>
      </c>
      <c r="H636" t="s">
        <v>2665</v>
      </c>
      <c r="I636">
        <v>18476</v>
      </c>
      <c r="J636">
        <v>18576</v>
      </c>
      <c r="K636">
        <v>18750</v>
      </c>
      <c r="L636">
        <v>18874</v>
      </c>
      <c r="M636">
        <v>19113</v>
      </c>
      <c r="N636" t="s">
        <v>988</v>
      </c>
    </row>
    <row r="637" spans="1:14" hidden="1" x14ac:dyDescent="0.3">
      <c r="A637">
        <v>413</v>
      </c>
      <c r="B637" t="s">
        <v>1361</v>
      </c>
      <c r="C637" t="s">
        <v>2670</v>
      </c>
      <c r="D637" t="s">
        <v>1203</v>
      </c>
      <c r="E637" t="s">
        <v>1204</v>
      </c>
      <c r="F637">
        <v>5864</v>
      </c>
      <c r="G637" t="s">
        <v>2673</v>
      </c>
      <c r="H637" t="s">
        <v>2664</v>
      </c>
      <c r="I637">
        <v>18476</v>
      </c>
      <c r="J637">
        <v>18576</v>
      </c>
      <c r="K637">
        <v>18750</v>
      </c>
      <c r="L637">
        <v>18874</v>
      </c>
      <c r="M637">
        <v>19113</v>
      </c>
      <c r="N637" t="s">
        <v>988</v>
      </c>
    </row>
    <row r="638" spans="1:14" hidden="1" x14ac:dyDescent="0.3">
      <c r="A638">
        <v>416</v>
      </c>
      <c r="B638" t="s">
        <v>1362</v>
      </c>
      <c r="C638" t="s">
        <v>2670</v>
      </c>
      <c r="D638" t="s">
        <v>1203</v>
      </c>
      <c r="E638" t="s">
        <v>1204</v>
      </c>
      <c r="F638">
        <v>5865</v>
      </c>
      <c r="G638" t="s">
        <v>2672</v>
      </c>
      <c r="H638" t="s">
        <v>2665</v>
      </c>
      <c r="N638" t="s">
        <v>988</v>
      </c>
    </row>
    <row r="639" spans="1:14" hidden="1" x14ac:dyDescent="0.3">
      <c r="A639">
        <v>416</v>
      </c>
      <c r="B639" t="s">
        <v>1362</v>
      </c>
      <c r="C639" t="s">
        <v>2670</v>
      </c>
      <c r="D639" t="s">
        <v>1203</v>
      </c>
      <c r="E639" t="s">
        <v>1204</v>
      </c>
      <c r="F639">
        <v>5865</v>
      </c>
      <c r="G639" t="s">
        <v>2672</v>
      </c>
      <c r="H639" t="s">
        <v>2664</v>
      </c>
      <c r="N639" t="s">
        <v>988</v>
      </c>
    </row>
    <row r="640" spans="1:14" hidden="1" x14ac:dyDescent="0.3">
      <c r="A640">
        <v>416</v>
      </c>
      <c r="B640" t="s">
        <v>1362</v>
      </c>
      <c r="C640" t="s">
        <v>2670</v>
      </c>
      <c r="D640" t="s">
        <v>1203</v>
      </c>
      <c r="E640" t="s">
        <v>1204</v>
      </c>
      <c r="F640">
        <v>5865</v>
      </c>
      <c r="G640" t="s">
        <v>2671</v>
      </c>
      <c r="H640" t="s">
        <v>2665</v>
      </c>
      <c r="I640">
        <v>377</v>
      </c>
      <c r="J640">
        <v>360</v>
      </c>
      <c r="K640">
        <v>356</v>
      </c>
      <c r="L640">
        <v>351</v>
      </c>
      <c r="M640">
        <v>350</v>
      </c>
      <c r="N640" t="s">
        <v>988</v>
      </c>
    </row>
    <row r="641" spans="1:14" hidden="1" x14ac:dyDescent="0.3">
      <c r="A641">
        <v>416</v>
      </c>
      <c r="B641" t="s">
        <v>1362</v>
      </c>
      <c r="C641" t="s">
        <v>2670</v>
      </c>
      <c r="D641" t="s">
        <v>1203</v>
      </c>
      <c r="E641" t="s">
        <v>1204</v>
      </c>
      <c r="F641">
        <v>5865</v>
      </c>
      <c r="G641" t="s">
        <v>2671</v>
      </c>
      <c r="H641" t="s">
        <v>2664</v>
      </c>
      <c r="I641">
        <v>377</v>
      </c>
      <c r="J641">
        <v>360</v>
      </c>
      <c r="K641">
        <v>356</v>
      </c>
      <c r="L641">
        <v>351</v>
      </c>
      <c r="M641">
        <v>350</v>
      </c>
      <c r="N641" t="s">
        <v>988</v>
      </c>
    </row>
    <row r="642" spans="1:14" hidden="1" x14ac:dyDescent="0.3">
      <c r="A642">
        <v>416</v>
      </c>
      <c r="B642" t="s">
        <v>1362</v>
      </c>
      <c r="C642" t="s">
        <v>2670</v>
      </c>
      <c r="D642" t="s">
        <v>1203</v>
      </c>
      <c r="E642" t="s">
        <v>1204</v>
      </c>
      <c r="F642">
        <v>5865</v>
      </c>
      <c r="G642" t="s">
        <v>2673</v>
      </c>
      <c r="H642" t="s">
        <v>2665</v>
      </c>
      <c r="I642">
        <v>377</v>
      </c>
      <c r="J642">
        <v>360</v>
      </c>
      <c r="K642">
        <v>356</v>
      </c>
      <c r="L642">
        <v>351</v>
      </c>
      <c r="M642">
        <v>350</v>
      </c>
      <c r="N642" t="s">
        <v>988</v>
      </c>
    </row>
    <row r="643" spans="1:14" hidden="1" x14ac:dyDescent="0.3">
      <c r="A643">
        <v>416</v>
      </c>
      <c r="B643" t="s">
        <v>1362</v>
      </c>
      <c r="C643" t="s">
        <v>2670</v>
      </c>
      <c r="D643" t="s">
        <v>1203</v>
      </c>
      <c r="E643" t="s">
        <v>1204</v>
      </c>
      <c r="F643">
        <v>5865</v>
      </c>
      <c r="G643" t="s">
        <v>2676</v>
      </c>
      <c r="H643" t="s">
        <v>2665</v>
      </c>
      <c r="I643">
        <v>377</v>
      </c>
      <c r="J643">
        <v>360</v>
      </c>
      <c r="K643">
        <v>356</v>
      </c>
      <c r="L643">
        <v>351</v>
      </c>
      <c r="M643">
        <v>350</v>
      </c>
      <c r="N643" t="s">
        <v>988</v>
      </c>
    </row>
    <row r="644" spans="1:14" hidden="1" x14ac:dyDescent="0.3">
      <c r="A644">
        <v>416</v>
      </c>
      <c r="B644" t="s">
        <v>1362</v>
      </c>
      <c r="C644" t="s">
        <v>2670</v>
      </c>
      <c r="D644" t="s">
        <v>1203</v>
      </c>
      <c r="E644" t="s">
        <v>1204</v>
      </c>
      <c r="F644">
        <v>5865</v>
      </c>
      <c r="G644" t="s">
        <v>2676</v>
      </c>
      <c r="H644" t="s">
        <v>2664</v>
      </c>
      <c r="I644">
        <v>377</v>
      </c>
      <c r="J644">
        <v>360</v>
      </c>
      <c r="K644">
        <v>356</v>
      </c>
      <c r="L644">
        <v>351</v>
      </c>
      <c r="M644">
        <v>350</v>
      </c>
      <c r="N644" t="s">
        <v>988</v>
      </c>
    </row>
    <row r="645" spans="1:14" hidden="1" x14ac:dyDescent="0.3">
      <c r="A645">
        <v>416</v>
      </c>
      <c r="B645" t="s">
        <v>1362</v>
      </c>
      <c r="C645" t="s">
        <v>2670</v>
      </c>
      <c r="D645" t="s">
        <v>1203</v>
      </c>
      <c r="E645" t="s">
        <v>1204</v>
      </c>
      <c r="F645">
        <v>5865</v>
      </c>
      <c r="G645" t="s">
        <v>2674</v>
      </c>
      <c r="H645" t="s">
        <v>2665</v>
      </c>
      <c r="I645">
        <v>377</v>
      </c>
      <c r="J645">
        <v>360</v>
      </c>
      <c r="K645">
        <v>356</v>
      </c>
      <c r="L645">
        <v>351</v>
      </c>
      <c r="M645">
        <v>350</v>
      </c>
      <c r="N645" t="s">
        <v>988</v>
      </c>
    </row>
    <row r="646" spans="1:14" hidden="1" x14ac:dyDescent="0.3">
      <c r="A646">
        <v>416</v>
      </c>
      <c r="B646" t="s">
        <v>1362</v>
      </c>
      <c r="C646" t="s">
        <v>2670</v>
      </c>
      <c r="D646" t="s">
        <v>1203</v>
      </c>
      <c r="E646" t="s">
        <v>1204</v>
      </c>
      <c r="F646">
        <v>5865</v>
      </c>
      <c r="G646" t="s">
        <v>2674</v>
      </c>
      <c r="H646" t="s">
        <v>2664</v>
      </c>
      <c r="I646">
        <v>377</v>
      </c>
      <c r="J646">
        <v>360</v>
      </c>
      <c r="K646">
        <v>356</v>
      </c>
      <c r="L646">
        <v>351</v>
      </c>
      <c r="M646">
        <v>350</v>
      </c>
      <c r="N646" t="s">
        <v>988</v>
      </c>
    </row>
    <row r="647" spans="1:14" hidden="1" x14ac:dyDescent="0.3">
      <c r="A647">
        <v>416</v>
      </c>
      <c r="B647" t="s">
        <v>1362</v>
      </c>
      <c r="C647" t="s">
        <v>2670</v>
      </c>
      <c r="D647" t="s">
        <v>1203</v>
      </c>
      <c r="E647" t="s">
        <v>1204</v>
      </c>
      <c r="F647">
        <v>5865</v>
      </c>
      <c r="G647" t="s">
        <v>2675</v>
      </c>
      <c r="H647" t="s">
        <v>2665</v>
      </c>
      <c r="I647">
        <v>377</v>
      </c>
      <c r="J647">
        <v>360</v>
      </c>
      <c r="K647">
        <v>356</v>
      </c>
      <c r="L647">
        <v>351</v>
      </c>
      <c r="M647">
        <v>350</v>
      </c>
      <c r="N647" t="s">
        <v>988</v>
      </c>
    </row>
    <row r="648" spans="1:14" hidden="1" x14ac:dyDescent="0.3">
      <c r="A648">
        <v>416</v>
      </c>
      <c r="B648" t="s">
        <v>1362</v>
      </c>
      <c r="C648" t="s">
        <v>2670</v>
      </c>
      <c r="D648" t="s">
        <v>1203</v>
      </c>
      <c r="E648" t="s">
        <v>1204</v>
      </c>
      <c r="F648">
        <v>5865</v>
      </c>
      <c r="G648" t="s">
        <v>2675</v>
      </c>
      <c r="H648" t="s">
        <v>2664</v>
      </c>
      <c r="I648">
        <v>377</v>
      </c>
      <c r="J648">
        <v>360</v>
      </c>
      <c r="K648">
        <v>356</v>
      </c>
      <c r="L648">
        <v>351</v>
      </c>
      <c r="M648">
        <v>350</v>
      </c>
      <c r="N648" t="s">
        <v>988</v>
      </c>
    </row>
    <row r="649" spans="1:14" hidden="1" x14ac:dyDescent="0.3">
      <c r="A649">
        <v>416</v>
      </c>
      <c r="B649" t="s">
        <v>1362</v>
      </c>
      <c r="C649" t="s">
        <v>2670</v>
      </c>
      <c r="D649" t="s">
        <v>1203</v>
      </c>
      <c r="E649" t="s">
        <v>1204</v>
      </c>
      <c r="F649">
        <v>5865</v>
      </c>
      <c r="G649" t="s">
        <v>2673</v>
      </c>
      <c r="H649" t="s">
        <v>2664</v>
      </c>
      <c r="I649">
        <v>377</v>
      </c>
      <c r="J649">
        <v>360</v>
      </c>
      <c r="K649">
        <v>356</v>
      </c>
      <c r="L649">
        <v>351</v>
      </c>
      <c r="M649">
        <v>350</v>
      </c>
      <c r="N649" t="s">
        <v>988</v>
      </c>
    </row>
    <row r="650" spans="1:14" hidden="1" x14ac:dyDescent="0.3">
      <c r="A650">
        <v>417</v>
      </c>
      <c r="B650" t="s">
        <v>1363</v>
      </c>
      <c r="C650" t="s">
        <v>2670</v>
      </c>
      <c r="D650" t="s">
        <v>1203</v>
      </c>
      <c r="E650" t="s">
        <v>1204</v>
      </c>
      <c r="F650">
        <v>5866</v>
      </c>
      <c r="G650" t="s">
        <v>2672</v>
      </c>
      <c r="H650" t="s">
        <v>2665</v>
      </c>
      <c r="N650" t="s">
        <v>988</v>
      </c>
    </row>
    <row r="651" spans="1:14" hidden="1" x14ac:dyDescent="0.3">
      <c r="A651">
        <v>417</v>
      </c>
      <c r="B651" t="s">
        <v>1363</v>
      </c>
      <c r="C651" t="s">
        <v>2670</v>
      </c>
      <c r="D651" t="s">
        <v>1203</v>
      </c>
      <c r="E651" t="s">
        <v>1204</v>
      </c>
      <c r="F651">
        <v>5866</v>
      </c>
      <c r="G651" t="s">
        <v>2672</v>
      </c>
      <c r="H651" t="s">
        <v>2664</v>
      </c>
      <c r="N651" t="s">
        <v>988</v>
      </c>
    </row>
    <row r="652" spans="1:14" hidden="1" x14ac:dyDescent="0.3">
      <c r="A652">
        <v>417</v>
      </c>
      <c r="B652" t="s">
        <v>1363</v>
      </c>
      <c r="C652" t="s">
        <v>2670</v>
      </c>
      <c r="D652" t="s">
        <v>1203</v>
      </c>
      <c r="E652" t="s">
        <v>1204</v>
      </c>
      <c r="F652">
        <v>5866</v>
      </c>
      <c r="G652" t="s">
        <v>2671</v>
      </c>
      <c r="H652" t="s">
        <v>2665</v>
      </c>
      <c r="I652">
        <v>17489</v>
      </c>
      <c r="J652">
        <v>17886</v>
      </c>
      <c r="K652">
        <v>18501</v>
      </c>
      <c r="L652">
        <v>19130</v>
      </c>
      <c r="M652">
        <v>19842</v>
      </c>
      <c r="N652" t="s">
        <v>988</v>
      </c>
    </row>
    <row r="653" spans="1:14" hidden="1" x14ac:dyDescent="0.3">
      <c r="A653">
        <v>417</v>
      </c>
      <c r="B653" t="s">
        <v>1363</v>
      </c>
      <c r="C653" t="s">
        <v>2670</v>
      </c>
      <c r="D653" t="s">
        <v>1203</v>
      </c>
      <c r="E653" t="s">
        <v>1204</v>
      </c>
      <c r="F653">
        <v>5866</v>
      </c>
      <c r="G653" t="s">
        <v>2671</v>
      </c>
      <c r="H653" t="s">
        <v>2664</v>
      </c>
      <c r="I653">
        <v>17489</v>
      </c>
      <c r="J653">
        <v>17886</v>
      </c>
      <c r="K653">
        <v>18501</v>
      </c>
      <c r="L653">
        <v>19130</v>
      </c>
      <c r="M653">
        <v>19842</v>
      </c>
      <c r="N653" t="s">
        <v>988</v>
      </c>
    </row>
    <row r="654" spans="1:14" hidden="1" x14ac:dyDescent="0.3">
      <c r="A654">
        <v>417</v>
      </c>
      <c r="B654" t="s">
        <v>1363</v>
      </c>
      <c r="C654" t="s">
        <v>2670</v>
      </c>
      <c r="D654" t="s">
        <v>1203</v>
      </c>
      <c r="E654" t="s">
        <v>1204</v>
      </c>
      <c r="F654">
        <v>5866</v>
      </c>
      <c r="G654" t="s">
        <v>2676</v>
      </c>
      <c r="H654" t="s">
        <v>2664</v>
      </c>
      <c r="I654">
        <v>17489</v>
      </c>
      <c r="J654">
        <v>17886</v>
      </c>
      <c r="K654">
        <v>18501</v>
      </c>
      <c r="L654">
        <v>19130</v>
      </c>
      <c r="M654">
        <v>19842</v>
      </c>
      <c r="N654" t="s">
        <v>988</v>
      </c>
    </row>
    <row r="655" spans="1:14" hidden="1" x14ac:dyDescent="0.3">
      <c r="A655">
        <v>417</v>
      </c>
      <c r="B655" t="s">
        <v>1363</v>
      </c>
      <c r="C655" t="s">
        <v>2670</v>
      </c>
      <c r="D655" t="s">
        <v>1203</v>
      </c>
      <c r="E655" t="s">
        <v>1204</v>
      </c>
      <c r="F655">
        <v>5866</v>
      </c>
      <c r="G655" t="s">
        <v>2673</v>
      </c>
      <c r="H655" t="s">
        <v>2665</v>
      </c>
      <c r="I655">
        <v>17489</v>
      </c>
      <c r="J655">
        <v>17886</v>
      </c>
      <c r="K655">
        <v>18501</v>
      </c>
      <c r="L655">
        <v>19130</v>
      </c>
      <c r="M655">
        <v>19842</v>
      </c>
      <c r="N655" t="s">
        <v>988</v>
      </c>
    </row>
    <row r="656" spans="1:14" hidden="1" x14ac:dyDescent="0.3">
      <c r="A656">
        <v>417</v>
      </c>
      <c r="B656" t="s">
        <v>1363</v>
      </c>
      <c r="C656" t="s">
        <v>2670</v>
      </c>
      <c r="D656" t="s">
        <v>1203</v>
      </c>
      <c r="E656" t="s">
        <v>1204</v>
      </c>
      <c r="F656">
        <v>5866</v>
      </c>
      <c r="G656" t="s">
        <v>2675</v>
      </c>
      <c r="H656" t="s">
        <v>2664</v>
      </c>
      <c r="I656">
        <v>17489</v>
      </c>
      <c r="J656">
        <v>17886</v>
      </c>
      <c r="K656">
        <v>18501</v>
      </c>
      <c r="L656">
        <v>19130</v>
      </c>
      <c r="M656">
        <v>19842</v>
      </c>
      <c r="N656" t="s">
        <v>988</v>
      </c>
    </row>
    <row r="657" spans="1:14" hidden="1" x14ac:dyDescent="0.3">
      <c r="A657">
        <v>417</v>
      </c>
      <c r="B657" t="s">
        <v>1363</v>
      </c>
      <c r="C657" t="s">
        <v>2670</v>
      </c>
      <c r="D657" t="s">
        <v>1203</v>
      </c>
      <c r="E657" t="s">
        <v>1204</v>
      </c>
      <c r="F657">
        <v>5866</v>
      </c>
      <c r="G657" t="s">
        <v>2675</v>
      </c>
      <c r="H657" t="s">
        <v>2665</v>
      </c>
      <c r="I657">
        <v>17489</v>
      </c>
      <c r="J657">
        <v>17886</v>
      </c>
      <c r="K657">
        <v>18501</v>
      </c>
      <c r="L657">
        <v>19130</v>
      </c>
      <c r="M657">
        <v>19842</v>
      </c>
      <c r="N657" t="s">
        <v>988</v>
      </c>
    </row>
    <row r="658" spans="1:14" hidden="1" x14ac:dyDescent="0.3">
      <c r="A658">
        <v>417</v>
      </c>
      <c r="B658" t="s">
        <v>1363</v>
      </c>
      <c r="C658" t="s">
        <v>2670</v>
      </c>
      <c r="D658" t="s">
        <v>1203</v>
      </c>
      <c r="E658" t="s">
        <v>1204</v>
      </c>
      <c r="F658">
        <v>5866</v>
      </c>
      <c r="G658" t="s">
        <v>2674</v>
      </c>
      <c r="H658" t="s">
        <v>2664</v>
      </c>
      <c r="I658">
        <v>17489</v>
      </c>
      <c r="J658">
        <v>17886</v>
      </c>
      <c r="K658">
        <v>18501</v>
      </c>
      <c r="L658">
        <v>19130</v>
      </c>
      <c r="M658">
        <v>19842</v>
      </c>
      <c r="N658" t="s">
        <v>988</v>
      </c>
    </row>
    <row r="659" spans="1:14" hidden="1" x14ac:dyDescent="0.3">
      <c r="A659">
        <v>417</v>
      </c>
      <c r="B659" t="s">
        <v>1363</v>
      </c>
      <c r="C659" t="s">
        <v>2670</v>
      </c>
      <c r="D659" t="s">
        <v>1203</v>
      </c>
      <c r="E659" t="s">
        <v>1204</v>
      </c>
      <c r="F659">
        <v>5866</v>
      </c>
      <c r="G659" t="s">
        <v>2674</v>
      </c>
      <c r="H659" t="s">
        <v>2665</v>
      </c>
      <c r="I659">
        <v>17489</v>
      </c>
      <c r="J659">
        <v>17886</v>
      </c>
      <c r="K659">
        <v>18501</v>
      </c>
      <c r="L659">
        <v>19130</v>
      </c>
      <c r="M659">
        <v>19842</v>
      </c>
      <c r="N659" t="s">
        <v>988</v>
      </c>
    </row>
    <row r="660" spans="1:14" hidden="1" x14ac:dyDescent="0.3">
      <c r="A660">
        <v>417</v>
      </c>
      <c r="B660" t="s">
        <v>1363</v>
      </c>
      <c r="C660" t="s">
        <v>2670</v>
      </c>
      <c r="D660" t="s">
        <v>1203</v>
      </c>
      <c r="E660" t="s">
        <v>1204</v>
      </c>
      <c r="F660">
        <v>5866</v>
      </c>
      <c r="G660" t="s">
        <v>2673</v>
      </c>
      <c r="H660" t="s">
        <v>2664</v>
      </c>
      <c r="I660">
        <v>17489</v>
      </c>
      <c r="J660">
        <v>17886</v>
      </c>
      <c r="K660">
        <v>18501</v>
      </c>
      <c r="L660">
        <v>19130</v>
      </c>
      <c r="M660">
        <v>19842</v>
      </c>
      <c r="N660" t="s">
        <v>988</v>
      </c>
    </row>
    <row r="661" spans="1:14" hidden="1" x14ac:dyDescent="0.3">
      <c r="A661">
        <v>417</v>
      </c>
      <c r="B661" t="s">
        <v>1363</v>
      </c>
      <c r="C661" t="s">
        <v>2670</v>
      </c>
      <c r="D661" t="s">
        <v>1203</v>
      </c>
      <c r="E661" t="s">
        <v>1204</v>
      </c>
      <c r="F661">
        <v>5866</v>
      </c>
      <c r="G661" t="s">
        <v>2676</v>
      </c>
      <c r="H661" t="s">
        <v>2665</v>
      </c>
      <c r="I661">
        <v>17489</v>
      </c>
      <c r="J661">
        <v>17886</v>
      </c>
      <c r="K661">
        <v>18501</v>
      </c>
      <c r="L661">
        <v>19130</v>
      </c>
      <c r="M661">
        <v>19842</v>
      </c>
      <c r="N661" t="s">
        <v>988</v>
      </c>
    </row>
    <row r="662" spans="1:14" hidden="1" x14ac:dyDescent="0.3">
      <c r="A662">
        <v>421</v>
      </c>
      <c r="B662" t="s">
        <v>1364</v>
      </c>
      <c r="C662" t="s">
        <v>2670</v>
      </c>
      <c r="D662" t="s">
        <v>1203</v>
      </c>
      <c r="E662" t="s">
        <v>1204</v>
      </c>
      <c r="F662">
        <v>5867</v>
      </c>
      <c r="G662" t="s">
        <v>2676</v>
      </c>
      <c r="H662" t="s">
        <v>2664</v>
      </c>
      <c r="I662">
        <v>4677</v>
      </c>
      <c r="J662">
        <v>4640</v>
      </c>
      <c r="K662">
        <v>4791</v>
      </c>
      <c r="L662">
        <v>4918</v>
      </c>
      <c r="M662">
        <v>5067</v>
      </c>
      <c r="N662" t="s">
        <v>988</v>
      </c>
    </row>
    <row r="663" spans="1:14" hidden="1" x14ac:dyDescent="0.3">
      <c r="A663">
        <v>421</v>
      </c>
      <c r="B663" t="s">
        <v>1364</v>
      </c>
      <c r="C663" t="s">
        <v>2670</v>
      </c>
      <c r="D663" t="s">
        <v>1203</v>
      </c>
      <c r="E663" t="s">
        <v>1204</v>
      </c>
      <c r="F663">
        <v>5867</v>
      </c>
      <c r="G663" t="s">
        <v>2676</v>
      </c>
      <c r="H663" t="s">
        <v>2665</v>
      </c>
      <c r="I663">
        <v>4677</v>
      </c>
      <c r="J663">
        <v>4640</v>
      </c>
      <c r="K663">
        <v>4791</v>
      </c>
      <c r="L663">
        <v>4918</v>
      </c>
      <c r="M663">
        <v>5067</v>
      </c>
      <c r="N663" t="s">
        <v>988</v>
      </c>
    </row>
    <row r="664" spans="1:14" hidden="1" x14ac:dyDescent="0.3">
      <c r="A664">
        <v>421</v>
      </c>
      <c r="B664" t="s">
        <v>1364</v>
      </c>
      <c r="C664" t="s">
        <v>2670</v>
      </c>
      <c r="D664" t="s">
        <v>1203</v>
      </c>
      <c r="E664" t="s">
        <v>1204</v>
      </c>
      <c r="F664">
        <v>5867</v>
      </c>
      <c r="G664" t="s">
        <v>2674</v>
      </c>
      <c r="H664" t="s">
        <v>2664</v>
      </c>
      <c r="I664">
        <v>4677</v>
      </c>
      <c r="J664">
        <v>4640</v>
      </c>
      <c r="K664">
        <v>4791</v>
      </c>
      <c r="L664">
        <v>4918</v>
      </c>
      <c r="M664">
        <v>5067</v>
      </c>
      <c r="N664" t="s">
        <v>988</v>
      </c>
    </row>
    <row r="665" spans="1:14" hidden="1" x14ac:dyDescent="0.3">
      <c r="A665">
        <v>421</v>
      </c>
      <c r="B665" t="s">
        <v>1364</v>
      </c>
      <c r="C665" t="s">
        <v>2670</v>
      </c>
      <c r="D665" t="s">
        <v>1203</v>
      </c>
      <c r="E665" t="s">
        <v>1204</v>
      </c>
      <c r="F665">
        <v>5867</v>
      </c>
      <c r="G665" t="s">
        <v>2675</v>
      </c>
      <c r="H665" t="s">
        <v>2665</v>
      </c>
      <c r="I665">
        <v>4677</v>
      </c>
      <c r="J665">
        <v>4640</v>
      </c>
      <c r="K665">
        <v>4791</v>
      </c>
      <c r="L665">
        <v>4918</v>
      </c>
      <c r="M665">
        <v>5067</v>
      </c>
      <c r="N665" t="s">
        <v>988</v>
      </c>
    </row>
    <row r="666" spans="1:14" hidden="1" x14ac:dyDescent="0.3">
      <c r="A666">
        <v>421</v>
      </c>
      <c r="B666" t="s">
        <v>1364</v>
      </c>
      <c r="C666" t="s">
        <v>2670</v>
      </c>
      <c r="D666" t="s">
        <v>1203</v>
      </c>
      <c r="E666" t="s">
        <v>1204</v>
      </c>
      <c r="F666">
        <v>5867</v>
      </c>
      <c r="G666" t="s">
        <v>2675</v>
      </c>
      <c r="H666" t="s">
        <v>2664</v>
      </c>
      <c r="I666">
        <v>4677</v>
      </c>
      <c r="J666">
        <v>4640</v>
      </c>
      <c r="K666">
        <v>4791</v>
      </c>
      <c r="L666">
        <v>4918</v>
      </c>
      <c r="M666">
        <v>5067</v>
      </c>
      <c r="N666" t="s">
        <v>988</v>
      </c>
    </row>
    <row r="667" spans="1:14" hidden="1" x14ac:dyDescent="0.3">
      <c r="A667">
        <v>421</v>
      </c>
      <c r="B667" t="s">
        <v>1364</v>
      </c>
      <c r="C667" t="s">
        <v>2670</v>
      </c>
      <c r="D667" t="s">
        <v>1203</v>
      </c>
      <c r="E667" t="s">
        <v>1204</v>
      </c>
      <c r="F667">
        <v>5867</v>
      </c>
      <c r="G667" t="s">
        <v>2674</v>
      </c>
      <c r="H667" t="s">
        <v>2665</v>
      </c>
      <c r="I667">
        <v>4677</v>
      </c>
      <c r="J667">
        <v>4640</v>
      </c>
      <c r="K667">
        <v>4791</v>
      </c>
      <c r="L667">
        <v>4918</v>
      </c>
      <c r="M667">
        <v>5067</v>
      </c>
      <c r="N667" t="s">
        <v>988</v>
      </c>
    </row>
    <row r="668" spans="1:14" hidden="1" x14ac:dyDescent="0.3">
      <c r="A668">
        <v>421</v>
      </c>
      <c r="B668" t="s">
        <v>1364</v>
      </c>
      <c r="C668" t="s">
        <v>2670</v>
      </c>
      <c r="D668" t="s">
        <v>1203</v>
      </c>
      <c r="E668" t="s">
        <v>1204</v>
      </c>
      <c r="F668">
        <v>5867</v>
      </c>
      <c r="G668" t="s">
        <v>2673</v>
      </c>
      <c r="H668" t="s">
        <v>2664</v>
      </c>
      <c r="I668">
        <v>4677</v>
      </c>
      <c r="J668">
        <v>4640</v>
      </c>
      <c r="K668">
        <v>4791</v>
      </c>
      <c r="L668">
        <v>4918</v>
      </c>
      <c r="M668">
        <v>5067</v>
      </c>
      <c r="N668" t="s">
        <v>988</v>
      </c>
    </row>
    <row r="669" spans="1:14" hidden="1" x14ac:dyDescent="0.3">
      <c r="A669">
        <v>421</v>
      </c>
      <c r="B669" t="s">
        <v>1364</v>
      </c>
      <c r="C669" t="s">
        <v>2670</v>
      </c>
      <c r="D669" t="s">
        <v>1203</v>
      </c>
      <c r="E669" t="s">
        <v>1204</v>
      </c>
      <c r="F669">
        <v>5867</v>
      </c>
      <c r="G669" t="s">
        <v>2673</v>
      </c>
      <c r="H669" t="s">
        <v>2665</v>
      </c>
      <c r="I669">
        <v>4677</v>
      </c>
      <c r="J669">
        <v>4640</v>
      </c>
      <c r="K669">
        <v>4791</v>
      </c>
      <c r="L669">
        <v>4918</v>
      </c>
      <c r="M669">
        <v>5067</v>
      </c>
      <c r="N669" t="s">
        <v>988</v>
      </c>
    </row>
    <row r="670" spans="1:14" hidden="1" x14ac:dyDescent="0.3">
      <c r="A670">
        <v>421</v>
      </c>
      <c r="B670" t="s">
        <v>1364</v>
      </c>
      <c r="C670" t="s">
        <v>2670</v>
      </c>
      <c r="D670" t="s">
        <v>1203</v>
      </c>
      <c r="E670" t="s">
        <v>1204</v>
      </c>
      <c r="F670">
        <v>5867</v>
      </c>
      <c r="G670" t="s">
        <v>2671</v>
      </c>
      <c r="H670" t="s">
        <v>2664</v>
      </c>
      <c r="I670">
        <v>4677</v>
      </c>
      <c r="J670">
        <v>4640</v>
      </c>
      <c r="K670">
        <v>4791</v>
      </c>
      <c r="L670">
        <v>4918</v>
      </c>
      <c r="M670">
        <v>5067</v>
      </c>
      <c r="N670" t="s">
        <v>988</v>
      </c>
    </row>
    <row r="671" spans="1:14" hidden="1" x14ac:dyDescent="0.3">
      <c r="A671">
        <v>421</v>
      </c>
      <c r="B671" t="s">
        <v>1364</v>
      </c>
      <c r="C671" t="s">
        <v>2670</v>
      </c>
      <c r="D671" t="s">
        <v>1203</v>
      </c>
      <c r="E671" t="s">
        <v>1204</v>
      </c>
      <c r="F671">
        <v>5867</v>
      </c>
      <c r="G671" t="s">
        <v>2671</v>
      </c>
      <c r="H671" t="s">
        <v>2665</v>
      </c>
      <c r="I671">
        <v>4677</v>
      </c>
      <c r="J671">
        <v>4640</v>
      </c>
      <c r="K671">
        <v>4791</v>
      </c>
      <c r="L671">
        <v>4918</v>
      </c>
      <c r="M671">
        <v>5067</v>
      </c>
      <c r="N671" t="s">
        <v>988</v>
      </c>
    </row>
    <row r="672" spans="1:14" hidden="1" x14ac:dyDescent="0.3">
      <c r="A672">
        <v>421</v>
      </c>
      <c r="B672" t="s">
        <v>1364</v>
      </c>
      <c r="C672" t="s">
        <v>2670</v>
      </c>
      <c r="D672" t="s">
        <v>1203</v>
      </c>
      <c r="E672" t="s">
        <v>1204</v>
      </c>
      <c r="F672">
        <v>5867</v>
      </c>
      <c r="G672" t="s">
        <v>2672</v>
      </c>
      <c r="H672" t="s">
        <v>2664</v>
      </c>
      <c r="N672" t="s">
        <v>988</v>
      </c>
    </row>
    <row r="673" spans="1:14" hidden="1" x14ac:dyDescent="0.3">
      <c r="A673">
        <v>421</v>
      </c>
      <c r="B673" t="s">
        <v>1364</v>
      </c>
      <c r="C673" t="s">
        <v>2670</v>
      </c>
      <c r="D673" t="s">
        <v>1203</v>
      </c>
      <c r="E673" t="s">
        <v>1204</v>
      </c>
      <c r="F673">
        <v>5867</v>
      </c>
      <c r="G673" t="s">
        <v>2672</v>
      </c>
      <c r="H673" t="s">
        <v>2665</v>
      </c>
      <c r="N673" t="s">
        <v>988</v>
      </c>
    </row>
    <row r="674" spans="1:14" hidden="1" x14ac:dyDescent="0.3">
      <c r="A674">
        <v>422</v>
      </c>
      <c r="B674" t="s">
        <v>1365</v>
      </c>
      <c r="C674" t="s">
        <v>2670</v>
      </c>
      <c r="D674" t="s">
        <v>1203</v>
      </c>
      <c r="E674" t="s">
        <v>1204</v>
      </c>
      <c r="F674">
        <v>5868</v>
      </c>
      <c r="G674" t="s">
        <v>2673</v>
      </c>
      <c r="H674" t="s">
        <v>2664</v>
      </c>
      <c r="I674">
        <v>5095.1400000000003</v>
      </c>
      <c r="J674">
        <v>5059.1109999999999</v>
      </c>
      <c r="K674">
        <v>5081.933</v>
      </c>
      <c r="L674">
        <v>4873.7219999999998</v>
      </c>
      <c r="M674">
        <v>4940.9830000000002</v>
      </c>
      <c r="N674" t="s">
        <v>988</v>
      </c>
    </row>
    <row r="675" spans="1:14" hidden="1" x14ac:dyDescent="0.3">
      <c r="A675">
        <v>422</v>
      </c>
      <c r="B675" t="s">
        <v>1365</v>
      </c>
      <c r="C675" t="s">
        <v>2670</v>
      </c>
      <c r="D675" t="s">
        <v>1203</v>
      </c>
      <c r="E675" t="s">
        <v>1204</v>
      </c>
      <c r="F675">
        <v>5868</v>
      </c>
      <c r="G675" t="s">
        <v>2674</v>
      </c>
      <c r="H675" t="s">
        <v>2665</v>
      </c>
      <c r="I675">
        <v>8008.8</v>
      </c>
      <c r="J675">
        <v>7943.2929999999997</v>
      </c>
      <c r="K675">
        <v>8104.2460000000001</v>
      </c>
      <c r="L675">
        <v>8491.7530000000006</v>
      </c>
      <c r="M675">
        <v>8940.4840000000004</v>
      </c>
      <c r="N675" t="s">
        <v>988</v>
      </c>
    </row>
    <row r="676" spans="1:14" hidden="1" x14ac:dyDescent="0.3">
      <c r="A676">
        <v>422</v>
      </c>
      <c r="B676" t="s">
        <v>1365</v>
      </c>
      <c r="C676" t="s">
        <v>2670</v>
      </c>
      <c r="D676" t="s">
        <v>1203</v>
      </c>
      <c r="E676" t="s">
        <v>1204</v>
      </c>
      <c r="F676">
        <v>5868</v>
      </c>
      <c r="G676" t="s">
        <v>2674</v>
      </c>
      <c r="H676" t="s">
        <v>2664</v>
      </c>
      <c r="I676">
        <v>5095.1400000000003</v>
      </c>
      <c r="J676">
        <v>5059.1109999999999</v>
      </c>
      <c r="K676">
        <v>5081.933</v>
      </c>
      <c r="L676">
        <v>5291.1869999999999</v>
      </c>
      <c r="M676">
        <v>5533.5010000000002</v>
      </c>
      <c r="N676" t="s">
        <v>988</v>
      </c>
    </row>
    <row r="677" spans="1:14" hidden="1" x14ac:dyDescent="0.3">
      <c r="A677">
        <v>422</v>
      </c>
      <c r="B677" t="s">
        <v>1365</v>
      </c>
      <c r="C677" t="s">
        <v>2670</v>
      </c>
      <c r="D677" t="s">
        <v>1203</v>
      </c>
      <c r="E677" t="s">
        <v>1204</v>
      </c>
      <c r="F677">
        <v>5868</v>
      </c>
      <c r="G677" t="s">
        <v>2675</v>
      </c>
      <c r="H677" t="s">
        <v>2665</v>
      </c>
      <c r="I677">
        <v>8008.8</v>
      </c>
      <c r="J677">
        <v>7943.2929999999997</v>
      </c>
      <c r="K677">
        <v>8104.2460000000001</v>
      </c>
      <c r="L677">
        <v>8491.7530000000006</v>
      </c>
      <c r="M677">
        <v>8940.4840000000004</v>
      </c>
      <c r="N677" t="s">
        <v>988</v>
      </c>
    </row>
    <row r="678" spans="1:14" hidden="1" x14ac:dyDescent="0.3">
      <c r="A678">
        <v>422</v>
      </c>
      <c r="B678" t="s">
        <v>1365</v>
      </c>
      <c r="C678" t="s">
        <v>2670</v>
      </c>
      <c r="D678" t="s">
        <v>1203</v>
      </c>
      <c r="E678" t="s">
        <v>1204</v>
      </c>
      <c r="F678">
        <v>5868</v>
      </c>
      <c r="G678" t="s">
        <v>2675</v>
      </c>
      <c r="H678" t="s">
        <v>2664</v>
      </c>
      <c r="I678">
        <v>5095.1400000000003</v>
      </c>
      <c r="J678">
        <v>5059.1109999999999</v>
      </c>
      <c r="K678">
        <v>5081.933</v>
      </c>
      <c r="L678">
        <v>5291.1869999999999</v>
      </c>
      <c r="M678">
        <v>5533.5010000000002</v>
      </c>
      <c r="N678" t="s">
        <v>988</v>
      </c>
    </row>
    <row r="679" spans="1:14" hidden="1" x14ac:dyDescent="0.3">
      <c r="A679">
        <v>422</v>
      </c>
      <c r="B679" t="s">
        <v>1365</v>
      </c>
      <c r="C679" t="s">
        <v>2670</v>
      </c>
      <c r="D679" t="s">
        <v>1203</v>
      </c>
      <c r="E679" t="s">
        <v>1204</v>
      </c>
      <c r="F679">
        <v>5868</v>
      </c>
      <c r="G679" t="s">
        <v>2673</v>
      </c>
      <c r="H679" t="s">
        <v>2665</v>
      </c>
      <c r="I679">
        <v>8008.8</v>
      </c>
      <c r="J679">
        <v>7943.2929999999997</v>
      </c>
      <c r="K679">
        <v>8104.2460000000001</v>
      </c>
      <c r="L679">
        <v>8491.7530000000006</v>
      </c>
      <c r="M679">
        <v>8940.4840000000004</v>
      </c>
      <c r="N679" t="s">
        <v>988</v>
      </c>
    </row>
    <row r="680" spans="1:14" hidden="1" x14ac:dyDescent="0.3">
      <c r="A680">
        <v>422</v>
      </c>
      <c r="B680" t="s">
        <v>1365</v>
      </c>
      <c r="C680" t="s">
        <v>2670</v>
      </c>
      <c r="D680" t="s">
        <v>1203</v>
      </c>
      <c r="E680" t="s">
        <v>1204</v>
      </c>
      <c r="F680">
        <v>5868</v>
      </c>
      <c r="G680" t="s">
        <v>2676</v>
      </c>
      <c r="H680" t="s">
        <v>2664</v>
      </c>
      <c r="I680">
        <v>5677.8720000000003</v>
      </c>
      <c r="J680">
        <v>5635.9470000000001</v>
      </c>
      <c r="K680">
        <v>5738.9579999999996</v>
      </c>
      <c r="L680">
        <v>5917.3850000000002</v>
      </c>
      <c r="M680">
        <v>5533.5010000000002</v>
      </c>
      <c r="N680" t="s">
        <v>988</v>
      </c>
    </row>
    <row r="681" spans="1:14" hidden="1" x14ac:dyDescent="0.3">
      <c r="A681">
        <v>422</v>
      </c>
      <c r="B681" t="s">
        <v>1365</v>
      </c>
      <c r="C681" t="s">
        <v>2670</v>
      </c>
      <c r="D681" t="s">
        <v>1203</v>
      </c>
      <c r="E681" t="s">
        <v>1204</v>
      </c>
      <c r="F681">
        <v>5868</v>
      </c>
      <c r="G681" t="s">
        <v>2672</v>
      </c>
      <c r="H681" t="s">
        <v>2665</v>
      </c>
      <c r="N681" t="s">
        <v>988</v>
      </c>
    </row>
    <row r="682" spans="1:14" hidden="1" x14ac:dyDescent="0.3">
      <c r="A682">
        <v>422</v>
      </c>
      <c r="B682" t="s">
        <v>1365</v>
      </c>
      <c r="C682" t="s">
        <v>2670</v>
      </c>
      <c r="D682" t="s">
        <v>1203</v>
      </c>
      <c r="E682" t="s">
        <v>1204</v>
      </c>
      <c r="F682">
        <v>5868</v>
      </c>
      <c r="G682" t="s">
        <v>2672</v>
      </c>
      <c r="H682" t="s">
        <v>2664</v>
      </c>
      <c r="N682" t="s">
        <v>988</v>
      </c>
    </row>
    <row r="683" spans="1:14" hidden="1" x14ac:dyDescent="0.3">
      <c r="A683">
        <v>422</v>
      </c>
      <c r="B683" t="s">
        <v>1365</v>
      </c>
      <c r="C683" t="s">
        <v>2670</v>
      </c>
      <c r="D683" t="s">
        <v>1203</v>
      </c>
      <c r="E683" t="s">
        <v>1204</v>
      </c>
      <c r="F683">
        <v>5868</v>
      </c>
      <c r="G683" t="s">
        <v>2671</v>
      </c>
      <c r="H683" t="s">
        <v>2665</v>
      </c>
      <c r="I683">
        <v>8008.8</v>
      </c>
      <c r="J683">
        <v>7943.2929999999997</v>
      </c>
      <c r="K683">
        <v>8104.2460000000001</v>
      </c>
      <c r="L683">
        <v>8491.7530000000006</v>
      </c>
      <c r="M683">
        <v>8940.4840000000004</v>
      </c>
      <c r="N683" t="s">
        <v>988</v>
      </c>
    </row>
    <row r="684" spans="1:14" hidden="1" x14ac:dyDescent="0.3">
      <c r="A684">
        <v>422</v>
      </c>
      <c r="B684" t="s">
        <v>1365</v>
      </c>
      <c r="C684" t="s">
        <v>2670</v>
      </c>
      <c r="D684" t="s">
        <v>1203</v>
      </c>
      <c r="E684" t="s">
        <v>1204</v>
      </c>
      <c r="F684">
        <v>5868</v>
      </c>
      <c r="G684" t="s">
        <v>2671</v>
      </c>
      <c r="H684" t="s">
        <v>2664</v>
      </c>
      <c r="I684">
        <v>5095.1400000000003</v>
      </c>
      <c r="J684">
        <v>5059.1109999999999</v>
      </c>
      <c r="K684">
        <v>4819.1229999999996</v>
      </c>
      <c r="L684">
        <v>4873.7219999999998</v>
      </c>
      <c r="M684">
        <v>4940.9830000000002</v>
      </c>
      <c r="N684" t="s">
        <v>988</v>
      </c>
    </row>
    <row r="685" spans="1:14" hidden="1" x14ac:dyDescent="0.3">
      <c r="A685">
        <v>422</v>
      </c>
      <c r="B685" t="s">
        <v>1365</v>
      </c>
      <c r="C685" t="s">
        <v>2670</v>
      </c>
      <c r="D685" t="s">
        <v>1203</v>
      </c>
      <c r="E685" t="s">
        <v>1204</v>
      </c>
      <c r="F685">
        <v>5868</v>
      </c>
      <c r="G685" t="s">
        <v>2676</v>
      </c>
      <c r="H685" t="s">
        <v>2665</v>
      </c>
      <c r="I685">
        <v>8008.8</v>
      </c>
      <c r="J685">
        <v>7943.2929999999997</v>
      </c>
      <c r="K685">
        <v>8104.2460000000001</v>
      </c>
      <c r="L685">
        <v>8491.7530000000006</v>
      </c>
      <c r="M685">
        <v>8940.4840000000004</v>
      </c>
      <c r="N685" t="s">
        <v>988</v>
      </c>
    </row>
    <row r="686" spans="1:14" hidden="1" x14ac:dyDescent="0.3">
      <c r="A686">
        <v>424</v>
      </c>
      <c r="B686" t="s">
        <v>1366</v>
      </c>
      <c r="C686" t="s">
        <v>2670</v>
      </c>
      <c r="D686" t="s">
        <v>1203</v>
      </c>
      <c r="E686" t="s">
        <v>1204</v>
      </c>
      <c r="F686">
        <v>5869</v>
      </c>
      <c r="G686" t="s">
        <v>2672</v>
      </c>
      <c r="H686" t="s">
        <v>2664</v>
      </c>
      <c r="N686" t="s">
        <v>988</v>
      </c>
    </row>
    <row r="687" spans="1:14" hidden="1" x14ac:dyDescent="0.3">
      <c r="A687">
        <v>424</v>
      </c>
      <c r="B687" t="s">
        <v>1366</v>
      </c>
      <c r="C687" t="s">
        <v>2670</v>
      </c>
      <c r="D687" t="s">
        <v>1203</v>
      </c>
      <c r="E687" t="s">
        <v>1204</v>
      </c>
      <c r="F687">
        <v>5869</v>
      </c>
      <c r="G687" t="s">
        <v>2671</v>
      </c>
      <c r="H687" t="s">
        <v>2665</v>
      </c>
      <c r="I687">
        <v>24776</v>
      </c>
      <c r="J687">
        <v>24627</v>
      </c>
      <c r="K687">
        <v>24589</v>
      </c>
      <c r="L687">
        <v>24521</v>
      </c>
      <c r="M687">
        <v>24564</v>
      </c>
      <c r="N687" t="s">
        <v>988</v>
      </c>
    </row>
    <row r="688" spans="1:14" hidden="1" x14ac:dyDescent="0.3">
      <c r="A688">
        <v>424</v>
      </c>
      <c r="B688" t="s">
        <v>1366</v>
      </c>
      <c r="C688" t="s">
        <v>2670</v>
      </c>
      <c r="D688" t="s">
        <v>1203</v>
      </c>
      <c r="E688" t="s">
        <v>1204</v>
      </c>
      <c r="F688">
        <v>5869</v>
      </c>
      <c r="G688" t="s">
        <v>2671</v>
      </c>
      <c r="H688" t="s">
        <v>2664</v>
      </c>
      <c r="I688">
        <v>24776</v>
      </c>
      <c r="J688">
        <v>24627</v>
      </c>
      <c r="K688">
        <v>24589</v>
      </c>
      <c r="L688">
        <v>24521</v>
      </c>
      <c r="M688">
        <v>24564</v>
      </c>
      <c r="N688" t="s">
        <v>988</v>
      </c>
    </row>
    <row r="689" spans="1:14" hidden="1" x14ac:dyDescent="0.3">
      <c r="A689">
        <v>424</v>
      </c>
      <c r="B689" t="s">
        <v>1366</v>
      </c>
      <c r="C689" t="s">
        <v>2670</v>
      </c>
      <c r="D689" t="s">
        <v>1203</v>
      </c>
      <c r="E689" t="s">
        <v>1204</v>
      </c>
      <c r="F689">
        <v>5869</v>
      </c>
      <c r="G689" t="s">
        <v>2673</v>
      </c>
      <c r="H689" t="s">
        <v>2665</v>
      </c>
      <c r="I689">
        <v>24776</v>
      </c>
      <c r="J689">
        <v>24627</v>
      </c>
      <c r="K689">
        <v>24589</v>
      </c>
      <c r="L689">
        <v>24521</v>
      </c>
      <c r="M689">
        <v>24564</v>
      </c>
      <c r="N689" t="s">
        <v>988</v>
      </c>
    </row>
    <row r="690" spans="1:14" hidden="1" x14ac:dyDescent="0.3">
      <c r="A690">
        <v>424</v>
      </c>
      <c r="B690" t="s">
        <v>1366</v>
      </c>
      <c r="C690" t="s">
        <v>2670</v>
      </c>
      <c r="D690" t="s">
        <v>1203</v>
      </c>
      <c r="E690" t="s">
        <v>1204</v>
      </c>
      <c r="F690">
        <v>5869</v>
      </c>
      <c r="G690" t="s">
        <v>2673</v>
      </c>
      <c r="H690" t="s">
        <v>2664</v>
      </c>
      <c r="I690">
        <v>24776</v>
      </c>
      <c r="J690">
        <v>24627</v>
      </c>
      <c r="K690">
        <v>24589</v>
      </c>
      <c r="L690">
        <v>24521</v>
      </c>
      <c r="M690">
        <v>24564</v>
      </c>
      <c r="N690" t="s">
        <v>988</v>
      </c>
    </row>
    <row r="691" spans="1:14" hidden="1" x14ac:dyDescent="0.3">
      <c r="A691">
        <v>424</v>
      </c>
      <c r="B691" t="s">
        <v>1366</v>
      </c>
      <c r="C691" t="s">
        <v>2670</v>
      </c>
      <c r="D691" t="s">
        <v>1203</v>
      </c>
      <c r="E691" t="s">
        <v>1204</v>
      </c>
      <c r="F691">
        <v>5869</v>
      </c>
      <c r="G691" t="s">
        <v>2674</v>
      </c>
      <c r="H691" t="s">
        <v>2665</v>
      </c>
      <c r="I691">
        <v>24776</v>
      </c>
      <c r="J691">
        <v>24627</v>
      </c>
      <c r="K691">
        <v>24589</v>
      </c>
      <c r="L691">
        <v>24521</v>
      </c>
      <c r="M691">
        <v>24564</v>
      </c>
      <c r="N691" t="s">
        <v>988</v>
      </c>
    </row>
    <row r="692" spans="1:14" hidden="1" x14ac:dyDescent="0.3">
      <c r="A692">
        <v>424</v>
      </c>
      <c r="B692" t="s">
        <v>1366</v>
      </c>
      <c r="C692" t="s">
        <v>2670</v>
      </c>
      <c r="D692" t="s">
        <v>1203</v>
      </c>
      <c r="E692" t="s">
        <v>1204</v>
      </c>
      <c r="F692">
        <v>5869</v>
      </c>
      <c r="G692" t="s">
        <v>2674</v>
      </c>
      <c r="H692" t="s">
        <v>2664</v>
      </c>
      <c r="I692">
        <v>24776</v>
      </c>
      <c r="J692">
        <v>24627</v>
      </c>
      <c r="K692">
        <v>24589</v>
      </c>
      <c r="L692">
        <v>24521</v>
      </c>
      <c r="M692">
        <v>24564</v>
      </c>
      <c r="N692" t="s">
        <v>988</v>
      </c>
    </row>
    <row r="693" spans="1:14" hidden="1" x14ac:dyDescent="0.3">
      <c r="A693">
        <v>424</v>
      </c>
      <c r="B693" t="s">
        <v>1366</v>
      </c>
      <c r="C693" t="s">
        <v>2670</v>
      </c>
      <c r="D693" t="s">
        <v>1203</v>
      </c>
      <c r="E693" t="s">
        <v>1204</v>
      </c>
      <c r="F693">
        <v>5869</v>
      </c>
      <c r="G693" t="s">
        <v>2676</v>
      </c>
      <c r="H693" t="s">
        <v>2664</v>
      </c>
      <c r="I693">
        <v>24776</v>
      </c>
      <c r="J693">
        <v>24627</v>
      </c>
      <c r="K693">
        <v>24589</v>
      </c>
      <c r="L693">
        <v>24521</v>
      </c>
      <c r="M693">
        <v>24564</v>
      </c>
      <c r="N693" t="s">
        <v>988</v>
      </c>
    </row>
    <row r="694" spans="1:14" hidden="1" x14ac:dyDescent="0.3">
      <c r="A694">
        <v>424</v>
      </c>
      <c r="B694" t="s">
        <v>1366</v>
      </c>
      <c r="C694" t="s">
        <v>2670</v>
      </c>
      <c r="D694" t="s">
        <v>1203</v>
      </c>
      <c r="E694" t="s">
        <v>1204</v>
      </c>
      <c r="F694">
        <v>5869</v>
      </c>
      <c r="G694" t="s">
        <v>2676</v>
      </c>
      <c r="H694" t="s">
        <v>2665</v>
      </c>
      <c r="I694">
        <v>24776</v>
      </c>
      <c r="J694">
        <v>24627</v>
      </c>
      <c r="K694">
        <v>24589</v>
      </c>
      <c r="L694">
        <v>24521</v>
      </c>
      <c r="M694">
        <v>24564</v>
      </c>
      <c r="N694" t="s">
        <v>988</v>
      </c>
    </row>
    <row r="695" spans="1:14" hidden="1" x14ac:dyDescent="0.3">
      <c r="A695">
        <v>424</v>
      </c>
      <c r="B695" t="s">
        <v>1366</v>
      </c>
      <c r="C695" t="s">
        <v>2670</v>
      </c>
      <c r="D695" t="s">
        <v>1203</v>
      </c>
      <c r="E695" t="s">
        <v>1204</v>
      </c>
      <c r="F695">
        <v>5869</v>
      </c>
      <c r="G695" t="s">
        <v>2672</v>
      </c>
      <c r="H695" t="s">
        <v>2665</v>
      </c>
      <c r="N695" t="s">
        <v>988</v>
      </c>
    </row>
    <row r="696" spans="1:14" hidden="1" x14ac:dyDescent="0.3">
      <c r="A696">
        <v>424</v>
      </c>
      <c r="B696" t="s">
        <v>1366</v>
      </c>
      <c r="C696" t="s">
        <v>2670</v>
      </c>
      <c r="D696" t="s">
        <v>1203</v>
      </c>
      <c r="E696" t="s">
        <v>1204</v>
      </c>
      <c r="F696">
        <v>5869</v>
      </c>
      <c r="G696" t="s">
        <v>2675</v>
      </c>
      <c r="H696" t="s">
        <v>2665</v>
      </c>
      <c r="I696">
        <v>24776</v>
      </c>
      <c r="J696">
        <v>24627</v>
      </c>
      <c r="K696">
        <v>24589</v>
      </c>
      <c r="L696">
        <v>24521</v>
      </c>
      <c r="M696">
        <v>24564</v>
      </c>
      <c r="N696" t="s">
        <v>988</v>
      </c>
    </row>
    <row r="697" spans="1:14" hidden="1" x14ac:dyDescent="0.3">
      <c r="A697">
        <v>424</v>
      </c>
      <c r="B697" t="s">
        <v>1366</v>
      </c>
      <c r="C697" t="s">
        <v>2670</v>
      </c>
      <c r="D697" t="s">
        <v>1203</v>
      </c>
      <c r="E697" t="s">
        <v>1204</v>
      </c>
      <c r="F697">
        <v>5869</v>
      </c>
      <c r="G697" t="s">
        <v>2675</v>
      </c>
      <c r="H697" t="s">
        <v>2664</v>
      </c>
      <c r="I697">
        <v>24776</v>
      </c>
      <c r="J697">
        <v>24627</v>
      </c>
      <c r="K697">
        <v>24589</v>
      </c>
      <c r="L697">
        <v>24521</v>
      </c>
      <c r="M697">
        <v>24564</v>
      </c>
      <c r="N697" t="s">
        <v>988</v>
      </c>
    </row>
    <row r="698" spans="1:14" hidden="1" x14ac:dyDescent="0.3">
      <c r="A698">
        <v>427</v>
      </c>
      <c r="B698" t="s">
        <v>1367</v>
      </c>
      <c r="C698" t="s">
        <v>2670</v>
      </c>
      <c r="D698" t="s">
        <v>1203</v>
      </c>
      <c r="E698" t="s">
        <v>1204</v>
      </c>
      <c r="F698">
        <v>5870</v>
      </c>
      <c r="G698" t="s">
        <v>2672</v>
      </c>
      <c r="H698" t="s">
        <v>2665</v>
      </c>
      <c r="N698" t="s">
        <v>988</v>
      </c>
    </row>
    <row r="699" spans="1:14" hidden="1" x14ac:dyDescent="0.3">
      <c r="A699">
        <v>427</v>
      </c>
      <c r="B699" t="s">
        <v>1367</v>
      </c>
      <c r="C699" t="s">
        <v>2670</v>
      </c>
      <c r="D699" t="s">
        <v>1203</v>
      </c>
      <c r="E699" t="s">
        <v>1204</v>
      </c>
      <c r="F699">
        <v>5870</v>
      </c>
      <c r="G699" t="s">
        <v>2672</v>
      </c>
      <c r="H699" t="s">
        <v>2664</v>
      </c>
      <c r="N699" t="s">
        <v>988</v>
      </c>
    </row>
    <row r="700" spans="1:14" hidden="1" x14ac:dyDescent="0.3">
      <c r="A700">
        <v>427</v>
      </c>
      <c r="B700" t="s">
        <v>1367</v>
      </c>
      <c r="C700" t="s">
        <v>2670</v>
      </c>
      <c r="D700" t="s">
        <v>1203</v>
      </c>
      <c r="E700" t="s">
        <v>1204</v>
      </c>
      <c r="F700">
        <v>5870</v>
      </c>
      <c r="G700" t="s">
        <v>2671</v>
      </c>
      <c r="H700" t="s">
        <v>2665</v>
      </c>
      <c r="I700">
        <v>33543</v>
      </c>
      <c r="J700">
        <v>36387</v>
      </c>
      <c r="K700">
        <v>39520</v>
      </c>
      <c r="L700">
        <v>42562</v>
      </c>
      <c r="M700">
        <v>45939</v>
      </c>
      <c r="N700" t="s">
        <v>988</v>
      </c>
    </row>
    <row r="701" spans="1:14" hidden="1" x14ac:dyDescent="0.3">
      <c r="A701">
        <v>427</v>
      </c>
      <c r="B701" t="s">
        <v>1367</v>
      </c>
      <c r="C701" t="s">
        <v>2670</v>
      </c>
      <c r="D701" t="s">
        <v>1203</v>
      </c>
      <c r="E701" t="s">
        <v>1204</v>
      </c>
      <c r="F701">
        <v>5870</v>
      </c>
      <c r="G701" t="s">
        <v>2671</v>
      </c>
      <c r="H701" t="s">
        <v>2664</v>
      </c>
      <c r="I701">
        <v>33543</v>
      </c>
      <c r="J701">
        <v>36387</v>
      </c>
      <c r="K701">
        <v>39520</v>
      </c>
      <c r="L701">
        <v>42562</v>
      </c>
      <c r="M701">
        <v>45939</v>
      </c>
      <c r="N701" t="s">
        <v>988</v>
      </c>
    </row>
    <row r="702" spans="1:14" hidden="1" x14ac:dyDescent="0.3">
      <c r="A702">
        <v>427</v>
      </c>
      <c r="B702" t="s">
        <v>1367</v>
      </c>
      <c r="C702" t="s">
        <v>2670</v>
      </c>
      <c r="D702" t="s">
        <v>1203</v>
      </c>
      <c r="E702" t="s">
        <v>1204</v>
      </c>
      <c r="F702">
        <v>5870</v>
      </c>
      <c r="G702" t="s">
        <v>2673</v>
      </c>
      <c r="H702" t="s">
        <v>2665</v>
      </c>
      <c r="I702">
        <v>33543</v>
      </c>
      <c r="J702">
        <v>36387</v>
      </c>
      <c r="K702">
        <v>39520</v>
      </c>
      <c r="L702">
        <v>42562</v>
      </c>
      <c r="M702">
        <v>45939</v>
      </c>
      <c r="N702" t="s">
        <v>988</v>
      </c>
    </row>
    <row r="703" spans="1:14" hidden="1" x14ac:dyDescent="0.3">
      <c r="A703">
        <v>427</v>
      </c>
      <c r="B703" t="s">
        <v>1367</v>
      </c>
      <c r="C703" t="s">
        <v>2670</v>
      </c>
      <c r="D703" t="s">
        <v>1203</v>
      </c>
      <c r="E703" t="s">
        <v>1204</v>
      </c>
      <c r="F703">
        <v>5870</v>
      </c>
      <c r="G703" t="s">
        <v>2676</v>
      </c>
      <c r="H703" t="s">
        <v>2664</v>
      </c>
      <c r="I703">
        <v>33543</v>
      </c>
      <c r="J703">
        <v>36387</v>
      </c>
      <c r="K703">
        <v>39520</v>
      </c>
      <c r="L703">
        <v>42562</v>
      </c>
      <c r="M703">
        <v>45939</v>
      </c>
      <c r="N703" t="s">
        <v>988</v>
      </c>
    </row>
    <row r="704" spans="1:14" hidden="1" x14ac:dyDescent="0.3">
      <c r="A704">
        <v>427</v>
      </c>
      <c r="B704" t="s">
        <v>1367</v>
      </c>
      <c r="C704" t="s">
        <v>2670</v>
      </c>
      <c r="D704" t="s">
        <v>1203</v>
      </c>
      <c r="E704" t="s">
        <v>1204</v>
      </c>
      <c r="F704">
        <v>5870</v>
      </c>
      <c r="G704" t="s">
        <v>2674</v>
      </c>
      <c r="H704" t="s">
        <v>2665</v>
      </c>
      <c r="I704">
        <v>33543</v>
      </c>
      <c r="J704">
        <v>36387</v>
      </c>
      <c r="K704">
        <v>39520</v>
      </c>
      <c r="L704">
        <v>42562</v>
      </c>
      <c r="M704">
        <v>45939</v>
      </c>
      <c r="N704" t="s">
        <v>988</v>
      </c>
    </row>
    <row r="705" spans="1:14" hidden="1" x14ac:dyDescent="0.3">
      <c r="A705">
        <v>427</v>
      </c>
      <c r="B705" t="s">
        <v>1367</v>
      </c>
      <c r="C705" t="s">
        <v>2670</v>
      </c>
      <c r="D705" t="s">
        <v>1203</v>
      </c>
      <c r="E705" t="s">
        <v>1204</v>
      </c>
      <c r="F705">
        <v>5870</v>
      </c>
      <c r="G705" t="s">
        <v>2674</v>
      </c>
      <c r="H705" t="s">
        <v>2664</v>
      </c>
      <c r="I705">
        <v>33543</v>
      </c>
      <c r="J705">
        <v>36387</v>
      </c>
      <c r="K705">
        <v>39520</v>
      </c>
      <c r="L705">
        <v>42562</v>
      </c>
      <c r="M705">
        <v>45939</v>
      </c>
      <c r="N705" t="s">
        <v>988</v>
      </c>
    </row>
    <row r="706" spans="1:14" hidden="1" x14ac:dyDescent="0.3">
      <c r="A706">
        <v>427</v>
      </c>
      <c r="B706" t="s">
        <v>1367</v>
      </c>
      <c r="C706" t="s">
        <v>2670</v>
      </c>
      <c r="D706" t="s">
        <v>1203</v>
      </c>
      <c r="E706" t="s">
        <v>1204</v>
      </c>
      <c r="F706">
        <v>5870</v>
      </c>
      <c r="G706" t="s">
        <v>2675</v>
      </c>
      <c r="H706" t="s">
        <v>2665</v>
      </c>
      <c r="I706">
        <v>33543</v>
      </c>
      <c r="J706">
        <v>36387</v>
      </c>
      <c r="K706">
        <v>39520</v>
      </c>
      <c r="L706">
        <v>42562</v>
      </c>
      <c r="M706">
        <v>45939</v>
      </c>
      <c r="N706" t="s">
        <v>988</v>
      </c>
    </row>
    <row r="707" spans="1:14" hidden="1" x14ac:dyDescent="0.3">
      <c r="A707">
        <v>427</v>
      </c>
      <c r="B707" t="s">
        <v>1367</v>
      </c>
      <c r="C707" t="s">
        <v>2670</v>
      </c>
      <c r="D707" t="s">
        <v>1203</v>
      </c>
      <c r="E707" t="s">
        <v>1204</v>
      </c>
      <c r="F707">
        <v>5870</v>
      </c>
      <c r="G707" t="s">
        <v>2675</v>
      </c>
      <c r="H707" t="s">
        <v>2664</v>
      </c>
      <c r="I707">
        <v>33543</v>
      </c>
      <c r="J707">
        <v>36387</v>
      </c>
      <c r="K707">
        <v>39520</v>
      </c>
      <c r="L707">
        <v>42562</v>
      </c>
      <c r="M707">
        <v>45939</v>
      </c>
      <c r="N707" t="s">
        <v>988</v>
      </c>
    </row>
    <row r="708" spans="1:14" hidden="1" x14ac:dyDescent="0.3">
      <c r="A708">
        <v>427</v>
      </c>
      <c r="B708" t="s">
        <v>1367</v>
      </c>
      <c r="C708" t="s">
        <v>2670</v>
      </c>
      <c r="D708" t="s">
        <v>1203</v>
      </c>
      <c r="E708" t="s">
        <v>1204</v>
      </c>
      <c r="F708">
        <v>5870</v>
      </c>
      <c r="G708" t="s">
        <v>2676</v>
      </c>
      <c r="H708" t="s">
        <v>2665</v>
      </c>
      <c r="I708">
        <v>33543</v>
      </c>
      <c r="J708">
        <v>36387</v>
      </c>
      <c r="K708">
        <v>39520</v>
      </c>
      <c r="L708">
        <v>42562</v>
      </c>
      <c r="M708">
        <v>45939</v>
      </c>
      <c r="N708" t="s">
        <v>988</v>
      </c>
    </row>
    <row r="709" spans="1:14" hidden="1" x14ac:dyDescent="0.3">
      <c r="A709">
        <v>427</v>
      </c>
      <c r="B709" t="s">
        <v>1367</v>
      </c>
      <c r="C709" t="s">
        <v>2670</v>
      </c>
      <c r="D709" t="s">
        <v>1203</v>
      </c>
      <c r="E709" t="s">
        <v>1204</v>
      </c>
      <c r="F709">
        <v>5870</v>
      </c>
      <c r="G709" t="s">
        <v>2673</v>
      </c>
      <c r="H709" t="s">
        <v>2664</v>
      </c>
      <c r="I709">
        <v>33543</v>
      </c>
      <c r="J709">
        <v>36387</v>
      </c>
      <c r="K709">
        <v>39520</v>
      </c>
      <c r="L709">
        <v>42562</v>
      </c>
      <c r="M709">
        <v>45939</v>
      </c>
      <c r="N709" t="s">
        <v>988</v>
      </c>
    </row>
    <row r="710" spans="1:14" hidden="1" x14ac:dyDescent="0.3">
      <c r="A710">
        <v>428</v>
      </c>
      <c r="B710" t="s">
        <v>1368</v>
      </c>
      <c r="C710" t="s">
        <v>2670</v>
      </c>
      <c r="D710" t="s">
        <v>1203</v>
      </c>
      <c r="E710" t="s">
        <v>1204</v>
      </c>
      <c r="F710">
        <v>5871</v>
      </c>
      <c r="G710" t="s">
        <v>2676</v>
      </c>
      <c r="H710" t="s">
        <v>2664</v>
      </c>
      <c r="I710">
        <v>7662</v>
      </c>
      <c r="J710">
        <v>7533</v>
      </c>
      <c r="K710">
        <v>7536</v>
      </c>
      <c r="L710">
        <v>7530</v>
      </c>
      <c r="M710">
        <v>7552</v>
      </c>
      <c r="N710" t="s">
        <v>988</v>
      </c>
    </row>
    <row r="711" spans="1:14" hidden="1" x14ac:dyDescent="0.3">
      <c r="A711">
        <v>428</v>
      </c>
      <c r="B711" t="s">
        <v>1368</v>
      </c>
      <c r="C711" t="s">
        <v>2670</v>
      </c>
      <c r="D711" t="s">
        <v>1203</v>
      </c>
      <c r="E711" t="s">
        <v>1204</v>
      </c>
      <c r="F711">
        <v>5871</v>
      </c>
      <c r="G711" t="s">
        <v>2672</v>
      </c>
      <c r="H711" t="s">
        <v>2665</v>
      </c>
      <c r="N711" t="s">
        <v>988</v>
      </c>
    </row>
    <row r="712" spans="1:14" hidden="1" x14ac:dyDescent="0.3">
      <c r="A712">
        <v>428</v>
      </c>
      <c r="B712" t="s">
        <v>1368</v>
      </c>
      <c r="C712" t="s">
        <v>2670</v>
      </c>
      <c r="D712" t="s">
        <v>1203</v>
      </c>
      <c r="E712" t="s">
        <v>1204</v>
      </c>
      <c r="F712">
        <v>5871</v>
      </c>
      <c r="G712" t="s">
        <v>2672</v>
      </c>
      <c r="H712" t="s">
        <v>2664</v>
      </c>
      <c r="N712" t="s">
        <v>988</v>
      </c>
    </row>
    <row r="713" spans="1:14" hidden="1" x14ac:dyDescent="0.3">
      <c r="A713">
        <v>428</v>
      </c>
      <c r="B713" t="s">
        <v>1368</v>
      </c>
      <c r="C713" t="s">
        <v>2670</v>
      </c>
      <c r="D713" t="s">
        <v>1203</v>
      </c>
      <c r="E713" t="s">
        <v>1204</v>
      </c>
      <c r="F713">
        <v>5871</v>
      </c>
      <c r="G713" t="s">
        <v>2671</v>
      </c>
      <c r="H713" t="s">
        <v>2665</v>
      </c>
      <c r="I713">
        <v>7662</v>
      </c>
      <c r="J713">
        <v>7533</v>
      </c>
      <c r="K713">
        <v>7536</v>
      </c>
      <c r="L713">
        <v>7530</v>
      </c>
      <c r="M713">
        <v>7552</v>
      </c>
      <c r="N713" t="s">
        <v>988</v>
      </c>
    </row>
    <row r="714" spans="1:14" hidden="1" x14ac:dyDescent="0.3">
      <c r="A714">
        <v>428</v>
      </c>
      <c r="B714" t="s">
        <v>1368</v>
      </c>
      <c r="C714" t="s">
        <v>2670</v>
      </c>
      <c r="D714" t="s">
        <v>1203</v>
      </c>
      <c r="E714" t="s">
        <v>1204</v>
      </c>
      <c r="F714">
        <v>5871</v>
      </c>
      <c r="G714" t="s">
        <v>2671</v>
      </c>
      <c r="H714" t="s">
        <v>2664</v>
      </c>
      <c r="I714">
        <v>7662</v>
      </c>
      <c r="J714">
        <v>7533</v>
      </c>
      <c r="K714">
        <v>7536</v>
      </c>
      <c r="L714">
        <v>7530</v>
      </c>
      <c r="M714">
        <v>7552</v>
      </c>
      <c r="N714" t="s">
        <v>988</v>
      </c>
    </row>
    <row r="715" spans="1:14" hidden="1" x14ac:dyDescent="0.3">
      <c r="A715">
        <v>428</v>
      </c>
      <c r="B715" t="s">
        <v>1368</v>
      </c>
      <c r="C715" t="s">
        <v>2670</v>
      </c>
      <c r="D715" t="s">
        <v>1203</v>
      </c>
      <c r="E715" t="s">
        <v>1204</v>
      </c>
      <c r="F715">
        <v>5871</v>
      </c>
      <c r="G715" t="s">
        <v>2673</v>
      </c>
      <c r="H715" t="s">
        <v>2665</v>
      </c>
      <c r="I715">
        <v>7662</v>
      </c>
      <c r="J715">
        <v>7533</v>
      </c>
      <c r="K715">
        <v>7536</v>
      </c>
      <c r="L715">
        <v>7530</v>
      </c>
      <c r="M715">
        <v>7552</v>
      </c>
      <c r="N715" t="s">
        <v>988</v>
      </c>
    </row>
    <row r="716" spans="1:14" hidden="1" x14ac:dyDescent="0.3">
      <c r="A716">
        <v>428</v>
      </c>
      <c r="B716" t="s">
        <v>1368</v>
      </c>
      <c r="C716" t="s">
        <v>2670</v>
      </c>
      <c r="D716" t="s">
        <v>1203</v>
      </c>
      <c r="E716" t="s">
        <v>1204</v>
      </c>
      <c r="F716">
        <v>5871</v>
      </c>
      <c r="G716" t="s">
        <v>2673</v>
      </c>
      <c r="H716" t="s">
        <v>2664</v>
      </c>
      <c r="I716">
        <v>7662</v>
      </c>
      <c r="J716">
        <v>7533</v>
      </c>
      <c r="K716">
        <v>7536</v>
      </c>
      <c r="L716">
        <v>7530</v>
      </c>
      <c r="M716">
        <v>7552</v>
      </c>
      <c r="N716" t="s">
        <v>988</v>
      </c>
    </row>
    <row r="717" spans="1:14" hidden="1" x14ac:dyDescent="0.3">
      <c r="A717">
        <v>428</v>
      </c>
      <c r="B717" t="s">
        <v>1368</v>
      </c>
      <c r="C717" t="s">
        <v>2670</v>
      </c>
      <c r="D717" t="s">
        <v>1203</v>
      </c>
      <c r="E717" t="s">
        <v>1204</v>
      </c>
      <c r="F717">
        <v>5871</v>
      </c>
      <c r="G717" t="s">
        <v>2674</v>
      </c>
      <c r="H717" t="s">
        <v>2665</v>
      </c>
      <c r="I717">
        <v>7662</v>
      </c>
      <c r="J717">
        <v>7533</v>
      </c>
      <c r="K717">
        <v>7536</v>
      </c>
      <c r="L717">
        <v>7530</v>
      </c>
      <c r="M717">
        <v>7552</v>
      </c>
      <c r="N717" t="s">
        <v>988</v>
      </c>
    </row>
    <row r="718" spans="1:14" hidden="1" x14ac:dyDescent="0.3">
      <c r="A718">
        <v>428</v>
      </c>
      <c r="B718" t="s">
        <v>1368</v>
      </c>
      <c r="C718" t="s">
        <v>2670</v>
      </c>
      <c r="D718" t="s">
        <v>1203</v>
      </c>
      <c r="E718" t="s">
        <v>1204</v>
      </c>
      <c r="F718">
        <v>5871</v>
      </c>
      <c r="G718" t="s">
        <v>2674</v>
      </c>
      <c r="H718" t="s">
        <v>2664</v>
      </c>
      <c r="I718">
        <v>7662</v>
      </c>
      <c r="J718">
        <v>7533</v>
      </c>
      <c r="K718">
        <v>7536</v>
      </c>
      <c r="L718">
        <v>7530</v>
      </c>
      <c r="M718">
        <v>7552</v>
      </c>
      <c r="N718" t="s">
        <v>988</v>
      </c>
    </row>
    <row r="719" spans="1:14" hidden="1" x14ac:dyDescent="0.3">
      <c r="A719">
        <v>428</v>
      </c>
      <c r="B719" t="s">
        <v>1368</v>
      </c>
      <c r="C719" t="s">
        <v>2670</v>
      </c>
      <c r="D719" t="s">
        <v>1203</v>
      </c>
      <c r="E719" t="s">
        <v>1204</v>
      </c>
      <c r="F719">
        <v>5871</v>
      </c>
      <c r="G719" t="s">
        <v>2675</v>
      </c>
      <c r="H719" t="s">
        <v>2665</v>
      </c>
      <c r="I719">
        <v>7662</v>
      </c>
      <c r="J719">
        <v>7533</v>
      </c>
      <c r="K719">
        <v>7536</v>
      </c>
      <c r="L719">
        <v>7530</v>
      </c>
      <c r="M719">
        <v>7552</v>
      </c>
      <c r="N719" t="s">
        <v>988</v>
      </c>
    </row>
    <row r="720" spans="1:14" hidden="1" x14ac:dyDescent="0.3">
      <c r="A720">
        <v>428</v>
      </c>
      <c r="B720" t="s">
        <v>1368</v>
      </c>
      <c r="C720" t="s">
        <v>2670</v>
      </c>
      <c r="D720" t="s">
        <v>1203</v>
      </c>
      <c r="E720" t="s">
        <v>1204</v>
      </c>
      <c r="F720">
        <v>5871</v>
      </c>
      <c r="G720" t="s">
        <v>2675</v>
      </c>
      <c r="H720" t="s">
        <v>2664</v>
      </c>
      <c r="I720">
        <v>7662</v>
      </c>
      <c r="J720">
        <v>7533</v>
      </c>
      <c r="K720">
        <v>7536</v>
      </c>
      <c r="L720">
        <v>7530</v>
      </c>
      <c r="M720">
        <v>7552</v>
      </c>
      <c r="N720" t="s">
        <v>988</v>
      </c>
    </row>
    <row r="721" spans="1:14" hidden="1" x14ac:dyDescent="0.3">
      <c r="A721">
        <v>428</v>
      </c>
      <c r="B721" t="s">
        <v>1368</v>
      </c>
      <c r="C721" t="s">
        <v>2670</v>
      </c>
      <c r="D721" t="s">
        <v>1203</v>
      </c>
      <c r="E721" t="s">
        <v>1204</v>
      </c>
      <c r="F721">
        <v>5871</v>
      </c>
      <c r="G721" t="s">
        <v>2676</v>
      </c>
      <c r="H721" t="s">
        <v>2665</v>
      </c>
      <c r="I721">
        <v>7662</v>
      </c>
      <c r="J721">
        <v>7533</v>
      </c>
      <c r="K721">
        <v>7536</v>
      </c>
      <c r="L721">
        <v>7530</v>
      </c>
      <c r="M721">
        <v>7552</v>
      </c>
      <c r="N721" t="s">
        <v>988</v>
      </c>
    </row>
    <row r="722" spans="1:14" hidden="1" x14ac:dyDescent="0.3">
      <c r="A722">
        <v>429</v>
      </c>
      <c r="B722" t="s">
        <v>1369</v>
      </c>
      <c r="C722" t="s">
        <v>2670</v>
      </c>
      <c r="D722" t="s">
        <v>1203</v>
      </c>
      <c r="E722" t="s">
        <v>1204</v>
      </c>
      <c r="F722">
        <v>5872</v>
      </c>
      <c r="G722" t="s">
        <v>2674</v>
      </c>
      <c r="H722" t="s">
        <v>2665</v>
      </c>
      <c r="I722">
        <v>1610</v>
      </c>
      <c r="J722">
        <v>1705</v>
      </c>
      <c r="K722">
        <v>1703</v>
      </c>
      <c r="L722">
        <v>1971</v>
      </c>
      <c r="M722">
        <v>1977</v>
      </c>
      <c r="N722" t="s">
        <v>988</v>
      </c>
    </row>
    <row r="723" spans="1:14" hidden="1" x14ac:dyDescent="0.3">
      <c r="A723">
        <v>429</v>
      </c>
      <c r="B723" t="s">
        <v>1369</v>
      </c>
      <c r="C723" t="s">
        <v>2670</v>
      </c>
      <c r="D723" t="s">
        <v>1203</v>
      </c>
      <c r="E723" t="s">
        <v>1204</v>
      </c>
      <c r="F723">
        <v>5872</v>
      </c>
      <c r="G723" t="s">
        <v>2673</v>
      </c>
      <c r="H723" t="s">
        <v>2664</v>
      </c>
      <c r="I723">
        <v>1610</v>
      </c>
      <c r="J723">
        <v>1705</v>
      </c>
      <c r="K723">
        <v>1703</v>
      </c>
      <c r="L723">
        <v>1971</v>
      </c>
      <c r="M723">
        <v>1977</v>
      </c>
      <c r="N723" t="s">
        <v>988</v>
      </c>
    </row>
    <row r="724" spans="1:14" hidden="1" x14ac:dyDescent="0.3">
      <c r="A724">
        <v>429</v>
      </c>
      <c r="B724" t="s">
        <v>1369</v>
      </c>
      <c r="C724" t="s">
        <v>2670</v>
      </c>
      <c r="D724" t="s">
        <v>1203</v>
      </c>
      <c r="E724" t="s">
        <v>1204</v>
      </c>
      <c r="F724">
        <v>5872</v>
      </c>
      <c r="G724" t="s">
        <v>2673</v>
      </c>
      <c r="H724" t="s">
        <v>2665</v>
      </c>
      <c r="I724">
        <v>1610</v>
      </c>
      <c r="J724">
        <v>1705</v>
      </c>
      <c r="K724">
        <v>1703</v>
      </c>
      <c r="L724">
        <v>1971</v>
      </c>
      <c r="M724">
        <v>1977</v>
      </c>
      <c r="N724" t="s">
        <v>988</v>
      </c>
    </row>
    <row r="725" spans="1:14" hidden="1" x14ac:dyDescent="0.3">
      <c r="A725">
        <v>429</v>
      </c>
      <c r="B725" t="s">
        <v>1369</v>
      </c>
      <c r="C725" t="s">
        <v>2670</v>
      </c>
      <c r="D725" t="s">
        <v>1203</v>
      </c>
      <c r="E725" t="s">
        <v>1204</v>
      </c>
      <c r="F725">
        <v>5872</v>
      </c>
      <c r="G725" t="s">
        <v>2671</v>
      </c>
      <c r="H725" t="s">
        <v>2664</v>
      </c>
      <c r="I725">
        <v>1610</v>
      </c>
      <c r="J725">
        <v>1705</v>
      </c>
      <c r="K725">
        <v>1703</v>
      </c>
      <c r="L725">
        <v>1971</v>
      </c>
      <c r="M725">
        <v>1977</v>
      </c>
      <c r="N725" t="s">
        <v>988</v>
      </c>
    </row>
    <row r="726" spans="1:14" hidden="1" x14ac:dyDescent="0.3">
      <c r="A726">
        <v>429</v>
      </c>
      <c r="B726" t="s">
        <v>1369</v>
      </c>
      <c r="C726" t="s">
        <v>2670</v>
      </c>
      <c r="D726" t="s">
        <v>1203</v>
      </c>
      <c r="E726" t="s">
        <v>1204</v>
      </c>
      <c r="F726">
        <v>5872</v>
      </c>
      <c r="G726" t="s">
        <v>2671</v>
      </c>
      <c r="H726" t="s">
        <v>2665</v>
      </c>
      <c r="I726">
        <v>1610</v>
      </c>
      <c r="J726">
        <v>1705</v>
      </c>
      <c r="K726">
        <v>1703</v>
      </c>
      <c r="L726">
        <v>1971</v>
      </c>
      <c r="M726">
        <v>1977</v>
      </c>
      <c r="N726" t="s">
        <v>988</v>
      </c>
    </row>
    <row r="727" spans="1:14" hidden="1" x14ac:dyDescent="0.3">
      <c r="A727">
        <v>429</v>
      </c>
      <c r="B727" t="s">
        <v>1369</v>
      </c>
      <c r="C727" t="s">
        <v>2670</v>
      </c>
      <c r="D727" t="s">
        <v>1203</v>
      </c>
      <c r="E727" t="s">
        <v>1204</v>
      </c>
      <c r="F727">
        <v>5872</v>
      </c>
      <c r="G727" t="s">
        <v>2675</v>
      </c>
      <c r="H727" t="s">
        <v>2665</v>
      </c>
      <c r="I727">
        <v>1610</v>
      </c>
      <c r="J727">
        <v>1705</v>
      </c>
      <c r="K727">
        <v>1703</v>
      </c>
      <c r="L727">
        <v>1971</v>
      </c>
      <c r="M727">
        <v>1977</v>
      </c>
      <c r="N727" t="s">
        <v>988</v>
      </c>
    </row>
    <row r="728" spans="1:14" hidden="1" x14ac:dyDescent="0.3">
      <c r="A728">
        <v>429</v>
      </c>
      <c r="B728" t="s">
        <v>1369</v>
      </c>
      <c r="C728" t="s">
        <v>2670</v>
      </c>
      <c r="D728" t="s">
        <v>1203</v>
      </c>
      <c r="E728" t="s">
        <v>1204</v>
      </c>
      <c r="F728">
        <v>5872</v>
      </c>
      <c r="G728" t="s">
        <v>2672</v>
      </c>
      <c r="H728" t="s">
        <v>2665</v>
      </c>
      <c r="N728" t="s">
        <v>988</v>
      </c>
    </row>
    <row r="729" spans="1:14" hidden="1" x14ac:dyDescent="0.3">
      <c r="A729">
        <v>429</v>
      </c>
      <c r="B729" t="s">
        <v>1369</v>
      </c>
      <c r="C729" t="s">
        <v>2670</v>
      </c>
      <c r="D729" t="s">
        <v>1203</v>
      </c>
      <c r="E729" t="s">
        <v>1204</v>
      </c>
      <c r="F729">
        <v>5872</v>
      </c>
      <c r="G729" t="s">
        <v>2674</v>
      </c>
      <c r="H729" t="s">
        <v>2664</v>
      </c>
      <c r="I729">
        <v>1610</v>
      </c>
      <c r="J729">
        <v>1705</v>
      </c>
      <c r="K729">
        <v>1703</v>
      </c>
      <c r="L729">
        <v>1971</v>
      </c>
      <c r="M729">
        <v>1977</v>
      </c>
      <c r="N729" t="s">
        <v>988</v>
      </c>
    </row>
    <row r="730" spans="1:14" hidden="1" x14ac:dyDescent="0.3">
      <c r="A730">
        <v>429</v>
      </c>
      <c r="B730" t="s">
        <v>1369</v>
      </c>
      <c r="C730" t="s">
        <v>2670</v>
      </c>
      <c r="D730" t="s">
        <v>1203</v>
      </c>
      <c r="E730" t="s">
        <v>1204</v>
      </c>
      <c r="F730">
        <v>5872</v>
      </c>
      <c r="G730" t="s">
        <v>2676</v>
      </c>
      <c r="H730" t="s">
        <v>2664</v>
      </c>
      <c r="I730">
        <v>1610</v>
      </c>
      <c r="J730">
        <v>1705</v>
      </c>
      <c r="K730">
        <v>1703</v>
      </c>
      <c r="L730">
        <v>1971</v>
      </c>
      <c r="M730">
        <v>1977</v>
      </c>
      <c r="N730" t="s">
        <v>988</v>
      </c>
    </row>
    <row r="731" spans="1:14" hidden="1" x14ac:dyDescent="0.3">
      <c r="A731">
        <v>429</v>
      </c>
      <c r="B731" t="s">
        <v>1369</v>
      </c>
      <c r="C731" t="s">
        <v>2670</v>
      </c>
      <c r="D731" t="s">
        <v>1203</v>
      </c>
      <c r="E731" t="s">
        <v>1204</v>
      </c>
      <c r="F731">
        <v>5872</v>
      </c>
      <c r="G731" t="s">
        <v>2676</v>
      </c>
      <c r="H731" t="s">
        <v>2665</v>
      </c>
      <c r="I731">
        <v>1610</v>
      </c>
      <c r="J731">
        <v>1705</v>
      </c>
      <c r="K731">
        <v>1703</v>
      </c>
      <c r="L731">
        <v>1971</v>
      </c>
      <c r="M731">
        <v>1977</v>
      </c>
      <c r="N731" t="s">
        <v>988</v>
      </c>
    </row>
    <row r="732" spans="1:14" hidden="1" x14ac:dyDescent="0.3">
      <c r="A732">
        <v>429</v>
      </c>
      <c r="B732" t="s">
        <v>1369</v>
      </c>
      <c r="C732" t="s">
        <v>2670</v>
      </c>
      <c r="D732" t="s">
        <v>1203</v>
      </c>
      <c r="E732" t="s">
        <v>1204</v>
      </c>
      <c r="F732">
        <v>5872</v>
      </c>
      <c r="G732" t="s">
        <v>2675</v>
      </c>
      <c r="H732" t="s">
        <v>2664</v>
      </c>
      <c r="I732">
        <v>1610</v>
      </c>
      <c r="J732">
        <v>1705</v>
      </c>
      <c r="K732">
        <v>1703</v>
      </c>
      <c r="L732">
        <v>1971</v>
      </c>
      <c r="M732">
        <v>1977</v>
      </c>
      <c r="N732" t="s">
        <v>988</v>
      </c>
    </row>
    <row r="733" spans="1:14" hidden="1" x14ac:dyDescent="0.3">
      <c r="A733">
        <v>429</v>
      </c>
      <c r="B733" t="s">
        <v>1369</v>
      </c>
      <c r="C733" t="s">
        <v>2670</v>
      </c>
      <c r="D733" t="s">
        <v>1203</v>
      </c>
      <c r="E733" t="s">
        <v>1204</v>
      </c>
      <c r="F733">
        <v>5872</v>
      </c>
      <c r="G733" t="s">
        <v>2672</v>
      </c>
      <c r="H733" t="s">
        <v>2664</v>
      </c>
      <c r="N733" t="s">
        <v>988</v>
      </c>
    </row>
    <row r="734" spans="1:14" hidden="1" x14ac:dyDescent="0.3">
      <c r="A734">
        <v>443</v>
      </c>
      <c r="B734" t="s">
        <v>1370</v>
      </c>
      <c r="C734" t="s">
        <v>2670</v>
      </c>
      <c r="D734" t="s">
        <v>1203</v>
      </c>
      <c r="E734" t="s">
        <v>1204</v>
      </c>
      <c r="F734">
        <v>5713</v>
      </c>
      <c r="G734" t="s">
        <v>2672</v>
      </c>
      <c r="H734" t="s">
        <v>2664</v>
      </c>
      <c r="N734" t="s">
        <v>988</v>
      </c>
    </row>
    <row r="735" spans="1:14" hidden="1" x14ac:dyDescent="0.3">
      <c r="A735">
        <v>443</v>
      </c>
      <c r="B735" t="s">
        <v>1370</v>
      </c>
      <c r="C735" t="s">
        <v>2670</v>
      </c>
      <c r="D735" t="s">
        <v>1203</v>
      </c>
      <c r="E735" t="s">
        <v>1204</v>
      </c>
      <c r="F735">
        <v>5713</v>
      </c>
      <c r="G735" t="s">
        <v>2676</v>
      </c>
      <c r="H735" t="s">
        <v>2664</v>
      </c>
      <c r="I735">
        <v>12257</v>
      </c>
      <c r="J735">
        <v>11554</v>
      </c>
      <c r="K735">
        <v>11011</v>
      </c>
      <c r="L735">
        <v>10590</v>
      </c>
      <c r="M735">
        <v>10590</v>
      </c>
      <c r="N735" t="s">
        <v>988</v>
      </c>
    </row>
    <row r="736" spans="1:14" hidden="1" x14ac:dyDescent="0.3">
      <c r="A736">
        <v>443</v>
      </c>
      <c r="B736" t="s">
        <v>1370</v>
      </c>
      <c r="C736" t="s">
        <v>2670</v>
      </c>
      <c r="D736" t="s">
        <v>1203</v>
      </c>
      <c r="E736" t="s">
        <v>1204</v>
      </c>
      <c r="F736">
        <v>5713</v>
      </c>
      <c r="G736" t="s">
        <v>2676</v>
      </c>
      <c r="H736" t="s">
        <v>2665</v>
      </c>
      <c r="I736">
        <v>6632</v>
      </c>
      <c r="J736">
        <v>6496</v>
      </c>
      <c r="K736">
        <v>6627</v>
      </c>
      <c r="L736">
        <v>6690</v>
      </c>
      <c r="M736">
        <v>6754</v>
      </c>
      <c r="N736" t="s">
        <v>988</v>
      </c>
    </row>
    <row r="737" spans="1:14" hidden="1" x14ac:dyDescent="0.3">
      <c r="A737">
        <v>443</v>
      </c>
      <c r="B737" t="s">
        <v>1370</v>
      </c>
      <c r="C737" t="s">
        <v>2670</v>
      </c>
      <c r="D737" t="s">
        <v>1203</v>
      </c>
      <c r="E737" t="s">
        <v>1204</v>
      </c>
      <c r="F737">
        <v>5713</v>
      </c>
      <c r="G737" t="s">
        <v>2675</v>
      </c>
      <c r="H737" t="s">
        <v>2664</v>
      </c>
      <c r="I737">
        <v>12257</v>
      </c>
      <c r="J737">
        <v>11554</v>
      </c>
      <c r="K737">
        <v>11011</v>
      </c>
      <c r="L737">
        <v>10590</v>
      </c>
      <c r="N737" t="s">
        <v>988</v>
      </c>
    </row>
    <row r="738" spans="1:14" hidden="1" x14ac:dyDescent="0.3">
      <c r="A738">
        <v>443</v>
      </c>
      <c r="B738" t="s">
        <v>1370</v>
      </c>
      <c r="C738" t="s">
        <v>2670</v>
      </c>
      <c r="D738" t="s">
        <v>1203</v>
      </c>
      <c r="E738" t="s">
        <v>1204</v>
      </c>
      <c r="F738">
        <v>5713</v>
      </c>
      <c r="G738" t="s">
        <v>2675</v>
      </c>
      <c r="H738" t="s">
        <v>2665</v>
      </c>
      <c r="I738">
        <v>5987</v>
      </c>
      <c r="J738">
        <v>5911</v>
      </c>
      <c r="K738">
        <v>6017</v>
      </c>
      <c r="L738">
        <v>6075</v>
      </c>
      <c r="N738" t="s">
        <v>988</v>
      </c>
    </row>
    <row r="739" spans="1:14" hidden="1" x14ac:dyDescent="0.3">
      <c r="A739">
        <v>443</v>
      </c>
      <c r="B739" t="s">
        <v>1370</v>
      </c>
      <c r="C739" t="s">
        <v>2670</v>
      </c>
      <c r="D739" t="s">
        <v>1203</v>
      </c>
      <c r="E739" t="s">
        <v>1204</v>
      </c>
      <c r="F739">
        <v>5713</v>
      </c>
      <c r="G739" t="s">
        <v>2674</v>
      </c>
      <c r="H739" t="s">
        <v>2664</v>
      </c>
      <c r="I739">
        <v>12257</v>
      </c>
      <c r="J739">
        <v>11554</v>
      </c>
      <c r="K739">
        <v>11011</v>
      </c>
      <c r="L739">
        <v>10590</v>
      </c>
      <c r="N739" t="s">
        <v>988</v>
      </c>
    </row>
    <row r="740" spans="1:14" hidden="1" x14ac:dyDescent="0.3">
      <c r="A740">
        <v>443</v>
      </c>
      <c r="B740" t="s">
        <v>1370</v>
      </c>
      <c r="C740" t="s">
        <v>2670</v>
      </c>
      <c r="D740" t="s">
        <v>1203</v>
      </c>
      <c r="E740" t="s">
        <v>1204</v>
      </c>
      <c r="F740">
        <v>5713</v>
      </c>
      <c r="G740" t="s">
        <v>2674</v>
      </c>
      <c r="H740" t="s">
        <v>2665</v>
      </c>
      <c r="I740">
        <v>5293</v>
      </c>
      <c r="J740">
        <v>5269</v>
      </c>
      <c r="K740">
        <v>5352</v>
      </c>
      <c r="L740">
        <v>5403</v>
      </c>
      <c r="N740" t="s">
        <v>988</v>
      </c>
    </row>
    <row r="741" spans="1:14" hidden="1" x14ac:dyDescent="0.3">
      <c r="A741">
        <v>443</v>
      </c>
      <c r="B741" t="s">
        <v>1370</v>
      </c>
      <c r="C741" t="s">
        <v>2670</v>
      </c>
      <c r="D741" t="s">
        <v>1203</v>
      </c>
      <c r="E741" t="s">
        <v>1204</v>
      </c>
      <c r="F741">
        <v>5713</v>
      </c>
      <c r="G741" t="s">
        <v>2673</v>
      </c>
      <c r="H741" t="s">
        <v>2664</v>
      </c>
      <c r="I741">
        <v>12257</v>
      </c>
      <c r="J741">
        <v>11554</v>
      </c>
      <c r="K741">
        <v>11011</v>
      </c>
      <c r="L741">
        <v>10590</v>
      </c>
      <c r="N741" t="s">
        <v>988</v>
      </c>
    </row>
    <row r="742" spans="1:14" hidden="1" x14ac:dyDescent="0.3">
      <c r="A742">
        <v>443</v>
      </c>
      <c r="B742" t="s">
        <v>1370</v>
      </c>
      <c r="C742" t="s">
        <v>2670</v>
      </c>
      <c r="D742" t="s">
        <v>1203</v>
      </c>
      <c r="E742" t="s">
        <v>1204</v>
      </c>
      <c r="F742">
        <v>5713</v>
      </c>
      <c r="G742" t="s">
        <v>2673</v>
      </c>
      <c r="H742" t="s">
        <v>2665</v>
      </c>
      <c r="I742">
        <v>4964</v>
      </c>
      <c r="J742">
        <v>4982</v>
      </c>
      <c r="K742">
        <v>5050</v>
      </c>
      <c r="L742">
        <v>5098</v>
      </c>
      <c r="N742" t="s">
        <v>988</v>
      </c>
    </row>
    <row r="743" spans="1:14" hidden="1" x14ac:dyDescent="0.3">
      <c r="A743">
        <v>443</v>
      </c>
      <c r="B743" t="s">
        <v>1370</v>
      </c>
      <c r="C743" t="s">
        <v>2670</v>
      </c>
      <c r="D743" t="s">
        <v>1203</v>
      </c>
      <c r="E743" t="s">
        <v>1204</v>
      </c>
      <c r="F743">
        <v>5713</v>
      </c>
      <c r="G743" t="s">
        <v>2671</v>
      </c>
      <c r="H743" t="s">
        <v>2664</v>
      </c>
      <c r="I743">
        <v>12257</v>
      </c>
      <c r="J743">
        <v>11554</v>
      </c>
      <c r="K743">
        <v>11011</v>
      </c>
      <c r="L743">
        <v>10590</v>
      </c>
      <c r="N743" t="s">
        <v>988</v>
      </c>
    </row>
    <row r="744" spans="1:14" hidden="1" x14ac:dyDescent="0.3">
      <c r="A744">
        <v>443</v>
      </c>
      <c r="B744" t="s">
        <v>1370</v>
      </c>
      <c r="C744" t="s">
        <v>2670</v>
      </c>
      <c r="D744" t="s">
        <v>1203</v>
      </c>
      <c r="E744" t="s">
        <v>1204</v>
      </c>
      <c r="F744">
        <v>5713</v>
      </c>
      <c r="G744" t="s">
        <v>2671</v>
      </c>
      <c r="H744" t="s">
        <v>2665</v>
      </c>
      <c r="I744">
        <v>5122</v>
      </c>
      <c r="J744">
        <v>5182</v>
      </c>
      <c r="K744">
        <v>5242</v>
      </c>
      <c r="L744">
        <v>5292</v>
      </c>
      <c r="N744" t="s">
        <v>988</v>
      </c>
    </row>
    <row r="745" spans="1:14" hidden="1" x14ac:dyDescent="0.3">
      <c r="A745">
        <v>443</v>
      </c>
      <c r="B745" t="s">
        <v>1370</v>
      </c>
      <c r="C745" t="s">
        <v>2670</v>
      </c>
      <c r="D745" t="s">
        <v>1203</v>
      </c>
      <c r="E745" t="s">
        <v>1204</v>
      </c>
      <c r="F745">
        <v>5713</v>
      </c>
      <c r="G745" t="s">
        <v>2672</v>
      </c>
      <c r="H745" t="s">
        <v>2665</v>
      </c>
      <c r="N745" t="s">
        <v>988</v>
      </c>
    </row>
    <row r="746" spans="1:14" hidden="1" x14ac:dyDescent="0.3">
      <c r="A746">
        <v>445</v>
      </c>
      <c r="B746" t="s">
        <v>1371</v>
      </c>
      <c r="C746" t="s">
        <v>2670</v>
      </c>
      <c r="D746" t="s">
        <v>1203</v>
      </c>
      <c r="E746" t="s">
        <v>1204</v>
      </c>
      <c r="F746">
        <v>5520</v>
      </c>
      <c r="G746" t="s">
        <v>2676</v>
      </c>
      <c r="H746" t="s">
        <v>2664</v>
      </c>
      <c r="I746">
        <v>725</v>
      </c>
      <c r="J746">
        <v>725</v>
      </c>
      <c r="K746">
        <v>725</v>
      </c>
      <c r="L746">
        <v>725</v>
      </c>
      <c r="M746">
        <v>725</v>
      </c>
      <c r="N746" t="s">
        <v>988</v>
      </c>
    </row>
    <row r="747" spans="1:14" hidden="1" x14ac:dyDescent="0.3">
      <c r="A747">
        <v>445</v>
      </c>
      <c r="B747" t="s">
        <v>1371</v>
      </c>
      <c r="C747" t="s">
        <v>2670</v>
      </c>
      <c r="D747" t="s">
        <v>1203</v>
      </c>
      <c r="E747" t="s">
        <v>1204</v>
      </c>
      <c r="F747">
        <v>5520</v>
      </c>
      <c r="G747" t="s">
        <v>2676</v>
      </c>
      <c r="H747" t="s">
        <v>2665</v>
      </c>
      <c r="I747">
        <v>580</v>
      </c>
      <c r="J747">
        <v>590</v>
      </c>
      <c r="K747">
        <v>610</v>
      </c>
      <c r="L747">
        <v>630</v>
      </c>
      <c r="M747">
        <v>630</v>
      </c>
      <c r="N747" t="s">
        <v>988</v>
      </c>
    </row>
    <row r="748" spans="1:14" hidden="1" x14ac:dyDescent="0.3">
      <c r="A748">
        <v>445</v>
      </c>
      <c r="B748" t="s">
        <v>1371</v>
      </c>
      <c r="C748" t="s">
        <v>2670</v>
      </c>
      <c r="D748" t="s">
        <v>1203</v>
      </c>
      <c r="E748" t="s">
        <v>1204</v>
      </c>
      <c r="F748">
        <v>5520</v>
      </c>
      <c r="G748" t="s">
        <v>2675</v>
      </c>
      <c r="H748" t="s">
        <v>2664</v>
      </c>
      <c r="I748">
        <v>733</v>
      </c>
      <c r="J748">
        <v>733</v>
      </c>
      <c r="K748">
        <v>733</v>
      </c>
      <c r="L748">
        <v>733</v>
      </c>
      <c r="M748">
        <v>733</v>
      </c>
      <c r="N748" t="s">
        <v>988</v>
      </c>
    </row>
    <row r="749" spans="1:14" hidden="1" x14ac:dyDescent="0.3">
      <c r="A749">
        <v>445</v>
      </c>
      <c r="B749" t="s">
        <v>1371</v>
      </c>
      <c r="C749" t="s">
        <v>2670</v>
      </c>
      <c r="D749" t="s">
        <v>1203</v>
      </c>
      <c r="E749" t="s">
        <v>1204</v>
      </c>
      <c r="F749">
        <v>5520</v>
      </c>
      <c r="G749" t="s">
        <v>2675</v>
      </c>
      <c r="H749" t="s">
        <v>2665</v>
      </c>
      <c r="I749">
        <v>580</v>
      </c>
      <c r="J749">
        <v>590</v>
      </c>
      <c r="K749">
        <v>610</v>
      </c>
      <c r="L749">
        <v>630</v>
      </c>
      <c r="M749">
        <v>630</v>
      </c>
      <c r="N749" t="s">
        <v>988</v>
      </c>
    </row>
    <row r="750" spans="1:14" hidden="1" x14ac:dyDescent="0.3">
      <c r="A750">
        <v>445</v>
      </c>
      <c r="B750" t="s">
        <v>1371</v>
      </c>
      <c r="C750" t="s">
        <v>2670</v>
      </c>
      <c r="D750" t="s">
        <v>1203</v>
      </c>
      <c r="E750" t="s">
        <v>1204</v>
      </c>
      <c r="F750">
        <v>5520</v>
      </c>
      <c r="G750" t="s">
        <v>2674</v>
      </c>
      <c r="H750" t="s">
        <v>2664</v>
      </c>
      <c r="I750">
        <v>717</v>
      </c>
      <c r="J750">
        <v>717</v>
      </c>
      <c r="K750">
        <v>717</v>
      </c>
      <c r="L750">
        <v>717</v>
      </c>
      <c r="M750">
        <v>717</v>
      </c>
      <c r="N750" t="s">
        <v>988</v>
      </c>
    </row>
    <row r="751" spans="1:14" hidden="1" x14ac:dyDescent="0.3">
      <c r="A751">
        <v>445</v>
      </c>
      <c r="B751" t="s">
        <v>1371</v>
      </c>
      <c r="C751" t="s">
        <v>2670</v>
      </c>
      <c r="D751" t="s">
        <v>1203</v>
      </c>
      <c r="E751" t="s">
        <v>1204</v>
      </c>
      <c r="F751">
        <v>5520</v>
      </c>
      <c r="G751" t="s">
        <v>2671</v>
      </c>
      <c r="H751" t="s">
        <v>2665</v>
      </c>
      <c r="I751">
        <v>580</v>
      </c>
      <c r="J751">
        <v>590</v>
      </c>
      <c r="K751">
        <v>610</v>
      </c>
      <c r="L751">
        <v>630</v>
      </c>
      <c r="M751">
        <v>630</v>
      </c>
      <c r="N751" t="s">
        <v>988</v>
      </c>
    </row>
    <row r="752" spans="1:14" hidden="1" x14ac:dyDescent="0.3">
      <c r="A752">
        <v>445</v>
      </c>
      <c r="B752" t="s">
        <v>1371</v>
      </c>
      <c r="C752" t="s">
        <v>2670</v>
      </c>
      <c r="D752" t="s">
        <v>1203</v>
      </c>
      <c r="E752" t="s">
        <v>1204</v>
      </c>
      <c r="F752">
        <v>5520</v>
      </c>
      <c r="G752" t="s">
        <v>2673</v>
      </c>
      <c r="H752" t="s">
        <v>2664</v>
      </c>
      <c r="I752">
        <v>717</v>
      </c>
      <c r="J752">
        <v>717</v>
      </c>
      <c r="K752">
        <v>717</v>
      </c>
      <c r="L752">
        <v>717</v>
      </c>
      <c r="M752">
        <v>717</v>
      </c>
      <c r="N752" t="s">
        <v>988</v>
      </c>
    </row>
    <row r="753" spans="1:14" hidden="1" x14ac:dyDescent="0.3">
      <c r="A753">
        <v>445</v>
      </c>
      <c r="B753" t="s">
        <v>1371</v>
      </c>
      <c r="C753" t="s">
        <v>2670</v>
      </c>
      <c r="D753" t="s">
        <v>1203</v>
      </c>
      <c r="E753" t="s">
        <v>1204</v>
      </c>
      <c r="F753">
        <v>5520</v>
      </c>
      <c r="G753" t="s">
        <v>2672</v>
      </c>
      <c r="H753" t="s">
        <v>2665</v>
      </c>
      <c r="N753" t="s">
        <v>988</v>
      </c>
    </row>
    <row r="754" spans="1:14" hidden="1" x14ac:dyDescent="0.3">
      <c r="A754">
        <v>445</v>
      </c>
      <c r="B754" t="s">
        <v>1371</v>
      </c>
      <c r="C754" t="s">
        <v>2670</v>
      </c>
      <c r="D754" t="s">
        <v>1203</v>
      </c>
      <c r="E754" t="s">
        <v>1204</v>
      </c>
      <c r="F754">
        <v>5520</v>
      </c>
      <c r="G754" t="s">
        <v>2672</v>
      </c>
      <c r="H754" t="s">
        <v>2664</v>
      </c>
      <c r="N754" t="s">
        <v>988</v>
      </c>
    </row>
    <row r="755" spans="1:14" hidden="1" x14ac:dyDescent="0.3">
      <c r="A755">
        <v>445</v>
      </c>
      <c r="B755" t="s">
        <v>1371</v>
      </c>
      <c r="C755" t="s">
        <v>2670</v>
      </c>
      <c r="D755" t="s">
        <v>1203</v>
      </c>
      <c r="E755" t="s">
        <v>1204</v>
      </c>
      <c r="F755">
        <v>5520</v>
      </c>
      <c r="G755" t="s">
        <v>2673</v>
      </c>
      <c r="H755" t="s">
        <v>2665</v>
      </c>
      <c r="I755">
        <v>580</v>
      </c>
      <c r="J755">
        <v>590</v>
      </c>
      <c r="K755">
        <v>610</v>
      </c>
      <c r="L755">
        <v>630</v>
      </c>
      <c r="M755">
        <v>630</v>
      </c>
      <c r="N755" t="s">
        <v>988</v>
      </c>
    </row>
    <row r="756" spans="1:14" hidden="1" x14ac:dyDescent="0.3">
      <c r="A756">
        <v>445</v>
      </c>
      <c r="B756" t="s">
        <v>1371</v>
      </c>
      <c r="C756" t="s">
        <v>2670</v>
      </c>
      <c r="D756" t="s">
        <v>1203</v>
      </c>
      <c r="E756" t="s">
        <v>1204</v>
      </c>
      <c r="F756">
        <v>5520</v>
      </c>
      <c r="G756" t="s">
        <v>2671</v>
      </c>
      <c r="H756" t="s">
        <v>2664</v>
      </c>
      <c r="I756">
        <v>744</v>
      </c>
      <c r="J756">
        <v>744</v>
      </c>
      <c r="K756">
        <v>744</v>
      </c>
      <c r="L756">
        <v>744</v>
      </c>
      <c r="M756">
        <v>744</v>
      </c>
      <c r="N756" t="s">
        <v>988</v>
      </c>
    </row>
    <row r="757" spans="1:14" hidden="1" x14ac:dyDescent="0.3">
      <c r="A757">
        <v>445</v>
      </c>
      <c r="B757" t="s">
        <v>1371</v>
      </c>
      <c r="C757" t="s">
        <v>2670</v>
      </c>
      <c r="D757" t="s">
        <v>1203</v>
      </c>
      <c r="E757" t="s">
        <v>1204</v>
      </c>
      <c r="F757">
        <v>5520</v>
      </c>
      <c r="G757" t="s">
        <v>2674</v>
      </c>
      <c r="H757" t="s">
        <v>2665</v>
      </c>
      <c r="I757">
        <v>580</v>
      </c>
      <c r="J757">
        <v>590</v>
      </c>
      <c r="K757">
        <v>610</v>
      </c>
      <c r="L757">
        <v>630</v>
      </c>
      <c r="M757">
        <v>630</v>
      </c>
      <c r="N757" t="s">
        <v>988</v>
      </c>
    </row>
    <row r="758" spans="1:14" hidden="1" x14ac:dyDescent="0.3">
      <c r="A758">
        <v>467</v>
      </c>
      <c r="B758" t="s">
        <v>1374</v>
      </c>
      <c r="C758" t="s">
        <v>2670</v>
      </c>
      <c r="D758" t="s">
        <v>1203</v>
      </c>
      <c r="E758" t="s">
        <v>1204</v>
      </c>
      <c r="F758">
        <v>5746</v>
      </c>
      <c r="G758" t="s">
        <v>2676</v>
      </c>
      <c r="H758" t="s">
        <v>2664</v>
      </c>
      <c r="I758">
        <v>26800</v>
      </c>
      <c r="J758">
        <v>26800</v>
      </c>
      <c r="K758">
        <v>26800</v>
      </c>
      <c r="L758">
        <v>26800</v>
      </c>
      <c r="N758" t="s">
        <v>988</v>
      </c>
    </row>
    <row r="759" spans="1:14" hidden="1" x14ac:dyDescent="0.3">
      <c r="A759">
        <v>467</v>
      </c>
      <c r="B759" t="s">
        <v>1374</v>
      </c>
      <c r="C759" t="s">
        <v>2670</v>
      </c>
      <c r="D759" t="s">
        <v>1203</v>
      </c>
      <c r="E759" t="s">
        <v>1204</v>
      </c>
      <c r="F759">
        <v>5746</v>
      </c>
      <c r="G759" t="s">
        <v>2672</v>
      </c>
      <c r="H759" t="s">
        <v>2665</v>
      </c>
      <c r="N759" t="s">
        <v>988</v>
      </c>
    </row>
    <row r="760" spans="1:14" hidden="1" x14ac:dyDescent="0.3">
      <c r="A760">
        <v>467</v>
      </c>
      <c r="B760" t="s">
        <v>1374</v>
      </c>
      <c r="C760" t="s">
        <v>2670</v>
      </c>
      <c r="D760" t="s">
        <v>1203</v>
      </c>
      <c r="E760" t="s">
        <v>1204</v>
      </c>
      <c r="F760">
        <v>5746</v>
      </c>
      <c r="G760" t="s">
        <v>2672</v>
      </c>
      <c r="H760" t="s">
        <v>2664</v>
      </c>
      <c r="N760" t="s">
        <v>988</v>
      </c>
    </row>
    <row r="761" spans="1:14" hidden="1" x14ac:dyDescent="0.3">
      <c r="A761">
        <v>467</v>
      </c>
      <c r="B761" t="s">
        <v>1374</v>
      </c>
      <c r="C761" t="s">
        <v>2670</v>
      </c>
      <c r="D761" t="s">
        <v>1203</v>
      </c>
      <c r="E761" t="s">
        <v>1204</v>
      </c>
      <c r="F761">
        <v>5746</v>
      </c>
      <c r="G761" t="s">
        <v>2671</v>
      </c>
      <c r="H761" t="s">
        <v>2665</v>
      </c>
      <c r="I761">
        <v>14974</v>
      </c>
      <c r="J761">
        <v>15052</v>
      </c>
      <c r="K761">
        <v>15475</v>
      </c>
      <c r="L761">
        <v>15552</v>
      </c>
      <c r="N761" t="s">
        <v>988</v>
      </c>
    </row>
    <row r="762" spans="1:14" hidden="1" x14ac:dyDescent="0.3">
      <c r="A762">
        <v>467</v>
      </c>
      <c r="B762" t="s">
        <v>1374</v>
      </c>
      <c r="C762" t="s">
        <v>2670</v>
      </c>
      <c r="D762" t="s">
        <v>1203</v>
      </c>
      <c r="E762" t="s">
        <v>1204</v>
      </c>
      <c r="F762">
        <v>5746</v>
      </c>
      <c r="G762" t="s">
        <v>2671</v>
      </c>
      <c r="H762" t="s">
        <v>2664</v>
      </c>
      <c r="I762">
        <v>26800</v>
      </c>
      <c r="J762">
        <v>26800</v>
      </c>
      <c r="K762">
        <v>26800</v>
      </c>
      <c r="L762">
        <v>26800</v>
      </c>
      <c r="N762" t="s">
        <v>988</v>
      </c>
    </row>
    <row r="763" spans="1:14" hidden="1" x14ac:dyDescent="0.3">
      <c r="A763">
        <v>467</v>
      </c>
      <c r="B763" t="s">
        <v>1374</v>
      </c>
      <c r="C763" t="s">
        <v>2670</v>
      </c>
      <c r="D763" t="s">
        <v>1203</v>
      </c>
      <c r="E763" t="s">
        <v>1204</v>
      </c>
      <c r="F763">
        <v>5746</v>
      </c>
      <c r="G763" t="s">
        <v>2673</v>
      </c>
      <c r="H763" t="s">
        <v>2665</v>
      </c>
      <c r="I763">
        <v>14974</v>
      </c>
      <c r="J763">
        <v>15052</v>
      </c>
      <c r="K763">
        <v>15475</v>
      </c>
      <c r="L763">
        <v>15552</v>
      </c>
      <c r="N763" t="s">
        <v>988</v>
      </c>
    </row>
    <row r="764" spans="1:14" hidden="1" x14ac:dyDescent="0.3">
      <c r="A764">
        <v>467</v>
      </c>
      <c r="B764" t="s">
        <v>1374</v>
      </c>
      <c r="C764" t="s">
        <v>2670</v>
      </c>
      <c r="D764" t="s">
        <v>1203</v>
      </c>
      <c r="E764" t="s">
        <v>1204</v>
      </c>
      <c r="F764">
        <v>5746</v>
      </c>
      <c r="G764" t="s">
        <v>2673</v>
      </c>
      <c r="H764" t="s">
        <v>2664</v>
      </c>
      <c r="I764">
        <v>26800</v>
      </c>
      <c r="J764">
        <v>26800</v>
      </c>
      <c r="K764">
        <v>26800</v>
      </c>
      <c r="L764">
        <v>26800</v>
      </c>
      <c r="N764" t="s">
        <v>988</v>
      </c>
    </row>
    <row r="765" spans="1:14" hidden="1" x14ac:dyDescent="0.3">
      <c r="A765">
        <v>467</v>
      </c>
      <c r="B765" t="s">
        <v>1374</v>
      </c>
      <c r="C765" t="s">
        <v>2670</v>
      </c>
      <c r="D765" t="s">
        <v>1203</v>
      </c>
      <c r="E765" t="s">
        <v>1204</v>
      </c>
      <c r="F765">
        <v>5746</v>
      </c>
      <c r="G765" t="s">
        <v>2674</v>
      </c>
      <c r="H765" t="s">
        <v>2665</v>
      </c>
      <c r="I765">
        <v>14974</v>
      </c>
      <c r="J765">
        <v>15052</v>
      </c>
      <c r="K765">
        <v>15475</v>
      </c>
      <c r="L765">
        <v>15552</v>
      </c>
      <c r="N765" t="s">
        <v>988</v>
      </c>
    </row>
    <row r="766" spans="1:14" hidden="1" x14ac:dyDescent="0.3">
      <c r="A766">
        <v>467</v>
      </c>
      <c r="B766" t="s">
        <v>1374</v>
      </c>
      <c r="C766" t="s">
        <v>2670</v>
      </c>
      <c r="D766" t="s">
        <v>1203</v>
      </c>
      <c r="E766" t="s">
        <v>1204</v>
      </c>
      <c r="F766">
        <v>5746</v>
      </c>
      <c r="G766" t="s">
        <v>2674</v>
      </c>
      <c r="H766" t="s">
        <v>2664</v>
      </c>
      <c r="I766">
        <v>26800</v>
      </c>
      <c r="J766">
        <v>26800</v>
      </c>
      <c r="K766">
        <v>26800</v>
      </c>
      <c r="L766">
        <v>26800</v>
      </c>
      <c r="N766" t="s">
        <v>988</v>
      </c>
    </row>
    <row r="767" spans="1:14" hidden="1" x14ac:dyDescent="0.3">
      <c r="A767">
        <v>467</v>
      </c>
      <c r="B767" t="s">
        <v>1374</v>
      </c>
      <c r="C767" t="s">
        <v>2670</v>
      </c>
      <c r="D767" t="s">
        <v>1203</v>
      </c>
      <c r="E767" t="s">
        <v>1204</v>
      </c>
      <c r="F767">
        <v>5746</v>
      </c>
      <c r="G767" t="s">
        <v>2675</v>
      </c>
      <c r="H767" t="s">
        <v>2665</v>
      </c>
      <c r="I767">
        <v>14974</v>
      </c>
      <c r="J767">
        <v>15052</v>
      </c>
      <c r="K767">
        <v>15475</v>
      </c>
      <c r="L767">
        <v>15552</v>
      </c>
      <c r="N767" t="s">
        <v>988</v>
      </c>
    </row>
    <row r="768" spans="1:14" hidden="1" x14ac:dyDescent="0.3">
      <c r="A768">
        <v>467</v>
      </c>
      <c r="B768" t="s">
        <v>1374</v>
      </c>
      <c r="C768" t="s">
        <v>2670</v>
      </c>
      <c r="D768" t="s">
        <v>1203</v>
      </c>
      <c r="E768" t="s">
        <v>1204</v>
      </c>
      <c r="F768">
        <v>5746</v>
      </c>
      <c r="G768" t="s">
        <v>2676</v>
      </c>
      <c r="H768" t="s">
        <v>2665</v>
      </c>
      <c r="I768">
        <v>14974</v>
      </c>
      <c r="J768">
        <v>15052</v>
      </c>
      <c r="K768">
        <v>15475</v>
      </c>
      <c r="L768">
        <v>15552</v>
      </c>
      <c r="N768" t="s">
        <v>988</v>
      </c>
    </row>
    <row r="769" spans="1:14" hidden="1" x14ac:dyDescent="0.3">
      <c r="A769">
        <v>467</v>
      </c>
      <c r="B769" t="s">
        <v>1374</v>
      </c>
      <c r="C769" t="s">
        <v>2670</v>
      </c>
      <c r="D769" t="s">
        <v>1203</v>
      </c>
      <c r="E769" t="s">
        <v>1204</v>
      </c>
      <c r="F769">
        <v>5746</v>
      </c>
      <c r="G769" t="s">
        <v>2675</v>
      </c>
      <c r="H769" t="s">
        <v>2664</v>
      </c>
      <c r="I769">
        <v>26800</v>
      </c>
      <c r="J769">
        <v>26800</v>
      </c>
      <c r="K769">
        <v>26800</v>
      </c>
      <c r="L769">
        <v>26800</v>
      </c>
      <c r="N769" t="s">
        <v>988</v>
      </c>
    </row>
    <row r="770" spans="1:14" hidden="1" x14ac:dyDescent="0.3">
      <c r="A770">
        <v>478</v>
      </c>
      <c r="B770" t="s">
        <v>1375</v>
      </c>
      <c r="C770" t="s">
        <v>2670</v>
      </c>
      <c r="D770" t="s">
        <v>159</v>
      </c>
      <c r="E770" t="s">
        <v>159</v>
      </c>
      <c r="F770">
        <v>6869</v>
      </c>
      <c r="G770" t="s">
        <v>2674</v>
      </c>
      <c r="H770" t="s">
        <v>2665</v>
      </c>
      <c r="I770">
        <v>22189</v>
      </c>
      <c r="J770">
        <v>22570</v>
      </c>
      <c r="K770">
        <v>23036</v>
      </c>
      <c r="L770">
        <v>23505</v>
      </c>
      <c r="M770">
        <v>24073</v>
      </c>
      <c r="N770" t="s">
        <v>988</v>
      </c>
    </row>
    <row r="771" spans="1:14" hidden="1" x14ac:dyDescent="0.3">
      <c r="A771">
        <v>478</v>
      </c>
      <c r="B771" t="s">
        <v>1375</v>
      </c>
      <c r="C771" t="s">
        <v>2670</v>
      </c>
      <c r="D771" t="s">
        <v>159</v>
      </c>
      <c r="E771" t="s">
        <v>159</v>
      </c>
      <c r="F771">
        <v>6869</v>
      </c>
      <c r="G771" t="s">
        <v>2673</v>
      </c>
      <c r="H771" t="s">
        <v>2664</v>
      </c>
      <c r="I771">
        <v>22270</v>
      </c>
      <c r="J771">
        <v>22653</v>
      </c>
      <c r="K771">
        <v>23121</v>
      </c>
      <c r="L771">
        <v>23591</v>
      </c>
      <c r="M771">
        <v>24162</v>
      </c>
      <c r="N771" t="s">
        <v>988</v>
      </c>
    </row>
    <row r="772" spans="1:14" hidden="1" x14ac:dyDescent="0.3">
      <c r="A772">
        <v>478</v>
      </c>
      <c r="B772" t="s">
        <v>1375</v>
      </c>
      <c r="C772" t="s">
        <v>2670</v>
      </c>
      <c r="D772" t="s">
        <v>159</v>
      </c>
      <c r="E772" t="s">
        <v>159</v>
      </c>
      <c r="F772">
        <v>6869</v>
      </c>
      <c r="G772" t="s">
        <v>2673</v>
      </c>
      <c r="H772" t="s">
        <v>2665</v>
      </c>
      <c r="I772">
        <v>22270</v>
      </c>
      <c r="J772">
        <v>22653</v>
      </c>
      <c r="K772">
        <v>23121</v>
      </c>
      <c r="L772">
        <v>23591</v>
      </c>
      <c r="M772">
        <v>24162</v>
      </c>
      <c r="N772" t="s">
        <v>988</v>
      </c>
    </row>
    <row r="773" spans="1:14" hidden="1" x14ac:dyDescent="0.3">
      <c r="A773">
        <v>478</v>
      </c>
      <c r="B773" t="s">
        <v>1375</v>
      </c>
      <c r="C773" t="s">
        <v>2670</v>
      </c>
      <c r="D773" t="s">
        <v>159</v>
      </c>
      <c r="E773" t="s">
        <v>159</v>
      </c>
      <c r="F773">
        <v>6869</v>
      </c>
      <c r="G773" t="s">
        <v>2671</v>
      </c>
      <c r="H773" t="s">
        <v>2664</v>
      </c>
      <c r="I773">
        <v>22344</v>
      </c>
      <c r="J773">
        <v>22728</v>
      </c>
      <c r="K773">
        <v>23198</v>
      </c>
      <c r="L773">
        <v>23669</v>
      </c>
      <c r="M773">
        <v>24242</v>
      </c>
      <c r="N773" t="s">
        <v>988</v>
      </c>
    </row>
    <row r="774" spans="1:14" hidden="1" x14ac:dyDescent="0.3">
      <c r="A774">
        <v>478</v>
      </c>
      <c r="B774" t="s">
        <v>1375</v>
      </c>
      <c r="C774" t="s">
        <v>2670</v>
      </c>
      <c r="D774" t="s">
        <v>159</v>
      </c>
      <c r="E774" t="s">
        <v>159</v>
      </c>
      <c r="F774">
        <v>6869</v>
      </c>
      <c r="G774" t="s">
        <v>2671</v>
      </c>
      <c r="H774" t="s">
        <v>2665</v>
      </c>
      <c r="I774">
        <v>22344</v>
      </c>
      <c r="J774">
        <v>22728</v>
      </c>
      <c r="K774">
        <v>23198</v>
      </c>
      <c r="L774">
        <v>23669</v>
      </c>
      <c r="M774">
        <v>24242</v>
      </c>
      <c r="N774" t="s">
        <v>988</v>
      </c>
    </row>
    <row r="775" spans="1:14" hidden="1" x14ac:dyDescent="0.3">
      <c r="A775">
        <v>478</v>
      </c>
      <c r="B775" t="s">
        <v>1375</v>
      </c>
      <c r="C775" t="s">
        <v>2670</v>
      </c>
      <c r="D775" t="s">
        <v>159</v>
      </c>
      <c r="E775" t="s">
        <v>159</v>
      </c>
      <c r="F775">
        <v>6869</v>
      </c>
      <c r="G775" t="s">
        <v>2674</v>
      </c>
      <c r="H775" t="s">
        <v>2664</v>
      </c>
      <c r="I775">
        <v>22189</v>
      </c>
      <c r="J775">
        <v>22570</v>
      </c>
      <c r="K775">
        <v>23036</v>
      </c>
      <c r="L775">
        <v>23505</v>
      </c>
      <c r="M775">
        <v>24073</v>
      </c>
      <c r="N775" t="s">
        <v>988</v>
      </c>
    </row>
    <row r="776" spans="1:14" hidden="1" x14ac:dyDescent="0.3">
      <c r="A776">
        <v>478</v>
      </c>
      <c r="B776" t="s">
        <v>1375</v>
      </c>
      <c r="C776" t="s">
        <v>2670</v>
      </c>
      <c r="D776" t="s">
        <v>159</v>
      </c>
      <c r="E776" t="s">
        <v>159</v>
      </c>
      <c r="F776">
        <v>6869</v>
      </c>
      <c r="G776" t="s">
        <v>2676</v>
      </c>
      <c r="H776" t="s">
        <v>2664</v>
      </c>
      <c r="I776">
        <v>22030</v>
      </c>
      <c r="J776">
        <v>22409</v>
      </c>
      <c r="K776">
        <v>22871</v>
      </c>
      <c r="L776">
        <v>23336</v>
      </c>
      <c r="M776">
        <v>23901</v>
      </c>
      <c r="N776" t="s">
        <v>988</v>
      </c>
    </row>
    <row r="777" spans="1:14" hidden="1" x14ac:dyDescent="0.3">
      <c r="A777">
        <v>478</v>
      </c>
      <c r="B777" t="s">
        <v>1375</v>
      </c>
      <c r="C777" t="s">
        <v>2670</v>
      </c>
      <c r="D777" t="s">
        <v>159</v>
      </c>
      <c r="E777" t="s">
        <v>159</v>
      </c>
      <c r="F777">
        <v>6869</v>
      </c>
      <c r="G777" t="s">
        <v>2672</v>
      </c>
      <c r="H777" t="s">
        <v>2665</v>
      </c>
      <c r="N777" t="s">
        <v>988</v>
      </c>
    </row>
    <row r="778" spans="1:14" hidden="1" x14ac:dyDescent="0.3">
      <c r="A778">
        <v>478</v>
      </c>
      <c r="B778" t="s">
        <v>1375</v>
      </c>
      <c r="C778" t="s">
        <v>2670</v>
      </c>
      <c r="D778" t="s">
        <v>159</v>
      </c>
      <c r="E778" t="s">
        <v>159</v>
      </c>
      <c r="F778">
        <v>6869</v>
      </c>
      <c r="G778" t="s">
        <v>2676</v>
      </c>
      <c r="H778" t="s">
        <v>2665</v>
      </c>
      <c r="I778">
        <v>22030</v>
      </c>
      <c r="J778">
        <v>22409</v>
      </c>
      <c r="K778">
        <v>22871</v>
      </c>
      <c r="L778">
        <v>23336</v>
      </c>
      <c r="M778">
        <v>23901</v>
      </c>
      <c r="N778" t="s">
        <v>988</v>
      </c>
    </row>
    <row r="779" spans="1:14" hidden="1" x14ac:dyDescent="0.3">
      <c r="A779">
        <v>478</v>
      </c>
      <c r="B779" t="s">
        <v>1375</v>
      </c>
      <c r="C779" t="s">
        <v>2670</v>
      </c>
      <c r="D779" t="s">
        <v>159</v>
      </c>
      <c r="E779" t="s">
        <v>159</v>
      </c>
      <c r="F779">
        <v>6869</v>
      </c>
      <c r="G779" t="s">
        <v>2675</v>
      </c>
      <c r="H779" t="s">
        <v>2664</v>
      </c>
      <c r="I779">
        <v>22108</v>
      </c>
      <c r="J779">
        <v>22489</v>
      </c>
      <c r="K779">
        <v>22953</v>
      </c>
      <c r="L779">
        <v>23420</v>
      </c>
      <c r="M779">
        <v>23986</v>
      </c>
      <c r="N779" t="s">
        <v>988</v>
      </c>
    </row>
    <row r="780" spans="1:14" hidden="1" x14ac:dyDescent="0.3">
      <c r="A780">
        <v>478</v>
      </c>
      <c r="B780" t="s">
        <v>1375</v>
      </c>
      <c r="C780" t="s">
        <v>2670</v>
      </c>
      <c r="D780" t="s">
        <v>159</v>
      </c>
      <c r="E780" t="s">
        <v>159</v>
      </c>
      <c r="F780">
        <v>6869</v>
      </c>
      <c r="G780" t="s">
        <v>2675</v>
      </c>
      <c r="H780" t="s">
        <v>2665</v>
      </c>
      <c r="I780">
        <v>22108</v>
      </c>
      <c r="J780">
        <v>22489</v>
      </c>
      <c r="K780">
        <v>22953</v>
      </c>
      <c r="L780">
        <v>23420</v>
      </c>
      <c r="M780">
        <v>23986</v>
      </c>
      <c r="N780" t="s">
        <v>988</v>
      </c>
    </row>
    <row r="781" spans="1:14" hidden="1" x14ac:dyDescent="0.3">
      <c r="A781">
        <v>478</v>
      </c>
      <c r="B781" t="s">
        <v>1375</v>
      </c>
      <c r="C781" t="s">
        <v>2670</v>
      </c>
      <c r="D781" t="s">
        <v>159</v>
      </c>
      <c r="E781" t="s">
        <v>159</v>
      </c>
      <c r="F781">
        <v>6869</v>
      </c>
      <c r="G781" t="s">
        <v>2672</v>
      </c>
      <c r="H781" t="s">
        <v>2664</v>
      </c>
      <c r="N781" t="s">
        <v>988</v>
      </c>
    </row>
    <row r="782" spans="1:14" hidden="1" x14ac:dyDescent="0.3">
      <c r="A782">
        <v>481</v>
      </c>
      <c r="B782" t="s">
        <v>1379</v>
      </c>
      <c r="C782" t="s">
        <v>2670</v>
      </c>
      <c r="D782" t="s">
        <v>1203</v>
      </c>
      <c r="E782" t="s">
        <v>1204</v>
      </c>
      <c r="F782">
        <v>5750</v>
      </c>
      <c r="G782" t="s">
        <v>2671</v>
      </c>
      <c r="H782" t="s">
        <v>2664</v>
      </c>
      <c r="I782">
        <v>43920</v>
      </c>
      <c r="J782">
        <v>43920</v>
      </c>
      <c r="K782">
        <v>43920</v>
      </c>
      <c r="L782">
        <v>43920</v>
      </c>
      <c r="M782">
        <v>43920</v>
      </c>
      <c r="N782" t="s">
        <v>988</v>
      </c>
    </row>
    <row r="783" spans="1:14" hidden="1" x14ac:dyDescent="0.3">
      <c r="A783">
        <v>481</v>
      </c>
      <c r="B783" t="s">
        <v>1379</v>
      </c>
      <c r="C783" t="s">
        <v>2670</v>
      </c>
      <c r="D783" t="s">
        <v>1203</v>
      </c>
      <c r="E783" t="s">
        <v>1204</v>
      </c>
      <c r="F783">
        <v>5750</v>
      </c>
      <c r="G783" t="s">
        <v>2673</v>
      </c>
      <c r="H783" t="s">
        <v>2665</v>
      </c>
      <c r="I783">
        <v>9360</v>
      </c>
      <c r="J783">
        <v>9472</v>
      </c>
      <c r="K783">
        <v>9580</v>
      </c>
      <c r="L783">
        <v>9680</v>
      </c>
      <c r="M783">
        <v>9800</v>
      </c>
      <c r="N783" t="s">
        <v>988</v>
      </c>
    </row>
    <row r="784" spans="1:14" hidden="1" x14ac:dyDescent="0.3">
      <c r="A784">
        <v>481</v>
      </c>
      <c r="B784" t="s">
        <v>1379</v>
      </c>
      <c r="C784" t="s">
        <v>2670</v>
      </c>
      <c r="D784" t="s">
        <v>1203</v>
      </c>
      <c r="E784" t="s">
        <v>1204</v>
      </c>
      <c r="F784">
        <v>5750</v>
      </c>
      <c r="G784" t="s">
        <v>2673</v>
      </c>
      <c r="H784" t="s">
        <v>2664</v>
      </c>
      <c r="I784">
        <v>43920</v>
      </c>
      <c r="J784">
        <v>43920</v>
      </c>
      <c r="K784">
        <v>43920</v>
      </c>
      <c r="L784">
        <v>43920</v>
      </c>
      <c r="M784">
        <v>43920</v>
      </c>
      <c r="N784" t="s">
        <v>988</v>
      </c>
    </row>
    <row r="785" spans="1:14" hidden="1" x14ac:dyDescent="0.3">
      <c r="A785">
        <v>481</v>
      </c>
      <c r="B785" t="s">
        <v>1379</v>
      </c>
      <c r="C785" t="s">
        <v>2670</v>
      </c>
      <c r="D785" t="s">
        <v>1203</v>
      </c>
      <c r="E785" t="s">
        <v>1204</v>
      </c>
      <c r="F785">
        <v>5750</v>
      </c>
      <c r="G785" t="s">
        <v>2674</v>
      </c>
      <c r="H785" t="s">
        <v>2665</v>
      </c>
      <c r="I785">
        <v>9340</v>
      </c>
      <c r="J785">
        <v>9448</v>
      </c>
      <c r="K785">
        <v>9560</v>
      </c>
      <c r="L785">
        <v>9660</v>
      </c>
      <c r="M785">
        <v>9780</v>
      </c>
      <c r="N785" t="s">
        <v>988</v>
      </c>
    </row>
    <row r="786" spans="1:14" hidden="1" x14ac:dyDescent="0.3">
      <c r="A786">
        <v>481</v>
      </c>
      <c r="B786" t="s">
        <v>1379</v>
      </c>
      <c r="C786" t="s">
        <v>2670</v>
      </c>
      <c r="D786" t="s">
        <v>1203</v>
      </c>
      <c r="E786" t="s">
        <v>1204</v>
      </c>
      <c r="F786">
        <v>5750</v>
      </c>
      <c r="G786" t="s">
        <v>2674</v>
      </c>
      <c r="H786" t="s">
        <v>2664</v>
      </c>
      <c r="I786">
        <v>25771</v>
      </c>
      <c r="J786">
        <v>25771</v>
      </c>
      <c r="K786">
        <v>25771</v>
      </c>
      <c r="L786">
        <v>25771</v>
      </c>
      <c r="M786">
        <v>25771</v>
      </c>
      <c r="N786" t="s">
        <v>988</v>
      </c>
    </row>
    <row r="787" spans="1:14" hidden="1" x14ac:dyDescent="0.3">
      <c r="A787">
        <v>481</v>
      </c>
      <c r="B787" t="s">
        <v>1379</v>
      </c>
      <c r="C787" t="s">
        <v>2670</v>
      </c>
      <c r="D787" t="s">
        <v>1203</v>
      </c>
      <c r="E787" t="s">
        <v>1204</v>
      </c>
      <c r="F787">
        <v>5750</v>
      </c>
      <c r="G787" t="s">
        <v>2675</v>
      </c>
      <c r="H787" t="s">
        <v>2665</v>
      </c>
      <c r="I787">
        <v>9320</v>
      </c>
      <c r="J787">
        <v>9424</v>
      </c>
      <c r="K787">
        <v>9540</v>
      </c>
      <c r="L787">
        <v>9640</v>
      </c>
      <c r="M787">
        <v>9760</v>
      </c>
      <c r="N787" t="s">
        <v>988</v>
      </c>
    </row>
    <row r="788" spans="1:14" hidden="1" x14ac:dyDescent="0.3">
      <c r="A788">
        <v>481</v>
      </c>
      <c r="B788" t="s">
        <v>1379</v>
      </c>
      <c r="C788" t="s">
        <v>2670</v>
      </c>
      <c r="D788" t="s">
        <v>1203</v>
      </c>
      <c r="E788" t="s">
        <v>1204</v>
      </c>
      <c r="F788">
        <v>5750</v>
      </c>
      <c r="G788" t="s">
        <v>2675</v>
      </c>
      <c r="H788" t="s">
        <v>2664</v>
      </c>
      <c r="I788">
        <v>25771</v>
      </c>
      <c r="J788">
        <v>25771</v>
      </c>
      <c r="K788">
        <v>25771</v>
      </c>
      <c r="L788">
        <v>25771</v>
      </c>
      <c r="M788">
        <v>25771</v>
      </c>
      <c r="N788" t="s">
        <v>988</v>
      </c>
    </row>
    <row r="789" spans="1:14" hidden="1" x14ac:dyDescent="0.3">
      <c r="A789">
        <v>481</v>
      </c>
      <c r="B789" t="s">
        <v>1379</v>
      </c>
      <c r="C789" t="s">
        <v>2670</v>
      </c>
      <c r="D789" t="s">
        <v>1203</v>
      </c>
      <c r="E789" t="s">
        <v>1204</v>
      </c>
      <c r="F789">
        <v>5750</v>
      </c>
      <c r="G789" t="s">
        <v>2676</v>
      </c>
      <c r="H789" t="s">
        <v>2665</v>
      </c>
      <c r="I789">
        <v>9300</v>
      </c>
      <c r="J789">
        <v>9400</v>
      </c>
      <c r="K789">
        <v>9520</v>
      </c>
      <c r="L789">
        <v>9620</v>
      </c>
      <c r="M789">
        <v>9740</v>
      </c>
      <c r="N789" t="s">
        <v>988</v>
      </c>
    </row>
    <row r="790" spans="1:14" hidden="1" x14ac:dyDescent="0.3">
      <c r="A790">
        <v>481</v>
      </c>
      <c r="B790" t="s">
        <v>1379</v>
      </c>
      <c r="C790" t="s">
        <v>2670</v>
      </c>
      <c r="D790" t="s">
        <v>1203</v>
      </c>
      <c r="E790" t="s">
        <v>1204</v>
      </c>
      <c r="F790">
        <v>5750</v>
      </c>
      <c r="G790" t="s">
        <v>2676</v>
      </c>
      <c r="H790" t="s">
        <v>2664</v>
      </c>
      <c r="I790">
        <v>43920</v>
      </c>
      <c r="J790">
        <v>43920</v>
      </c>
      <c r="K790">
        <v>43920</v>
      </c>
      <c r="L790">
        <v>43920</v>
      </c>
      <c r="M790">
        <v>43920</v>
      </c>
      <c r="N790" t="s">
        <v>988</v>
      </c>
    </row>
    <row r="791" spans="1:14" hidden="1" x14ac:dyDescent="0.3">
      <c r="A791">
        <v>481</v>
      </c>
      <c r="B791" t="s">
        <v>1379</v>
      </c>
      <c r="C791" t="s">
        <v>2670</v>
      </c>
      <c r="D791" t="s">
        <v>1203</v>
      </c>
      <c r="E791" t="s">
        <v>1204</v>
      </c>
      <c r="F791">
        <v>5750</v>
      </c>
      <c r="G791" t="s">
        <v>2672</v>
      </c>
      <c r="H791" t="s">
        <v>2665</v>
      </c>
      <c r="N791" t="s">
        <v>988</v>
      </c>
    </row>
    <row r="792" spans="1:14" hidden="1" x14ac:dyDescent="0.3">
      <c r="A792">
        <v>481</v>
      </c>
      <c r="B792" t="s">
        <v>1379</v>
      </c>
      <c r="C792" t="s">
        <v>2670</v>
      </c>
      <c r="D792" t="s">
        <v>1203</v>
      </c>
      <c r="E792" t="s">
        <v>1204</v>
      </c>
      <c r="F792">
        <v>5750</v>
      </c>
      <c r="G792" t="s">
        <v>2672</v>
      </c>
      <c r="H792" t="s">
        <v>2664</v>
      </c>
      <c r="N792" t="s">
        <v>988</v>
      </c>
    </row>
    <row r="793" spans="1:14" hidden="1" x14ac:dyDescent="0.3">
      <c r="A793">
        <v>481</v>
      </c>
      <c r="B793" t="s">
        <v>1379</v>
      </c>
      <c r="C793" t="s">
        <v>2670</v>
      </c>
      <c r="D793" t="s">
        <v>1203</v>
      </c>
      <c r="E793" t="s">
        <v>1204</v>
      </c>
      <c r="F793">
        <v>5750</v>
      </c>
      <c r="G793" t="s">
        <v>2671</v>
      </c>
      <c r="H793" t="s">
        <v>2665</v>
      </c>
      <c r="I793">
        <v>9380</v>
      </c>
      <c r="J793">
        <v>9496</v>
      </c>
      <c r="K793">
        <v>9600</v>
      </c>
      <c r="L793">
        <v>9700</v>
      </c>
      <c r="M793">
        <v>9820</v>
      </c>
      <c r="N793" t="s">
        <v>988</v>
      </c>
    </row>
    <row r="794" spans="1:14" hidden="1" x14ac:dyDescent="0.3">
      <c r="A794">
        <v>485</v>
      </c>
      <c r="B794" t="s">
        <v>1381</v>
      </c>
      <c r="C794" t="s">
        <v>2670</v>
      </c>
      <c r="D794" t="s">
        <v>1203</v>
      </c>
      <c r="E794" t="s">
        <v>1204</v>
      </c>
      <c r="F794">
        <v>6618</v>
      </c>
      <c r="G794" t="s">
        <v>2672</v>
      </c>
      <c r="H794" t="s">
        <v>2665</v>
      </c>
      <c r="N794" t="s">
        <v>988</v>
      </c>
    </row>
    <row r="795" spans="1:14" hidden="1" x14ac:dyDescent="0.3">
      <c r="A795">
        <v>485</v>
      </c>
      <c r="B795" t="s">
        <v>1381</v>
      </c>
      <c r="C795" t="s">
        <v>2670</v>
      </c>
      <c r="D795" t="s">
        <v>1203</v>
      </c>
      <c r="E795" t="s">
        <v>1204</v>
      </c>
      <c r="F795">
        <v>6618</v>
      </c>
      <c r="G795" t="s">
        <v>2672</v>
      </c>
      <c r="H795" t="s">
        <v>2664</v>
      </c>
      <c r="N795" t="s">
        <v>988</v>
      </c>
    </row>
    <row r="796" spans="1:14" hidden="1" x14ac:dyDescent="0.3">
      <c r="A796">
        <v>485</v>
      </c>
      <c r="B796" t="s">
        <v>1381</v>
      </c>
      <c r="C796" t="s">
        <v>2670</v>
      </c>
      <c r="D796" t="s">
        <v>1203</v>
      </c>
      <c r="E796" t="s">
        <v>1204</v>
      </c>
      <c r="F796">
        <v>6618</v>
      </c>
      <c r="G796" t="s">
        <v>2671</v>
      </c>
      <c r="H796" t="s">
        <v>2665</v>
      </c>
      <c r="I796">
        <v>3637</v>
      </c>
      <c r="J796">
        <v>3691</v>
      </c>
      <c r="K796">
        <v>3883</v>
      </c>
      <c r="L796">
        <v>3949</v>
      </c>
      <c r="M796">
        <v>4010</v>
      </c>
      <c r="N796" t="s">
        <v>988</v>
      </c>
    </row>
    <row r="797" spans="1:14" hidden="1" x14ac:dyDescent="0.3">
      <c r="A797">
        <v>485</v>
      </c>
      <c r="B797" t="s">
        <v>1381</v>
      </c>
      <c r="C797" t="s">
        <v>2670</v>
      </c>
      <c r="D797" t="s">
        <v>1203</v>
      </c>
      <c r="E797" t="s">
        <v>1204</v>
      </c>
      <c r="F797">
        <v>6618</v>
      </c>
      <c r="G797" t="s">
        <v>2671</v>
      </c>
      <c r="H797" t="s">
        <v>2664</v>
      </c>
      <c r="I797">
        <v>3637</v>
      </c>
      <c r="J797">
        <v>3691</v>
      </c>
      <c r="K797">
        <v>3883</v>
      </c>
      <c r="L797">
        <v>3949</v>
      </c>
      <c r="M797">
        <v>4010</v>
      </c>
      <c r="N797" t="s">
        <v>988</v>
      </c>
    </row>
    <row r="798" spans="1:14" hidden="1" x14ac:dyDescent="0.3">
      <c r="A798">
        <v>485</v>
      </c>
      <c r="B798" t="s">
        <v>1381</v>
      </c>
      <c r="C798" t="s">
        <v>2670</v>
      </c>
      <c r="D798" t="s">
        <v>1203</v>
      </c>
      <c r="E798" t="s">
        <v>1204</v>
      </c>
      <c r="F798">
        <v>6618</v>
      </c>
      <c r="G798" t="s">
        <v>2673</v>
      </c>
      <c r="H798" t="s">
        <v>2665</v>
      </c>
      <c r="I798">
        <v>3905</v>
      </c>
      <c r="J798">
        <v>3964</v>
      </c>
      <c r="K798">
        <v>4170</v>
      </c>
      <c r="L798">
        <v>4241</v>
      </c>
      <c r="M798">
        <v>4306</v>
      </c>
      <c r="N798" t="s">
        <v>988</v>
      </c>
    </row>
    <row r="799" spans="1:14" hidden="1" x14ac:dyDescent="0.3">
      <c r="A799">
        <v>485</v>
      </c>
      <c r="B799" t="s">
        <v>1381</v>
      </c>
      <c r="C799" t="s">
        <v>2670</v>
      </c>
      <c r="D799" t="s">
        <v>1203</v>
      </c>
      <c r="E799" t="s">
        <v>1204</v>
      </c>
      <c r="F799">
        <v>6618</v>
      </c>
      <c r="G799" t="s">
        <v>2676</v>
      </c>
      <c r="H799" t="s">
        <v>2664</v>
      </c>
      <c r="I799">
        <v>4280</v>
      </c>
      <c r="J799">
        <v>4345</v>
      </c>
      <c r="K799">
        <v>4571</v>
      </c>
      <c r="L799">
        <v>4648</v>
      </c>
      <c r="M799">
        <v>4719</v>
      </c>
      <c r="N799" t="s">
        <v>988</v>
      </c>
    </row>
    <row r="800" spans="1:14" hidden="1" x14ac:dyDescent="0.3">
      <c r="A800">
        <v>485</v>
      </c>
      <c r="B800" t="s">
        <v>1381</v>
      </c>
      <c r="C800" t="s">
        <v>2670</v>
      </c>
      <c r="D800" t="s">
        <v>1203</v>
      </c>
      <c r="E800" t="s">
        <v>1204</v>
      </c>
      <c r="F800">
        <v>6618</v>
      </c>
      <c r="G800" t="s">
        <v>2674</v>
      </c>
      <c r="H800" t="s">
        <v>2665</v>
      </c>
      <c r="I800">
        <v>4274</v>
      </c>
      <c r="J800">
        <v>4338</v>
      </c>
      <c r="K800">
        <v>4563</v>
      </c>
      <c r="L800">
        <v>4641</v>
      </c>
      <c r="M800">
        <v>4712</v>
      </c>
      <c r="N800" t="s">
        <v>988</v>
      </c>
    </row>
    <row r="801" spans="1:14" hidden="1" x14ac:dyDescent="0.3">
      <c r="A801">
        <v>485</v>
      </c>
      <c r="B801" t="s">
        <v>1381</v>
      </c>
      <c r="C801" t="s">
        <v>2670</v>
      </c>
      <c r="D801" t="s">
        <v>1203</v>
      </c>
      <c r="E801" t="s">
        <v>1204</v>
      </c>
      <c r="F801">
        <v>6618</v>
      </c>
      <c r="G801" t="s">
        <v>2674</v>
      </c>
      <c r="H801" t="s">
        <v>2664</v>
      </c>
      <c r="I801">
        <v>4274</v>
      </c>
      <c r="J801">
        <v>4338</v>
      </c>
      <c r="K801">
        <v>4563</v>
      </c>
      <c r="L801">
        <v>4641</v>
      </c>
      <c r="M801">
        <v>4712</v>
      </c>
      <c r="N801" t="s">
        <v>988</v>
      </c>
    </row>
    <row r="802" spans="1:14" hidden="1" x14ac:dyDescent="0.3">
      <c r="A802">
        <v>485</v>
      </c>
      <c r="B802" t="s">
        <v>1381</v>
      </c>
      <c r="C802" t="s">
        <v>2670</v>
      </c>
      <c r="D802" t="s">
        <v>1203</v>
      </c>
      <c r="E802" t="s">
        <v>1204</v>
      </c>
      <c r="F802">
        <v>6618</v>
      </c>
      <c r="G802" t="s">
        <v>2675</v>
      </c>
      <c r="H802" t="s">
        <v>2665</v>
      </c>
      <c r="I802">
        <v>4578</v>
      </c>
      <c r="J802">
        <v>4647</v>
      </c>
      <c r="K802">
        <v>4888</v>
      </c>
      <c r="L802">
        <v>4972</v>
      </c>
      <c r="M802">
        <v>5047</v>
      </c>
      <c r="N802" t="s">
        <v>988</v>
      </c>
    </row>
    <row r="803" spans="1:14" hidden="1" x14ac:dyDescent="0.3">
      <c r="A803">
        <v>485</v>
      </c>
      <c r="B803" t="s">
        <v>1381</v>
      </c>
      <c r="C803" t="s">
        <v>2670</v>
      </c>
      <c r="D803" t="s">
        <v>1203</v>
      </c>
      <c r="E803" t="s">
        <v>1204</v>
      </c>
      <c r="F803">
        <v>6618</v>
      </c>
      <c r="G803" t="s">
        <v>2675</v>
      </c>
      <c r="H803" t="s">
        <v>2664</v>
      </c>
      <c r="I803">
        <v>4578</v>
      </c>
      <c r="J803">
        <v>4647</v>
      </c>
      <c r="K803">
        <v>4888</v>
      </c>
      <c r="L803">
        <v>4972</v>
      </c>
      <c r="M803">
        <v>5047</v>
      </c>
      <c r="N803" t="s">
        <v>988</v>
      </c>
    </row>
    <row r="804" spans="1:14" hidden="1" x14ac:dyDescent="0.3">
      <c r="A804">
        <v>485</v>
      </c>
      <c r="B804" t="s">
        <v>1381</v>
      </c>
      <c r="C804" t="s">
        <v>2670</v>
      </c>
      <c r="D804" t="s">
        <v>1203</v>
      </c>
      <c r="E804" t="s">
        <v>1204</v>
      </c>
      <c r="F804">
        <v>6618</v>
      </c>
      <c r="G804" t="s">
        <v>2676</v>
      </c>
      <c r="H804" t="s">
        <v>2665</v>
      </c>
      <c r="I804">
        <v>4280</v>
      </c>
      <c r="J804">
        <v>4345</v>
      </c>
      <c r="K804">
        <v>4571</v>
      </c>
      <c r="L804">
        <v>4648</v>
      </c>
      <c r="M804">
        <v>4719</v>
      </c>
      <c r="N804" t="s">
        <v>988</v>
      </c>
    </row>
    <row r="805" spans="1:14" hidden="1" x14ac:dyDescent="0.3">
      <c r="A805">
        <v>485</v>
      </c>
      <c r="B805" t="s">
        <v>1381</v>
      </c>
      <c r="C805" t="s">
        <v>2670</v>
      </c>
      <c r="D805" t="s">
        <v>1203</v>
      </c>
      <c r="E805" t="s">
        <v>1204</v>
      </c>
      <c r="F805">
        <v>6618</v>
      </c>
      <c r="G805" t="s">
        <v>2673</v>
      </c>
      <c r="H805" t="s">
        <v>2664</v>
      </c>
      <c r="I805">
        <v>3905</v>
      </c>
      <c r="J805">
        <v>3964</v>
      </c>
      <c r="K805">
        <v>4170</v>
      </c>
      <c r="L805">
        <v>4241</v>
      </c>
      <c r="M805">
        <v>4306</v>
      </c>
      <c r="N805" t="s">
        <v>988</v>
      </c>
    </row>
    <row r="806" spans="1:14" hidden="1" x14ac:dyDescent="0.3">
      <c r="A806">
        <v>495</v>
      </c>
      <c r="B806" t="s">
        <v>1382</v>
      </c>
      <c r="C806" t="s">
        <v>2670</v>
      </c>
      <c r="D806" t="s">
        <v>1203</v>
      </c>
      <c r="E806" t="s">
        <v>1204</v>
      </c>
      <c r="F806">
        <v>5743</v>
      </c>
      <c r="G806" t="s">
        <v>2676</v>
      </c>
      <c r="H806" t="s">
        <v>2664</v>
      </c>
      <c r="I806">
        <v>11907</v>
      </c>
      <c r="J806">
        <v>11907</v>
      </c>
      <c r="K806">
        <v>11907</v>
      </c>
      <c r="L806">
        <v>11907</v>
      </c>
      <c r="N806" t="s">
        <v>988</v>
      </c>
    </row>
    <row r="807" spans="1:14" hidden="1" x14ac:dyDescent="0.3">
      <c r="A807">
        <v>495</v>
      </c>
      <c r="B807" t="s">
        <v>1382</v>
      </c>
      <c r="C807" t="s">
        <v>2670</v>
      </c>
      <c r="D807" t="s">
        <v>1203</v>
      </c>
      <c r="E807" t="s">
        <v>1204</v>
      </c>
      <c r="F807">
        <v>5743</v>
      </c>
      <c r="G807" t="s">
        <v>2676</v>
      </c>
      <c r="H807" t="s">
        <v>2665</v>
      </c>
      <c r="I807">
        <v>10169</v>
      </c>
      <c r="J807">
        <v>10169</v>
      </c>
      <c r="K807">
        <v>10169</v>
      </c>
      <c r="L807">
        <v>10169</v>
      </c>
      <c r="N807" t="s">
        <v>988</v>
      </c>
    </row>
    <row r="808" spans="1:14" hidden="1" x14ac:dyDescent="0.3">
      <c r="A808">
        <v>495</v>
      </c>
      <c r="B808" t="s">
        <v>1382</v>
      </c>
      <c r="C808" t="s">
        <v>2670</v>
      </c>
      <c r="D808" t="s">
        <v>1203</v>
      </c>
      <c r="E808" t="s">
        <v>1204</v>
      </c>
      <c r="F808">
        <v>5743</v>
      </c>
      <c r="G808" t="s">
        <v>2675</v>
      </c>
      <c r="H808" t="s">
        <v>2664</v>
      </c>
      <c r="I808">
        <v>11907</v>
      </c>
      <c r="J808">
        <v>11907</v>
      </c>
      <c r="K808">
        <v>11907</v>
      </c>
      <c r="L808">
        <v>11907</v>
      </c>
      <c r="N808" t="s">
        <v>988</v>
      </c>
    </row>
    <row r="809" spans="1:14" hidden="1" x14ac:dyDescent="0.3">
      <c r="A809">
        <v>495</v>
      </c>
      <c r="B809" t="s">
        <v>1382</v>
      </c>
      <c r="C809" t="s">
        <v>2670</v>
      </c>
      <c r="D809" t="s">
        <v>1203</v>
      </c>
      <c r="E809" t="s">
        <v>1204</v>
      </c>
      <c r="F809">
        <v>5743</v>
      </c>
      <c r="G809" t="s">
        <v>2675</v>
      </c>
      <c r="H809" t="s">
        <v>2665</v>
      </c>
      <c r="I809">
        <v>10169</v>
      </c>
      <c r="J809">
        <v>10169</v>
      </c>
      <c r="K809">
        <v>10169</v>
      </c>
      <c r="L809">
        <v>10169</v>
      </c>
      <c r="N809" t="s">
        <v>988</v>
      </c>
    </row>
    <row r="810" spans="1:14" hidden="1" x14ac:dyDescent="0.3">
      <c r="A810">
        <v>495</v>
      </c>
      <c r="B810" t="s">
        <v>1382</v>
      </c>
      <c r="C810" t="s">
        <v>2670</v>
      </c>
      <c r="D810" t="s">
        <v>1203</v>
      </c>
      <c r="E810" t="s">
        <v>1204</v>
      </c>
      <c r="F810">
        <v>5743</v>
      </c>
      <c r="G810" t="s">
        <v>2674</v>
      </c>
      <c r="H810" t="s">
        <v>2664</v>
      </c>
      <c r="I810">
        <v>11732</v>
      </c>
      <c r="J810">
        <v>11732</v>
      </c>
      <c r="K810">
        <v>11732</v>
      </c>
      <c r="L810">
        <v>11732</v>
      </c>
      <c r="N810" t="s">
        <v>988</v>
      </c>
    </row>
    <row r="811" spans="1:14" hidden="1" x14ac:dyDescent="0.3">
      <c r="A811">
        <v>495</v>
      </c>
      <c r="B811" t="s">
        <v>1382</v>
      </c>
      <c r="C811" t="s">
        <v>2670</v>
      </c>
      <c r="D811" t="s">
        <v>1203</v>
      </c>
      <c r="E811" t="s">
        <v>1204</v>
      </c>
      <c r="F811">
        <v>5743</v>
      </c>
      <c r="G811" t="s">
        <v>2674</v>
      </c>
      <c r="H811" t="s">
        <v>2665</v>
      </c>
      <c r="I811">
        <v>10169</v>
      </c>
      <c r="J811">
        <v>10169</v>
      </c>
      <c r="K811">
        <v>10169</v>
      </c>
      <c r="L811">
        <v>10169</v>
      </c>
      <c r="N811" t="s">
        <v>988</v>
      </c>
    </row>
    <row r="812" spans="1:14" hidden="1" x14ac:dyDescent="0.3">
      <c r="A812">
        <v>495</v>
      </c>
      <c r="B812" t="s">
        <v>1382</v>
      </c>
      <c r="C812" t="s">
        <v>2670</v>
      </c>
      <c r="D812" t="s">
        <v>1203</v>
      </c>
      <c r="E812" t="s">
        <v>1204</v>
      </c>
      <c r="F812">
        <v>5743</v>
      </c>
      <c r="G812" t="s">
        <v>2673</v>
      </c>
      <c r="H812" t="s">
        <v>2664</v>
      </c>
      <c r="I812">
        <v>10682</v>
      </c>
      <c r="J812">
        <v>10682</v>
      </c>
      <c r="K812">
        <v>10682</v>
      </c>
      <c r="L812">
        <v>10682</v>
      </c>
      <c r="N812" t="s">
        <v>988</v>
      </c>
    </row>
    <row r="813" spans="1:14" hidden="1" x14ac:dyDescent="0.3">
      <c r="A813">
        <v>495</v>
      </c>
      <c r="B813" t="s">
        <v>1382</v>
      </c>
      <c r="C813" t="s">
        <v>2670</v>
      </c>
      <c r="D813" t="s">
        <v>1203</v>
      </c>
      <c r="E813" t="s">
        <v>1204</v>
      </c>
      <c r="F813">
        <v>5743</v>
      </c>
      <c r="G813" t="s">
        <v>2673</v>
      </c>
      <c r="H813" t="s">
        <v>2665</v>
      </c>
      <c r="I813">
        <v>10169</v>
      </c>
      <c r="J813">
        <v>10169</v>
      </c>
      <c r="K813">
        <v>10169</v>
      </c>
      <c r="L813">
        <v>10169</v>
      </c>
      <c r="N813" t="s">
        <v>988</v>
      </c>
    </row>
    <row r="814" spans="1:14" hidden="1" x14ac:dyDescent="0.3">
      <c r="A814">
        <v>495</v>
      </c>
      <c r="B814" t="s">
        <v>1382</v>
      </c>
      <c r="C814" t="s">
        <v>2670</v>
      </c>
      <c r="D814" t="s">
        <v>1203</v>
      </c>
      <c r="E814" t="s">
        <v>1204</v>
      </c>
      <c r="F814">
        <v>5743</v>
      </c>
      <c r="G814" t="s">
        <v>2671</v>
      </c>
      <c r="H814" t="s">
        <v>2664</v>
      </c>
      <c r="I814">
        <v>11207</v>
      </c>
      <c r="J814">
        <v>11207</v>
      </c>
      <c r="K814">
        <v>11207</v>
      </c>
      <c r="L814">
        <v>11207</v>
      </c>
      <c r="N814" t="s">
        <v>988</v>
      </c>
    </row>
    <row r="815" spans="1:14" hidden="1" x14ac:dyDescent="0.3">
      <c r="A815">
        <v>495</v>
      </c>
      <c r="B815" t="s">
        <v>1382</v>
      </c>
      <c r="C815" t="s">
        <v>2670</v>
      </c>
      <c r="D815" t="s">
        <v>1203</v>
      </c>
      <c r="E815" t="s">
        <v>1204</v>
      </c>
      <c r="F815">
        <v>5743</v>
      </c>
      <c r="G815" t="s">
        <v>2671</v>
      </c>
      <c r="H815" t="s">
        <v>2665</v>
      </c>
      <c r="I815">
        <v>8135</v>
      </c>
      <c r="J815">
        <v>8135</v>
      </c>
      <c r="K815">
        <v>8135</v>
      </c>
      <c r="L815">
        <v>8135</v>
      </c>
      <c r="N815" t="s">
        <v>988</v>
      </c>
    </row>
    <row r="816" spans="1:14" hidden="1" x14ac:dyDescent="0.3">
      <c r="A816">
        <v>495</v>
      </c>
      <c r="B816" t="s">
        <v>1382</v>
      </c>
      <c r="C816" t="s">
        <v>2670</v>
      </c>
      <c r="D816" t="s">
        <v>1203</v>
      </c>
      <c r="E816" t="s">
        <v>1204</v>
      </c>
      <c r="F816">
        <v>5743</v>
      </c>
      <c r="G816" t="s">
        <v>2672</v>
      </c>
      <c r="H816" t="s">
        <v>2665</v>
      </c>
      <c r="N816" t="s">
        <v>988</v>
      </c>
    </row>
    <row r="817" spans="1:14" hidden="1" x14ac:dyDescent="0.3">
      <c r="A817">
        <v>495</v>
      </c>
      <c r="B817" t="s">
        <v>1382</v>
      </c>
      <c r="C817" t="s">
        <v>2670</v>
      </c>
      <c r="D817" t="s">
        <v>1203</v>
      </c>
      <c r="E817" t="s">
        <v>1204</v>
      </c>
      <c r="F817">
        <v>5743</v>
      </c>
      <c r="G817" t="s">
        <v>2672</v>
      </c>
      <c r="H817" t="s">
        <v>2664</v>
      </c>
      <c r="N817" t="s">
        <v>988</v>
      </c>
    </row>
    <row r="818" spans="1:14" hidden="1" x14ac:dyDescent="0.3">
      <c r="A818">
        <v>1050</v>
      </c>
      <c r="B818" t="s">
        <v>1385</v>
      </c>
      <c r="C818" t="s">
        <v>2670</v>
      </c>
      <c r="D818" t="s">
        <v>1203</v>
      </c>
      <c r="E818" t="s">
        <v>1204</v>
      </c>
      <c r="F818">
        <v>5766</v>
      </c>
      <c r="G818" t="s">
        <v>2676</v>
      </c>
      <c r="H818" t="s">
        <v>2665</v>
      </c>
      <c r="I818">
        <v>1850</v>
      </c>
      <c r="J818">
        <v>1850</v>
      </c>
      <c r="K818">
        <v>1850</v>
      </c>
      <c r="L818">
        <v>1850</v>
      </c>
      <c r="N818" t="s">
        <v>988</v>
      </c>
    </row>
    <row r="819" spans="1:14" hidden="1" x14ac:dyDescent="0.3">
      <c r="A819">
        <v>1050</v>
      </c>
      <c r="B819" t="s">
        <v>1385</v>
      </c>
      <c r="C819" t="s">
        <v>2670</v>
      </c>
      <c r="D819" t="s">
        <v>1203</v>
      </c>
      <c r="E819" t="s">
        <v>1204</v>
      </c>
      <c r="F819">
        <v>5766</v>
      </c>
      <c r="G819" t="s">
        <v>2675</v>
      </c>
      <c r="H819" t="s">
        <v>2664</v>
      </c>
      <c r="I819">
        <v>2761</v>
      </c>
      <c r="J819">
        <v>2761</v>
      </c>
      <c r="K819">
        <v>2761</v>
      </c>
      <c r="L819">
        <v>2761</v>
      </c>
      <c r="N819" t="s">
        <v>988</v>
      </c>
    </row>
    <row r="820" spans="1:14" hidden="1" x14ac:dyDescent="0.3">
      <c r="A820">
        <v>1050</v>
      </c>
      <c r="B820" t="s">
        <v>1385</v>
      </c>
      <c r="C820" t="s">
        <v>2670</v>
      </c>
      <c r="D820" t="s">
        <v>1203</v>
      </c>
      <c r="E820" t="s">
        <v>1204</v>
      </c>
      <c r="F820">
        <v>5766</v>
      </c>
      <c r="G820" t="s">
        <v>2675</v>
      </c>
      <c r="H820" t="s">
        <v>2665</v>
      </c>
      <c r="I820">
        <v>1850</v>
      </c>
      <c r="J820">
        <v>1850</v>
      </c>
      <c r="K820">
        <v>1850</v>
      </c>
      <c r="L820">
        <v>1850</v>
      </c>
      <c r="N820" t="s">
        <v>988</v>
      </c>
    </row>
    <row r="821" spans="1:14" hidden="1" x14ac:dyDescent="0.3">
      <c r="A821">
        <v>1050</v>
      </c>
      <c r="B821" t="s">
        <v>1385</v>
      </c>
      <c r="C821" t="s">
        <v>2670</v>
      </c>
      <c r="D821" t="s">
        <v>1203</v>
      </c>
      <c r="E821" t="s">
        <v>1204</v>
      </c>
      <c r="F821">
        <v>5766</v>
      </c>
      <c r="G821" t="s">
        <v>2674</v>
      </c>
      <c r="H821" t="s">
        <v>2664</v>
      </c>
      <c r="I821">
        <v>2761</v>
      </c>
      <c r="J821">
        <v>2761</v>
      </c>
      <c r="K821">
        <v>2761</v>
      </c>
      <c r="L821">
        <v>2761</v>
      </c>
      <c r="N821" t="s">
        <v>988</v>
      </c>
    </row>
    <row r="822" spans="1:14" hidden="1" x14ac:dyDescent="0.3">
      <c r="A822">
        <v>1050</v>
      </c>
      <c r="B822" t="s">
        <v>1385</v>
      </c>
      <c r="C822" t="s">
        <v>2670</v>
      </c>
      <c r="D822" t="s">
        <v>1203</v>
      </c>
      <c r="E822" t="s">
        <v>1204</v>
      </c>
      <c r="F822">
        <v>5766</v>
      </c>
      <c r="G822" t="s">
        <v>2674</v>
      </c>
      <c r="H822" t="s">
        <v>2665</v>
      </c>
      <c r="I822">
        <v>1850</v>
      </c>
      <c r="J822">
        <v>1850</v>
      </c>
      <c r="K822">
        <v>1850</v>
      </c>
      <c r="L822">
        <v>1850</v>
      </c>
      <c r="N822" t="s">
        <v>988</v>
      </c>
    </row>
    <row r="823" spans="1:14" hidden="1" x14ac:dyDescent="0.3">
      <c r="A823">
        <v>1050</v>
      </c>
      <c r="B823" t="s">
        <v>1385</v>
      </c>
      <c r="C823" t="s">
        <v>2670</v>
      </c>
      <c r="D823" t="s">
        <v>1203</v>
      </c>
      <c r="E823" t="s">
        <v>1204</v>
      </c>
      <c r="F823">
        <v>5766</v>
      </c>
      <c r="G823" t="s">
        <v>2676</v>
      </c>
      <c r="H823" t="s">
        <v>2664</v>
      </c>
      <c r="I823">
        <v>2761</v>
      </c>
      <c r="J823">
        <v>2761</v>
      </c>
      <c r="K823">
        <v>2761</v>
      </c>
      <c r="L823">
        <v>2761</v>
      </c>
      <c r="N823" t="s">
        <v>988</v>
      </c>
    </row>
    <row r="824" spans="1:14" hidden="1" x14ac:dyDescent="0.3">
      <c r="A824">
        <v>1050</v>
      </c>
      <c r="B824" t="s">
        <v>1385</v>
      </c>
      <c r="C824" t="s">
        <v>2670</v>
      </c>
      <c r="D824" t="s">
        <v>1203</v>
      </c>
      <c r="E824" t="s">
        <v>1204</v>
      </c>
      <c r="F824">
        <v>5766</v>
      </c>
      <c r="G824" t="s">
        <v>2673</v>
      </c>
      <c r="H824" t="s">
        <v>2665</v>
      </c>
      <c r="I824">
        <v>1850</v>
      </c>
      <c r="J824">
        <v>1850</v>
      </c>
      <c r="K824">
        <v>1850</v>
      </c>
      <c r="L824">
        <v>1850</v>
      </c>
      <c r="N824" t="s">
        <v>988</v>
      </c>
    </row>
    <row r="825" spans="1:14" hidden="1" x14ac:dyDescent="0.3">
      <c r="A825">
        <v>1050</v>
      </c>
      <c r="B825" t="s">
        <v>1385</v>
      </c>
      <c r="C825" t="s">
        <v>2670</v>
      </c>
      <c r="D825" t="s">
        <v>1203</v>
      </c>
      <c r="E825" t="s">
        <v>1204</v>
      </c>
      <c r="F825">
        <v>5766</v>
      </c>
      <c r="G825" t="s">
        <v>2671</v>
      </c>
      <c r="H825" t="s">
        <v>2664</v>
      </c>
      <c r="I825">
        <v>2169</v>
      </c>
      <c r="J825">
        <v>2169</v>
      </c>
      <c r="K825">
        <v>2169</v>
      </c>
      <c r="L825">
        <v>2169</v>
      </c>
      <c r="N825" t="s">
        <v>988</v>
      </c>
    </row>
    <row r="826" spans="1:14" hidden="1" x14ac:dyDescent="0.3">
      <c r="A826">
        <v>1050</v>
      </c>
      <c r="B826" t="s">
        <v>1385</v>
      </c>
      <c r="C826" t="s">
        <v>2670</v>
      </c>
      <c r="D826" t="s">
        <v>1203</v>
      </c>
      <c r="E826" t="s">
        <v>1204</v>
      </c>
      <c r="F826">
        <v>5766</v>
      </c>
      <c r="G826" t="s">
        <v>2671</v>
      </c>
      <c r="H826" t="s">
        <v>2665</v>
      </c>
      <c r="I826">
        <v>1480</v>
      </c>
      <c r="J826">
        <v>1480</v>
      </c>
      <c r="K826">
        <v>1480</v>
      </c>
      <c r="L826">
        <v>1480</v>
      </c>
      <c r="N826" t="s">
        <v>988</v>
      </c>
    </row>
    <row r="827" spans="1:14" hidden="1" x14ac:dyDescent="0.3">
      <c r="A827">
        <v>1050</v>
      </c>
      <c r="B827" t="s">
        <v>1385</v>
      </c>
      <c r="C827" t="s">
        <v>2670</v>
      </c>
      <c r="D827" t="s">
        <v>1203</v>
      </c>
      <c r="E827" t="s">
        <v>1204</v>
      </c>
      <c r="F827">
        <v>5766</v>
      </c>
      <c r="G827" t="s">
        <v>2672</v>
      </c>
      <c r="H827" t="s">
        <v>2664</v>
      </c>
      <c r="N827" t="s">
        <v>988</v>
      </c>
    </row>
    <row r="828" spans="1:14" hidden="1" x14ac:dyDescent="0.3">
      <c r="A828">
        <v>1050</v>
      </c>
      <c r="B828" t="s">
        <v>1385</v>
      </c>
      <c r="C828" t="s">
        <v>2670</v>
      </c>
      <c r="D828" t="s">
        <v>1203</v>
      </c>
      <c r="E828" t="s">
        <v>1204</v>
      </c>
      <c r="F828">
        <v>5766</v>
      </c>
      <c r="G828" t="s">
        <v>2672</v>
      </c>
      <c r="H828" t="s">
        <v>2665</v>
      </c>
      <c r="N828" t="s">
        <v>988</v>
      </c>
    </row>
    <row r="829" spans="1:14" hidden="1" x14ac:dyDescent="0.3">
      <c r="A829">
        <v>1050</v>
      </c>
      <c r="B829" t="s">
        <v>1385</v>
      </c>
      <c r="C829" t="s">
        <v>2670</v>
      </c>
      <c r="D829" t="s">
        <v>1203</v>
      </c>
      <c r="E829" t="s">
        <v>1204</v>
      </c>
      <c r="F829">
        <v>5766</v>
      </c>
      <c r="G829" t="s">
        <v>2673</v>
      </c>
      <c r="H829" t="s">
        <v>2664</v>
      </c>
      <c r="I829">
        <v>2169</v>
      </c>
      <c r="J829">
        <v>2169</v>
      </c>
      <c r="K829">
        <v>2169</v>
      </c>
      <c r="L829">
        <v>2169</v>
      </c>
      <c r="N829" t="s">
        <v>988</v>
      </c>
    </row>
    <row r="830" spans="1:14" hidden="1" x14ac:dyDescent="0.3">
      <c r="A830">
        <v>522</v>
      </c>
      <c r="B830" t="s">
        <v>1387</v>
      </c>
      <c r="C830" t="s">
        <v>2670</v>
      </c>
      <c r="D830" t="s">
        <v>1203</v>
      </c>
      <c r="E830" t="s">
        <v>1204</v>
      </c>
      <c r="F830">
        <v>7829</v>
      </c>
      <c r="G830" t="s">
        <v>2675</v>
      </c>
      <c r="H830" t="s">
        <v>2664</v>
      </c>
      <c r="I830">
        <v>25342.8758653</v>
      </c>
      <c r="J830">
        <v>25342.8758653</v>
      </c>
      <c r="K830">
        <v>25342.8758653</v>
      </c>
      <c r="L830">
        <v>25342.8758653</v>
      </c>
      <c r="N830" t="s">
        <v>988</v>
      </c>
    </row>
    <row r="831" spans="1:14" hidden="1" x14ac:dyDescent="0.3">
      <c r="A831">
        <v>522</v>
      </c>
      <c r="B831" t="s">
        <v>1387</v>
      </c>
      <c r="C831" t="s">
        <v>2670</v>
      </c>
      <c r="D831" t="s">
        <v>1203</v>
      </c>
      <c r="E831" t="s">
        <v>1204</v>
      </c>
      <c r="F831">
        <v>7829</v>
      </c>
      <c r="G831" t="s">
        <v>2675</v>
      </c>
      <c r="H831" t="s">
        <v>2665</v>
      </c>
      <c r="I831">
        <v>11953.318175750001</v>
      </c>
      <c r="J831">
        <v>14073.9196801</v>
      </c>
      <c r="K831">
        <v>16565.856614299999</v>
      </c>
      <c r="L831">
        <v>16565.856614299999</v>
      </c>
      <c r="N831" t="s">
        <v>988</v>
      </c>
    </row>
    <row r="832" spans="1:14" hidden="1" x14ac:dyDescent="0.3">
      <c r="A832">
        <v>522</v>
      </c>
      <c r="B832" t="s">
        <v>1387</v>
      </c>
      <c r="C832" t="s">
        <v>2670</v>
      </c>
      <c r="D832" t="s">
        <v>1203</v>
      </c>
      <c r="E832" t="s">
        <v>1204</v>
      </c>
      <c r="F832">
        <v>7829</v>
      </c>
      <c r="G832" t="s">
        <v>2674</v>
      </c>
      <c r="H832" t="s">
        <v>2664</v>
      </c>
      <c r="I832">
        <v>25342.8758653</v>
      </c>
      <c r="J832">
        <v>25342.8758653</v>
      </c>
      <c r="K832">
        <v>25342.8758653</v>
      </c>
      <c r="L832">
        <v>25342.8758653</v>
      </c>
      <c r="N832" t="s">
        <v>988</v>
      </c>
    </row>
    <row r="833" spans="1:14" hidden="1" x14ac:dyDescent="0.3">
      <c r="A833">
        <v>522</v>
      </c>
      <c r="B833" t="s">
        <v>1387</v>
      </c>
      <c r="C833" t="s">
        <v>2670</v>
      </c>
      <c r="D833" t="s">
        <v>1203</v>
      </c>
      <c r="E833" t="s">
        <v>1204</v>
      </c>
      <c r="F833">
        <v>7829</v>
      </c>
      <c r="G833" t="s">
        <v>2674</v>
      </c>
      <c r="H833" t="s">
        <v>2665</v>
      </c>
      <c r="I833">
        <v>11953.318175750001</v>
      </c>
      <c r="J833">
        <v>14073.9196801</v>
      </c>
      <c r="K833">
        <v>16565.856614299999</v>
      </c>
      <c r="L833">
        <v>16565.856614299999</v>
      </c>
      <c r="N833" t="s">
        <v>988</v>
      </c>
    </row>
    <row r="834" spans="1:14" hidden="1" x14ac:dyDescent="0.3">
      <c r="A834">
        <v>522</v>
      </c>
      <c r="B834" t="s">
        <v>1387</v>
      </c>
      <c r="C834" t="s">
        <v>2670</v>
      </c>
      <c r="D834" t="s">
        <v>1203</v>
      </c>
      <c r="E834" t="s">
        <v>1204</v>
      </c>
      <c r="F834">
        <v>7829</v>
      </c>
      <c r="G834" t="s">
        <v>2673</v>
      </c>
      <c r="H834" t="s">
        <v>2664</v>
      </c>
      <c r="I834">
        <v>25342.8758653</v>
      </c>
      <c r="J834">
        <v>25342.8758653</v>
      </c>
      <c r="K834">
        <v>25342.8758653</v>
      </c>
      <c r="L834">
        <v>25342.8758653</v>
      </c>
      <c r="N834" t="s">
        <v>988</v>
      </c>
    </row>
    <row r="835" spans="1:14" hidden="1" x14ac:dyDescent="0.3">
      <c r="A835">
        <v>522</v>
      </c>
      <c r="B835" t="s">
        <v>1387</v>
      </c>
      <c r="C835" t="s">
        <v>2670</v>
      </c>
      <c r="D835" t="s">
        <v>1203</v>
      </c>
      <c r="E835" t="s">
        <v>1204</v>
      </c>
      <c r="F835">
        <v>7829</v>
      </c>
      <c r="G835" t="s">
        <v>2676</v>
      </c>
      <c r="H835" t="s">
        <v>2665</v>
      </c>
      <c r="I835">
        <v>12873.98453075</v>
      </c>
      <c r="J835">
        <v>15154.1682033</v>
      </c>
      <c r="K835">
        <v>17839.445072049999</v>
      </c>
      <c r="L835">
        <v>17839.445072049999</v>
      </c>
      <c r="N835" t="s">
        <v>988</v>
      </c>
    </row>
    <row r="836" spans="1:14" hidden="1" x14ac:dyDescent="0.3">
      <c r="A836">
        <v>522</v>
      </c>
      <c r="B836" t="s">
        <v>1387</v>
      </c>
      <c r="C836" t="s">
        <v>2670</v>
      </c>
      <c r="D836" t="s">
        <v>1203</v>
      </c>
      <c r="E836" t="s">
        <v>1204</v>
      </c>
      <c r="F836">
        <v>7829</v>
      </c>
      <c r="G836" t="s">
        <v>2671</v>
      </c>
      <c r="H836" t="s">
        <v>2664</v>
      </c>
      <c r="I836">
        <v>25342.8758653</v>
      </c>
      <c r="J836">
        <v>25342.8758653</v>
      </c>
      <c r="K836">
        <v>25342.8758653</v>
      </c>
      <c r="L836">
        <v>25342.8758653</v>
      </c>
      <c r="N836" t="s">
        <v>988</v>
      </c>
    </row>
    <row r="837" spans="1:14" hidden="1" x14ac:dyDescent="0.3">
      <c r="A837">
        <v>522</v>
      </c>
      <c r="B837" t="s">
        <v>1387</v>
      </c>
      <c r="C837" t="s">
        <v>2670</v>
      </c>
      <c r="D837" t="s">
        <v>1203</v>
      </c>
      <c r="E837" t="s">
        <v>1204</v>
      </c>
      <c r="F837">
        <v>7829</v>
      </c>
      <c r="G837" t="s">
        <v>2671</v>
      </c>
      <c r="H837" t="s">
        <v>2665</v>
      </c>
      <c r="I837">
        <v>10115.0543536</v>
      </c>
      <c r="J837">
        <v>11907.284858000001</v>
      </c>
      <c r="K837">
        <v>14015.61081095</v>
      </c>
      <c r="L837">
        <v>14015.61081095</v>
      </c>
      <c r="N837" t="s">
        <v>988</v>
      </c>
    </row>
    <row r="838" spans="1:14" hidden="1" x14ac:dyDescent="0.3">
      <c r="A838">
        <v>522</v>
      </c>
      <c r="B838" t="s">
        <v>1387</v>
      </c>
      <c r="C838" t="s">
        <v>2670</v>
      </c>
      <c r="D838" t="s">
        <v>1203</v>
      </c>
      <c r="E838" t="s">
        <v>1204</v>
      </c>
      <c r="F838">
        <v>7829</v>
      </c>
      <c r="G838" t="s">
        <v>2672</v>
      </c>
      <c r="H838" t="s">
        <v>2664</v>
      </c>
      <c r="N838" t="s">
        <v>988</v>
      </c>
    </row>
    <row r="839" spans="1:14" hidden="1" x14ac:dyDescent="0.3">
      <c r="A839">
        <v>522</v>
      </c>
      <c r="B839" t="s">
        <v>1387</v>
      </c>
      <c r="C839" t="s">
        <v>2670</v>
      </c>
      <c r="D839" t="s">
        <v>1203</v>
      </c>
      <c r="E839" t="s">
        <v>1204</v>
      </c>
      <c r="F839">
        <v>7829</v>
      </c>
      <c r="G839" t="s">
        <v>2672</v>
      </c>
      <c r="H839" t="s">
        <v>2665</v>
      </c>
      <c r="N839" t="s">
        <v>988</v>
      </c>
    </row>
    <row r="840" spans="1:14" hidden="1" x14ac:dyDescent="0.3">
      <c r="A840">
        <v>522</v>
      </c>
      <c r="B840" t="s">
        <v>1387</v>
      </c>
      <c r="C840" t="s">
        <v>2670</v>
      </c>
      <c r="D840" t="s">
        <v>1203</v>
      </c>
      <c r="E840" t="s">
        <v>1204</v>
      </c>
      <c r="F840">
        <v>7829</v>
      </c>
      <c r="G840" t="s">
        <v>2676</v>
      </c>
      <c r="H840" t="s">
        <v>2664</v>
      </c>
      <c r="I840">
        <v>25342.8758653</v>
      </c>
      <c r="J840">
        <v>25342.8758653</v>
      </c>
      <c r="K840">
        <v>25342.8758653</v>
      </c>
      <c r="L840">
        <v>25342.8758653</v>
      </c>
      <c r="N840" t="s">
        <v>988</v>
      </c>
    </row>
    <row r="841" spans="1:14" hidden="1" x14ac:dyDescent="0.3">
      <c r="A841">
        <v>522</v>
      </c>
      <c r="B841" t="s">
        <v>1387</v>
      </c>
      <c r="C841" t="s">
        <v>2670</v>
      </c>
      <c r="D841" t="s">
        <v>1203</v>
      </c>
      <c r="E841" t="s">
        <v>1204</v>
      </c>
      <c r="F841">
        <v>7829</v>
      </c>
      <c r="G841" t="s">
        <v>2673</v>
      </c>
      <c r="H841" t="s">
        <v>2665</v>
      </c>
      <c r="I841">
        <v>11035.7207086</v>
      </c>
      <c r="J841">
        <v>12990.602269049999</v>
      </c>
      <c r="K841">
        <v>15292.268156550001</v>
      </c>
      <c r="L841">
        <v>15292.268156550001</v>
      </c>
      <c r="N841" t="s">
        <v>988</v>
      </c>
    </row>
    <row r="842" spans="1:14" hidden="1" x14ac:dyDescent="0.3">
      <c r="A842">
        <v>524</v>
      </c>
      <c r="B842" t="s">
        <v>1388</v>
      </c>
      <c r="C842" t="s">
        <v>2670</v>
      </c>
      <c r="D842" t="s">
        <v>1203</v>
      </c>
      <c r="E842" t="s">
        <v>1204</v>
      </c>
      <c r="F842">
        <v>5553</v>
      </c>
      <c r="G842" t="s">
        <v>2674</v>
      </c>
      <c r="H842" t="s">
        <v>2664</v>
      </c>
      <c r="I842">
        <v>13509</v>
      </c>
      <c r="J842">
        <v>14254</v>
      </c>
      <c r="K842">
        <v>14596</v>
      </c>
      <c r="L842">
        <v>14828</v>
      </c>
      <c r="M842">
        <v>15060</v>
      </c>
      <c r="N842" t="s">
        <v>988</v>
      </c>
    </row>
    <row r="843" spans="1:14" hidden="1" x14ac:dyDescent="0.3">
      <c r="A843">
        <v>524</v>
      </c>
      <c r="B843" t="s">
        <v>1388</v>
      </c>
      <c r="C843" t="s">
        <v>2670</v>
      </c>
      <c r="D843" t="s">
        <v>1203</v>
      </c>
      <c r="E843" t="s">
        <v>1204</v>
      </c>
      <c r="F843">
        <v>5553</v>
      </c>
      <c r="G843" t="s">
        <v>2674</v>
      </c>
      <c r="H843" t="s">
        <v>2665</v>
      </c>
      <c r="I843">
        <v>13509</v>
      </c>
      <c r="J843">
        <v>14254</v>
      </c>
      <c r="K843">
        <v>14596</v>
      </c>
      <c r="L843">
        <v>14828</v>
      </c>
      <c r="M843">
        <v>15060</v>
      </c>
      <c r="N843" t="s">
        <v>988</v>
      </c>
    </row>
    <row r="844" spans="1:14" hidden="1" x14ac:dyDescent="0.3">
      <c r="A844">
        <v>524</v>
      </c>
      <c r="B844" t="s">
        <v>1388</v>
      </c>
      <c r="C844" t="s">
        <v>2670</v>
      </c>
      <c r="D844" t="s">
        <v>1203</v>
      </c>
      <c r="E844" t="s">
        <v>1204</v>
      </c>
      <c r="F844">
        <v>5553</v>
      </c>
      <c r="G844" t="s">
        <v>2673</v>
      </c>
      <c r="H844" t="s">
        <v>2664</v>
      </c>
      <c r="I844">
        <v>13404</v>
      </c>
      <c r="J844">
        <v>14143</v>
      </c>
      <c r="K844">
        <v>14482</v>
      </c>
      <c r="L844">
        <v>14712</v>
      </c>
      <c r="M844">
        <v>14942</v>
      </c>
      <c r="N844" t="s">
        <v>988</v>
      </c>
    </row>
    <row r="845" spans="1:14" hidden="1" x14ac:dyDescent="0.3">
      <c r="A845">
        <v>524</v>
      </c>
      <c r="B845" t="s">
        <v>1388</v>
      </c>
      <c r="C845" t="s">
        <v>2670</v>
      </c>
      <c r="D845" t="s">
        <v>1203</v>
      </c>
      <c r="E845" t="s">
        <v>1204</v>
      </c>
      <c r="F845">
        <v>5553</v>
      </c>
      <c r="G845" t="s">
        <v>2673</v>
      </c>
      <c r="H845" t="s">
        <v>2665</v>
      </c>
      <c r="I845">
        <v>13404</v>
      </c>
      <c r="J845">
        <v>14143</v>
      </c>
      <c r="K845">
        <v>14482</v>
      </c>
      <c r="L845">
        <v>14712</v>
      </c>
      <c r="M845">
        <v>14942</v>
      </c>
      <c r="N845" t="s">
        <v>988</v>
      </c>
    </row>
    <row r="846" spans="1:14" hidden="1" x14ac:dyDescent="0.3">
      <c r="A846">
        <v>524</v>
      </c>
      <c r="B846" t="s">
        <v>1388</v>
      </c>
      <c r="C846" t="s">
        <v>2670</v>
      </c>
      <c r="D846" t="s">
        <v>1203</v>
      </c>
      <c r="E846" t="s">
        <v>1204</v>
      </c>
      <c r="F846">
        <v>5553</v>
      </c>
      <c r="G846" t="s">
        <v>2671</v>
      </c>
      <c r="H846" t="s">
        <v>2664</v>
      </c>
      <c r="I846">
        <v>11282</v>
      </c>
      <c r="J846">
        <v>11904</v>
      </c>
      <c r="K846">
        <v>12189</v>
      </c>
      <c r="L846">
        <v>12383</v>
      </c>
      <c r="M846">
        <v>12577</v>
      </c>
      <c r="N846" t="s">
        <v>988</v>
      </c>
    </row>
    <row r="847" spans="1:14" hidden="1" x14ac:dyDescent="0.3">
      <c r="A847">
        <v>524</v>
      </c>
      <c r="B847" t="s">
        <v>1388</v>
      </c>
      <c r="C847" t="s">
        <v>2670</v>
      </c>
      <c r="D847" t="s">
        <v>1203</v>
      </c>
      <c r="E847" t="s">
        <v>1204</v>
      </c>
      <c r="F847">
        <v>5553</v>
      </c>
      <c r="G847" t="s">
        <v>2671</v>
      </c>
      <c r="H847" t="s">
        <v>2665</v>
      </c>
      <c r="I847">
        <v>11282</v>
      </c>
      <c r="J847">
        <v>11904</v>
      </c>
      <c r="K847">
        <v>12189</v>
      </c>
      <c r="L847">
        <v>12383</v>
      </c>
      <c r="M847">
        <v>12577</v>
      </c>
      <c r="N847" t="s">
        <v>988</v>
      </c>
    </row>
    <row r="848" spans="1:14" hidden="1" x14ac:dyDescent="0.3">
      <c r="A848">
        <v>524</v>
      </c>
      <c r="B848" t="s">
        <v>1388</v>
      </c>
      <c r="C848" t="s">
        <v>2670</v>
      </c>
      <c r="D848" t="s">
        <v>1203</v>
      </c>
      <c r="E848" t="s">
        <v>1204</v>
      </c>
      <c r="F848">
        <v>5553</v>
      </c>
      <c r="G848" t="s">
        <v>2672</v>
      </c>
      <c r="H848" t="s">
        <v>2664</v>
      </c>
      <c r="N848" t="s">
        <v>988</v>
      </c>
    </row>
    <row r="849" spans="1:14" hidden="1" x14ac:dyDescent="0.3">
      <c r="A849">
        <v>524</v>
      </c>
      <c r="B849" t="s">
        <v>1388</v>
      </c>
      <c r="C849" t="s">
        <v>2670</v>
      </c>
      <c r="D849" t="s">
        <v>1203</v>
      </c>
      <c r="E849" t="s">
        <v>1204</v>
      </c>
      <c r="F849">
        <v>5553</v>
      </c>
      <c r="G849" t="s">
        <v>2672</v>
      </c>
      <c r="H849" t="s">
        <v>2665</v>
      </c>
      <c r="N849" t="s">
        <v>988</v>
      </c>
    </row>
    <row r="850" spans="1:14" hidden="1" x14ac:dyDescent="0.3">
      <c r="A850">
        <v>524</v>
      </c>
      <c r="B850" t="s">
        <v>1388</v>
      </c>
      <c r="C850" t="s">
        <v>2670</v>
      </c>
      <c r="D850" t="s">
        <v>1203</v>
      </c>
      <c r="E850" t="s">
        <v>1204</v>
      </c>
      <c r="F850">
        <v>5553</v>
      </c>
      <c r="G850" t="s">
        <v>2676</v>
      </c>
      <c r="H850" t="s">
        <v>2664</v>
      </c>
      <c r="I850">
        <v>12740</v>
      </c>
      <c r="J850">
        <v>13443</v>
      </c>
      <c r="K850">
        <v>13764</v>
      </c>
      <c r="L850">
        <v>13983</v>
      </c>
      <c r="M850">
        <v>14202</v>
      </c>
      <c r="N850" t="s">
        <v>988</v>
      </c>
    </row>
    <row r="851" spans="1:14" hidden="1" x14ac:dyDescent="0.3">
      <c r="A851">
        <v>524</v>
      </c>
      <c r="B851" t="s">
        <v>1388</v>
      </c>
      <c r="C851" t="s">
        <v>2670</v>
      </c>
      <c r="D851" t="s">
        <v>1203</v>
      </c>
      <c r="E851" t="s">
        <v>1204</v>
      </c>
      <c r="F851">
        <v>5553</v>
      </c>
      <c r="G851" t="s">
        <v>2676</v>
      </c>
      <c r="H851" t="s">
        <v>2665</v>
      </c>
      <c r="I851">
        <v>12740</v>
      </c>
      <c r="J851">
        <v>13443</v>
      </c>
      <c r="K851">
        <v>13764</v>
      </c>
      <c r="L851">
        <v>13983</v>
      </c>
      <c r="M851">
        <v>14202</v>
      </c>
      <c r="N851" t="s">
        <v>988</v>
      </c>
    </row>
    <row r="852" spans="1:14" hidden="1" x14ac:dyDescent="0.3">
      <c r="A852">
        <v>524</v>
      </c>
      <c r="B852" t="s">
        <v>1388</v>
      </c>
      <c r="C852" t="s">
        <v>2670</v>
      </c>
      <c r="D852" t="s">
        <v>1203</v>
      </c>
      <c r="E852" t="s">
        <v>1204</v>
      </c>
      <c r="F852">
        <v>5553</v>
      </c>
      <c r="G852" t="s">
        <v>2675</v>
      </c>
      <c r="H852" t="s">
        <v>2665</v>
      </c>
      <c r="I852">
        <v>13272</v>
      </c>
      <c r="J852">
        <v>14004</v>
      </c>
      <c r="K852">
        <v>14339</v>
      </c>
      <c r="L852">
        <v>14567</v>
      </c>
      <c r="M852">
        <v>14795</v>
      </c>
      <c r="N852" t="s">
        <v>988</v>
      </c>
    </row>
    <row r="853" spans="1:14" hidden="1" x14ac:dyDescent="0.3">
      <c r="A853">
        <v>524</v>
      </c>
      <c r="B853" t="s">
        <v>1388</v>
      </c>
      <c r="C853" t="s">
        <v>2670</v>
      </c>
      <c r="D853" t="s">
        <v>1203</v>
      </c>
      <c r="E853" t="s">
        <v>1204</v>
      </c>
      <c r="F853">
        <v>5553</v>
      </c>
      <c r="G853" t="s">
        <v>2675</v>
      </c>
      <c r="H853" t="s">
        <v>2664</v>
      </c>
      <c r="I853">
        <v>13272</v>
      </c>
      <c r="J853">
        <v>14004</v>
      </c>
      <c r="K853">
        <v>14339</v>
      </c>
      <c r="L853">
        <v>14567</v>
      </c>
      <c r="M853">
        <v>14795</v>
      </c>
      <c r="N853" t="s">
        <v>988</v>
      </c>
    </row>
    <row r="854" spans="1:14" hidden="1" x14ac:dyDescent="0.3">
      <c r="A854">
        <v>545</v>
      </c>
      <c r="B854" t="s">
        <v>1390</v>
      </c>
      <c r="C854" t="s">
        <v>2670</v>
      </c>
      <c r="D854" t="s">
        <v>1203</v>
      </c>
      <c r="E854" t="s">
        <v>1204</v>
      </c>
      <c r="F854">
        <v>5532</v>
      </c>
      <c r="G854" t="s">
        <v>2672</v>
      </c>
      <c r="H854" t="s">
        <v>2664</v>
      </c>
      <c r="N854" t="s">
        <v>988</v>
      </c>
    </row>
    <row r="855" spans="1:14" hidden="1" x14ac:dyDescent="0.3">
      <c r="A855">
        <v>545</v>
      </c>
      <c r="B855" t="s">
        <v>1390</v>
      </c>
      <c r="C855" t="s">
        <v>2670</v>
      </c>
      <c r="D855" t="s">
        <v>1203</v>
      </c>
      <c r="E855" t="s">
        <v>1204</v>
      </c>
      <c r="F855">
        <v>5532</v>
      </c>
      <c r="G855" t="s">
        <v>2671</v>
      </c>
      <c r="H855" t="s">
        <v>2665</v>
      </c>
      <c r="I855">
        <v>20873</v>
      </c>
      <c r="J855">
        <v>22342</v>
      </c>
      <c r="K855">
        <v>23121</v>
      </c>
      <c r="L855">
        <v>23997</v>
      </c>
      <c r="M855">
        <v>25144</v>
      </c>
      <c r="N855" t="s">
        <v>988</v>
      </c>
    </row>
    <row r="856" spans="1:14" hidden="1" x14ac:dyDescent="0.3">
      <c r="A856">
        <v>545</v>
      </c>
      <c r="B856" t="s">
        <v>1390</v>
      </c>
      <c r="C856" t="s">
        <v>2670</v>
      </c>
      <c r="D856" t="s">
        <v>1203</v>
      </c>
      <c r="E856" t="s">
        <v>1204</v>
      </c>
      <c r="F856">
        <v>5532</v>
      </c>
      <c r="G856" t="s">
        <v>2671</v>
      </c>
      <c r="H856" t="s">
        <v>2664</v>
      </c>
      <c r="I856">
        <v>20873</v>
      </c>
      <c r="J856">
        <v>22342</v>
      </c>
      <c r="K856">
        <v>23121</v>
      </c>
      <c r="L856">
        <v>23997</v>
      </c>
      <c r="M856">
        <v>25144</v>
      </c>
      <c r="N856" t="s">
        <v>988</v>
      </c>
    </row>
    <row r="857" spans="1:14" hidden="1" x14ac:dyDescent="0.3">
      <c r="A857">
        <v>545</v>
      </c>
      <c r="B857" t="s">
        <v>1390</v>
      </c>
      <c r="C857" t="s">
        <v>2670</v>
      </c>
      <c r="D857" t="s">
        <v>1203</v>
      </c>
      <c r="E857" t="s">
        <v>1204</v>
      </c>
      <c r="F857">
        <v>5532</v>
      </c>
      <c r="G857" t="s">
        <v>2673</v>
      </c>
      <c r="H857" t="s">
        <v>2665</v>
      </c>
      <c r="I857">
        <v>23837</v>
      </c>
      <c r="J857">
        <v>25515</v>
      </c>
      <c r="K857">
        <v>26404</v>
      </c>
      <c r="L857">
        <v>27405</v>
      </c>
      <c r="M857">
        <v>28715</v>
      </c>
      <c r="N857" t="s">
        <v>988</v>
      </c>
    </row>
    <row r="858" spans="1:14" hidden="1" x14ac:dyDescent="0.3">
      <c r="A858">
        <v>545</v>
      </c>
      <c r="B858" t="s">
        <v>1390</v>
      </c>
      <c r="C858" t="s">
        <v>2670</v>
      </c>
      <c r="D858" t="s">
        <v>1203</v>
      </c>
      <c r="E858" t="s">
        <v>1204</v>
      </c>
      <c r="F858">
        <v>5532</v>
      </c>
      <c r="G858" t="s">
        <v>2673</v>
      </c>
      <c r="H858" t="s">
        <v>2664</v>
      </c>
      <c r="I858">
        <v>23837</v>
      </c>
      <c r="J858">
        <v>25515</v>
      </c>
      <c r="K858">
        <v>26404</v>
      </c>
      <c r="L858">
        <v>27405</v>
      </c>
      <c r="M858">
        <v>28715</v>
      </c>
      <c r="N858" t="s">
        <v>988</v>
      </c>
    </row>
    <row r="859" spans="1:14" hidden="1" x14ac:dyDescent="0.3">
      <c r="A859">
        <v>545</v>
      </c>
      <c r="B859" t="s">
        <v>1390</v>
      </c>
      <c r="C859" t="s">
        <v>2670</v>
      </c>
      <c r="D859" t="s">
        <v>1203</v>
      </c>
      <c r="E859" t="s">
        <v>1204</v>
      </c>
      <c r="F859">
        <v>5532</v>
      </c>
      <c r="G859" t="s">
        <v>2672</v>
      </c>
      <c r="H859" t="s">
        <v>2665</v>
      </c>
      <c r="N859" t="s">
        <v>988</v>
      </c>
    </row>
    <row r="860" spans="1:14" hidden="1" x14ac:dyDescent="0.3">
      <c r="A860">
        <v>545</v>
      </c>
      <c r="B860" t="s">
        <v>1390</v>
      </c>
      <c r="C860" t="s">
        <v>2670</v>
      </c>
      <c r="D860" t="s">
        <v>1203</v>
      </c>
      <c r="E860" t="s">
        <v>1204</v>
      </c>
      <c r="F860">
        <v>5532</v>
      </c>
      <c r="G860" t="s">
        <v>2674</v>
      </c>
      <c r="H860" t="s">
        <v>2664</v>
      </c>
      <c r="I860">
        <v>26135</v>
      </c>
      <c r="J860">
        <v>27975</v>
      </c>
      <c r="K860">
        <v>28949</v>
      </c>
      <c r="L860">
        <v>30046</v>
      </c>
      <c r="M860">
        <v>31482</v>
      </c>
      <c r="N860" t="s">
        <v>988</v>
      </c>
    </row>
    <row r="861" spans="1:14" hidden="1" x14ac:dyDescent="0.3">
      <c r="A861">
        <v>545</v>
      </c>
      <c r="B861" t="s">
        <v>1390</v>
      </c>
      <c r="C861" t="s">
        <v>2670</v>
      </c>
      <c r="D861" t="s">
        <v>1203</v>
      </c>
      <c r="E861" t="s">
        <v>1204</v>
      </c>
      <c r="F861">
        <v>5532</v>
      </c>
      <c r="G861" t="s">
        <v>2675</v>
      </c>
      <c r="H861" t="s">
        <v>2665</v>
      </c>
      <c r="I861">
        <v>26190</v>
      </c>
      <c r="J861">
        <v>28034</v>
      </c>
      <c r="K861">
        <v>29010</v>
      </c>
      <c r="L861">
        <v>30110</v>
      </c>
      <c r="M861">
        <v>31549</v>
      </c>
      <c r="N861" t="s">
        <v>988</v>
      </c>
    </row>
    <row r="862" spans="1:14" hidden="1" x14ac:dyDescent="0.3">
      <c r="A862">
        <v>545</v>
      </c>
      <c r="B862" t="s">
        <v>1390</v>
      </c>
      <c r="C862" t="s">
        <v>2670</v>
      </c>
      <c r="D862" t="s">
        <v>1203</v>
      </c>
      <c r="E862" t="s">
        <v>1204</v>
      </c>
      <c r="F862">
        <v>5532</v>
      </c>
      <c r="G862" t="s">
        <v>2675</v>
      </c>
      <c r="H862" t="s">
        <v>2664</v>
      </c>
      <c r="I862">
        <v>26190</v>
      </c>
      <c r="J862">
        <v>28034</v>
      </c>
      <c r="K862">
        <v>29010</v>
      </c>
      <c r="L862">
        <v>30110</v>
      </c>
      <c r="M862">
        <v>31549</v>
      </c>
      <c r="N862" t="s">
        <v>988</v>
      </c>
    </row>
    <row r="863" spans="1:14" hidden="1" x14ac:dyDescent="0.3">
      <c r="A863">
        <v>545</v>
      </c>
      <c r="B863" t="s">
        <v>1390</v>
      </c>
      <c r="C863" t="s">
        <v>2670</v>
      </c>
      <c r="D863" t="s">
        <v>1203</v>
      </c>
      <c r="E863" t="s">
        <v>1204</v>
      </c>
      <c r="F863">
        <v>5532</v>
      </c>
      <c r="G863" t="s">
        <v>2676</v>
      </c>
      <c r="H863" t="s">
        <v>2665</v>
      </c>
      <c r="I863">
        <v>24889</v>
      </c>
      <c r="J863">
        <v>26641</v>
      </c>
      <c r="K863">
        <v>27569</v>
      </c>
      <c r="L863">
        <v>28614</v>
      </c>
      <c r="M863">
        <v>29982</v>
      </c>
      <c r="N863" t="s">
        <v>988</v>
      </c>
    </row>
    <row r="864" spans="1:14" hidden="1" x14ac:dyDescent="0.3">
      <c r="A864">
        <v>545</v>
      </c>
      <c r="B864" t="s">
        <v>1390</v>
      </c>
      <c r="C864" t="s">
        <v>2670</v>
      </c>
      <c r="D864" t="s">
        <v>1203</v>
      </c>
      <c r="E864" t="s">
        <v>1204</v>
      </c>
      <c r="F864">
        <v>5532</v>
      </c>
      <c r="G864" t="s">
        <v>2676</v>
      </c>
      <c r="H864" t="s">
        <v>2664</v>
      </c>
      <c r="I864">
        <v>24889</v>
      </c>
      <c r="J864">
        <v>26641</v>
      </c>
      <c r="K864">
        <v>27569</v>
      </c>
      <c r="L864">
        <v>28614</v>
      </c>
      <c r="M864">
        <v>29982</v>
      </c>
      <c r="N864" t="s">
        <v>988</v>
      </c>
    </row>
    <row r="865" spans="1:14" hidden="1" x14ac:dyDescent="0.3">
      <c r="A865">
        <v>545</v>
      </c>
      <c r="B865" t="s">
        <v>1390</v>
      </c>
      <c r="C865" t="s">
        <v>2670</v>
      </c>
      <c r="D865" t="s">
        <v>1203</v>
      </c>
      <c r="E865" t="s">
        <v>1204</v>
      </c>
      <c r="F865">
        <v>5532</v>
      </c>
      <c r="G865" t="s">
        <v>2674</v>
      </c>
      <c r="H865" t="s">
        <v>2665</v>
      </c>
      <c r="I865">
        <v>26135</v>
      </c>
      <c r="J865">
        <v>27975</v>
      </c>
      <c r="K865">
        <v>28949</v>
      </c>
      <c r="L865">
        <v>30046</v>
      </c>
      <c r="M865">
        <v>31482</v>
      </c>
      <c r="N865" t="s">
        <v>988</v>
      </c>
    </row>
    <row r="866" spans="1:14" hidden="1" x14ac:dyDescent="0.3">
      <c r="A866">
        <v>547</v>
      </c>
      <c r="B866" t="s">
        <v>1391</v>
      </c>
      <c r="C866" t="s">
        <v>2670</v>
      </c>
      <c r="D866" t="s">
        <v>1203</v>
      </c>
      <c r="E866" t="s">
        <v>1204</v>
      </c>
      <c r="F866">
        <v>5677</v>
      </c>
      <c r="G866" t="s">
        <v>2676</v>
      </c>
      <c r="H866" t="s">
        <v>2665</v>
      </c>
      <c r="I866">
        <v>17060</v>
      </c>
      <c r="J866">
        <v>17275</v>
      </c>
      <c r="K866">
        <v>17618</v>
      </c>
      <c r="L866">
        <v>17666</v>
      </c>
      <c r="M866">
        <v>17709</v>
      </c>
      <c r="N866" t="s">
        <v>988</v>
      </c>
    </row>
    <row r="867" spans="1:14" hidden="1" x14ac:dyDescent="0.3">
      <c r="A867">
        <v>547</v>
      </c>
      <c r="B867" t="s">
        <v>1391</v>
      </c>
      <c r="C867" t="s">
        <v>2670</v>
      </c>
      <c r="D867" t="s">
        <v>1203</v>
      </c>
      <c r="E867" t="s">
        <v>1204</v>
      </c>
      <c r="F867">
        <v>5677</v>
      </c>
      <c r="G867" t="s">
        <v>2676</v>
      </c>
      <c r="H867" t="s">
        <v>2664</v>
      </c>
      <c r="I867">
        <v>33684</v>
      </c>
      <c r="J867">
        <v>33684</v>
      </c>
      <c r="K867">
        <v>33684</v>
      </c>
      <c r="L867">
        <v>33684</v>
      </c>
      <c r="M867">
        <v>33684</v>
      </c>
      <c r="N867" t="s">
        <v>988</v>
      </c>
    </row>
    <row r="868" spans="1:14" hidden="1" x14ac:dyDescent="0.3">
      <c r="A868">
        <v>547</v>
      </c>
      <c r="B868" t="s">
        <v>1391</v>
      </c>
      <c r="C868" t="s">
        <v>2670</v>
      </c>
      <c r="D868" t="s">
        <v>1203</v>
      </c>
      <c r="E868" t="s">
        <v>1204</v>
      </c>
      <c r="F868">
        <v>5677</v>
      </c>
      <c r="G868" t="s">
        <v>2675</v>
      </c>
      <c r="H868" t="s">
        <v>2664</v>
      </c>
      <c r="I868">
        <v>33684</v>
      </c>
      <c r="J868">
        <v>33684</v>
      </c>
      <c r="K868">
        <v>33684</v>
      </c>
      <c r="L868">
        <v>33684</v>
      </c>
      <c r="M868">
        <v>33684</v>
      </c>
      <c r="N868" t="s">
        <v>988</v>
      </c>
    </row>
    <row r="869" spans="1:14" hidden="1" x14ac:dyDescent="0.3">
      <c r="A869">
        <v>547</v>
      </c>
      <c r="B869" t="s">
        <v>1391</v>
      </c>
      <c r="C869" t="s">
        <v>2670</v>
      </c>
      <c r="D869" t="s">
        <v>1203</v>
      </c>
      <c r="E869" t="s">
        <v>1204</v>
      </c>
      <c r="F869">
        <v>5677</v>
      </c>
      <c r="G869" t="s">
        <v>2675</v>
      </c>
      <c r="H869" t="s">
        <v>2665</v>
      </c>
      <c r="I869">
        <v>17103</v>
      </c>
      <c r="J869">
        <v>17343</v>
      </c>
      <c r="K869">
        <v>17628</v>
      </c>
      <c r="L869">
        <v>17675</v>
      </c>
      <c r="M869">
        <v>17709</v>
      </c>
      <c r="N869" t="s">
        <v>988</v>
      </c>
    </row>
    <row r="870" spans="1:14" hidden="1" x14ac:dyDescent="0.3">
      <c r="A870">
        <v>547</v>
      </c>
      <c r="B870" t="s">
        <v>1391</v>
      </c>
      <c r="C870" t="s">
        <v>2670</v>
      </c>
      <c r="D870" t="s">
        <v>1203</v>
      </c>
      <c r="E870" t="s">
        <v>1204</v>
      </c>
      <c r="F870">
        <v>5677</v>
      </c>
      <c r="G870" t="s">
        <v>2674</v>
      </c>
      <c r="H870" t="s">
        <v>2664</v>
      </c>
      <c r="I870">
        <v>33684</v>
      </c>
      <c r="J870">
        <v>33684</v>
      </c>
      <c r="K870">
        <v>33684</v>
      </c>
      <c r="L870">
        <v>33684</v>
      </c>
      <c r="M870">
        <v>33684</v>
      </c>
      <c r="N870" t="s">
        <v>988</v>
      </c>
    </row>
    <row r="871" spans="1:14" hidden="1" x14ac:dyDescent="0.3">
      <c r="A871">
        <v>547</v>
      </c>
      <c r="B871" t="s">
        <v>1391</v>
      </c>
      <c r="C871" t="s">
        <v>2670</v>
      </c>
      <c r="D871" t="s">
        <v>1203</v>
      </c>
      <c r="E871" t="s">
        <v>1204</v>
      </c>
      <c r="F871">
        <v>5677</v>
      </c>
      <c r="G871" t="s">
        <v>2674</v>
      </c>
      <c r="H871" t="s">
        <v>2665</v>
      </c>
      <c r="I871">
        <v>17146</v>
      </c>
      <c r="J871">
        <v>17412</v>
      </c>
      <c r="K871">
        <v>17637</v>
      </c>
      <c r="L871">
        <v>17683</v>
      </c>
      <c r="M871">
        <v>17709</v>
      </c>
      <c r="N871" t="s">
        <v>988</v>
      </c>
    </row>
    <row r="872" spans="1:14" hidden="1" x14ac:dyDescent="0.3">
      <c r="A872">
        <v>547</v>
      </c>
      <c r="B872" t="s">
        <v>1391</v>
      </c>
      <c r="C872" t="s">
        <v>2670</v>
      </c>
      <c r="D872" t="s">
        <v>1203</v>
      </c>
      <c r="E872" t="s">
        <v>1204</v>
      </c>
      <c r="F872">
        <v>5677</v>
      </c>
      <c r="G872" t="s">
        <v>2673</v>
      </c>
      <c r="H872" t="s">
        <v>2664</v>
      </c>
      <c r="I872">
        <v>33684</v>
      </c>
      <c r="J872">
        <v>33684</v>
      </c>
      <c r="K872">
        <v>33684</v>
      </c>
      <c r="L872">
        <v>33684</v>
      </c>
      <c r="M872">
        <v>33684</v>
      </c>
      <c r="N872" t="s">
        <v>988</v>
      </c>
    </row>
    <row r="873" spans="1:14" hidden="1" x14ac:dyDescent="0.3">
      <c r="A873">
        <v>547</v>
      </c>
      <c r="B873" t="s">
        <v>1391</v>
      </c>
      <c r="C873" t="s">
        <v>2670</v>
      </c>
      <c r="D873" t="s">
        <v>1203</v>
      </c>
      <c r="E873" t="s">
        <v>1204</v>
      </c>
      <c r="F873">
        <v>5677</v>
      </c>
      <c r="G873" t="s">
        <v>2673</v>
      </c>
      <c r="H873" t="s">
        <v>2665</v>
      </c>
      <c r="I873">
        <v>17189</v>
      </c>
      <c r="J873">
        <v>17481</v>
      </c>
      <c r="K873">
        <v>17647</v>
      </c>
      <c r="L873">
        <v>17692</v>
      </c>
      <c r="M873">
        <v>17709</v>
      </c>
      <c r="N873" t="s">
        <v>988</v>
      </c>
    </row>
    <row r="874" spans="1:14" hidden="1" x14ac:dyDescent="0.3">
      <c r="A874">
        <v>547</v>
      </c>
      <c r="B874" t="s">
        <v>1391</v>
      </c>
      <c r="C874" t="s">
        <v>2670</v>
      </c>
      <c r="D874" t="s">
        <v>1203</v>
      </c>
      <c r="E874" t="s">
        <v>1204</v>
      </c>
      <c r="F874">
        <v>5677</v>
      </c>
      <c r="G874" t="s">
        <v>2671</v>
      </c>
      <c r="H874" t="s">
        <v>2664</v>
      </c>
      <c r="I874">
        <v>33684</v>
      </c>
      <c r="J874">
        <v>33684</v>
      </c>
      <c r="K874">
        <v>33684</v>
      </c>
      <c r="L874">
        <v>33684</v>
      </c>
      <c r="M874">
        <v>33684</v>
      </c>
      <c r="N874" t="s">
        <v>988</v>
      </c>
    </row>
    <row r="875" spans="1:14" hidden="1" x14ac:dyDescent="0.3">
      <c r="A875">
        <v>547</v>
      </c>
      <c r="B875" t="s">
        <v>1391</v>
      </c>
      <c r="C875" t="s">
        <v>2670</v>
      </c>
      <c r="D875" t="s">
        <v>1203</v>
      </c>
      <c r="E875" t="s">
        <v>1204</v>
      </c>
      <c r="F875">
        <v>5677</v>
      </c>
      <c r="G875" t="s">
        <v>2671</v>
      </c>
      <c r="H875" t="s">
        <v>2665</v>
      </c>
      <c r="I875">
        <v>17232</v>
      </c>
      <c r="J875">
        <v>17549</v>
      </c>
      <c r="K875">
        <v>17656</v>
      </c>
      <c r="L875">
        <v>17700</v>
      </c>
      <c r="M875">
        <v>17709</v>
      </c>
      <c r="N875" t="s">
        <v>988</v>
      </c>
    </row>
    <row r="876" spans="1:14" hidden="1" x14ac:dyDescent="0.3">
      <c r="A876">
        <v>547</v>
      </c>
      <c r="B876" t="s">
        <v>1391</v>
      </c>
      <c r="C876" t="s">
        <v>2670</v>
      </c>
      <c r="D876" t="s">
        <v>1203</v>
      </c>
      <c r="E876" t="s">
        <v>1204</v>
      </c>
      <c r="F876">
        <v>5677</v>
      </c>
      <c r="G876" t="s">
        <v>2672</v>
      </c>
      <c r="H876" t="s">
        <v>2664</v>
      </c>
      <c r="N876" t="s">
        <v>988</v>
      </c>
    </row>
    <row r="877" spans="1:14" hidden="1" x14ac:dyDescent="0.3">
      <c r="A877">
        <v>547</v>
      </c>
      <c r="B877" t="s">
        <v>1391</v>
      </c>
      <c r="C877" t="s">
        <v>2670</v>
      </c>
      <c r="D877" t="s">
        <v>1203</v>
      </c>
      <c r="E877" t="s">
        <v>1204</v>
      </c>
      <c r="F877">
        <v>5677</v>
      </c>
      <c r="G877" t="s">
        <v>2672</v>
      </c>
      <c r="H877" t="s">
        <v>2665</v>
      </c>
      <c r="N877" t="s">
        <v>988</v>
      </c>
    </row>
    <row r="878" spans="1:14" hidden="1" x14ac:dyDescent="0.3">
      <c r="A878">
        <v>2979</v>
      </c>
      <c r="B878" t="s">
        <v>1396</v>
      </c>
      <c r="C878" t="s">
        <v>2670</v>
      </c>
      <c r="D878" t="s">
        <v>1203</v>
      </c>
      <c r="E878" t="s">
        <v>1204</v>
      </c>
      <c r="F878">
        <v>6904</v>
      </c>
      <c r="G878" t="s">
        <v>2676</v>
      </c>
      <c r="H878" t="s">
        <v>2664</v>
      </c>
      <c r="I878">
        <v>10839.311886199999</v>
      </c>
      <c r="J878">
        <v>10839.311886199999</v>
      </c>
      <c r="K878">
        <v>10839.311886199999</v>
      </c>
      <c r="L878">
        <v>10839.311886199999</v>
      </c>
      <c r="M878">
        <v>10839.311886199999</v>
      </c>
      <c r="N878" t="s">
        <v>988</v>
      </c>
    </row>
    <row r="879" spans="1:14" hidden="1" x14ac:dyDescent="0.3">
      <c r="A879">
        <v>2979</v>
      </c>
      <c r="B879" t="s">
        <v>1396</v>
      </c>
      <c r="C879" t="s">
        <v>2670</v>
      </c>
      <c r="D879" t="s">
        <v>1203</v>
      </c>
      <c r="E879" t="s">
        <v>1204</v>
      </c>
      <c r="F879">
        <v>6904</v>
      </c>
      <c r="G879" t="s">
        <v>2676</v>
      </c>
      <c r="H879" t="s">
        <v>2665</v>
      </c>
      <c r="I879">
        <v>3305.1922144499999</v>
      </c>
      <c r="J879">
        <v>4281.09855075</v>
      </c>
      <c r="K879">
        <v>5542.4114571</v>
      </c>
      <c r="L879">
        <v>7175.0597932999999</v>
      </c>
      <c r="M879">
        <v>9289.5235219499991</v>
      </c>
      <c r="N879" t="s">
        <v>988</v>
      </c>
    </row>
    <row r="880" spans="1:14" hidden="1" x14ac:dyDescent="0.3">
      <c r="A880">
        <v>2979</v>
      </c>
      <c r="B880" t="s">
        <v>1396</v>
      </c>
      <c r="C880" t="s">
        <v>2670</v>
      </c>
      <c r="D880" t="s">
        <v>1203</v>
      </c>
      <c r="E880" t="s">
        <v>1204</v>
      </c>
      <c r="F880">
        <v>6904</v>
      </c>
      <c r="G880" t="s">
        <v>2675</v>
      </c>
      <c r="H880" t="s">
        <v>2664</v>
      </c>
      <c r="I880">
        <v>10839.311886199999</v>
      </c>
      <c r="J880">
        <v>10839.311886199999</v>
      </c>
      <c r="K880">
        <v>10839.311886199999</v>
      </c>
      <c r="L880">
        <v>10839.311886199999</v>
      </c>
      <c r="M880">
        <v>10839.311886199999</v>
      </c>
      <c r="N880" t="s">
        <v>988</v>
      </c>
    </row>
    <row r="881" spans="1:14" hidden="1" x14ac:dyDescent="0.3">
      <c r="A881">
        <v>2979</v>
      </c>
      <c r="B881" t="s">
        <v>1396</v>
      </c>
      <c r="C881" t="s">
        <v>2670</v>
      </c>
      <c r="D881" t="s">
        <v>1203</v>
      </c>
      <c r="E881" t="s">
        <v>1204</v>
      </c>
      <c r="F881">
        <v>6904</v>
      </c>
      <c r="G881" t="s">
        <v>2675</v>
      </c>
      <c r="H881" t="s">
        <v>2665</v>
      </c>
      <c r="I881">
        <v>3305.1922144499999</v>
      </c>
      <c r="J881">
        <v>4281.09855075</v>
      </c>
      <c r="K881">
        <v>5542.4114571</v>
      </c>
      <c r="L881">
        <v>7175.0597932999999</v>
      </c>
      <c r="M881">
        <v>9289.5235219499991</v>
      </c>
      <c r="N881" t="s">
        <v>988</v>
      </c>
    </row>
    <row r="882" spans="1:14" hidden="1" x14ac:dyDescent="0.3">
      <c r="A882">
        <v>2979</v>
      </c>
      <c r="B882" t="s">
        <v>1396</v>
      </c>
      <c r="C882" t="s">
        <v>2670</v>
      </c>
      <c r="D882" t="s">
        <v>1203</v>
      </c>
      <c r="E882" t="s">
        <v>1204</v>
      </c>
      <c r="F882">
        <v>6904</v>
      </c>
      <c r="G882" t="s">
        <v>2674</v>
      </c>
      <c r="H882" t="s">
        <v>2664</v>
      </c>
      <c r="I882">
        <v>10839.311886199999</v>
      </c>
      <c r="J882">
        <v>10839.311886199999</v>
      </c>
      <c r="K882">
        <v>10839.311886199999</v>
      </c>
      <c r="L882">
        <v>10839.311886199999</v>
      </c>
      <c r="M882">
        <v>10839.311886199999</v>
      </c>
      <c r="N882" t="s">
        <v>988</v>
      </c>
    </row>
    <row r="883" spans="1:14" hidden="1" x14ac:dyDescent="0.3">
      <c r="A883">
        <v>2979</v>
      </c>
      <c r="B883" t="s">
        <v>1396</v>
      </c>
      <c r="C883" t="s">
        <v>2670</v>
      </c>
      <c r="D883" t="s">
        <v>1203</v>
      </c>
      <c r="E883" t="s">
        <v>1204</v>
      </c>
      <c r="F883">
        <v>6904</v>
      </c>
      <c r="G883" t="s">
        <v>2672</v>
      </c>
      <c r="H883" t="s">
        <v>2665</v>
      </c>
      <c r="I883">
        <v>3305.1922144499999</v>
      </c>
      <c r="J883">
        <v>4281.09855075</v>
      </c>
      <c r="K883">
        <v>5542.4114571</v>
      </c>
      <c r="L883">
        <v>7175.0597932999999</v>
      </c>
      <c r="M883">
        <v>9289.5235219499991</v>
      </c>
      <c r="N883" t="s">
        <v>988</v>
      </c>
    </row>
    <row r="884" spans="1:14" hidden="1" x14ac:dyDescent="0.3">
      <c r="A884">
        <v>2979</v>
      </c>
      <c r="B884" t="s">
        <v>1396</v>
      </c>
      <c r="C884" t="s">
        <v>2670</v>
      </c>
      <c r="D884" t="s">
        <v>1203</v>
      </c>
      <c r="E884" t="s">
        <v>1204</v>
      </c>
      <c r="F884">
        <v>6904</v>
      </c>
      <c r="G884" t="s">
        <v>2673</v>
      </c>
      <c r="H884" t="s">
        <v>2664</v>
      </c>
      <c r="I884">
        <v>10839.311886199999</v>
      </c>
      <c r="J884">
        <v>10839.311886199999</v>
      </c>
      <c r="K884">
        <v>10839.311886199999</v>
      </c>
      <c r="L884">
        <v>10839.311886199999</v>
      </c>
      <c r="M884">
        <v>10839.311886199999</v>
      </c>
      <c r="N884" t="s">
        <v>988</v>
      </c>
    </row>
    <row r="885" spans="1:14" hidden="1" x14ac:dyDescent="0.3">
      <c r="A885">
        <v>2979</v>
      </c>
      <c r="B885" t="s">
        <v>1396</v>
      </c>
      <c r="C885" t="s">
        <v>2670</v>
      </c>
      <c r="D885" t="s">
        <v>1203</v>
      </c>
      <c r="E885" t="s">
        <v>1204</v>
      </c>
      <c r="F885">
        <v>6904</v>
      </c>
      <c r="G885" t="s">
        <v>2673</v>
      </c>
      <c r="H885" t="s">
        <v>2665</v>
      </c>
      <c r="I885">
        <v>3305.1922144499999</v>
      </c>
      <c r="J885">
        <v>4281.09855075</v>
      </c>
      <c r="K885">
        <v>5542.4114571</v>
      </c>
      <c r="L885">
        <v>7175.0597932999999</v>
      </c>
      <c r="M885">
        <v>9289.5235219499991</v>
      </c>
      <c r="N885" t="s">
        <v>988</v>
      </c>
    </row>
    <row r="886" spans="1:14" hidden="1" x14ac:dyDescent="0.3">
      <c r="A886">
        <v>2979</v>
      </c>
      <c r="B886" t="s">
        <v>1396</v>
      </c>
      <c r="C886" t="s">
        <v>2670</v>
      </c>
      <c r="D886" t="s">
        <v>1203</v>
      </c>
      <c r="E886" t="s">
        <v>1204</v>
      </c>
      <c r="F886">
        <v>6904</v>
      </c>
      <c r="G886" t="s">
        <v>2671</v>
      </c>
      <c r="H886" t="s">
        <v>2664</v>
      </c>
      <c r="I886">
        <v>10839.311886199999</v>
      </c>
      <c r="J886">
        <v>10839.311886199999</v>
      </c>
      <c r="K886">
        <v>10839.311886199999</v>
      </c>
      <c r="L886">
        <v>10839.311886199999</v>
      </c>
      <c r="M886">
        <v>10839.311886199999</v>
      </c>
      <c r="N886" t="s">
        <v>988</v>
      </c>
    </row>
    <row r="887" spans="1:14" hidden="1" x14ac:dyDescent="0.3">
      <c r="A887">
        <v>2979</v>
      </c>
      <c r="B887" t="s">
        <v>1396</v>
      </c>
      <c r="C887" t="s">
        <v>2670</v>
      </c>
      <c r="D887" t="s">
        <v>1203</v>
      </c>
      <c r="E887" t="s">
        <v>1204</v>
      </c>
      <c r="F887">
        <v>6904</v>
      </c>
      <c r="G887" t="s">
        <v>2671</v>
      </c>
      <c r="H887" t="s">
        <v>2665</v>
      </c>
      <c r="I887">
        <v>3305.1922144499999</v>
      </c>
      <c r="J887">
        <v>4281.09855075</v>
      </c>
      <c r="K887">
        <v>5542.4114571</v>
      </c>
      <c r="L887">
        <v>7175.0597932999999</v>
      </c>
      <c r="M887">
        <v>9289.5235219499991</v>
      </c>
      <c r="N887" t="s">
        <v>988</v>
      </c>
    </row>
    <row r="888" spans="1:14" hidden="1" x14ac:dyDescent="0.3">
      <c r="A888">
        <v>2979</v>
      </c>
      <c r="B888" t="s">
        <v>1396</v>
      </c>
      <c r="C888" t="s">
        <v>2670</v>
      </c>
      <c r="D888" t="s">
        <v>1203</v>
      </c>
      <c r="E888" t="s">
        <v>1204</v>
      </c>
      <c r="F888">
        <v>6904</v>
      </c>
      <c r="G888" t="s">
        <v>2672</v>
      </c>
      <c r="H888" t="s">
        <v>2664</v>
      </c>
      <c r="I888">
        <v>10839.311886199999</v>
      </c>
      <c r="J888">
        <v>10839.311886199999</v>
      </c>
      <c r="K888">
        <v>10839.311886199999</v>
      </c>
      <c r="L888">
        <v>10839.311886199999</v>
      </c>
      <c r="M888">
        <v>10839.311886199999</v>
      </c>
      <c r="N888" t="s">
        <v>988</v>
      </c>
    </row>
    <row r="889" spans="1:14" hidden="1" x14ac:dyDescent="0.3">
      <c r="A889">
        <v>2979</v>
      </c>
      <c r="B889" t="s">
        <v>1396</v>
      </c>
      <c r="C889" t="s">
        <v>2670</v>
      </c>
      <c r="D889" t="s">
        <v>1203</v>
      </c>
      <c r="E889" t="s">
        <v>1204</v>
      </c>
      <c r="F889">
        <v>6904</v>
      </c>
      <c r="G889" t="s">
        <v>2674</v>
      </c>
      <c r="H889" t="s">
        <v>2665</v>
      </c>
      <c r="I889">
        <v>3305.1922144499999</v>
      </c>
      <c r="J889">
        <v>4281.09855075</v>
      </c>
      <c r="K889">
        <v>5542.4114571</v>
      </c>
      <c r="L889">
        <v>7175.0597932999999</v>
      </c>
      <c r="M889">
        <v>9289.5235219499991</v>
      </c>
      <c r="N889" t="s">
        <v>988</v>
      </c>
    </row>
    <row r="890" spans="1:14" hidden="1" x14ac:dyDescent="0.3">
      <c r="A890">
        <v>561</v>
      </c>
      <c r="B890" t="s">
        <v>1397</v>
      </c>
      <c r="C890" t="s">
        <v>2670</v>
      </c>
      <c r="D890" t="s">
        <v>159</v>
      </c>
      <c r="E890" t="s">
        <v>159</v>
      </c>
      <c r="F890">
        <v>7857</v>
      </c>
      <c r="G890" t="s">
        <v>2676</v>
      </c>
      <c r="H890" t="s">
        <v>2665</v>
      </c>
      <c r="I890">
        <v>10072</v>
      </c>
      <c r="J890">
        <v>10347</v>
      </c>
      <c r="K890">
        <v>10572</v>
      </c>
      <c r="L890">
        <v>10970</v>
      </c>
      <c r="M890">
        <v>11352</v>
      </c>
      <c r="N890" t="s">
        <v>988</v>
      </c>
    </row>
    <row r="891" spans="1:14" hidden="1" x14ac:dyDescent="0.3">
      <c r="A891">
        <v>561</v>
      </c>
      <c r="B891" t="s">
        <v>1397</v>
      </c>
      <c r="C891" t="s">
        <v>2670</v>
      </c>
      <c r="D891" t="s">
        <v>159</v>
      </c>
      <c r="E891" t="s">
        <v>159</v>
      </c>
      <c r="F891">
        <v>7857</v>
      </c>
      <c r="G891" t="s">
        <v>2676</v>
      </c>
      <c r="H891" t="s">
        <v>2664</v>
      </c>
      <c r="I891">
        <v>10072</v>
      </c>
      <c r="J891">
        <v>10347</v>
      </c>
      <c r="K891">
        <v>10572</v>
      </c>
      <c r="L891">
        <v>10970</v>
      </c>
      <c r="M891">
        <v>11352</v>
      </c>
      <c r="N891" t="s">
        <v>988</v>
      </c>
    </row>
    <row r="892" spans="1:14" hidden="1" x14ac:dyDescent="0.3">
      <c r="A892">
        <v>561</v>
      </c>
      <c r="B892" t="s">
        <v>1397</v>
      </c>
      <c r="C892" t="s">
        <v>2670</v>
      </c>
      <c r="D892" t="s">
        <v>159</v>
      </c>
      <c r="E892" t="s">
        <v>159</v>
      </c>
      <c r="F892">
        <v>7857</v>
      </c>
      <c r="G892" t="s">
        <v>2672</v>
      </c>
      <c r="H892" t="s">
        <v>2665</v>
      </c>
      <c r="I892">
        <v>10072</v>
      </c>
      <c r="J892">
        <v>10347</v>
      </c>
      <c r="K892">
        <v>10572</v>
      </c>
      <c r="L892">
        <v>10970</v>
      </c>
      <c r="M892">
        <v>11352</v>
      </c>
      <c r="N892" t="s">
        <v>988</v>
      </c>
    </row>
    <row r="893" spans="1:14" hidden="1" x14ac:dyDescent="0.3">
      <c r="A893">
        <v>561</v>
      </c>
      <c r="B893" t="s">
        <v>1397</v>
      </c>
      <c r="C893" t="s">
        <v>2670</v>
      </c>
      <c r="D893" t="s">
        <v>159</v>
      </c>
      <c r="E893" t="s">
        <v>159</v>
      </c>
      <c r="F893">
        <v>7857</v>
      </c>
      <c r="G893" t="s">
        <v>2672</v>
      </c>
      <c r="H893" t="s">
        <v>2664</v>
      </c>
      <c r="I893">
        <v>10072</v>
      </c>
      <c r="J893">
        <v>10347</v>
      </c>
      <c r="K893">
        <v>10572</v>
      </c>
      <c r="L893">
        <v>10970</v>
      </c>
      <c r="M893">
        <v>11352</v>
      </c>
      <c r="N893" t="s">
        <v>988</v>
      </c>
    </row>
    <row r="894" spans="1:14" hidden="1" x14ac:dyDescent="0.3">
      <c r="A894">
        <v>561</v>
      </c>
      <c r="B894" t="s">
        <v>1397</v>
      </c>
      <c r="C894" t="s">
        <v>2670</v>
      </c>
      <c r="D894" t="s">
        <v>159</v>
      </c>
      <c r="E894" t="s">
        <v>159</v>
      </c>
      <c r="F894">
        <v>7857</v>
      </c>
      <c r="G894" t="s">
        <v>2671</v>
      </c>
      <c r="H894" t="s">
        <v>2665</v>
      </c>
      <c r="I894">
        <v>10072</v>
      </c>
      <c r="J894">
        <v>10347</v>
      </c>
      <c r="K894">
        <v>10572</v>
      </c>
      <c r="L894">
        <v>10970</v>
      </c>
      <c r="M894">
        <v>11352</v>
      </c>
      <c r="N894" t="s">
        <v>988</v>
      </c>
    </row>
    <row r="895" spans="1:14" hidden="1" x14ac:dyDescent="0.3">
      <c r="A895">
        <v>561</v>
      </c>
      <c r="B895" t="s">
        <v>1397</v>
      </c>
      <c r="C895" t="s">
        <v>2670</v>
      </c>
      <c r="D895" t="s">
        <v>159</v>
      </c>
      <c r="E895" t="s">
        <v>159</v>
      </c>
      <c r="F895">
        <v>7857</v>
      </c>
      <c r="G895" t="s">
        <v>2675</v>
      </c>
      <c r="H895" t="s">
        <v>2664</v>
      </c>
      <c r="I895">
        <v>10072</v>
      </c>
      <c r="J895">
        <v>10347</v>
      </c>
      <c r="K895">
        <v>10572</v>
      </c>
      <c r="L895">
        <v>10970</v>
      </c>
      <c r="M895">
        <v>11352</v>
      </c>
      <c r="N895" t="s">
        <v>988</v>
      </c>
    </row>
    <row r="896" spans="1:14" hidden="1" x14ac:dyDescent="0.3">
      <c r="A896">
        <v>561</v>
      </c>
      <c r="B896" t="s">
        <v>1397</v>
      </c>
      <c r="C896" t="s">
        <v>2670</v>
      </c>
      <c r="D896" t="s">
        <v>159</v>
      </c>
      <c r="E896" t="s">
        <v>159</v>
      </c>
      <c r="F896">
        <v>7857</v>
      </c>
      <c r="G896" t="s">
        <v>2673</v>
      </c>
      <c r="H896" t="s">
        <v>2665</v>
      </c>
      <c r="I896">
        <v>10072</v>
      </c>
      <c r="J896">
        <v>10347</v>
      </c>
      <c r="K896">
        <v>10572</v>
      </c>
      <c r="L896">
        <v>10970</v>
      </c>
      <c r="M896">
        <v>11352</v>
      </c>
      <c r="N896" t="s">
        <v>988</v>
      </c>
    </row>
    <row r="897" spans="1:14" hidden="1" x14ac:dyDescent="0.3">
      <c r="A897">
        <v>561</v>
      </c>
      <c r="B897" t="s">
        <v>1397</v>
      </c>
      <c r="C897" t="s">
        <v>2670</v>
      </c>
      <c r="D897" t="s">
        <v>159</v>
      </c>
      <c r="E897" t="s">
        <v>159</v>
      </c>
      <c r="F897">
        <v>7857</v>
      </c>
      <c r="G897" t="s">
        <v>2673</v>
      </c>
      <c r="H897" t="s">
        <v>2664</v>
      </c>
      <c r="I897">
        <v>10072</v>
      </c>
      <c r="J897">
        <v>10347</v>
      </c>
      <c r="K897">
        <v>10572</v>
      </c>
      <c r="L897">
        <v>10970</v>
      </c>
      <c r="M897">
        <v>11352</v>
      </c>
      <c r="N897" t="s">
        <v>988</v>
      </c>
    </row>
    <row r="898" spans="1:14" hidden="1" x14ac:dyDescent="0.3">
      <c r="A898">
        <v>561</v>
      </c>
      <c r="B898" t="s">
        <v>1397</v>
      </c>
      <c r="C898" t="s">
        <v>2670</v>
      </c>
      <c r="D898" t="s">
        <v>159</v>
      </c>
      <c r="E898" t="s">
        <v>159</v>
      </c>
      <c r="F898">
        <v>7857</v>
      </c>
      <c r="G898" t="s">
        <v>2674</v>
      </c>
      <c r="H898" t="s">
        <v>2665</v>
      </c>
      <c r="I898">
        <v>10072</v>
      </c>
      <c r="J898">
        <v>10347</v>
      </c>
      <c r="K898">
        <v>10572</v>
      </c>
      <c r="L898">
        <v>10970</v>
      </c>
      <c r="M898">
        <v>11352</v>
      </c>
      <c r="N898" t="s">
        <v>988</v>
      </c>
    </row>
    <row r="899" spans="1:14" hidden="1" x14ac:dyDescent="0.3">
      <c r="A899">
        <v>561</v>
      </c>
      <c r="B899" t="s">
        <v>1397</v>
      </c>
      <c r="C899" t="s">
        <v>2670</v>
      </c>
      <c r="D899" t="s">
        <v>159</v>
      </c>
      <c r="E899" t="s">
        <v>159</v>
      </c>
      <c r="F899">
        <v>7857</v>
      </c>
      <c r="G899" t="s">
        <v>2674</v>
      </c>
      <c r="H899" t="s">
        <v>2664</v>
      </c>
      <c r="I899">
        <v>10072</v>
      </c>
      <c r="J899">
        <v>10347</v>
      </c>
      <c r="K899">
        <v>10572</v>
      </c>
      <c r="L899">
        <v>10970</v>
      </c>
      <c r="M899">
        <v>11352</v>
      </c>
      <c r="N899" t="s">
        <v>988</v>
      </c>
    </row>
    <row r="900" spans="1:14" hidden="1" x14ac:dyDescent="0.3">
      <c r="A900">
        <v>561</v>
      </c>
      <c r="B900" t="s">
        <v>1397</v>
      </c>
      <c r="C900" t="s">
        <v>2670</v>
      </c>
      <c r="D900" t="s">
        <v>159</v>
      </c>
      <c r="E900" t="s">
        <v>159</v>
      </c>
      <c r="F900">
        <v>7857</v>
      </c>
      <c r="G900" t="s">
        <v>2675</v>
      </c>
      <c r="H900" t="s">
        <v>2665</v>
      </c>
      <c r="I900">
        <v>10072</v>
      </c>
      <c r="J900">
        <v>10347</v>
      </c>
      <c r="K900">
        <v>10572</v>
      </c>
      <c r="L900">
        <v>10970</v>
      </c>
      <c r="M900">
        <v>11352</v>
      </c>
      <c r="N900" t="s">
        <v>988</v>
      </c>
    </row>
    <row r="901" spans="1:14" hidden="1" x14ac:dyDescent="0.3">
      <c r="A901">
        <v>561</v>
      </c>
      <c r="B901" t="s">
        <v>1397</v>
      </c>
      <c r="C901" t="s">
        <v>2670</v>
      </c>
      <c r="D901" t="s">
        <v>159</v>
      </c>
      <c r="E901" t="s">
        <v>159</v>
      </c>
      <c r="F901">
        <v>7857</v>
      </c>
      <c r="G901" t="s">
        <v>2671</v>
      </c>
      <c r="H901" t="s">
        <v>2664</v>
      </c>
      <c r="I901">
        <v>10072</v>
      </c>
      <c r="J901">
        <v>10347</v>
      </c>
      <c r="K901">
        <v>10572</v>
      </c>
      <c r="L901">
        <v>10970</v>
      </c>
      <c r="M901">
        <v>11352</v>
      </c>
      <c r="N901" t="s">
        <v>988</v>
      </c>
    </row>
    <row r="902" spans="1:14" hidden="1" x14ac:dyDescent="0.3">
      <c r="A902">
        <v>572</v>
      </c>
      <c r="B902" t="s">
        <v>1399</v>
      </c>
      <c r="C902" t="s">
        <v>2670</v>
      </c>
      <c r="D902" t="s">
        <v>159</v>
      </c>
      <c r="E902" t="s">
        <v>159</v>
      </c>
      <c r="F902">
        <v>7827</v>
      </c>
      <c r="G902" t="s">
        <v>2676</v>
      </c>
      <c r="H902" t="s">
        <v>2664</v>
      </c>
      <c r="I902">
        <v>1519.09948575</v>
      </c>
      <c r="J902">
        <v>1611.1661212500001</v>
      </c>
      <c r="K902">
        <v>1626.5105605000001</v>
      </c>
      <c r="L902">
        <v>1663.3372147</v>
      </c>
      <c r="N902" t="s">
        <v>988</v>
      </c>
    </row>
    <row r="903" spans="1:14" hidden="1" x14ac:dyDescent="0.3">
      <c r="A903">
        <v>572</v>
      </c>
      <c r="B903" t="s">
        <v>1399</v>
      </c>
      <c r="C903" t="s">
        <v>2670</v>
      </c>
      <c r="D903" t="s">
        <v>159</v>
      </c>
      <c r="E903" t="s">
        <v>159</v>
      </c>
      <c r="F903">
        <v>7827</v>
      </c>
      <c r="G903" t="s">
        <v>2672</v>
      </c>
      <c r="H903" t="s">
        <v>2665</v>
      </c>
      <c r="N903" t="s">
        <v>988</v>
      </c>
    </row>
    <row r="904" spans="1:14" hidden="1" x14ac:dyDescent="0.3">
      <c r="A904">
        <v>572</v>
      </c>
      <c r="B904" t="s">
        <v>1399</v>
      </c>
      <c r="C904" t="s">
        <v>2670</v>
      </c>
      <c r="D904" t="s">
        <v>159</v>
      </c>
      <c r="E904" t="s">
        <v>159</v>
      </c>
      <c r="F904">
        <v>7827</v>
      </c>
      <c r="G904" t="s">
        <v>2676</v>
      </c>
      <c r="H904" t="s">
        <v>2665</v>
      </c>
      <c r="I904">
        <v>1632.6483361999999</v>
      </c>
      <c r="J904">
        <v>1733.92163525</v>
      </c>
      <c r="K904">
        <v>1749.2660745000001</v>
      </c>
      <c r="L904">
        <v>1789.16161655</v>
      </c>
      <c r="N904" t="s">
        <v>988</v>
      </c>
    </row>
    <row r="905" spans="1:14" hidden="1" x14ac:dyDescent="0.3">
      <c r="A905">
        <v>572</v>
      </c>
      <c r="B905" t="s">
        <v>1399</v>
      </c>
      <c r="C905" t="s">
        <v>2670</v>
      </c>
      <c r="D905" t="s">
        <v>159</v>
      </c>
      <c r="E905" t="s">
        <v>159</v>
      </c>
      <c r="F905">
        <v>7827</v>
      </c>
      <c r="G905" t="s">
        <v>2675</v>
      </c>
      <c r="H905" t="s">
        <v>2664</v>
      </c>
      <c r="I905">
        <v>1476.1350558500001</v>
      </c>
      <c r="J905">
        <v>1568.2016913499999</v>
      </c>
      <c r="K905">
        <v>1580.47724275</v>
      </c>
      <c r="L905">
        <v>1617.3038969500001</v>
      </c>
      <c r="N905" t="s">
        <v>988</v>
      </c>
    </row>
    <row r="906" spans="1:14" hidden="1" x14ac:dyDescent="0.3">
      <c r="A906">
        <v>572</v>
      </c>
      <c r="B906" t="s">
        <v>1399</v>
      </c>
      <c r="C906" t="s">
        <v>2670</v>
      </c>
      <c r="D906" t="s">
        <v>159</v>
      </c>
      <c r="E906" t="s">
        <v>159</v>
      </c>
      <c r="F906">
        <v>7827</v>
      </c>
      <c r="G906" t="s">
        <v>2675</v>
      </c>
      <c r="H906" t="s">
        <v>2665</v>
      </c>
      <c r="I906">
        <v>1632.6483361999999</v>
      </c>
      <c r="J906">
        <v>1733.92163525</v>
      </c>
      <c r="K906">
        <v>1749.2660745000001</v>
      </c>
      <c r="L906">
        <v>1789.16161655</v>
      </c>
      <c r="N906" t="s">
        <v>988</v>
      </c>
    </row>
    <row r="907" spans="1:14" hidden="1" x14ac:dyDescent="0.3">
      <c r="A907">
        <v>572</v>
      </c>
      <c r="B907" t="s">
        <v>1399</v>
      </c>
      <c r="C907" t="s">
        <v>2670</v>
      </c>
      <c r="D907" t="s">
        <v>159</v>
      </c>
      <c r="E907" t="s">
        <v>159</v>
      </c>
      <c r="F907">
        <v>7827</v>
      </c>
      <c r="G907" t="s">
        <v>2674</v>
      </c>
      <c r="H907" t="s">
        <v>2664</v>
      </c>
      <c r="I907">
        <v>1463.85950445</v>
      </c>
      <c r="J907">
        <v>1552.8572521000001</v>
      </c>
      <c r="K907">
        <v>1565.1328034999999</v>
      </c>
      <c r="L907">
        <v>1601.9594577</v>
      </c>
      <c r="N907" t="s">
        <v>988</v>
      </c>
    </row>
    <row r="908" spans="1:14" hidden="1" x14ac:dyDescent="0.3">
      <c r="A908">
        <v>572</v>
      </c>
      <c r="B908" t="s">
        <v>1399</v>
      </c>
      <c r="C908" t="s">
        <v>2670</v>
      </c>
      <c r="D908" t="s">
        <v>159</v>
      </c>
      <c r="E908" t="s">
        <v>159</v>
      </c>
      <c r="F908">
        <v>7827</v>
      </c>
      <c r="G908" t="s">
        <v>2674</v>
      </c>
      <c r="H908" t="s">
        <v>2665</v>
      </c>
      <c r="I908">
        <v>1632.6483361999999</v>
      </c>
      <c r="J908">
        <v>1733.92163525</v>
      </c>
      <c r="K908">
        <v>1749.2660745000001</v>
      </c>
      <c r="L908">
        <v>1789.16161655</v>
      </c>
      <c r="N908" t="s">
        <v>988</v>
      </c>
    </row>
    <row r="909" spans="1:14" hidden="1" x14ac:dyDescent="0.3">
      <c r="A909">
        <v>572</v>
      </c>
      <c r="B909" t="s">
        <v>1399</v>
      </c>
      <c r="C909" t="s">
        <v>2670</v>
      </c>
      <c r="D909" t="s">
        <v>159</v>
      </c>
      <c r="E909" t="s">
        <v>159</v>
      </c>
      <c r="F909">
        <v>7827</v>
      </c>
      <c r="G909" t="s">
        <v>2673</v>
      </c>
      <c r="H909" t="s">
        <v>2664</v>
      </c>
      <c r="I909">
        <v>1463.85950445</v>
      </c>
      <c r="J909">
        <v>1552.8572521000001</v>
      </c>
      <c r="K909">
        <v>1565.1328034999999</v>
      </c>
      <c r="L909">
        <v>1601.9594577</v>
      </c>
      <c r="N909" t="s">
        <v>988</v>
      </c>
    </row>
    <row r="910" spans="1:14" hidden="1" x14ac:dyDescent="0.3">
      <c r="A910">
        <v>572</v>
      </c>
      <c r="B910" t="s">
        <v>1399</v>
      </c>
      <c r="C910" t="s">
        <v>2670</v>
      </c>
      <c r="D910" t="s">
        <v>159</v>
      </c>
      <c r="E910" t="s">
        <v>159</v>
      </c>
      <c r="F910">
        <v>7827</v>
      </c>
      <c r="G910" t="s">
        <v>2673</v>
      </c>
      <c r="H910" t="s">
        <v>2665</v>
      </c>
      <c r="I910">
        <v>1632.6483361999999</v>
      </c>
      <c r="J910">
        <v>1733.92163525</v>
      </c>
      <c r="K910">
        <v>1749.2660745000001</v>
      </c>
      <c r="L910">
        <v>1789.16161655</v>
      </c>
      <c r="N910" t="s">
        <v>988</v>
      </c>
    </row>
    <row r="911" spans="1:14" hidden="1" x14ac:dyDescent="0.3">
      <c r="A911">
        <v>572</v>
      </c>
      <c r="B911" t="s">
        <v>1399</v>
      </c>
      <c r="C911" t="s">
        <v>2670</v>
      </c>
      <c r="D911" t="s">
        <v>159</v>
      </c>
      <c r="E911" t="s">
        <v>159</v>
      </c>
      <c r="F911">
        <v>7827</v>
      </c>
      <c r="G911" t="s">
        <v>2671</v>
      </c>
      <c r="H911" t="s">
        <v>2664</v>
      </c>
      <c r="I911">
        <v>1463.85950445</v>
      </c>
      <c r="J911">
        <v>1552.8572521000001</v>
      </c>
      <c r="K911">
        <v>1565.1328034999999</v>
      </c>
      <c r="L911">
        <v>1601.9594577</v>
      </c>
      <c r="N911" t="s">
        <v>988</v>
      </c>
    </row>
    <row r="912" spans="1:14" hidden="1" x14ac:dyDescent="0.3">
      <c r="A912">
        <v>572</v>
      </c>
      <c r="B912" t="s">
        <v>1399</v>
      </c>
      <c r="C912" t="s">
        <v>2670</v>
      </c>
      <c r="D912" t="s">
        <v>159</v>
      </c>
      <c r="E912" t="s">
        <v>159</v>
      </c>
      <c r="F912">
        <v>7827</v>
      </c>
      <c r="G912" t="s">
        <v>2671</v>
      </c>
      <c r="H912" t="s">
        <v>2665</v>
      </c>
      <c r="I912">
        <v>1632.6483361999999</v>
      </c>
      <c r="J912">
        <v>1733.92163525</v>
      </c>
      <c r="K912">
        <v>1749.2660745000001</v>
      </c>
      <c r="L912">
        <v>1789.16161655</v>
      </c>
      <c r="N912" t="s">
        <v>988</v>
      </c>
    </row>
    <row r="913" spans="1:14" hidden="1" x14ac:dyDescent="0.3">
      <c r="A913">
        <v>572</v>
      </c>
      <c r="B913" t="s">
        <v>1399</v>
      </c>
      <c r="C913" t="s">
        <v>2670</v>
      </c>
      <c r="D913" t="s">
        <v>159</v>
      </c>
      <c r="E913" t="s">
        <v>159</v>
      </c>
      <c r="F913">
        <v>7827</v>
      </c>
      <c r="G913" t="s">
        <v>2672</v>
      </c>
      <c r="H913" t="s">
        <v>2664</v>
      </c>
      <c r="N913" t="s">
        <v>988</v>
      </c>
    </row>
    <row r="914" spans="1:14" hidden="1" x14ac:dyDescent="0.3">
      <c r="A914">
        <v>574</v>
      </c>
      <c r="B914" t="s">
        <v>1401</v>
      </c>
      <c r="C914" t="s">
        <v>2670</v>
      </c>
      <c r="D914" t="s">
        <v>1203</v>
      </c>
      <c r="E914" t="s">
        <v>1204</v>
      </c>
      <c r="F914">
        <v>5930</v>
      </c>
      <c r="G914" t="s">
        <v>2672</v>
      </c>
      <c r="H914" t="s">
        <v>2665</v>
      </c>
      <c r="N914" t="s">
        <v>988</v>
      </c>
    </row>
    <row r="915" spans="1:14" hidden="1" x14ac:dyDescent="0.3">
      <c r="A915">
        <v>574</v>
      </c>
      <c r="B915" t="s">
        <v>1401</v>
      </c>
      <c r="C915" t="s">
        <v>2670</v>
      </c>
      <c r="D915" t="s">
        <v>1203</v>
      </c>
      <c r="E915" t="s">
        <v>1204</v>
      </c>
      <c r="F915">
        <v>5930</v>
      </c>
      <c r="G915" t="s">
        <v>2676</v>
      </c>
      <c r="H915" t="s">
        <v>2665</v>
      </c>
      <c r="I915">
        <v>36489</v>
      </c>
      <c r="J915">
        <v>39422</v>
      </c>
      <c r="K915">
        <v>42840</v>
      </c>
      <c r="L915">
        <v>48707</v>
      </c>
      <c r="N915" t="s">
        <v>988</v>
      </c>
    </row>
    <row r="916" spans="1:14" hidden="1" x14ac:dyDescent="0.3">
      <c r="A916">
        <v>574</v>
      </c>
      <c r="B916" t="s">
        <v>1401</v>
      </c>
      <c r="C916" t="s">
        <v>2670</v>
      </c>
      <c r="D916" t="s">
        <v>1203</v>
      </c>
      <c r="E916" t="s">
        <v>1204</v>
      </c>
      <c r="F916">
        <v>5930</v>
      </c>
      <c r="G916" t="s">
        <v>2675</v>
      </c>
      <c r="H916" t="s">
        <v>2664</v>
      </c>
      <c r="I916">
        <v>45093</v>
      </c>
      <c r="J916">
        <v>52576</v>
      </c>
      <c r="K916">
        <v>57958</v>
      </c>
      <c r="L916">
        <v>66095</v>
      </c>
      <c r="N916" t="s">
        <v>988</v>
      </c>
    </row>
    <row r="917" spans="1:14" hidden="1" x14ac:dyDescent="0.3">
      <c r="A917">
        <v>574</v>
      </c>
      <c r="B917" t="s">
        <v>1401</v>
      </c>
      <c r="C917" t="s">
        <v>2670</v>
      </c>
      <c r="D917" t="s">
        <v>1203</v>
      </c>
      <c r="E917" t="s">
        <v>1204</v>
      </c>
      <c r="F917">
        <v>5930</v>
      </c>
      <c r="G917" t="s">
        <v>2675</v>
      </c>
      <c r="H917" t="s">
        <v>2665</v>
      </c>
      <c r="I917">
        <v>34183</v>
      </c>
      <c r="J917">
        <v>36962</v>
      </c>
      <c r="K917">
        <v>40200</v>
      </c>
      <c r="L917">
        <v>45758</v>
      </c>
      <c r="N917" t="s">
        <v>988</v>
      </c>
    </row>
    <row r="918" spans="1:14" hidden="1" x14ac:dyDescent="0.3">
      <c r="A918">
        <v>574</v>
      </c>
      <c r="B918" t="s">
        <v>1401</v>
      </c>
      <c r="C918" t="s">
        <v>2670</v>
      </c>
      <c r="D918" t="s">
        <v>1203</v>
      </c>
      <c r="E918" t="s">
        <v>1204</v>
      </c>
      <c r="F918">
        <v>5930</v>
      </c>
      <c r="G918" t="s">
        <v>2674</v>
      </c>
      <c r="H918" t="s">
        <v>2664</v>
      </c>
      <c r="I918">
        <v>41895</v>
      </c>
      <c r="J918">
        <v>48310</v>
      </c>
      <c r="K918">
        <v>52625</v>
      </c>
      <c r="L918">
        <v>59717</v>
      </c>
      <c r="N918" t="s">
        <v>988</v>
      </c>
    </row>
    <row r="919" spans="1:14" hidden="1" x14ac:dyDescent="0.3">
      <c r="A919">
        <v>574</v>
      </c>
      <c r="B919" t="s">
        <v>1401</v>
      </c>
      <c r="C919" t="s">
        <v>2670</v>
      </c>
      <c r="D919" t="s">
        <v>1203</v>
      </c>
      <c r="E919" t="s">
        <v>1204</v>
      </c>
      <c r="F919">
        <v>5930</v>
      </c>
      <c r="G919" t="s">
        <v>2676</v>
      </c>
      <c r="H919" t="s">
        <v>2664</v>
      </c>
      <c r="I919">
        <v>46783</v>
      </c>
      <c r="J919">
        <v>54607</v>
      </c>
      <c r="K919">
        <v>60330</v>
      </c>
      <c r="L919">
        <v>68999</v>
      </c>
      <c r="N919" t="s">
        <v>988</v>
      </c>
    </row>
    <row r="920" spans="1:14" hidden="1" x14ac:dyDescent="0.3">
      <c r="A920">
        <v>574</v>
      </c>
      <c r="B920" t="s">
        <v>1401</v>
      </c>
      <c r="C920" t="s">
        <v>2670</v>
      </c>
      <c r="D920" t="s">
        <v>1203</v>
      </c>
      <c r="E920" t="s">
        <v>1204</v>
      </c>
      <c r="F920">
        <v>5930</v>
      </c>
      <c r="G920" t="s">
        <v>2673</v>
      </c>
      <c r="H920" t="s">
        <v>2664</v>
      </c>
      <c r="I920">
        <v>37838</v>
      </c>
      <c r="J920">
        <v>43586</v>
      </c>
      <c r="K920">
        <v>47233</v>
      </c>
      <c r="L920">
        <v>53109</v>
      </c>
      <c r="N920" t="s">
        <v>988</v>
      </c>
    </row>
    <row r="921" spans="1:14" hidden="1" x14ac:dyDescent="0.3">
      <c r="A921">
        <v>574</v>
      </c>
      <c r="B921" t="s">
        <v>1401</v>
      </c>
      <c r="C921" t="s">
        <v>2670</v>
      </c>
      <c r="D921" t="s">
        <v>1203</v>
      </c>
      <c r="E921" t="s">
        <v>1204</v>
      </c>
      <c r="F921">
        <v>5930</v>
      </c>
      <c r="G921" t="s">
        <v>2673</v>
      </c>
      <c r="H921" t="s">
        <v>2665</v>
      </c>
      <c r="I921">
        <v>28004</v>
      </c>
      <c r="J921">
        <v>30474</v>
      </c>
      <c r="K921">
        <v>33353</v>
      </c>
      <c r="L921">
        <v>38293</v>
      </c>
      <c r="N921" t="s">
        <v>988</v>
      </c>
    </row>
    <row r="922" spans="1:14" hidden="1" x14ac:dyDescent="0.3">
      <c r="A922">
        <v>574</v>
      </c>
      <c r="B922" t="s">
        <v>1401</v>
      </c>
      <c r="C922" t="s">
        <v>2670</v>
      </c>
      <c r="D922" t="s">
        <v>1203</v>
      </c>
      <c r="E922" t="s">
        <v>1204</v>
      </c>
      <c r="F922">
        <v>5930</v>
      </c>
      <c r="G922" t="s">
        <v>2671</v>
      </c>
      <c r="H922" t="s">
        <v>2664</v>
      </c>
      <c r="I922">
        <v>49743</v>
      </c>
      <c r="J922">
        <v>57992</v>
      </c>
      <c r="K922">
        <v>64140</v>
      </c>
      <c r="L922">
        <v>73716</v>
      </c>
      <c r="N922" t="s">
        <v>988</v>
      </c>
    </row>
    <row r="923" spans="1:14" hidden="1" x14ac:dyDescent="0.3">
      <c r="A923">
        <v>574</v>
      </c>
      <c r="B923" t="s">
        <v>1401</v>
      </c>
      <c r="C923" t="s">
        <v>2670</v>
      </c>
      <c r="D923" t="s">
        <v>1203</v>
      </c>
      <c r="E923" t="s">
        <v>1204</v>
      </c>
      <c r="F923">
        <v>5930</v>
      </c>
      <c r="G923" t="s">
        <v>2671</v>
      </c>
      <c r="H923" t="s">
        <v>2665</v>
      </c>
      <c r="I923">
        <v>37825</v>
      </c>
      <c r="J923">
        <v>40757</v>
      </c>
      <c r="K923">
        <v>44176</v>
      </c>
      <c r="L923">
        <v>50043</v>
      </c>
      <c r="N923" t="s">
        <v>988</v>
      </c>
    </row>
    <row r="924" spans="1:14" hidden="1" x14ac:dyDescent="0.3">
      <c r="A924">
        <v>574</v>
      </c>
      <c r="B924" t="s">
        <v>1401</v>
      </c>
      <c r="C924" t="s">
        <v>2670</v>
      </c>
      <c r="D924" t="s">
        <v>1203</v>
      </c>
      <c r="E924" t="s">
        <v>1204</v>
      </c>
      <c r="F924">
        <v>5930</v>
      </c>
      <c r="G924" t="s">
        <v>2672</v>
      </c>
      <c r="H924" t="s">
        <v>2664</v>
      </c>
      <c r="N924" t="s">
        <v>988</v>
      </c>
    </row>
    <row r="925" spans="1:14" hidden="1" x14ac:dyDescent="0.3">
      <c r="A925">
        <v>574</v>
      </c>
      <c r="B925" t="s">
        <v>1401</v>
      </c>
      <c r="C925" t="s">
        <v>2670</v>
      </c>
      <c r="D925" t="s">
        <v>1203</v>
      </c>
      <c r="E925" t="s">
        <v>1204</v>
      </c>
      <c r="F925">
        <v>5930</v>
      </c>
      <c r="G925" t="s">
        <v>2674</v>
      </c>
      <c r="H925" t="s">
        <v>2665</v>
      </c>
      <c r="I925">
        <v>31345</v>
      </c>
      <c r="J925">
        <v>33969</v>
      </c>
      <c r="K925">
        <v>37028</v>
      </c>
      <c r="L925">
        <v>42277</v>
      </c>
      <c r="N925" t="s">
        <v>988</v>
      </c>
    </row>
    <row r="926" spans="1:14" hidden="1" x14ac:dyDescent="0.3">
      <c r="A926">
        <v>575</v>
      </c>
      <c r="B926" t="s">
        <v>1403</v>
      </c>
      <c r="C926" t="s">
        <v>2670</v>
      </c>
      <c r="D926" t="s">
        <v>1203</v>
      </c>
      <c r="E926" t="s">
        <v>1204</v>
      </c>
      <c r="F926">
        <v>5460</v>
      </c>
      <c r="G926" t="s">
        <v>2675</v>
      </c>
      <c r="H926" t="s">
        <v>2664</v>
      </c>
      <c r="I926">
        <v>10869</v>
      </c>
      <c r="J926">
        <v>12819</v>
      </c>
      <c r="K926">
        <v>14731</v>
      </c>
      <c r="L926">
        <v>16819</v>
      </c>
      <c r="M926">
        <v>18746</v>
      </c>
      <c r="N926" t="s">
        <v>988</v>
      </c>
    </row>
    <row r="927" spans="1:14" hidden="1" x14ac:dyDescent="0.3">
      <c r="A927">
        <v>575</v>
      </c>
      <c r="B927" t="s">
        <v>1403</v>
      </c>
      <c r="C927" t="s">
        <v>2670</v>
      </c>
      <c r="D927" t="s">
        <v>1203</v>
      </c>
      <c r="E927" t="s">
        <v>1204</v>
      </c>
      <c r="F927">
        <v>5460</v>
      </c>
      <c r="G927" t="s">
        <v>2676</v>
      </c>
      <c r="H927" t="s">
        <v>2665</v>
      </c>
      <c r="I927">
        <v>10869</v>
      </c>
      <c r="J927">
        <v>12819</v>
      </c>
      <c r="K927">
        <v>14731</v>
      </c>
      <c r="L927">
        <v>16819</v>
      </c>
      <c r="M927">
        <v>18746</v>
      </c>
      <c r="N927" t="s">
        <v>988</v>
      </c>
    </row>
    <row r="928" spans="1:14" hidden="1" x14ac:dyDescent="0.3">
      <c r="A928">
        <v>575</v>
      </c>
      <c r="B928" t="s">
        <v>1403</v>
      </c>
      <c r="C928" t="s">
        <v>2670</v>
      </c>
      <c r="D928" t="s">
        <v>1203</v>
      </c>
      <c r="E928" t="s">
        <v>1204</v>
      </c>
      <c r="F928">
        <v>5460</v>
      </c>
      <c r="G928" t="s">
        <v>2676</v>
      </c>
      <c r="H928" t="s">
        <v>2664</v>
      </c>
      <c r="I928">
        <v>10869</v>
      </c>
      <c r="J928">
        <v>12819</v>
      </c>
      <c r="K928">
        <v>14731</v>
      </c>
      <c r="L928">
        <v>16819</v>
      </c>
      <c r="M928">
        <v>18746</v>
      </c>
      <c r="N928" t="s">
        <v>988</v>
      </c>
    </row>
    <row r="929" spans="1:14" hidden="1" x14ac:dyDescent="0.3">
      <c r="A929">
        <v>575</v>
      </c>
      <c r="B929" t="s">
        <v>1403</v>
      </c>
      <c r="C929" t="s">
        <v>2670</v>
      </c>
      <c r="D929" t="s">
        <v>1203</v>
      </c>
      <c r="E929" t="s">
        <v>1204</v>
      </c>
      <c r="F929">
        <v>5460</v>
      </c>
      <c r="G929" t="s">
        <v>2674</v>
      </c>
      <c r="H929" t="s">
        <v>2664</v>
      </c>
      <c r="I929">
        <v>10869</v>
      </c>
      <c r="J929">
        <v>12819</v>
      </c>
      <c r="K929">
        <v>14731</v>
      </c>
      <c r="L929">
        <v>16819</v>
      </c>
      <c r="M929">
        <v>18746</v>
      </c>
      <c r="N929" t="s">
        <v>988</v>
      </c>
    </row>
    <row r="930" spans="1:14" hidden="1" x14ac:dyDescent="0.3">
      <c r="A930">
        <v>575</v>
      </c>
      <c r="B930" t="s">
        <v>1403</v>
      </c>
      <c r="C930" t="s">
        <v>2670</v>
      </c>
      <c r="D930" t="s">
        <v>1203</v>
      </c>
      <c r="E930" t="s">
        <v>1204</v>
      </c>
      <c r="F930">
        <v>5460</v>
      </c>
      <c r="G930" t="s">
        <v>2674</v>
      </c>
      <c r="H930" t="s">
        <v>2665</v>
      </c>
      <c r="I930">
        <v>10869</v>
      </c>
      <c r="J930">
        <v>12819</v>
      </c>
      <c r="K930">
        <v>14731</v>
      </c>
      <c r="L930">
        <v>16819</v>
      </c>
      <c r="M930">
        <v>18746</v>
      </c>
      <c r="N930" t="s">
        <v>988</v>
      </c>
    </row>
    <row r="931" spans="1:14" hidden="1" x14ac:dyDescent="0.3">
      <c r="A931">
        <v>575</v>
      </c>
      <c r="B931" t="s">
        <v>1403</v>
      </c>
      <c r="C931" t="s">
        <v>2670</v>
      </c>
      <c r="D931" t="s">
        <v>1203</v>
      </c>
      <c r="E931" t="s">
        <v>1204</v>
      </c>
      <c r="F931">
        <v>5460</v>
      </c>
      <c r="G931" t="s">
        <v>2675</v>
      </c>
      <c r="H931" t="s">
        <v>2665</v>
      </c>
      <c r="I931">
        <v>10869</v>
      </c>
      <c r="J931">
        <v>12819</v>
      </c>
      <c r="K931">
        <v>14731</v>
      </c>
      <c r="L931">
        <v>16819</v>
      </c>
      <c r="M931">
        <v>18746</v>
      </c>
      <c r="N931" t="s">
        <v>988</v>
      </c>
    </row>
    <row r="932" spans="1:14" hidden="1" x14ac:dyDescent="0.3">
      <c r="A932">
        <v>575</v>
      </c>
      <c r="B932" t="s">
        <v>1403</v>
      </c>
      <c r="C932" t="s">
        <v>2670</v>
      </c>
      <c r="D932" t="s">
        <v>1203</v>
      </c>
      <c r="E932" t="s">
        <v>1204</v>
      </c>
      <c r="F932">
        <v>5460</v>
      </c>
      <c r="G932" t="s">
        <v>2673</v>
      </c>
      <c r="H932" t="s">
        <v>2665</v>
      </c>
      <c r="I932">
        <v>10869</v>
      </c>
      <c r="J932">
        <v>12819</v>
      </c>
      <c r="K932">
        <v>14731</v>
      </c>
      <c r="L932">
        <v>16819</v>
      </c>
      <c r="M932">
        <v>18746</v>
      </c>
      <c r="N932" t="s">
        <v>988</v>
      </c>
    </row>
    <row r="933" spans="1:14" hidden="1" x14ac:dyDescent="0.3">
      <c r="A933">
        <v>575</v>
      </c>
      <c r="B933" t="s">
        <v>1403</v>
      </c>
      <c r="C933" t="s">
        <v>2670</v>
      </c>
      <c r="D933" t="s">
        <v>1203</v>
      </c>
      <c r="E933" t="s">
        <v>1204</v>
      </c>
      <c r="F933">
        <v>5460</v>
      </c>
      <c r="G933" t="s">
        <v>2671</v>
      </c>
      <c r="H933" t="s">
        <v>2664</v>
      </c>
      <c r="I933">
        <v>10869</v>
      </c>
      <c r="J933">
        <v>12819</v>
      </c>
      <c r="K933">
        <v>14731</v>
      </c>
      <c r="L933">
        <v>16819</v>
      </c>
      <c r="M933">
        <v>18746</v>
      </c>
      <c r="N933" t="s">
        <v>988</v>
      </c>
    </row>
    <row r="934" spans="1:14" hidden="1" x14ac:dyDescent="0.3">
      <c r="A934">
        <v>575</v>
      </c>
      <c r="B934" t="s">
        <v>1403</v>
      </c>
      <c r="C934" t="s">
        <v>2670</v>
      </c>
      <c r="D934" t="s">
        <v>1203</v>
      </c>
      <c r="E934" t="s">
        <v>1204</v>
      </c>
      <c r="F934">
        <v>5460</v>
      </c>
      <c r="G934" t="s">
        <v>2671</v>
      </c>
      <c r="H934" t="s">
        <v>2665</v>
      </c>
      <c r="I934">
        <v>10869</v>
      </c>
      <c r="J934">
        <v>12819</v>
      </c>
      <c r="K934">
        <v>14731</v>
      </c>
      <c r="L934">
        <v>16819</v>
      </c>
      <c r="M934">
        <v>18746</v>
      </c>
      <c r="N934" t="s">
        <v>988</v>
      </c>
    </row>
    <row r="935" spans="1:14" hidden="1" x14ac:dyDescent="0.3">
      <c r="A935">
        <v>575</v>
      </c>
      <c r="B935" t="s">
        <v>1403</v>
      </c>
      <c r="C935" t="s">
        <v>2670</v>
      </c>
      <c r="D935" t="s">
        <v>1203</v>
      </c>
      <c r="E935" t="s">
        <v>1204</v>
      </c>
      <c r="F935">
        <v>5460</v>
      </c>
      <c r="G935" t="s">
        <v>2672</v>
      </c>
      <c r="H935" t="s">
        <v>2664</v>
      </c>
      <c r="N935" t="s">
        <v>988</v>
      </c>
    </row>
    <row r="936" spans="1:14" hidden="1" x14ac:dyDescent="0.3">
      <c r="A936">
        <v>575</v>
      </c>
      <c r="B936" t="s">
        <v>1403</v>
      </c>
      <c r="C936" t="s">
        <v>2670</v>
      </c>
      <c r="D936" t="s">
        <v>1203</v>
      </c>
      <c r="E936" t="s">
        <v>1204</v>
      </c>
      <c r="F936">
        <v>5460</v>
      </c>
      <c r="G936" t="s">
        <v>2672</v>
      </c>
      <c r="H936" t="s">
        <v>2665</v>
      </c>
      <c r="N936" t="s">
        <v>988</v>
      </c>
    </row>
    <row r="937" spans="1:14" hidden="1" x14ac:dyDescent="0.3">
      <c r="A937">
        <v>575</v>
      </c>
      <c r="B937" t="s">
        <v>1403</v>
      </c>
      <c r="C937" t="s">
        <v>2670</v>
      </c>
      <c r="D937" t="s">
        <v>1203</v>
      </c>
      <c r="E937" t="s">
        <v>1204</v>
      </c>
      <c r="F937">
        <v>5460</v>
      </c>
      <c r="G937" t="s">
        <v>2673</v>
      </c>
      <c r="H937" t="s">
        <v>2664</v>
      </c>
      <c r="I937">
        <v>10869</v>
      </c>
      <c r="J937">
        <v>12819</v>
      </c>
      <c r="K937">
        <v>14731</v>
      </c>
      <c r="L937">
        <v>16819</v>
      </c>
      <c r="M937">
        <v>18746</v>
      </c>
      <c r="N937" t="s">
        <v>988</v>
      </c>
    </row>
    <row r="938" spans="1:14" hidden="1" x14ac:dyDescent="0.3">
      <c r="A938">
        <v>577</v>
      </c>
      <c r="B938" t="s">
        <v>821</v>
      </c>
      <c r="C938" t="s">
        <v>2670</v>
      </c>
      <c r="D938" t="s">
        <v>1203</v>
      </c>
      <c r="E938" t="s">
        <v>1204</v>
      </c>
      <c r="F938">
        <v>7785</v>
      </c>
      <c r="G938" t="s">
        <v>2675</v>
      </c>
      <c r="H938" t="s">
        <v>2664</v>
      </c>
      <c r="I938">
        <v>137061</v>
      </c>
      <c r="J938">
        <v>144982</v>
      </c>
      <c r="K938">
        <v>152729</v>
      </c>
      <c r="L938">
        <v>158981</v>
      </c>
      <c r="M938">
        <v>164966</v>
      </c>
      <c r="N938" t="s">
        <v>988</v>
      </c>
    </row>
    <row r="939" spans="1:14" hidden="1" x14ac:dyDescent="0.3">
      <c r="A939">
        <v>577</v>
      </c>
      <c r="B939" t="s">
        <v>821</v>
      </c>
      <c r="C939" t="s">
        <v>2670</v>
      </c>
      <c r="D939" t="s">
        <v>1203</v>
      </c>
      <c r="E939" t="s">
        <v>1204</v>
      </c>
      <c r="F939">
        <v>7785</v>
      </c>
      <c r="G939" t="s">
        <v>2675</v>
      </c>
      <c r="H939" t="s">
        <v>2665</v>
      </c>
      <c r="I939">
        <v>137061</v>
      </c>
      <c r="J939">
        <v>144982</v>
      </c>
      <c r="K939">
        <v>152729</v>
      </c>
      <c r="L939">
        <v>158981</v>
      </c>
      <c r="M939">
        <v>164966</v>
      </c>
      <c r="N939" t="s">
        <v>988</v>
      </c>
    </row>
    <row r="940" spans="1:14" hidden="1" x14ac:dyDescent="0.3">
      <c r="A940">
        <v>577</v>
      </c>
      <c r="B940" t="s">
        <v>821</v>
      </c>
      <c r="C940" t="s">
        <v>2670</v>
      </c>
      <c r="D940" t="s">
        <v>1203</v>
      </c>
      <c r="E940" t="s">
        <v>1204</v>
      </c>
      <c r="F940">
        <v>7785</v>
      </c>
      <c r="G940" t="s">
        <v>2674</v>
      </c>
      <c r="H940" t="s">
        <v>2664</v>
      </c>
      <c r="I940">
        <v>137061</v>
      </c>
      <c r="J940">
        <v>144982</v>
      </c>
      <c r="K940">
        <v>152729</v>
      </c>
      <c r="L940">
        <v>158981</v>
      </c>
      <c r="M940">
        <v>164966</v>
      </c>
      <c r="N940" t="s">
        <v>988</v>
      </c>
    </row>
    <row r="941" spans="1:14" hidden="1" x14ac:dyDescent="0.3">
      <c r="A941">
        <v>577</v>
      </c>
      <c r="B941" t="s">
        <v>821</v>
      </c>
      <c r="C941" t="s">
        <v>2670</v>
      </c>
      <c r="D941" t="s">
        <v>1203</v>
      </c>
      <c r="E941" t="s">
        <v>1204</v>
      </c>
      <c r="F941">
        <v>7785</v>
      </c>
      <c r="G941" t="s">
        <v>2676</v>
      </c>
      <c r="H941" t="s">
        <v>2665</v>
      </c>
      <c r="I941">
        <v>137061</v>
      </c>
      <c r="J941">
        <v>144982</v>
      </c>
      <c r="K941">
        <v>152729</v>
      </c>
      <c r="L941">
        <v>158981</v>
      </c>
      <c r="M941">
        <v>164966</v>
      </c>
      <c r="N941" t="s">
        <v>988</v>
      </c>
    </row>
    <row r="942" spans="1:14" hidden="1" x14ac:dyDescent="0.3">
      <c r="A942">
        <v>577</v>
      </c>
      <c r="B942" t="s">
        <v>821</v>
      </c>
      <c r="C942" t="s">
        <v>2670</v>
      </c>
      <c r="D942" t="s">
        <v>1203</v>
      </c>
      <c r="E942" t="s">
        <v>1204</v>
      </c>
      <c r="F942">
        <v>7785</v>
      </c>
      <c r="G942" t="s">
        <v>2672</v>
      </c>
      <c r="H942" t="s">
        <v>2665</v>
      </c>
      <c r="N942" t="s">
        <v>988</v>
      </c>
    </row>
    <row r="943" spans="1:14" hidden="1" x14ac:dyDescent="0.3">
      <c r="A943">
        <v>577</v>
      </c>
      <c r="B943" t="s">
        <v>821</v>
      </c>
      <c r="C943" t="s">
        <v>2670</v>
      </c>
      <c r="D943" t="s">
        <v>1203</v>
      </c>
      <c r="E943" t="s">
        <v>1204</v>
      </c>
      <c r="F943">
        <v>7785</v>
      </c>
      <c r="G943" t="s">
        <v>2672</v>
      </c>
      <c r="H943" t="s">
        <v>2664</v>
      </c>
      <c r="N943" t="s">
        <v>988</v>
      </c>
    </row>
    <row r="944" spans="1:14" hidden="1" x14ac:dyDescent="0.3">
      <c r="A944">
        <v>577</v>
      </c>
      <c r="B944" t="s">
        <v>821</v>
      </c>
      <c r="C944" t="s">
        <v>2670</v>
      </c>
      <c r="D944" t="s">
        <v>1203</v>
      </c>
      <c r="E944" t="s">
        <v>1204</v>
      </c>
      <c r="F944">
        <v>7785</v>
      </c>
      <c r="G944" t="s">
        <v>2671</v>
      </c>
      <c r="H944" t="s">
        <v>2665</v>
      </c>
      <c r="I944">
        <v>137061</v>
      </c>
      <c r="J944">
        <v>144982</v>
      </c>
      <c r="K944">
        <v>152729</v>
      </c>
      <c r="L944">
        <v>158981</v>
      </c>
      <c r="M944">
        <v>164966</v>
      </c>
      <c r="N944" t="s">
        <v>988</v>
      </c>
    </row>
    <row r="945" spans="1:14" hidden="1" x14ac:dyDescent="0.3">
      <c r="A945">
        <v>577</v>
      </c>
      <c r="B945" t="s">
        <v>821</v>
      </c>
      <c r="C945" t="s">
        <v>2670</v>
      </c>
      <c r="D945" t="s">
        <v>1203</v>
      </c>
      <c r="E945" t="s">
        <v>1204</v>
      </c>
      <c r="F945">
        <v>7785</v>
      </c>
      <c r="G945" t="s">
        <v>2671</v>
      </c>
      <c r="H945" t="s">
        <v>2664</v>
      </c>
      <c r="I945">
        <v>137061</v>
      </c>
      <c r="J945">
        <v>144982</v>
      </c>
      <c r="K945">
        <v>152729</v>
      </c>
      <c r="L945">
        <v>158981</v>
      </c>
      <c r="M945">
        <v>164966</v>
      </c>
      <c r="N945" t="s">
        <v>988</v>
      </c>
    </row>
    <row r="946" spans="1:14" hidden="1" x14ac:dyDescent="0.3">
      <c r="A946">
        <v>577</v>
      </c>
      <c r="B946" t="s">
        <v>821</v>
      </c>
      <c r="C946" t="s">
        <v>2670</v>
      </c>
      <c r="D946" t="s">
        <v>1203</v>
      </c>
      <c r="E946" t="s">
        <v>1204</v>
      </c>
      <c r="F946">
        <v>7785</v>
      </c>
      <c r="G946" t="s">
        <v>2673</v>
      </c>
      <c r="H946" t="s">
        <v>2665</v>
      </c>
      <c r="I946">
        <v>137061</v>
      </c>
      <c r="J946">
        <v>144982</v>
      </c>
      <c r="K946">
        <v>152729</v>
      </c>
      <c r="L946">
        <v>158981</v>
      </c>
      <c r="M946">
        <v>164966</v>
      </c>
      <c r="N946" t="s">
        <v>988</v>
      </c>
    </row>
    <row r="947" spans="1:14" hidden="1" x14ac:dyDescent="0.3">
      <c r="A947">
        <v>577</v>
      </c>
      <c r="B947" t="s">
        <v>821</v>
      </c>
      <c r="C947" t="s">
        <v>2670</v>
      </c>
      <c r="D947" t="s">
        <v>1203</v>
      </c>
      <c r="E947" t="s">
        <v>1204</v>
      </c>
      <c r="F947">
        <v>7785</v>
      </c>
      <c r="G947" t="s">
        <v>2673</v>
      </c>
      <c r="H947" t="s">
        <v>2664</v>
      </c>
      <c r="I947">
        <v>137061</v>
      </c>
      <c r="J947">
        <v>144982</v>
      </c>
      <c r="K947">
        <v>152729</v>
      </c>
      <c r="L947">
        <v>158981</v>
      </c>
      <c r="M947">
        <v>164966</v>
      </c>
      <c r="N947" t="s">
        <v>988</v>
      </c>
    </row>
    <row r="948" spans="1:14" hidden="1" x14ac:dyDescent="0.3">
      <c r="A948">
        <v>577</v>
      </c>
      <c r="B948" t="s">
        <v>821</v>
      </c>
      <c r="C948" t="s">
        <v>2670</v>
      </c>
      <c r="D948" t="s">
        <v>1203</v>
      </c>
      <c r="E948" t="s">
        <v>1204</v>
      </c>
      <c r="F948">
        <v>7785</v>
      </c>
      <c r="G948" t="s">
        <v>2674</v>
      </c>
      <c r="H948" t="s">
        <v>2665</v>
      </c>
      <c r="I948">
        <v>137061</v>
      </c>
      <c r="J948">
        <v>144982</v>
      </c>
      <c r="K948">
        <v>152729</v>
      </c>
      <c r="L948">
        <v>158981</v>
      </c>
      <c r="M948">
        <v>164966</v>
      </c>
      <c r="N948" t="s">
        <v>988</v>
      </c>
    </row>
    <row r="949" spans="1:14" hidden="1" x14ac:dyDescent="0.3">
      <c r="A949">
        <v>577</v>
      </c>
      <c r="B949" t="s">
        <v>821</v>
      </c>
      <c r="C949" t="s">
        <v>2670</v>
      </c>
      <c r="D949" t="s">
        <v>1203</v>
      </c>
      <c r="E949" t="s">
        <v>1204</v>
      </c>
      <c r="F949">
        <v>7785</v>
      </c>
      <c r="G949" t="s">
        <v>2676</v>
      </c>
      <c r="H949" t="s">
        <v>2664</v>
      </c>
      <c r="I949">
        <v>137061</v>
      </c>
      <c r="J949">
        <v>144982</v>
      </c>
      <c r="K949">
        <v>152729</v>
      </c>
      <c r="L949">
        <v>158981</v>
      </c>
      <c r="M949">
        <v>164966</v>
      </c>
      <c r="N949" t="s">
        <v>988</v>
      </c>
    </row>
    <row r="950" spans="1:14" hidden="1" x14ac:dyDescent="0.3">
      <c r="A950">
        <v>578</v>
      </c>
      <c r="B950" t="s">
        <v>896</v>
      </c>
      <c r="C950" t="s">
        <v>2670</v>
      </c>
      <c r="D950" t="s">
        <v>1203</v>
      </c>
      <c r="E950" t="s">
        <v>1204</v>
      </c>
      <c r="F950">
        <v>7652</v>
      </c>
      <c r="G950" t="s">
        <v>2676</v>
      </c>
      <c r="H950" t="s">
        <v>2665</v>
      </c>
      <c r="I950">
        <v>4627.8828777999997</v>
      </c>
      <c r="J950">
        <v>5253.9359992</v>
      </c>
      <c r="K950">
        <v>5968.98686825</v>
      </c>
      <c r="L950">
        <v>6773.03548495</v>
      </c>
      <c r="N950" t="s">
        <v>988</v>
      </c>
    </row>
    <row r="951" spans="1:14" hidden="1" x14ac:dyDescent="0.3">
      <c r="A951">
        <v>578</v>
      </c>
      <c r="B951" t="s">
        <v>896</v>
      </c>
      <c r="C951" t="s">
        <v>2670</v>
      </c>
      <c r="D951" t="s">
        <v>1203</v>
      </c>
      <c r="E951" t="s">
        <v>1204</v>
      </c>
      <c r="F951">
        <v>7652</v>
      </c>
      <c r="G951" t="s">
        <v>2676</v>
      </c>
      <c r="H951" t="s">
        <v>2664</v>
      </c>
      <c r="I951">
        <v>5459.5514851500002</v>
      </c>
      <c r="J951">
        <v>6199.1534570000003</v>
      </c>
      <c r="K951">
        <v>7036.9598400499999</v>
      </c>
      <c r="L951">
        <v>7988.3150735500003</v>
      </c>
      <c r="N951" t="s">
        <v>988</v>
      </c>
    </row>
    <row r="952" spans="1:14" hidden="1" x14ac:dyDescent="0.3">
      <c r="A952">
        <v>578</v>
      </c>
      <c r="B952" t="s">
        <v>896</v>
      </c>
      <c r="C952" t="s">
        <v>2670</v>
      </c>
      <c r="D952" t="s">
        <v>1203</v>
      </c>
      <c r="E952" t="s">
        <v>1204</v>
      </c>
      <c r="F952">
        <v>7652</v>
      </c>
      <c r="G952" t="s">
        <v>2675</v>
      </c>
      <c r="H952" t="s">
        <v>2664</v>
      </c>
      <c r="I952">
        <v>5459.5514851500002</v>
      </c>
      <c r="J952">
        <v>6199.1534570000003</v>
      </c>
      <c r="K952">
        <v>7036.9598400499999</v>
      </c>
      <c r="L952">
        <v>7988.3150735500003</v>
      </c>
      <c r="N952" t="s">
        <v>988</v>
      </c>
    </row>
    <row r="953" spans="1:14" hidden="1" x14ac:dyDescent="0.3">
      <c r="A953">
        <v>578</v>
      </c>
      <c r="B953" t="s">
        <v>896</v>
      </c>
      <c r="C953" t="s">
        <v>2670</v>
      </c>
      <c r="D953" t="s">
        <v>1203</v>
      </c>
      <c r="E953" t="s">
        <v>1204</v>
      </c>
      <c r="F953">
        <v>7652</v>
      </c>
      <c r="G953" t="s">
        <v>2675</v>
      </c>
      <c r="H953" t="s">
        <v>2665</v>
      </c>
      <c r="I953">
        <v>4627.8828777999997</v>
      </c>
      <c r="J953">
        <v>5253.9359992</v>
      </c>
      <c r="K953">
        <v>5968.98686825</v>
      </c>
      <c r="L953">
        <v>6773.03548495</v>
      </c>
      <c r="N953" t="s">
        <v>988</v>
      </c>
    </row>
    <row r="954" spans="1:14" hidden="1" x14ac:dyDescent="0.3">
      <c r="A954">
        <v>578</v>
      </c>
      <c r="B954" t="s">
        <v>896</v>
      </c>
      <c r="C954" t="s">
        <v>2670</v>
      </c>
      <c r="D954" t="s">
        <v>1203</v>
      </c>
      <c r="E954" t="s">
        <v>1204</v>
      </c>
      <c r="F954">
        <v>7652</v>
      </c>
      <c r="G954" t="s">
        <v>2674</v>
      </c>
      <c r="H954" t="s">
        <v>2664</v>
      </c>
      <c r="I954">
        <v>5014.5627469000001</v>
      </c>
      <c r="J954">
        <v>5692.78696175</v>
      </c>
      <c r="K954">
        <v>6463.0778121000003</v>
      </c>
      <c r="L954">
        <v>7334.6419615000004</v>
      </c>
      <c r="N954" t="s">
        <v>988</v>
      </c>
    </row>
    <row r="955" spans="1:14" hidden="1" x14ac:dyDescent="0.3">
      <c r="A955">
        <v>578</v>
      </c>
      <c r="B955" t="s">
        <v>896</v>
      </c>
      <c r="C955" t="s">
        <v>2670</v>
      </c>
      <c r="D955" t="s">
        <v>1203</v>
      </c>
      <c r="E955" t="s">
        <v>1204</v>
      </c>
      <c r="F955">
        <v>7652</v>
      </c>
      <c r="G955" t="s">
        <v>2674</v>
      </c>
      <c r="H955" t="s">
        <v>2665</v>
      </c>
      <c r="I955">
        <v>4627.8828777999997</v>
      </c>
      <c r="J955">
        <v>5253.9359992</v>
      </c>
      <c r="K955">
        <v>5968.98686825</v>
      </c>
      <c r="L955">
        <v>6773.03548495</v>
      </c>
      <c r="N955" t="s">
        <v>988</v>
      </c>
    </row>
    <row r="956" spans="1:14" hidden="1" x14ac:dyDescent="0.3">
      <c r="A956">
        <v>578</v>
      </c>
      <c r="B956" t="s">
        <v>896</v>
      </c>
      <c r="C956" t="s">
        <v>2670</v>
      </c>
      <c r="D956" t="s">
        <v>1203</v>
      </c>
      <c r="E956" t="s">
        <v>1204</v>
      </c>
      <c r="F956">
        <v>7652</v>
      </c>
      <c r="G956" t="s">
        <v>2673</v>
      </c>
      <c r="H956" t="s">
        <v>2664</v>
      </c>
      <c r="I956">
        <v>5217.1093449999998</v>
      </c>
      <c r="J956">
        <v>5922.9535505000003</v>
      </c>
      <c r="K956">
        <v>6723.9332793499998</v>
      </c>
      <c r="L956">
        <v>7635.3929707999996</v>
      </c>
      <c r="N956" t="s">
        <v>988</v>
      </c>
    </row>
    <row r="957" spans="1:14" hidden="1" x14ac:dyDescent="0.3">
      <c r="A957">
        <v>578</v>
      </c>
      <c r="B957" t="s">
        <v>896</v>
      </c>
      <c r="C957" t="s">
        <v>2670</v>
      </c>
      <c r="D957" t="s">
        <v>1203</v>
      </c>
      <c r="E957" t="s">
        <v>1204</v>
      </c>
      <c r="F957">
        <v>7652</v>
      </c>
      <c r="G957" t="s">
        <v>2673</v>
      </c>
      <c r="H957" t="s">
        <v>2665</v>
      </c>
      <c r="I957">
        <v>4627.8828777999997</v>
      </c>
      <c r="J957">
        <v>5253.9359992</v>
      </c>
      <c r="K957">
        <v>5968.98686825</v>
      </c>
      <c r="L957">
        <v>6773.03548495</v>
      </c>
      <c r="N957" t="s">
        <v>988</v>
      </c>
    </row>
    <row r="958" spans="1:14" hidden="1" x14ac:dyDescent="0.3">
      <c r="A958">
        <v>578</v>
      </c>
      <c r="B958" t="s">
        <v>896</v>
      </c>
      <c r="C958" t="s">
        <v>2670</v>
      </c>
      <c r="D958" t="s">
        <v>1203</v>
      </c>
      <c r="E958" t="s">
        <v>1204</v>
      </c>
      <c r="F958">
        <v>7652</v>
      </c>
      <c r="G958" t="s">
        <v>2671</v>
      </c>
      <c r="H958" t="s">
        <v>2664</v>
      </c>
      <c r="I958">
        <v>4502.0584759499998</v>
      </c>
      <c r="J958">
        <v>5109.69827025</v>
      </c>
      <c r="K958">
        <v>5803.2669243500004</v>
      </c>
      <c r="L958">
        <v>6585.8333260999998</v>
      </c>
      <c r="N958" t="s">
        <v>988</v>
      </c>
    </row>
    <row r="959" spans="1:14" hidden="1" x14ac:dyDescent="0.3">
      <c r="A959">
        <v>578</v>
      </c>
      <c r="B959" t="s">
        <v>896</v>
      </c>
      <c r="C959" t="s">
        <v>2670</v>
      </c>
      <c r="D959" t="s">
        <v>1203</v>
      </c>
      <c r="E959" t="s">
        <v>1204</v>
      </c>
      <c r="F959">
        <v>7652</v>
      </c>
      <c r="G959" t="s">
        <v>2671</v>
      </c>
      <c r="H959" t="s">
        <v>2665</v>
      </c>
      <c r="I959">
        <v>4627.8828777999997</v>
      </c>
      <c r="J959">
        <v>5253.9359992</v>
      </c>
      <c r="K959">
        <v>5968.98686825</v>
      </c>
      <c r="L959">
        <v>6773.03548495</v>
      </c>
      <c r="N959" t="s">
        <v>988</v>
      </c>
    </row>
    <row r="960" spans="1:14" hidden="1" x14ac:dyDescent="0.3">
      <c r="A960">
        <v>578</v>
      </c>
      <c r="B960" t="s">
        <v>896</v>
      </c>
      <c r="C960" t="s">
        <v>2670</v>
      </c>
      <c r="D960" t="s">
        <v>1203</v>
      </c>
      <c r="E960" t="s">
        <v>1204</v>
      </c>
      <c r="F960">
        <v>7652</v>
      </c>
      <c r="G960" t="s">
        <v>2672</v>
      </c>
      <c r="H960" t="s">
        <v>2664</v>
      </c>
      <c r="N960" t="s">
        <v>988</v>
      </c>
    </row>
    <row r="961" spans="1:14" hidden="1" x14ac:dyDescent="0.3">
      <c r="A961">
        <v>578</v>
      </c>
      <c r="B961" t="s">
        <v>896</v>
      </c>
      <c r="C961" t="s">
        <v>2670</v>
      </c>
      <c r="D961" t="s">
        <v>1203</v>
      </c>
      <c r="E961" t="s">
        <v>1204</v>
      </c>
      <c r="F961">
        <v>7652</v>
      </c>
      <c r="G961" t="s">
        <v>2672</v>
      </c>
      <c r="H961" t="s">
        <v>2665</v>
      </c>
      <c r="N961" t="s">
        <v>988</v>
      </c>
    </row>
    <row r="962" spans="1:14" hidden="1" x14ac:dyDescent="0.3">
      <c r="A962">
        <v>583</v>
      </c>
      <c r="B962" t="s">
        <v>1406</v>
      </c>
      <c r="C962" t="s">
        <v>2670</v>
      </c>
      <c r="D962" t="s">
        <v>159</v>
      </c>
      <c r="E962" t="s">
        <v>159</v>
      </c>
      <c r="F962">
        <v>7159</v>
      </c>
      <c r="G962" t="s">
        <v>2672</v>
      </c>
      <c r="H962" t="s">
        <v>2665</v>
      </c>
      <c r="N962" t="s">
        <v>988</v>
      </c>
    </row>
    <row r="963" spans="1:14" hidden="1" x14ac:dyDescent="0.3">
      <c r="A963">
        <v>583</v>
      </c>
      <c r="B963" t="s">
        <v>1406</v>
      </c>
      <c r="C963" t="s">
        <v>2670</v>
      </c>
      <c r="D963" t="s">
        <v>159</v>
      </c>
      <c r="E963" t="s">
        <v>159</v>
      </c>
      <c r="F963">
        <v>7159</v>
      </c>
      <c r="G963" t="s">
        <v>2672</v>
      </c>
      <c r="H963" t="s">
        <v>2664</v>
      </c>
      <c r="N963" t="s">
        <v>988</v>
      </c>
    </row>
    <row r="964" spans="1:14" hidden="1" x14ac:dyDescent="0.3">
      <c r="A964">
        <v>583</v>
      </c>
      <c r="B964" t="s">
        <v>1406</v>
      </c>
      <c r="C964" t="s">
        <v>2670</v>
      </c>
      <c r="D964" t="s">
        <v>159</v>
      </c>
      <c r="E964" t="s">
        <v>159</v>
      </c>
      <c r="F964">
        <v>7159</v>
      </c>
      <c r="G964" t="s">
        <v>2671</v>
      </c>
      <c r="H964" t="s">
        <v>2665</v>
      </c>
      <c r="I964">
        <v>2160.4970463999998</v>
      </c>
      <c r="J964">
        <v>2139.0148314500002</v>
      </c>
      <c r="K964">
        <v>2117.5326165000001</v>
      </c>
      <c r="L964">
        <v>2050.0170837999999</v>
      </c>
      <c r="M964">
        <v>2037.7415324000001</v>
      </c>
      <c r="N964" t="s">
        <v>988</v>
      </c>
    </row>
    <row r="965" spans="1:14" hidden="1" x14ac:dyDescent="0.3">
      <c r="A965">
        <v>583</v>
      </c>
      <c r="B965" t="s">
        <v>1406</v>
      </c>
      <c r="C965" t="s">
        <v>2670</v>
      </c>
      <c r="D965" t="s">
        <v>159</v>
      </c>
      <c r="E965" t="s">
        <v>159</v>
      </c>
      <c r="F965">
        <v>7159</v>
      </c>
      <c r="G965" t="s">
        <v>2671</v>
      </c>
      <c r="H965" t="s">
        <v>2664</v>
      </c>
      <c r="I965">
        <v>1015.80187835</v>
      </c>
      <c r="J965">
        <v>994.31966339999997</v>
      </c>
      <c r="K965">
        <v>914.52857930000005</v>
      </c>
      <c r="L965">
        <v>871.56414940000002</v>
      </c>
      <c r="M965">
        <v>837.80638305000002</v>
      </c>
      <c r="N965" t="s">
        <v>988</v>
      </c>
    </row>
    <row r="966" spans="1:14" hidden="1" x14ac:dyDescent="0.3">
      <c r="A966">
        <v>583</v>
      </c>
      <c r="B966" t="s">
        <v>1406</v>
      </c>
      <c r="C966" t="s">
        <v>2670</v>
      </c>
      <c r="D966" t="s">
        <v>159</v>
      </c>
      <c r="E966" t="s">
        <v>159</v>
      </c>
      <c r="F966">
        <v>7159</v>
      </c>
      <c r="G966" t="s">
        <v>2673</v>
      </c>
      <c r="H966" t="s">
        <v>2665</v>
      </c>
      <c r="I966">
        <v>2160.4970463999998</v>
      </c>
      <c r="J966">
        <v>2139.0148314500002</v>
      </c>
      <c r="K966">
        <v>2117.5326165000001</v>
      </c>
      <c r="L966">
        <v>2050.0170837999999</v>
      </c>
      <c r="M966">
        <v>2037.7415324000001</v>
      </c>
      <c r="N966" t="s">
        <v>988</v>
      </c>
    </row>
    <row r="967" spans="1:14" hidden="1" x14ac:dyDescent="0.3">
      <c r="A967">
        <v>583</v>
      </c>
      <c r="B967" t="s">
        <v>1406</v>
      </c>
      <c r="C967" t="s">
        <v>2670</v>
      </c>
      <c r="D967" t="s">
        <v>159</v>
      </c>
      <c r="E967" t="s">
        <v>159</v>
      </c>
      <c r="F967">
        <v>7159</v>
      </c>
      <c r="G967" t="s">
        <v>2676</v>
      </c>
      <c r="H967" t="s">
        <v>2664</v>
      </c>
      <c r="I967">
        <v>1635.7172240499999</v>
      </c>
      <c r="J967">
        <v>1623.4416726500001</v>
      </c>
      <c r="K967">
        <v>1601.9594577</v>
      </c>
      <c r="L967">
        <v>1589.6839063</v>
      </c>
      <c r="M967">
        <v>1445.44617735</v>
      </c>
      <c r="N967" t="s">
        <v>988</v>
      </c>
    </row>
    <row r="968" spans="1:14" hidden="1" x14ac:dyDescent="0.3">
      <c r="A968">
        <v>583</v>
      </c>
      <c r="B968" t="s">
        <v>1406</v>
      </c>
      <c r="C968" t="s">
        <v>2670</v>
      </c>
      <c r="D968" t="s">
        <v>159</v>
      </c>
      <c r="E968" t="s">
        <v>159</v>
      </c>
      <c r="F968">
        <v>7159</v>
      </c>
      <c r="G968" t="s">
        <v>2674</v>
      </c>
      <c r="H968" t="s">
        <v>2665</v>
      </c>
      <c r="I968">
        <v>2160.4970463999998</v>
      </c>
      <c r="J968">
        <v>2139.0148314500002</v>
      </c>
      <c r="K968">
        <v>2117.5326165000001</v>
      </c>
      <c r="L968">
        <v>2050.0170837999999</v>
      </c>
      <c r="M968">
        <v>2037.7415324000001</v>
      </c>
      <c r="N968" t="s">
        <v>988</v>
      </c>
    </row>
    <row r="969" spans="1:14" hidden="1" x14ac:dyDescent="0.3">
      <c r="A969">
        <v>583</v>
      </c>
      <c r="B969" t="s">
        <v>1406</v>
      </c>
      <c r="C969" t="s">
        <v>2670</v>
      </c>
      <c r="D969" t="s">
        <v>159</v>
      </c>
      <c r="E969" t="s">
        <v>159</v>
      </c>
      <c r="F969">
        <v>7159</v>
      </c>
      <c r="G969" t="s">
        <v>2674</v>
      </c>
      <c r="H969" t="s">
        <v>2664</v>
      </c>
      <c r="I969">
        <v>1153.9018315999999</v>
      </c>
      <c r="J969">
        <v>1132.4196166500001</v>
      </c>
      <c r="K969">
        <v>1120.14406525</v>
      </c>
      <c r="L969">
        <v>1107.86851385</v>
      </c>
      <c r="M969">
        <v>1098.6618503</v>
      </c>
      <c r="N969" t="s">
        <v>988</v>
      </c>
    </row>
    <row r="970" spans="1:14" hidden="1" x14ac:dyDescent="0.3">
      <c r="A970">
        <v>583</v>
      </c>
      <c r="B970" t="s">
        <v>1406</v>
      </c>
      <c r="C970" t="s">
        <v>2670</v>
      </c>
      <c r="D970" t="s">
        <v>159</v>
      </c>
      <c r="E970" t="s">
        <v>159</v>
      </c>
      <c r="F970">
        <v>7159</v>
      </c>
      <c r="G970" t="s">
        <v>2675</v>
      </c>
      <c r="H970" t="s">
        <v>2665</v>
      </c>
      <c r="I970">
        <v>2160.4970463999998</v>
      </c>
      <c r="J970">
        <v>2139.0148314500002</v>
      </c>
      <c r="K970">
        <v>2117.5326165000001</v>
      </c>
      <c r="L970">
        <v>2050.0170837999999</v>
      </c>
      <c r="M970">
        <v>2037.7415324000001</v>
      </c>
      <c r="N970" t="s">
        <v>988</v>
      </c>
    </row>
    <row r="971" spans="1:14" hidden="1" x14ac:dyDescent="0.3">
      <c r="A971">
        <v>583</v>
      </c>
      <c r="B971" t="s">
        <v>1406</v>
      </c>
      <c r="C971" t="s">
        <v>2670</v>
      </c>
      <c r="D971" t="s">
        <v>159</v>
      </c>
      <c r="E971" t="s">
        <v>159</v>
      </c>
      <c r="F971">
        <v>7159</v>
      </c>
      <c r="G971" t="s">
        <v>2675</v>
      </c>
      <c r="H971" t="s">
        <v>2664</v>
      </c>
      <c r="I971">
        <v>1276.6573456000001</v>
      </c>
      <c r="J971">
        <v>1255.17513065</v>
      </c>
      <c r="K971">
        <v>1242.89957925</v>
      </c>
      <c r="L971">
        <v>1230.6240278499999</v>
      </c>
      <c r="M971">
        <v>1221.4173642999999</v>
      </c>
      <c r="N971" t="s">
        <v>988</v>
      </c>
    </row>
    <row r="972" spans="1:14" hidden="1" x14ac:dyDescent="0.3">
      <c r="A972">
        <v>583</v>
      </c>
      <c r="B972" t="s">
        <v>1406</v>
      </c>
      <c r="C972" t="s">
        <v>2670</v>
      </c>
      <c r="D972" t="s">
        <v>159</v>
      </c>
      <c r="E972" t="s">
        <v>159</v>
      </c>
      <c r="F972">
        <v>7159</v>
      </c>
      <c r="G972" t="s">
        <v>2676</v>
      </c>
      <c r="H972" t="s">
        <v>2665</v>
      </c>
      <c r="I972">
        <v>2160.4970463999998</v>
      </c>
      <c r="J972">
        <v>2139.0148314500002</v>
      </c>
      <c r="K972">
        <v>2117.5326165000001</v>
      </c>
      <c r="L972">
        <v>2050.0170837999999</v>
      </c>
      <c r="M972">
        <v>2037.7415324000001</v>
      </c>
      <c r="N972" t="s">
        <v>988</v>
      </c>
    </row>
    <row r="973" spans="1:14" hidden="1" x14ac:dyDescent="0.3">
      <c r="A973">
        <v>583</v>
      </c>
      <c r="B973" t="s">
        <v>1406</v>
      </c>
      <c r="C973" t="s">
        <v>2670</v>
      </c>
      <c r="D973" t="s">
        <v>159</v>
      </c>
      <c r="E973" t="s">
        <v>159</v>
      </c>
      <c r="F973">
        <v>7159</v>
      </c>
      <c r="G973" t="s">
        <v>2673</v>
      </c>
      <c r="H973" t="s">
        <v>2664</v>
      </c>
      <c r="I973">
        <v>1067.9729718000001</v>
      </c>
      <c r="J973">
        <v>1046.49075685</v>
      </c>
      <c r="K973">
        <v>1034.21520545</v>
      </c>
      <c r="L973">
        <v>923.73524284999996</v>
      </c>
      <c r="M973">
        <v>889.97747649999997</v>
      </c>
      <c r="N973" t="s">
        <v>988</v>
      </c>
    </row>
    <row r="974" spans="1:14" hidden="1" x14ac:dyDescent="0.3">
      <c r="A974">
        <v>596</v>
      </c>
      <c r="B974" t="s">
        <v>1413</v>
      </c>
      <c r="C974" t="s">
        <v>2670</v>
      </c>
      <c r="D974" t="s">
        <v>1203</v>
      </c>
      <c r="E974" t="s">
        <v>1204</v>
      </c>
      <c r="F974">
        <v>5734</v>
      </c>
      <c r="G974" t="s">
        <v>2672</v>
      </c>
      <c r="H974" t="s">
        <v>2665</v>
      </c>
      <c r="I974">
        <v>10734</v>
      </c>
      <c r="J974">
        <v>11311</v>
      </c>
      <c r="K974">
        <v>11887</v>
      </c>
      <c r="L974">
        <v>12207</v>
      </c>
      <c r="M974">
        <v>12526</v>
      </c>
      <c r="N974" t="s">
        <v>988</v>
      </c>
    </row>
    <row r="975" spans="1:14" hidden="1" x14ac:dyDescent="0.3">
      <c r="A975">
        <v>596</v>
      </c>
      <c r="B975" t="s">
        <v>1413</v>
      </c>
      <c r="C975" t="s">
        <v>2670</v>
      </c>
      <c r="D975" t="s">
        <v>1203</v>
      </c>
      <c r="E975" t="s">
        <v>1204</v>
      </c>
      <c r="F975">
        <v>5734</v>
      </c>
      <c r="G975" t="s">
        <v>2672</v>
      </c>
      <c r="H975" t="s">
        <v>2664</v>
      </c>
      <c r="I975">
        <v>12345</v>
      </c>
      <c r="J975">
        <v>13007</v>
      </c>
      <c r="K975">
        <v>13670</v>
      </c>
      <c r="L975">
        <v>14038</v>
      </c>
      <c r="M975">
        <v>14405</v>
      </c>
      <c r="N975" t="s">
        <v>988</v>
      </c>
    </row>
    <row r="976" spans="1:14" hidden="1" x14ac:dyDescent="0.3">
      <c r="A976">
        <v>596</v>
      </c>
      <c r="B976" t="s">
        <v>1413</v>
      </c>
      <c r="C976" t="s">
        <v>2670</v>
      </c>
      <c r="D976" t="s">
        <v>1203</v>
      </c>
      <c r="E976" t="s">
        <v>1204</v>
      </c>
      <c r="F976">
        <v>5734</v>
      </c>
      <c r="G976" t="s">
        <v>2671</v>
      </c>
      <c r="H976" t="s">
        <v>2665</v>
      </c>
      <c r="I976">
        <v>10734</v>
      </c>
      <c r="J976">
        <v>11311</v>
      </c>
      <c r="K976">
        <v>11887</v>
      </c>
      <c r="L976">
        <v>12207</v>
      </c>
      <c r="M976">
        <v>12526</v>
      </c>
      <c r="N976" t="s">
        <v>988</v>
      </c>
    </row>
    <row r="977" spans="1:14" hidden="1" x14ac:dyDescent="0.3">
      <c r="A977">
        <v>596</v>
      </c>
      <c r="B977" t="s">
        <v>1413</v>
      </c>
      <c r="C977" t="s">
        <v>2670</v>
      </c>
      <c r="D977" t="s">
        <v>1203</v>
      </c>
      <c r="E977" t="s">
        <v>1204</v>
      </c>
      <c r="F977">
        <v>5734</v>
      </c>
      <c r="G977" t="s">
        <v>2671</v>
      </c>
      <c r="H977" t="s">
        <v>2664</v>
      </c>
      <c r="I977">
        <v>12345</v>
      </c>
      <c r="J977">
        <v>13007</v>
      </c>
      <c r="K977">
        <v>13670</v>
      </c>
      <c r="L977">
        <v>14038</v>
      </c>
      <c r="M977">
        <v>14405</v>
      </c>
      <c r="N977" t="s">
        <v>988</v>
      </c>
    </row>
    <row r="978" spans="1:14" hidden="1" x14ac:dyDescent="0.3">
      <c r="A978">
        <v>596</v>
      </c>
      <c r="B978" t="s">
        <v>1413</v>
      </c>
      <c r="C978" t="s">
        <v>2670</v>
      </c>
      <c r="D978" t="s">
        <v>1203</v>
      </c>
      <c r="E978" t="s">
        <v>1204</v>
      </c>
      <c r="F978">
        <v>5734</v>
      </c>
      <c r="G978" t="s">
        <v>2673</v>
      </c>
      <c r="H978" t="s">
        <v>2665</v>
      </c>
      <c r="I978">
        <v>10734</v>
      </c>
      <c r="J978">
        <v>11311</v>
      </c>
      <c r="K978">
        <v>11887</v>
      </c>
      <c r="L978">
        <v>12207</v>
      </c>
      <c r="M978">
        <v>12526</v>
      </c>
      <c r="N978" t="s">
        <v>988</v>
      </c>
    </row>
    <row r="979" spans="1:14" hidden="1" x14ac:dyDescent="0.3">
      <c r="A979">
        <v>596</v>
      </c>
      <c r="B979" t="s">
        <v>1413</v>
      </c>
      <c r="C979" t="s">
        <v>2670</v>
      </c>
      <c r="D979" t="s">
        <v>1203</v>
      </c>
      <c r="E979" t="s">
        <v>1204</v>
      </c>
      <c r="F979">
        <v>5734</v>
      </c>
      <c r="G979" t="s">
        <v>2676</v>
      </c>
      <c r="H979" t="s">
        <v>2664</v>
      </c>
      <c r="I979">
        <v>12345</v>
      </c>
      <c r="J979">
        <v>13007</v>
      </c>
      <c r="K979">
        <v>13670</v>
      </c>
      <c r="L979">
        <v>14038</v>
      </c>
      <c r="M979">
        <v>14405</v>
      </c>
      <c r="N979" t="s">
        <v>988</v>
      </c>
    </row>
    <row r="980" spans="1:14" hidden="1" x14ac:dyDescent="0.3">
      <c r="A980">
        <v>596</v>
      </c>
      <c r="B980" t="s">
        <v>1413</v>
      </c>
      <c r="C980" t="s">
        <v>2670</v>
      </c>
      <c r="D980" t="s">
        <v>1203</v>
      </c>
      <c r="E980" t="s">
        <v>1204</v>
      </c>
      <c r="F980">
        <v>5734</v>
      </c>
      <c r="G980" t="s">
        <v>2674</v>
      </c>
      <c r="H980" t="s">
        <v>2665</v>
      </c>
      <c r="I980">
        <v>10734</v>
      </c>
      <c r="J980">
        <v>11311</v>
      </c>
      <c r="K980">
        <v>11887</v>
      </c>
      <c r="L980">
        <v>12207</v>
      </c>
      <c r="M980">
        <v>12526</v>
      </c>
      <c r="N980" t="s">
        <v>988</v>
      </c>
    </row>
    <row r="981" spans="1:14" hidden="1" x14ac:dyDescent="0.3">
      <c r="A981">
        <v>596</v>
      </c>
      <c r="B981" t="s">
        <v>1413</v>
      </c>
      <c r="C981" t="s">
        <v>2670</v>
      </c>
      <c r="D981" t="s">
        <v>1203</v>
      </c>
      <c r="E981" t="s">
        <v>1204</v>
      </c>
      <c r="F981">
        <v>5734</v>
      </c>
      <c r="G981" t="s">
        <v>2674</v>
      </c>
      <c r="H981" t="s">
        <v>2664</v>
      </c>
      <c r="I981">
        <v>12345</v>
      </c>
      <c r="J981">
        <v>13007</v>
      </c>
      <c r="K981">
        <v>13670</v>
      </c>
      <c r="L981">
        <v>14038</v>
      </c>
      <c r="M981">
        <v>14405</v>
      </c>
      <c r="N981" t="s">
        <v>988</v>
      </c>
    </row>
    <row r="982" spans="1:14" hidden="1" x14ac:dyDescent="0.3">
      <c r="A982">
        <v>596</v>
      </c>
      <c r="B982" t="s">
        <v>1413</v>
      </c>
      <c r="C982" t="s">
        <v>2670</v>
      </c>
      <c r="D982" t="s">
        <v>1203</v>
      </c>
      <c r="E982" t="s">
        <v>1204</v>
      </c>
      <c r="F982">
        <v>5734</v>
      </c>
      <c r="G982" t="s">
        <v>2675</v>
      </c>
      <c r="H982" t="s">
        <v>2665</v>
      </c>
      <c r="I982">
        <v>10734</v>
      </c>
      <c r="J982">
        <v>11311</v>
      </c>
      <c r="K982">
        <v>11887</v>
      </c>
      <c r="L982">
        <v>12207</v>
      </c>
      <c r="M982">
        <v>12526</v>
      </c>
      <c r="N982" t="s">
        <v>988</v>
      </c>
    </row>
    <row r="983" spans="1:14" hidden="1" x14ac:dyDescent="0.3">
      <c r="A983">
        <v>596</v>
      </c>
      <c r="B983" t="s">
        <v>1413</v>
      </c>
      <c r="C983" t="s">
        <v>2670</v>
      </c>
      <c r="D983" t="s">
        <v>1203</v>
      </c>
      <c r="E983" t="s">
        <v>1204</v>
      </c>
      <c r="F983">
        <v>5734</v>
      </c>
      <c r="G983" t="s">
        <v>2675</v>
      </c>
      <c r="H983" t="s">
        <v>2664</v>
      </c>
      <c r="I983">
        <v>12345</v>
      </c>
      <c r="J983">
        <v>13007</v>
      </c>
      <c r="K983">
        <v>13670</v>
      </c>
      <c r="L983">
        <v>14038</v>
      </c>
      <c r="M983">
        <v>14405</v>
      </c>
      <c r="N983" t="s">
        <v>988</v>
      </c>
    </row>
    <row r="984" spans="1:14" hidden="1" x14ac:dyDescent="0.3">
      <c r="A984">
        <v>596</v>
      </c>
      <c r="B984" t="s">
        <v>1413</v>
      </c>
      <c r="C984" t="s">
        <v>2670</v>
      </c>
      <c r="D984" t="s">
        <v>1203</v>
      </c>
      <c r="E984" t="s">
        <v>1204</v>
      </c>
      <c r="F984">
        <v>5734</v>
      </c>
      <c r="G984" t="s">
        <v>2676</v>
      </c>
      <c r="H984" t="s">
        <v>2665</v>
      </c>
      <c r="I984">
        <v>10734</v>
      </c>
      <c r="J984">
        <v>11311</v>
      </c>
      <c r="K984">
        <v>11887</v>
      </c>
      <c r="L984">
        <v>12207</v>
      </c>
      <c r="M984">
        <v>12526</v>
      </c>
      <c r="N984" t="s">
        <v>988</v>
      </c>
    </row>
    <row r="985" spans="1:14" hidden="1" x14ac:dyDescent="0.3">
      <c r="A985">
        <v>596</v>
      </c>
      <c r="B985" t="s">
        <v>1413</v>
      </c>
      <c r="C985" t="s">
        <v>2670</v>
      </c>
      <c r="D985" t="s">
        <v>1203</v>
      </c>
      <c r="E985" t="s">
        <v>1204</v>
      </c>
      <c r="F985">
        <v>5734</v>
      </c>
      <c r="G985" t="s">
        <v>2673</v>
      </c>
      <c r="H985" t="s">
        <v>2664</v>
      </c>
      <c r="I985">
        <v>12345</v>
      </c>
      <c r="J985">
        <v>13007</v>
      </c>
      <c r="K985">
        <v>13670</v>
      </c>
      <c r="L985">
        <v>14038</v>
      </c>
      <c r="M985">
        <v>14405</v>
      </c>
      <c r="N985" t="s">
        <v>988</v>
      </c>
    </row>
    <row r="986" spans="1:14" hidden="1" x14ac:dyDescent="0.3">
      <c r="A986">
        <v>613</v>
      </c>
      <c r="B986" t="s">
        <v>804</v>
      </c>
      <c r="C986" t="s">
        <v>2670</v>
      </c>
      <c r="D986" t="s">
        <v>1203</v>
      </c>
      <c r="E986" t="s">
        <v>1204</v>
      </c>
      <c r="F986">
        <v>5673</v>
      </c>
      <c r="G986" t="s">
        <v>2672</v>
      </c>
      <c r="H986" t="s">
        <v>2665</v>
      </c>
      <c r="I986">
        <v>91600</v>
      </c>
      <c r="J986">
        <v>98600</v>
      </c>
      <c r="K986">
        <v>102400</v>
      </c>
      <c r="L986">
        <v>106100</v>
      </c>
      <c r="M986">
        <v>107700</v>
      </c>
      <c r="N986" t="s">
        <v>988</v>
      </c>
    </row>
    <row r="987" spans="1:14" hidden="1" x14ac:dyDescent="0.3">
      <c r="A987">
        <v>613</v>
      </c>
      <c r="B987" t="s">
        <v>804</v>
      </c>
      <c r="C987" t="s">
        <v>2670</v>
      </c>
      <c r="D987" t="s">
        <v>1203</v>
      </c>
      <c r="E987" t="s">
        <v>1204</v>
      </c>
      <c r="F987">
        <v>5673</v>
      </c>
      <c r="G987" t="s">
        <v>2672</v>
      </c>
      <c r="H987" t="s">
        <v>2664</v>
      </c>
      <c r="I987">
        <v>91600</v>
      </c>
      <c r="J987">
        <v>98600</v>
      </c>
      <c r="K987">
        <v>102400</v>
      </c>
      <c r="L987">
        <v>106100</v>
      </c>
      <c r="M987">
        <v>107700</v>
      </c>
      <c r="N987" t="s">
        <v>988</v>
      </c>
    </row>
    <row r="988" spans="1:14" hidden="1" x14ac:dyDescent="0.3">
      <c r="A988">
        <v>613</v>
      </c>
      <c r="B988" t="s">
        <v>804</v>
      </c>
      <c r="C988" t="s">
        <v>2670</v>
      </c>
      <c r="D988" t="s">
        <v>1203</v>
      </c>
      <c r="E988" t="s">
        <v>1204</v>
      </c>
      <c r="F988">
        <v>5673</v>
      </c>
      <c r="G988" t="s">
        <v>2671</v>
      </c>
      <c r="H988" t="s">
        <v>2665</v>
      </c>
      <c r="I988">
        <v>91600</v>
      </c>
      <c r="J988">
        <v>98600</v>
      </c>
      <c r="K988">
        <v>102400</v>
      </c>
      <c r="L988">
        <v>106100</v>
      </c>
      <c r="M988">
        <v>107700</v>
      </c>
      <c r="N988" t="s">
        <v>988</v>
      </c>
    </row>
    <row r="989" spans="1:14" hidden="1" x14ac:dyDescent="0.3">
      <c r="A989">
        <v>613</v>
      </c>
      <c r="B989" t="s">
        <v>804</v>
      </c>
      <c r="C989" t="s">
        <v>2670</v>
      </c>
      <c r="D989" t="s">
        <v>1203</v>
      </c>
      <c r="E989" t="s">
        <v>1204</v>
      </c>
      <c r="F989">
        <v>5673</v>
      </c>
      <c r="G989" t="s">
        <v>2671</v>
      </c>
      <c r="H989" t="s">
        <v>2664</v>
      </c>
      <c r="I989">
        <v>91600</v>
      </c>
      <c r="J989">
        <v>98600</v>
      </c>
      <c r="K989">
        <v>102400</v>
      </c>
      <c r="L989">
        <v>106100</v>
      </c>
      <c r="M989">
        <v>107700</v>
      </c>
      <c r="N989" t="s">
        <v>988</v>
      </c>
    </row>
    <row r="990" spans="1:14" hidden="1" x14ac:dyDescent="0.3">
      <c r="A990">
        <v>613</v>
      </c>
      <c r="B990" t="s">
        <v>804</v>
      </c>
      <c r="C990" t="s">
        <v>2670</v>
      </c>
      <c r="D990" t="s">
        <v>1203</v>
      </c>
      <c r="E990" t="s">
        <v>1204</v>
      </c>
      <c r="F990">
        <v>5673</v>
      </c>
      <c r="G990" t="s">
        <v>2673</v>
      </c>
      <c r="H990" t="s">
        <v>2665</v>
      </c>
      <c r="I990">
        <v>91600</v>
      </c>
      <c r="J990">
        <v>98600</v>
      </c>
      <c r="K990">
        <v>102400</v>
      </c>
      <c r="L990">
        <v>106100</v>
      </c>
      <c r="M990">
        <v>107700</v>
      </c>
      <c r="N990" t="s">
        <v>988</v>
      </c>
    </row>
    <row r="991" spans="1:14" hidden="1" x14ac:dyDescent="0.3">
      <c r="A991">
        <v>613</v>
      </c>
      <c r="B991" t="s">
        <v>804</v>
      </c>
      <c r="C991" t="s">
        <v>2670</v>
      </c>
      <c r="D991" t="s">
        <v>1203</v>
      </c>
      <c r="E991" t="s">
        <v>1204</v>
      </c>
      <c r="F991">
        <v>5673</v>
      </c>
      <c r="G991" t="s">
        <v>2676</v>
      </c>
      <c r="H991" t="s">
        <v>2664</v>
      </c>
      <c r="I991">
        <v>91600</v>
      </c>
      <c r="J991">
        <v>98600</v>
      </c>
      <c r="K991">
        <v>102400</v>
      </c>
      <c r="L991">
        <v>106100</v>
      </c>
      <c r="M991">
        <v>107700</v>
      </c>
      <c r="N991" t="s">
        <v>988</v>
      </c>
    </row>
    <row r="992" spans="1:14" hidden="1" x14ac:dyDescent="0.3">
      <c r="A992">
        <v>613</v>
      </c>
      <c r="B992" t="s">
        <v>804</v>
      </c>
      <c r="C992" t="s">
        <v>2670</v>
      </c>
      <c r="D992" t="s">
        <v>1203</v>
      </c>
      <c r="E992" t="s">
        <v>1204</v>
      </c>
      <c r="F992">
        <v>5673</v>
      </c>
      <c r="G992" t="s">
        <v>2674</v>
      </c>
      <c r="H992" t="s">
        <v>2665</v>
      </c>
      <c r="I992">
        <v>91600</v>
      </c>
      <c r="J992">
        <v>98600</v>
      </c>
      <c r="K992">
        <v>102400</v>
      </c>
      <c r="L992">
        <v>106100</v>
      </c>
      <c r="M992">
        <v>107700</v>
      </c>
      <c r="N992" t="s">
        <v>988</v>
      </c>
    </row>
    <row r="993" spans="1:14" hidden="1" x14ac:dyDescent="0.3">
      <c r="A993">
        <v>613</v>
      </c>
      <c r="B993" t="s">
        <v>804</v>
      </c>
      <c r="C993" t="s">
        <v>2670</v>
      </c>
      <c r="D993" t="s">
        <v>1203</v>
      </c>
      <c r="E993" t="s">
        <v>1204</v>
      </c>
      <c r="F993">
        <v>5673</v>
      </c>
      <c r="G993" t="s">
        <v>2674</v>
      </c>
      <c r="H993" t="s">
        <v>2664</v>
      </c>
      <c r="I993">
        <v>91600</v>
      </c>
      <c r="J993">
        <v>98600</v>
      </c>
      <c r="K993">
        <v>102400</v>
      </c>
      <c r="L993">
        <v>106100</v>
      </c>
      <c r="M993">
        <v>107700</v>
      </c>
      <c r="N993" t="s">
        <v>988</v>
      </c>
    </row>
    <row r="994" spans="1:14" hidden="1" x14ac:dyDescent="0.3">
      <c r="A994">
        <v>613</v>
      </c>
      <c r="B994" t="s">
        <v>804</v>
      </c>
      <c r="C994" t="s">
        <v>2670</v>
      </c>
      <c r="D994" t="s">
        <v>1203</v>
      </c>
      <c r="E994" t="s">
        <v>1204</v>
      </c>
      <c r="F994">
        <v>5673</v>
      </c>
      <c r="G994" t="s">
        <v>2675</v>
      </c>
      <c r="H994" t="s">
        <v>2665</v>
      </c>
      <c r="I994">
        <v>91600</v>
      </c>
      <c r="J994">
        <v>98600</v>
      </c>
      <c r="K994">
        <v>102400</v>
      </c>
      <c r="L994">
        <v>106100</v>
      </c>
      <c r="M994">
        <v>107700</v>
      </c>
      <c r="N994" t="s">
        <v>988</v>
      </c>
    </row>
    <row r="995" spans="1:14" hidden="1" x14ac:dyDescent="0.3">
      <c r="A995">
        <v>613</v>
      </c>
      <c r="B995" t="s">
        <v>804</v>
      </c>
      <c r="C995" t="s">
        <v>2670</v>
      </c>
      <c r="D995" t="s">
        <v>1203</v>
      </c>
      <c r="E995" t="s">
        <v>1204</v>
      </c>
      <c r="F995">
        <v>5673</v>
      </c>
      <c r="G995" t="s">
        <v>2675</v>
      </c>
      <c r="H995" t="s">
        <v>2664</v>
      </c>
      <c r="I995">
        <v>91600</v>
      </c>
      <c r="J995">
        <v>98600</v>
      </c>
      <c r="K995">
        <v>102400</v>
      </c>
      <c r="L995">
        <v>106100</v>
      </c>
      <c r="M995">
        <v>107700</v>
      </c>
      <c r="N995" t="s">
        <v>988</v>
      </c>
    </row>
    <row r="996" spans="1:14" hidden="1" x14ac:dyDescent="0.3">
      <c r="A996">
        <v>613</v>
      </c>
      <c r="B996" t="s">
        <v>804</v>
      </c>
      <c r="C996" t="s">
        <v>2670</v>
      </c>
      <c r="D996" t="s">
        <v>1203</v>
      </c>
      <c r="E996" t="s">
        <v>1204</v>
      </c>
      <c r="F996">
        <v>5673</v>
      </c>
      <c r="G996" t="s">
        <v>2676</v>
      </c>
      <c r="H996" t="s">
        <v>2665</v>
      </c>
      <c r="I996">
        <v>91600</v>
      </c>
      <c r="J996">
        <v>98600</v>
      </c>
      <c r="K996">
        <v>102400</v>
      </c>
      <c r="L996">
        <v>106100</v>
      </c>
      <c r="M996">
        <v>107700</v>
      </c>
      <c r="N996" t="s">
        <v>988</v>
      </c>
    </row>
    <row r="997" spans="1:14" hidden="1" x14ac:dyDescent="0.3">
      <c r="A997">
        <v>613</v>
      </c>
      <c r="B997" t="s">
        <v>804</v>
      </c>
      <c r="C997" t="s">
        <v>2670</v>
      </c>
      <c r="D997" t="s">
        <v>1203</v>
      </c>
      <c r="E997" t="s">
        <v>1204</v>
      </c>
      <c r="F997">
        <v>5673</v>
      </c>
      <c r="G997" t="s">
        <v>2673</v>
      </c>
      <c r="H997" t="s">
        <v>2664</v>
      </c>
      <c r="I997">
        <v>91600</v>
      </c>
      <c r="J997">
        <v>98600</v>
      </c>
      <c r="K997">
        <v>102400</v>
      </c>
      <c r="L997">
        <v>106100</v>
      </c>
      <c r="M997">
        <v>107700</v>
      </c>
      <c r="N997" t="s">
        <v>988</v>
      </c>
    </row>
    <row r="998" spans="1:14" hidden="1" x14ac:dyDescent="0.3">
      <c r="A998">
        <v>624</v>
      </c>
      <c r="B998" t="s">
        <v>1425</v>
      </c>
      <c r="C998" t="s">
        <v>2670</v>
      </c>
      <c r="D998" t="s">
        <v>1203</v>
      </c>
      <c r="E998" t="s">
        <v>1204</v>
      </c>
      <c r="F998">
        <v>5690</v>
      </c>
      <c r="G998" t="s">
        <v>2672</v>
      </c>
      <c r="H998" t="s">
        <v>2665</v>
      </c>
      <c r="N998" t="s">
        <v>988</v>
      </c>
    </row>
    <row r="999" spans="1:14" hidden="1" x14ac:dyDescent="0.3">
      <c r="A999">
        <v>624</v>
      </c>
      <c r="B999" t="s">
        <v>1425</v>
      </c>
      <c r="C999" t="s">
        <v>2670</v>
      </c>
      <c r="D999" t="s">
        <v>1203</v>
      </c>
      <c r="E999" t="s">
        <v>1204</v>
      </c>
      <c r="F999">
        <v>5690</v>
      </c>
      <c r="G999" t="s">
        <v>2672</v>
      </c>
      <c r="H999" t="s">
        <v>2664</v>
      </c>
      <c r="N999" t="s">
        <v>988</v>
      </c>
    </row>
    <row r="1000" spans="1:14" hidden="1" x14ac:dyDescent="0.3">
      <c r="A1000">
        <v>624</v>
      </c>
      <c r="B1000" t="s">
        <v>1425</v>
      </c>
      <c r="C1000" t="s">
        <v>2670</v>
      </c>
      <c r="D1000" t="s">
        <v>1203</v>
      </c>
      <c r="E1000" t="s">
        <v>1204</v>
      </c>
      <c r="F1000">
        <v>5690</v>
      </c>
      <c r="G1000" t="s">
        <v>2671</v>
      </c>
      <c r="H1000" t="s">
        <v>2665</v>
      </c>
      <c r="I1000">
        <v>38757</v>
      </c>
      <c r="J1000">
        <v>38977</v>
      </c>
      <c r="K1000">
        <v>39234</v>
      </c>
      <c r="L1000">
        <v>39439</v>
      </c>
      <c r="M1000">
        <v>39579</v>
      </c>
      <c r="N1000" t="s">
        <v>988</v>
      </c>
    </row>
    <row r="1001" spans="1:14" hidden="1" x14ac:dyDescent="0.3">
      <c r="A1001">
        <v>624</v>
      </c>
      <c r="B1001" t="s">
        <v>1425</v>
      </c>
      <c r="C1001" t="s">
        <v>2670</v>
      </c>
      <c r="D1001" t="s">
        <v>1203</v>
      </c>
      <c r="E1001" t="s">
        <v>1204</v>
      </c>
      <c r="F1001">
        <v>5690</v>
      </c>
      <c r="G1001" t="s">
        <v>2671</v>
      </c>
      <c r="H1001" t="s">
        <v>2664</v>
      </c>
      <c r="I1001">
        <v>46222</v>
      </c>
      <c r="J1001">
        <v>46222</v>
      </c>
      <c r="K1001">
        <v>46222</v>
      </c>
      <c r="L1001">
        <v>46222</v>
      </c>
      <c r="M1001">
        <v>46222</v>
      </c>
      <c r="N1001" t="s">
        <v>988</v>
      </c>
    </row>
    <row r="1002" spans="1:14" hidden="1" x14ac:dyDescent="0.3">
      <c r="A1002">
        <v>624</v>
      </c>
      <c r="B1002" t="s">
        <v>1425</v>
      </c>
      <c r="C1002" t="s">
        <v>2670</v>
      </c>
      <c r="D1002" t="s">
        <v>1203</v>
      </c>
      <c r="E1002" t="s">
        <v>1204</v>
      </c>
      <c r="F1002">
        <v>5690</v>
      </c>
      <c r="G1002" t="s">
        <v>2673</v>
      </c>
      <c r="H1002" t="s">
        <v>2665</v>
      </c>
      <c r="I1002">
        <v>41987</v>
      </c>
      <c r="J1002">
        <v>42225</v>
      </c>
      <c r="K1002">
        <v>42503</v>
      </c>
      <c r="L1002">
        <v>42726</v>
      </c>
      <c r="M1002">
        <v>42877</v>
      </c>
      <c r="N1002" t="s">
        <v>988</v>
      </c>
    </row>
    <row r="1003" spans="1:14" hidden="1" x14ac:dyDescent="0.3">
      <c r="A1003">
        <v>624</v>
      </c>
      <c r="B1003" t="s">
        <v>1425</v>
      </c>
      <c r="C1003" t="s">
        <v>2670</v>
      </c>
      <c r="D1003" t="s">
        <v>1203</v>
      </c>
      <c r="E1003" t="s">
        <v>1204</v>
      </c>
      <c r="F1003">
        <v>5690</v>
      </c>
      <c r="G1003" t="s">
        <v>2676</v>
      </c>
      <c r="H1003" t="s">
        <v>2664</v>
      </c>
      <c r="I1003">
        <v>46222</v>
      </c>
      <c r="J1003">
        <v>46222</v>
      </c>
      <c r="K1003">
        <v>46222</v>
      </c>
      <c r="L1003">
        <v>46222</v>
      </c>
      <c r="M1003">
        <v>46222</v>
      </c>
      <c r="N1003" t="s">
        <v>988</v>
      </c>
    </row>
    <row r="1004" spans="1:14" hidden="1" x14ac:dyDescent="0.3">
      <c r="A1004">
        <v>624</v>
      </c>
      <c r="B1004" t="s">
        <v>1425</v>
      </c>
      <c r="C1004" t="s">
        <v>2670</v>
      </c>
      <c r="D1004" t="s">
        <v>1203</v>
      </c>
      <c r="E1004" t="s">
        <v>1204</v>
      </c>
      <c r="F1004">
        <v>5690</v>
      </c>
      <c r="G1004" t="s">
        <v>2673</v>
      </c>
      <c r="H1004" t="s">
        <v>2664</v>
      </c>
      <c r="I1004">
        <v>46222</v>
      </c>
      <c r="J1004">
        <v>46222</v>
      </c>
      <c r="K1004">
        <v>46222</v>
      </c>
      <c r="L1004">
        <v>46222</v>
      </c>
      <c r="M1004">
        <v>46222</v>
      </c>
      <c r="N1004" t="s">
        <v>988</v>
      </c>
    </row>
    <row r="1005" spans="1:14" hidden="1" x14ac:dyDescent="0.3">
      <c r="A1005">
        <v>624</v>
      </c>
      <c r="B1005" t="s">
        <v>1425</v>
      </c>
      <c r="C1005" t="s">
        <v>2670</v>
      </c>
      <c r="D1005" t="s">
        <v>1203</v>
      </c>
      <c r="E1005" t="s">
        <v>1204</v>
      </c>
      <c r="F1005">
        <v>5690</v>
      </c>
      <c r="G1005" t="s">
        <v>2674</v>
      </c>
      <c r="H1005" t="s">
        <v>2665</v>
      </c>
      <c r="I1005">
        <v>42212</v>
      </c>
      <c r="J1005">
        <v>42452</v>
      </c>
      <c r="K1005">
        <v>42731</v>
      </c>
      <c r="L1005">
        <v>42955</v>
      </c>
      <c r="M1005">
        <v>43107</v>
      </c>
      <c r="N1005" t="s">
        <v>988</v>
      </c>
    </row>
    <row r="1006" spans="1:14" hidden="1" x14ac:dyDescent="0.3">
      <c r="A1006">
        <v>624</v>
      </c>
      <c r="B1006" t="s">
        <v>1425</v>
      </c>
      <c r="C1006" t="s">
        <v>2670</v>
      </c>
      <c r="D1006" t="s">
        <v>1203</v>
      </c>
      <c r="E1006" t="s">
        <v>1204</v>
      </c>
      <c r="F1006">
        <v>5690</v>
      </c>
      <c r="G1006" t="s">
        <v>2674</v>
      </c>
      <c r="H1006" t="s">
        <v>2664</v>
      </c>
      <c r="I1006">
        <v>46222</v>
      </c>
      <c r="J1006">
        <v>46222</v>
      </c>
      <c r="K1006">
        <v>46222</v>
      </c>
      <c r="L1006">
        <v>46222</v>
      </c>
      <c r="M1006">
        <v>46222</v>
      </c>
      <c r="N1006" t="s">
        <v>988</v>
      </c>
    </row>
    <row r="1007" spans="1:14" hidden="1" x14ac:dyDescent="0.3">
      <c r="A1007">
        <v>624</v>
      </c>
      <c r="B1007" t="s">
        <v>1425</v>
      </c>
      <c r="C1007" t="s">
        <v>2670</v>
      </c>
      <c r="D1007" t="s">
        <v>1203</v>
      </c>
      <c r="E1007" t="s">
        <v>1204</v>
      </c>
      <c r="F1007">
        <v>5690</v>
      </c>
      <c r="G1007" t="s">
        <v>2675</v>
      </c>
      <c r="H1007" t="s">
        <v>2665</v>
      </c>
      <c r="I1007">
        <v>40635</v>
      </c>
      <c r="J1007">
        <v>40865</v>
      </c>
      <c r="K1007">
        <v>41135</v>
      </c>
      <c r="L1007">
        <v>41350</v>
      </c>
      <c r="M1007">
        <v>41496</v>
      </c>
      <c r="N1007" t="s">
        <v>988</v>
      </c>
    </row>
    <row r="1008" spans="1:14" hidden="1" x14ac:dyDescent="0.3">
      <c r="A1008">
        <v>624</v>
      </c>
      <c r="B1008" t="s">
        <v>1425</v>
      </c>
      <c r="C1008" t="s">
        <v>2670</v>
      </c>
      <c r="D1008" t="s">
        <v>1203</v>
      </c>
      <c r="E1008" t="s">
        <v>1204</v>
      </c>
      <c r="F1008">
        <v>5690</v>
      </c>
      <c r="G1008" t="s">
        <v>2675</v>
      </c>
      <c r="H1008" t="s">
        <v>2664</v>
      </c>
      <c r="I1008">
        <v>46222</v>
      </c>
      <c r="J1008">
        <v>46222</v>
      </c>
      <c r="K1008">
        <v>46222</v>
      </c>
      <c r="L1008">
        <v>46222</v>
      </c>
      <c r="M1008">
        <v>46222</v>
      </c>
      <c r="N1008" t="s">
        <v>988</v>
      </c>
    </row>
    <row r="1009" spans="1:14" hidden="1" x14ac:dyDescent="0.3">
      <c r="A1009">
        <v>624</v>
      </c>
      <c r="B1009" t="s">
        <v>1425</v>
      </c>
      <c r="C1009" t="s">
        <v>2670</v>
      </c>
      <c r="D1009" t="s">
        <v>1203</v>
      </c>
      <c r="E1009" t="s">
        <v>1204</v>
      </c>
      <c r="F1009">
        <v>5690</v>
      </c>
      <c r="G1009" t="s">
        <v>2676</v>
      </c>
      <c r="H1009" t="s">
        <v>2665</v>
      </c>
      <c r="I1009">
        <v>38382</v>
      </c>
      <c r="J1009">
        <v>38599</v>
      </c>
      <c r="K1009">
        <v>38854</v>
      </c>
      <c r="L1009">
        <v>39057</v>
      </c>
      <c r="M1009">
        <v>39195</v>
      </c>
      <c r="N1009" t="s">
        <v>988</v>
      </c>
    </row>
    <row r="1010" spans="1:14" hidden="1" x14ac:dyDescent="0.3">
      <c r="A1010">
        <v>644</v>
      </c>
      <c r="B1010" t="s">
        <v>1434</v>
      </c>
      <c r="C1010" t="s">
        <v>2670</v>
      </c>
      <c r="D1010" t="s">
        <v>159</v>
      </c>
      <c r="E1010" t="s">
        <v>159</v>
      </c>
      <c r="F1010">
        <v>5450</v>
      </c>
      <c r="G1010" t="s">
        <v>2672</v>
      </c>
      <c r="H1010" t="s">
        <v>2665</v>
      </c>
      <c r="N1010" t="s">
        <v>988</v>
      </c>
    </row>
    <row r="1011" spans="1:14" hidden="1" x14ac:dyDescent="0.3">
      <c r="A1011">
        <v>644</v>
      </c>
      <c r="B1011" t="s">
        <v>1434</v>
      </c>
      <c r="C1011" t="s">
        <v>2670</v>
      </c>
      <c r="D1011" t="s">
        <v>159</v>
      </c>
      <c r="E1011" t="s">
        <v>159</v>
      </c>
      <c r="F1011">
        <v>5450</v>
      </c>
      <c r="G1011" t="s">
        <v>2672</v>
      </c>
      <c r="H1011" t="s">
        <v>2664</v>
      </c>
      <c r="N1011" t="s">
        <v>988</v>
      </c>
    </row>
    <row r="1012" spans="1:14" hidden="1" x14ac:dyDescent="0.3">
      <c r="A1012">
        <v>644</v>
      </c>
      <c r="B1012" t="s">
        <v>1434</v>
      </c>
      <c r="C1012" t="s">
        <v>2670</v>
      </c>
      <c r="D1012" t="s">
        <v>159</v>
      </c>
      <c r="E1012" t="s">
        <v>159</v>
      </c>
      <c r="F1012">
        <v>5450</v>
      </c>
      <c r="G1012" t="s">
        <v>2671</v>
      </c>
      <c r="H1012" t="s">
        <v>2665</v>
      </c>
      <c r="I1012">
        <v>4821</v>
      </c>
      <c r="J1012">
        <v>4847</v>
      </c>
      <c r="K1012">
        <v>4872</v>
      </c>
      <c r="L1012">
        <v>4897</v>
      </c>
      <c r="M1012">
        <v>4923</v>
      </c>
      <c r="N1012" t="s">
        <v>988</v>
      </c>
    </row>
    <row r="1013" spans="1:14" hidden="1" x14ac:dyDescent="0.3">
      <c r="A1013">
        <v>644</v>
      </c>
      <c r="B1013" t="s">
        <v>1434</v>
      </c>
      <c r="C1013" t="s">
        <v>2670</v>
      </c>
      <c r="D1013" t="s">
        <v>159</v>
      </c>
      <c r="E1013" t="s">
        <v>159</v>
      </c>
      <c r="F1013">
        <v>5450</v>
      </c>
      <c r="G1013" t="s">
        <v>2671</v>
      </c>
      <c r="H1013" t="s">
        <v>2664</v>
      </c>
      <c r="I1013">
        <v>4821</v>
      </c>
      <c r="J1013">
        <v>4847</v>
      </c>
      <c r="K1013">
        <v>4872</v>
      </c>
      <c r="L1013">
        <v>4897</v>
      </c>
      <c r="M1013">
        <v>4923</v>
      </c>
      <c r="N1013" t="s">
        <v>988</v>
      </c>
    </row>
    <row r="1014" spans="1:14" hidden="1" x14ac:dyDescent="0.3">
      <c r="A1014">
        <v>644</v>
      </c>
      <c r="B1014" t="s">
        <v>1434</v>
      </c>
      <c r="C1014" t="s">
        <v>2670</v>
      </c>
      <c r="D1014" t="s">
        <v>159</v>
      </c>
      <c r="E1014" t="s">
        <v>159</v>
      </c>
      <c r="F1014">
        <v>5450</v>
      </c>
      <c r="G1014" t="s">
        <v>2673</v>
      </c>
      <c r="H1014" t="s">
        <v>2665</v>
      </c>
      <c r="I1014">
        <v>5615</v>
      </c>
      <c r="J1014">
        <v>5645</v>
      </c>
      <c r="K1014">
        <v>5674</v>
      </c>
      <c r="L1014">
        <v>5704</v>
      </c>
      <c r="M1014">
        <v>5733</v>
      </c>
      <c r="N1014" t="s">
        <v>988</v>
      </c>
    </row>
    <row r="1015" spans="1:14" hidden="1" x14ac:dyDescent="0.3">
      <c r="A1015">
        <v>644</v>
      </c>
      <c r="B1015" t="s">
        <v>1434</v>
      </c>
      <c r="C1015" t="s">
        <v>2670</v>
      </c>
      <c r="D1015" t="s">
        <v>159</v>
      </c>
      <c r="E1015" t="s">
        <v>159</v>
      </c>
      <c r="F1015">
        <v>5450</v>
      </c>
      <c r="G1015" t="s">
        <v>2676</v>
      </c>
      <c r="H1015" t="s">
        <v>2664</v>
      </c>
      <c r="I1015">
        <v>5908</v>
      </c>
      <c r="J1015">
        <v>5939</v>
      </c>
      <c r="K1015">
        <v>5970</v>
      </c>
      <c r="L1015">
        <v>6001</v>
      </c>
      <c r="M1015">
        <v>6032</v>
      </c>
      <c r="N1015" t="s">
        <v>988</v>
      </c>
    </row>
    <row r="1016" spans="1:14" hidden="1" x14ac:dyDescent="0.3">
      <c r="A1016">
        <v>644</v>
      </c>
      <c r="B1016" t="s">
        <v>1434</v>
      </c>
      <c r="C1016" t="s">
        <v>2670</v>
      </c>
      <c r="D1016" t="s">
        <v>159</v>
      </c>
      <c r="E1016" t="s">
        <v>159</v>
      </c>
      <c r="F1016">
        <v>5450</v>
      </c>
      <c r="G1016" t="s">
        <v>2674</v>
      </c>
      <c r="H1016" t="s">
        <v>2665</v>
      </c>
      <c r="I1016">
        <v>6304</v>
      </c>
      <c r="J1016">
        <v>6337</v>
      </c>
      <c r="K1016">
        <v>6370</v>
      </c>
      <c r="L1016">
        <v>6403</v>
      </c>
      <c r="M1016">
        <v>6437</v>
      </c>
      <c r="N1016" t="s">
        <v>988</v>
      </c>
    </row>
    <row r="1017" spans="1:14" hidden="1" x14ac:dyDescent="0.3">
      <c r="A1017">
        <v>644</v>
      </c>
      <c r="B1017" t="s">
        <v>1434</v>
      </c>
      <c r="C1017" t="s">
        <v>2670</v>
      </c>
      <c r="D1017" t="s">
        <v>159</v>
      </c>
      <c r="E1017" t="s">
        <v>159</v>
      </c>
      <c r="F1017">
        <v>5450</v>
      </c>
      <c r="G1017" t="s">
        <v>2674</v>
      </c>
      <c r="H1017" t="s">
        <v>2664</v>
      </c>
      <c r="I1017">
        <v>6304</v>
      </c>
      <c r="J1017">
        <v>6337</v>
      </c>
      <c r="K1017">
        <v>6370</v>
      </c>
      <c r="L1017">
        <v>6403</v>
      </c>
      <c r="M1017">
        <v>6437</v>
      </c>
      <c r="N1017" t="s">
        <v>988</v>
      </c>
    </row>
    <row r="1018" spans="1:14" hidden="1" x14ac:dyDescent="0.3">
      <c r="A1018">
        <v>644</v>
      </c>
      <c r="B1018" t="s">
        <v>1434</v>
      </c>
      <c r="C1018" t="s">
        <v>2670</v>
      </c>
      <c r="D1018" t="s">
        <v>159</v>
      </c>
      <c r="E1018" t="s">
        <v>159</v>
      </c>
      <c r="F1018">
        <v>5450</v>
      </c>
      <c r="G1018" t="s">
        <v>2675</v>
      </c>
      <c r="H1018" t="s">
        <v>2665</v>
      </c>
      <c r="I1018">
        <v>6322</v>
      </c>
      <c r="J1018">
        <v>6355</v>
      </c>
      <c r="K1018">
        <v>6388</v>
      </c>
      <c r="L1018">
        <v>6421</v>
      </c>
      <c r="M1018">
        <v>6455</v>
      </c>
      <c r="N1018" t="s">
        <v>988</v>
      </c>
    </row>
    <row r="1019" spans="1:14" hidden="1" x14ac:dyDescent="0.3">
      <c r="A1019">
        <v>644</v>
      </c>
      <c r="B1019" t="s">
        <v>1434</v>
      </c>
      <c r="C1019" t="s">
        <v>2670</v>
      </c>
      <c r="D1019" t="s">
        <v>159</v>
      </c>
      <c r="E1019" t="s">
        <v>159</v>
      </c>
      <c r="F1019">
        <v>5450</v>
      </c>
      <c r="G1019" t="s">
        <v>2675</v>
      </c>
      <c r="H1019" t="s">
        <v>2664</v>
      </c>
      <c r="I1019">
        <v>6322</v>
      </c>
      <c r="J1019">
        <v>6355</v>
      </c>
      <c r="K1019">
        <v>6388</v>
      </c>
      <c r="L1019">
        <v>6421</v>
      </c>
      <c r="M1019">
        <v>6455</v>
      </c>
      <c r="N1019" t="s">
        <v>988</v>
      </c>
    </row>
    <row r="1020" spans="1:14" hidden="1" x14ac:dyDescent="0.3">
      <c r="A1020">
        <v>644</v>
      </c>
      <c r="B1020" t="s">
        <v>1434</v>
      </c>
      <c r="C1020" t="s">
        <v>2670</v>
      </c>
      <c r="D1020" t="s">
        <v>159</v>
      </c>
      <c r="E1020" t="s">
        <v>159</v>
      </c>
      <c r="F1020">
        <v>5450</v>
      </c>
      <c r="G1020" t="s">
        <v>2676</v>
      </c>
      <c r="H1020" t="s">
        <v>2665</v>
      </c>
      <c r="I1020">
        <v>5908</v>
      </c>
      <c r="J1020">
        <v>5939</v>
      </c>
      <c r="K1020">
        <v>5970</v>
      </c>
      <c r="L1020">
        <v>6001</v>
      </c>
      <c r="M1020">
        <v>6032</v>
      </c>
      <c r="N1020" t="s">
        <v>988</v>
      </c>
    </row>
    <row r="1021" spans="1:14" hidden="1" x14ac:dyDescent="0.3">
      <c r="A1021">
        <v>644</v>
      </c>
      <c r="B1021" t="s">
        <v>1434</v>
      </c>
      <c r="C1021" t="s">
        <v>2670</v>
      </c>
      <c r="D1021" t="s">
        <v>159</v>
      </c>
      <c r="E1021" t="s">
        <v>159</v>
      </c>
      <c r="F1021">
        <v>5450</v>
      </c>
      <c r="G1021" t="s">
        <v>2673</v>
      </c>
      <c r="H1021" t="s">
        <v>2664</v>
      </c>
      <c r="I1021">
        <v>5615</v>
      </c>
      <c r="J1021">
        <v>5645</v>
      </c>
      <c r="K1021">
        <v>5674</v>
      </c>
      <c r="L1021">
        <v>5704</v>
      </c>
      <c r="M1021">
        <v>5733</v>
      </c>
      <c r="N1021" t="s">
        <v>988</v>
      </c>
    </row>
    <row r="1022" spans="1:14" hidden="1" x14ac:dyDescent="0.3">
      <c r="A1022">
        <v>649</v>
      </c>
      <c r="B1022" t="s">
        <v>1436</v>
      </c>
      <c r="C1022" t="s">
        <v>2670</v>
      </c>
      <c r="D1022" t="s">
        <v>159</v>
      </c>
      <c r="E1022" t="s">
        <v>159</v>
      </c>
      <c r="F1022">
        <v>5683</v>
      </c>
      <c r="G1022" t="s">
        <v>2671</v>
      </c>
      <c r="H1022" t="s">
        <v>2664</v>
      </c>
      <c r="I1022">
        <v>2482.73027065</v>
      </c>
      <c r="J1022">
        <v>2458.1791678499999</v>
      </c>
      <c r="K1022">
        <v>2439.7658407499998</v>
      </c>
      <c r="L1022">
        <v>2424.4214014999998</v>
      </c>
      <c r="M1022">
        <v>2412.1458501000002</v>
      </c>
      <c r="N1022" t="s">
        <v>988</v>
      </c>
    </row>
    <row r="1023" spans="1:14" hidden="1" x14ac:dyDescent="0.3">
      <c r="A1023">
        <v>649</v>
      </c>
      <c r="B1023" t="s">
        <v>1436</v>
      </c>
      <c r="C1023" t="s">
        <v>2670</v>
      </c>
      <c r="D1023" t="s">
        <v>159</v>
      </c>
      <c r="E1023" t="s">
        <v>159</v>
      </c>
      <c r="F1023">
        <v>5683</v>
      </c>
      <c r="G1023" t="s">
        <v>2671</v>
      </c>
      <c r="H1023" t="s">
        <v>2665</v>
      </c>
      <c r="I1023">
        <v>2482.73027065</v>
      </c>
      <c r="J1023">
        <v>2458.1791678499999</v>
      </c>
      <c r="K1023">
        <v>2439.7658407499998</v>
      </c>
      <c r="L1023">
        <v>2424.4214014999998</v>
      </c>
      <c r="M1023">
        <v>2412.1458501000002</v>
      </c>
      <c r="N1023" t="s">
        <v>988</v>
      </c>
    </row>
    <row r="1024" spans="1:14" hidden="1" x14ac:dyDescent="0.3">
      <c r="A1024">
        <v>649</v>
      </c>
      <c r="B1024" t="s">
        <v>1436</v>
      </c>
      <c r="C1024" t="s">
        <v>2670</v>
      </c>
      <c r="D1024" t="s">
        <v>159</v>
      </c>
      <c r="E1024" t="s">
        <v>159</v>
      </c>
      <c r="F1024">
        <v>5683</v>
      </c>
      <c r="G1024" t="s">
        <v>2672</v>
      </c>
      <c r="H1024" t="s">
        <v>2664</v>
      </c>
      <c r="N1024" t="s">
        <v>988</v>
      </c>
    </row>
    <row r="1025" spans="1:14" hidden="1" x14ac:dyDescent="0.3">
      <c r="A1025">
        <v>649</v>
      </c>
      <c r="B1025" t="s">
        <v>1436</v>
      </c>
      <c r="C1025" t="s">
        <v>2670</v>
      </c>
      <c r="D1025" t="s">
        <v>159</v>
      </c>
      <c r="E1025" t="s">
        <v>159</v>
      </c>
      <c r="F1025">
        <v>5683</v>
      </c>
      <c r="G1025" t="s">
        <v>2672</v>
      </c>
      <c r="H1025" t="s">
        <v>2665</v>
      </c>
      <c r="N1025" t="s">
        <v>988</v>
      </c>
    </row>
    <row r="1026" spans="1:14" hidden="1" x14ac:dyDescent="0.3">
      <c r="A1026">
        <v>649</v>
      </c>
      <c r="B1026" t="s">
        <v>1436</v>
      </c>
      <c r="C1026" t="s">
        <v>2670</v>
      </c>
      <c r="D1026" t="s">
        <v>159</v>
      </c>
      <c r="E1026" t="s">
        <v>159</v>
      </c>
      <c r="F1026">
        <v>5683</v>
      </c>
      <c r="G1026" t="s">
        <v>2676</v>
      </c>
      <c r="H1026" t="s">
        <v>2664</v>
      </c>
      <c r="I1026">
        <v>2482.73027065</v>
      </c>
      <c r="J1026">
        <v>2458.1791678499999</v>
      </c>
      <c r="K1026">
        <v>2439.7658407499998</v>
      </c>
      <c r="L1026">
        <v>2424.4214014999998</v>
      </c>
      <c r="M1026">
        <v>2412.1458501000002</v>
      </c>
      <c r="N1026" t="s">
        <v>988</v>
      </c>
    </row>
    <row r="1027" spans="1:14" hidden="1" x14ac:dyDescent="0.3">
      <c r="A1027">
        <v>649</v>
      </c>
      <c r="B1027" t="s">
        <v>1436</v>
      </c>
      <c r="C1027" t="s">
        <v>2670</v>
      </c>
      <c r="D1027" t="s">
        <v>159</v>
      </c>
      <c r="E1027" t="s">
        <v>159</v>
      </c>
      <c r="F1027">
        <v>5683</v>
      </c>
      <c r="G1027" t="s">
        <v>2673</v>
      </c>
      <c r="H1027" t="s">
        <v>2665</v>
      </c>
      <c r="I1027">
        <v>2482.73027065</v>
      </c>
      <c r="J1027">
        <v>2458.1791678499999</v>
      </c>
      <c r="K1027">
        <v>2439.7658407499998</v>
      </c>
      <c r="L1027">
        <v>2424.4214014999998</v>
      </c>
      <c r="M1027">
        <v>2412.1458501000002</v>
      </c>
      <c r="N1027" t="s">
        <v>988</v>
      </c>
    </row>
    <row r="1028" spans="1:14" hidden="1" x14ac:dyDescent="0.3">
      <c r="A1028">
        <v>649</v>
      </c>
      <c r="B1028" t="s">
        <v>1436</v>
      </c>
      <c r="C1028" t="s">
        <v>2670</v>
      </c>
      <c r="D1028" t="s">
        <v>159</v>
      </c>
      <c r="E1028" t="s">
        <v>159</v>
      </c>
      <c r="F1028">
        <v>5683</v>
      </c>
      <c r="G1028" t="s">
        <v>2675</v>
      </c>
      <c r="H1028" t="s">
        <v>2664</v>
      </c>
      <c r="I1028">
        <v>2482.73027065</v>
      </c>
      <c r="J1028">
        <v>2458.1791678499999</v>
      </c>
      <c r="K1028">
        <v>2439.7658407499998</v>
      </c>
      <c r="L1028">
        <v>2424.4214014999998</v>
      </c>
      <c r="M1028">
        <v>2412.1458501000002</v>
      </c>
      <c r="N1028" t="s">
        <v>988</v>
      </c>
    </row>
    <row r="1029" spans="1:14" hidden="1" x14ac:dyDescent="0.3">
      <c r="A1029">
        <v>649</v>
      </c>
      <c r="B1029" t="s">
        <v>1436</v>
      </c>
      <c r="C1029" t="s">
        <v>2670</v>
      </c>
      <c r="D1029" t="s">
        <v>159</v>
      </c>
      <c r="E1029" t="s">
        <v>159</v>
      </c>
      <c r="F1029">
        <v>5683</v>
      </c>
      <c r="G1029" t="s">
        <v>2675</v>
      </c>
      <c r="H1029" t="s">
        <v>2665</v>
      </c>
      <c r="I1029">
        <v>2482.73027065</v>
      </c>
      <c r="J1029">
        <v>2458.1791678499999</v>
      </c>
      <c r="K1029">
        <v>2439.7658407499998</v>
      </c>
      <c r="L1029">
        <v>2424.4214014999998</v>
      </c>
      <c r="M1029">
        <v>2412.1458501000002</v>
      </c>
      <c r="N1029" t="s">
        <v>988</v>
      </c>
    </row>
    <row r="1030" spans="1:14" hidden="1" x14ac:dyDescent="0.3">
      <c r="A1030">
        <v>649</v>
      </c>
      <c r="B1030" t="s">
        <v>1436</v>
      </c>
      <c r="C1030" t="s">
        <v>2670</v>
      </c>
      <c r="D1030" t="s">
        <v>159</v>
      </c>
      <c r="E1030" t="s">
        <v>159</v>
      </c>
      <c r="F1030">
        <v>5683</v>
      </c>
      <c r="G1030" t="s">
        <v>2674</v>
      </c>
      <c r="H1030" t="s">
        <v>2664</v>
      </c>
      <c r="I1030">
        <v>2482.73027065</v>
      </c>
      <c r="J1030">
        <v>2458.1791678499999</v>
      </c>
      <c r="K1030">
        <v>2439.7658407499998</v>
      </c>
      <c r="L1030">
        <v>2424.4214014999998</v>
      </c>
      <c r="M1030">
        <v>2412.1458501000002</v>
      </c>
      <c r="N1030" t="s">
        <v>988</v>
      </c>
    </row>
    <row r="1031" spans="1:14" hidden="1" x14ac:dyDescent="0.3">
      <c r="A1031">
        <v>649</v>
      </c>
      <c r="B1031" t="s">
        <v>1436</v>
      </c>
      <c r="C1031" t="s">
        <v>2670</v>
      </c>
      <c r="D1031" t="s">
        <v>159</v>
      </c>
      <c r="E1031" t="s">
        <v>159</v>
      </c>
      <c r="F1031">
        <v>5683</v>
      </c>
      <c r="G1031" t="s">
        <v>2674</v>
      </c>
      <c r="H1031" t="s">
        <v>2665</v>
      </c>
      <c r="I1031">
        <v>2482.73027065</v>
      </c>
      <c r="J1031">
        <v>2458.1791678499999</v>
      </c>
      <c r="K1031">
        <v>2439.7658407499998</v>
      </c>
      <c r="L1031">
        <v>2424.4214014999998</v>
      </c>
      <c r="M1031">
        <v>2412.1458501000002</v>
      </c>
      <c r="N1031" t="s">
        <v>988</v>
      </c>
    </row>
    <row r="1032" spans="1:14" hidden="1" x14ac:dyDescent="0.3">
      <c r="A1032">
        <v>649</v>
      </c>
      <c r="B1032" t="s">
        <v>1436</v>
      </c>
      <c r="C1032" t="s">
        <v>2670</v>
      </c>
      <c r="D1032" t="s">
        <v>159</v>
      </c>
      <c r="E1032" t="s">
        <v>159</v>
      </c>
      <c r="F1032">
        <v>5683</v>
      </c>
      <c r="G1032" t="s">
        <v>2673</v>
      </c>
      <c r="H1032" t="s">
        <v>2664</v>
      </c>
      <c r="I1032">
        <v>2482.73027065</v>
      </c>
      <c r="J1032">
        <v>2458.1791678499999</v>
      </c>
      <c r="K1032">
        <v>2439.7658407499998</v>
      </c>
      <c r="L1032">
        <v>2424.4214014999998</v>
      </c>
      <c r="M1032">
        <v>2412.1458501000002</v>
      </c>
      <c r="N1032" t="s">
        <v>988</v>
      </c>
    </row>
    <row r="1033" spans="1:14" hidden="1" x14ac:dyDescent="0.3">
      <c r="A1033">
        <v>649</v>
      </c>
      <c r="B1033" t="s">
        <v>1436</v>
      </c>
      <c r="C1033" t="s">
        <v>2670</v>
      </c>
      <c r="D1033" t="s">
        <v>159</v>
      </c>
      <c r="E1033" t="s">
        <v>159</v>
      </c>
      <c r="F1033">
        <v>5683</v>
      </c>
      <c r="G1033" t="s">
        <v>2676</v>
      </c>
      <c r="H1033" t="s">
        <v>2665</v>
      </c>
      <c r="I1033">
        <v>2482.73027065</v>
      </c>
      <c r="J1033">
        <v>2458.1791678499999</v>
      </c>
      <c r="K1033">
        <v>2439.7658407499998</v>
      </c>
      <c r="L1033">
        <v>2424.4214014999998</v>
      </c>
      <c r="M1033">
        <v>2412.1458501000002</v>
      </c>
      <c r="N1033" t="s">
        <v>988</v>
      </c>
    </row>
    <row r="1034" spans="1:14" hidden="1" x14ac:dyDescent="0.3">
      <c r="A1034">
        <v>651</v>
      </c>
      <c r="B1034" t="s">
        <v>1437</v>
      </c>
      <c r="C1034" t="s">
        <v>2670</v>
      </c>
      <c r="D1034" t="s">
        <v>1203</v>
      </c>
      <c r="E1034" t="s">
        <v>1204</v>
      </c>
      <c r="F1034">
        <v>5729</v>
      </c>
      <c r="G1034" t="s">
        <v>2676</v>
      </c>
      <c r="H1034" t="s">
        <v>2665</v>
      </c>
      <c r="I1034">
        <v>4531.49</v>
      </c>
      <c r="J1034">
        <v>4602.9399999999996</v>
      </c>
      <c r="K1034">
        <v>4675.5200000000004</v>
      </c>
      <c r="L1034">
        <v>4749.24</v>
      </c>
      <c r="M1034">
        <v>4824.13</v>
      </c>
      <c r="N1034" t="s">
        <v>988</v>
      </c>
    </row>
    <row r="1035" spans="1:14" hidden="1" x14ac:dyDescent="0.3">
      <c r="A1035">
        <v>651</v>
      </c>
      <c r="B1035" t="s">
        <v>1437</v>
      </c>
      <c r="C1035" t="s">
        <v>2670</v>
      </c>
      <c r="D1035" t="s">
        <v>1203</v>
      </c>
      <c r="E1035" t="s">
        <v>1204</v>
      </c>
      <c r="F1035">
        <v>5729</v>
      </c>
      <c r="G1035" t="s">
        <v>2676</v>
      </c>
      <c r="H1035" t="s">
        <v>2664</v>
      </c>
      <c r="I1035">
        <v>5748</v>
      </c>
      <c r="J1035">
        <v>5748</v>
      </c>
      <c r="K1035">
        <v>5748</v>
      </c>
      <c r="L1035">
        <v>5748</v>
      </c>
      <c r="M1035">
        <v>5748</v>
      </c>
      <c r="N1035" t="s">
        <v>988</v>
      </c>
    </row>
    <row r="1036" spans="1:14" hidden="1" x14ac:dyDescent="0.3">
      <c r="A1036">
        <v>651</v>
      </c>
      <c r="B1036" t="s">
        <v>1437</v>
      </c>
      <c r="C1036" t="s">
        <v>2670</v>
      </c>
      <c r="D1036" t="s">
        <v>1203</v>
      </c>
      <c r="E1036" t="s">
        <v>1204</v>
      </c>
      <c r="F1036">
        <v>5729</v>
      </c>
      <c r="G1036" t="s">
        <v>2675</v>
      </c>
      <c r="H1036" t="s">
        <v>2664</v>
      </c>
      <c r="I1036">
        <v>5748</v>
      </c>
      <c r="J1036">
        <v>5748</v>
      </c>
      <c r="K1036">
        <v>5748</v>
      </c>
      <c r="L1036">
        <v>5748</v>
      </c>
      <c r="M1036">
        <v>5748</v>
      </c>
      <c r="N1036" t="s">
        <v>988</v>
      </c>
    </row>
    <row r="1037" spans="1:14" hidden="1" x14ac:dyDescent="0.3">
      <c r="A1037">
        <v>651</v>
      </c>
      <c r="B1037" t="s">
        <v>1437</v>
      </c>
      <c r="C1037" t="s">
        <v>2670</v>
      </c>
      <c r="D1037" t="s">
        <v>1203</v>
      </c>
      <c r="E1037" t="s">
        <v>1204</v>
      </c>
      <c r="F1037">
        <v>5729</v>
      </c>
      <c r="G1037" t="s">
        <v>2675</v>
      </c>
      <c r="H1037" t="s">
        <v>2665</v>
      </c>
      <c r="I1037">
        <v>4781.17</v>
      </c>
      <c r="J1037">
        <v>4856.55</v>
      </c>
      <c r="K1037">
        <v>4933.13</v>
      </c>
      <c r="L1037">
        <v>5010.92</v>
      </c>
      <c r="M1037">
        <v>5089.93</v>
      </c>
      <c r="N1037" t="s">
        <v>988</v>
      </c>
    </row>
    <row r="1038" spans="1:14" hidden="1" x14ac:dyDescent="0.3">
      <c r="A1038">
        <v>651</v>
      </c>
      <c r="B1038" t="s">
        <v>1437</v>
      </c>
      <c r="C1038" t="s">
        <v>2670</v>
      </c>
      <c r="D1038" t="s">
        <v>1203</v>
      </c>
      <c r="E1038" t="s">
        <v>1204</v>
      </c>
      <c r="F1038">
        <v>5729</v>
      </c>
      <c r="G1038" t="s">
        <v>2674</v>
      </c>
      <c r="H1038" t="s">
        <v>2664</v>
      </c>
      <c r="I1038">
        <v>5748</v>
      </c>
      <c r="J1038">
        <v>5748</v>
      </c>
      <c r="K1038">
        <v>5748</v>
      </c>
      <c r="L1038">
        <v>5748</v>
      </c>
      <c r="M1038">
        <v>5748</v>
      </c>
      <c r="N1038" t="s">
        <v>988</v>
      </c>
    </row>
    <row r="1039" spans="1:14" hidden="1" x14ac:dyDescent="0.3">
      <c r="A1039">
        <v>651</v>
      </c>
      <c r="B1039" t="s">
        <v>1437</v>
      </c>
      <c r="C1039" t="s">
        <v>2670</v>
      </c>
      <c r="D1039" t="s">
        <v>1203</v>
      </c>
      <c r="E1039" t="s">
        <v>1204</v>
      </c>
      <c r="F1039">
        <v>5729</v>
      </c>
      <c r="G1039" t="s">
        <v>2674</v>
      </c>
      <c r="H1039" t="s">
        <v>2665</v>
      </c>
      <c r="I1039">
        <v>4835.58</v>
      </c>
      <c r="J1039">
        <v>4911.83</v>
      </c>
      <c r="K1039">
        <v>4989.28</v>
      </c>
      <c r="L1039">
        <v>5067.95</v>
      </c>
      <c r="M1039">
        <v>5147.8599999999997</v>
      </c>
      <c r="N1039" t="s">
        <v>988</v>
      </c>
    </row>
    <row r="1040" spans="1:14" hidden="1" x14ac:dyDescent="0.3">
      <c r="A1040">
        <v>651</v>
      </c>
      <c r="B1040" t="s">
        <v>1437</v>
      </c>
      <c r="C1040" t="s">
        <v>2670</v>
      </c>
      <c r="D1040" t="s">
        <v>1203</v>
      </c>
      <c r="E1040" t="s">
        <v>1204</v>
      </c>
      <c r="F1040">
        <v>5729</v>
      </c>
      <c r="G1040" t="s">
        <v>2673</v>
      </c>
      <c r="H1040" t="s">
        <v>2664</v>
      </c>
      <c r="I1040">
        <v>5748</v>
      </c>
      <c r="J1040">
        <v>5748</v>
      </c>
      <c r="K1040">
        <v>5748</v>
      </c>
      <c r="L1040">
        <v>5748</v>
      </c>
      <c r="M1040">
        <v>5748</v>
      </c>
      <c r="N1040" t="s">
        <v>988</v>
      </c>
    </row>
    <row r="1041" spans="1:14" hidden="1" x14ac:dyDescent="0.3">
      <c r="A1041">
        <v>651</v>
      </c>
      <c r="B1041" t="s">
        <v>1437</v>
      </c>
      <c r="C1041" t="s">
        <v>2670</v>
      </c>
      <c r="D1041" t="s">
        <v>1203</v>
      </c>
      <c r="E1041" t="s">
        <v>1204</v>
      </c>
      <c r="F1041">
        <v>5729</v>
      </c>
      <c r="G1041" t="s">
        <v>2673</v>
      </c>
      <c r="H1041" t="s">
        <v>2665</v>
      </c>
      <c r="I1041">
        <v>4565.21</v>
      </c>
      <c r="J1041">
        <v>4637.2</v>
      </c>
      <c r="K1041">
        <v>4710.32</v>
      </c>
      <c r="L1041">
        <v>4784.59</v>
      </c>
      <c r="M1041">
        <v>4860.03</v>
      </c>
      <c r="N1041" t="s">
        <v>988</v>
      </c>
    </row>
    <row r="1042" spans="1:14" hidden="1" x14ac:dyDescent="0.3">
      <c r="A1042">
        <v>651</v>
      </c>
      <c r="B1042" t="s">
        <v>1437</v>
      </c>
      <c r="C1042" t="s">
        <v>2670</v>
      </c>
      <c r="D1042" t="s">
        <v>1203</v>
      </c>
      <c r="E1042" t="s">
        <v>1204</v>
      </c>
      <c r="F1042">
        <v>5729</v>
      </c>
      <c r="G1042" t="s">
        <v>2671</v>
      </c>
      <c r="H1042" t="s">
        <v>2664</v>
      </c>
      <c r="I1042">
        <v>5748</v>
      </c>
      <c r="J1042">
        <v>5748</v>
      </c>
      <c r="K1042">
        <v>5748</v>
      </c>
      <c r="L1042">
        <v>5748</v>
      </c>
      <c r="M1042">
        <v>5748</v>
      </c>
      <c r="N1042" t="s">
        <v>988</v>
      </c>
    </row>
    <row r="1043" spans="1:14" hidden="1" x14ac:dyDescent="0.3">
      <c r="A1043">
        <v>651</v>
      </c>
      <c r="B1043" t="s">
        <v>1437</v>
      </c>
      <c r="C1043" t="s">
        <v>2670</v>
      </c>
      <c r="D1043" t="s">
        <v>1203</v>
      </c>
      <c r="E1043" t="s">
        <v>1204</v>
      </c>
      <c r="F1043">
        <v>5729</v>
      </c>
      <c r="G1043" t="s">
        <v>2671</v>
      </c>
      <c r="H1043" t="s">
        <v>2665</v>
      </c>
      <c r="I1043">
        <v>3789.48</v>
      </c>
      <c r="J1043">
        <v>3849.24</v>
      </c>
      <c r="K1043">
        <v>3909.93</v>
      </c>
      <c r="L1043">
        <v>3971.58</v>
      </c>
      <c r="M1043">
        <v>4034.2</v>
      </c>
      <c r="N1043" t="s">
        <v>988</v>
      </c>
    </row>
    <row r="1044" spans="1:14" hidden="1" x14ac:dyDescent="0.3">
      <c r="A1044">
        <v>651</v>
      </c>
      <c r="B1044" t="s">
        <v>1437</v>
      </c>
      <c r="C1044" t="s">
        <v>2670</v>
      </c>
      <c r="D1044" t="s">
        <v>1203</v>
      </c>
      <c r="E1044" t="s">
        <v>1204</v>
      </c>
      <c r="F1044">
        <v>5729</v>
      </c>
      <c r="G1044" t="s">
        <v>2672</v>
      </c>
      <c r="H1044" t="s">
        <v>2664</v>
      </c>
      <c r="N1044" t="s">
        <v>988</v>
      </c>
    </row>
    <row r="1045" spans="1:14" hidden="1" x14ac:dyDescent="0.3">
      <c r="A1045">
        <v>651</v>
      </c>
      <c r="B1045" t="s">
        <v>1437</v>
      </c>
      <c r="C1045" t="s">
        <v>2670</v>
      </c>
      <c r="D1045" t="s">
        <v>1203</v>
      </c>
      <c r="E1045" t="s">
        <v>1204</v>
      </c>
      <c r="F1045">
        <v>5729</v>
      </c>
      <c r="G1045" t="s">
        <v>2672</v>
      </c>
      <c r="H1045" t="s">
        <v>2665</v>
      </c>
      <c r="N1045" t="s">
        <v>988</v>
      </c>
    </row>
    <row r="1046" spans="1:14" hidden="1" x14ac:dyDescent="0.3">
      <c r="A1046">
        <v>654</v>
      </c>
      <c r="B1046" t="s">
        <v>1439</v>
      </c>
      <c r="C1046" t="s">
        <v>2670</v>
      </c>
      <c r="D1046" t="s">
        <v>159</v>
      </c>
      <c r="E1046" t="s">
        <v>159</v>
      </c>
      <c r="F1046">
        <v>7861</v>
      </c>
      <c r="G1046" t="s">
        <v>2672</v>
      </c>
      <c r="H1046" t="s">
        <v>2665</v>
      </c>
      <c r="N1046" t="s">
        <v>988</v>
      </c>
    </row>
    <row r="1047" spans="1:14" hidden="1" x14ac:dyDescent="0.3">
      <c r="A1047">
        <v>654</v>
      </c>
      <c r="B1047" t="s">
        <v>1439</v>
      </c>
      <c r="C1047" t="s">
        <v>2670</v>
      </c>
      <c r="D1047" t="s">
        <v>159</v>
      </c>
      <c r="E1047" t="s">
        <v>159</v>
      </c>
      <c r="F1047">
        <v>7861</v>
      </c>
      <c r="G1047" t="s">
        <v>2672</v>
      </c>
      <c r="H1047" t="s">
        <v>2664</v>
      </c>
      <c r="N1047" t="s">
        <v>988</v>
      </c>
    </row>
    <row r="1048" spans="1:14" hidden="1" x14ac:dyDescent="0.3">
      <c r="A1048">
        <v>654</v>
      </c>
      <c r="B1048" t="s">
        <v>1439</v>
      </c>
      <c r="C1048" t="s">
        <v>2670</v>
      </c>
      <c r="D1048" t="s">
        <v>159</v>
      </c>
      <c r="E1048" t="s">
        <v>159</v>
      </c>
      <c r="F1048">
        <v>7861</v>
      </c>
      <c r="G1048" t="s">
        <v>2671</v>
      </c>
      <c r="H1048" t="s">
        <v>2665</v>
      </c>
      <c r="I1048">
        <v>447.33929755697199</v>
      </c>
      <c r="J1048">
        <v>468.82690064395803</v>
      </c>
      <c r="K1048">
        <v>491.40724935801802</v>
      </c>
      <c r="L1048">
        <v>515.14232716959395</v>
      </c>
      <c r="N1048" t="s">
        <v>988</v>
      </c>
    </row>
    <row r="1049" spans="1:14" hidden="1" x14ac:dyDescent="0.3">
      <c r="A1049">
        <v>654</v>
      </c>
      <c r="B1049" t="s">
        <v>1439</v>
      </c>
      <c r="C1049" t="s">
        <v>2670</v>
      </c>
      <c r="D1049" t="s">
        <v>159</v>
      </c>
      <c r="E1049" t="s">
        <v>159</v>
      </c>
      <c r="F1049">
        <v>7861</v>
      </c>
      <c r="G1049" t="s">
        <v>2671</v>
      </c>
      <c r="H1049" t="s">
        <v>2664</v>
      </c>
      <c r="I1049">
        <v>898.58814512004801</v>
      </c>
      <c r="J1049">
        <v>914.00366378768899</v>
      </c>
      <c r="K1049">
        <v>929.41918245532895</v>
      </c>
      <c r="L1049">
        <v>944.83470112296902</v>
      </c>
      <c r="N1049" t="s">
        <v>988</v>
      </c>
    </row>
    <row r="1050" spans="1:14" hidden="1" x14ac:dyDescent="0.3">
      <c r="A1050">
        <v>654</v>
      </c>
      <c r="B1050" t="s">
        <v>1439</v>
      </c>
      <c r="C1050" t="s">
        <v>2670</v>
      </c>
      <c r="D1050" t="s">
        <v>159</v>
      </c>
      <c r="E1050" t="s">
        <v>159</v>
      </c>
      <c r="F1050">
        <v>7861</v>
      </c>
      <c r="G1050" t="s">
        <v>2673</v>
      </c>
      <c r="H1050" t="s">
        <v>2665</v>
      </c>
      <c r="I1050">
        <v>521.896229763816</v>
      </c>
      <c r="J1050">
        <v>546.96510003196602</v>
      </c>
      <c r="K1050">
        <v>573.30807497033902</v>
      </c>
      <c r="L1050">
        <v>600.99861646983004</v>
      </c>
      <c r="N1050" t="s">
        <v>988</v>
      </c>
    </row>
    <row r="1051" spans="1:14" hidden="1" x14ac:dyDescent="0.3">
      <c r="A1051">
        <v>654</v>
      </c>
      <c r="B1051" t="s">
        <v>1439</v>
      </c>
      <c r="C1051" t="s">
        <v>2670</v>
      </c>
      <c r="D1051" t="s">
        <v>159</v>
      </c>
      <c r="E1051" t="s">
        <v>159</v>
      </c>
      <c r="F1051">
        <v>7861</v>
      </c>
      <c r="G1051" t="s">
        <v>2676</v>
      </c>
      <c r="H1051" t="s">
        <v>2664</v>
      </c>
      <c r="I1051">
        <v>966.285573264508</v>
      </c>
      <c r="J1051">
        <v>984.23782285213997</v>
      </c>
      <c r="K1051">
        <v>1002.19007243977</v>
      </c>
      <c r="L1051">
        <v>1020.1423220274</v>
      </c>
      <c r="N1051" t="s">
        <v>988</v>
      </c>
    </row>
    <row r="1052" spans="1:14" hidden="1" x14ac:dyDescent="0.3">
      <c r="A1052">
        <v>654</v>
      </c>
      <c r="B1052" t="s">
        <v>1439</v>
      </c>
      <c r="C1052" t="s">
        <v>2670</v>
      </c>
      <c r="D1052" t="s">
        <v>159</v>
      </c>
      <c r="E1052" t="s">
        <v>159</v>
      </c>
      <c r="F1052">
        <v>7861</v>
      </c>
      <c r="G1052" t="s">
        <v>2674</v>
      </c>
      <c r="H1052" t="s">
        <v>2665</v>
      </c>
      <c r="I1052">
        <v>596.45086628656895</v>
      </c>
      <c r="J1052">
        <v>625.10100373588398</v>
      </c>
      <c r="K1052">
        <v>655.21119626675102</v>
      </c>
      <c r="L1052">
        <v>686.85490577006499</v>
      </c>
      <c r="N1052" t="s">
        <v>988</v>
      </c>
    </row>
    <row r="1053" spans="1:14" hidden="1" x14ac:dyDescent="0.3">
      <c r="A1053">
        <v>654</v>
      </c>
      <c r="B1053" t="s">
        <v>1439</v>
      </c>
      <c r="C1053" t="s">
        <v>2670</v>
      </c>
      <c r="D1053" t="s">
        <v>159</v>
      </c>
      <c r="E1053" t="s">
        <v>159</v>
      </c>
      <c r="F1053">
        <v>7861</v>
      </c>
      <c r="G1053" t="s">
        <v>2674</v>
      </c>
      <c r="H1053" t="s">
        <v>2664</v>
      </c>
      <c r="I1053">
        <v>799.64645650401997</v>
      </c>
      <c r="J1053">
        <v>811.35444536551904</v>
      </c>
      <c r="K1053">
        <v>823.062434227018</v>
      </c>
      <c r="L1053">
        <v>834.77042308851696</v>
      </c>
      <c r="N1053" t="s">
        <v>988</v>
      </c>
    </row>
    <row r="1054" spans="1:14" hidden="1" x14ac:dyDescent="0.3">
      <c r="A1054">
        <v>654</v>
      </c>
      <c r="B1054" t="s">
        <v>1439</v>
      </c>
      <c r="C1054" t="s">
        <v>2670</v>
      </c>
      <c r="D1054" t="s">
        <v>159</v>
      </c>
      <c r="E1054" t="s">
        <v>159</v>
      </c>
      <c r="F1054">
        <v>7861</v>
      </c>
      <c r="G1054" t="s">
        <v>2675</v>
      </c>
      <c r="H1054" t="s">
        <v>2665</v>
      </c>
      <c r="I1054">
        <v>671.00779849341302</v>
      </c>
      <c r="J1054">
        <v>703.23920312389203</v>
      </c>
      <c r="K1054">
        <v>737.11202187907202</v>
      </c>
      <c r="L1054">
        <v>772.71349075439105</v>
      </c>
      <c r="N1054" t="s">
        <v>988</v>
      </c>
    </row>
    <row r="1055" spans="1:14" hidden="1" x14ac:dyDescent="0.3">
      <c r="A1055">
        <v>654</v>
      </c>
      <c r="B1055" t="s">
        <v>1439</v>
      </c>
      <c r="C1055" t="s">
        <v>2670</v>
      </c>
      <c r="D1055" t="s">
        <v>159</v>
      </c>
      <c r="E1055" t="s">
        <v>159</v>
      </c>
      <c r="F1055">
        <v>7861</v>
      </c>
      <c r="G1055" t="s">
        <v>2675</v>
      </c>
      <c r="H1055" t="s">
        <v>2664</v>
      </c>
      <c r="I1055">
        <v>836.09962417691099</v>
      </c>
      <c r="J1055">
        <v>849.17354507225104</v>
      </c>
      <c r="K1055">
        <v>862.24746596759201</v>
      </c>
      <c r="L1055">
        <v>875.32138686293194</v>
      </c>
      <c r="N1055" t="s">
        <v>988</v>
      </c>
    </row>
    <row r="1056" spans="1:14" hidden="1" x14ac:dyDescent="0.3">
      <c r="A1056">
        <v>654</v>
      </c>
      <c r="B1056" t="s">
        <v>1439</v>
      </c>
      <c r="C1056" t="s">
        <v>2670</v>
      </c>
      <c r="D1056" t="s">
        <v>159</v>
      </c>
      <c r="E1056" t="s">
        <v>159</v>
      </c>
      <c r="F1056">
        <v>7861</v>
      </c>
      <c r="G1056" t="s">
        <v>2676</v>
      </c>
      <c r="H1056" t="s">
        <v>2665</v>
      </c>
      <c r="I1056">
        <v>745.56473070025595</v>
      </c>
      <c r="J1056">
        <v>781.37740251189996</v>
      </c>
      <c r="K1056">
        <v>819.01284749139302</v>
      </c>
      <c r="L1056">
        <v>858.56978005462702</v>
      </c>
      <c r="N1056" t="s">
        <v>988</v>
      </c>
    </row>
    <row r="1057" spans="1:14" hidden="1" x14ac:dyDescent="0.3">
      <c r="A1057">
        <v>654</v>
      </c>
      <c r="B1057" t="s">
        <v>1439</v>
      </c>
      <c r="C1057" t="s">
        <v>2670</v>
      </c>
      <c r="D1057" t="s">
        <v>159</v>
      </c>
      <c r="E1057" t="s">
        <v>159</v>
      </c>
      <c r="F1057">
        <v>7861</v>
      </c>
      <c r="G1057" t="s">
        <v>2673</v>
      </c>
      <c r="H1057" t="s">
        <v>2664</v>
      </c>
      <c r="I1057">
        <v>742.36454707811299</v>
      </c>
      <c r="J1057">
        <v>751.92607131500404</v>
      </c>
      <c r="K1057">
        <v>763.634060176503</v>
      </c>
      <c r="L1057">
        <v>773.19558441339404</v>
      </c>
      <c r="N1057" t="s">
        <v>988</v>
      </c>
    </row>
    <row r="1058" spans="1:14" hidden="1" x14ac:dyDescent="0.3">
      <c r="A1058">
        <v>664</v>
      </c>
      <c r="B1058" t="s">
        <v>1441</v>
      </c>
      <c r="C1058" t="s">
        <v>2670</v>
      </c>
      <c r="D1058" t="s">
        <v>1203</v>
      </c>
      <c r="E1058" t="s">
        <v>1204</v>
      </c>
      <c r="F1058">
        <v>5463</v>
      </c>
      <c r="G1058" t="s">
        <v>2674</v>
      </c>
      <c r="H1058" t="s">
        <v>2664</v>
      </c>
      <c r="I1058">
        <v>64924</v>
      </c>
      <c r="J1058">
        <v>70271</v>
      </c>
      <c r="K1058">
        <v>72035</v>
      </c>
      <c r="L1058">
        <v>73506</v>
      </c>
      <c r="M1058">
        <v>73506</v>
      </c>
      <c r="N1058" t="s">
        <v>988</v>
      </c>
    </row>
    <row r="1059" spans="1:14" hidden="1" x14ac:dyDescent="0.3">
      <c r="A1059">
        <v>664</v>
      </c>
      <c r="B1059" t="s">
        <v>1441</v>
      </c>
      <c r="C1059" t="s">
        <v>2670</v>
      </c>
      <c r="D1059" t="s">
        <v>1203</v>
      </c>
      <c r="E1059" t="s">
        <v>1204</v>
      </c>
      <c r="F1059">
        <v>5463</v>
      </c>
      <c r="G1059" t="s">
        <v>2675</v>
      </c>
      <c r="H1059" t="s">
        <v>2665</v>
      </c>
      <c r="I1059">
        <v>58897</v>
      </c>
      <c r="J1059">
        <v>64109</v>
      </c>
      <c r="K1059">
        <v>65829</v>
      </c>
      <c r="L1059">
        <v>67262</v>
      </c>
      <c r="M1059">
        <v>67262</v>
      </c>
      <c r="N1059" t="s">
        <v>988</v>
      </c>
    </row>
    <row r="1060" spans="1:14" hidden="1" x14ac:dyDescent="0.3">
      <c r="A1060">
        <v>664</v>
      </c>
      <c r="B1060" t="s">
        <v>1441</v>
      </c>
      <c r="C1060" t="s">
        <v>2670</v>
      </c>
      <c r="D1060" t="s">
        <v>1203</v>
      </c>
      <c r="E1060" t="s">
        <v>1204</v>
      </c>
      <c r="F1060">
        <v>5463</v>
      </c>
      <c r="G1060" t="s">
        <v>2675</v>
      </c>
      <c r="H1060" t="s">
        <v>2664</v>
      </c>
      <c r="I1060">
        <v>63297</v>
      </c>
      <c r="J1060">
        <v>68509</v>
      </c>
      <c r="K1060">
        <v>70229</v>
      </c>
      <c r="L1060">
        <v>71662</v>
      </c>
      <c r="M1060">
        <v>71662</v>
      </c>
      <c r="N1060" t="s">
        <v>988</v>
      </c>
    </row>
    <row r="1061" spans="1:14" hidden="1" x14ac:dyDescent="0.3">
      <c r="A1061">
        <v>664</v>
      </c>
      <c r="B1061" t="s">
        <v>1441</v>
      </c>
      <c r="C1061" t="s">
        <v>2670</v>
      </c>
      <c r="D1061" t="s">
        <v>1203</v>
      </c>
      <c r="E1061" t="s">
        <v>1204</v>
      </c>
      <c r="F1061">
        <v>5463</v>
      </c>
      <c r="G1061" t="s">
        <v>2676</v>
      </c>
      <c r="H1061" t="s">
        <v>2665</v>
      </c>
      <c r="I1061">
        <v>56508</v>
      </c>
      <c r="J1061">
        <v>61508</v>
      </c>
      <c r="K1061">
        <v>63158</v>
      </c>
      <c r="L1061">
        <v>64533</v>
      </c>
      <c r="M1061">
        <v>64533</v>
      </c>
      <c r="N1061" t="s">
        <v>988</v>
      </c>
    </row>
    <row r="1062" spans="1:14" hidden="1" x14ac:dyDescent="0.3">
      <c r="A1062">
        <v>664</v>
      </c>
      <c r="B1062" t="s">
        <v>1441</v>
      </c>
      <c r="C1062" t="s">
        <v>2670</v>
      </c>
      <c r="D1062" t="s">
        <v>1203</v>
      </c>
      <c r="E1062" t="s">
        <v>1204</v>
      </c>
      <c r="F1062">
        <v>5463</v>
      </c>
      <c r="G1062" t="s">
        <v>2676</v>
      </c>
      <c r="H1062" t="s">
        <v>2664</v>
      </c>
      <c r="I1062">
        <v>60708</v>
      </c>
      <c r="J1062">
        <v>65708</v>
      </c>
      <c r="K1062">
        <v>67358</v>
      </c>
      <c r="L1062">
        <v>68733</v>
      </c>
      <c r="M1062">
        <v>68733</v>
      </c>
      <c r="N1062" t="s">
        <v>988</v>
      </c>
    </row>
    <row r="1063" spans="1:14" hidden="1" x14ac:dyDescent="0.3">
      <c r="A1063">
        <v>664</v>
      </c>
      <c r="B1063" t="s">
        <v>1441</v>
      </c>
      <c r="C1063" t="s">
        <v>2670</v>
      </c>
      <c r="D1063" t="s">
        <v>1203</v>
      </c>
      <c r="E1063" t="s">
        <v>1204</v>
      </c>
      <c r="F1063">
        <v>5463</v>
      </c>
      <c r="G1063" t="s">
        <v>2673</v>
      </c>
      <c r="H1063" t="s">
        <v>2664</v>
      </c>
      <c r="I1063">
        <v>57077</v>
      </c>
      <c r="J1063">
        <v>61774</v>
      </c>
      <c r="K1063">
        <v>63323</v>
      </c>
      <c r="L1063">
        <v>64615</v>
      </c>
      <c r="M1063">
        <v>64615</v>
      </c>
      <c r="N1063" t="s">
        <v>988</v>
      </c>
    </row>
    <row r="1064" spans="1:14" hidden="1" x14ac:dyDescent="0.3">
      <c r="A1064">
        <v>664</v>
      </c>
      <c r="B1064" t="s">
        <v>1441</v>
      </c>
      <c r="C1064" t="s">
        <v>2670</v>
      </c>
      <c r="D1064" t="s">
        <v>1203</v>
      </c>
      <c r="E1064" t="s">
        <v>1204</v>
      </c>
      <c r="F1064">
        <v>5463</v>
      </c>
      <c r="G1064" t="s">
        <v>2672</v>
      </c>
      <c r="H1064" t="s">
        <v>2665</v>
      </c>
      <c r="N1064" t="s">
        <v>988</v>
      </c>
    </row>
    <row r="1065" spans="1:14" hidden="1" x14ac:dyDescent="0.3">
      <c r="A1065">
        <v>664</v>
      </c>
      <c r="B1065" t="s">
        <v>1441</v>
      </c>
      <c r="C1065" t="s">
        <v>2670</v>
      </c>
      <c r="D1065" t="s">
        <v>1203</v>
      </c>
      <c r="E1065" t="s">
        <v>1204</v>
      </c>
      <c r="F1065">
        <v>5463</v>
      </c>
      <c r="G1065" t="s">
        <v>2672</v>
      </c>
      <c r="H1065" t="s">
        <v>2664</v>
      </c>
      <c r="N1065" t="s">
        <v>988</v>
      </c>
    </row>
    <row r="1066" spans="1:14" hidden="1" x14ac:dyDescent="0.3">
      <c r="A1066">
        <v>664</v>
      </c>
      <c r="B1066" t="s">
        <v>1441</v>
      </c>
      <c r="C1066" t="s">
        <v>2670</v>
      </c>
      <c r="D1066" t="s">
        <v>1203</v>
      </c>
      <c r="E1066" t="s">
        <v>1204</v>
      </c>
      <c r="F1066">
        <v>5463</v>
      </c>
      <c r="G1066" t="s">
        <v>2671</v>
      </c>
      <c r="H1066" t="s">
        <v>2665</v>
      </c>
      <c r="I1066">
        <v>43552</v>
      </c>
      <c r="J1066">
        <v>47407</v>
      </c>
      <c r="K1066">
        <v>48678</v>
      </c>
      <c r="L1066">
        <v>49738</v>
      </c>
      <c r="M1066">
        <v>49738</v>
      </c>
      <c r="N1066" t="s">
        <v>988</v>
      </c>
    </row>
    <row r="1067" spans="1:14" hidden="1" x14ac:dyDescent="0.3">
      <c r="A1067">
        <v>664</v>
      </c>
      <c r="B1067" t="s">
        <v>1441</v>
      </c>
      <c r="C1067" t="s">
        <v>2670</v>
      </c>
      <c r="D1067" t="s">
        <v>1203</v>
      </c>
      <c r="E1067" t="s">
        <v>1204</v>
      </c>
      <c r="F1067">
        <v>5463</v>
      </c>
      <c r="G1067" t="s">
        <v>2671</v>
      </c>
      <c r="H1067" t="s">
        <v>2664</v>
      </c>
      <c r="I1067">
        <v>46852</v>
      </c>
      <c r="J1067">
        <v>50707</v>
      </c>
      <c r="K1067">
        <v>51978</v>
      </c>
      <c r="L1067">
        <v>53038</v>
      </c>
      <c r="M1067">
        <v>53038</v>
      </c>
      <c r="N1067" t="s">
        <v>988</v>
      </c>
    </row>
    <row r="1068" spans="1:14" hidden="1" x14ac:dyDescent="0.3">
      <c r="A1068">
        <v>664</v>
      </c>
      <c r="B1068" t="s">
        <v>1441</v>
      </c>
      <c r="C1068" t="s">
        <v>2670</v>
      </c>
      <c r="D1068" t="s">
        <v>1203</v>
      </c>
      <c r="E1068" t="s">
        <v>1204</v>
      </c>
      <c r="F1068">
        <v>5463</v>
      </c>
      <c r="G1068" t="s">
        <v>2673</v>
      </c>
      <c r="H1068" t="s">
        <v>2665</v>
      </c>
      <c r="I1068">
        <v>53077</v>
      </c>
      <c r="J1068">
        <v>57774</v>
      </c>
      <c r="K1068">
        <v>59323</v>
      </c>
      <c r="L1068">
        <v>60615</v>
      </c>
      <c r="M1068">
        <v>60615</v>
      </c>
      <c r="N1068" t="s">
        <v>988</v>
      </c>
    </row>
    <row r="1069" spans="1:14" hidden="1" x14ac:dyDescent="0.3">
      <c r="A1069">
        <v>664</v>
      </c>
      <c r="B1069" t="s">
        <v>1441</v>
      </c>
      <c r="C1069" t="s">
        <v>2670</v>
      </c>
      <c r="D1069" t="s">
        <v>1203</v>
      </c>
      <c r="E1069" t="s">
        <v>1204</v>
      </c>
      <c r="F1069">
        <v>5463</v>
      </c>
      <c r="G1069" t="s">
        <v>2674</v>
      </c>
      <c r="H1069" t="s">
        <v>2665</v>
      </c>
      <c r="I1069">
        <v>60424</v>
      </c>
      <c r="J1069">
        <v>65771</v>
      </c>
      <c r="K1069">
        <v>67535</v>
      </c>
      <c r="L1069">
        <v>69006</v>
      </c>
      <c r="M1069">
        <v>69006</v>
      </c>
      <c r="N1069" t="s">
        <v>988</v>
      </c>
    </row>
    <row r="1070" spans="1:14" hidden="1" x14ac:dyDescent="0.3">
      <c r="A1070">
        <v>673</v>
      </c>
      <c r="B1070" t="s">
        <v>1442</v>
      </c>
      <c r="C1070" t="s">
        <v>2670</v>
      </c>
      <c r="D1070" t="s">
        <v>159</v>
      </c>
      <c r="E1070" t="s">
        <v>159</v>
      </c>
      <c r="F1070">
        <v>7793</v>
      </c>
      <c r="G1070" t="s">
        <v>2672</v>
      </c>
      <c r="H1070" t="s">
        <v>2665</v>
      </c>
      <c r="N1070" t="s">
        <v>988</v>
      </c>
    </row>
    <row r="1071" spans="1:14" hidden="1" x14ac:dyDescent="0.3">
      <c r="A1071">
        <v>673</v>
      </c>
      <c r="B1071" t="s">
        <v>1442</v>
      </c>
      <c r="C1071" t="s">
        <v>2670</v>
      </c>
      <c r="D1071" t="s">
        <v>159</v>
      </c>
      <c r="E1071" t="s">
        <v>159</v>
      </c>
      <c r="F1071">
        <v>7793</v>
      </c>
      <c r="G1071" t="s">
        <v>2672</v>
      </c>
      <c r="H1071" t="s">
        <v>2664</v>
      </c>
      <c r="N1071" t="s">
        <v>988</v>
      </c>
    </row>
    <row r="1072" spans="1:14" hidden="1" x14ac:dyDescent="0.3">
      <c r="A1072">
        <v>673</v>
      </c>
      <c r="B1072" t="s">
        <v>1442</v>
      </c>
      <c r="C1072" t="s">
        <v>2670</v>
      </c>
      <c r="D1072" t="s">
        <v>159</v>
      </c>
      <c r="E1072" t="s">
        <v>159</v>
      </c>
      <c r="F1072">
        <v>7793</v>
      </c>
      <c r="G1072" t="s">
        <v>2676</v>
      </c>
      <c r="H1072" t="s">
        <v>2664</v>
      </c>
      <c r="I1072">
        <v>6395.5622794000001</v>
      </c>
      <c r="J1072">
        <v>6352.5978494999999</v>
      </c>
      <c r="K1072">
        <v>6328.0467466999999</v>
      </c>
      <c r="L1072">
        <v>6306.5645317500002</v>
      </c>
      <c r="M1072">
        <v>5938.2979897499999</v>
      </c>
      <c r="N1072" t="s">
        <v>988</v>
      </c>
    </row>
    <row r="1073" spans="1:14" hidden="1" x14ac:dyDescent="0.3">
      <c r="A1073">
        <v>673</v>
      </c>
      <c r="B1073" t="s">
        <v>1442</v>
      </c>
      <c r="C1073" t="s">
        <v>2670</v>
      </c>
      <c r="D1073" t="s">
        <v>159</v>
      </c>
      <c r="E1073" t="s">
        <v>159</v>
      </c>
      <c r="F1073">
        <v>7793</v>
      </c>
      <c r="G1073" t="s">
        <v>2676</v>
      </c>
      <c r="H1073" t="s">
        <v>2665</v>
      </c>
      <c r="I1073">
        <v>6545.9377840500001</v>
      </c>
      <c r="J1073">
        <v>6447.7333728499998</v>
      </c>
      <c r="K1073">
        <v>6432.3889336000002</v>
      </c>
      <c r="L1073">
        <v>6460.0089242499998</v>
      </c>
      <c r="M1073">
        <v>6509.11112985</v>
      </c>
      <c r="N1073" t="s">
        <v>988</v>
      </c>
    </row>
    <row r="1074" spans="1:14" hidden="1" x14ac:dyDescent="0.3">
      <c r="A1074">
        <v>673</v>
      </c>
      <c r="B1074" t="s">
        <v>1442</v>
      </c>
      <c r="C1074" t="s">
        <v>2670</v>
      </c>
      <c r="D1074" t="s">
        <v>159</v>
      </c>
      <c r="E1074" t="s">
        <v>159</v>
      </c>
      <c r="F1074">
        <v>7793</v>
      </c>
      <c r="G1074" t="s">
        <v>2675</v>
      </c>
      <c r="H1074" t="s">
        <v>2664</v>
      </c>
      <c r="I1074">
        <v>6036.5024009500003</v>
      </c>
      <c r="J1074">
        <v>5993.5379710500001</v>
      </c>
      <c r="K1074">
        <v>5972.0557560999996</v>
      </c>
      <c r="L1074">
        <v>5947.5046533000004</v>
      </c>
      <c r="M1074">
        <v>5938.2979897499999</v>
      </c>
      <c r="N1074" t="s">
        <v>988</v>
      </c>
    </row>
    <row r="1075" spans="1:14" hidden="1" x14ac:dyDescent="0.3">
      <c r="A1075">
        <v>673</v>
      </c>
      <c r="B1075" t="s">
        <v>1442</v>
      </c>
      <c r="C1075" t="s">
        <v>2670</v>
      </c>
      <c r="D1075" t="s">
        <v>159</v>
      </c>
      <c r="E1075" t="s">
        <v>159</v>
      </c>
      <c r="F1075">
        <v>7793</v>
      </c>
      <c r="G1075" t="s">
        <v>2675</v>
      </c>
      <c r="H1075" t="s">
        <v>2665</v>
      </c>
      <c r="I1075">
        <v>6545.9377840500001</v>
      </c>
      <c r="J1075">
        <v>6447.7333728499998</v>
      </c>
      <c r="K1075">
        <v>6432.3889336000002</v>
      </c>
      <c r="L1075">
        <v>6460.0089242499998</v>
      </c>
      <c r="M1075">
        <v>6509.11112985</v>
      </c>
      <c r="N1075" t="s">
        <v>988</v>
      </c>
    </row>
    <row r="1076" spans="1:14" hidden="1" x14ac:dyDescent="0.3">
      <c r="A1076">
        <v>673</v>
      </c>
      <c r="B1076" t="s">
        <v>1442</v>
      </c>
      <c r="C1076" t="s">
        <v>2670</v>
      </c>
      <c r="D1076" t="s">
        <v>159</v>
      </c>
      <c r="E1076" t="s">
        <v>159</v>
      </c>
      <c r="F1076">
        <v>7793</v>
      </c>
      <c r="G1076" t="s">
        <v>2674</v>
      </c>
      <c r="H1076" t="s">
        <v>2664</v>
      </c>
      <c r="I1076">
        <v>6036.5024009500003</v>
      </c>
      <c r="J1076">
        <v>5993.5379710500001</v>
      </c>
      <c r="K1076">
        <v>5972.0557560999996</v>
      </c>
      <c r="L1076">
        <v>5947.5046533000004</v>
      </c>
      <c r="M1076">
        <v>5938.2979897499999</v>
      </c>
      <c r="N1076" t="s">
        <v>988</v>
      </c>
    </row>
    <row r="1077" spans="1:14" hidden="1" x14ac:dyDescent="0.3">
      <c r="A1077">
        <v>673</v>
      </c>
      <c r="B1077" t="s">
        <v>1442</v>
      </c>
      <c r="C1077" t="s">
        <v>2670</v>
      </c>
      <c r="D1077" t="s">
        <v>159</v>
      </c>
      <c r="E1077" t="s">
        <v>159</v>
      </c>
      <c r="F1077">
        <v>7793</v>
      </c>
      <c r="G1077" t="s">
        <v>2674</v>
      </c>
      <c r="H1077" t="s">
        <v>2665</v>
      </c>
      <c r="I1077">
        <v>6545.9377840500001</v>
      </c>
      <c r="J1077">
        <v>6447.7333728499998</v>
      </c>
      <c r="K1077">
        <v>6432.3889336000002</v>
      </c>
      <c r="L1077">
        <v>6460.0089242499998</v>
      </c>
      <c r="M1077">
        <v>6509.11112985</v>
      </c>
      <c r="N1077" t="s">
        <v>988</v>
      </c>
    </row>
    <row r="1078" spans="1:14" hidden="1" x14ac:dyDescent="0.3">
      <c r="A1078">
        <v>673</v>
      </c>
      <c r="B1078" t="s">
        <v>1442</v>
      </c>
      <c r="C1078" t="s">
        <v>2670</v>
      </c>
      <c r="D1078" t="s">
        <v>159</v>
      </c>
      <c r="E1078" t="s">
        <v>159</v>
      </c>
      <c r="F1078">
        <v>7793</v>
      </c>
      <c r="G1078" t="s">
        <v>2673</v>
      </c>
      <c r="H1078" t="s">
        <v>2664</v>
      </c>
      <c r="I1078">
        <v>6036.5024009500003</v>
      </c>
      <c r="J1078">
        <v>5993.5379710500001</v>
      </c>
      <c r="K1078">
        <v>5972.0557560999996</v>
      </c>
      <c r="L1078">
        <v>5701.9936252999996</v>
      </c>
      <c r="M1078">
        <v>5622.2025412000003</v>
      </c>
      <c r="N1078" t="s">
        <v>988</v>
      </c>
    </row>
    <row r="1079" spans="1:14" hidden="1" x14ac:dyDescent="0.3">
      <c r="A1079">
        <v>673</v>
      </c>
      <c r="B1079" t="s">
        <v>1442</v>
      </c>
      <c r="C1079" t="s">
        <v>2670</v>
      </c>
      <c r="D1079" t="s">
        <v>159</v>
      </c>
      <c r="E1079" t="s">
        <v>159</v>
      </c>
      <c r="F1079">
        <v>7793</v>
      </c>
      <c r="G1079" t="s">
        <v>2673</v>
      </c>
      <c r="H1079" t="s">
        <v>2665</v>
      </c>
      <c r="I1079">
        <v>6545.9377840500001</v>
      </c>
      <c r="J1079">
        <v>6447.7333728499998</v>
      </c>
      <c r="K1079">
        <v>6432.3889336000002</v>
      </c>
      <c r="L1079">
        <v>6460.0089242499998</v>
      </c>
      <c r="M1079">
        <v>6509.11112985</v>
      </c>
      <c r="N1079" t="s">
        <v>988</v>
      </c>
    </row>
    <row r="1080" spans="1:14" hidden="1" x14ac:dyDescent="0.3">
      <c r="A1080">
        <v>673</v>
      </c>
      <c r="B1080" t="s">
        <v>1442</v>
      </c>
      <c r="C1080" t="s">
        <v>2670</v>
      </c>
      <c r="D1080" t="s">
        <v>159</v>
      </c>
      <c r="E1080" t="s">
        <v>159</v>
      </c>
      <c r="F1080">
        <v>7793</v>
      </c>
      <c r="G1080" t="s">
        <v>2671</v>
      </c>
      <c r="H1080" t="s">
        <v>2664</v>
      </c>
      <c r="I1080">
        <v>6036.5024009500003</v>
      </c>
      <c r="J1080">
        <v>5993.5379710500001</v>
      </c>
      <c r="K1080">
        <v>5790.9913729500004</v>
      </c>
      <c r="L1080">
        <v>5701.9936252999996</v>
      </c>
      <c r="M1080">
        <v>5622.2025412000003</v>
      </c>
      <c r="N1080" t="s">
        <v>988</v>
      </c>
    </row>
    <row r="1081" spans="1:14" hidden="1" x14ac:dyDescent="0.3">
      <c r="A1081">
        <v>673</v>
      </c>
      <c r="B1081" t="s">
        <v>1442</v>
      </c>
      <c r="C1081" t="s">
        <v>2670</v>
      </c>
      <c r="D1081" t="s">
        <v>159</v>
      </c>
      <c r="E1081" t="s">
        <v>159</v>
      </c>
      <c r="F1081">
        <v>7793</v>
      </c>
      <c r="G1081" t="s">
        <v>2671</v>
      </c>
      <c r="H1081" t="s">
        <v>2665</v>
      </c>
      <c r="I1081">
        <v>6545.9377840500001</v>
      </c>
      <c r="J1081">
        <v>6447.7333728499998</v>
      </c>
      <c r="K1081">
        <v>6432.3889336000002</v>
      </c>
      <c r="L1081">
        <v>6460.0089242499998</v>
      </c>
      <c r="M1081">
        <v>6509.11112985</v>
      </c>
      <c r="N1081" t="s">
        <v>988</v>
      </c>
    </row>
    <row r="1082" spans="1:14" hidden="1" x14ac:dyDescent="0.3">
      <c r="A1082">
        <v>678</v>
      </c>
      <c r="B1082" t="s">
        <v>1445</v>
      </c>
      <c r="C1082" t="s">
        <v>2670</v>
      </c>
      <c r="D1082" t="s">
        <v>159</v>
      </c>
      <c r="E1082" t="s">
        <v>159</v>
      </c>
      <c r="F1082">
        <v>7334</v>
      </c>
      <c r="G1082" t="s">
        <v>2676</v>
      </c>
      <c r="H1082" t="s">
        <v>2664</v>
      </c>
      <c r="I1082">
        <v>23757</v>
      </c>
      <c r="J1082">
        <v>23757</v>
      </c>
      <c r="K1082">
        <v>23757</v>
      </c>
      <c r="L1082">
        <v>23757</v>
      </c>
      <c r="M1082">
        <v>23757</v>
      </c>
      <c r="N1082" t="s">
        <v>988</v>
      </c>
    </row>
    <row r="1083" spans="1:14" hidden="1" x14ac:dyDescent="0.3">
      <c r="A1083">
        <v>678</v>
      </c>
      <c r="B1083" t="s">
        <v>1445</v>
      </c>
      <c r="C1083" t="s">
        <v>2670</v>
      </c>
      <c r="D1083" t="s">
        <v>159</v>
      </c>
      <c r="E1083" t="s">
        <v>159</v>
      </c>
      <c r="F1083">
        <v>7334</v>
      </c>
      <c r="G1083" t="s">
        <v>2675</v>
      </c>
      <c r="H1083" t="s">
        <v>2664</v>
      </c>
      <c r="I1083">
        <v>20795</v>
      </c>
      <c r="J1083">
        <v>20795</v>
      </c>
      <c r="K1083">
        <v>20795</v>
      </c>
      <c r="L1083">
        <v>20795</v>
      </c>
      <c r="M1083">
        <v>20795</v>
      </c>
      <c r="N1083" t="s">
        <v>988</v>
      </c>
    </row>
    <row r="1084" spans="1:14" hidden="1" x14ac:dyDescent="0.3">
      <c r="A1084">
        <v>678</v>
      </c>
      <c r="B1084" t="s">
        <v>1445</v>
      </c>
      <c r="C1084" t="s">
        <v>2670</v>
      </c>
      <c r="D1084" t="s">
        <v>159</v>
      </c>
      <c r="E1084" t="s">
        <v>159</v>
      </c>
      <c r="F1084">
        <v>7334</v>
      </c>
      <c r="G1084" t="s">
        <v>2675</v>
      </c>
      <c r="H1084" t="s">
        <v>2665</v>
      </c>
      <c r="I1084">
        <v>10912</v>
      </c>
      <c r="J1084">
        <v>11470</v>
      </c>
      <c r="K1084">
        <v>12056</v>
      </c>
      <c r="L1084">
        <v>12672</v>
      </c>
      <c r="M1084">
        <v>13319</v>
      </c>
      <c r="N1084" t="s">
        <v>988</v>
      </c>
    </row>
    <row r="1085" spans="1:14" hidden="1" x14ac:dyDescent="0.3">
      <c r="A1085">
        <v>678</v>
      </c>
      <c r="B1085" t="s">
        <v>1445</v>
      </c>
      <c r="C1085" t="s">
        <v>2670</v>
      </c>
      <c r="D1085" t="s">
        <v>159</v>
      </c>
      <c r="E1085" t="s">
        <v>159</v>
      </c>
      <c r="F1085">
        <v>7334</v>
      </c>
      <c r="G1085" t="s">
        <v>2674</v>
      </c>
      <c r="H1085" t="s">
        <v>2664</v>
      </c>
      <c r="I1085">
        <v>19762</v>
      </c>
      <c r="J1085">
        <v>19762</v>
      </c>
      <c r="K1085">
        <v>19762</v>
      </c>
      <c r="L1085">
        <v>19762</v>
      </c>
      <c r="M1085">
        <v>19762</v>
      </c>
      <c r="N1085" t="s">
        <v>988</v>
      </c>
    </row>
    <row r="1086" spans="1:14" hidden="1" x14ac:dyDescent="0.3">
      <c r="A1086">
        <v>678</v>
      </c>
      <c r="B1086" t="s">
        <v>1445</v>
      </c>
      <c r="C1086" t="s">
        <v>2670</v>
      </c>
      <c r="D1086" t="s">
        <v>159</v>
      </c>
      <c r="E1086" t="s">
        <v>159</v>
      </c>
      <c r="F1086">
        <v>7334</v>
      </c>
      <c r="G1086" t="s">
        <v>2674</v>
      </c>
      <c r="H1086" t="s">
        <v>2665</v>
      </c>
      <c r="I1086">
        <v>10912</v>
      </c>
      <c r="J1086">
        <v>11470</v>
      </c>
      <c r="K1086">
        <v>12056</v>
      </c>
      <c r="L1086">
        <v>12672</v>
      </c>
      <c r="M1086">
        <v>13319</v>
      </c>
      <c r="N1086" t="s">
        <v>988</v>
      </c>
    </row>
    <row r="1087" spans="1:14" hidden="1" x14ac:dyDescent="0.3">
      <c r="A1087">
        <v>678</v>
      </c>
      <c r="B1087" t="s">
        <v>1445</v>
      </c>
      <c r="C1087" t="s">
        <v>2670</v>
      </c>
      <c r="D1087" t="s">
        <v>159</v>
      </c>
      <c r="E1087" t="s">
        <v>159</v>
      </c>
      <c r="F1087">
        <v>7334</v>
      </c>
      <c r="G1087" t="s">
        <v>2676</v>
      </c>
      <c r="H1087" t="s">
        <v>2665</v>
      </c>
      <c r="I1087">
        <v>10912</v>
      </c>
      <c r="J1087">
        <v>11470</v>
      </c>
      <c r="K1087">
        <v>12056</v>
      </c>
      <c r="L1087">
        <v>12672</v>
      </c>
      <c r="M1087">
        <v>13319</v>
      </c>
      <c r="N1087" t="s">
        <v>988</v>
      </c>
    </row>
    <row r="1088" spans="1:14" hidden="1" x14ac:dyDescent="0.3">
      <c r="A1088">
        <v>678</v>
      </c>
      <c r="B1088" t="s">
        <v>1445</v>
      </c>
      <c r="C1088" t="s">
        <v>2670</v>
      </c>
      <c r="D1088" t="s">
        <v>159</v>
      </c>
      <c r="E1088" t="s">
        <v>159</v>
      </c>
      <c r="F1088">
        <v>7334</v>
      </c>
      <c r="G1088" t="s">
        <v>2673</v>
      </c>
      <c r="H1088" t="s">
        <v>2665</v>
      </c>
      <c r="I1088">
        <v>10912</v>
      </c>
      <c r="J1088">
        <v>11470</v>
      </c>
      <c r="K1088">
        <v>12056</v>
      </c>
      <c r="L1088">
        <v>12672</v>
      </c>
      <c r="M1088">
        <v>13319</v>
      </c>
      <c r="N1088" t="s">
        <v>988</v>
      </c>
    </row>
    <row r="1089" spans="1:14" hidden="1" x14ac:dyDescent="0.3">
      <c r="A1089">
        <v>678</v>
      </c>
      <c r="B1089" t="s">
        <v>1445</v>
      </c>
      <c r="C1089" t="s">
        <v>2670</v>
      </c>
      <c r="D1089" t="s">
        <v>159</v>
      </c>
      <c r="E1089" t="s">
        <v>159</v>
      </c>
      <c r="F1089">
        <v>7334</v>
      </c>
      <c r="G1089" t="s">
        <v>2671</v>
      </c>
      <c r="H1089" t="s">
        <v>2664</v>
      </c>
      <c r="I1089">
        <v>19856</v>
      </c>
      <c r="J1089">
        <v>19856</v>
      </c>
      <c r="K1089">
        <v>19856</v>
      </c>
      <c r="L1089">
        <v>19856</v>
      </c>
      <c r="M1089">
        <v>19856</v>
      </c>
      <c r="N1089" t="s">
        <v>988</v>
      </c>
    </row>
    <row r="1090" spans="1:14" hidden="1" x14ac:dyDescent="0.3">
      <c r="A1090">
        <v>678</v>
      </c>
      <c r="B1090" t="s">
        <v>1445</v>
      </c>
      <c r="C1090" t="s">
        <v>2670</v>
      </c>
      <c r="D1090" t="s">
        <v>159</v>
      </c>
      <c r="E1090" t="s">
        <v>159</v>
      </c>
      <c r="F1090">
        <v>7334</v>
      </c>
      <c r="G1090" t="s">
        <v>2671</v>
      </c>
      <c r="H1090" t="s">
        <v>2665</v>
      </c>
      <c r="I1090">
        <v>10912</v>
      </c>
      <c r="J1090">
        <v>11470</v>
      </c>
      <c r="K1090">
        <v>12056</v>
      </c>
      <c r="L1090">
        <v>12672</v>
      </c>
      <c r="M1090">
        <v>13319</v>
      </c>
      <c r="N1090" t="s">
        <v>988</v>
      </c>
    </row>
    <row r="1091" spans="1:14" hidden="1" x14ac:dyDescent="0.3">
      <c r="A1091">
        <v>678</v>
      </c>
      <c r="B1091" t="s">
        <v>1445</v>
      </c>
      <c r="C1091" t="s">
        <v>2670</v>
      </c>
      <c r="D1091" t="s">
        <v>159</v>
      </c>
      <c r="E1091" t="s">
        <v>159</v>
      </c>
      <c r="F1091">
        <v>7334</v>
      </c>
      <c r="G1091" t="s">
        <v>2672</v>
      </c>
      <c r="H1091" t="s">
        <v>2664</v>
      </c>
      <c r="N1091" t="s">
        <v>988</v>
      </c>
    </row>
    <row r="1092" spans="1:14" hidden="1" x14ac:dyDescent="0.3">
      <c r="A1092">
        <v>678</v>
      </c>
      <c r="B1092" t="s">
        <v>1445</v>
      </c>
      <c r="C1092" t="s">
        <v>2670</v>
      </c>
      <c r="D1092" t="s">
        <v>159</v>
      </c>
      <c r="E1092" t="s">
        <v>159</v>
      </c>
      <c r="F1092">
        <v>7334</v>
      </c>
      <c r="G1092" t="s">
        <v>2672</v>
      </c>
      <c r="H1092" t="s">
        <v>2665</v>
      </c>
      <c r="N1092" t="s">
        <v>988</v>
      </c>
    </row>
    <row r="1093" spans="1:14" hidden="1" x14ac:dyDescent="0.3">
      <c r="A1093">
        <v>678</v>
      </c>
      <c r="B1093" t="s">
        <v>1445</v>
      </c>
      <c r="C1093" t="s">
        <v>2670</v>
      </c>
      <c r="D1093" t="s">
        <v>159</v>
      </c>
      <c r="E1093" t="s">
        <v>159</v>
      </c>
      <c r="F1093">
        <v>7334</v>
      </c>
      <c r="G1093" t="s">
        <v>2673</v>
      </c>
      <c r="H1093" t="s">
        <v>2664</v>
      </c>
      <c r="I1093">
        <v>19856</v>
      </c>
      <c r="J1093">
        <v>19856</v>
      </c>
      <c r="K1093">
        <v>19856</v>
      </c>
      <c r="L1093">
        <v>19856</v>
      </c>
      <c r="M1093">
        <v>19856</v>
      </c>
      <c r="N1093" t="s">
        <v>988</v>
      </c>
    </row>
    <row r="1094" spans="1:14" hidden="1" x14ac:dyDescent="0.3">
      <c r="A1094">
        <v>699</v>
      </c>
      <c r="B1094" t="s">
        <v>1449</v>
      </c>
      <c r="C1094" t="s">
        <v>2670</v>
      </c>
      <c r="D1094" t="s">
        <v>159</v>
      </c>
      <c r="E1094" t="s">
        <v>159</v>
      </c>
      <c r="F1094">
        <v>6729</v>
      </c>
      <c r="G1094" t="s">
        <v>2676</v>
      </c>
      <c r="H1094" t="s">
        <v>2664</v>
      </c>
      <c r="I1094">
        <v>1363.1450733557001</v>
      </c>
      <c r="J1094">
        <v>1359.73598248132</v>
      </c>
      <c r="K1094">
        <v>1356.3291872910299</v>
      </c>
      <c r="L1094">
        <v>1352.9223921007399</v>
      </c>
      <c r="M1094">
        <v>1349.51330122637</v>
      </c>
      <c r="N1094" t="s">
        <v>988</v>
      </c>
    </row>
    <row r="1095" spans="1:14" hidden="1" x14ac:dyDescent="0.3">
      <c r="A1095">
        <v>699</v>
      </c>
      <c r="B1095" t="s">
        <v>1449</v>
      </c>
      <c r="C1095" t="s">
        <v>2670</v>
      </c>
      <c r="D1095" t="s">
        <v>159</v>
      </c>
      <c r="E1095" t="s">
        <v>159</v>
      </c>
      <c r="F1095">
        <v>6729</v>
      </c>
      <c r="G1095" t="s">
        <v>2676</v>
      </c>
      <c r="H1095" t="s">
        <v>2665</v>
      </c>
      <c r="I1095">
        <v>1005.79659214593</v>
      </c>
      <c r="J1095">
        <v>1185.9825407244</v>
      </c>
      <c r="K1095">
        <v>1294.1184441228399</v>
      </c>
      <c r="L1095">
        <v>1325.6749176307201</v>
      </c>
      <c r="M1095">
        <v>1358.0279935179899</v>
      </c>
      <c r="N1095" t="s">
        <v>988</v>
      </c>
    </row>
    <row r="1096" spans="1:14" hidden="1" x14ac:dyDescent="0.3">
      <c r="A1096">
        <v>699</v>
      </c>
      <c r="B1096" t="s">
        <v>1449</v>
      </c>
      <c r="C1096" t="s">
        <v>2670</v>
      </c>
      <c r="D1096" t="s">
        <v>159</v>
      </c>
      <c r="E1096" t="s">
        <v>159</v>
      </c>
      <c r="F1096">
        <v>6729</v>
      </c>
      <c r="G1096" t="s">
        <v>2675</v>
      </c>
      <c r="H1096" t="s">
        <v>2664</v>
      </c>
      <c r="I1096">
        <v>1538.07620105103</v>
      </c>
      <c r="J1096">
        <v>1534.2309301994601</v>
      </c>
      <c r="K1096">
        <v>1530.3856593478899</v>
      </c>
      <c r="L1096">
        <v>1526.54038849632</v>
      </c>
      <c r="M1096">
        <v>1522.6951176447501</v>
      </c>
      <c r="N1096" t="s">
        <v>988</v>
      </c>
    </row>
    <row r="1097" spans="1:14" hidden="1" x14ac:dyDescent="0.3">
      <c r="A1097">
        <v>699</v>
      </c>
      <c r="B1097" t="s">
        <v>1449</v>
      </c>
      <c r="C1097" t="s">
        <v>2670</v>
      </c>
      <c r="D1097" t="s">
        <v>159</v>
      </c>
      <c r="E1097" t="s">
        <v>159</v>
      </c>
      <c r="F1097">
        <v>6729</v>
      </c>
      <c r="G1097" t="s">
        <v>2675</v>
      </c>
      <c r="H1097" t="s">
        <v>2665</v>
      </c>
      <c r="I1097">
        <v>905.21808077338301</v>
      </c>
      <c r="J1097">
        <v>1067.3852049256</v>
      </c>
      <c r="K1097">
        <v>1164.70614057374</v>
      </c>
      <c r="L1097">
        <v>1193.10834414128</v>
      </c>
      <c r="M1097">
        <v>1222.22450546097</v>
      </c>
      <c r="N1097" t="s">
        <v>988</v>
      </c>
    </row>
    <row r="1098" spans="1:14" hidden="1" x14ac:dyDescent="0.3">
      <c r="A1098">
        <v>699</v>
      </c>
      <c r="B1098" t="s">
        <v>1449</v>
      </c>
      <c r="C1098" t="s">
        <v>2670</v>
      </c>
      <c r="D1098" t="s">
        <v>159</v>
      </c>
      <c r="E1098" t="s">
        <v>159</v>
      </c>
      <c r="F1098">
        <v>6729</v>
      </c>
      <c r="G1098" t="s">
        <v>2674</v>
      </c>
      <c r="H1098" t="s">
        <v>2664</v>
      </c>
      <c r="I1098">
        <v>1484.1322162926999</v>
      </c>
      <c r="J1098">
        <v>1480.42009511838</v>
      </c>
      <c r="K1098">
        <v>1476.7102696281399</v>
      </c>
      <c r="L1098">
        <v>1473.0004441379101</v>
      </c>
      <c r="M1098">
        <v>1469.29061864768</v>
      </c>
      <c r="N1098" t="s">
        <v>988</v>
      </c>
    </row>
    <row r="1099" spans="1:14" hidden="1" x14ac:dyDescent="0.3">
      <c r="A1099">
        <v>699</v>
      </c>
      <c r="B1099" t="s">
        <v>1449</v>
      </c>
      <c r="C1099" t="s">
        <v>2670</v>
      </c>
      <c r="D1099" t="s">
        <v>159</v>
      </c>
      <c r="E1099" t="s">
        <v>159</v>
      </c>
      <c r="F1099">
        <v>6729</v>
      </c>
      <c r="G1099" t="s">
        <v>2672</v>
      </c>
      <c r="H1099" t="s">
        <v>2665</v>
      </c>
      <c r="N1099" t="s">
        <v>988</v>
      </c>
    </row>
    <row r="1100" spans="1:14" hidden="1" x14ac:dyDescent="0.3">
      <c r="A1100">
        <v>699</v>
      </c>
      <c r="B1100" t="s">
        <v>1449</v>
      </c>
      <c r="C1100" t="s">
        <v>2670</v>
      </c>
      <c r="D1100" t="s">
        <v>159</v>
      </c>
      <c r="E1100" t="s">
        <v>159</v>
      </c>
      <c r="F1100">
        <v>6729</v>
      </c>
      <c r="G1100" t="s">
        <v>2673</v>
      </c>
      <c r="H1100" t="s">
        <v>2664</v>
      </c>
      <c r="I1100">
        <v>1265.5624297212401</v>
      </c>
      <c r="J1100">
        <v>1262.3989770445401</v>
      </c>
      <c r="K1100">
        <v>1259.2355243678501</v>
      </c>
      <c r="L1100">
        <v>1256.06977600706</v>
      </c>
      <c r="M1100">
        <v>1252.90632333037</v>
      </c>
      <c r="N1100" t="s">
        <v>988</v>
      </c>
    </row>
    <row r="1101" spans="1:14" hidden="1" x14ac:dyDescent="0.3">
      <c r="A1101">
        <v>699</v>
      </c>
      <c r="B1101" t="s">
        <v>1449</v>
      </c>
      <c r="C1101" t="s">
        <v>2670</v>
      </c>
      <c r="D1101" t="s">
        <v>159</v>
      </c>
      <c r="E1101" t="s">
        <v>159</v>
      </c>
      <c r="F1101">
        <v>6729</v>
      </c>
      <c r="G1101" t="s">
        <v>2673</v>
      </c>
      <c r="H1101" t="s">
        <v>2665</v>
      </c>
      <c r="I1101">
        <v>804.63727371674497</v>
      </c>
      <c r="J1101">
        <v>948.78557344270303</v>
      </c>
      <c r="K1101">
        <v>1035.29383702464</v>
      </c>
      <c r="L1101">
        <v>1060.53947496776</v>
      </c>
      <c r="M1101">
        <v>1086.42331308803</v>
      </c>
      <c r="N1101" t="s">
        <v>988</v>
      </c>
    </row>
    <row r="1102" spans="1:14" hidden="1" x14ac:dyDescent="0.3">
      <c r="A1102">
        <v>699</v>
      </c>
      <c r="B1102" t="s">
        <v>1449</v>
      </c>
      <c r="C1102" t="s">
        <v>2670</v>
      </c>
      <c r="D1102" t="s">
        <v>159</v>
      </c>
      <c r="E1102" t="s">
        <v>159</v>
      </c>
      <c r="F1102">
        <v>6729</v>
      </c>
      <c r="G1102" t="s">
        <v>2671</v>
      </c>
      <c r="H1102" t="s">
        <v>2664</v>
      </c>
      <c r="I1102">
        <v>1006.32689517083</v>
      </c>
      <c r="J1102">
        <v>1003.81082540766</v>
      </c>
      <c r="K1102">
        <v>1001.29475564448</v>
      </c>
      <c r="L1102">
        <v>998.77868588130298</v>
      </c>
      <c r="M1102">
        <v>996.26261611812595</v>
      </c>
      <c r="N1102" t="s">
        <v>988</v>
      </c>
    </row>
    <row r="1103" spans="1:14" hidden="1" x14ac:dyDescent="0.3">
      <c r="A1103">
        <v>699</v>
      </c>
      <c r="B1103" t="s">
        <v>1449</v>
      </c>
      <c r="C1103" t="s">
        <v>2670</v>
      </c>
      <c r="D1103" t="s">
        <v>159</v>
      </c>
      <c r="E1103" t="s">
        <v>159</v>
      </c>
      <c r="F1103">
        <v>6729</v>
      </c>
      <c r="G1103" t="s">
        <v>2671</v>
      </c>
      <c r="H1103" t="s">
        <v>2665</v>
      </c>
      <c r="I1103">
        <v>754.34801803047105</v>
      </c>
      <c r="J1103">
        <v>889.48805338534601</v>
      </c>
      <c r="K1103">
        <v>970.58998093417699</v>
      </c>
      <c r="L1103">
        <v>994.25618822303795</v>
      </c>
      <c r="M1103">
        <v>1018.5215690595199</v>
      </c>
      <c r="N1103" t="s">
        <v>988</v>
      </c>
    </row>
    <row r="1104" spans="1:14" hidden="1" x14ac:dyDescent="0.3">
      <c r="A1104">
        <v>699</v>
      </c>
      <c r="B1104" t="s">
        <v>1449</v>
      </c>
      <c r="C1104" t="s">
        <v>2670</v>
      </c>
      <c r="D1104" t="s">
        <v>159</v>
      </c>
      <c r="E1104" t="s">
        <v>159</v>
      </c>
      <c r="F1104">
        <v>6729</v>
      </c>
      <c r="G1104" t="s">
        <v>2672</v>
      </c>
      <c r="H1104" t="s">
        <v>2664</v>
      </c>
      <c r="N1104" t="s">
        <v>988</v>
      </c>
    </row>
    <row r="1105" spans="1:14" hidden="1" x14ac:dyDescent="0.3">
      <c r="A1105">
        <v>699</v>
      </c>
      <c r="B1105" t="s">
        <v>1449</v>
      </c>
      <c r="C1105" t="s">
        <v>2670</v>
      </c>
      <c r="D1105" t="s">
        <v>159</v>
      </c>
      <c r="E1105" t="s">
        <v>159</v>
      </c>
      <c r="F1105">
        <v>6729</v>
      </c>
      <c r="G1105" t="s">
        <v>2674</v>
      </c>
      <c r="H1105" t="s">
        <v>2665</v>
      </c>
      <c r="I1105">
        <v>854.926529403019</v>
      </c>
      <c r="J1105">
        <v>1008.08538918415</v>
      </c>
      <c r="K1105">
        <v>1099.9999887991901</v>
      </c>
      <c r="L1105">
        <v>1126.8227617124701</v>
      </c>
      <c r="M1105">
        <v>1154.3227614324501</v>
      </c>
      <c r="N1105" t="s">
        <v>988</v>
      </c>
    </row>
    <row r="1106" spans="1:14" hidden="1" x14ac:dyDescent="0.3">
      <c r="A1106">
        <v>711</v>
      </c>
      <c r="B1106" t="s">
        <v>1453</v>
      </c>
      <c r="C1106" t="s">
        <v>2670</v>
      </c>
      <c r="D1106" t="s">
        <v>1203</v>
      </c>
      <c r="E1106" t="s">
        <v>1204</v>
      </c>
      <c r="F1106">
        <v>5970</v>
      </c>
      <c r="G1106" t="s">
        <v>2675</v>
      </c>
      <c r="H1106" t="s">
        <v>2664</v>
      </c>
      <c r="I1106">
        <v>13655</v>
      </c>
      <c r="J1106">
        <v>14403</v>
      </c>
      <c r="K1106">
        <v>15207</v>
      </c>
      <c r="L1106">
        <v>16070</v>
      </c>
      <c r="M1106">
        <v>16997</v>
      </c>
      <c r="N1106" t="s">
        <v>988</v>
      </c>
    </row>
    <row r="1107" spans="1:14" hidden="1" x14ac:dyDescent="0.3">
      <c r="A1107">
        <v>711</v>
      </c>
      <c r="B1107" t="s">
        <v>1453</v>
      </c>
      <c r="C1107" t="s">
        <v>2670</v>
      </c>
      <c r="D1107" t="s">
        <v>1203</v>
      </c>
      <c r="E1107" t="s">
        <v>1204</v>
      </c>
      <c r="F1107">
        <v>5970</v>
      </c>
      <c r="G1107" t="s">
        <v>2676</v>
      </c>
      <c r="H1107" t="s">
        <v>2665</v>
      </c>
      <c r="I1107">
        <v>13655</v>
      </c>
      <c r="J1107">
        <v>14403</v>
      </c>
      <c r="K1107">
        <v>15207</v>
      </c>
      <c r="L1107">
        <v>16070</v>
      </c>
      <c r="M1107">
        <v>16997</v>
      </c>
      <c r="N1107" t="s">
        <v>988</v>
      </c>
    </row>
    <row r="1108" spans="1:14" hidden="1" x14ac:dyDescent="0.3">
      <c r="A1108">
        <v>711</v>
      </c>
      <c r="B1108" t="s">
        <v>1453</v>
      </c>
      <c r="C1108" t="s">
        <v>2670</v>
      </c>
      <c r="D1108" t="s">
        <v>1203</v>
      </c>
      <c r="E1108" t="s">
        <v>1204</v>
      </c>
      <c r="F1108">
        <v>5970</v>
      </c>
      <c r="G1108" t="s">
        <v>2675</v>
      </c>
      <c r="H1108" t="s">
        <v>2665</v>
      </c>
      <c r="I1108">
        <v>13655</v>
      </c>
      <c r="J1108">
        <v>14403</v>
      </c>
      <c r="K1108">
        <v>15207</v>
      </c>
      <c r="L1108">
        <v>16070</v>
      </c>
      <c r="M1108">
        <v>16997</v>
      </c>
      <c r="N1108" t="s">
        <v>988</v>
      </c>
    </row>
    <row r="1109" spans="1:14" hidden="1" x14ac:dyDescent="0.3">
      <c r="A1109">
        <v>711</v>
      </c>
      <c r="B1109" t="s">
        <v>1453</v>
      </c>
      <c r="C1109" t="s">
        <v>2670</v>
      </c>
      <c r="D1109" t="s">
        <v>1203</v>
      </c>
      <c r="E1109" t="s">
        <v>1204</v>
      </c>
      <c r="F1109">
        <v>5970</v>
      </c>
      <c r="G1109" t="s">
        <v>2676</v>
      </c>
      <c r="H1109" t="s">
        <v>2664</v>
      </c>
      <c r="I1109">
        <v>13655</v>
      </c>
      <c r="J1109">
        <v>14403</v>
      </c>
      <c r="K1109">
        <v>15207</v>
      </c>
      <c r="L1109">
        <v>16070</v>
      </c>
      <c r="M1109">
        <v>16997</v>
      </c>
      <c r="N1109" t="s">
        <v>988</v>
      </c>
    </row>
    <row r="1110" spans="1:14" hidden="1" x14ac:dyDescent="0.3">
      <c r="A1110">
        <v>711</v>
      </c>
      <c r="B1110" t="s">
        <v>1453</v>
      </c>
      <c r="C1110" t="s">
        <v>2670</v>
      </c>
      <c r="D1110" t="s">
        <v>1203</v>
      </c>
      <c r="E1110" t="s">
        <v>1204</v>
      </c>
      <c r="F1110">
        <v>5970</v>
      </c>
      <c r="G1110" t="s">
        <v>2674</v>
      </c>
      <c r="H1110" t="s">
        <v>2664</v>
      </c>
      <c r="I1110">
        <v>13655</v>
      </c>
      <c r="J1110">
        <v>14403</v>
      </c>
      <c r="K1110">
        <v>15207</v>
      </c>
      <c r="L1110">
        <v>16070</v>
      </c>
      <c r="M1110">
        <v>16997</v>
      </c>
      <c r="N1110" t="s">
        <v>988</v>
      </c>
    </row>
    <row r="1111" spans="1:14" hidden="1" x14ac:dyDescent="0.3">
      <c r="A1111">
        <v>711</v>
      </c>
      <c r="B1111" t="s">
        <v>1453</v>
      </c>
      <c r="C1111" t="s">
        <v>2670</v>
      </c>
      <c r="D1111" t="s">
        <v>1203</v>
      </c>
      <c r="E1111" t="s">
        <v>1204</v>
      </c>
      <c r="F1111">
        <v>5970</v>
      </c>
      <c r="G1111" t="s">
        <v>2674</v>
      </c>
      <c r="H1111" t="s">
        <v>2665</v>
      </c>
      <c r="I1111">
        <v>13655</v>
      </c>
      <c r="J1111">
        <v>14403</v>
      </c>
      <c r="K1111">
        <v>15207</v>
      </c>
      <c r="L1111">
        <v>16070</v>
      </c>
      <c r="M1111">
        <v>16997</v>
      </c>
      <c r="N1111" t="s">
        <v>988</v>
      </c>
    </row>
    <row r="1112" spans="1:14" hidden="1" x14ac:dyDescent="0.3">
      <c r="A1112">
        <v>711</v>
      </c>
      <c r="B1112" t="s">
        <v>1453</v>
      </c>
      <c r="C1112" t="s">
        <v>2670</v>
      </c>
      <c r="D1112" t="s">
        <v>1203</v>
      </c>
      <c r="E1112" t="s">
        <v>1204</v>
      </c>
      <c r="F1112">
        <v>5970</v>
      </c>
      <c r="G1112" t="s">
        <v>2673</v>
      </c>
      <c r="H1112" t="s">
        <v>2664</v>
      </c>
      <c r="I1112">
        <v>13655</v>
      </c>
      <c r="J1112">
        <v>14403</v>
      </c>
      <c r="K1112">
        <v>15207</v>
      </c>
      <c r="L1112">
        <v>16070</v>
      </c>
      <c r="M1112">
        <v>16997</v>
      </c>
      <c r="N1112" t="s">
        <v>988</v>
      </c>
    </row>
    <row r="1113" spans="1:14" hidden="1" x14ac:dyDescent="0.3">
      <c r="A1113">
        <v>711</v>
      </c>
      <c r="B1113" t="s">
        <v>1453</v>
      </c>
      <c r="C1113" t="s">
        <v>2670</v>
      </c>
      <c r="D1113" t="s">
        <v>1203</v>
      </c>
      <c r="E1113" t="s">
        <v>1204</v>
      </c>
      <c r="F1113">
        <v>5970</v>
      </c>
      <c r="G1113" t="s">
        <v>2673</v>
      </c>
      <c r="H1113" t="s">
        <v>2665</v>
      </c>
      <c r="I1113">
        <v>13655</v>
      </c>
      <c r="J1113">
        <v>14403</v>
      </c>
      <c r="K1113">
        <v>15207</v>
      </c>
      <c r="L1113">
        <v>16070</v>
      </c>
      <c r="M1113">
        <v>16997</v>
      </c>
      <c r="N1113" t="s">
        <v>988</v>
      </c>
    </row>
    <row r="1114" spans="1:14" hidden="1" x14ac:dyDescent="0.3">
      <c r="A1114">
        <v>711</v>
      </c>
      <c r="B1114" t="s">
        <v>1453</v>
      </c>
      <c r="C1114" t="s">
        <v>2670</v>
      </c>
      <c r="D1114" t="s">
        <v>1203</v>
      </c>
      <c r="E1114" t="s">
        <v>1204</v>
      </c>
      <c r="F1114">
        <v>5970</v>
      </c>
      <c r="G1114" t="s">
        <v>2671</v>
      </c>
      <c r="H1114" t="s">
        <v>2664</v>
      </c>
      <c r="I1114">
        <v>13655</v>
      </c>
      <c r="J1114">
        <v>14403</v>
      </c>
      <c r="K1114">
        <v>15207</v>
      </c>
      <c r="L1114">
        <v>16070</v>
      </c>
      <c r="M1114">
        <v>16997</v>
      </c>
      <c r="N1114" t="s">
        <v>988</v>
      </c>
    </row>
    <row r="1115" spans="1:14" hidden="1" x14ac:dyDescent="0.3">
      <c r="A1115">
        <v>711</v>
      </c>
      <c r="B1115" t="s">
        <v>1453</v>
      </c>
      <c r="C1115" t="s">
        <v>2670</v>
      </c>
      <c r="D1115" t="s">
        <v>1203</v>
      </c>
      <c r="E1115" t="s">
        <v>1204</v>
      </c>
      <c r="F1115">
        <v>5970</v>
      </c>
      <c r="G1115" t="s">
        <v>2671</v>
      </c>
      <c r="H1115" t="s">
        <v>2665</v>
      </c>
      <c r="I1115">
        <v>13655</v>
      </c>
      <c r="J1115">
        <v>14403</v>
      </c>
      <c r="K1115">
        <v>15207</v>
      </c>
      <c r="L1115">
        <v>16070</v>
      </c>
      <c r="M1115">
        <v>16997</v>
      </c>
      <c r="N1115" t="s">
        <v>988</v>
      </c>
    </row>
    <row r="1116" spans="1:14" hidden="1" x14ac:dyDescent="0.3">
      <c r="A1116">
        <v>711</v>
      </c>
      <c r="B1116" t="s">
        <v>1453</v>
      </c>
      <c r="C1116" t="s">
        <v>2670</v>
      </c>
      <c r="D1116" t="s">
        <v>1203</v>
      </c>
      <c r="E1116" t="s">
        <v>1204</v>
      </c>
      <c r="F1116">
        <v>5970</v>
      </c>
      <c r="G1116" t="s">
        <v>2672</v>
      </c>
      <c r="H1116" t="s">
        <v>2664</v>
      </c>
      <c r="I1116">
        <v>13655</v>
      </c>
      <c r="J1116">
        <v>14403</v>
      </c>
      <c r="K1116">
        <v>15207</v>
      </c>
      <c r="L1116">
        <v>16070</v>
      </c>
      <c r="M1116">
        <v>16997</v>
      </c>
      <c r="N1116" t="s">
        <v>988</v>
      </c>
    </row>
    <row r="1117" spans="1:14" hidden="1" x14ac:dyDescent="0.3">
      <c r="A1117">
        <v>711</v>
      </c>
      <c r="B1117" t="s">
        <v>1453</v>
      </c>
      <c r="C1117" t="s">
        <v>2670</v>
      </c>
      <c r="D1117" t="s">
        <v>1203</v>
      </c>
      <c r="E1117" t="s">
        <v>1204</v>
      </c>
      <c r="F1117">
        <v>5970</v>
      </c>
      <c r="G1117" t="s">
        <v>2672</v>
      </c>
      <c r="H1117" t="s">
        <v>2665</v>
      </c>
      <c r="I1117">
        <v>13655</v>
      </c>
      <c r="J1117">
        <v>14403</v>
      </c>
      <c r="K1117">
        <v>15207</v>
      </c>
      <c r="L1117">
        <v>16070</v>
      </c>
      <c r="M1117">
        <v>16997</v>
      </c>
      <c r="N1117" t="s">
        <v>988</v>
      </c>
    </row>
    <row r="1118" spans="1:14" hidden="1" x14ac:dyDescent="0.3">
      <c r="A1118">
        <v>727</v>
      </c>
      <c r="B1118" t="s">
        <v>825</v>
      </c>
      <c r="C1118" t="s">
        <v>2670</v>
      </c>
      <c r="D1118" t="s">
        <v>1203</v>
      </c>
      <c r="E1118" t="s">
        <v>1204</v>
      </c>
      <c r="F1118">
        <v>5697</v>
      </c>
      <c r="G1118" t="s">
        <v>2672</v>
      </c>
      <c r="H1118" t="s">
        <v>2665</v>
      </c>
      <c r="N1118" t="s">
        <v>988</v>
      </c>
    </row>
    <row r="1119" spans="1:14" hidden="1" x14ac:dyDescent="0.3">
      <c r="A1119">
        <v>727</v>
      </c>
      <c r="B1119" t="s">
        <v>825</v>
      </c>
      <c r="C1119" t="s">
        <v>2670</v>
      </c>
      <c r="D1119" t="s">
        <v>1203</v>
      </c>
      <c r="E1119" t="s">
        <v>1204</v>
      </c>
      <c r="F1119">
        <v>5697</v>
      </c>
      <c r="G1119" t="s">
        <v>2672</v>
      </c>
      <c r="H1119" t="s">
        <v>2664</v>
      </c>
      <c r="N1119" t="s">
        <v>988</v>
      </c>
    </row>
    <row r="1120" spans="1:14" hidden="1" x14ac:dyDescent="0.3">
      <c r="A1120">
        <v>727</v>
      </c>
      <c r="B1120" t="s">
        <v>825</v>
      </c>
      <c r="C1120" t="s">
        <v>2670</v>
      </c>
      <c r="D1120" t="s">
        <v>1203</v>
      </c>
      <c r="E1120" t="s">
        <v>1204</v>
      </c>
      <c r="F1120">
        <v>5697</v>
      </c>
      <c r="G1120" t="s">
        <v>2671</v>
      </c>
      <c r="H1120" t="s">
        <v>2665</v>
      </c>
      <c r="I1120">
        <v>39641</v>
      </c>
      <c r="J1120">
        <v>41175</v>
      </c>
      <c r="K1120">
        <v>42677</v>
      </c>
      <c r="L1120">
        <v>43907</v>
      </c>
      <c r="M1120">
        <v>44978</v>
      </c>
      <c r="N1120" t="s">
        <v>988</v>
      </c>
    </row>
    <row r="1121" spans="1:14" hidden="1" x14ac:dyDescent="0.3">
      <c r="A1121">
        <v>727</v>
      </c>
      <c r="B1121" t="s">
        <v>825</v>
      </c>
      <c r="C1121" t="s">
        <v>2670</v>
      </c>
      <c r="D1121" t="s">
        <v>1203</v>
      </c>
      <c r="E1121" t="s">
        <v>1204</v>
      </c>
      <c r="F1121">
        <v>5697</v>
      </c>
      <c r="G1121" t="s">
        <v>2671</v>
      </c>
      <c r="H1121" t="s">
        <v>2664</v>
      </c>
      <c r="I1121">
        <v>39641</v>
      </c>
      <c r="J1121">
        <v>41175</v>
      </c>
      <c r="K1121">
        <v>42677</v>
      </c>
      <c r="L1121">
        <v>43907</v>
      </c>
      <c r="M1121">
        <v>44978</v>
      </c>
      <c r="N1121" t="s">
        <v>988</v>
      </c>
    </row>
    <row r="1122" spans="1:14" hidden="1" x14ac:dyDescent="0.3">
      <c r="A1122">
        <v>727</v>
      </c>
      <c r="B1122" t="s">
        <v>825</v>
      </c>
      <c r="C1122" t="s">
        <v>2670</v>
      </c>
      <c r="D1122" t="s">
        <v>1203</v>
      </c>
      <c r="E1122" t="s">
        <v>1204</v>
      </c>
      <c r="F1122">
        <v>5697</v>
      </c>
      <c r="G1122" t="s">
        <v>2673</v>
      </c>
      <c r="H1122" t="s">
        <v>2665</v>
      </c>
      <c r="I1122">
        <v>39641</v>
      </c>
      <c r="J1122">
        <v>41175</v>
      </c>
      <c r="K1122">
        <v>42677</v>
      </c>
      <c r="L1122">
        <v>43907</v>
      </c>
      <c r="M1122">
        <v>44978</v>
      </c>
      <c r="N1122" t="s">
        <v>988</v>
      </c>
    </row>
    <row r="1123" spans="1:14" hidden="1" x14ac:dyDescent="0.3">
      <c r="A1123">
        <v>727</v>
      </c>
      <c r="B1123" t="s">
        <v>825</v>
      </c>
      <c r="C1123" t="s">
        <v>2670</v>
      </c>
      <c r="D1123" t="s">
        <v>1203</v>
      </c>
      <c r="E1123" t="s">
        <v>1204</v>
      </c>
      <c r="F1123">
        <v>5697</v>
      </c>
      <c r="G1123" t="s">
        <v>2676</v>
      </c>
      <c r="H1123" t="s">
        <v>2664</v>
      </c>
      <c r="I1123">
        <v>39641</v>
      </c>
      <c r="J1123">
        <v>41175</v>
      </c>
      <c r="K1123">
        <v>42677</v>
      </c>
      <c r="L1123">
        <v>43907</v>
      </c>
      <c r="M1123">
        <v>44978</v>
      </c>
      <c r="N1123" t="s">
        <v>988</v>
      </c>
    </row>
    <row r="1124" spans="1:14" hidden="1" x14ac:dyDescent="0.3">
      <c r="A1124">
        <v>727</v>
      </c>
      <c r="B1124" t="s">
        <v>825</v>
      </c>
      <c r="C1124" t="s">
        <v>2670</v>
      </c>
      <c r="D1124" t="s">
        <v>1203</v>
      </c>
      <c r="E1124" t="s">
        <v>1204</v>
      </c>
      <c r="F1124">
        <v>5697</v>
      </c>
      <c r="G1124" t="s">
        <v>2674</v>
      </c>
      <c r="H1124" t="s">
        <v>2665</v>
      </c>
      <c r="I1124">
        <v>39641</v>
      </c>
      <c r="J1124">
        <v>41175</v>
      </c>
      <c r="K1124">
        <v>42677</v>
      </c>
      <c r="L1124">
        <v>43907</v>
      </c>
      <c r="M1124">
        <v>44978</v>
      </c>
      <c r="N1124" t="s">
        <v>988</v>
      </c>
    </row>
    <row r="1125" spans="1:14" hidden="1" x14ac:dyDescent="0.3">
      <c r="A1125">
        <v>727</v>
      </c>
      <c r="B1125" t="s">
        <v>825</v>
      </c>
      <c r="C1125" t="s">
        <v>2670</v>
      </c>
      <c r="D1125" t="s">
        <v>1203</v>
      </c>
      <c r="E1125" t="s">
        <v>1204</v>
      </c>
      <c r="F1125">
        <v>5697</v>
      </c>
      <c r="G1125" t="s">
        <v>2674</v>
      </c>
      <c r="H1125" t="s">
        <v>2664</v>
      </c>
      <c r="I1125">
        <v>39641</v>
      </c>
      <c r="J1125">
        <v>41175</v>
      </c>
      <c r="K1125">
        <v>42677</v>
      </c>
      <c r="L1125">
        <v>43907</v>
      </c>
      <c r="M1125">
        <v>44978</v>
      </c>
      <c r="N1125" t="s">
        <v>988</v>
      </c>
    </row>
    <row r="1126" spans="1:14" hidden="1" x14ac:dyDescent="0.3">
      <c r="A1126">
        <v>727</v>
      </c>
      <c r="B1126" t="s">
        <v>825</v>
      </c>
      <c r="C1126" t="s">
        <v>2670</v>
      </c>
      <c r="D1126" t="s">
        <v>1203</v>
      </c>
      <c r="E1126" t="s">
        <v>1204</v>
      </c>
      <c r="F1126">
        <v>5697</v>
      </c>
      <c r="G1126" t="s">
        <v>2675</v>
      </c>
      <c r="H1126" t="s">
        <v>2665</v>
      </c>
      <c r="I1126">
        <v>39641</v>
      </c>
      <c r="J1126">
        <v>41175</v>
      </c>
      <c r="K1126">
        <v>42677</v>
      </c>
      <c r="L1126">
        <v>43907</v>
      </c>
      <c r="M1126">
        <v>44978</v>
      </c>
      <c r="N1126" t="s">
        <v>988</v>
      </c>
    </row>
    <row r="1127" spans="1:14" hidden="1" x14ac:dyDescent="0.3">
      <c r="A1127">
        <v>727</v>
      </c>
      <c r="B1127" t="s">
        <v>825</v>
      </c>
      <c r="C1127" t="s">
        <v>2670</v>
      </c>
      <c r="D1127" t="s">
        <v>1203</v>
      </c>
      <c r="E1127" t="s">
        <v>1204</v>
      </c>
      <c r="F1127">
        <v>5697</v>
      </c>
      <c r="G1127" t="s">
        <v>2675</v>
      </c>
      <c r="H1127" t="s">
        <v>2664</v>
      </c>
      <c r="I1127">
        <v>39641</v>
      </c>
      <c r="J1127">
        <v>41175</v>
      </c>
      <c r="K1127">
        <v>42677</v>
      </c>
      <c r="L1127">
        <v>43907</v>
      </c>
      <c r="M1127">
        <v>44978</v>
      </c>
      <c r="N1127" t="s">
        <v>988</v>
      </c>
    </row>
    <row r="1128" spans="1:14" hidden="1" x14ac:dyDescent="0.3">
      <c r="A1128">
        <v>727</v>
      </c>
      <c r="B1128" t="s">
        <v>825</v>
      </c>
      <c r="C1128" t="s">
        <v>2670</v>
      </c>
      <c r="D1128" t="s">
        <v>1203</v>
      </c>
      <c r="E1128" t="s">
        <v>1204</v>
      </c>
      <c r="F1128">
        <v>5697</v>
      </c>
      <c r="G1128" t="s">
        <v>2676</v>
      </c>
      <c r="H1128" t="s">
        <v>2665</v>
      </c>
      <c r="I1128">
        <v>39641</v>
      </c>
      <c r="J1128">
        <v>41175</v>
      </c>
      <c r="K1128">
        <v>42677</v>
      </c>
      <c r="L1128">
        <v>43907</v>
      </c>
      <c r="M1128">
        <v>44978</v>
      </c>
      <c r="N1128" t="s">
        <v>988</v>
      </c>
    </row>
    <row r="1129" spans="1:14" hidden="1" x14ac:dyDescent="0.3">
      <c r="A1129">
        <v>727</v>
      </c>
      <c r="B1129" t="s">
        <v>825</v>
      </c>
      <c r="C1129" t="s">
        <v>2670</v>
      </c>
      <c r="D1129" t="s">
        <v>1203</v>
      </c>
      <c r="E1129" t="s">
        <v>1204</v>
      </c>
      <c r="F1129">
        <v>5697</v>
      </c>
      <c r="G1129" t="s">
        <v>2673</v>
      </c>
      <c r="H1129" t="s">
        <v>2664</v>
      </c>
      <c r="I1129">
        <v>39641</v>
      </c>
      <c r="J1129">
        <v>41175</v>
      </c>
      <c r="K1129">
        <v>42677</v>
      </c>
      <c r="L1129">
        <v>43907</v>
      </c>
      <c r="M1129">
        <v>44978</v>
      </c>
      <c r="N1129" t="s">
        <v>988</v>
      </c>
    </row>
    <row r="1130" spans="1:14" hidden="1" x14ac:dyDescent="0.3">
      <c r="A1130">
        <v>731</v>
      </c>
      <c r="B1130" t="s">
        <v>1458</v>
      </c>
      <c r="C1130" t="s">
        <v>2670</v>
      </c>
      <c r="D1130" t="s">
        <v>1203</v>
      </c>
      <c r="E1130" t="s">
        <v>1204</v>
      </c>
      <c r="F1130">
        <v>5481</v>
      </c>
      <c r="G1130" t="s">
        <v>2672</v>
      </c>
      <c r="H1130" t="s">
        <v>2665</v>
      </c>
      <c r="N1130" t="s">
        <v>988</v>
      </c>
    </row>
    <row r="1131" spans="1:14" hidden="1" x14ac:dyDescent="0.3">
      <c r="A1131">
        <v>731</v>
      </c>
      <c r="B1131" t="s">
        <v>1458</v>
      </c>
      <c r="C1131" t="s">
        <v>2670</v>
      </c>
      <c r="D1131" t="s">
        <v>1203</v>
      </c>
      <c r="E1131" t="s">
        <v>1204</v>
      </c>
      <c r="F1131">
        <v>5481</v>
      </c>
      <c r="G1131" t="s">
        <v>2672</v>
      </c>
      <c r="H1131" t="s">
        <v>2664</v>
      </c>
      <c r="N1131" t="s">
        <v>988</v>
      </c>
    </row>
    <row r="1132" spans="1:14" hidden="1" x14ac:dyDescent="0.3">
      <c r="A1132">
        <v>731</v>
      </c>
      <c r="B1132" t="s">
        <v>1458</v>
      </c>
      <c r="C1132" t="s">
        <v>2670</v>
      </c>
      <c r="D1132" t="s">
        <v>1203</v>
      </c>
      <c r="E1132" t="s">
        <v>1204</v>
      </c>
      <c r="F1132">
        <v>5481</v>
      </c>
      <c r="G1132" t="s">
        <v>2676</v>
      </c>
      <c r="H1132" t="s">
        <v>2665</v>
      </c>
      <c r="I1132">
        <v>7917.7306529999996</v>
      </c>
      <c r="J1132">
        <v>10004.574391</v>
      </c>
      <c r="K1132">
        <v>12030.040371999999</v>
      </c>
      <c r="L1132">
        <v>14055.506353000001</v>
      </c>
      <c r="N1132" t="s">
        <v>988</v>
      </c>
    </row>
    <row r="1133" spans="1:14" hidden="1" x14ac:dyDescent="0.3">
      <c r="A1133">
        <v>731</v>
      </c>
      <c r="B1133" t="s">
        <v>1458</v>
      </c>
      <c r="C1133" t="s">
        <v>2670</v>
      </c>
      <c r="D1133" t="s">
        <v>1203</v>
      </c>
      <c r="E1133" t="s">
        <v>1204</v>
      </c>
      <c r="F1133">
        <v>5481</v>
      </c>
      <c r="G1133" t="s">
        <v>2675</v>
      </c>
      <c r="H1133" t="s">
        <v>2664</v>
      </c>
      <c r="I1133">
        <v>12883.1911943</v>
      </c>
      <c r="J1133">
        <v>14564.9417361</v>
      </c>
      <c r="K1133">
        <v>16243.623390049999</v>
      </c>
      <c r="L1133">
        <v>19042.449109249999</v>
      </c>
      <c r="N1133" t="s">
        <v>988</v>
      </c>
    </row>
    <row r="1134" spans="1:14" hidden="1" x14ac:dyDescent="0.3">
      <c r="A1134">
        <v>731</v>
      </c>
      <c r="B1134" t="s">
        <v>1458</v>
      </c>
      <c r="C1134" t="s">
        <v>2670</v>
      </c>
      <c r="D1134" t="s">
        <v>1203</v>
      </c>
      <c r="E1134" t="s">
        <v>1204</v>
      </c>
      <c r="F1134">
        <v>5481</v>
      </c>
      <c r="G1134" t="s">
        <v>2676</v>
      </c>
      <c r="H1134" t="s">
        <v>2664</v>
      </c>
      <c r="I1134">
        <v>12883.1911943</v>
      </c>
      <c r="J1134">
        <v>14564.9417361</v>
      </c>
      <c r="K1134">
        <v>16243.623390049999</v>
      </c>
      <c r="L1134">
        <v>19042.449109249999</v>
      </c>
      <c r="N1134" t="s">
        <v>988</v>
      </c>
    </row>
    <row r="1135" spans="1:14" hidden="1" x14ac:dyDescent="0.3">
      <c r="A1135">
        <v>731</v>
      </c>
      <c r="B1135" t="s">
        <v>1458</v>
      </c>
      <c r="C1135" t="s">
        <v>2670</v>
      </c>
      <c r="D1135" t="s">
        <v>1203</v>
      </c>
      <c r="E1135" t="s">
        <v>1204</v>
      </c>
      <c r="F1135">
        <v>5481</v>
      </c>
      <c r="G1135" t="s">
        <v>2675</v>
      </c>
      <c r="H1135" t="s">
        <v>2665</v>
      </c>
      <c r="I1135">
        <v>7917.7306529999996</v>
      </c>
      <c r="J1135">
        <v>10004.574391</v>
      </c>
      <c r="K1135">
        <v>12030.040371999999</v>
      </c>
      <c r="L1135">
        <v>14055.506353000001</v>
      </c>
      <c r="N1135" t="s">
        <v>988</v>
      </c>
    </row>
    <row r="1136" spans="1:14" hidden="1" x14ac:dyDescent="0.3">
      <c r="A1136">
        <v>731</v>
      </c>
      <c r="B1136" t="s">
        <v>1458</v>
      </c>
      <c r="C1136" t="s">
        <v>2670</v>
      </c>
      <c r="D1136" t="s">
        <v>1203</v>
      </c>
      <c r="E1136" t="s">
        <v>1204</v>
      </c>
      <c r="F1136">
        <v>5481</v>
      </c>
      <c r="G1136" t="s">
        <v>2674</v>
      </c>
      <c r="H1136" t="s">
        <v>2664</v>
      </c>
      <c r="I1136">
        <v>12462.75355885</v>
      </c>
      <c r="J1136">
        <v>14144.50410065</v>
      </c>
      <c r="K1136">
        <v>15823.185754599999</v>
      </c>
      <c r="L1136">
        <v>17922.305044000001</v>
      </c>
      <c r="N1136" t="s">
        <v>988</v>
      </c>
    </row>
    <row r="1137" spans="1:14" hidden="1" x14ac:dyDescent="0.3">
      <c r="A1137">
        <v>731</v>
      </c>
      <c r="B1137" t="s">
        <v>1458</v>
      </c>
      <c r="C1137" t="s">
        <v>2670</v>
      </c>
      <c r="D1137" t="s">
        <v>1203</v>
      </c>
      <c r="E1137" t="s">
        <v>1204</v>
      </c>
      <c r="F1137">
        <v>5481</v>
      </c>
      <c r="G1137" t="s">
        <v>2674</v>
      </c>
      <c r="H1137" t="s">
        <v>2665</v>
      </c>
      <c r="I1137">
        <v>7917.7306529999996</v>
      </c>
      <c r="J1137">
        <v>10004.574391</v>
      </c>
      <c r="K1137">
        <v>12030.040371999999</v>
      </c>
      <c r="L1137">
        <v>14055.506353000001</v>
      </c>
      <c r="N1137" t="s">
        <v>988</v>
      </c>
    </row>
    <row r="1138" spans="1:14" hidden="1" x14ac:dyDescent="0.3">
      <c r="A1138">
        <v>731</v>
      </c>
      <c r="B1138" t="s">
        <v>1458</v>
      </c>
      <c r="C1138" t="s">
        <v>2670</v>
      </c>
      <c r="D1138" t="s">
        <v>1203</v>
      </c>
      <c r="E1138" t="s">
        <v>1204</v>
      </c>
      <c r="F1138">
        <v>5481</v>
      </c>
      <c r="G1138" t="s">
        <v>2673</v>
      </c>
      <c r="H1138" t="s">
        <v>2664</v>
      </c>
      <c r="I1138">
        <v>12042.3159234</v>
      </c>
      <c r="J1138">
        <v>13724.0664652</v>
      </c>
      <c r="K1138">
        <v>15402.748119149999</v>
      </c>
      <c r="L1138">
        <v>17363.7674553</v>
      </c>
      <c r="N1138" t="s">
        <v>988</v>
      </c>
    </row>
    <row r="1139" spans="1:14" hidden="1" x14ac:dyDescent="0.3">
      <c r="A1139">
        <v>731</v>
      </c>
      <c r="B1139" t="s">
        <v>1458</v>
      </c>
      <c r="C1139" t="s">
        <v>2670</v>
      </c>
      <c r="D1139" t="s">
        <v>1203</v>
      </c>
      <c r="E1139" t="s">
        <v>1204</v>
      </c>
      <c r="F1139">
        <v>5481</v>
      </c>
      <c r="G1139" t="s">
        <v>2673</v>
      </c>
      <c r="H1139" t="s">
        <v>2665</v>
      </c>
      <c r="I1139">
        <v>7917.7306529999996</v>
      </c>
      <c r="J1139">
        <v>10004.574391</v>
      </c>
      <c r="K1139">
        <v>12030.040371999999</v>
      </c>
      <c r="L1139">
        <v>14055.506353000001</v>
      </c>
      <c r="N1139" t="s">
        <v>988</v>
      </c>
    </row>
    <row r="1140" spans="1:14" hidden="1" x14ac:dyDescent="0.3">
      <c r="A1140">
        <v>731</v>
      </c>
      <c r="B1140" t="s">
        <v>1458</v>
      </c>
      <c r="C1140" t="s">
        <v>2670</v>
      </c>
      <c r="D1140" t="s">
        <v>1203</v>
      </c>
      <c r="E1140" t="s">
        <v>1204</v>
      </c>
      <c r="F1140">
        <v>5481</v>
      </c>
      <c r="G1140" t="s">
        <v>2671</v>
      </c>
      <c r="H1140" t="s">
        <v>2664</v>
      </c>
      <c r="I1140">
        <v>11621.87828795</v>
      </c>
      <c r="J1140">
        <v>13303.62882975</v>
      </c>
      <c r="K1140">
        <v>14982.310483699999</v>
      </c>
      <c r="L1140">
        <v>17363.7674553</v>
      </c>
      <c r="N1140" t="s">
        <v>988</v>
      </c>
    </row>
    <row r="1141" spans="1:14" hidden="1" x14ac:dyDescent="0.3">
      <c r="A1141">
        <v>731</v>
      </c>
      <c r="B1141" t="s">
        <v>1458</v>
      </c>
      <c r="C1141" t="s">
        <v>2670</v>
      </c>
      <c r="D1141" t="s">
        <v>1203</v>
      </c>
      <c r="E1141" t="s">
        <v>1204</v>
      </c>
      <c r="F1141">
        <v>5481</v>
      </c>
      <c r="G1141" t="s">
        <v>2671</v>
      </c>
      <c r="H1141" t="s">
        <v>2665</v>
      </c>
      <c r="I1141">
        <v>7917.7306529999996</v>
      </c>
      <c r="J1141">
        <v>10004.574391</v>
      </c>
      <c r="K1141">
        <v>12030.040371999999</v>
      </c>
      <c r="L1141">
        <v>14055.506353000001</v>
      </c>
      <c r="N1141" t="s">
        <v>988</v>
      </c>
    </row>
    <row r="1142" spans="1:14" hidden="1" x14ac:dyDescent="0.3">
      <c r="A1142">
        <v>737</v>
      </c>
      <c r="B1142" t="s">
        <v>1460</v>
      </c>
      <c r="C1142" t="s">
        <v>2670</v>
      </c>
      <c r="D1142" t="s">
        <v>1203</v>
      </c>
      <c r="E1142" t="s">
        <v>1204</v>
      </c>
      <c r="F1142">
        <v>7336</v>
      </c>
      <c r="G1142" t="s">
        <v>2672</v>
      </c>
      <c r="H1142" t="s">
        <v>2665</v>
      </c>
      <c r="N1142" t="s">
        <v>988</v>
      </c>
    </row>
    <row r="1143" spans="1:14" hidden="1" x14ac:dyDescent="0.3">
      <c r="A1143">
        <v>737</v>
      </c>
      <c r="B1143" t="s">
        <v>1460</v>
      </c>
      <c r="C1143" t="s">
        <v>2670</v>
      </c>
      <c r="D1143" t="s">
        <v>1203</v>
      </c>
      <c r="E1143" t="s">
        <v>1204</v>
      </c>
      <c r="F1143">
        <v>7336</v>
      </c>
      <c r="G1143" t="s">
        <v>2676</v>
      </c>
      <c r="H1143" t="s">
        <v>2665</v>
      </c>
      <c r="I1143">
        <v>5662.0980832499999</v>
      </c>
      <c r="J1143">
        <v>6202.2223448499999</v>
      </c>
      <c r="K1143">
        <v>6797.58658775</v>
      </c>
      <c r="L1143">
        <v>7448.1908119500004</v>
      </c>
      <c r="N1143" t="s">
        <v>988</v>
      </c>
    </row>
    <row r="1144" spans="1:14" hidden="1" x14ac:dyDescent="0.3">
      <c r="A1144">
        <v>737</v>
      </c>
      <c r="B1144" t="s">
        <v>1460</v>
      </c>
      <c r="C1144" t="s">
        <v>2670</v>
      </c>
      <c r="D1144" t="s">
        <v>1203</v>
      </c>
      <c r="E1144" t="s">
        <v>1204</v>
      </c>
      <c r="F1144">
        <v>7336</v>
      </c>
      <c r="G1144" t="s">
        <v>2675</v>
      </c>
      <c r="H1144" t="s">
        <v>2664</v>
      </c>
      <c r="I1144">
        <v>5097.4227188499999</v>
      </c>
      <c r="J1144">
        <v>5582.3069991499997</v>
      </c>
      <c r="K1144">
        <v>6119.3623729000001</v>
      </c>
      <c r="L1144">
        <v>6702.4510644000002</v>
      </c>
      <c r="N1144" t="s">
        <v>988</v>
      </c>
    </row>
    <row r="1145" spans="1:14" hidden="1" x14ac:dyDescent="0.3">
      <c r="A1145">
        <v>737</v>
      </c>
      <c r="B1145" t="s">
        <v>1460</v>
      </c>
      <c r="C1145" t="s">
        <v>2670</v>
      </c>
      <c r="D1145" t="s">
        <v>1203</v>
      </c>
      <c r="E1145" t="s">
        <v>1204</v>
      </c>
      <c r="F1145">
        <v>7336</v>
      </c>
      <c r="G1145" t="s">
        <v>2675</v>
      </c>
      <c r="H1145" t="s">
        <v>2665</v>
      </c>
      <c r="I1145">
        <v>5097.4227188499999</v>
      </c>
      <c r="J1145">
        <v>5582.3069991499997</v>
      </c>
      <c r="K1145">
        <v>6119.3623729000001</v>
      </c>
      <c r="L1145">
        <v>6702.4510644000002</v>
      </c>
      <c r="N1145" t="s">
        <v>988</v>
      </c>
    </row>
    <row r="1146" spans="1:14" hidden="1" x14ac:dyDescent="0.3">
      <c r="A1146">
        <v>737</v>
      </c>
      <c r="B1146" t="s">
        <v>1460</v>
      </c>
      <c r="C1146" t="s">
        <v>2670</v>
      </c>
      <c r="D1146" t="s">
        <v>1203</v>
      </c>
      <c r="E1146" t="s">
        <v>1204</v>
      </c>
      <c r="F1146">
        <v>7336</v>
      </c>
      <c r="G1146" t="s">
        <v>2674</v>
      </c>
      <c r="H1146" t="s">
        <v>2664</v>
      </c>
      <c r="I1146">
        <v>4812.0161488000003</v>
      </c>
      <c r="J1146">
        <v>5272.3493263</v>
      </c>
      <c r="K1146">
        <v>5778.7158215500003</v>
      </c>
      <c r="L1146">
        <v>6331.1156345500003</v>
      </c>
      <c r="N1146" t="s">
        <v>988</v>
      </c>
    </row>
    <row r="1147" spans="1:14" hidden="1" x14ac:dyDescent="0.3">
      <c r="A1147">
        <v>737</v>
      </c>
      <c r="B1147" t="s">
        <v>1460</v>
      </c>
      <c r="C1147" t="s">
        <v>2670</v>
      </c>
      <c r="D1147" t="s">
        <v>1203</v>
      </c>
      <c r="E1147" t="s">
        <v>1204</v>
      </c>
      <c r="F1147">
        <v>7336</v>
      </c>
      <c r="G1147" t="s">
        <v>2676</v>
      </c>
      <c r="H1147" t="s">
        <v>2664</v>
      </c>
      <c r="I1147">
        <v>5662.0980832499999</v>
      </c>
      <c r="J1147">
        <v>6202.2223448499999</v>
      </c>
      <c r="K1147">
        <v>6797.58658775</v>
      </c>
      <c r="L1147">
        <v>7448.1908119500004</v>
      </c>
      <c r="N1147" t="s">
        <v>988</v>
      </c>
    </row>
    <row r="1148" spans="1:14" hidden="1" x14ac:dyDescent="0.3">
      <c r="A1148">
        <v>737</v>
      </c>
      <c r="B1148" t="s">
        <v>1460</v>
      </c>
      <c r="C1148" t="s">
        <v>2670</v>
      </c>
      <c r="D1148" t="s">
        <v>1203</v>
      </c>
      <c r="E1148" t="s">
        <v>1204</v>
      </c>
      <c r="F1148">
        <v>7336</v>
      </c>
      <c r="G1148" t="s">
        <v>2673</v>
      </c>
      <c r="H1148" t="s">
        <v>2664</v>
      </c>
      <c r="I1148">
        <v>4812.0161488000003</v>
      </c>
      <c r="J1148">
        <v>5272.3493263</v>
      </c>
      <c r="K1148">
        <v>5778.7158215500003</v>
      </c>
      <c r="L1148">
        <v>6331.1156345500003</v>
      </c>
      <c r="N1148" t="s">
        <v>988</v>
      </c>
    </row>
    <row r="1149" spans="1:14" hidden="1" x14ac:dyDescent="0.3">
      <c r="A1149">
        <v>737</v>
      </c>
      <c r="B1149" t="s">
        <v>1460</v>
      </c>
      <c r="C1149" t="s">
        <v>2670</v>
      </c>
      <c r="D1149" t="s">
        <v>1203</v>
      </c>
      <c r="E1149" t="s">
        <v>1204</v>
      </c>
      <c r="F1149">
        <v>7336</v>
      </c>
      <c r="G1149" t="s">
        <v>2673</v>
      </c>
      <c r="H1149" t="s">
        <v>2665</v>
      </c>
      <c r="I1149">
        <v>4812.0161488000003</v>
      </c>
      <c r="J1149">
        <v>5272.3493263</v>
      </c>
      <c r="K1149">
        <v>5778.7158215500003</v>
      </c>
      <c r="L1149">
        <v>6331.1156345500003</v>
      </c>
      <c r="N1149" t="s">
        <v>988</v>
      </c>
    </row>
    <row r="1150" spans="1:14" hidden="1" x14ac:dyDescent="0.3">
      <c r="A1150">
        <v>737</v>
      </c>
      <c r="B1150" t="s">
        <v>1460</v>
      </c>
      <c r="C1150" t="s">
        <v>2670</v>
      </c>
      <c r="D1150" t="s">
        <v>1203</v>
      </c>
      <c r="E1150" t="s">
        <v>1204</v>
      </c>
      <c r="F1150">
        <v>7336</v>
      </c>
      <c r="G1150" t="s">
        <v>2671</v>
      </c>
      <c r="H1150" t="s">
        <v>2664</v>
      </c>
      <c r="I1150">
        <v>4812.0161488000003</v>
      </c>
      <c r="J1150">
        <v>5272.3493263</v>
      </c>
      <c r="K1150">
        <v>5778.7158215500003</v>
      </c>
      <c r="L1150">
        <v>6331.1156345500003</v>
      </c>
      <c r="N1150" t="s">
        <v>988</v>
      </c>
    </row>
    <row r="1151" spans="1:14" hidden="1" x14ac:dyDescent="0.3">
      <c r="A1151">
        <v>737</v>
      </c>
      <c r="B1151" t="s">
        <v>1460</v>
      </c>
      <c r="C1151" t="s">
        <v>2670</v>
      </c>
      <c r="D1151" t="s">
        <v>1203</v>
      </c>
      <c r="E1151" t="s">
        <v>1204</v>
      </c>
      <c r="F1151">
        <v>7336</v>
      </c>
      <c r="G1151" t="s">
        <v>2671</v>
      </c>
      <c r="H1151" t="s">
        <v>2665</v>
      </c>
      <c r="I1151">
        <v>4812.0161488000003</v>
      </c>
      <c r="J1151">
        <v>5272.3493263</v>
      </c>
      <c r="K1151">
        <v>5778.7158215500003</v>
      </c>
      <c r="L1151">
        <v>6331.1156345500003</v>
      </c>
      <c r="N1151" t="s">
        <v>988</v>
      </c>
    </row>
    <row r="1152" spans="1:14" hidden="1" x14ac:dyDescent="0.3">
      <c r="A1152">
        <v>737</v>
      </c>
      <c r="B1152" t="s">
        <v>1460</v>
      </c>
      <c r="C1152" t="s">
        <v>2670</v>
      </c>
      <c r="D1152" t="s">
        <v>1203</v>
      </c>
      <c r="E1152" t="s">
        <v>1204</v>
      </c>
      <c r="F1152">
        <v>7336</v>
      </c>
      <c r="G1152" t="s">
        <v>2672</v>
      </c>
      <c r="H1152" t="s">
        <v>2664</v>
      </c>
      <c r="N1152" t="s">
        <v>988</v>
      </c>
    </row>
    <row r="1153" spans="1:14" hidden="1" x14ac:dyDescent="0.3">
      <c r="A1153">
        <v>737</v>
      </c>
      <c r="B1153" t="s">
        <v>1460</v>
      </c>
      <c r="C1153" t="s">
        <v>2670</v>
      </c>
      <c r="D1153" t="s">
        <v>1203</v>
      </c>
      <c r="E1153" t="s">
        <v>1204</v>
      </c>
      <c r="F1153">
        <v>7336</v>
      </c>
      <c r="G1153" t="s">
        <v>2674</v>
      </c>
      <c r="H1153" t="s">
        <v>2665</v>
      </c>
      <c r="I1153">
        <v>4812.0161488000003</v>
      </c>
      <c r="J1153">
        <v>5272.3493263</v>
      </c>
      <c r="K1153">
        <v>5778.7158215500003</v>
      </c>
      <c r="L1153">
        <v>6331.1156345500003</v>
      </c>
      <c r="N1153" t="s">
        <v>988</v>
      </c>
    </row>
    <row r="1154" spans="1:14" hidden="1" x14ac:dyDescent="0.3">
      <c r="A1154">
        <v>739</v>
      </c>
      <c r="B1154" t="s">
        <v>1463</v>
      </c>
      <c r="C1154" t="s">
        <v>2670</v>
      </c>
      <c r="D1154" t="s">
        <v>159</v>
      </c>
      <c r="E1154" t="s">
        <v>159</v>
      </c>
      <c r="F1154">
        <v>7839</v>
      </c>
      <c r="G1154" t="s">
        <v>2673</v>
      </c>
      <c r="H1154" t="s">
        <v>2665</v>
      </c>
      <c r="I1154">
        <v>4367.0274105500002</v>
      </c>
      <c r="J1154">
        <v>5048.3205132499997</v>
      </c>
      <c r="K1154">
        <v>5748.0269430500002</v>
      </c>
      <c r="L1154">
        <v>6628.7977559999999</v>
      </c>
      <c r="M1154">
        <v>7644.5996343500001</v>
      </c>
      <c r="N1154" t="s">
        <v>988</v>
      </c>
    </row>
    <row r="1155" spans="1:14" hidden="1" x14ac:dyDescent="0.3">
      <c r="A1155">
        <v>739</v>
      </c>
      <c r="B1155" t="s">
        <v>1463</v>
      </c>
      <c r="C1155" t="s">
        <v>2670</v>
      </c>
      <c r="D1155" t="s">
        <v>159</v>
      </c>
      <c r="E1155" t="s">
        <v>159</v>
      </c>
      <c r="F1155">
        <v>7839</v>
      </c>
      <c r="G1155" t="s">
        <v>2673</v>
      </c>
      <c r="H1155" t="s">
        <v>2664</v>
      </c>
      <c r="I1155">
        <v>7672.2196249999997</v>
      </c>
      <c r="J1155">
        <v>7672.2196249999997</v>
      </c>
      <c r="K1155">
        <v>7672.2196249999997</v>
      </c>
      <c r="L1155">
        <v>7672.2196249999997</v>
      </c>
      <c r="M1155">
        <v>7672.2196249999997</v>
      </c>
      <c r="N1155" t="s">
        <v>988</v>
      </c>
    </row>
    <row r="1156" spans="1:14" hidden="1" x14ac:dyDescent="0.3">
      <c r="A1156">
        <v>739</v>
      </c>
      <c r="B1156" t="s">
        <v>1463</v>
      </c>
      <c r="C1156" t="s">
        <v>2670</v>
      </c>
      <c r="D1156" t="s">
        <v>159</v>
      </c>
      <c r="E1156" t="s">
        <v>159</v>
      </c>
      <c r="F1156">
        <v>7839</v>
      </c>
      <c r="G1156" t="s">
        <v>2674</v>
      </c>
      <c r="H1156" t="s">
        <v>2665</v>
      </c>
      <c r="I1156">
        <v>4367.0274105500002</v>
      </c>
      <c r="J1156">
        <v>5048.3205132499997</v>
      </c>
      <c r="K1156">
        <v>5748.0269430500002</v>
      </c>
      <c r="L1156">
        <v>6628.7977559999999</v>
      </c>
      <c r="M1156">
        <v>7644.5996343500001</v>
      </c>
      <c r="N1156" t="s">
        <v>988</v>
      </c>
    </row>
    <row r="1157" spans="1:14" hidden="1" x14ac:dyDescent="0.3">
      <c r="A1157">
        <v>739</v>
      </c>
      <c r="B1157" t="s">
        <v>1463</v>
      </c>
      <c r="C1157" t="s">
        <v>2670</v>
      </c>
      <c r="D1157" t="s">
        <v>159</v>
      </c>
      <c r="E1157" t="s">
        <v>159</v>
      </c>
      <c r="F1157">
        <v>7839</v>
      </c>
      <c r="G1157" t="s">
        <v>2674</v>
      </c>
      <c r="H1157" t="s">
        <v>2664</v>
      </c>
      <c r="I1157">
        <v>7672.2196249999997</v>
      </c>
      <c r="J1157">
        <v>7672.2196249999997</v>
      </c>
      <c r="K1157">
        <v>7672.2196249999997</v>
      </c>
      <c r="L1157">
        <v>7672.2196249999997</v>
      </c>
      <c r="M1157">
        <v>7672.2196249999997</v>
      </c>
      <c r="N1157" t="s">
        <v>988</v>
      </c>
    </row>
    <row r="1158" spans="1:14" hidden="1" x14ac:dyDescent="0.3">
      <c r="A1158">
        <v>739</v>
      </c>
      <c r="B1158" t="s">
        <v>1463</v>
      </c>
      <c r="C1158" t="s">
        <v>2670</v>
      </c>
      <c r="D1158" t="s">
        <v>159</v>
      </c>
      <c r="E1158" t="s">
        <v>159</v>
      </c>
      <c r="F1158">
        <v>7839</v>
      </c>
      <c r="G1158" t="s">
        <v>2675</v>
      </c>
      <c r="H1158" t="s">
        <v>2665</v>
      </c>
      <c r="I1158">
        <v>4367.0274105500002</v>
      </c>
      <c r="J1158">
        <v>5048.3205132499997</v>
      </c>
      <c r="K1158">
        <v>5748.0269430500002</v>
      </c>
      <c r="L1158">
        <v>6628.7977559999999</v>
      </c>
      <c r="M1158">
        <v>7644.5996343500001</v>
      </c>
      <c r="N1158" t="s">
        <v>988</v>
      </c>
    </row>
    <row r="1159" spans="1:14" hidden="1" x14ac:dyDescent="0.3">
      <c r="A1159">
        <v>739</v>
      </c>
      <c r="B1159" t="s">
        <v>1463</v>
      </c>
      <c r="C1159" t="s">
        <v>2670</v>
      </c>
      <c r="D1159" t="s">
        <v>159</v>
      </c>
      <c r="E1159" t="s">
        <v>159</v>
      </c>
      <c r="F1159">
        <v>7839</v>
      </c>
      <c r="G1159" t="s">
        <v>2675</v>
      </c>
      <c r="H1159" t="s">
        <v>2664</v>
      </c>
      <c r="I1159">
        <v>7672.2196249999997</v>
      </c>
      <c r="J1159">
        <v>7672.2196249999997</v>
      </c>
      <c r="K1159">
        <v>7672.2196249999997</v>
      </c>
      <c r="L1159">
        <v>7672.2196249999997</v>
      </c>
      <c r="M1159">
        <v>7672.2196249999997</v>
      </c>
      <c r="N1159" t="s">
        <v>988</v>
      </c>
    </row>
    <row r="1160" spans="1:14" hidden="1" x14ac:dyDescent="0.3">
      <c r="A1160">
        <v>739</v>
      </c>
      <c r="B1160" t="s">
        <v>1463</v>
      </c>
      <c r="C1160" t="s">
        <v>2670</v>
      </c>
      <c r="D1160" t="s">
        <v>159</v>
      </c>
      <c r="E1160" t="s">
        <v>159</v>
      </c>
      <c r="F1160">
        <v>7839</v>
      </c>
      <c r="G1160" t="s">
        <v>2676</v>
      </c>
      <c r="H1160" t="s">
        <v>2665</v>
      </c>
      <c r="I1160">
        <v>4367.0274105500002</v>
      </c>
      <c r="J1160">
        <v>5048.3205132499997</v>
      </c>
      <c r="K1160">
        <v>5748.0269430500002</v>
      </c>
      <c r="L1160">
        <v>6628.7977559999999</v>
      </c>
      <c r="M1160">
        <v>7644.5996343500001</v>
      </c>
      <c r="N1160" t="s">
        <v>988</v>
      </c>
    </row>
    <row r="1161" spans="1:14" hidden="1" x14ac:dyDescent="0.3">
      <c r="A1161">
        <v>739</v>
      </c>
      <c r="B1161" t="s">
        <v>1463</v>
      </c>
      <c r="C1161" t="s">
        <v>2670</v>
      </c>
      <c r="D1161" t="s">
        <v>159</v>
      </c>
      <c r="E1161" t="s">
        <v>159</v>
      </c>
      <c r="F1161">
        <v>7839</v>
      </c>
      <c r="G1161" t="s">
        <v>2676</v>
      </c>
      <c r="H1161" t="s">
        <v>2664</v>
      </c>
      <c r="I1161">
        <v>7672.2196249999997</v>
      </c>
      <c r="J1161">
        <v>7672.2196249999997</v>
      </c>
      <c r="K1161">
        <v>7672.2196249999997</v>
      </c>
      <c r="L1161">
        <v>7672.2196249999997</v>
      </c>
      <c r="M1161">
        <v>7672.2196249999997</v>
      </c>
      <c r="N1161" t="s">
        <v>988</v>
      </c>
    </row>
    <row r="1162" spans="1:14" hidden="1" x14ac:dyDescent="0.3">
      <c r="A1162">
        <v>739</v>
      </c>
      <c r="B1162" t="s">
        <v>1463</v>
      </c>
      <c r="C1162" t="s">
        <v>2670</v>
      </c>
      <c r="D1162" t="s">
        <v>159</v>
      </c>
      <c r="E1162" t="s">
        <v>159</v>
      </c>
      <c r="F1162">
        <v>7839</v>
      </c>
      <c r="G1162" t="s">
        <v>2672</v>
      </c>
      <c r="H1162" t="s">
        <v>2665</v>
      </c>
      <c r="I1162">
        <v>4367.0274105500002</v>
      </c>
      <c r="J1162">
        <v>5048.3205132499997</v>
      </c>
      <c r="K1162">
        <v>5748.0269430500002</v>
      </c>
      <c r="L1162">
        <v>6628.7977559999999</v>
      </c>
      <c r="M1162">
        <v>7644.5996343500001</v>
      </c>
      <c r="N1162" t="s">
        <v>988</v>
      </c>
    </row>
    <row r="1163" spans="1:14" hidden="1" x14ac:dyDescent="0.3">
      <c r="A1163">
        <v>739</v>
      </c>
      <c r="B1163" t="s">
        <v>1463</v>
      </c>
      <c r="C1163" t="s">
        <v>2670</v>
      </c>
      <c r="D1163" t="s">
        <v>159</v>
      </c>
      <c r="E1163" t="s">
        <v>159</v>
      </c>
      <c r="F1163">
        <v>7839</v>
      </c>
      <c r="G1163" t="s">
        <v>2672</v>
      </c>
      <c r="H1163" t="s">
        <v>2664</v>
      </c>
      <c r="I1163">
        <v>7672.2196249999997</v>
      </c>
      <c r="J1163">
        <v>7672.2196249999997</v>
      </c>
      <c r="K1163">
        <v>7672.2196249999997</v>
      </c>
      <c r="L1163">
        <v>7672.2196249999997</v>
      </c>
      <c r="M1163">
        <v>7672.2196249999997</v>
      </c>
      <c r="N1163" t="s">
        <v>988</v>
      </c>
    </row>
    <row r="1164" spans="1:14" hidden="1" x14ac:dyDescent="0.3">
      <c r="A1164">
        <v>739</v>
      </c>
      <c r="B1164" t="s">
        <v>1463</v>
      </c>
      <c r="C1164" t="s">
        <v>2670</v>
      </c>
      <c r="D1164" t="s">
        <v>159</v>
      </c>
      <c r="E1164" t="s">
        <v>159</v>
      </c>
      <c r="F1164">
        <v>7839</v>
      </c>
      <c r="G1164" t="s">
        <v>2671</v>
      </c>
      <c r="H1164" t="s">
        <v>2665</v>
      </c>
      <c r="I1164">
        <v>4367.0274105500002</v>
      </c>
      <c r="J1164">
        <v>5048.3205132499997</v>
      </c>
      <c r="K1164">
        <v>5748.0269430500002</v>
      </c>
      <c r="L1164">
        <v>6628.7977559999999</v>
      </c>
      <c r="M1164">
        <v>7644.5996343500001</v>
      </c>
      <c r="N1164" t="s">
        <v>988</v>
      </c>
    </row>
    <row r="1165" spans="1:14" hidden="1" x14ac:dyDescent="0.3">
      <c r="A1165">
        <v>739</v>
      </c>
      <c r="B1165" t="s">
        <v>1463</v>
      </c>
      <c r="C1165" t="s">
        <v>2670</v>
      </c>
      <c r="D1165" t="s">
        <v>159</v>
      </c>
      <c r="E1165" t="s">
        <v>159</v>
      </c>
      <c r="F1165">
        <v>7839</v>
      </c>
      <c r="G1165" t="s">
        <v>2671</v>
      </c>
      <c r="H1165" t="s">
        <v>2664</v>
      </c>
      <c r="I1165">
        <v>7672.2196249999997</v>
      </c>
      <c r="J1165">
        <v>7672.2196249999997</v>
      </c>
      <c r="K1165">
        <v>7672.2196249999997</v>
      </c>
      <c r="L1165">
        <v>7672.2196249999997</v>
      </c>
      <c r="M1165">
        <v>7672.2196249999997</v>
      </c>
      <c r="N1165" t="s">
        <v>988</v>
      </c>
    </row>
    <row r="1166" spans="1:14" hidden="1" x14ac:dyDescent="0.3">
      <c r="A1166">
        <v>759</v>
      </c>
      <c r="B1166" t="s">
        <v>1467</v>
      </c>
      <c r="C1166" t="s">
        <v>2670</v>
      </c>
      <c r="D1166" t="s">
        <v>159</v>
      </c>
      <c r="E1166" t="s">
        <v>159</v>
      </c>
      <c r="F1166">
        <v>7834</v>
      </c>
      <c r="G1166" t="s">
        <v>2676</v>
      </c>
      <c r="H1166" t="s">
        <v>2664</v>
      </c>
      <c r="I1166">
        <v>15037</v>
      </c>
      <c r="J1166">
        <v>16407</v>
      </c>
      <c r="K1166">
        <v>16851</v>
      </c>
      <c r="L1166">
        <v>16864</v>
      </c>
      <c r="M1166">
        <v>17078</v>
      </c>
      <c r="N1166" t="s">
        <v>988</v>
      </c>
    </row>
    <row r="1167" spans="1:14" hidden="1" x14ac:dyDescent="0.3">
      <c r="A1167">
        <v>759</v>
      </c>
      <c r="B1167" t="s">
        <v>1467</v>
      </c>
      <c r="C1167" t="s">
        <v>2670</v>
      </c>
      <c r="D1167" t="s">
        <v>159</v>
      </c>
      <c r="E1167" t="s">
        <v>159</v>
      </c>
      <c r="F1167">
        <v>7834</v>
      </c>
      <c r="G1167" t="s">
        <v>2672</v>
      </c>
      <c r="H1167" t="s">
        <v>2665</v>
      </c>
      <c r="N1167" t="s">
        <v>988</v>
      </c>
    </row>
    <row r="1168" spans="1:14" hidden="1" x14ac:dyDescent="0.3">
      <c r="A1168">
        <v>759</v>
      </c>
      <c r="B1168" t="s">
        <v>1467</v>
      </c>
      <c r="C1168" t="s">
        <v>2670</v>
      </c>
      <c r="D1168" t="s">
        <v>159</v>
      </c>
      <c r="E1168" t="s">
        <v>159</v>
      </c>
      <c r="F1168">
        <v>7834</v>
      </c>
      <c r="G1168" t="s">
        <v>2672</v>
      </c>
      <c r="H1168" t="s">
        <v>2664</v>
      </c>
      <c r="N1168" t="s">
        <v>988</v>
      </c>
    </row>
    <row r="1169" spans="1:14" hidden="1" x14ac:dyDescent="0.3">
      <c r="A1169">
        <v>759</v>
      </c>
      <c r="B1169" t="s">
        <v>1467</v>
      </c>
      <c r="C1169" t="s">
        <v>2670</v>
      </c>
      <c r="D1169" t="s">
        <v>159</v>
      </c>
      <c r="E1169" t="s">
        <v>159</v>
      </c>
      <c r="F1169">
        <v>7834</v>
      </c>
      <c r="G1169" t="s">
        <v>2671</v>
      </c>
      <c r="H1169" t="s">
        <v>2665</v>
      </c>
      <c r="I1169">
        <v>16133</v>
      </c>
      <c r="J1169">
        <v>16762</v>
      </c>
      <c r="K1169">
        <v>16862</v>
      </c>
      <c r="L1169">
        <v>17035</v>
      </c>
      <c r="M1169">
        <v>17078</v>
      </c>
      <c r="N1169" t="s">
        <v>988</v>
      </c>
    </row>
    <row r="1170" spans="1:14" hidden="1" x14ac:dyDescent="0.3">
      <c r="A1170">
        <v>759</v>
      </c>
      <c r="B1170" t="s">
        <v>1467</v>
      </c>
      <c r="C1170" t="s">
        <v>2670</v>
      </c>
      <c r="D1170" t="s">
        <v>159</v>
      </c>
      <c r="E1170" t="s">
        <v>159</v>
      </c>
      <c r="F1170">
        <v>7834</v>
      </c>
      <c r="G1170" t="s">
        <v>2671</v>
      </c>
      <c r="H1170" t="s">
        <v>2664</v>
      </c>
      <c r="I1170">
        <v>16133</v>
      </c>
      <c r="J1170">
        <v>16762</v>
      </c>
      <c r="K1170">
        <v>16862</v>
      </c>
      <c r="L1170">
        <v>17035</v>
      </c>
      <c r="M1170">
        <v>17078</v>
      </c>
      <c r="N1170" t="s">
        <v>988</v>
      </c>
    </row>
    <row r="1171" spans="1:14" hidden="1" x14ac:dyDescent="0.3">
      <c r="A1171">
        <v>759</v>
      </c>
      <c r="B1171" t="s">
        <v>1467</v>
      </c>
      <c r="C1171" t="s">
        <v>2670</v>
      </c>
      <c r="D1171" t="s">
        <v>159</v>
      </c>
      <c r="E1171" t="s">
        <v>159</v>
      </c>
      <c r="F1171">
        <v>7834</v>
      </c>
      <c r="G1171" t="s">
        <v>2675</v>
      </c>
      <c r="H1171" t="s">
        <v>2664</v>
      </c>
      <c r="I1171">
        <v>15311</v>
      </c>
      <c r="J1171">
        <v>16496</v>
      </c>
      <c r="K1171">
        <v>16854</v>
      </c>
      <c r="L1171">
        <v>16907</v>
      </c>
      <c r="M1171">
        <v>17078</v>
      </c>
      <c r="N1171" t="s">
        <v>988</v>
      </c>
    </row>
    <row r="1172" spans="1:14" hidden="1" x14ac:dyDescent="0.3">
      <c r="A1172">
        <v>759</v>
      </c>
      <c r="B1172" t="s">
        <v>1467</v>
      </c>
      <c r="C1172" t="s">
        <v>2670</v>
      </c>
      <c r="D1172" t="s">
        <v>159</v>
      </c>
      <c r="E1172" t="s">
        <v>159</v>
      </c>
      <c r="F1172">
        <v>7834</v>
      </c>
      <c r="G1172" t="s">
        <v>2673</v>
      </c>
      <c r="H1172" t="s">
        <v>2664</v>
      </c>
      <c r="I1172">
        <v>15859</v>
      </c>
      <c r="J1172">
        <v>16673</v>
      </c>
      <c r="K1172">
        <v>16859</v>
      </c>
      <c r="L1172">
        <v>16992</v>
      </c>
      <c r="M1172">
        <v>17078</v>
      </c>
      <c r="N1172" t="s">
        <v>988</v>
      </c>
    </row>
    <row r="1173" spans="1:14" hidden="1" x14ac:dyDescent="0.3">
      <c r="A1173">
        <v>759</v>
      </c>
      <c r="B1173" t="s">
        <v>1467</v>
      </c>
      <c r="C1173" t="s">
        <v>2670</v>
      </c>
      <c r="D1173" t="s">
        <v>159</v>
      </c>
      <c r="E1173" t="s">
        <v>159</v>
      </c>
      <c r="F1173">
        <v>7834</v>
      </c>
      <c r="G1173" t="s">
        <v>2676</v>
      </c>
      <c r="H1173" t="s">
        <v>2665</v>
      </c>
      <c r="I1173">
        <v>15037</v>
      </c>
      <c r="J1173">
        <v>16407</v>
      </c>
      <c r="K1173">
        <v>16851</v>
      </c>
      <c r="L1173">
        <v>16864</v>
      </c>
      <c r="M1173">
        <v>17078</v>
      </c>
      <c r="N1173" t="s">
        <v>988</v>
      </c>
    </row>
    <row r="1174" spans="1:14" hidden="1" x14ac:dyDescent="0.3">
      <c r="A1174">
        <v>759</v>
      </c>
      <c r="B1174" t="s">
        <v>1467</v>
      </c>
      <c r="C1174" t="s">
        <v>2670</v>
      </c>
      <c r="D1174" t="s">
        <v>159</v>
      </c>
      <c r="E1174" t="s">
        <v>159</v>
      </c>
      <c r="F1174">
        <v>7834</v>
      </c>
      <c r="G1174" t="s">
        <v>2674</v>
      </c>
      <c r="H1174" t="s">
        <v>2665</v>
      </c>
      <c r="I1174">
        <v>15585</v>
      </c>
      <c r="J1174">
        <v>16585</v>
      </c>
      <c r="K1174">
        <v>16856</v>
      </c>
      <c r="L1174">
        <v>16950</v>
      </c>
      <c r="M1174">
        <v>17078</v>
      </c>
      <c r="N1174" t="s">
        <v>988</v>
      </c>
    </row>
    <row r="1175" spans="1:14" hidden="1" x14ac:dyDescent="0.3">
      <c r="A1175">
        <v>759</v>
      </c>
      <c r="B1175" t="s">
        <v>1467</v>
      </c>
      <c r="C1175" t="s">
        <v>2670</v>
      </c>
      <c r="D1175" t="s">
        <v>159</v>
      </c>
      <c r="E1175" t="s">
        <v>159</v>
      </c>
      <c r="F1175">
        <v>7834</v>
      </c>
      <c r="G1175" t="s">
        <v>2674</v>
      </c>
      <c r="H1175" t="s">
        <v>2664</v>
      </c>
      <c r="I1175">
        <v>15585</v>
      </c>
      <c r="J1175">
        <v>16585</v>
      </c>
      <c r="K1175">
        <v>16856</v>
      </c>
      <c r="L1175">
        <v>16950</v>
      </c>
      <c r="M1175">
        <v>17078</v>
      </c>
      <c r="N1175" t="s">
        <v>988</v>
      </c>
    </row>
    <row r="1176" spans="1:14" hidden="1" x14ac:dyDescent="0.3">
      <c r="A1176">
        <v>759</v>
      </c>
      <c r="B1176" t="s">
        <v>1467</v>
      </c>
      <c r="C1176" t="s">
        <v>2670</v>
      </c>
      <c r="D1176" t="s">
        <v>159</v>
      </c>
      <c r="E1176" t="s">
        <v>159</v>
      </c>
      <c r="F1176">
        <v>7834</v>
      </c>
      <c r="G1176" t="s">
        <v>2675</v>
      </c>
      <c r="H1176" t="s">
        <v>2665</v>
      </c>
      <c r="I1176">
        <v>15311</v>
      </c>
      <c r="J1176">
        <v>16496</v>
      </c>
      <c r="K1176">
        <v>16854</v>
      </c>
      <c r="L1176">
        <v>16907</v>
      </c>
      <c r="M1176">
        <v>17078</v>
      </c>
      <c r="N1176" t="s">
        <v>988</v>
      </c>
    </row>
    <row r="1177" spans="1:14" hidden="1" x14ac:dyDescent="0.3">
      <c r="A1177">
        <v>759</v>
      </c>
      <c r="B1177" t="s">
        <v>1467</v>
      </c>
      <c r="C1177" t="s">
        <v>2670</v>
      </c>
      <c r="D1177" t="s">
        <v>159</v>
      </c>
      <c r="E1177" t="s">
        <v>159</v>
      </c>
      <c r="F1177">
        <v>7834</v>
      </c>
      <c r="G1177" t="s">
        <v>2673</v>
      </c>
      <c r="H1177" t="s">
        <v>2665</v>
      </c>
      <c r="I1177">
        <v>15859</v>
      </c>
      <c r="J1177">
        <v>16673</v>
      </c>
      <c r="K1177">
        <v>16859</v>
      </c>
      <c r="L1177">
        <v>16992</v>
      </c>
      <c r="M1177">
        <v>17078</v>
      </c>
      <c r="N1177" t="s">
        <v>988</v>
      </c>
    </row>
    <row r="1178" spans="1:14" hidden="1" x14ac:dyDescent="0.3">
      <c r="A1178">
        <v>775</v>
      </c>
      <c r="B1178" t="s">
        <v>924</v>
      </c>
      <c r="C1178" t="s">
        <v>2670</v>
      </c>
      <c r="D1178" t="s">
        <v>1203</v>
      </c>
      <c r="E1178" t="s">
        <v>1204</v>
      </c>
      <c r="F1178">
        <v>5478</v>
      </c>
      <c r="G1178" t="s">
        <v>2673</v>
      </c>
      <c r="H1178" t="s">
        <v>2665</v>
      </c>
      <c r="N1178" t="s">
        <v>988</v>
      </c>
    </row>
    <row r="1179" spans="1:14" hidden="1" x14ac:dyDescent="0.3">
      <c r="A1179">
        <v>775</v>
      </c>
      <c r="B1179" t="s">
        <v>924</v>
      </c>
      <c r="C1179" t="s">
        <v>2670</v>
      </c>
      <c r="D1179" t="s">
        <v>1203</v>
      </c>
      <c r="E1179" t="s">
        <v>1204</v>
      </c>
      <c r="F1179">
        <v>5478</v>
      </c>
      <c r="G1179" t="s">
        <v>2673</v>
      </c>
      <c r="H1179" t="s">
        <v>2664</v>
      </c>
      <c r="N1179" t="s">
        <v>988</v>
      </c>
    </row>
    <row r="1180" spans="1:14" hidden="1" x14ac:dyDescent="0.3">
      <c r="A1180">
        <v>775</v>
      </c>
      <c r="B1180" t="s">
        <v>924</v>
      </c>
      <c r="C1180" t="s">
        <v>2670</v>
      </c>
      <c r="D1180" t="s">
        <v>1203</v>
      </c>
      <c r="E1180" t="s">
        <v>1204</v>
      </c>
      <c r="F1180">
        <v>5478</v>
      </c>
      <c r="G1180" t="s">
        <v>2674</v>
      </c>
      <c r="H1180" t="s">
        <v>2665</v>
      </c>
      <c r="I1180">
        <v>175862.61824425001</v>
      </c>
      <c r="J1180">
        <v>176982.76230949999</v>
      </c>
      <c r="K1180">
        <v>175862.61824425001</v>
      </c>
      <c r="L1180">
        <v>192664.77922299999</v>
      </c>
      <c r="M1180">
        <v>203866.21987550001</v>
      </c>
      <c r="N1180" t="s">
        <v>988</v>
      </c>
    </row>
    <row r="1181" spans="1:14" hidden="1" x14ac:dyDescent="0.3">
      <c r="A1181">
        <v>775</v>
      </c>
      <c r="B1181" t="s">
        <v>924</v>
      </c>
      <c r="C1181" t="s">
        <v>2670</v>
      </c>
      <c r="D1181" t="s">
        <v>1203</v>
      </c>
      <c r="E1181" t="s">
        <v>1204</v>
      </c>
      <c r="F1181">
        <v>5478</v>
      </c>
      <c r="G1181" t="s">
        <v>2674</v>
      </c>
      <c r="H1181" t="s">
        <v>2664</v>
      </c>
      <c r="I1181">
        <v>175862.61824425001</v>
      </c>
      <c r="J1181">
        <v>176982.76230949999</v>
      </c>
      <c r="K1181">
        <v>175862.61824425001</v>
      </c>
      <c r="L1181">
        <v>161300.74539600001</v>
      </c>
      <c r="M1181">
        <v>145618.72848250001</v>
      </c>
      <c r="N1181" t="s">
        <v>988</v>
      </c>
    </row>
    <row r="1182" spans="1:14" hidden="1" x14ac:dyDescent="0.3">
      <c r="A1182">
        <v>775</v>
      </c>
      <c r="B1182" t="s">
        <v>924</v>
      </c>
      <c r="C1182" t="s">
        <v>2670</v>
      </c>
      <c r="D1182" t="s">
        <v>1203</v>
      </c>
      <c r="E1182" t="s">
        <v>1204</v>
      </c>
      <c r="F1182">
        <v>5478</v>
      </c>
      <c r="G1182" t="s">
        <v>2675</v>
      </c>
      <c r="H1182" t="s">
        <v>2665</v>
      </c>
      <c r="I1182">
        <v>180343.19450524999</v>
      </c>
      <c r="J1182">
        <v>183703.626701</v>
      </c>
      <c r="K1182">
        <v>187064.05889675001</v>
      </c>
      <c r="L1182">
        <v>192664.77922299999</v>
      </c>
      <c r="M1182">
        <v>199385.6436145</v>
      </c>
      <c r="N1182" t="s">
        <v>988</v>
      </c>
    </row>
    <row r="1183" spans="1:14" hidden="1" x14ac:dyDescent="0.3">
      <c r="A1183">
        <v>775</v>
      </c>
      <c r="B1183" t="s">
        <v>924</v>
      </c>
      <c r="C1183" t="s">
        <v>2670</v>
      </c>
      <c r="D1183" t="s">
        <v>1203</v>
      </c>
      <c r="E1183" t="s">
        <v>1204</v>
      </c>
      <c r="F1183">
        <v>5478</v>
      </c>
      <c r="G1183" t="s">
        <v>2672</v>
      </c>
      <c r="H1183" t="s">
        <v>2665</v>
      </c>
      <c r="N1183" t="s">
        <v>988</v>
      </c>
    </row>
    <row r="1184" spans="1:14" hidden="1" x14ac:dyDescent="0.3">
      <c r="A1184">
        <v>775</v>
      </c>
      <c r="B1184" t="s">
        <v>924</v>
      </c>
      <c r="C1184" t="s">
        <v>2670</v>
      </c>
      <c r="D1184" t="s">
        <v>1203</v>
      </c>
      <c r="E1184" t="s">
        <v>1204</v>
      </c>
      <c r="F1184">
        <v>5478</v>
      </c>
      <c r="G1184" t="s">
        <v>2676</v>
      </c>
      <c r="H1184" t="s">
        <v>2665</v>
      </c>
      <c r="I1184">
        <v>208346.79613649999</v>
      </c>
      <c r="J1184">
        <v>211707.22833225</v>
      </c>
      <c r="K1184">
        <v>215067.66052800001</v>
      </c>
      <c r="L1184">
        <v>221788.52491949999</v>
      </c>
      <c r="M1184">
        <v>228509.38931100001</v>
      </c>
      <c r="N1184" t="s">
        <v>988</v>
      </c>
    </row>
    <row r="1185" spans="1:14" hidden="1" x14ac:dyDescent="0.3">
      <c r="A1185">
        <v>775</v>
      </c>
      <c r="B1185" t="s">
        <v>924</v>
      </c>
      <c r="C1185" t="s">
        <v>2670</v>
      </c>
      <c r="D1185" t="s">
        <v>1203</v>
      </c>
      <c r="E1185" t="s">
        <v>1204</v>
      </c>
      <c r="F1185">
        <v>5478</v>
      </c>
      <c r="G1185" t="s">
        <v>2676</v>
      </c>
      <c r="H1185" t="s">
        <v>2664</v>
      </c>
      <c r="I1185">
        <v>208346.79613649999</v>
      </c>
      <c r="J1185">
        <v>211707.22833225</v>
      </c>
      <c r="K1185">
        <v>215067.66052800001</v>
      </c>
      <c r="L1185">
        <v>221788.52491949999</v>
      </c>
      <c r="M1185">
        <v>228509.38931100001</v>
      </c>
      <c r="N1185" t="s">
        <v>988</v>
      </c>
    </row>
    <row r="1186" spans="1:14" hidden="1" x14ac:dyDescent="0.3">
      <c r="A1186">
        <v>775</v>
      </c>
      <c r="B1186" t="s">
        <v>924</v>
      </c>
      <c r="C1186" t="s">
        <v>2670</v>
      </c>
      <c r="D1186" t="s">
        <v>1203</v>
      </c>
      <c r="E1186" t="s">
        <v>1204</v>
      </c>
      <c r="F1186">
        <v>5478</v>
      </c>
      <c r="G1186" t="s">
        <v>2671</v>
      </c>
      <c r="H1186" t="s">
        <v>2664</v>
      </c>
      <c r="N1186" t="s">
        <v>988</v>
      </c>
    </row>
    <row r="1187" spans="1:14" hidden="1" x14ac:dyDescent="0.3">
      <c r="A1187">
        <v>775</v>
      </c>
      <c r="B1187" t="s">
        <v>924</v>
      </c>
      <c r="C1187" t="s">
        <v>2670</v>
      </c>
      <c r="D1187" t="s">
        <v>1203</v>
      </c>
      <c r="E1187" t="s">
        <v>1204</v>
      </c>
      <c r="F1187">
        <v>5478</v>
      </c>
      <c r="G1187" t="s">
        <v>2671</v>
      </c>
      <c r="H1187" t="s">
        <v>2665</v>
      </c>
      <c r="N1187" t="s">
        <v>988</v>
      </c>
    </row>
    <row r="1188" spans="1:14" hidden="1" x14ac:dyDescent="0.3">
      <c r="A1188">
        <v>775</v>
      </c>
      <c r="B1188" t="s">
        <v>924</v>
      </c>
      <c r="C1188" t="s">
        <v>2670</v>
      </c>
      <c r="D1188" t="s">
        <v>1203</v>
      </c>
      <c r="E1188" t="s">
        <v>1204</v>
      </c>
      <c r="F1188">
        <v>5478</v>
      </c>
      <c r="G1188" t="s">
        <v>2672</v>
      </c>
      <c r="H1188" t="s">
        <v>2664</v>
      </c>
      <c r="N1188" t="s">
        <v>988</v>
      </c>
    </row>
    <row r="1189" spans="1:14" hidden="1" x14ac:dyDescent="0.3">
      <c r="A1189">
        <v>775</v>
      </c>
      <c r="B1189" t="s">
        <v>924</v>
      </c>
      <c r="C1189" t="s">
        <v>2670</v>
      </c>
      <c r="D1189" t="s">
        <v>1203</v>
      </c>
      <c r="E1189" t="s">
        <v>1204</v>
      </c>
      <c r="F1189">
        <v>5478</v>
      </c>
      <c r="G1189" t="s">
        <v>2675</v>
      </c>
      <c r="H1189" t="s">
        <v>2664</v>
      </c>
      <c r="I1189">
        <v>180343.19450524999</v>
      </c>
      <c r="J1189">
        <v>183703.626701</v>
      </c>
      <c r="K1189">
        <v>187064.05889675001</v>
      </c>
      <c r="L1189">
        <v>192664.77922299999</v>
      </c>
      <c r="M1189">
        <v>199385.6436145</v>
      </c>
      <c r="N1189" t="s">
        <v>988</v>
      </c>
    </row>
    <row r="1190" spans="1:14" hidden="1" x14ac:dyDescent="0.3">
      <c r="A1190">
        <v>784</v>
      </c>
      <c r="B1190" t="s">
        <v>1475</v>
      </c>
      <c r="C1190" t="s">
        <v>2670</v>
      </c>
      <c r="D1190" t="s">
        <v>159</v>
      </c>
      <c r="E1190" t="s">
        <v>159</v>
      </c>
      <c r="F1190">
        <v>5767</v>
      </c>
      <c r="G1190" t="s">
        <v>2676</v>
      </c>
      <c r="H1190" t="s">
        <v>2664</v>
      </c>
      <c r="I1190">
        <v>16806</v>
      </c>
      <c r="J1190">
        <v>16806</v>
      </c>
      <c r="K1190">
        <v>16806</v>
      </c>
      <c r="L1190">
        <v>16806</v>
      </c>
      <c r="M1190">
        <v>16806</v>
      </c>
      <c r="N1190" t="s">
        <v>988</v>
      </c>
    </row>
    <row r="1191" spans="1:14" hidden="1" x14ac:dyDescent="0.3">
      <c r="A1191">
        <v>784</v>
      </c>
      <c r="B1191" t="s">
        <v>1475</v>
      </c>
      <c r="C1191" t="s">
        <v>2670</v>
      </c>
      <c r="D1191" t="s">
        <v>159</v>
      </c>
      <c r="E1191" t="s">
        <v>159</v>
      </c>
      <c r="F1191">
        <v>5767</v>
      </c>
      <c r="G1191" t="s">
        <v>2676</v>
      </c>
      <c r="H1191" t="s">
        <v>2665</v>
      </c>
      <c r="I1191">
        <v>8403</v>
      </c>
      <c r="J1191">
        <v>9187</v>
      </c>
      <c r="K1191">
        <v>10044</v>
      </c>
      <c r="L1191">
        <v>10981</v>
      </c>
      <c r="M1191">
        <v>12005</v>
      </c>
      <c r="N1191" t="s">
        <v>988</v>
      </c>
    </row>
    <row r="1192" spans="1:14" hidden="1" x14ac:dyDescent="0.3">
      <c r="A1192">
        <v>784</v>
      </c>
      <c r="B1192" t="s">
        <v>1475</v>
      </c>
      <c r="C1192" t="s">
        <v>2670</v>
      </c>
      <c r="D1192" t="s">
        <v>159</v>
      </c>
      <c r="E1192" t="s">
        <v>159</v>
      </c>
      <c r="F1192">
        <v>5767</v>
      </c>
      <c r="G1192" t="s">
        <v>2671</v>
      </c>
      <c r="H1192" t="s">
        <v>2664</v>
      </c>
      <c r="I1192">
        <v>16806</v>
      </c>
      <c r="J1192">
        <v>16806</v>
      </c>
      <c r="K1192">
        <v>16806</v>
      </c>
      <c r="L1192">
        <v>16806</v>
      </c>
      <c r="M1192">
        <v>16806</v>
      </c>
      <c r="N1192" t="s">
        <v>988</v>
      </c>
    </row>
    <row r="1193" spans="1:14" hidden="1" x14ac:dyDescent="0.3">
      <c r="A1193">
        <v>784</v>
      </c>
      <c r="B1193" t="s">
        <v>1475</v>
      </c>
      <c r="C1193" t="s">
        <v>2670</v>
      </c>
      <c r="D1193" t="s">
        <v>159</v>
      </c>
      <c r="E1193" t="s">
        <v>159</v>
      </c>
      <c r="F1193">
        <v>5767</v>
      </c>
      <c r="G1193" t="s">
        <v>2675</v>
      </c>
      <c r="H1193" t="s">
        <v>2665</v>
      </c>
      <c r="I1193">
        <v>8403</v>
      </c>
      <c r="J1193">
        <v>9187</v>
      </c>
      <c r="K1193">
        <v>10044</v>
      </c>
      <c r="L1193">
        <v>10981</v>
      </c>
      <c r="M1193">
        <v>12005</v>
      </c>
      <c r="N1193" t="s">
        <v>988</v>
      </c>
    </row>
    <row r="1194" spans="1:14" hidden="1" x14ac:dyDescent="0.3">
      <c r="A1194">
        <v>784</v>
      </c>
      <c r="B1194" t="s">
        <v>1475</v>
      </c>
      <c r="C1194" t="s">
        <v>2670</v>
      </c>
      <c r="D1194" t="s">
        <v>159</v>
      </c>
      <c r="E1194" t="s">
        <v>159</v>
      </c>
      <c r="F1194">
        <v>5767</v>
      </c>
      <c r="G1194" t="s">
        <v>2674</v>
      </c>
      <c r="H1194" t="s">
        <v>2664</v>
      </c>
      <c r="I1194">
        <v>16806</v>
      </c>
      <c r="J1194">
        <v>16806</v>
      </c>
      <c r="K1194">
        <v>16806</v>
      </c>
      <c r="L1194">
        <v>16806</v>
      </c>
      <c r="M1194">
        <v>16806</v>
      </c>
      <c r="N1194" t="s">
        <v>988</v>
      </c>
    </row>
    <row r="1195" spans="1:14" hidden="1" x14ac:dyDescent="0.3">
      <c r="A1195">
        <v>784</v>
      </c>
      <c r="B1195" t="s">
        <v>1475</v>
      </c>
      <c r="C1195" t="s">
        <v>2670</v>
      </c>
      <c r="D1195" t="s">
        <v>159</v>
      </c>
      <c r="E1195" t="s">
        <v>159</v>
      </c>
      <c r="F1195">
        <v>5767</v>
      </c>
      <c r="G1195" t="s">
        <v>2674</v>
      </c>
      <c r="H1195" t="s">
        <v>2665</v>
      </c>
      <c r="I1195">
        <v>8403</v>
      </c>
      <c r="J1195">
        <v>9187</v>
      </c>
      <c r="K1195">
        <v>10044</v>
      </c>
      <c r="L1195">
        <v>10981</v>
      </c>
      <c r="M1195">
        <v>12005</v>
      </c>
      <c r="N1195" t="s">
        <v>988</v>
      </c>
    </row>
    <row r="1196" spans="1:14" hidden="1" x14ac:dyDescent="0.3">
      <c r="A1196">
        <v>784</v>
      </c>
      <c r="B1196" t="s">
        <v>1475</v>
      </c>
      <c r="C1196" t="s">
        <v>2670</v>
      </c>
      <c r="D1196" t="s">
        <v>159</v>
      </c>
      <c r="E1196" t="s">
        <v>159</v>
      </c>
      <c r="F1196">
        <v>5767</v>
      </c>
      <c r="G1196" t="s">
        <v>2673</v>
      </c>
      <c r="H1196" t="s">
        <v>2664</v>
      </c>
      <c r="I1196">
        <v>16806</v>
      </c>
      <c r="J1196">
        <v>16806</v>
      </c>
      <c r="K1196">
        <v>16806</v>
      </c>
      <c r="L1196">
        <v>16806</v>
      </c>
      <c r="M1196">
        <v>16806</v>
      </c>
      <c r="N1196" t="s">
        <v>988</v>
      </c>
    </row>
    <row r="1197" spans="1:14" hidden="1" x14ac:dyDescent="0.3">
      <c r="A1197">
        <v>784</v>
      </c>
      <c r="B1197" t="s">
        <v>1475</v>
      </c>
      <c r="C1197" t="s">
        <v>2670</v>
      </c>
      <c r="D1197" t="s">
        <v>159</v>
      </c>
      <c r="E1197" t="s">
        <v>159</v>
      </c>
      <c r="F1197">
        <v>5767</v>
      </c>
      <c r="G1197" t="s">
        <v>2673</v>
      </c>
      <c r="H1197" t="s">
        <v>2665</v>
      </c>
      <c r="I1197">
        <v>8403</v>
      </c>
      <c r="J1197">
        <v>9187</v>
      </c>
      <c r="K1197">
        <v>10044</v>
      </c>
      <c r="L1197">
        <v>10981</v>
      </c>
      <c r="M1197">
        <v>12005</v>
      </c>
      <c r="N1197" t="s">
        <v>988</v>
      </c>
    </row>
    <row r="1198" spans="1:14" hidden="1" x14ac:dyDescent="0.3">
      <c r="A1198">
        <v>784</v>
      </c>
      <c r="B1198" t="s">
        <v>1475</v>
      </c>
      <c r="C1198" t="s">
        <v>2670</v>
      </c>
      <c r="D1198" t="s">
        <v>159</v>
      </c>
      <c r="E1198" t="s">
        <v>159</v>
      </c>
      <c r="F1198">
        <v>5767</v>
      </c>
      <c r="G1198" t="s">
        <v>2675</v>
      </c>
      <c r="H1198" t="s">
        <v>2664</v>
      </c>
      <c r="I1198">
        <v>16806</v>
      </c>
      <c r="J1198">
        <v>16806</v>
      </c>
      <c r="K1198">
        <v>16806</v>
      </c>
      <c r="L1198">
        <v>16806</v>
      </c>
      <c r="M1198">
        <v>16806</v>
      </c>
      <c r="N1198" t="s">
        <v>988</v>
      </c>
    </row>
    <row r="1199" spans="1:14" hidden="1" x14ac:dyDescent="0.3">
      <c r="A1199">
        <v>784</v>
      </c>
      <c r="B1199" t="s">
        <v>1475</v>
      </c>
      <c r="C1199" t="s">
        <v>2670</v>
      </c>
      <c r="D1199" t="s">
        <v>159</v>
      </c>
      <c r="E1199" t="s">
        <v>159</v>
      </c>
      <c r="F1199">
        <v>5767</v>
      </c>
      <c r="G1199" t="s">
        <v>2671</v>
      </c>
      <c r="H1199" t="s">
        <v>2665</v>
      </c>
      <c r="I1199">
        <v>8403</v>
      </c>
      <c r="J1199">
        <v>9187</v>
      </c>
      <c r="K1199">
        <v>10044</v>
      </c>
      <c r="L1199">
        <v>10981</v>
      </c>
      <c r="M1199">
        <v>12005</v>
      </c>
      <c r="N1199" t="s">
        <v>988</v>
      </c>
    </row>
    <row r="1200" spans="1:14" hidden="1" x14ac:dyDescent="0.3">
      <c r="A1200">
        <v>784</v>
      </c>
      <c r="B1200" t="s">
        <v>1475</v>
      </c>
      <c r="C1200" t="s">
        <v>2670</v>
      </c>
      <c r="D1200" t="s">
        <v>159</v>
      </c>
      <c r="E1200" t="s">
        <v>159</v>
      </c>
      <c r="F1200">
        <v>5767</v>
      </c>
      <c r="G1200" t="s">
        <v>2672</v>
      </c>
      <c r="H1200" t="s">
        <v>2664</v>
      </c>
      <c r="N1200" t="s">
        <v>988</v>
      </c>
    </row>
    <row r="1201" spans="1:14" hidden="1" x14ac:dyDescent="0.3">
      <c r="A1201">
        <v>784</v>
      </c>
      <c r="B1201" t="s">
        <v>1475</v>
      </c>
      <c r="C1201" t="s">
        <v>2670</v>
      </c>
      <c r="D1201" t="s">
        <v>159</v>
      </c>
      <c r="E1201" t="s">
        <v>159</v>
      </c>
      <c r="F1201">
        <v>5767</v>
      </c>
      <c r="G1201" t="s">
        <v>2672</v>
      </c>
      <c r="H1201" t="s">
        <v>2665</v>
      </c>
      <c r="N1201" t="s">
        <v>988</v>
      </c>
    </row>
    <row r="1202" spans="1:14" hidden="1" x14ac:dyDescent="0.3">
      <c r="A1202">
        <v>785</v>
      </c>
      <c r="B1202" t="s">
        <v>1476</v>
      </c>
      <c r="C1202" t="s">
        <v>2670</v>
      </c>
      <c r="D1202" t="s">
        <v>1203</v>
      </c>
      <c r="E1202" t="s">
        <v>1204</v>
      </c>
      <c r="F1202">
        <v>5655</v>
      </c>
      <c r="G1202" t="s">
        <v>2674</v>
      </c>
      <c r="H1202" t="s">
        <v>2664</v>
      </c>
      <c r="I1202">
        <v>880</v>
      </c>
      <c r="J1202">
        <v>933</v>
      </c>
      <c r="K1202">
        <v>986</v>
      </c>
      <c r="L1202">
        <v>1039</v>
      </c>
      <c r="M1202">
        <v>1092</v>
      </c>
      <c r="N1202" t="s">
        <v>988</v>
      </c>
    </row>
    <row r="1203" spans="1:14" hidden="1" x14ac:dyDescent="0.3">
      <c r="A1203">
        <v>785</v>
      </c>
      <c r="B1203" t="s">
        <v>1476</v>
      </c>
      <c r="C1203" t="s">
        <v>2670</v>
      </c>
      <c r="D1203" t="s">
        <v>1203</v>
      </c>
      <c r="E1203" t="s">
        <v>1204</v>
      </c>
      <c r="F1203">
        <v>5655</v>
      </c>
      <c r="G1203" t="s">
        <v>2674</v>
      </c>
      <c r="H1203" t="s">
        <v>2665</v>
      </c>
      <c r="I1203">
        <v>880</v>
      </c>
      <c r="J1203">
        <v>933</v>
      </c>
      <c r="K1203">
        <v>986</v>
      </c>
      <c r="L1203">
        <v>1039</v>
      </c>
      <c r="M1203">
        <v>1092</v>
      </c>
      <c r="N1203" t="s">
        <v>988</v>
      </c>
    </row>
    <row r="1204" spans="1:14" hidden="1" x14ac:dyDescent="0.3">
      <c r="A1204">
        <v>785</v>
      </c>
      <c r="B1204" t="s">
        <v>1476</v>
      </c>
      <c r="C1204" t="s">
        <v>2670</v>
      </c>
      <c r="D1204" t="s">
        <v>1203</v>
      </c>
      <c r="E1204" t="s">
        <v>1204</v>
      </c>
      <c r="F1204">
        <v>5655</v>
      </c>
      <c r="G1204" t="s">
        <v>2673</v>
      </c>
      <c r="H1204" t="s">
        <v>2664</v>
      </c>
      <c r="I1204">
        <v>890</v>
      </c>
      <c r="J1204">
        <v>943</v>
      </c>
      <c r="K1204">
        <v>996</v>
      </c>
      <c r="L1204">
        <v>1049</v>
      </c>
      <c r="M1204">
        <v>1102</v>
      </c>
      <c r="N1204" t="s">
        <v>988</v>
      </c>
    </row>
    <row r="1205" spans="1:14" hidden="1" x14ac:dyDescent="0.3">
      <c r="A1205">
        <v>785</v>
      </c>
      <c r="B1205" t="s">
        <v>1476</v>
      </c>
      <c r="C1205" t="s">
        <v>2670</v>
      </c>
      <c r="D1205" t="s">
        <v>1203</v>
      </c>
      <c r="E1205" t="s">
        <v>1204</v>
      </c>
      <c r="F1205">
        <v>5655</v>
      </c>
      <c r="G1205" t="s">
        <v>2673</v>
      </c>
      <c r="H1205" t="s">
        <v>2665</v>
      </c>
      <c r="I1205">
        <v>890</v>
      </c>
      <c r="J1205">
        <v>943</v>
      </c>
      <c r="K1205">
        <v>996</v>
      </c>
      <c r="L1205">
        <v>1049</v>
      </c>
      <c r="M1205">
        <v>1102</v>
      </c>
      <c r="N1205" t="s">
        <v>988</v>
      </c>
    </row>
    <row r="1206" spans="1:14" hidden="1" x14ac:dyDescent="0.3">
      <c r="A1206">
        <v>785</v>
      </c>
      <c r="B1206" t="s">
        <v>1476</v>
      </c>
      <c r="C1206" t="s">
        <v>2670</v>
      </c>
      <c r="D1206" t="s">
        <v>1203</v>
      </c>
      <c r="E1206" t="s">
        <v>1204</v>
      </c>
      <c r="F1206">
        <v>5655</v>
      </c>
      <c r="G1206" t="s">
        <v>2671</v>
      </c>
      <c r="H1206" t="s">
        <v>2664</v>
      </c>
      <c r="I1206">
        <v>901</v>
      </c>
      <c r="J1206">
        <v>954</v>
      </c>
      <c r="K1206">
        <v>1007</v>
      </c>
      <c r="L1206">
        <v>1060</v>
      </c>
      <c r="M1206">
        <v>1113</v>
      </c>
      <c r="N1206" t="s">
        <v>988</v>
      </c>
    </row>
    <row r="1207" spans="1:14" hidden="1" x14ac:dyDescent="0.3">
      <c r="A1207">
        <v>785</v>
      </c>
      <c r="B1207" t="s">
        <v>1476</v>
      </c>
      <c r="C1207" t="s">
        <v>2670</v>
      </c>
      <c r="D1207" t="s">
        <v>1203</v>
      </c>
      <c r="E1207" t="s">
        <v>1204</v>
      </c>
      <c r="F1207">
        <v>5655</v>
      </c>
      <c r="G1207" t="s">
        <v>2676</v>
      </c>
      <c r="H1207" t="s">
        <v>2664</v>
      </c>
      <c r="I1207">
        <v>859</v>
      </c>
      <c r="J1207">
        <v>912</v>
      </c>
      <c r="K1207">
        <v>965</v>
      </c>
      <c r="L1207">
        <v>1018</v>
      </c>
      <c r="M1207">
        <v>1071</v>
      </c>
      <c r="N1207" t="s">
        <v>988</v>
      </c>
    </row>
    <row r="1208" spans="1:14" hidden="1" x14ac:dyDescent="0.3">
      <c r="A1208">
        <v>785</v>
      </c>
      <c r="B1208" t="s">
        <v>1476</v>
      </c>
      <c r="C1208" t="s">
        <v>2670</v>
      </c>
      <c r="D1208" t="s">
        <v>1203</v>
      </c>
      <c r="E1208" t="s">
        <v>1204</v>
      </c>
      <c r="F1208">
        <v>5655</v>
      </c>
      <c r="G1208" t="s">
        <v>2672</v>
      </c>
      <c r="H1208" t="s">
        <v>2664</v>
      </c>
      <c r="N1208" t="s">
        <v>988</v>
      </c>
    </row>
    <row r="1209" spans="1:14" hidden="1" x14ac:dyDescent="0.3">
      <c r="A1209">
        <v>785</v>
      </c>
      <c r="B1209" t="s">
        <v>1476</v>
      </c>
      <c r="C1209" t="s">
        <v>2670</v>
      </c>
      <c r="D1209" t="s">
        <v>1203</v>
      </c>
      <c r="E1209" t="s">
        <v>1204</v>
      </c>
      <c r="F1209">
        <v>5655</v>
      </c>
      <c r="G1209" t="s">
        <v>2672</v>
      </c>
      <c r="H1209" t="s">
        <v>2665</v>
      </c>
      <c r="N1209" t="s">
        <v>988</v>
      </c>
    </row>
    <row r="1210" spans="1:14" hidden="1" x14ac:dyDescent="0.3">
      <c r="A1210">
        <v>785</v>
      </c>
      <c r="B1210" t="s">
        <v>1476</v>
      </c>
      <c r="C1210" t="s">
        <v>2670</v>
      </c>
      <c r="D1210" t="s">
        <v>1203</v>
      </c>
      <c r="E1210" t="s">
        <v>1204</v>
      </c>
      <c r="F1210">
        <v>5655</v>
      </c>
      <c r="G1210" t="s">
        <v>2675</v>
      </c>
      <c r="H1210" t="s">
        <v>2665</v>
      </c>
      <c r="I1210">
        <v>869</v>
      </c>
      <c r="J1210">
        <v>922</v>
      </c>
      <c r="K1210">
        <v>975</v>
      </c>
      <c r="L1210">
        <v>1028</v>
      </c>
      <c r="M1210">
        <v>1081</v>
      </c>
      <c r="N1210" t="s">
        <v>988</v>
      </c>
    </row>
    <row r="1211" spans="1:14" hidden="1" x14ac:dyDescent="0.3">
      <c r="A1211">
        <v>785</v>
      </c>
      <c r="B1211" t="s">
        <v>1476</v>
      </c>
      <c r="C1211" t="s">
        <v>2670</v>
      </c>
      <c r="D1211" t="s">
        <v>1203</v>
      </c>
      <c r="E1211" t="s">
        <v>1204</v>
      </c>
      <c r="F1211">
        <v>5655</v>
      </c>
      <c r="G1211" t="s">
        <v>2675</v>
      </c>
      <c r="H1211" t="s">
        <v>2664</v>
      </c>
      <c r="I1211">
        <v>869</v>
      </c>
      <c r="J1211">
        <v>922</v>
      </c>
      <c r="K1211">
        <v>975</v>
      </c>
      <c r="L1211">
        <v>1028</v>
      </c>
      <c r="M1211">
        <v>1081</v>
      </c>
      <c r="N1211" t="s">
        <v>988</v>
      </c>
    </row>
    <row r="1212" spans="1:14" hidden="1" x14ac:dyDescent="0.3">
      <c r="A1212">
        <v>785</v>
      </c>
      <c r="B1212" t="s">
        <v>1476</v>
      </c>
      <c r="C1212" t="s">
        <v>2670</v>
      </c>
      <c r="D1212" t="s">
        <v>1203</v>
      </c>
      <c r="E1212" t="s">
        <v>1204</v>
      </c>
      <c r="F1212">
        <v>5655</v>
      </c>
      <c r="G1212" t="s">
        <v>2676</v>
      </c>
      <c r="H1212" t="s">
        <v>2665</v>
      </c>
      <c r="I1212">
        <v>859</v>
      </c>
      <c r="J1212">
        <v>912</v>
      </c>
      <c r="K1212">
        <v>965</v>
      </c>
      <c r="L1212">
        <v>1018</v>
      </c>
      <c r="M1212">
        <v>1071</v>
      </c>
      <c r="N1212" t="s">
        <v>988</v>
      </c>
    </row>
    <row r="1213" spans="1:14" hidden="1" x14ac:dyDescent="0.3">
      <c r="A1213">
        <v>785</v>
      </c>
      <c r="B1213" t="s">
        <v>1476</v>
      </c>
      <c r="C1213" t="s">
        <v>2670</v>
      </c>
      <c r="D1213" t="s">
        <v>1203</v>
      </c>
      <c r="E1213" t="s">
        <v>1204</v>
      </c>
      <c r="F1213">
        <v>5655</v>
      </c>
      <c r="G1213" t="s">
        <v>2671</v>
      </c>
      <c r="H1213" t="s">
        <v>2665</v>
      </c>
      <c r="I1213">
        <v>901</v>
      </c>
      <c r="J1213">
        <v>954</v>
      </c>
      <c r="K1213">
        <v>1007</v>
      </c>
      <c r="L1213">
        <v>1060</v>
      </c>
      <c r="M1213">
        <v>1113</v>
      </c>
      <c r="N1213" t="s">
        <v>988</v>
      </c>
    </row>
    <row r="1214" spans="1:14" hidden="1" x14ac:dyDescent="0.3">
      <c r="A1214">
        <v>787</v>
      </c>
      <c r="B1214" t="s">
        <v>1478</v>
      </c>
      <c r="C1214" t="s">
        <v>2670</v>
      </c>
      <c r="D1214" t="s">
        <v>1203</v>
      </c>
      <c r="E1214" t="s">
        <v>1204</v>
      </c>
      <c r="F1214">
        <v>5718</v>
      </c>
      <c r="G1214" t="s">
        <v>2672</v>
      </c>
      <c r="H1214" t="s">
        <v>2665</v>
      </c>
      <c r="N1214" t="s">
        <v>988</v>
      </c>
    </row>
    <row r="1215" spans="1:14" hidden="1" x14ac:dyDescent="0.3">
      <c r="A1215">
        <v>787</v>
      </c>
      <c r="B1215" t="s">
        <v>1478</v>
      </c>
      <c r="C1215" t="s">
        <v>2670</v>
      </c>
      <c r="D1215" t="s">
        <v>1203</v>
      </c>
      <c r="E1215" t="s">
        <v>1204</v>
      </c>
      <c r="F1215">
        <v>5718</v>
      </c>
      <c r="G1215" t="s">
        <v>2672</v>
      </c>
      <c r="H1215" t="s">
        <v>2664</v>
      </c>
      <c r="N1215" t="s">
        <v>988</v>
      </c>
    </row>
    <row r="1216" spans="1:14" hidden="1" x14ac:dyDescent="0.3">
      <c r="A1216">
        <v>787</v>
      </c>
      <c r="B1216" t="s">
        <v>1478</v>
      </c>
      <c r="C1216" t="s">
        <v>2670</v>
      </c>
      <c r="D1216" t="s">
        <v>1203</v>
      </c>
      <c r="E1216" t="s">
        <v>1204</v>
      </c>
      <c r="F1216">
        <v>5718</v>
      </c>
      <c r="G1216" t="s">
        <v>2671</v>
      </c>
      <c r="H1216" t="s">
        <v>2665</v>
      </c>
      <c r="I1216">
        <v>2123.92234789248</v>
      </c>
      <c r="J1216">
        <v>2212.91917487613</v>
      </c>
      <c r="K1216">
        <v>2389.9126782930998</v>
      </c>
      <c r="L1216">
        <v>2844.8961704929802</v>
      </c>
      <c r="M1216">
        <v>3307.8790257626802</v>
      </c>
      <c r="N1216" t="s">
        <v>988</v>
      </c>
    </row>
    <row r="1217" spans="1:14" hidden="1" x14ac:dyDescent="0.3">
      <c r="A1217">
        <v>787</v>
      </c>
      <c r="B1217" t="s">
        <v>1478</v>
      </c>
      <c r="C1217" t="s">
        <v>2670</v>
      </c>
      <c r="D1217" t="s">
        <v>1203</v>
      </c>
      <c r="E1217" t="s">
        <v>1204</v>
      </c>
      <c r="F1217">
        <v>5718</v>
      </c>
      <c r="G1217" t="s">
        <v>2671</v>
      </c>
      <c r="H1217" t="s">
        <v>2664</v>
      </c>
      <c r="I1217">
        <v>1173.8557404006999</v>
      </c>
      <c r="J1217">
        <v>1218.6615030107</v>
      </c>
      <c r="K1217">
        <v>1196.2586217057001</v>
      </c>
      <c r="L1217">
        <v>1364.2802314932001</v>
      </c>
      <c r="M1217">
        <v>1521.1004006282001</v>
      </c>
      <c r="N1217" t="s">
        <v>988</v>
      </c>
    </row>
    <row r="1218" spans="1:14" hidden="1" x14ac:dyDescent="0.3">
      <c r="A1218">
        <v>787</v>
      </c>
      <c r="B1218" t="s">
        <v>1478</v>
      </c>
      <c r="C1218" t="s">
        <v>2670</v>
      </c>
      <c r="D1218" t="s">
        <v>1203</v>
      </c>
      <c r="E1218" t="s">
        <v>1204</v>
      </c>
      <c r="F1218">
        <v>5718</v>
      </c>
      <c r="G1218" t="s">
        <v>2673</v>
      </c>
      <c r="H1218" t="s">
        <v>2665</v>
      </c>
      <c r="I1218">
        <v>2123.92234789248</v>
      </c>
      <c r="J1218">
        <v>2212.91917487613</v>
      </c>
      <c r="K1218">
        <v>2389.9126782930998</v>
      </c>
      <c r="L1218">
        <v>2844.8961704929802</v>
      </c>
      <c r="M1218">
        <v>3307.8790257626802</v>
      </c>
      <c r="N1218" t="s">
        <v>988</v>
      </c>
    </row>
    <row r="1219" spans="1:14" hidden="1" x14ac:dyDescent="0.3">
      <c r="A1219">
        <v>787</v>
      </c>
      <c r="B1219" t="s">
        <v>1478</v>
      </c>
      <c r="C1219" t="s">
        <v>2670</v>
      </c>
      <c r="D1219" t="s">
        <v>1203</v>
      </c>
      <c r="E1219" t="s">
        <v>1204</v>
      </c>
      <c r="F1219">
        <v>5718</v>
      </c>
      <c r="G1219" t="s">
        <v>2673</v>
      </c>
      <c r="H1219" t="s">
        <v>2664</v>
      </c>
      <c r="I1219">
        <v>1173.8557404006999</v>
      </c>
      <c r="J1219">
        <v>1218.6615030107</v>
      </c>
      <c r="K1219">
        <v>1297.0715875782</v>
      </c>
      <c r="L1219">
        <v>1364.2802314932001</v>
      </c>
      <c r="M1219">
        <v>1521.1004006282001</v>
      </c>
      <c r="N1219" t="s">
        <v>988</v>
      </c>
    </row>
    <row r="1220" spans="1:14" hidden="1" x14ac:dyDescent="0.3">
      <c r="A1220">
        <v>787</v>
      </c>
      <c r="B1220" t="s">
        <v>1478</v>
      </c>
      <c r="C1220" t="s">
        <v>2670</v>
      </c>
      <c r="D1220" t="s">
        <v>1203</v>
      </c>
      <c r="E1220" t="s">
        <v>1204</v>
      </c>
      <c r="F1220">
        <v>5718</v>
      </c>
      <c r="G1220" t="s">
        <v>2674</v>
      </c>
      <c r="H1220" t="s">
        <v>2665</v>
      </c>
      <c r="I1220">
        <v>2123.92234789248</v>
      </c>
      <c r="J1220">
        <v>2212.91917487613</v>
      </c>
      <c r="K1220">
        <v>2389.9126782930998</v>
      </c>
      <c r="L1220">
        <v>2844.8961704929802</v>
      </c>
      <c r="M1220">
        <v>3307.8790257626802</v>
      </c>
      <c r="N1220" t="s">
        <v>988</v>
      </c>
    </row>
    <row r="1221" spans="1:14" hidden="1" x14ac:dyDescent="0.3">
      <c r="A1221">
        <v>787</v>
      </c>
      <c r="B1221" t="s">
        <v>1478</v>
      </c>
      <c r="C1221" t="s">
        <v>2670</v>
      </c>
      <c r="D1221" t="s">
        <v>1203</v>
      </c>
      <c r="E1221" t="s">
        <v>1204</v>
      </c>
      <c r="F1221">
        <v>5718</v>
      </c>
      <c r="G1221" t="s">
        <v>2674</v>
      </c>
      <c r="H1221" t="s">
        <v>2664</v>
      </c>
      <c r="I1221">
        <v>1173.8557404006999</v>
      </c>
      <c r="J1221">
        <v>1218.6615030107</v>
      </c>
      <c r="K1221">
        <v>1297.0715875782</v>
      </c>
      <c r="L1221">
        <v>1543.5032819332</v>
      </c>
      <c r="M1221">
        <v>1789.9349762882</v>
      </c>
      <c r="N1221" t="s">
        <v>988</v>
      </c>
    </row>
    <row r="1222" spans="1:14" hidden="1" x14ac:dyDescent="0.3">
      <c r="A1222">
        <v>787</v>
      </c>
      <c r="B1222" t="s">
        <v>1478</v>
      </c>
      <c r="C1222" t="s">
        <v>2670</v>
      </c>
      <c r="D1222" t="s">
        <v>1203</v>
      </c>
      <c r="E1222" t="s">
        <v>1204</v>
      </c>
      <c r="F1222">
        <v>5718</v>
      </c>
      <c r="G1222" t="s">
        <v>2675</v>
      </c>
      <c r="H1222" t="s">
        <v>2665</v>
      </c>
      <c r="I1222">
        <v>2123.92234789248</v>
      </c>
      <c r="J1222">
        <v>2212.91917487613</v>
      </c>
      <c r="K1222">
        <v>2389.9126782930998</v>
      </c>
      <c r="L1222">
        <v>2844.8961704929802</v>
      </c>
      <c r="M1222">
        <v>3307.8790257626802</v>
      </c>
      <c r="N1222" t="s">
        <v>988</v>
      </c>
    </row>
    <row r="1223" spans="1:14" hidden="1" x14ac:dyDescent="0.3">
      <c r="A1223">
        <v>787</v>
      </c>
      <c r="B1223" t="s">
        <v>1478</v>
      </c>
      <c r="C1223" t="s">
        <v>2670</v>
      </c>
      <c r="D1223" t="s">
        <v>1203</v>
      </c>
      <c r="E1223" t="s">
        <v>1204</v>
      </c>
      <c r="F1223">
        <v>5718</v>
      </c>
      <c r="G1223" t="s">
        <v>2675</v>
      </c>
      <c r="H1223" t="s">
        <v>2664</v>
      </c>
      <c r="I1223">
        <v>1173.8557404006999</v>
      </c>
      <c r="J1223">
        <v>1218.6615030107</v>
      </c>
      <c r="K1223">
        <v>1297.0715875782</v>
      </c>
      <c r="L1223">
        <v>1543.5032819332</v>
      </c>
      <c r="M1223">
        <v>1789.9349762882</v>
      </c>
      <c r="N1223" t="s">
        <v>988</v>
      </c>
    </row>
    <row r="1224" spans="1:14" hidden="1" x14ac:dyDescent="0.3">
      <c r="A1224">
        <v>787</v>
      </c>
      <c r="B1224" t="s">
        <v>1478</v>
      </c>
      <c r="C1224" t="s">
        <v>2670</v>
      </c>
      <c r="D1224" t="s">
        <v>1203</v>
      </c>
      <c r="E1224" t="s">
        <v>1204</v>
      </c>
      <c r="F1224">
        <v>5718</v>
      </c>
      <c r="G1224" t="s">
        <v>2676</v>
      </c>
      <c r="H1224" t="s">
        <v>2665</v>
      </c>
      <c r="I1224">
        <v>2123.92234789248</v>
      </c>
      <c r="J1224">
        <v>2212.91917487613</v>
      </c>
      <c r="K1224">
        <v>2389.9126782930998</v>
      </c>
      <c r="L1224">
        <v>2844.8961704929802</v>
      </c>
      <c r="M1224">
        <v>3307.8790257626802</v>
      </c>
      <c r="N1224" t="s">
        <v>988</v>
      </c>
    </row>
    <row r="1225" spans="1:14" hidden="1" x14ac:dyDescent="0.3">
      <c r="A1225">
        <v>787</v>
      </c>
      <c r="B1225" t="s">
        <v>1478</v>
      </c>
      <c r="C1225" t="s">
        <v>2670</v>
      </c>
      <c r="D1225" t="s">
        <v>1203</v>
      </c>
      <c r="E1225" t="s">
        <v>1204</v>
      </c>
      <c r="F1225">
        <v>5718</v>
      </c>
      <c r="G1225" t="s">
        <v>2676</v>
      </c>
      <c r="H1225" t="s">
        <v>2664</v>
      </c>
      <c r="I1225">
        <v>1364.2802314932001</v>
      </c>
      <c r="J1225">
        <v>1420.2874347556999</v>
      </c>
      <c r="K1225">
        <v>1509.8989599757001</v>
      </c>
      <c r="L1225">
        <v>1789.9349762882</v>
      </c>
      <c r="M1225">
        <v>1789.9349762882</v>
      </c>
      <c r="N1225" t="s">
        <v>988</v>
      </c>
    </row>
    <row r="1226" spans="1:14" hidden="1" x14ac:dyDescent="0.3">
      <c r="A1226">
        <v>793</v>
      </c>
      <c r="B1226" t="s">
        <v>1479</v>
      </c>
      <c r="C1226" t="s">
        <v>2670</v>
      </c>
      <c r="D1226" t="s">
        <v>1203</v>
      </c>
      <c r="E1226" t="s">
        <v>1204</v>
      </c>
      <c r="F1226">
        <v>5477</v>
      </c>
      <c r="G1226" t="s">
        <v>2675</v>
      </c>
      <c r="H1226" t="s">
        <v>2665</v>
      </c>
      <c r="I1226">
        <v>21672</v>
      </c>
      <c r="J1226">
        <v>22408</v>
      </c>
      <c r="K1226">
        <v>23143</v>
      </c>
      <c r="L1226">
        <v>23827</v>
      </c>
      <c r="M1226">
        <v>24511</v>
      </c>
      <c r="N1226" t="s">
        <v>988</v>
      </c>
    </row>
    <row r="1227" spans="1:14" hidden="1" x14ac:dyDescent="0.3">
      <c r="A1227">
        <v>793</v>
      </c>
      <c r="B1227" t="s">
        <v>1479</v>
      </c>
      <c r="C1227" t="s">
        <v>2670</v>
      </c>
      <c r="D1227" t="s">
        <v>1203</v>
      </c>
      <c r="E1227" t="s">
        <v>1204</v>
      </c>
      <c r="F1227">
        <v>5477</v>
      </c>
      <c r="G1227" t="s">
        <v>2674</v>
      </c>
      <c r="H1227" t="s">
        <v>2664</v>
      </c>
      <c r="I1227">
        <v>24923</v>
      </c>
      <c r="J1227">
        <v>25769</v>
      </c>
      <c r="K1227">
        <v>26615</v>
      </c>
      <c r="L1227">
        <v>27401</v>
      </c>
      <c r="M1227">
        <v>28188</v>
      </c>
      <c r="N1227" t="s">
        <v>988</v>
      </c>
    </row>
    <row r="1228" spans="1:14" hidden="1" x14ac:dyDescent="0.3">
      <c r="A1228">
        <v>793</v>
      </c>
      <c r="B1228" t="s">
        <v>1479</v>
      </c>
      <c r="C1228" t="s">
        <v>2670</v>
      </c>
      <c r="D1228" t="s">
        <v>1203</v>
      </c>
      <c r="E1228" t="s">
        <v>1204</v>
      </c>
      <c r="F1228">
        <v>5477</v>
      </c>
      <c r="G1228" t="s">
        <v>2676</v>
      </c>
      <c r="H1228" t="s">
        <v>2665</v>
      </c>
      <c r="I1228">
        <v>21672</v>
      </c>
      <c r="J1228">
        <v>22408</v>
      </c>
      <c r="K1228">
        <v>23143</v>
      </c>
      <c r="L1228">
        <v>23827</v>
      </c>
      <c r="M1228">
        <v>24511</v>
      </c>
      <c r="N1228" t="s">
        <v>988</v>
      </c>
    </row>
    <row r="1229" spans="1:14" hidden="1" x14ac:dyDescent="0.3">
      <c r="A1229">
        <v>793</v>
      </c>
      <c r="B1229" t="s">
        <v>1479</v>
      </c>
      <c r="C1229" t="s">
        <v>2670</v>
      </c>
      <c r="D1229" t="s">
        <v>1203</v>
      </c>
      <c r="E1229" t="s">
        <v>1204</v>
      </c>
      <c r="F1229">
        <v>5477</v>
      </c>
      <c r="G1229" t="s">
        <v>2676</v>
      </c>
      <c r="H1229" t="s">
        <v>2664</v>
      </c>
      <c r="I1229">
        <v>24923</v>
      </c>
      <c r="J1229">
        <v>25769</v>
      </c>
      <c r="K1229">
        <v>26615</v>
      </c>
      <c r="L1229">
        <v>27401</v>
      </c>
      <c r="M1229">
        <v>28188</v>
      </c>
      <c r="N1229" t="s">
        <v>988</v>
      </c>
    </row>
    <row r="1230" spans="1:14" hidden="1" x14ac:dyDescent="0.3">
      <c r="A1230">
        <v>793</v>
      </c>
      <c r="B1230" t="s">
        <v>1479</v>
      </c>
      <c r="C1230" t="s">
        <v>2670</v>
      </c>
      <c r="D1230" t="s">
        <v>1203</v>
      </c>
      <c r="E1230" t="s">
        <v>1204</v>
      </c>
      <c r="F1230">
        <v>5477</v>
      </c>
      <c r="G1230" t="s">
        <v>2675</v>
      </c>
      <c r="H1230" t="s">
        <v>2664</v>
      </c>
      <c r="I1230">
        <v>24923</v>
      </c>
      <c r="J1230">
        <v>25769</v>
      </c>
      <c r="K1230">
        <v>26615</v>
      </c>
      <c r="L1230">
        <v>27401</v>
      </c>
      <c r="M1230">
        <v>28188</v>
      </c>
      <c r="N1230" t="s">
        <v>988</v>
      </c>
    </row>
    <row r="1231" spans="1:14" hidden="1" x14ac:dyDescent="0.3">
      <c r="A1231">
        <v>793</v>
      </c>
      <c r="B1231" t="s">
        <v>1479</v>
      </c>
      <c r="C1231" t="s">
        <v>2670</v>
      </c>
      <c r="D1231" t="s">
        <v>1203</v>
      </c>
      <c r="E1231" t="s">
        <v>1204</v>
      </c>
      <c r="F1231">
        <v>5477</v>
      </c>
      <c r="G1231" t="s">
        <v>2674</v>
      </c>
      <c r="H1231" t="s">
        <v>2665</v>
      </c>
      <c r="I1231">
        <v>21672</v>
      </c>
      <c r="J1231">
        <v>22408</v>
      </c>
      <c r="K1231">
        <v>23143</v>
      </c>
      <c r="L1231">
        <v>23827</v>
      </c>
      <c r="M1231">
        <v>24511</v>
      </c>
      <c r="N1231" t="s">
        <v>988</v>
      </c>
    </row>
    <row r="1232" spans="1:14" hidden="1" x14ac:dyDescent="0.3">
      <c r="A1232">
        <v>793</v>
      </c>
      <c r="B1232" t="s">
        <v>1479</v>
      </c>
      <c r="C1232" t="s">
        <v>2670</v>
      </c>
      <c r="D1232" t="s">
        <v>1203</v>
      </c>
      <c r="E1232" t="s">
        <v>1204</v>
      </c>
      <c r="F1232">
        <v>5477</v>
      </c>
      <c r="G1232" t="s">
        <v>2673</v>
      </c>
      <c r="H1232" t="s">
        <v>2664</v>
      </c>
      <c r="I1232">
        <v>24923</v>
      </c>
      <c r="J1232">
        <v>25769</v>
      </c>
      <c r="K1232">
        <v>26615</v>
      </c>
      <c r="L1232">
        <v>27401</v>
      </c>
      <c r="M1232">
        <v>28188</v>
      </c>
      <c r="N1232" t="s">
        <v>988</v>
      </c>
    </row>
    <row r="1233" spans="1:14" hidden="1" x14ac:dyDescent="0.3">
      <c r="A1233">
        <v>793</v>
      </c>
      <c r="B1233" t="s">
        <v>1479</v>
      </c>
      <c r="C1233" t="s">
        <v>2670</v>
      </c>
      <c r="D1233" t="s">
        <v>1203</v>
      </c>
      <c r="E1233" t="s">
        <v>1204</v>
      </c>
      <c r="F1233">
        <v>5477</v>
      </c>
      <c r="G1233" t="s">
        <v>2673</v>
      </c>
      <c r="H1233" t="s">
        <v>2665</v>
      </c>
      <c r="I1233">
        <v>21672</v>
      </c>
      <c r="J1233">
        <v>22408</v>
      </c>
      <c r="K1233">
        <v>23143</v>
      </c>
      <c r="L1233">
        <v>23827</v>
      </c>
      <c r="M1233">
        <v>24511</v>
      </c>
      <c r="N1233" t="s">
        <v>988</v>
      </c>
    </row>
    <row r="1234" spans="1:14" hidden="1" x14ac:dyDescent="0.3">
      <c r="A1234">
        <v>793</v>
      </c>
      <c r="B1234" t="s">
        <v>1479</v>
      </c>
      <c r="C1234" t="s">
        <v>2670</v>
      </c>
      <c r="D1234" t="s">
        <v>1203</v>
      </c>
      <c r="E1234" t="s">
        <v>1204</v>
      </c>
      <c r="F1234">
        <v>5477</v>
      </c>
      <c r="G1234" t="s">
        <v>2671</v>
      </c>
      <c r="H1234" t="s">
        <v>2664</v>
      </c>
      <c r="I1234">
        <v>24923</v>
      </c>
      <c r="J1234">
        <v>25769</v>
      </c>
      <c r="K1234">
        <v>26615</v>
      </c>
      <c r="L1234">
        <v>27401</v>
      </c>
      <c r="M1234">
        <v>28188</v>
      </c>
      <c r="N1234" t="s">
        <v>988</v>
      </c>
    </row>
    <row r="1235" spans="1:14" hidden="1" x14ac:dyDescent="0.3">
      <c r="A1235">
        <v>793</v>
      </c>
      <c r="B1235" t="s">
        <v>1479</v>
      </c>
      <c r="C1235" t="s">
        <v>2670</v>
      </c>
      <c r="D1235" t="s">
        <v>1203</v>
      </c>
      <c r="E1235" t="s">
        <v>1204</v>
      </c>
      <c r="F1235">
        <v>5477</v>
      </c>
      <c r="G1235" t="s">
        <v>2671</v>
      </c>
      <c r="H1235" t="s">
        <v>2665</v>
      </c>
      <c r="I1235">
        <v>21672</v>
      </c>
      <c r="J1235">
        <v>22408</v>
      </c>
      <c r="K1235">
        <v>23143</v>
      </c>
      <c r="L1235">
        <v>23827</v>
      </c>
      <c r="M1235">
        <v>24511</v>
      </c>
      <c r="N1235" t="s">
        <v>988</v>
      </c>
    </row>
    <row r="1236" spans="1:14" hidden="1" x14ac:dyDescent="0.3">
      <c r="A1236">
        <v>793</v>
      </c>
      <c r="B1236" t="s">
        <v>1479</v>
      </c>
      <c r="C1236" t="s">
        <v>2670</v>
      </c>
      <c r="D1236" t="s">
        <v>1203</v>
      </c>
      <c r="E1236" t="s">
        <v>1204</v>
      </c>
      <c r="F1236">
        <v>5477</v>
      </c>
      <c r="G1236" t="s">
        <v>2672</v>
      </c>
      <c r="H1236" t="s">
        <v>2664</v>
      </c>
      <c r="I1236">
        <v>24923</v>
      </c>
      <c r="J1236">
        <v>25769</v>
      </c>
      <c r="K1236">
        <v>26615</v>
      </c>
      <c r="L1236">
        <v>27401</v>
      </c>
      <c r="M1236">
        <v>28188</v>
      </c>
      <c r="N1236" t="s">
        <v>988</v>
      </c>
    </row>
    <row r="1237" spans="1:14" hidden="1" x14ac:dyDescent="0.3">
      <c r="A1237">
        <v>793</v>
      </c>
      <c r="B1237" t="s">
        <v>1479</v>
      </c>
      <c r="C1237" t="s">
        <v>2670</v>
      </c>
      <c r="D1237" t="s">
        <v>1203</v>
      </c>
      <c r="E1237" t="s">
        <v>1204</v>
      </c>
      <c r="F1237">
        <v>5477</v>
      </c>
      <c r="G1237" t="s">
        <v>2672</v>
      </c>
      <c r="H1237" t="s">
        <v>2665</v>
      </c>
      <c r="I1237">
        <v>21672</v>
      </c>
      <c r="J1237">
        <v>22408</v>
      </c>
      <c r="K1237">
        <v>23143</v>
      </c>
      <c r="L1237">
        <v>23827</v>
      </c>
      <c r="M1237">
        <v>24511</v>
      </c>
      <c r="N1237" t="s">
        <v>988</v>
      </c>
    </row>
    <row r="1238" spans="1:14" hidden="1" x14ac:dyDescent="0.3">
      <c r="A1238">
        <v>794</v>
      </c>
      <c r="B1238" t="s">
        <v>1483</v>
      </c>
      <c r="C1238" t="s">
        <v>2670</v>
      </c>
      <c r="D1238" t="s">
        <v>159</v>
      </c>
      <c r="E1238" t="s">
        <v>159</v>
      </c>
      <c r="F1238">
        <v>6888</v>
      </c>
      <c r="G1238" t="s">
        <v>2675</v>
      </c>
      <c r="H1238" t="s">
        <v>2665</v>
      </c>
      <c r="I1238">
        <v>132700</v>
      </c>
      <c r="J1238">
        <v>143300</v>
      </c>
      <c r="K1238">
        <v>153700</v>
      </c>
      <c r="L1238">
        <v>162500</v>
      </c>
      <c r="M1238">
        <v>170300</v>
      </c>
      <c r="N1238" t="s">
        <v>988</v>
      </c>
    </row>
    <row r="1239" spans="1:14" hidden="1" x14ac:dyDescent="0.3">
      <c r="A1239">
        <v>794</v>
      </c>
      <c r="B1239" t="s">
        <v>1483</v>
      </c>
      <c r="C1239" t="s">
        <v>2670</v>
      </c>
      <c r="D1239" t="s">
        <v>159</v>
      </c>
      <c r="E1239" t="s">
        <v>159</v>
      </c>
      <c r="F1239">
        <v>6888</v>
      </c>
      <c r="G1239" t="s">
        <v>2675</v>
      </c>
      <c r="H1239" t="s">
        <v>2664</v>
      </c>
      <c r="I1239">
        <v>132700</v>
      </c>
      <c r="J1239">
        <v>143300</v>
      </c>
      <c r="K1239">
        <v>153700</v>
      </c>
      <c r="L1239">
        <v>162500</v>
      </c>
      <c r="M1239">
        <v>170300</v>
      </c>
      <c r="N1239" t="s">
        <v>988</v>
      </c>
    </row>
    <row r="1240" spans="1:14" hidden="1" x14ac:dyDescent="0.3">
      <c r="A1240">
        <v>794</v>
      </c>
      <c r="B1240" t="s">
        <v>1483</v>
      </c>
      <c r="C1240" t="s">
        <v>2670</v>
      </c>
      <c r="D1240" t="s">
        <v>159</v>
      </c>
      <c r="E1240" t="s">
        <v>159</v>
      </c>
      <c r="F1240">
        <v>6888</v>
      </c>
      <c r="G1240" t="s">
        <v>2676</v>
      </c>
      <c r="H1240" t="s">
        <v>2665</v>
      </c>
      <c r="I1240">
        <v>151130</v>
      </c>
      <c r="J1240">
        <v>162820</v>
      </c>
      <c r="K1240">
        <v>174700</v>
      </c>
      <c r="L1240">
        <v>184700</v>
      </c>
      <c r="M1240">
        <v>193300</v>
      </c>
      <c r="N1240" t="s">
        <v>988</v>
      </c>
    </row>
    <row r="1241" spans="1:14" hidden="1" x14ac:dyDescent="0.3">
      <c r="A1241">
        <v>794</v>
      </c>
      <c r="B1241" t="s">
        <v>1483</v>
      </c>
      <c r="C1241" t="s">
        <v>2670</v>
      </c>
      <c r="D1241" t="s">
        <v>159</v>
      </c>
      <c r="E1241" t="s">
        <v>159</v>
      </c>
      <c r="F1241">
        <v>6888</v>
      </c>
      <c r="G1241" t="s">
        <v>2676</v>
      </c>
      <c r="H1241" t="s">
        <v>2664</v>
      </c>
      <c r="I1241">
        <v>151130</v>
      </c>
      <c r="J1241">
        <v>162820</v>
      </c>
      <c r="K1241">
        <v>174700</v>
      </c>
      <c r="L1241">
        <v>184700</v>
      </c>
      <c r="M1241">
        <v>193300</v>
      </c>
      <c r="N1241" t="s">
        <v>988</v>
      </c>
    </row>
    <row r="1242" spans="1:14" hidden="1" x14ac:dyDescent="0.3">
      <c r="A1242">
        <v>794</v>
      </c>
      <c r="B1242" t="s">
        <v>1483</v>
      </c>
      <c r="C1242" t="s">
        <v>2670</v>
      </c>
      <c r="D1242" t="s">
        <v>159</v>
      </c>
      <c r="E1242" t="s">
        <v>159</v>
      </c>
      <c r="F1242">
        <v>6888</v>
      </c>
      <c r="G1242" t="s">
        <v>2674</v>
      </c>
      <c r="H1242" t="s">
        <v>2664</v>
      </c>
      <c r="I1242">
        <v>134900</v>
      </c>
      <c r="J1242">
        <v>145500</v>
      </c>
      <c r="K1242">
        <v>155500</v>
      </c>
      <c r="L1242">
        <v>164100</v>
      </c>
      <c r="M1242">
        <v>171900</v>
      </c>
      <c r="N1242" t="s">
        <v>988</v>
      </c>
    </row>
    <row r="1243" spans="1:14" hidden="1" x14ac:dyDescent="0.3">
      <c r="A1243">
        <v>794</v>
      </c>
      <c r="B1243" t="s">
        <v>1483</v>
      </c>
      <c r="C1243" t="s">
        <v>2670</v>
      </c>
      <c r="D1243" t="s">
        <v>159</v>
      </c>
      <c r="E1243" t="s">
        <v>159</v>
      </c>
      <c r="F1243">
        <v>6888</v>
      </c>
      <c r="G1243" t="s">
        <v>2672</v>
      </c>
      <c r="H1243" t="s">
        <v>2664</v>
      </c>
      <c r="N1243" t="s">
        <v>988</v>
      </c>
    </row>
    <row r="1244" spans="1:14" hidden="1" x14ac:dyDescent="0.3">
      <c r="A1244">
        <v>794</v>
      </c>
      <c r="B1244" t="s">
        <v>1483</v>
      </c>
      <c r="C1244" t="s">
        <v>2670</v>
      </c>
      <c r="D1244" t="s">
        <v>159</v>
      </c>
      <c r="E1244" t="s">
        <v>159</v>
      </c>
      <c r="F1244">
        <v>6888</v>
      </c>
      <c r="G1244" t="s">
        <v>2673</v>
      </c>
      <c r="H1244" t="s">
        <v>2664</v>
      </c>
      <c r="I1244">
        <v>137100</v>
      </c>
      <c r="J1244">
        <v>147600</v>
      </c>
      <c r="K1244">
        <v>157400</v>
      </c>
      <c r="L1244">
        <v>165700</v>
      </c>
      <c r="M1244">
        <v>173500</v>
      </c>
      <c r="N1244" t="s">
        <v>988</v>
      </c>
    </row>
    <row r="1245" spans="1:14" hidden="1" x14ac:dyDescent="0.3">
      <c r="A1245">
        <v>794</v>
      </c>
      <c r="B1245" t="s">
        <v>1483</v>
      </c>
      <c r="C1245" t="s">
        <v>2670</v>
      </c>
      <c r="D1245" t="s">
        <v>159</v>
      </c>
      <c r="E1245" t="s">
        <v>159</v>
      </c>
      <c r="F1245">
        <v>6888</v>
      </c>
      <c r="G1245" t="s">
        <v>2673</v>
      </c>
      <c r="H1245" t="s">
        <v>2665</v>
      </c>
      <c r="I1245">
        <v>137100</v>
      </c>
      <c r="J1245">
        <v>147600</v>
      </c>
      <c r="K1245">
        <v>157400</v>
      </c>
      <c r="L1245">
        <v>165700</v>
      </c>
      <c r="M1245">
        <v>173500</v>
      </c>
      <c r="N1245" t="s">
        <v>988</v>
      </c>
    </row>
    <row r="1246" spans="1:14" hidden="1" x14ac:dyDescent="0.3">
      <c r="A1246">
        <v>794</v>
      </c>
      <c r="B1246" t="s">
        <v>1483</v>
      </c>
      <c r="C1246" t="s">
        <v>2670</v>
      </c>
      <c r="D1246" t="s">
        <v>159</v>
      </c>
      <c r="E1246" t="s">
        <v>159</v>
      </c>
      <c r="F1246">
        <v>6888</v>
      </c>
      <c r="G1246" t="s">
        <v>2671</v>
      </c>
      <c r="H1246" t="s">
        <v>2664</v>
      </c>
      <c r="I1246">
        <v>140200</v>
      </c>
      <c r="J1246">
        <v>150800</v>
      </c>
      <c r="K1246">
        <v>160000</v>
      </c>
      <c r="L1246">
        <v>168000</v>
      </c>
      <c r="M1246">
        <v>175800</v>
      </c>
      <c r="N1246" t="s">
        <v>988</v>
      </c>
    </row>
    <row r="1247" spans="1:14" hidden="1" x14ac:dyDescent="0.3">
      <c r="A1247">
        <v>794</v>
      </c>
      <c r="B1247" t="s">
        <v>1483</v>
      </c>
      <c r="C1247" t="s">
        <v>2670</v>
      </c>
      <c r="D1247" t="s">
        <v>159</v>
      </c>
      <c r="E1247" t="s">
        <v>159</v>
      </c>
      <c r="F1247">
        <v>6888</v>
      </c>
      <c r="G1247" t="s">
        <v>2671</v>
      </c>
      <c r="H1247" t="s">
        <v>2665</v>
      </c>
      <c r="I1247">
        <v>140200</v>
      </c>
      <c r="J1247">
        <v>150800</v>
      </c>
      <c r="K1247">
        <v>160000</v>
      </c>
      <c r="L1247">
        <v>168000</v>
      </c>
      <c r="M1247">
        <v>175800</v>
      </c>
      <c r="N1247" t="s">
        <v>988</v>
      </c>
    </row>
    <row r="1248" spans="1:14" hidden="1" x14ac:dyDescent="0.3">
      <c r="A1248">
        <v>794</v>
      </c>
      <c r="B1248" t="s">
        <v>1483</v>
      </c>
      <c r="C1248" t="s">
        <v>2670</v>
      </c>
      <c r="D1248" t="s">
        <v>159</v>
      </c>
      <c r="E1248" t="s">
        <v>159</v>
      </c>
      <c r="F1248">
        <v>6888</v>
      </c>
      <c r="G1248" t="s">
        <v>2672</v>
      </c>
      <c r="H1248" t="s">
        <v>2665</v>
      </c>
      <c r="N1248" t="s">
        <v>988</v>
      </c>
    </row>
    <row r="1249" spans="1:14" hidden="1" x14ac:dyDescent="0.3">
      <c r="A1249">
        <v>794</v>
      </c>
      <c r="B1249" t="s">
        <v>1483</v>
      </c>
      <c r="C1249" t="s">
        <v>2670</v>
      </c>
      <c r="D1249" t="s">
        <v>159</v>
      </c>
      <c r="E1249" t="s">
        <v>159</v>
      </c>
      <c r="F1249">
        <v>6888</v>
      </c>
      <c r="G1249" t="s">
        <v>2674</v>
      </c>
      <c r="H1249" t="s">
        <v>2665</v>
      </c>
      <c r="I1249">
        <v>134900</v>
      </c>
      <c r="J1249">
        <v>145500</v>
      </c>
      <c r="K1249">
        <v>155500</v>
      </c>
      <c r="L1249">
        <v>164100</v>
      </c>
      <c r="M1249">
        <v>171900</v>
      </c>
      <c r="N1249" t="s">
        <v>988</v>
      </c>
    </row>
    <row r="1250" spans="1:14" hidden="1" x14ac:dyDescent="0.3">
      <c r="A1250">
        <v>814</v>
      </c>
      <c r="B1250" t="s">
        <v>1485</v>
      </c>
      <c r="C1250" t="s">
        <v>2670</v>
      </c>
      <c r="D1250" t="s">
        <v>1203</v>
      </c>
      <c r="E1250" t="s">
        <v>1204</v>
      </c>
      <c r="F1250">
        <v>5446</v>
      </c>
      <c r="G1250" t="s">
        <v>2673</v>
      </c>
      <c r="H1250" t="s">
        <v>2665</v>
      </c>
      <c r="I1250">
        <v>7668</v>
      </c>
      <c r="J1250">
        <v>7899</v>
      </c>
      <c r="K1250">
        <v>8084</v>
      </c>
      <c r="L1250">
        <v>8492</v>
      </c>
      <c r="M1250">
        <v>8901</v>
      </c>
      <c r="N1250" t="s">
        <v>988</v>
      </c>
    </row>
    <row r="1251" spans="1:14" hidden="1" x14ac:dyDescent="0.3">
      <c r="A1251">
        <v>814</v>
      </c>
      <c r="B1251" t="s">
        <v>1485</v>
      </c>
      <c r="C1251" t="s">
        <v>2670</v>
      </c>
      <c r="D1251" t="s">
        <v>1203</v>
      </c>
      <c r="E1251" t="s">
        <v>1204</v>
      </c>
      <c r="F1251">
        <v>5446</v>
      </c>
      <c r="G1251" t="s">
        <v>2673</v>
      </c>
      <c r="H1251" t="s">
        <v>2664</v>
      </c>
      <c r="I1251">
        <v>7668</v>
      </c>
      <c r="J1251">
        <v>7899</v>
      </c>
      <c r="K1251">
        <v>8084</v>
      </c>
      <c r="L1251">
        <v>8492</v>
      </c>
      <c r="M1251">
        <v>8901</v>
      </c>
      <c r="N1251" t="s">
        <v>988</v>
      </c>
    </row>
    <row r="1252" spans="1:14" hidden="1" x14ac:dyDescent="0.3">
      <c r="A1252">
        <v>814</v>
      </c>
      <c r="B1252" t="s">
        <v>1485</v>
      </c>
      <c r="C1252" t="s">
        <v>2670</v>
      </c>
      <c r="D1252" t="s">
        <v>1203</v>
      </c>
      <c r="E1252" t="s">
        <v>1204</v>
      </c>
      <c r="F1252">
        <v>5446</v>
      </c>
      <c r="G1252" t="s">
        <v>2674</v>
      </c>
      <c r="H1252" t="s">
        <v>2665</v>
      </c>
      <c r="I1252">
        <v>7668</v>
      </c>
      <c r="J1252">
        <v>7899</v>
      </c>
      <c r="K1252">
        <v>8084</v>
      </c>
      <c r="L1252">
        <v>8492</v>
      </c>
      <c r="M1252">
        <v>8901</v>
      </c>
      <c r="N1252" t="s">
        <v>988</v>
      </c>
    </row>
    <row r="1253" spans="1:14" hidden="1" x14ac:dyDescent="0.3">
      <c r="A1253">
        <v>814</v>
      </c>
      <c r="B1253" t="s">
        <v>1485</v>
      </c>
      <c r="C1253" t="s">
        <v>2670</v>
      </c>
      <c r="D1253" t="s">
        <v>1203</v>
      </c>
      <c r="E1253" t="s">
        <v>1204</v>
      </c>
      <c r="F1253">
        <v>5446</v>
      </c>
      <c r="G1253" t="s">
        <v>2674</v>
      </c>
      <c r="H1253" t="s">
        <v>2664</v>
      </c>
      <c r="I1253">
        <v>7668</v>
      </c>
      <c r="J1253">
        <v>7899</v>
      </c>
      <c r="K1253">
        <v>8084</v>
      </c>
      <c r="L1253">
        <v>8492</v>
      </c>
      <c r="M1253">
        <v>8901</v>
      </c>
      <c r="N1253" t="s">
        <v>988</v>
      </c>
    </row>
    <row r="1254" spans="1:14" hidden="1" x14ac:dyDescent="0.3">
      <c r="A1254">
        <v>814</v>
      </c>
      <c r="B1254" t="s">
        <v>1485</v>
      </c>
      <c r="C1254" t="s">
        <v>2670</v>
      </c>
      <c r="D1254" t="s">
        <v>1203</v>
      </c>
      <c r="E1254" t="s">
        <v>1204</v>
      </c>
      <c r="F1254">
        <v>5446</v>
      </c>
      <c r="G1254" t="s">
        <v>2675</v>
      </c>
      <c r="H1254" t="s">
        <v>2665</v>
      </c>
      <c r="I1254">
        <v>7510</v>
      </c>
      <c r="J1254">
        <v>7736</v>
      </c>
      <c r="K1254">
        <v>7917</v>
      </c>
      <c r="L1254">
        <v>8317</v>
      </c>
      <c r="M1254">
        <v>8717</v>
      </c>
      <c r="N1254" t="s">
        <v>988</v>
      </c>
    </row>
    <row r="1255" spans="1:14" hidden="1" x14ac:dyDescent="0.3">
      <c r="A1255">
        <v>814</v>
      </c>
      <c r="B1255" t="s">
        <v>1485</v>
      </c>
      <c r="C1255" t="s">
        <v>2670</v>
      </c>
      <c r="D1255" t="s">
        <v>1203</v>
      </c>
      <c r="E1255" t="s">
        <v>1204</v>
      </c>
      <c r="F1255">
        <v>5446</v>
      </c>
      <c r="G1255" t="s">
        <v>2675</v>
      </c>
      <c r="H1255" t="s">
        <v>2664</v>
      </c>
      <c r="I1255">
        <v>7510</v>
      </c>
      <c r="J1255">
        <v>7736</v>
      </c>
      <c r="K1255">
        <v>7917</v>
      </c>
      <c r="L1255">
        <v>8317</v>
      </c>
      <c r="M1255">
        <v>8717</v>
      </c>
      <c r="N1255" t="s">
        <v>988</v>
      </c>
    </row>
    <row r="1256" spans="1:14" hidden="1" x14ac:dyDescent="0.3">
      <c r="A1256">
        <v>814</v>
      </c>
      <c r="B1256" t="s">
        <v>1485</v>
      </c>
      <c r="C1256" t="s">
        <v>2670</v>
      </c>
      <c r="D1256" t="s">
        <v>1203</v>
      </c>
      <c r="E1256" t="s">
        <v>1204</v>
      </c>
      <c r="F1256">
        <v>5446</v>
      </c>
      <c r="G1256" t="s">
        <v>2676</v>
      </c>
      <c r="H1256" t="s">
        <v>2665</v>
      </c>
      <c r="I1256">
        <v>7431</v>
      </c>
      <c r="J1256">
        <v>7654</v>
      </c>
      <c r="K1256">
        <v>7834</v>
      </c>
      <c r="L1256">
        <v>8230</v>
      </c>
      <c r="M1256">
        <v>8625</v>
      </c>
      <c r="N1256" t="s">
        <v>988</v>
      </c>
    </row>
    <row r="1257" spans="1:14" hidden="1" x14ac:dyDescent="0.3">
      <c r="A1257">
        <v>814</v>
      </c>
      <c r="B1257" t="s">
        <v>1485</v>
      </c>
      <c r="C1257" t="s">
        <v>2670</v>
      </c>
      <c r="D1257" t="s">
        <v>1203</v>
      </c>
      <c r="E1257" t="s">
        <v>1204</v>
      </c>
      <c r="F1257">
        <v>5446</v>
      </c>
      <c r="G1257" t="s">
        <v>2676</v>
      </c>
      <c r="H1257" t="s">
        <v>2664</v>
      </c>
      <c r="I1257">
        <v>7431</v>
      </c>
      <c r="J1257">
        <v>7654</v>
      </c>
      <c r="K1257">
        <v>7834</v>
      </c>
      <c r="L1257">
        <v>8230</v>
      </c>
      <c r="M1257">
        <v>8625</v>
      </c>
      <c r="N1257" t="s">
        <v>988</v>
      </c>
    </row>
    <row r="1258" spans="1:14" hidden="1" x14ac:dyDescent="0.3">
      <c r="A1258">
        <v>814</v>
      </c>
      <c r="B1258" t="s">
        <v>1485</v>
      </c>
      <c r="C1258" t="s">
        <v>2670</v>
      </c>
      <c r="D1258" t="s">
        <v>1203</v>
      </c>
      <c r="E1258" t="s">
        <v>1204</v>
      </c>
      <c r="F1258">
        <v>5446</v>
      </c>
      <c r="G1258" t="s">
        <v>2672</v>
      </c>
      <c r="H1258" t="s">
        <v>2665</v>
      </c>
      <c r="N1258" t="s">
        <v>988</v>
      </c>
    </row>
    <row r="1259" spans="1:14" hidden="1" x14ac:dyDescent="0.3">
      <c r="A1259">
        <v>814</v>
      </c>
      <c r="B1259" t="s">
        <v>1485</v>
      </c>
      <c r="C1259" t="s">
        <v>2670</v>
      </c>
      <c r="D1259" t="s">
        <v>1203</v>
      </c>
      <c r="E1259" t="s">
        <v>1204</v>
      </c>
      <c r="F1259">
        <v>5446</v>
      </c>
      <c r="G1259" t="s">
        <v>2672</v>
      </c>
      <c r="H1259" t="s">
        <v>2664</v>
      </c>
      <c r="N1259" t="s">
        <v>988</v>
      </c>
    </row>
    <row r="1260" spans="1:14" hidden="1" x14ac:dyDescent="0.3">
      <c r="A1260">
        <v>814</v>
      </c>
      <c r="B1260" t="s">
        <v>1485</v>
      </c>
      <c r="C1260" t="s">
        <v>2670</v>
      </c>
      <c r="D1260" t="s">
        <v>1203</v>
      </c>
      <c r="E1260" t="s">
        <v>1204</v>
      </c>
      <c r="F1260">
        <v>5446</v>
      </c>
      <c r="G1260" t="s">
        <v>2671</v>
      </c>
      <c r="H1260" t="s">
        <v>2665</v>
      </c>
      <c r="I1260">
        <v>7747</v>
      </c>
      <c r="J1260">
        <v>7980</v>
      </c>
      <c r="K1260">
        <v>8167</v>
      </c>
      <c r="L1260">
        <v>8580</v>
      </c>
      <c r="M1260">
        <v>8992</v>
      </c>
      <c r="N1260" t="s">
        <v>988</v>
      </c>
    </row>
    <row r="1261" spans="1:14" hidden="1" x14ac:dyDescent="0.3">
      <c r="A1261">
        <v>814</v>
      </c>
      <c r="B1261" t="s">
        <v>1485</v>
      </c>
      <c r="C1261" t="s">
        <v>2670</v>
      </c>
      <c r="D1261" t="s">
        <v>1203</v>
      </c>
      <c r="E1261" t="s">
        <v>1204</v>
      </c>
      <c r="F1261">
        <v>5446</v>
      </c>
      <c r="G1261" t="s">
        <v>2671</v>
      </c>
      <c r="H1261" t="s">
        <v>2664</v>
      </c>
      <c r="I1261">
        <v>7747</v>
      </c>
      <c r="J1261">
        <v>7980</v>
      </c>
      <c r="K1261">
        <v>8167</v>
      </c>
      <c r="L1261">
        <v>8580</v>
      </c>
      <c r="M1261">
        <v>8992</v>
      </c>
      <c r="N1261" t="s">
        <v>988</v>
      </c>
    </row>
    <row r="1262" spans="1:14" hidden="1" x14ac:dyDescent="0.3">
      <c r="A1262">
        <v>816</v>
      </c>
      <c r="B1262" t="s">
        <v>765</v>
      </c>
      <c r="C1262" t="s">
        <v>2670</v>
      </c>
      <c r="D1262" t="s">
        <v>1203</v>
      </c>
      <c r="E1262" t="s">
        <v>1204</v>
      </c>
      <c r="F1262">
        <v>5604</v>
      </c>
      <c r="G1262" t="s">
        <v>2676</v>
      </c>
      <c r="H1262" t="s">
        <v>2664</v>
      </c>
      <c r="I1262">
        <v>63400</v>
      </c>
      <c r="J1262">
        <v>63400</v>
      </c>
      <c r="K1262">
        <v>63400</v>
      </c>
      <c r="L1262">
        <v>63400</v>
      </c>
      <c r="M1262">
        <v>63400</v>
      </c>
      <c r="N1262" t="s">
        <v>988</v>
      </c>
    </row>
    <row r="1263" spans="1:14" hidden="1" x14ac:dyDescent="0.3">
      <c r="A1263">
        <v>816</v>
      </c>
      <c r="B1263" t="s">
        <v>765</v>
      </c>
      <c r="C1263" t="s">
        <v>2670</v>
      </c>
      <c r="D1263" t="s">
        <v>1203</v>
      </c>
      <c r="E1263" t="s">
        <v>1204</v>
      </c>
      <c r="F1263">
        <v>5604</v>
      </c>
      <c r="G1263" t="s">
        <v>2676</v>
      </c>
      <c r="H1263" t="s">
        <v>2665</v>
      </c>
      <c r="I1263">
        <v>40930</v>
      </c>
      <c r="J1263">
        <v>41760</v>
      </c>
      <c r="K1263">
        <v>42970</v>
      </c>
      <c r="L1263">
        <v>44240</v>
      </c>
      <c r="M1263">
        <v>45490</v>
      </c>
      <c r="N1263" t="s">
        <v>988</v>
      </c>
    </row>
    <row r="1264" spans="1:14" hidden="1" x14ac:dyDescent="0.3">
      <c r="A1264">
        <v>816</v>
      </c>
      <c r="B1264" t="s">
        <v>765</v>
      </c>
      <c r="C1264" t="s">
        <v>2670</v>
      </c>
      <c r="D1264" t="s">
        <v>1203</v>
      </c>
      <c r="E1264" t="s">
        <v>1204</v>
      </c>
      <c r="F1264">
        <v>5604</v>
      </c>
      <c r="G1264" t="s">
        <v>2672</v>
      </c>
      <c r="H1264" t="s">
        <v>2665</v>
      </c>
      <c r="N1264" t="s">
        <v>988</v>
      </c>
    </row>
    <row r="1265" spans="1:14" hidden="1" x14ac:dyDescent="0.3">
      <c r="A1265">
        <v>816</v>
      </c>
      <c r="B1265" t="s">
        <v>765</v>
      </c>
      <c r="C1265" t="s">
        <v>2670</v>
      </c>
      <c r="D1265" t="s">
        <v>1203</v>
      </c>
      <c r="E1265" t="s">
        <v>1204</v>
      </c>
      <c r="F1265">
        <v>5604</v>
      </c>
      <c r="G1265" t="s">
        <v>2672</v>
      </c>
      <c r="H1265" t="s">
        <v>2664</v>
      </c>
      <c r="N1265" t="s">
        <v>988</v>
      </c>
    </row>
    <row r="1266" spans="1:14" hidden="1" x14ac:dyDescent="0.3">
      <c r="A1266">
        <v>816</v>
      </c>
      <c r="B1266" t="s">
        <v>765</v>
      </c>
      <c r="C1266" t="s">
        <v>2670</v>
      </c>
      <c r="D1266" t="s">
        <v>1203</v>
      </c>
      <c r="E1266" t="s">
        <v>1204</v>
      </c>
      <c r="F1266">
        <v>5604</v>
      </c>
      <c r="G1266" t="s">
        <v>2671</v>
      </c>
      <c r="H1266" t="s">
        <v>2665</v>
      </c>
      <c r="I1266">
        <v>41610</v>
      </c>
      <c r="J1266">
        <v>42720</v>
      </c>
      <c r="K1266">
        <v>43970</v>
      </c>
      <c r="L1266">
        <v>45240</v>
      </c>
      <c r="M1266">
        <v>45490</v>
      </c>
      <c r="N1266" t="s">
        <v>988</v>
      </c>
    </row>
    <row r="1267" spans="1:14" hidden="1" x14ac:dyDescent="0.3">
      <c r="A1267">
        <v>816</v>
      </c>
      <c r="B1267" t="s">
        <v>765</v>
      </c>
      <c r="C1267" t="s">
        <v>2670</v>
      </c>
      <c r="D1267" t="s">
        <v>1203</v>
      </c>
      <c r="E1267" t="s">
        <v>1204</v>
      </c>
      <c r="F1267">
        <v>5604</v>
      </c>
      <c r="G1267" t="s">
        <v>2671</v>
      </c>
      <c r="H1267" t="s">
        <v>2664</v>
      </c>
      <c r="I1267">
        <v>55300</v>
      </c>
      <c r="J1267">
        <v>55300</v>
      </c>
      <c r="K1267">
        <v>56600</v>
      </c>
      <c r="L1267">
        <v>56600</v>
      </c>
      <c r="M1267">
        <v>56600</v>
      </c>
      <c r="N1267" t="s">
        <v>988</v>
      </c>
    </row>
    <row r="1268" spans="1:14" hidden="1" x14ac:dyDescent="0.3">
      <c r="A1268">
        <v>816</v>
      </c>
      <c r="B1268" t="s">
        <v>765</v>
      </c>
      <c r="C1268" t="s">
        <v>2670</v>
      </c>
      <c r="D1268" t="s">
        <v>1203</v>
      </c>
      <c r="E1268" t="s">
        <v>1204</v>
      </c>
      <c r="F1268">
        <v>5604</v>
      </c>
      <c r="G1268" t="s">
        <v>2673</v>
      </c>
      <c r="H1268" t="s">
        <v>2665</v>
      </c>
      <c r="I1268">
        <v>41440</v>
      </c>
      <c r="J1268">
        <v>42480</v>
      </c>
      <c r="K1268">
        <v>43720</v>
      </c>
      <c r="L1268">
        <v>44990</v>
      </c>
      <c r="M1268">
        <v>45490</v>
      </c>
      <c r="N1268" t="s">
        <v>988</v>
      </c>
    </row>
    <row r="1269" spans="1:14" hidden="1" x14ac:dyDescent="0.3">
      <c r="A1269">
        <v>816</v>
      </c>
      <c r="B1269" t="s">
        <v>765</v>
      </c>
      <c r="C1269" t="s">
        <v>2670</v>
      </c>
      <c r="D1269" t="s">
        <v>1203</v>
      </c>
      <c r="E1269" t="s">
        <v>1204</v>
      </c>
      <c r="F1269">
        <v>5604</v>
      </c>
      <c r="G1269" t="s">
        <v>2673</v>
      </c>
      <c r="H1269" t="s">
        <v>2664</v>
      </c>
      <c r="I1269">
        <v>55300</v>
      </c>
      <c r="J1269">
        <v>55300</v>
      </c>
      <c r="K1269">
        <v>56600</v>
      </c>
      <c r="L1269">
        <v>56600</v>
      </c>
      <c r="M1269">
        <v>56600</v>
      </c>
      <c r="N1269" t="s">
        <v>988</v>
      </c>
    </row>
    <row r="1270" spans="1:14" hidden="1" x14ac:dyDescent="0.3">
      <c r="A1270">
        <v>816</v>
      </c>
      <c r="B1270" t="s">
        <v>765</v>
      </c>
      <c r="C1270" t="s">
        <v>2670</v>
      </c>
      <c r="D1270" t="s">
        <v>1203</v>
      </c>
      <c r="E1270" t="s">
        <v>1204</v>
      </c>
      <c r="F1270">
        <v>5604</v>
      </c>
      <c r="G1270" t="s">
        <v>2674</v>
      </c>
      <c r="H1270" t="s">
        <v>2665</v>
      </c>
      <c r="I1270">
        <v>41270</v>
      </c>
      <c r="J1270">
        <v>42240</v>
      </c>
      <c r="K1270">
        <v>43470</v>
      </c>
      <c r="L1270">
        <v>44740</v>
      </c>
      <c r="M1270">
        <v>45490</v>
      </c>
      <c r="N1270" t="s">
        <v>988</v>
      </c>
    </row>
    <row r="1271" spans="1:14" hidden="1" x14ac:dyDescent="0.3">
      <c r="A1271">
        <v>816</v>
      </c>
      <c r="B1271" t="s">
        <v>765</v>
      </c>
      <c r="C1271" t="s">
        <v>2670</v>
      </c>
      <c r="D1271" t="s">
        <v>1203</v>
      </c>
      <c r="E1271" t="s">
        <v>1204</v>
      </c>
      <c r="F1271">
        <v>5604</v>
      </c>
      <c r="G1271" t="s">
        <v>2674</v>
      </c>
      <c r="H1271" t="s">
        <v>2664</v>
      </c>
      <c r="I1271">
        <v>55300</v>
      </c>
      <c r="J1271">
        <v>55300</v>
      </c>
      <c r="K1271">
        <v>56600</v>
      </c>
      <c r="L1271">
        <v>56600</v>
      </c>
      <c r="M1271">
        <v>56600</v>
      </c>
      <c r="N1271" t="s">
        <v>988</v>
      </c>
    </row>
    <row r="1272" spans="1:14" hidden="1" x14ac:dyDescent="0.3">
      <c r="A1272">
        <v>816</v>
      </c>
      <c r="B1272" t="s">
        <v>765</v>
      </c>
      <c r="C1272" t="s">
        <v>2670</v>
      </c>
      <c r="D1272" t="s">
        <v>1203</v>
      </c>
      <c r="E1272" t="s">
        <v>1204</v>
      </c>
      <c r="F1272">
        <v>5604</v>
      </c>
      <c r="G1272" t="s">
        <v>2675</v>
      </c>
      <c r="H1272" t="s">
        <v>2665</v>
      </c>
      <c r="I1272">
        <v>41100</v>
      </c>
      <c r="J1272">
        <v>4200</v>
      </c>
      <c r="K1272">
        <v>43220</v>
      </c>
      <c r="L1272">
        <v>44490</v>
      </c>
      <c r="M1272">
        <v>45490</v>
      </c>
      <c r="N1272" t="s">
        <v>988</v>
      </c>
    </row>
    <row r="1273" spans="1:14" hidden="1" x14ac:dyDescent="0.3">
      <c r="A1273">
        <v>816</v>
      </c>
      <c r="B1273" t="s">
        <v>765</v>
      </c>
      <c r="C1273" t="s">
        <v>2670</v>
      </c>
      <c r="D1273" t="s">
        <v>1203</v>
      </c>
      <c r="E1273" t="s">
        <v>1204</v>
      </c>
      <c r="F1273">
        <v>5604</v>
      </c>
      <c r="G1273" t="s">
        <v>2675</v>
      </c>
      <c r="H1273" t="s">
        <v>2664</v>
      </c>
      <c r="I1273">
        <v>59400</v>
      </c>
      <c r="J1273">
        <v>59400</v>
      </c>
      <c r="K1273">
        <v>63100</v>
      </c>
      <c r="L1273">
        <v>63100</v>
      </c>
      <c r="M1273">
        <v>63100</v>
      </c>
      <c r="N1273" t="s">
        <v>988</v>
      </c>
    </row>
    <row r="1274" spans="1:14" hidden="1" x14ac:dyDescent="0.3">
      <c r="A1274">
        <v>827</v>
      </c>
      <c r="B1274" t="s">
        <v>1488</v>
      </c>
      <c r="C1274" t="s">
        <v>2670</v>
      </c>
      <c r="D1274" t="s">
        <v>1203</v>
      </c>
      <c r="E1274" t="s">
        <v>1204</v>
      </c>
      <c r="F1274">
        <v>5921</v>
      </c>
      <c r="G1274" t="s">
        <v>2672</v>
      </c>
      <c r="H1274" t="s">
        <v>2665</v>
      </c>
      <c r="N1274" t="s">
        <v>988</v>
      </c>
    </row>
    <row r="1275" spans="1:14" hidden="1" x14ac:dyDescent="0.3">
      <c r="A1275">
        <v>827</v>
      </c>
      <c r="B1275" t="s">
        <v>1488</v>
      </c>
      <c r="C1275" t="s">
        <v>2670</v>
      </c>
      <c r="D1275" t="s">
        <v>1203</v>
      </c>
      <c r="E1275" t="s">
        <v>1204</v>
      </c>
      <c r="F1275">
        <v>5921</v>
      </c>
      <c r="G1275" t="s">
        <v>2676</v>
      </c>
      <c r="H1275" t="s">
        <v>2665</v>
      </c>
      <c r="I1275">
        <v>14113</v>
      </c>
      <c r="J1275">
        <v>13253</v>
      </c>
      <c r="K1275">
        <v>12489</v>
      </c>
      <c r="L1275">
        <v>11794</v>
      </c>
      <c r="N1275" t="s">
        <v>988</v>
      </c>
    </row>
    <row r="1276" spans="1:14" hidden="1" x14ac:dyDescent="0.3">
      <c r="A1276">
        <v>827</v>
      </c>
      <c r="B1276" t="s">
        <v>1488</v>
      </c>
      <c r="C1276" t="s">
        <v>2670</v>
      </c>
      <c r="D1276" t="s">
        <v>1203</v>
      </c>
      <c r="E1276" t="s">
        <v>1204</v>
      </c>
      <c r="F1276">
        <v>5921</v>
      </c>
      <c r="G1276" t="s">
        <v>2675</v>
      </c>
      <c r="H1276" t="s">
        <v>2664</v>
      </c>
      <c r="I1276">
        <v>13706</v>
      </c>
      <c r="J1276">
        <v>12870</v>
      </c>
      <c r="K1276">
        <v>12129</v>
      </c>
      <c r="L1276">
        <v>11453</v>
      </c>
      <c r="N1276" t="s">
        <v>988</v>
      </c>
    </row>
    <row r="1277" spans="1:14" hidden="1" x14ac:dyDescent="0.3">
      <c r="A1277">
        <v>827</v>
      </c>
      <c r="B1277" t="s">
        <v>1488</v>
      </c>
      <c r="C1277" t="s">
        <v>2670</v>
      </c>
      <c r="D1277" t="s">
        <v>1203</v>
      </c>
      <c r="E1277" t="s">
        <v>1204</v>
      </c>
      <c r="F1277">
        <v>5921</v>
      </c>
      <c r="G1277" t="s">
        <v>2675</v>
      </c>
      <c r="H1277" t="s">
        <v>2665</v>
      </c>
      <c r="I1277">
        <v>14677</v>
      </c>
      <c r="J1277">
        <v>13783</v>
      </c>
      <c r="K1277">
        <v>12989</v>
      </c>
      <c r="L1277">
        <v>12265</v>
      </c>
      <c r="N1277" t="s">
        <v>988</v>
      </c>
    </row>
    <row r="1278" spans="1:14" hidden="1" x14ac:dyDescent="0.3">
      <c r="A1278">
        <v>827</v>
      </c>
      <c r="B1278" t="s">
        <v>1488</v>
      </c>
      <c r="C1278" t="s">
        <v>2670</v>
      </c>
      <c r="D1278" t="s">
        <v>1203</v>
      </c>
      <c r="E1278" t="s">
        <v>1204</v>
      </c>
      <c r="F1278">
        <v>5921</v>
      </c>
      <c r="G1278" t="s">
        <v>2674</v>
      </c>
      <c r="H1278" t="s">
        <v>2664</v>
      </c>
      <c r="I1278">
        <v>12484</v>
      </c>
      <c r="J1278">
        <v>11724</v>
      </c>
      <c r="K1278">
        <v>11048</v>
      </c>
      <c r="L1278">
        <v>10433</v>
      </c>
      <c r="N1278" t="s">
        <v>988</v>
      </c>
    </row>
    <row r="1279" spans="1:14" hidden="1" x14ac:dyDescent="0.3">
      <c r="A1279">
        <v>827</v>
      </c>
      <c r="B1279" t="s">
        <v>1488</v>
      </c>
      <c r="C1279" t="s">
        <v>2670</v>
      </c>
      <c r="D1279" t="s">
        <v>1203</v>
      </c>
      <c r="E1279" t="s">
        <v>1204</v>
      </c>
      <c r="F1279">
        <v>5921</v>
      </c>
      <c r="G1279" t="s">
        <v>2676</v>
      </c>
      <c r="H1279" t="s">
        <v>2664</v>
      </c>
      <c r="I1279">
        <v>12484</v>
      </c>
      <c r="J1279">
        <v>11724</v>
      </c>
      <c r="K1279">
        <v>11048</v>
      </c>
      <c r="L1279">
        <v>10433</v>
      </c>
      <c r="N1279" t="s">
        <v>988</v>
      </c>
    </row>
    <row r="1280" spans="1:14" hidden="1" x14ac:dyDescent="0.3">
      <c r="A1280">
        <v>827</v>
      </c>
      <c r="B1280" t="s">
        <v>1488</v>
      </c>
      <c r="C1280" t="s">
        <v>2670</v>
      </c>
      <c r="D1280" t="s">
        <v>1203</v>
      </c>
      <c r="E1280" t="s">
        <v>1204</v>
      </c>
      <c r="F1280">
        <v>5921</v>
      </c>
      <c r="G1280" t="s">
        <v>2673</v>
      </c>
      <c r="H1280" t="s">
        <v>2664</v>
      </c>
      <c r="I1280">
        <v>11127</v>
      </c>
      <c r="J1280">
        <v>10449</v>
      </c>
      <c r="K1280">
        <v>9847</v>
      </c>
      <c r="L1280">
        <v>9299</v>
      </c>
      <c r="N1280" t="s">
        <v>988</v>
      </c>
    </row>
    <row r="1281" spans="1:14" hidden="1" x14ac:dyDescent="0.3">
      <c r="A1281">
        <v>827</v>
      </c>
      <c r="B1281" t="s">
        <v>1488</v>
      </c>
      <c r="C1281" t="s">
        <v>2670</v>
      </c>
      <c r="D1281" t="s">
        <v>1203</v>
      </c>
      <c r="E1281" t="s">
        <v>1204</v>
      </c>
      <c r="F1281">
        <v>5921</v>
      </c>
      <c r="G1281" t="s">
        <v>2673</v>
      </c>
      <c r="H1281" t="s">
        <v>2665</v>
      </c>
      <c r="I1281">
        <v>14677</v>
      </c>
      <c r="J1281">
        <v>13783</v>
      </c>
      <c r="K1281">
        <v>12989</v>
      </c>
      <c r="L1281">
        <v>12265</v>
      </c>
      <c r="N1281" t="s">
        <v>988</v>
      </c>
    </row>
    <row r="1282" spans="1:14" hidden="1" x14ac:dyDescent="0.3">
      <c r="A1282">
        <v>827</v>
      </c>
      <c r="B1282" t="s">
        <v>1488</v>
      </c>
      <c r="C1282" t="s">
        <v>2670</v>
      </c>
      <c r="D1282" t="s">
        <v>1203</v>
      </c>
      <c r="E1282" t="s">
        <v>1204</v>
      </c>
      <c r="F1282">
        <v>5921</v>
      </c>
      <c r="G1282" t="s">
        <v>2671</v>
      </c>
      <c r="H1282" t="s">
        <v>2664</v>
      </c>
      <c r="I1282">
        <v>10585</v>
      </c>
      <c r="J1282">
        <v>9940</v>
      </c>
      <c r="K1282">
        <v>9367</v>
      </c>
      <c r="L1282">
        <v>8845</v>
      </c>
      <c r="N1282" t="s">
        <v>988</v>
      </c>
    </row>
    <row r="1283" spans="1:14" hidden="1" x14ac:dyDescent="0.3">
      <c r="A1283">
        <v>827</v>
      </c>
      <c r="B1283" t="s">
        <v>1488</v>
      </c>
      <c r="C1283" t="s">
        <v>2670</v>
      </c>
      <c r="D1283" t="s">
        <v>1203</v>
      </c>
      <c r="E1283" t="s">
        <v>1204</v>
      </c>
      <c r="F1283">
        <v>5921</v>
      </c>
      <c r="G1283" t="s">
        <v>2671</v>
      </c>
      <c r="H1283" t="s">
        <v>2665</v>
      </c>
      <c r="I1283">
        <v>15264</v>
      </c>
      <c r="J1283">
        <v>14334</v>
      </c>
      <c r="K1283">
        <v>13508</v>
      </c>
      <c r="L1283">
        <v>12756</v>
      </c>
      <c r="N1283" t="s">
        <v>988</v>
      </c>
    </row>
    <row r="1284" spans="1:14" hidden="1" x14ac:dyDescent="0.3">
      <c r="A1284">
        <v>827</v>
      </c>
      <c r="B1284" t="s">
        <v>1488</v>
      </c>
      <c r="C1284" t="s">
        <v>2670</v>
      </c>
      <c r="D1284" t="s">
        <v>1203</v>
      </c>
      <c r="E1284" t="s">
        <v>1204</v>
      </c>
      <c r="F1284">
        <v>5921</v>
      </c>
      <c r="G1284" t="s">
        <v>2672</v>
      </c>
      <c r="H1284" t="s">
        <v>2664</v>
      </c>
      <c r="N1284" t="s">
        <v>988</v>
      </c>
    </row>
    <row r="1285" spans="1:14" hidden="1" x14ac:dyDescent="0.3">
      <c r="A1285">
        <v>827</v>
      </c>
      <c r="B1285" t="s">
        <v>1488</v>
      </c>
      <c r="C1285" t="s">
        <v>2670</v>
      </c>
      <c r="D1285" t="s">
        <v>1203</v>
      </c>
      <c r="E1285" t="s">
        <v>1204</v>
      </c>
      <c r="F1285">
        <v>5921</v>
      </c>
      <c r="G1285" t="s">
        <v>2674</v>
      </c>
      <c r="H1285" t="s">
        <v>2665</v>
      </c>
      <c r="I1285">
        <v>14113</v>
      </c>
      <c r="J1285">
        <v>13253</v>
      </c>
      <c r="K1285">
        <v>12489</v>
      </c>
      <c r="L1285">
        <v>11794</v>
      </c>
      <c r="N1285" t="s">
        <v>988</v>
      </c>
    </row>
    <row r="1286" spans="1:14" hidden="1" x14ac:dyDescent="0.3">
      <c r="A1286">
        <v>830</v>
      </c>
      <c r="B1286" t="s">
        <v>1491</v>
      </c>
      <c r="C1286" t="s">
        <v>2670</v>
      </c>
      <c r="D1286" t="s">
        <v>159</v>
      </c>
      <c r="E1286" t="s">
        <v>159</v>
      </c>
      <c r="F1286">
        <v>5566</v>
      </c>
      <c r="G1286" t="s">
        <v>2676</v>
      </c>
      <c r="H1286" t="s">
        <v>2665</v>
      </c>
      <c r="I1286">
        <v>9262</v>
      </c>
      <c r="J1286">
        <v>9610</v>
      </c>
      <c r="K1286">
        <v>9962</v>
      </c>
      <c r="L1286">
        <v>9979</v>
      </c>
      <c r="M1286">
        <v>9994</v>
      </c>
      <c r="N1286" t="s">
        <v>988</v>
      </c>
    </row>
    <row r="1287" spans="1:14" hidden="1" x14ac:dyDescent="0.3">
      <c r="A1287">
        <v>830</v>
      </c>
      <c r="B1287" t="s">
        <v>1491</v>
      </c>
      <c r="C1287" t="s">
        <v>2670</v>
      </c>
      <c r="D1287" t="s">
        <v>159</v>
      </c>
      <c r="E1287" t="s">
        <v>159</v>
      </c>
      <c r="F1287">
        <v>5566</v>
      </c>
      <c r="G1287" t="s">
        <v>2676</v>
      </c>
      <c r="H1287" t="s">
        <v>2664</v>
      </c>
      <c r="I1287">
        <v>9262</v>
      </c>
      <c r="J1287">
        <v>9610</v>
      </c>
      <c r="K1287">
        <v>9962</v>
      </c>
      <c r="L1287">
        <v>9979</v>
      </c>
      <c r="M1287">
        <v>9994</v>
      </c>
      <c r="N1287" t="s">
        <v>988</v>
      </c>
    </row>
    <row r="1288" spans="1:14" hidden="1" x14ac:dyDescent="0.3">
      <c r="A1288">
        <v>830</v>
      </c>
      <c r="B1288" t="s">
        <v>1491</v>
      </c>
      <c r="C1288" t="s">
        <v>2670</v>
      </c>
      <c r="D1288" t="s">
        <v>159</v>
      </c>
      <c r="E1288" t="s">
        <v>159</v>
      </c>
      <c r="F1288">
        <v>5566</v>
      </c>
      <c r="G1288" t="s">
        <v>2675</v>
      </c>
      <c r="H1288" t="s">
        <v>2664</v>
      </c>
      <c r="I1288">
        <v>9327</v>
      </c>
      <c r="J1288">
        <v>9697</v>
      </c>
      <c r="K1288">
        <v>9965</v>
      </c>
      <c r="L1288">
        <v>9984</v>
      </c>
      <c r="M1288">
        <v>9991</v>
      </c>
      <c r="N1288" t="s">
        <v>988</v>
      </c>
    </row>
    <row r="1289" spans="1:14" hidden="1" x14ac:dyDescent="0.3">
      <c r="A1289">
        <v>830</v>
      </c>
      <c r="B1289" t="s">
        <v>1491</v>
      </c>
      <c r="C1289" t="s">
        <v>2670</v>
      </c>
      <c r="D1289" t="s">
        <v>159</v>
      </c>
      <c r="E1289" t="s">
        <v>159</v>
      </c>
      <c r="F1289">
        <v>5566</v>
      </c>
      <c r="G1289" t="s">
        <v>2675</v>
      </c>
      <c r="H1289" t="s">
        <v>2665</v>
      </c>
      <c r="I1289">
        <v>9327</v>
      </c>
      <c r="J1289">
        <v>9697</v>
      </c>
      <c r="K1289">
        <v>9965</v>
      </c>
      <c r="L1289">
        <v>9984</v>
      </c>
      <c r="M1289">
        <v>9991</v>
      </c>
      <c r="N1289" t="s">
        <v>988</v>
      </c>
    </row>
    <row r="1290" spans="1:14" hidden="1" x14ac:dyDescent="0.3">
      <c r="A1290">
        <v>830</v>
      </c>
      <c r="B1290" t="s">
        <v>1491</v>
      </c>
      <c r="C1290" t="s">
        <v>2670</v>
      </c>
      <c r="D1290" t="s">
        <v>159</v>
      </c>
      <c r="E1290" t="s">
        <v>159</v>
      </c>
      <c r="F1290">
        <v>5566</v>
      </c>
      <c r="G1290" t="s">
        <v>2674</v>
      </c>
      <c r="H1290" t="s">
        <v>2664</v>
      </c>
      <c r="I1290">
        <v>9393</v>
      </c>
      <c r="J1290">
        <v>9784</v>
      </c>
      <c r="K1290">
        <v>9968</v>
      </c>
      <c r="L1290">
        <v>9989</v>
      </c>
      <c r="M1290">
        <v>9987</v>
      </c>
      <c r="N1290" t="s">
        <v>988</v>
      </c>
    </row>
    <row r="1291" spans="1:14" hidden="1" x14ac:dyDescent="0.3">
      <c r="A1291">
        <v>830</v>
      </c>
      <c r="B1291" t="s">
        <v>1491</v>
      </c>
      <c r="C1291" t="s">
        <v>2670</v>
      </c>
      <c r="D1291" t="s">
        <v>159</v>
      </c>
      <c r="E1291" t="s">
        <v>159</v>
      </c>
      <c r="F1291">
        <v>5566</v>
      </c>
      <c r="G1291" t="s">
        <v>2674</v>
      </c>
      <c r="H1291" t="s">
        <v>2665</v>
      </c>
      <c r="I1291">
        <v>9393</v>
      </c>
      <c r="J1291">
        <v>9784</v>
      </c>
      <c r="K1291">
        <v>9968</v>
      </c>
      <c r="L1291">
        <v>9989</v>
      </c>
      <c r="M1291">
        <v>9987</v>
      </c>
      <c r="N1291" t="s">
        <v>988</v>
      </c>
    </row>
    <row r="1292" spans="1:14" hidden="1" x14ac:dyDescent="0.3">
      <c r="A1292">
        <v>830</v>
      </c>
      <c r="B1292" t="s">
        <v>1491</v>
      </c>
      <c r="C1292" t="s">
        <v>2670</v>
      </c>
      <c r="D1292" t="s">
        <v>159</v>
      </c>
      <c r="E1292" t="s">
        <v>159</v>
      </c>
      <c r="F1292">
        <v>5566</v>
      </c>
      <c r="G1292" t="s">
        <v>2673</v>
      </c>
      <c r="H1292" t="s">
        <v>2664</v>
      </c>
      <c r="I1292">
        <v>9458</v>
      </c>
      <c r="J1292">
        <v>9871</v>
      </c>
      <c r="K1292">
        <v>9971</v>
      </c>
      <c r="L1292">
        <v>9993</v>
      </c>
      <c r="M1292">
        <v>9984</v>
      </c>
      <c r="N1292" t="s">
        <v>988</v>
      </c>
    </row>
    <row r="1293" spans="1:14" hidden="1" x14ac:dyDescent="0.3">
      <c r="A1293">
        <v>830</v>
      </c>
      <c r="B1293" t="s">
        <v>1491</v>
      </c>
      <c r="C1293" t="s">
        <v>2670</v>
      </c>
      <c r="D1293" t="s">
        <v>159</v>
      </c>
      <c r="E1293" t="s">
        <v>159</v>
      </c>
      <c r="F1293">
        <v>5566</v>
      </c>
      <c r="G1293" t="s">
        <v>2673</v>
      </c>
      <c r="H1293" t="s">
        <v>2665</v>
      </c>
      <c r="I1293">
        <v>9458</v>
      </c>
      <c r="J1293">
        <v>9871</v>
      </c>
      <c r="K1293">
        <v>9971</v>
      </c>
      <c r="L1293">
        <v>9993</v>
      </c>
      <c r="M1293">
        <v>9984</v>
      </c>
      <c r="N1293" t="s">
        <v>988</v>
      </c>
    </row>
    <row r="1294" spans="1:14" hidden="1" x14ac:dyDescent="0.3">
      <c r="A1294">
        <v>830</v>
      </c>
      <c r="B1294" t="s">
        <v>1491</v>
      </c>
      <c r="C1294" t="s">
        <v>2670</v>
      </c>
      <c r="D1294" t="s">
        <v>159</v>
      </c>
      <c r="E1294" t="s">
        <v>159</v>
      </c>
      <c r="F1294">
        <v>5566</v>
      </c>
      <c r="G1294" t="s">
        <v>2671</v>
      </c>
      <c r="H1294" t="s">
        <v>2664</v>
      </c>
      <c r="I1294">
        <v>9523</v>
      </c>
      <c r="J1294">
        <v>9958</v>
      </c>
      <c r="K1294">
        <v>9975</v>
      </c>
      <c r="L1294">
        <v>9998</v>
      </c>
      <c r="M1294">
        <v>9980</v>
      </c>
      <c r="N1294" t="s">
        <v>988</v>
      </c>
    </row>
    <row r="1295" spans="1:14" hidden="1" x14ac:dyDescent="0.3">
      <c r="A1295">
        <v>830</v>
      </c>
      <c r="B1295" t="s">
        <v>1491</v>
      </c>
      <c r="C1295" t="s">
        <v>2670</v>
      </c>
      <c r="D1295" t="s">
        <v>159</v>
      </c>
      <c r="E1295" t="s">
        <v>159</v>
      </c>
      <c r="F1295">
        <v>5566</v>
      </c>
      <c r="G1295" t="s">
        <v>2671</v>
      </c>
      <c r="H1295" t="s">
        <v>2665</v>
      </c>
      <c r="I1295">
        <v>9523</v>
      </c>
      <c r="J1295">
        <v>9958</v>
      </c>
      <c r="K1295">
        <v>9975</v>
      </c>
      <c r="L1295">
        <v>9998</v>
      </c>
      <c r="M1295">
        <v>9980</v>
      </c>
      <c r="N1295" t="s">
        <v>988</v>
      </c>
    </row>
    <row r="1296" spans="1:14" hidden="1" x14ac:dyDescent="0.3">
      <c r="A1296">
        <v>830</v>
      </c>
      <c r="B1296" t="s">
        <v>1491</v>
      </c>
      <c r="C1296" t="s">
        <v>2670</v>
      </c>
      <c r="D1296" t="s">
        <v>159</v>
      </c>
      <c r="E1296" t="s">
        <v>159</v>
      </c>
      <c r="F1296">
        <v>5566</v>
      </c>
      <c r="G1296" t="s">
        <v>2672</v>
      </c>
      <c r="H1296" t="s">
        <v>2664</v>
      </c>
      <c r="N1296" t="s">
        <v>988</v>
      </c>
    </row>
    <row r="1297" spans="1:14" hidden="1" x14ac:dyDescent="0.3">
      <c r="A1297">
        <v>830</v>
      </c>
      <c r="B1297" t="s">
        <v>1491</v>
      </c>
      <c r="C1297" t="s">
        <v>2670</v>
      </c>
      <c r="D1297" t="s">
        <v>159</v>
      </c>
      <c r="E1297" t="s">
        <v>159</v>
      </c>
      <c r="F1297">
        <v>5566</v>
      </c>
      <c r="G1297" t="s">
        <v>2672</v>
      </c>
      <c r="H1297" t="s">
        <v>2665</v>
      </c>
      <c r="N1297" t="s">
        <v>988</v>
      </c>
    </row>
    <row r="1298" spans="1:14" hidden="1" x14ac:dyDescent="0.3">
      <c r="A1298">
        <v>835</v>
      </c>
      <c r="B1298" t="s">
        <v>1493</v>
      </c>
      <c r="C1298" t="s">
        <v>2670</v>
      </c>
      <c r="D1298" t="s">
        <v>1203</v>
      </c>
      <c r="E1298" t="s">
        <v>1204</v>
      </c>
      <c r="F1298">
        <v>5610</v>
      </c>
      <c r="G1298" t="s">
        <v>2676</v>
      </c>
      <c r="H1298" t="s">
        <v>2665</v>
      </c>
      <c r="I1298">
        <v>7670</v>
      </c>
      <c r="J1298">
        <v>8310</v>
      </c>
      <c r="K1298">
        <v>8420</v>
      </c>
      <c r="L1298">
        <v>8540</v>
      </c>
      <c r="M1298">
        <v>8590</v>
      </c>
      <c r="N1298" t="s">
        <v>988</v>
      </c>
    </row>
    <row r="1299" spans="1:14" hidden="1" x14ac:dyDescent="0.3">
      <c r="A1299">
        <v>835</v>
      </c>
      <c r="B1299" t="s">
        <v>1493</v>
      </c>
      <c r="C1299" t="s">
        <v>2670</v>
      </c>
      <c r="D1299" t="s">
        <v>1203</v>
      </c>
      <c r="E1299" t="s">
        <v>1204</v>
      </c>
      <c r="F1299">
        <v>5610</v>
      </c>
      <c r="G1299" t="s">
        <v>2675</v>
      </c>
      <c r="H1299" t="s">
        <v>2664</v>
      </c>
      <c r="I1299">
        <v>13000</v>
      </c>
      <c r="J1299">
        <v>13000</v>
      </c>
      <c r="K1299">
        <v>13000</v>
      </c>
      <c r="L1299">
        <v>13000</v>
      </c>
      <c r="M1299">
        <v>13000</v>
      </c>
      <c r="N1299" t="s">
        <v>988</v>
      </c>
    </row>
    <row r="1300" spans="1:14" hidden="1" x14ac:dyDescent="0.3">
      <c r="A1300">
        <v>835</v>
      </c>
      <c r="B1300" t="s">
        <v>1493</v>
      </c>
      <c r="C1300" t="s">
        <v>2670</v>
      </c>
      <c r="D1300" t="s">
        <v>1203</v>
      </c>
      <c r="E1300" t="s">
        <v>1204</v>
      </c>
      <c r="F1300">
        <v>5610</v>
      </c>
      <c r="G1300" t="s">
        <v>2675</v>
      </c>
      <c r="H1300" t="s">
        <v>2665</v>
      </c>
      <c r="I1300">
        <v>7793</v>
      </c>
      <c r="J1300">
        <v>8432</v>
      </c>
      <c r="K1300">
        <v>8442</v>
      </c>
      <c r="L1300">
        <v>8562</v>
      </c>
      <c r="M1300">
        <v>8600</v>
      </c>
      <c r="N1300" t="s">
        <v>988</v>
      </c>
    </row>
    <row r="1301" spans="1:14" hidden="1" x14ac:dyDescent="0.3">
      <c r="A1301">
        <v>835</v>
      </c>
      <c r="B1301" t="s">
        <v>1493</v>
      </c>
      <c r="C1301" t="s">
        <v>2670</v>
      </c>
      <c r="D1301" t="s">
        <v>1203</v>
      </c>
      <c r="E1301" t="s">
        <v>1204</v>
      </c>
      <c r="F1301">
        <v>5610</v>
      </c>
      <c r="G1301" t="s">
        <v>2674</v>
      </c>
      <c r="H1301" t="s">
        <v>2664</v>
      </c>
      <c r="I1301">
        <v>13000</v>
      </c>
      <c r="J1301">
        <v>13000</v>
      </c>
      <c r="K1301">
        <v>13000</v>
      </c>
      <c r="L1301">
        <v>13000</v>
      </c>
      <c r="M1301">
        <v>13000</v>
      </c>
      <c r="N1301" t="s">
        <v>988</v>
      </c>
    </row>
    <row r="1302" spans="1:14" hidden="1" x14ac:dyDescent="0.3">
      <c r="A1302">
        <v>835</v>
      </c>
      <c r="B1302" t="s">
        <v>1493</v>
      </c>
      <c r="C1302" t="s">
        <v>2670</v>
      </c>
      <c r="D1302" t="s">
        <v>1203</v>
      </c>
      <c r="E1302" t="s">
        <v>1204</v>
      </c>
      <c r="F1302">
        <v>5610</v>
      </c>
      <c r="G1302" t="s">
        <v>2674</v>
      </c>
      <c r="H1302" t="s">
        <v>2665</v>
      </c>
      <c r="I1302">
        <v>7916</v>
      </c>
      <c r="J1302">
        <v>8554</v>
      </c>
      <c r="K1302">
        <v>8464</v>
      </c>
      <c r="L1302">
        <v>8584</v>
      </c>
      <c r="M1302">
        <v>8610</v>
      </c>
      <c r="N1302" t="s">
        <v>988</v>
      </c>
    </row>
    <row r="1303" spans="1:14" hidden="1" x14ac:dyDescent="0.3">
      <c r="A1303">
        <v>835</v>
      </c>
      <c r="B1303" t="s">
        <v>1493</v>
      </c>
      <c r="C1303" t="s">
        <v>2670</v>
      </c>
      <c r="D1303" t="s">
        <v>1203</v>
      </c>
      <c r="E1303" t="s">
        <v>1204</v>
      </c>
      <c r="F1303">
        <v>5610</v>
      </c>
      <c r="G1303" t="s">
        <v>2676</v>
      </c>
      <c r="H1303" t="s">
        <v>2664</v>
      </c>
      <c r="I1303">
        <v>13000</v>
      </c>
      <c r="J1303">
        <v>13000</v>
      </c>
      <c r="K1303">
        <v>13000</v>
      </c>
      <c r="L1303">
        <v>13000</v>
      </c>
      <c r="M1303">
        <v>13000</v>
      </c>
      <c r="N1303" t="s">
        <v>988</v>
      </c>
    </row>
    <row r="1304" spans="1:14" hidden="1" x14ac:dyDescent="0.3">
      <c r="A1304">
        <v>835</v>
      </c>
      <c r="B1304" t="s">
        <v>1493</v>
      </c>
      <c r="C1304" t="s">
        <v>2670</v>
      </c>
      <c r="D1304" t="s">
        <v>1203</v>
      </c>
      <c r="E1304" t="s">
        <v>1204</v>
      </c>
      <c r="F1304">
        <v>5610</v>
      </c>
      <c r="G1304" t="s">
        <v>2673</v>
      </c>
      <c r="H1304" t="s">
        <v>2665</v>
      </c>
      <c r="I1304">
        <v>8038</v>
      </c>
      <c r="J1304">
        <v>8676</v>
      </c>
      <c r="K1304">
        <v>8486</v>
      </c>
      <c r="L1304">
        <v>8606</v>
      </c>
      <c r="M1304">
        <v>620</v>
      </c>
      <c r="N1304" t="s">
        <v>988</v>
      </c>
    </row>
    <row r="1305" spans="1:14" hidden="1" x14ac:dyDescent="0.3">
      <c r="A1305">
        <v>835</v>
      </c>
      <c r="B1305" t="s">
        <v>1493</v>
      </c>
      <c r="C1305" t="s">
        <v>2670</v>
      </c>
      <c r="D1305" t="s">
        <v>1203</v>
      </c>
      <c r="E1305" t="s">
        <v>1204</v>
      </c>
      <c r="F1305">
        <v>5610</v>
      </c>
      <c r="G1305" t="s">
        <v>2671</v>
      </c>
      <c r="H1305" t="s">
        <v>2664</v>
      </c>
      <c r="I1305">
        <v>13000</v>
      </c>
      <c r="J1305">
        <v>13000</v>
      </c>
      <c r="K1305">
        <v>13000</v>
      </c>
      <c r="L1305">
        <v>13000</v>
      </c>
      <c r="M1305">
        <v>13000</v>
      </c>
      <c r="N1305" t="s">
        <v>988</v>
      </c>
    </row>
    <row r="1306" spans="1:14" hidden="1" x14ac:dyDescent="0.3">
      <c r="A1306">
        <v>835</v>
      </c>
      <c r="B1306" t="s">
        <v>1493</v>
      </c>
      <c r="C1306" t="s">
        <v>2670</v>
      </c>
      <c r="D1306" t="s">
        <v>1203</v>
      </c>
      <c r="E1306" t="s">
        <v>1204</v>
      </c>
      <c r="F1306">
        <v>5610</v>
      </c>
      <c r="G1306" t="s">
        <v>2671</v>
      </c>
      <c r="H1306" t="s">
        <v>2665</v>
      </c>
      <c r="I1306">
        <v>8161</v>
      </c>
      <c r="J1306">
        <v>8798</v>
      </c>
      <c r="K1306">
        <v>8508</v>
      </c>
      <c r="L1306">
        <v>628</v>
      </c>
      <c r="M1306">
        <v>8630</v>
      </c>
      <c r="N1306" t="s">
        <v>988</v>
      </c>
    </row>
    <row r="1307" spans="1:14" hidden="1" x14ac:dyDescent="0.3">
      <c r="A1307">
        <v>835</v>
      </c>
      <c r="B1307" t="s">
        <v>1493</v>
      </c>
      <c r="C1307" t="s">
        <v>2670</v>
      </c>
      <c r="D1307" t="s">
        <v>1203</v>
      </c>
      <c r="E1307" t="s">
        <v>1204</v>
      </c>
      <c r="F1307">
        <v>5610</v>
      </c>
      <c r="G1307" t="s">
        <v>2672</v>
      </c>
      <c r="H1307" t="s">
        <v>2664</v>
      </c>
      <c r="N1307" t="s">
        <v>988</v>
      </c>
    </row>
    <row r="1308" spans="1:14" hidden="1" x14ac:dyDescent="0.3">
      <c r="A1308">
        <v>835</v>
      </c>
      <c r="B1308" t="s">
        <v>1493</v>
      </c>
      <c r="C1308" t="s">
        <v>2670</v>
      </c>
      <c r="D1308" t="s">
        <v>1203</v>
      </c>
      <c r="E1308" t="s">
        <v>1204</v>
      </c>
      <c r="F1308">
        <v>5610</v>
      </c>
      <c r="G1308" t="s">
        <v>2672</v>
      </c>
      <c r="H1308" t="s">
        <v>2665</v>
      </c>
      <c r="N1308" t="s">
        <v>988</v>
      </c>
    </row>
    <row r="1309" spans="1:14" hidden="1" x14ac:dyDescent="0.3">
      <c r="A1309">
        <v>835</v>
      </c>
      <c r="B1309" t="s">
        <v>1493</v>
      </c>
      <c r="C1309" t="s">
        <v>2670</v>
      </c>
      <c r="D1309" t="s">
        <v>1203</v>
      </c>
      <c r="E1309" t="s">
        <v>1204</v>
      </c>
      <c r="F1309">
        <v>5610</v>
      </c>
      <c r="G1309" t="s">
        <v>2673</v>
      </c>
      <c r="H1309" t="s">
        <v>2664</v>
      </c>
      <c r="I1309">
        <v>13000</v>
      </c>
      <c r="J1309">
        <v>13000</v>
      </c>
      <c r="K1309">
        <v>13000</v>
      </c>
      <c r="L1309">
        <v>13000</v>
      </c>
      <c r="M1309">
        <v>13000</v>
      </c>
      <c r="N1309" t="s">
        <v>988</v>
      </c>
    </row>
    <row r="1310" spans="1:14" hidden="1" x14ac:dyDescent="0.3">
      <c r="A1310">
        <v>842</v>
      </c>
      <c r="B1310" t="s">
        <v>1495</v>
      </c>
      <c r="C1310" t="s">
        <v>2670</v>
      </c>
      <c r="D1310" t="s">
        <v>159</v>
      </c>
      <c r="E1310" t="s">
        <v>159</v>
      </c>
      <c r="F1310">
        <v>6760</v>
      </c>
      <c r="G1310" t="s">
        <v>2676</v>
      </c>
      <c r="H1310" t="s">
        <v>2665</v>
      </c>
      <c r="I1310">
        <v>38932</v>
      </c>
      <c r="J1310">
        <v>41994</v>
      </c>
      <c r="K1310">
        <v>45313</v>
      </c>
      <c r="L1310">
        <v>48085</v>
      </c>
      <c r="M1310">
        <v>50967</v>
      </c>
      <c r="N1310" t="s">
        <v>988</v>
      </c>
    </row>
    <row r="1311" spans="1:14" hidden="1" x14ac:dyDescent="0.3">
      <c r="A1311">
        <v>842</v>
      </c>
      <c r="B1311" t="s">
        <v>1495</v>
      </c>
      <c r="C1311" t="s">
        <v>2670</v>
      </c>
      <c r="D1311" t="s">
        <v>159</v>
      </c>
      <c r="E1311" t="s">
        <v>159</v>
      </c>
      <c r="F1311">
        <v>6760</v>
      </c>
      <c r="G1311" t="s">
        <v>2675</v>
      </c>
      <c r="H1311" t="s">
        <v>2664</v>
      </c>
      <c r="I1311">
        <v>49350</v>
      </c>
      <c r="J1311">
        <v>50107</v>
      </c>
      <c r="K1311">
        <v>51693</v>
      </c>
      <c r="L1311">
        <v>52730</v>
      </c>
      <c r="M1311">
        <v>53760</v>
      </c>
      <c r="N1311" t="s">
        <v>988</v>
      </c>
    </row>
    <row r="1312" spans="1:14" hidden="1" x14ac:dyDescent="0.3">
      <c r="A1312">
        <v>842</v>
      </c>
      <c r="B1312" t="s">
        <v>1495</v>
      </c>
      <c r="C1312" t="s">
        <v>2670</v>
      </c>
      <c r="D1312" t="s">
        <v>159</v>
      </c>
      <c r="E1312" t="s">
        <v>159</v>
      </c>
      <c r="F1312">
        <v>6760</v>
      </c>
      <c r="G1312" t="s">
        <v>2675</v>
      </c>
      <c r="H1312" t="s">
        <v>2665</v>
      </c>
      <c r="I1312">
        <v>38932</v>
      </c>
      <c r="J1312">
        <v>41994</v>
      </c>
      <c r="K1312">
        <v>45313</v>
      </c>
      <c r="L1312">
        <v>48085</v>
      </c>
      <c r="M1312">
        <v>50967</v>
      </c>
      <c r="N1312" t="s">
        <v>988</v>
      </c>
    </row>
    <row r="1313" spans="1:14" hidden="1" x14ac:dyDescent="0.3">
      <c r="A1313">
        <v>842</v>
      </c>
      <c r="B1313" t="s">
        <v>1495</v>
      </c>
      <c r="C1313" t="s">
        <v>2670</v>
      </c>
      <c r="D1313" t="s">
        <v>159</v>
      </c>
      <c r="E1313" t="s">
        <v>159</v>
      </c>
      <c r="F1313">
        <v>6760</v>
      </c>
      <c r="G1313" t="s">
        <v>2674</v>
      </c>
      <c r="H1313" t="s">
        <v>2664</v>
      </c>
      <c r="I1313">
        <v>49585</v>
      </c>
      <c r="J1313">
        <v>50342</v>
      </c>
      <c r="K1313">
        <v>51928</v>
      </c>
      <c r="L1313">
        <v>52965</v>
      </c>
      <c r="M1313">
        <v>53995</v>
      </c>
      <c r="N1313" t="s">
        <v>988</v>
      </c>
    </row>
    <row r="1314" spans="1:14" hidden="1" x14ac:dyDescent="0.3">
      <c r="A1314">
        <v>842</v>
      </c>
      <c r="B1314" t="s">
        <v>1495</v>
      </c>
      <c r="C1314" t="s">
        <v>2670</v>
      </c>
      <c r="D1314" t="s">
        <v>159</v>
      </c>
      <c r="E1314" t="s">
        <v>159</v>
      </c>
      <c r="F1314">
        <v>6760</v>
      </c>
      <c r="G1314" t="s">
        <v>2674</v>
      </c>
      <c r="H1314" t="s">
        <v>2665</v>
      </c>
      <c r="I1314">
        <v>38932</v>
      </c>
      <c r="J1314">
        <v>41994</v>
      </c>
      <c r="K1314">
        <v>45313</v>
      </c>
      <c r="L1314">
        <v>48085</v>
      </c>
      <c r="M1314">
        <v>50967</v>
      </c>
      <c r="N1314" t="s">
        <v>988</v>
      </c>
    </row>
    <row r="1315" spans="1:14" hidden="1" x14ac:dyDescent="0.3">
      <c r="A1315">
        <v>842</v>
      </c>
      <c r="B1315" t="s">
        <v>1495</v>
      </c>
      <c r="C1315" t="s">
        <v>2670</v>
      </c>
      <c r="D1315" t="s">
        <v>159</v>
      </c>
      <c r="E1315" t="s">
        <v>159</v>
      </c>
      <c r="F1315">
        <v>6760</v>
      </c>
      <c r="G1315" t="s">
        <v>2673</v>
      </c>
      <c r="H1315" t="s">
        <v>2664</v>
      </c>
      <c r="I1315">
        <v>50382</v>
      </c>
      <c r="J1315">
        <v>51139</v>
      </c>
      <c r="K1315">
        <v>52725</v>
      </c>
      <c r="L1315">
        <v>53762</v>
      </c>
      <c r="M1315">
        <v>54792</v>
      </c>
      <c r="N1315" t="s">
        <v>988</v>
      </c>
    </row>
    <row r="1316" spans="1:14" hidden="1" x14ac:dyDescent="0.3">
      <c r="A1316">
        <v>842</v>
      </c>
      <c r="B1316" t="s">
        <v>1495</v>
      </c>
      <c r="C1316" t="s">
        <v>2670</v>
      </c>
      <c r="D1316" t="s">
        <v>159</v>
      </c>
      <c r="E1316" t="s">
        <v>159</v>
      </c>
      <c r="F1316">
        <v>6760</v>
      </c>
      <c r="G1316" t="s">
        <v>2673</v>
      </c>
      <c r="H1316" t="s">
        <v>2665</v>
      </c>
      <c r="I1316">
        <v>38932</v>
      </c>
      <c r="J1316">
        <v>41994</v>
      </c>
      <c r="K1316">
        <v>45313</v>
      </c>
      <c r="L1316">
        <v>48085</v>
      </c>
      <c r="M1316">
        <v>50967</v>
      </c>
      <c r="N1316" t="s">
        <v>988</v>
      </c>
    </row>
    <row r="1317" spans="1:14" hidden="1" x14ac:dyDescent="0.3">
      <c r="A1317">
        <v>842</v>
      </c>
      <c r="B1317" t="s">
        <v>1495</v>
      </c>
      <c r="C1317" t="s">
        <v>2670</v>
      </c>
      <c r="D1317" t="s">
        <v>159</v>
      </c>
      <c r="E1317" t="s">
        <v>159</v>
      </c>
      <c r="F1317">
        <v>6760</v>
      </c>
      <c r="G1317" t="s">
        <v>2671</v>
      </c>
      <c r="H1317" t="s">
        <v>2664</v>
      </c>
      <c r="I1317">
        <v>49227</v>
      </c>
      <c r="J1317">
        <v>49983</v>
      </c>
      <c r="K1317">
        <v>51569</v>
      </c>
      <c r="L1317">
        <v>52606</v>
      </c>
      <c r="M1317">
        <v>53636</v>
      </c>
      <c r="N1317" t="s">
        <v>988</v>
      </c>
    </row>
    <row r="1318" spans="1:14" hidden="1" x14ac:dyDescent="0.3">
      <c r="A1318">
        <v>842</v>
      </c>
      <c r="B1318" t="s">
        <v>1495</v>
      </c>
      <c r="C1318" t="s">
        <v>2670</v>
      </c>
      <c r="D1318" t="s">
        <v>159</v>
      </c>
      <c r="E1318" t="s">
        <v>159</v>
      </c>
      <c r="F1318">
        <v>6760</v>
      </c>
      <c r="G1318" t="s">
        <v>2671</v>
      </c>
      <c r="H1318" t="s">
        <v>2665</v>
      </c>
      <c r="I1318">
        <v>38932</v>
      </c>
      <c r="J1318">
        <v>41994</v>
      </c>
      <c r="K1318">
        <v>45313</v>
      </c>
      <c r="L1318">
        <v>48085</v>
      </c>
      <c r="M1318">
        <v>50967</v>
      </c>
      <c r="N1318" t="s">
        <v>988</v>
      </c>
    </row>
    <row r="1319" spans="1:14" hidden="1" x14ac:dyDescent="0.3">
      <c r="A1319">
        <v>842</v>
      </c>
      <c r="B1319" t="s">
        <v>1495</v>
      </c>
      <c r="C1319" t="s">
        <v>2670</v>
      </c>
      <c r="D1319" t="s">
        <v>159</v>
      </c>
      <c r="E1319" t="s">
        <v>159</v>
      </c>
      <c r="F1319">
        <v>6760</v>
      </c>
      <c r="G1319" t="s">
        <v>2672</v>
      </c>
      <c r="H1319" t="s">
        <v>2664</v>
      </c>
      <c r="N1319" t="s">
        <v>988</v>
      </c>
    </row>
    <row r="1320" spans="1:14" hidden="1" x14ac:dyDescent="0.3">
      <c r="A1320">
        <v>842</v>
      </c>
      <c r="B1320" t="s">
        <v>1495</v>
      </c>
      <c r="C1320" t="s">
        <v>2670</v>
      </c>
      <c r="D1320" t="s">
        <v>159</v>
      </c>
      <c r="E1320" t="s">
        <v>159</v>
      </c>
      <c r="F1320">
        <v>6760</v>
      </c>
      <c r="G1320" t="s">
        <v>2676</v>
      </c>
      <c r="H1320" t="s">
        <v>2664</v>
      </c>
      <c r="I1320">
        <v>44896</v>
      </c>
      <c r="J1320">
        <v>49353</v>
      </c>
      <c r="K1320">
        <v>50939</v>
      </c>
      <c r="L1320">
        <v>51976</v>
      </c>
      <c r="M1320">
        <v>53006</v>
      </c>
      <c r="N1320" t="s">
        <v>988</v>
      </c>
    </row>
    <row r="1321" spans="1:14" hidden="1" x14ac:dyDescent="0.3">
      <c r="A1321">
        <v>842</v>
      </c>
      <c r="B1321" t="s">
        <v>1495</v>
      </c>
      <c r="C1321" t="s">
        <v>2670</v>
      </c>
      <c r="D1321" t="s">
        <v>159</v>
      </c>
      <c r="E1321" t="s">
        <v>159</v>
      </c>
      <c r="F1321">
        <v>6760</v>
      </c>
      <c r="G1321" t="s">
        <v>2672</v>
      </c>
      <c r="H1321" t="s">
        <v>2665</v>
      </c>
      <c r="N1321" t="s">
        <v>988</v>
      </c>
    </row>
    <row r="1322" spans="1:14" hidden="1" x14ac:dyDescent="0.3">
      <c r="A1322">
        <v>851</v>
      </c>
      <c r="B1322" t="s">
        <v>1501</v>
      </c>
      <c r="C1322" t="s">
        <v>2670</v>
      </c>
      <c r="D1322" t="s">
        <v>1203</v>
      </c>
      <c r="E1322" t="s">
        <v>1204</v>
      </c>
      <c r="F1322">
        <v>5582</v>
      </c>
      <c r="G1322" t="s">
        <v>2672</v>
      </c>
      <c r="H1322" t="s">
        <v>2665</v>
      </c>
      <c r="N1322" t="s">
        <v>988</v>
      </c>
    </row>
    <row r="1323" spans="1:14" hidden="1" x14ac:dyDescent="0.3">
      <c r="A1323">
        <v>851</v>
      </c>
      <c r="B1323" t="s">
        <v>1501</v>
      </c>
      <c r="C1323" t="s">
        <v>2670</v>
      </c>
      <c r="D1323" t="s">
        <v>1203</v>
      </c>
      <c r="E1323" t="s">
        <v>1204</v>
      </c>
      <c r="F1323">
        <v>5582</v>
      </c>
      <c r="G1323" t="s">
        <v>2672</v>
      </c>
      <c r="H1323" t="s">
        <v>2664</v>
      </c>
      <c r="N1323" t="s">
        <v>988</v>
      </c>
    </row>
    <row r="1324" spans="1:14" hidden="1" x14ac:dyDescent="0.3">
      <c r="A1324">
        <v>851</v>
      </c>
      <c r="B1324" t="s">
        <v>1501</v>
      </c>
      <c r="C1324" t="s">
        <v>2670</v>
      </c>
      <c r="D1324" t="s">
        <v>1203</v>
      </c>
      <c r="E1324" t="s">
        <v>1204</v>
      </c>
      <c r="F1324">
        <v>5582</v>
      </c>
      <c r="G1324" t="s">
        <v>2676</v>
      </c>
      <c r="H1324" t="s">
        <v>2664</v>
      </c>
      <c r="I1324">
        <v>34704</v>
      </c>
      <c r="J1324">
        <v>35912</v>
      </c>
      <c r="K1324">
        <v>39631</v>
      </c>
      <c r="L1324">
        <v>40076</v>
      </c>
      <c r="M1324">
        <v>41005</v>
      </c>
      <c r="N1324" t="s">
        <v>988</v>
      </c>
    </row>
    <row r="1325" spans="1:14" hidden="1" x14ac:dyDescent="0.3">
      <c r="A1325">
        <v>851</v>
      </c>
      <c r="B1325" t="s">
        <v>1501</v>
      </c>
      <c r="C1325" t="s">
        <v>2670</v>
      </c>
      <c r="D1325" t="s">
        <v>1203</v>
      </c>
      <c r="E1325" t="s">
        <v>1204</v>
      </c>
      <c r="F1325">
        <v>5582</v>
      </c>
      <c r="G1325" t="s">
        <v>2676</v>
      </c>
      <c r="H1325" t="s">
        <v>2665</v>
      </c>
      <c r="I1325">
        <v>31589</v>
      </c>
      <c r="J1325">
        <v>32217</v>
      </c>
      <c r="K1325">
        <v>36016</v>
      </c>
      <c r="L1325">
        <v>36541</v>
      </c>
      <c r="M1325">
        <v>37550</v>
      </c>
      <c r="N1325" t="s">
        <v>988</v>
      </c>
    </row>
    <row r="1326" spans="1:14" hidden="1" x14ac:dyDescent="0.3">
      <c r="A1326">
        <v>851</v>
      </c>
      <c r="B1326" t="s">
        <v>1501</v>
      </c>
      <c r="C1326" t="s">
        <v>2670</v>
      </c>
      <c r="D1326" t="s">
        <v>1203</v>
      </c>
      <c r="E1326" t="s">
        <v>1204</v>
      </c>
      <c r="F1326">
        <v>5582</v>
      </c>
      <c r="G1326" t="s">
        <v>2675</v>
      </c>
      <c r="H1326" t="s">
        <v>2664</v>
      </c>
      <c r="I1326">
        <v>34704</v>
      </c>
      <c r="J1326">
        <v>35912</v>
      </c>
      <c r="K1326">
        <v>39631</v>
      </c>
      <c r="L1326">
        <v>40076</v>
      </c>
      <c r="M1326">
        <v>41005</v>
      </c>
      <c r="N1326" t="s">
        <v>988</v>
      </c>
    </row>
    <row r="1327" spans="1:14" hidden="1" x14ac:dyDescent="0.3">
      <c r="A1327">
        <v>851</v>
      </c>
      <c r="B1327" t="s">
        <v>1501</v>
      </c>
      <c r="C1327" t="s">
        <v>2670</v>
      </c>
      <c r="D1327" t="s">
        <v>1203</v>
      </c>
      <c r="E1327" t="s">
        <v>1204</v>
      </c>
      <c r="F1327">
        <v>5582</v>
      </c>
      <c r="G1327" t="s">
        <v>2675</v>
      </c>
      <c r="H1327" t="s">
        <v>2665</v>
      </c>
      <c r="I1327">
        <v>31589</v>
      </c>
      <c r="J1327">
        <v>32217</v>
      </c>
      <c r="K1327">
        <v>36016</v>
      </c>
      <c r="L1327">
        <v>36541</v>
      </c>
      <c r="M1327">
        <v>37550</v>
      </c>
      <c r="N1327" t="s">
        <v>988</v>
      </c>
    </row>
    <row r="1328" spans="1:14" hidden="1" x14ac:dyDescent="0.3">
      <c r="A1328">
        <v>851</v>
      </c>
      <c r="B1328" t="s">
        <v>1501</v>
      </c>
      <c r="C1328" t="s">
        <v>2670</v>
      </c>
      <c r="D1328" t="s">
        <v>1203</v>
      </c>
      <c r="E1328" t="s">
        <v>1204</v>
      </c>
      <c r="F1328">
        <v>5582</v>
      </c>
      <c r="G1328" t="s">
        <v>2674</v>
      </c>
      <c r="H1328" t="s">
        <v>2664</v>
      </c>
      <c r="I1328">
        <v>34704</v>
      </c>
      <c r="J1328">
        <v>35912</v>
      </c>
      <c r="K1328">
        <v>39631</v>
      </c>
      <c r="L1328">
        <v>40076</v>
      </c>
      <c r="M1328">
        <v>41005</v>
      </c>
      <c r="N1328" t="s">
        <v>988</v>
      </c>
    </row>
    <row r="1329" spans="1:14" hidden="1" x14ac:dyDescent="0.3">
      <c r="A1329">
        <v>851</v>
      </c>
      <c r="B1329" t="s">
        <v>1501</v>
      </c>
      <c r="C1329" t="s">
        <v>2670</v>
      </c>
      <c r="D1329" t="s">
        <v>1203</v>
      </c>
      <c r="E1329" t="s">
        <v>1204</v>
      </c>
      <c r="F1329">
        <v>5582</v>
      </c>
      <c r="G1329" t="s">
        <v>2674</v>
      </c>
      <c r="H1329" t="s">
        <v>2665</v>
      </c>
      <c r="I1329">
        <v>31589</v>
      </c>
      <c r="J1329">
        <v>32217</v>
      </c>
      <c r="K1329">
        <v>36016</v>
      </c>
      <c r="L1329">
        <v>36541</v>
      </c>
      <c r="M1329">
        <v>37550</v>
      </c>
      <c r="N1329" t="s">
        <v>988</v>
      </c>
    </row>
    <row r="1330" spans="1:14" hidden="1" x14ac:dyDescent="0.3">
      <c r="A1330">
        <v>851</v>
      </c>
      <c r="B1330" t="s">
        <v>1501</v>
      </c>
      <c r="C1330" t="s">
        <v>2670</v>
      </c>
      <c r="D1330" t="s">
        <v>1203</v>
      </c>
      <c r="E1330" t="s">
        <v>1204</v>
      </c>
      <c r="F1330">
        <v>5582</v>
      </c>
      <c r="G1330" t="s">
        <v>2673</v>
      </c>
      <c r="H1330" t="s">
        <v>2664</v>
      </c>
      <c r="I1330">
        <v>34704</v>
      </c>
      <c r="J1330">
        <v>35912</v>
      </c>
      <c r="K1330">
        <v>39631</v>
      </c>
      <c r="L1330">
        <v>40076</v>
      </c>
      <c r="M1330">
        <v>41005</v>
      </c>
      <c r="N1330" t="s">
        <v>988</v>
      </c>
    </row>
    <row r="1331" spans="1:14" hidden="1" x14ac:dyDescent="0.3">
      <c r="A1331">
        <v>851</v>
      </c>
      <c r="B1331" t="s">
        <v>1501</v>
      </c>
      <c r="C1331" t="s">
        <v>2670</v>
      </c>
      <c r="D1331" t="s">
        <v>1203</v>
      </c>
      <c r="E1331" t="s">
        <v>1204</v>
      </c>
      <c r="F1331">
        <v>5582</v>
      </c>
      <c r="G1331" t="s">
        <v>2673</v>
      </c>
      <c r="H1331" t="s">
        <v>2665</v>
      </c>
      <c r="I1331">
        <v>31589</v>
      </c>
      <c r="J1331">
        <v>32217</v>
      </c>
      <c r="K1331">
        <v>36016</v>
      </c>
      <c r="L1331">
        <v>36541</v>
      </c>
      <c r="M1331">
        <v>37550</v>
      </c>
      <c r="N1331" t="s">
        <v>988</v>
      </c>
    </row>
    <row r="1332" spans="1:14" hidden="1" x14ac:dyDescent="0.3">
      <c r="A1332">
        <v>851</v>
      </c>
      <c r="B1332" t="s">
        <v>1501</v>
      </c>
      <c r="C1332" t="s">
        <v>2670</v>
      </c>
      <c r="D1332" t="s">
        <v>1203</v>
      </c>
      <c r="E1332" t="s">
        <v>1204</v>
      </c>
      <c r="F1332">
        <v>5582</v>
      </c>
      <c r="G1332" t="s">
        <v>2671</v>
      </c>
      <c r="H1332" t="s">
        <v>2664</v>
      </c>
      <c r="I1332">
        <v>34704</v>
      </c>
      <c r="J1332">
        <v>35912</v>
      </c>
      <c r="K1332">
        <v>39631</v>
      </c>
      <c r="L1332">
        <v>40076</v>
      </c>
      <c r="M1332">
        <v>41005</v>
      </c>
      <c r="N1332" t="s">
        <v>988</v>
      </c>
    </row>
    <row r="1333" spans="1:14" hidden="1" x14ac:dyDescent="0.3">
      <c r="A1333">
        <v>851</v>
      </c>
      <c r="B1333" t="s">
        <v>1501</v>
      </c>
      <c r="C1333" t="s">
        <v>2670</v>
      </c>
      <c r="D1333" t="s">
        <v>1203</v>
      </c>
      <c r="E1333" t="s">
        <v>1204</v>
      </c>
      <c r="F1333">
        <v>5582</v>
      </c>
      <c r="G1333" t="s">
        <v>2671</v>
      </c>
      <c r="H1333" t="s">
        <v>2665</v>
      </c>
      <c r="I1333">
        <v>31589</v>
      </c>
      <c r="J1333">
        <v>32217</v>
      </c>
      <c r="K1333">
        <v>36016</v>
      </c>
      <c r="L1333">
        <v>36541</v>
      </c>
      <c r="M1333">
        <v>37550</v>
      </c>
      <c r="N1333" t="s">
        <v>988</v>
      </c>
    </row>
    <row r="1334" spans="1:14" hidden="1" x14ac:dyDescent="0.3">
      <c r="A1334">
        <v>856</v>
      </c>
      <c r="B1334" t="s">
        <v>1505</v>
      </c>
      <c r="C1334" t="s">
        <v>2670</v>
      </c>
      <c r="D1334" t="s">
        <v>1203</v>
      </c>
      <c r="E1334" t="s">
        <v>1204</v>
      </c>
      <c r="F1334">
        <v>5561</v>
      </c>
      <c r="G1334" t="s">
        <v>2672</v>
      </c>
      <c r="H1334" t="s">
        <v>2665</v>
      </c>
      <c r="N1334" t="s">
        <v>988</v>
      </c>
    </row>
    <row r="1335" spans="1:14" hidden="1" x14ac:dyDescent="0.3">
      <c r="A1335">
        <v>856</v>
      </c>
      <c r="B1335" t="s">
        <v>1505</v>
      </c>
      <c r="C1335" t="s">
        <v>2670</v>
      </c>
      <c r="D1335" t="s">
        <v>1203</v>
      </c>
      <c r="E1335" t="s">
        <v>1204</v>
      </c>
      <c r="F1335">
        <v>5561</v>
      </c>
      <c r="G1335" t="s">
        <v>2676</v>
      </c>
      <c r="H1335" t="s">
        <v>2665</v>
      </c>
      <c r="I1335">
        <v>4955.4498290375204</v>
      </c>
      <c r="J1335">
        <v>5050.6040436950998</v>
      </c>
      <c r="K1335">
        <v>5157.5641340025504</v>
      </c>
      <c r="L1335">
        <v>5286.2108203227599</v>
      </c>
      <c r="M1335">
        <v>5540.1806053385999</v>
      </c>
      <c r="N1335" t="s">
        <v>988</v>
      </c>
    </row>
    <row r="1336" spans="1:14" hidden="1" x14ac:dyDescent="0.3">
      <c r="A1336">
        <v>856</v>
      </c>
      <c r="B1336" t="s">
        <v>1505</v>
      </c>
      <c r="C1336" t="s">
        <v>2670</v>
      </c>
      <c r="D1336" t="s">
        <v>1203</v>
      </c>
      <c r="E1336" t="s">
        <v>1204</v>
      </c>
      <c r="F1336">
        <v>5561</v>
      </c>
      <c r="G1336" t="s">
        <v>2675</v>
      </c>
      <c r="H1336" t="s">
        <v>2664</v>
      </c>
      <c r="I1336">
        <v>2715.9657472499998</v>
      </c>
      <c r="J1336">
        <v>2761.999065</v>
      </c>
      <c r="K1336">
        <v>2808.0323827500001</v>
      </c>
      <c r="L1336">
        <v>2878.6168032999999</v>
      </c>
      <c r="M1336">
        <v>3019.7856443999999</v>
      </c>
      <c r="N1336" t="s">
        <v>988</v>
      </c>
    </row>
    <row r="1337" spans="1:14" hidden="1" x14ac:dyDescent="0.3">
      <c r="A1337">
        <v>856</v>
      </c>
      <c r="B1337" t="s">
        <v>1505</v>
      </c>
      <c r="C1337" t="s">
        <v>2670</v>
      </c>
      <c r="D1337" t="s">
        <v>1203</v>
      </c>
      <c r="E1337" t="s">
        <v>1204</v>
      </c>
      <c r="F1337">
        <v>5561</v>
      </c>
      <c r="G1337" t="s">
        <v>2675</v>
      </c>
      <c r="H1337" t="s">
        <v>2665</v>
      </c>
      <c r="I1337">
        <v>4955.4498290375204</v>
      </c>
      <c r="J1337">
        <v>5050.6040436950998</v>
      </c>
      <c r="K1337">
        <v>5157.5641340025504</v>
      </c>
      <c r="L1337">
        <v>5286.2108203227599</v>
      </c>
      <c r="M1337">
        <v>5540.1806053385999</v>
      </c>
      <c r="N1337" t="s">
        <v>988</v>
      </c>
    </row>
    <row r="1338" spans="1:14" hidden="1" x14ac:dyDescent="0.3">
      <c r="A1338">
        <v>856</v>
      </c>
      <c r="B1338" t="s">
        <v>1505</v>
      </c>
      <c r="C1338" t="s">
        <v>2670</v>
      </c>
      <c r="D1338" t="s">
        <v>1203</v>
      </c>
      <c r="E1338" t="s">
        <v>1204</v>
      </c>
      <c r="F1338">
        <v>5561</v>
      </c>
      <c r="G1338" t="s">
        <v>2674</v>
      </c>
      <c r="H1338" t="s">
        <v>2664</v>
      </c>
      <c r="I1338">
        <v>2715.9657472499998</v>
      </c>
      <c r="J1338">
        <v>2761.999065</v>
      </c>
      <c r="K1338">
        <v>2808.0323827500001</v>
      </c>
      <c r="L1338">
        <v>2878.6168032999999</v>
      </c>
      <c r="M1338">
        <v>3019.7856443999999</v>
      </c>
      <c r="N1338" t="s">
        <v>988</v>
      </c>
    </row>
    <row r="1339" spans="1:14" hidden="1" x14ac:dyDescent="0.3">
      <c r="A1339">
        <v>856</v>
      </c>
      <c r="B1339" t="s">
        <v>1505</v>
      </c>
      <c r="C1339" t="s">
        <v>2670</v>
      </c>
      <c r="D1339" t="s">
        <v>1203</v>
      </c>
      <c r="E1339" t="s">
        <v>1204</v>
      </c>
      <c r="F1339">
        <v>5561</v>
      </c>
      <c r="G1339" t="s">
        <v>2676</v>
      </c>
      <c r="H1339" t="s">
        <v>2664</v>
      </c>
      <c r="I1339">
        <v>3170.1611490499999</v>
      </c>
      <c r="J1339">
        <v>3219.2633546500001</v>
      </c>
      <c r="K1339">
        <v>3274.5033359499998</v>
      </c>
      <c r="L1339">
        <v>3354.2944200500001</v>
      </c>
      <c r="M1339">
        <v>3019.7856443999999</v>
      </c>
      <c r="N1339" t="s">
        <v>988</v>
      </c>
    </row>
    <row r="1340" spans="1:14" hidden="1" x14ac:dyDescent="0.3">
      <c r="A1340">
        <v>856</v>
      </c>
      <c r="B1340" t="s">
        <v>1505</v>
      </c>
      <c r="C1340" t="s">
        <v>2670</v>
      </c>
      <c r="D1340" t="s">
        <v>1203</v>
      </c>
      <c r="E1340" t="s">
        <v>1204</v>
      </c>
      <c r="F1340">
        <v>5561</v>
      </c>
      <c r="G1340" t="s">
        <v>2673</v>
      </c>
      <c r="H1340" t="s">
        <v>2664</v>
      </c>
      <c r="I1340">
        <v>2715.9657472499998</v>
      </c>
      <c r="J1340">
        <v>2761.999065</v>
      </c>
      <c r="K1340">
        <v>2808.0323827500001</v>
      </c>
      <c r="L1340">
        <v>2537.9702519500001</v>
      </c>
      <c r="M1340">
        <v>2565.5902425999998</v>
      </c>
      <c r="N1340" t="s">
        <v>988</v>
      </c>
    </row>
    <row r="1341" spans="1:14" hidden="1" x14ac:dyDescent="0.3">
      <c r="A1341">
        <v>856</v>
      </c>
      <c r="B1341" t="s">
        <v>1505</v>
      </c>
      <c r="C1341" t="s">
        <v>2670</v>
      </c>
      <c r="D1341" t="s">
        <v>1203</v>
      </c>
      <c r="E1341" t="s">
        <v>1204</v>
      </c>
      <c r="F1341">
        <v>5561</v>
      </c>
      <c r="G1341" t="s">
        <v>2673</v>
      </c>
      <c r="H1341" t="s">
        <v>2665</v>
      </c>
      <c r="I1341">
        <v>4955.4498290375204</v>
      </c>
      <c r="J1341">
        <v>5050.6040436950998</v>
      </c>
      <c r="K1341">
        <v>5157.5641340025504</v>
      </c>
      <c r="L1341">
        <v>5286.2108203227599</v>
      </c>
      <c r="M1341">
        <v>5540.1806053385999</v>
      </c>
      <c r="N1341" t="s">
        <v>988</v>
      </c>
    </row>
    <row r="1342" spans="1:14" hidden="1" x14ac:dyDescent="0.3">
      <c r="A1342">
        <v>856</v>
      </c>
      <c r="B1342" t="s">
        <v>1505</v>
      </c>
      <c r="C1342" t="s">
        <v>2670</v>
      </c>
      <c r="D1342" t="s">
        <v>1203</v>
      </c>
      <c r="E1342" t="s">
        <v>1204</v>
      </c>
      <c r="F1342">
        <v>5561</v>
      </c>
      <c r="G1342" t="s">
        <v>2671</v>
      </c>
      <c r="H1342" t="s">
        <v>2664</v>
      </c>
      <c r="I1342">
        <v>2715.9657472499998</v>
      </c>
      <c r="J1342">
        <v>2761.999065</v>
      </c>
      <c r="K1342">
        <v>2571.7280182999998</v>
      </c>
      <c r="L1342">
        <v>2537.9702519500001</v>
      </c>
      <c r="M1342">
        <v>2565.5902425999998</v>
      </c>
      <c r="N1342" t="s">
        <v>988</v>
      </c>
    </row>
    <row r="1343" spans="1:14" hidden="1" x14ac:dyDescent="0.3">
      <c r="A1343">
        <v>856</v>
      </c>
      <c r="B1343" t="s">
        <v>1505</v>
      </c>
      <c r="C1343" t="s">
        <v>2670</v>
      </c>
      <c r="D1343" t="s">
        <v>1203</v>
      </c>
      <c r="E1343" t="s">
        <v>1204</v>
      </c>
      <c r="F1343">
        <v>5561</v>
      </c>
      <c r="G1343" t="s">
        <v>2671</v>
      </c>
      <c r="H1343" t="s">
        <v>2665</v>
      </c>
      <c r="I1343">
        <v>4955.4498290375204</v>
      </c>
      <c r="J1343">
        <v>5050.6040436950998</v>
      </c>
      <c r="K1343">
        <v>5157.5641340025504</v>
      </c>
      <c r="L1343">
        <v>5286.2108203227599</v>
      </c>
      <c r="M1343">
        <v>5540.1806053385999</v>
      </c>
      <c r="N1343" t="s">
        <v>988</v>
      </c>
    </row>
    <row r="1344" spans="1:14" hidden="1" x14ac:dyDescent="0.3">
      <c r="A1344">
        <v>856</v>
      </c>
      <c r="B1344" t="s">
        <v>1505</v>
      </c>
      <c r="C1344" t="s">
        <v>2670</v>
      </c>
      <c r="D1344" t="s">
        <v>1203</v>
      </c>
      <c r="E1344" t="s">
        <v>1204</v>
      </c>
      <c r="F1344">
        <v>5561</v>
      </c>
      <c r="G1344" t="s">
        <v>2672</v>
      </c>
      <c r="H1344" t="s">
        <v>2664</v>
      </c>
      <c r="N1344" t="s">
        <v>988</v>
      </c>
    </row>
    <row r="1345" spans="1:14" hidden="1" x14ac:dyDescent="0.3">
      <c r="A1345">
        <v>856</v>
      </c>
      <c r="B1345" t="s">
        <v>1505</v>
      </c>
      <c r="C1345" t="s">
        <v>2670</v>
      </c>
      <c r="D1345" t="s">
        <v>1203</v>
      </c>
      <c r="E1345" t="s">
        <v>1204</v>
      </c>
      <c r="F1345">
        <v>5561</v>
      </c>
      <c r="G1345" t="s">
        <v>2674</v>
      </c>
      <c r="H1345" t="s">
        <v>2665</v>
      </c>
      <c r="I1345">
        <v>4955.4498290375204</v>
      </c>
      <c r="J1345">
        <v>5050.6040436950998</v>
      </c>
      <c r="K1345">
        <v>5157.5641340025504</v>
      </c>
      <c r="L1345">
        <v>5286.2108203227599</v>
      </c>
      <c r="M1345">
        <v>5540.1806053385999</v>
      </c>
      <c r="N1345" t="s">
        <v>988</v>
      </c>
    </row>
    <row r="1346" spans="1:14" hidden="1" x14ac:dyDescent="0.3">
      <c r="A1346">
        <v>859</v>
      </c>
      <c r="B1346" t="s">
        <v>1507</v>
      </c>
      <c r="C1346" t="s">
        <v>2670</v>
      </c>
      <c r="D1346" t="s">
        <v>1203</v>
      </c>
      <c r="E1346" t="s">
        <v>1204</v>
      </c>
      <c r="F1346">
        <v>5694</v>
      </c>
      <c r="G1346" t="s">
        <v>2672</v>
      </c>
      <c r="H1346" t="s">
        <v>2665</v>
      </c>
      <c r="N1346" t="s">
        <v>988</v>
      </c>
    </row>
    <row r="1347" spans="1:14" hidden="1" x14ac:dyDescent="0.3">
      <c r="A1347">
        <v>859</v>
      </c>
      <c r="B1347" t="s">
        <v>1507</v>
      </c>
      <c r="C1347" t="s">
        <v>2670</v>
      </c>
      <c r="D1347" t="s">
        <v>1203</v>
      </c>
      <c r="E1347" t="s">
        <v>1204</v>
      </c>
      <c r="F1347">
        <v>5694</v>
      </c>
      <c r="G1347" t="s">
        <v>2672</v>
      </c>
      <c r="H1347" t="s">
        <v>2664</v>
      </c>
      <c r="N1347" t="s">
        <v>988</v>
      </c>
    </row>
    <row r="1348" spans="1:14" hidden="1" x14ac:dyDescent="0.3">
      <c r="A1348">
        <v>859</v>
      </c>
      <c r="B1348" t="s">
        <v>1507</v>
      </c>
      <c r="C1348" t="s">
        <v>2670</v>
      </c>
      <c r="D1348" t="s">
        <v>1203</v>
      </c>
      <c r="E1348" t="s">
        <v>1204</v>
      </c>
      <c r="F1348">
        <v>5694</v>
      </c>
      <c r="G1348" t="s">
        <v>2671</v>
      </c>
      <c r="H1348" t="s">
        <v>2665</v>
      </c>
      <c r="I1348">
        <v>3124.1278312999998</v>
      </c>
      <c r="J1348">
        <v>3216.1944668000001</v>
      </c>
      <c r="K1348">
        <v>3314.398878</v>
      </c>
      <c r="L1348">
        <v>3409.5344013499998</v>
      </c>
      <c r="M1348">
        <v>3501.6010368500001</v>
      </c>
      <c r="N1348" t="s">
        <v>988</v>
      </c>
    </row>
    <row r="1349" spans="1:14" hidden="1" x14ac:dyDescent="0.3">
      <c r="A1349">
        <v>859</v>
      </c>
      <c r="B1349" t="s">
        <v>1507</v>
      </c>
      <c r="C1349" t="s">
        <v>2670</v>
      </c>
      <c r="D1349" t="s">
        <v>1203</v>
      </c>
      <c r="E1349" t="s">
        <v>1204</v>
      </c>
      <c r="F1349">
        <v>5694</v>
      </c>
      <c r="G1349" t="s">
        <v>2671</v>
      </c>
      <c r="H1349" t="s">
        <v>2664</v>
      </c>
      <c r="I1349">
        <v>7841.0084567499998</v>
      </c>
      <c r="J1349">
        <v>7841.0084567499998</v>
      </c>
      <c r="K1349">
        <v>7841.0084567499998</v>
      </c>
      <c r="L1349">
        <v>7841.0084567499998</v>
      </c>
      <c r="M1349">
        <v>7841.0084567499998</v>
      </c>
      <c r="N1349" t="s">
        <v>988</v>
      </c>
    </row>
    <row r="1350" spans="1:14" hidden="1" x14ac:dyDescent="0.3">
      <c r="A1350">
        <v>859</v>
      </c>
      <c r="B1350" t="s">
        <v>1507</v>
      </c>
      <c r="C1350" t="s">
        <v>2670</v>
      </c>
      <c r="D1350" t="s">
        <v>1203</v>
      </c>
      <c r="E1350" t="s">
        <v>1204</v>
      </c>
      <c r="F1350">
        <v>5694</v>
      </c>
      <c r="G1350" t="s">
        <v>2673</v>
      </c>
      <c r="H1350" t="s">
        <v>2665</v>
      </c>
      <c r="I1350">
        <v>3124.1278312999998</v>
      </c>
      <c r="J1350">
        <v>3216.1944668000001</v>
      </c>
      <c r="K1350">
        <v>3314.398878</v>
      </c>
      <c r="L1350">
        <v>3409.5344013499998</v>
      </c>
      <c r="M1350">
        <v>3501.6010368500001</v>
      </c>
      <c r="N1350" t="s">
        <v>988</v>
      </c>
    </row>
    <row r="1351" spans="1:14" hidden="1" x14ac:dyDescent="0.3">
      <c r="A1351">
        <v>859</v>
      </c>
      <c r="B1351" t="s">
        <v>1507</v>
      </c>
      <c r="C1351" t="s">
        <v>2670</v>
      </c>
      <c r="D1351" t="s">
        <v>1203</v>
      </c>
      <c r="E1351" t="s">
        <v>1204</v>
      </c>
      <c r="F1351">
        <v>5694</v>
      </c>
      <c r="G1351" t="s">
        <v>2673</v>
      </c>
      <c r="H1351" t="s">
        <v>2664</v>
      </c>
      <c r="I1351">
        <v>7841.0084567499998</v>
      </c>
      <c r="J1351">
        <v>7841.0084567499998</v>
      </c>
      <c r="K1351">
        <v>7841.0084567499998</v>
      </c>
      <c r="L1351">
        <v>7841.0084567499998</v>
      </c>
      <c r="M1351">
        <v>7841.0084567499998</v>
      </c>
      <c r="N1351" t="s">
        <v>988</v>
      </c>
    </row>
    <row r="1352" spans="1:14" hidden="1" x14ac:dyDescent="0.3">
      <c r="A1352">
        <v>859</v>
      </c>
      <c r="B1352" t="s">
        <v>1507</v>
      </c>
      <c r="C1352" t="s">
        <v>2670</v>
      </c>
      <c r="D1352" t="s">
        <v>1203</v>
      </c>
      <c r="E1352" t="s">
        <v>1204</v>
      </c>
      <c r="F1352">
        <v>5694</v>
      </c>
      <c r="G1352" t="s">
        <v>2674</v>
      </c>
      <c r="H1352" t="s">
        <v>2665</v>
      </c>
      <c r="I1352">
        <v>3124.1278312999998</v>
      </c>
      <c r="J1352">
        <v>3216.1944668000001</v>
      </c>
      <c r="K1352">
        <v>3314.398878</v>
      </c>
      <c r="L1352">
        <v>3409.5344013499998</v>
      </c>
      <c r="M1352">
        <v>3501.6010368500001</v>
      </c>
      <c r="N1352" t="s">
        <v>988</v>
      </c>
    </row>
    <row r="1353" spans="1:14" hidden="1" x14ac:dyDescent="0.3">
      <c r="A1353">
        <v>859</v>
      </c>
      <c r="B1353" t="s">
        <v>1507</v>
      </c>
      <c r="C1353" t="s">
        <v>2670</v>
      </c>
      <c r="D1353" t="s">
        <v>1203</v>
      </c>
      <c r="E1353" t="s">
        <v>1204</v>
      </c>
      <c r="F1353">
        <v>5694</v>
      </c>
      <c r="G1353" t="s">
        <v>2674</v>
      </c>
      <c r="H1353" t="s">
        <v>2664</v>
      </c>
      <c r="I1353">
        <v>7841.0084567499998</v>
      </c>
      <c r="J1353">
        <v>7841.0084567499998</v>
      </c>
      <c r="K1353">
        <v>7841.0084567499998</v>
      </c>
      <c r="L1353">
        <v>7841.0084567499998</v>
      </c>
      <c r="M1353">
        <v>7841.0084567499998</v>
      </c>
      <c r="N1353" t="s">
        <v>988</v>
      </c>
    </row>
    <row r="1354" spans="1:14" hidden="1" x14ac:dyDescent="0.3">
      <c r="A1354">
        <v>859</v>
      </c>
      <c r="B1354" t="s">
        <v>1507</v>
      </c>
      <c r="C1354" t="s">
        <v>2670</v>
      </c>
      <c r="D1354" t="s">
        <v>1203</v>
      </c>
      <c r="E1354" t="s">
        <v>1204</v>
      </c>
      <c r="F1354">
        <v>5694</v>
      </c>
      <c r="G1354" t="s">
        <v>2675</v>
      </c>
      <c r="H1354" t="s">
        <v>2665</v>
      </c>
      <c r="I1354">
        <v>3124.1278312999998</v>
      </c>
      <c r="J1354">
        <v>3216.1944668000001</v>
      </c>
      <c r="K1354">
        <v>3314.398878</v>
      </c>
      <c r="L1354">
        <v>3409.5344013499998</v>
      </c>
      <c r="M1354">
        <v>3501.6010368500001</v>
      </c>
      <c r="N1354" t="s">
        <v>988</v>
      </c>
    </row>
    <row r="1355" spans="1:14" hidden="1" x14ac:dyDescent="0.3">
      <c r="A1355">
        <v>859</v>
      </c>
      <c r="B1355" t="s">
        <v>1507</v>
      </c>
      <c r="C1355" t="s">
        <v>2670</v>
      </c>
      <c r="D1355" t="s">
        <v>1203</v>
      </c>
      <c r="E1355" t="s">
        <v>1204</v>
      </c>
      <c r="F1355">
        <v>5694</v>
      </c>
      <c r="G1355" t="s">
        <v>2675</v>
      </c>
      <c r="H1355" t="s">
        <v>2664</v>
      </c>
      <c r="I1355">
        <v>7841.0084567499998</v>
      </c>
      <c r="J1355">
        <v>7841.0084567499998</v>
      </c>
      <c r="K1355">
        <v>7841.0084567499998</v>
      </c>
      <c r="L1355">
        <v>7841.0084567499998</v>
      </c>
      <c r="M1355">
        <v>7841.0084567499998</v>
      </c>
      <c r="N1355" t="s">
        <v>988</v>
      </c>
    </row>
    <row r="1356" spans="1:14" hidden="1" x14ac:dyDescent="0.3">
      <c r="A1356">
        <v>859</v>
      </c>
      <c r="B1356" t="s">
        <v>1507</v>
      </c>
      <c r="C1356" t="s">
        <v>2670</v>
      </c>
      <c r="D1356" t="s">
        <v>1203</v>
      </c>
      <c r="E1356" t="s">
        <v>1204</v>
      </c>
      <c r="F1356">
        <v>5694</v>
      </c>
      <c r="G1356" t="s">
        <v>2676</v>
      </c>
      <c r="H1356" t="s">
        <v>2665</v>
      </c>
      <c r="I1356">
        <v>3124.1278312999998</v>
      </c>
      <c r="J1356">
        <v>3216.1944668000001</v>
      </c>
      <c r="K1356">
        <v>3314.398878</v>
      </c>
      <c r="L1356">
        <v>3409.5344013499998</v>
      </c>
      <c r="M1356">
        <v>3501.6010368500001</v>
      </c>
      <c r="N1356" t="s">
        <v>988</v>
      </c>
    </row>
    <row r="1357" spans="1:14" hidden="1" x14ac:dyDescent="0.3">
      <c r="A1357">
        <v>859</v>
      </c>
      <c r="B1357" t="s">
        <v>1507</v>
      </c>
      <c r="C1357" t="s">
        <v>2670</v>
      </c>
      <c r="D1357" t="s">
        <v>1203</v>
      </c>
      <c r="E1357" t="s">
        <v>1204</v>
      </c>
      <c r="F1357">
        <v>5694</v>
      </c>
      <c r="G1357" t="s">
        <v>2676</v>
      </c>
      <c r="H1357" t="s">
        <v>2664</v>
      </c>
      <c r="I1357">
        <v>7841.0084567499998</v>
      </c>
      <c r="J1357">
        <v>7841.0084567499998</v>
      </c>
      <c r="K1357">
        <v>7841.0084567499998</v>
      </c>
      <c r="L1357">
        <v>7841.0084567499998</v>
      </c>
      <c r="M1357">
        <v>7841.0084567499998</v>
      </c>
      <c r="N1357" t="s">
        <v>988</v>
      </c>
    </row>
    <row r="1358" spans="1:14" hidden="1" x14ac:dyDescent="0.3">
      <c r="A1358">
        <v>866</v>
      </c>
      <c r="B1358" t="s">
        <v>1510</v>
      </c>
      <c r="C1358" t="s">
        <v>2670</v>
      </c>
      <c r="D1358" t="s">
        <v>1203</v>
      </c>
      <c r="E1358" t="s">
        <v>1204</v>
      </c>
      <c r="F1358">
        <v>5963</v>
      </c>
      <c r="G1358" t="s">
        <v>2675</v>
      </c>
      <c r="H1358" t="s">
        <v>2664</v>
      </c>
      <c r="I1358">
        <v>23718</v>
      </c>
      <c r="J1358">
        <v>23718</v>
      </c>
      <c r="K1358">
        <v>23718</v>
      </c>
      <c r="L1358">
        <v>23718</v>
      </c>
      <c r="N1358" t="s">
        <v>988</v>
      </c>
    </row>
    <row r="1359" spans="1:14" hidden="1" x14ac:dyDescent="0.3">
      <c r="A1359">
        <v>866</v>
      </c>
      <c r="B1359" t="s">
        <v>1510</v>
      </c>
      <c r="C1359" t="s">
        <v>2670</v>
      </c>
      <c r="D1359" t="s">
        <v>1203</v>
      </c>
      <c r="E1359" t="s">
        <v>1204</v>
      </c>
      <c r="F1359">
        <v>5963</v>
      </c>
      <c r="G1359" t="s">
        <v>2675</v>
      </c>
      <c r="H1359" t="s">
        <v>2665</v>
      </c>
      <c r="I1359">
        <v>10531</v>
      </c>
      <c r="J1359">
        <v>10614</v>
      </c>
      <c r="K1359">
        <v>10701</v>
      </c>
      <c r="L1359">
        <v>10792</v>
      </c>
      <c r="N1359" t="s">
        <v>988</v>
      </c>
    </row>
    <row r="1360" spans="1:14" hidden="1" x14ac:dyDescent="0.3">
      <c r="A1360">
        <v>866</v>
      </c>
      <c r="B1360" t="s">
        <v>1510</v>
      </c>
      <c r="C1360" t="s">
        <v>2670</v>
      </c>
      <c r="D1360" t="s">
        <v>1203</v>
      </c>
      <c r="E1360" t="s">
        <v>1204</v>
      </c>
      <c r="F1360">
        <v>5963</v>
      </c>
      <c r="G1360" t="s">
        <v>2674</v>
      </c>
      <c r="H1360" t="s">
        <v>2664</v>
      </c>
      <c r="I1360">
        <v>23718</v>
      </c>
      <c r="J1360">
        <v>23718</v>
      </c>
      <c r="K1360">
        <v>23718</v>
      </c>
      <c r="L1360">
        <v>23718</v>
      </c>
      <c r="N1360" t="s">
        <v>988</v>
      </c>
    </row>
    <row r="1361" spans="1:14" hidden="1" x14ac:dyDescent="0.3">
      <c r="A1361">
        <v>866</v>
      </c>
      <c r="B1361" t="s">
        <v>1510</v>
      </c>
      <c r="C1361" t="s">
        <v>2670</v>
      </c>
      <c r="D1361" t="s">
        <v>1203</v>
      </c>
      <c r="E1361" t="s">
        <v>1204</v>
      </c>
      <c r="F1361">
        <v>5963</v>
      </c>
      <c r="G1361" t="s">
        <v>2674</v>
      </c>
      <c r="H1361" t="s">
        <v>2665</v>
      </c>
      <c r="I1361">
        <v>10531</v>
      </c>
      <c r="J1361">
        <v>10614</v>
      </c>
      <c r="K1361">
        <v>10701</v>
      </c>
      <c r="L1361">
        <v>10792</v>
      </c>
      <c r="N1361" t="s">
        <v>988</v>
      </c>
    </row>
    <row r="1362" spans="1:14" hidden="1" x14ac:dyDescent="0.3">
      <c r="A1362">
        <v>866</v>
      </c>
      <c r="B1362" t="s">
        <v>1510</v>
      </c>
      <c r="C1362" t="s">
        <v>2670</v>
      </c>
      <c r="D1362" t="s">
        <v>1203</v>
      </c>
      <c r="E1362" t="s">
        <v>1204</v>
      </c>
      <c r="F1362">
        <v>5963</v>
      </c>
      <c r="G1362" t="s">
        <v>2673</v>
      </c>
      <c r="H1362" t="s">
        <v>2664</v>
      </c>
      <c r="I1362">
        <v>23718</v>
      </c>
      <c r="J1362">
        <v>23718</v>
      </c>
      <c r="K1362">
        <v>23718</v>
      </c>
      <c r="L1362">
        <v>23718</v>
      </c>
      <c r="N1362" t="s">
        <v>988</v>
      </c>
    </row>
    <row r="1363" spans="1:14" hidden="1" x14ac:dyDescent="0.3">
      <c r="A1363">
        <v>866</v>
      </c>
      <c r="B1363" t="s">
        <v>1510</v>
      </c>
      <c r="C1363" t="s">
        <v>2670</v>
      </c>
      <c r="D1363" t="s">
        <v>1203</v>
      </c>
      <c r="E1363" t="s">
        <v>1204</v>
      </c>
      <c r="F1363">
        <v>5963</v>
      </c>
      <c r="G1363" t="s">
        <v>2676</v>
      </c>
      <c r="H1363" t="s">
        <v>2665</v>
      </c>
      <c r="I1363">
        <v>10531</v>
      </c>
      <c r="J1363">
        <v>10614</v>
      </c>
      <c r="K1363">
        <v>10701</v>
      </c>
      <c r="L1363">
        <v>10792</v>
      </c>
      <c r="N1363" t="s">
        <v>988</v>
      </c>
    </row>
    <row r="1364" spans="1:14" hidden="1" x14ac:dyDescent="0.3">
      <c r="A1364">
        <v>866</v>
      </c>
      <c r="B1364" t="s">
        <v>1510</v>
      </c>
      <c r="C1364" t="s">
        <v>2670</v>
      </c>
      <c r="D1364" t="s">
        <v>1203</v>
      </c>
      <c r="E1364" t="s">
        <v>1204</v>
      </c>
      <c r="F1364">
        <v>5963</v>
      </c>
      <c r="G1364" t="s">
        <v>2671</v>
      </c>
      <c r="H1364" t="s">
        <v>2664</v>
      </c>
      <c r="I1364">
        <v>23718</v>
      </c>
      <c r="J1364">
        <v>23718</v>
      </c>
      <c r="K1364">
        <v>23718</v>
      </c>
      <c r="L1364">
        <v>23718</v>
      </c>
      <c r="N1364" t="s">
        <v>988</v>
      </c>
    </row>
    <row r="1365" spans="1:14" hidden="1" x14ac:dyDescent="0.3">
      <c r="A1365">
        <v>866</v>
      </c>
      <c r="B1365" t="s">
        <v>1510</v>
      </c>
      <c r="C1365" t="s">
        <v>2670</v>
      </c>
      <c r="D1365" t="s">
        <v>1203</v>
      </c>
      <c r="E1365" t="s">
        <v>1204</v>
      </c>
      <c r="F1365">
        <v>5963</v>
      </c>
      <c r="G1365" t="s">
        <v>2671</v>
      </c>
      <c r="H1365" t="s">
        <v>2665</v>
      </c>
      <c r="I1365">
        <v>10531</v>
      </c>
      <c r="J1365">
        <v>10614</v>
      </c>
      <c r="K1365">
        <v>10701</v>
      </c>
      <c r="L1365">
        <v>10792</v>
      </c>
      <c r="N1365" t="s">
        <v>988</v>
      </c>
    </row>
    <row r="1366" spans="1:14" hidden="1" x14ac:dyDescent="0.3">
      <c r="A1366">
        <v>866</v>
      </c>
      <c r="B1366" t="s">
        <v>1510</v>
      </c>
      <c r="C1366" t="s">
        <v>2670</v>
      </c>
      <c r="D1366" t="s">
        <v>1203</v>
      </c>
      <c r="E1366" t="s">
        <v>1204</v>
      </c>
      <c r="F1366">
        <v>5963</v>
      </c>
      <c r="G1366" t="s">
        <v>2672</v>
      </c>
      <c r="H1366" t="s">
        <v>2664</v>
      </c>
      <c r="N1366" t="s">
        <v>988</v>
      </c>
    </row>
    <row r="1367" spans="1:14" hidden="1" x14ac:dyDescent="0.3">
      <c r="A1367">
        <v>866</v>
      </c>
      <c r="B1367" t="s">
        <v>1510</v>
      </c>
      <c r="C1367" t="s">
        <v>2670</v>
      </c>
      <c r="D1367" t="s">
        <v>1203</v>
      </c>
      <c r="E1367" t="s">
        <v>1204</v>
      </c>
      <c r="F1367">
        <v>5963</v>
      </c>
      <c r="G1367" t="s">
        <v>2672</v>
      </c>
      <c r="H1367" t="s">
        <v>2665</v>
      </c>
      <c r="N1367" t="s">
        <v>988</v>
      </c>
    </row>
    <row r="1368" spans="1:14" hidden="1" x14ac:dyDescent="0.3">
      <c r="A1368">
        <v>866</v>
      </c>
      <c r="B1368" t="s">
        <v>1510</v>
      </c>
      <c r="C1368" t="s">
        <v>2670</v>
      </c>
      <c r="D1368" t="s">
        <v>1203</v>
      </c>
      <c r="E1368" t="s">
        <v>1204</v>
      </c>
      <c r="F1368">
        <v>5963</v>
      </c>
      <c r="G1368" t="s">
        <v>2676</v>
      </c>
      <c r="H1368" t="s">
        <v>2664</v>
      </c>
      <c r="I1368">
        <v>23718</v>
      </c>
      <c r="J1368">
        <v>23718</v>
      </c>
      <c r="K1368">
        <v>23718</v>
      </c>
      <c r="L1368">
        <v>23718</v>
      </c>
      <c r="N1368" t="s">
        <v>988</v>
      </c>
    </row>
    <row r="1369" spans="1:14" hidden="1" x14ac:dyDescent="0.3">
      <c r="A1369">
        <v>866</v>
      </c>
      <c r="B1369" t="s">
        <v>1510</v>
      </c>
      <c r="C1369" t="s">
        <v>2670</v>
      </c>
      <c r="D1369" t="s">
        <v>1203</v>
      </c>
      <c r="E1369" t="s">
        <v>1204</v>
      </c>
      <c r="F1369">
        <v>5963</v>
      </c>
      <c r="G1369" t="s">
        <v>2673</v>
      </c>
      <c r="H1369" t="s">
        <v>2665</v>
      </c>
      <c r="I1369">
        <v>10531</v>
      </c>
      <c r="J1369">
        <v>10614</v>
      </c>
      <c r="K1369">
        <v>10701</v>
      </c>
      <c r="L1369">
        <v>10792</v>
      </c>
      <c r="N1369" t="s">
        <v>988</v>
      </c>
    </row>
    <row r="1370" spans="1:14" hidden="1" x14ac:dyDescent="0.3">
      <c r="A1370">
        <v>867</v>
      </c>
      <c r="B1370" t="s">
        <v>1513</v>
      </c>
      <c r="C1370" t="s">
        <v>2670</v>
      </c>
      <c r="D1370" t="s">
        <v>1203</v>
      </c>
      <c r="E1370" t="s">
        <v>1204</v>
      </c>
      <c r="F1370">
        <v>5770</v>
      </c>
      <c r="G1370" t="s">
        <v>2672</v>
      </c>
      <c r="H1370" t="s">
        <v>2664</v>
      </c>
      <c r="N1370" t="s">
        <v>988</v>
      </c>
    </row>
    <row r="1371" spans="1:14" hidden="1" x14ac:dyDescent="0.3">
      <c r="A1371">
        <v>867</v>
      </c>
      <c r="B1371" t="s">
        <v>1513</v>
      </c>
      <c r="C1371" t="s">
        <v>2670</v>
      </c>
      <c r="D1371" t="s">
        <v>1203</v>
      </c>
      <c r="E1371" t="s">
        <v>1204</v>
      </c>
      <c r="F1371">
        <v>5770</v>
      </c>
      <c r="G1371" t="s">
        <v>2672</v>
      </c>
      <c r="H1371" t="s">
        <v>2665</v>
      </c>
      <c r="N1371" t="s">
        <v>988</v>
      </c>
    </row>
    <row r="1372" spans="1:14" hidden="1" x14ac:dyDescent="0.3">
      <c r="A1372">
        <v>867</v>
      </c>
      <c r="B1372" t="s">
        <v>1513</v>
      </c>
      <c r="C1372" t="s">
        <v>2670</v>
      </c>
      <c r="D1372" t="s">
        <v>1203</v>
      </c>
      <c r="E1372" t="s">
        <v>1204</v>
      </c>
      <c r="F1372">
        <v>5770</v>
      </c>
      <c r="G1372" t="s">
        <v>2676</v>
      </c>
      <c r="H1372" t="s">
        <v>2664</v>
      </c>
      <c r="I1372">
        <v>40472.492965799996</v>
      </c>
      <c r="J1372">
        <v>40472.492965799996</v>
      </c>
      <c r="K1372">
        <v>40472.492965799996</v>
      </c>
      <c r="L1372">
        <v>40472.492965799996</v>
      </c>
      <c r="M1372">
        <v>40472.492965799996</v>
      </c>
      <c r="N1372" t="s">
        <v>988</v>
      </c>
    </row>
    <row r="1373" spans="1:14" hidden="1" x14ac:dyDescent="0.3">
      <c r="A1373">
        <v>867</v>
      </c>
      <c r="B1373" t="s">
        <v>1513</v>
      </c>
      <c r="C1373" t="s">
        <v>2670</v>
      </c>
      <c r="D1373" t="s">
        <v>1203</v>
      </c>
      <c r="E1373" t="s">
        <v>1204</v>
      </c>
      <c r="F1373">
        <v>5770</v>
      </c>
      <c r="G1373" t="s">
        <v>2676</v>
      </c>
      <c r="H1373" t="s">
        <v>2665</v>
      </c>
      <c r="I1373">
        <v>21807.5170621</v>
      </c>
      <c r="J1373">
        <v>23467.78538895</v>
      </c>
      <c r="K1373">
        <v>23863.671921599998</v>
      </c>
      <c r="L1373">
        <v>25017.573753199998</v>
      </c>
      <c r="M1373">
        <v>25591.455781150002</v>
      </c>
      <c r="N1373" t="s">
        <v>988</v>
      </c>
    </row>
    <row r="1374" spans="1:14" hidden="1" x14ac:dyDescent="0.3">
      <c r="A1374">
        <v>867</v>
      </c>
      <c r="B1374" t="s">
        <v>1513</v>
      </c>
      <c r="C1374" t="s">
        <v>2670</v>
      </c>
      <c r="D1374" t="s">
        <v>1203</v>
      </c>
      <c r="E1374" t="s">
        <v>1204</v>
      </c>
      <c r="F1374">
        <v>5770</v>
      </c>
      <c r="G1374" t="s">
        <v>2675</v>
      </c>
      <c r="H1374" t="s">
        <v>2664</v>
      </c>
      <c r="I1374">
        <v>38272.100377349998</v>
      </c>
      <c r="J1374">
        <v>38272.100377349998</v>
      </c>
      <c r="K1374">
        <v>38272.100377349998</v>
      </c>
      <c r="L1374">
        <v>38272.100377349998</v>
      </c>
      <c r="M1374">
        <v>38272.100377349998</v>
      </c>
      <c r="N1374" t="s">
        <v>988</v>
      </c>
    </row>
    <row r="1375" spans="1:14" hidden="1" x14ac:dyDescent="0.3">
      <c r="A1375">
        <v>867</v>
      </c>
      <c r="B1375" t="s">
        <v>1513</v>
      </c>
      <c r="C1375" t="s">
        <v>2670</v>
      </c>
      <c r="D1375" t="s">
        <v>1203</v>
      </c>
      <c r="E1375" t="s">
        <v>1204</v>
      </c>
      <c r="F1375">
        <v>5770</v>
      </c>
      <c r="G1375" t="s">
        <v>2675</v>
      </c>
      <c r="H1375" t="s">
        <v>2665</v>
      </c>
      <c r="I1375">
        <v>21807.5170621</v>
      </c>
      <c r="J1375">
        <v>23467.78538895</v>
      </c>
      <c r="K1375">
        <v>23863.671921599998</v>
      </c>
      <c r="L1375">
        <v>25017.573753199998</v>
      </c>
      <c r="M1375">
        <v>25591.455781150002</v>
      </c>
      <c r="N1375" t="s">
        <v>988</v>
      </c>
    </row>
    <row r="1376" spans="1:14" hidden="1" x14ac:dyDescent="0.3">
      <c r="A1376">
        <v>867</v>
      </c>
      <c r="B1376" t="s">
        <v>1513</v>
      </c>
      <c r="C1376" t="s">
        <v>2670</v>
      </c>
      <c r="D1376" t="s">
        <v>1203</v>
      </c>
      <c r="E1376" t="s">
        <v>1204</v>
      </c>
      <c r="F1376">
        <v>5770</v>
      </c>
      <c r="G1376" t="s">
        <v>2674</v>
      </c>
      <c r="H1376" t="s">
        <v>2664</v>
      </c>
      <c r="I1376">
        <v>34601.710508750002</v>
      </c>
      <c r="J1376">
        <v>34601.710508750002</v>
      </c>
      <c r="K1376">
        <v>34601.710508750002</v>
      </c>
      <c r="L1376">
        <v>34601.710508750002</v>
      </c>
      <c r="M1376">
        <v>34601.710508750002</v>
      </c>
      <c r="N1376" t="s">
        <v>988</v>
      </c>
    </row>
    <row r="1377" spans="1:14" hidden="1" x14ac:dyDescent="0.3">
      <c r="A1377">
        <v>867</v>
      </c>
      <c r="B1377" t="s">
        <v>1513</v>
      </c>
      <c r="C1377" t="s">
        <v>2670</v>
      </c>
      <c r="D1377" t="s">
        <v>1203</v>
      </c>
      <c r="E1377" t="s">
        <v>1204</v>
      </c>
      <c r="F1377">
        <v>5770</v>
      </c>
      <c r="G1377" t="s">
        <v>2674</v>
      </c>
      <c r="H1377" t="s">
        <v>2665</v>
      </c>
      <c r="I1377">
        <v>21807.5170621</v>
      </c>
      <c r="J1377">
        <v>23467.78538895</v>
      </c>
      <c r="K1377">
        <v>23863.671921599998</v>
      </c>
      <c r="L1377">
        <v>25017.573753199998</v>
      </c>
      <c r="M1377">
        <v>25591.455781150002</v>
      </c>
      <c r="N1377" t="s">
        <v>988</v>
      </c>
    </row>
    <row r="1378" spans="1:14" hidden="1" x14ac:dyDescent="0.3">
      <c r="A1378">
        <v>867</v>
      </c>
      <c r="B1378" t="s">
        <v>1513</v>
      </c>
      <c r="C1378" t="s">
        <v>2670</v>
      </c>
      <c r="D1378" t="s">
        <v>1203</v>
      </c>
      <c r="E1378" t="s">
        <v>1204</v>
      </c>
      <c r="F1378">
        <v>5770</v>
      </c>
      <c r="G1378" t="s">
        <v>2673</v>
      </c>
      <c r="H1378" t="s">
        <v>2664</v>
      </c>
      <c r="I1378">
        <v>36068.638901049999</v>
      </c>
      <c r="J1378">
        <v>36068.638901049999</v>
      </c>
      <c r="K1378">
        <v>36068.638901049999</v>
      </c>
      <c r="L1378">
        <v>36068.638901049999</v>
      </c>
      <c r="M1378">
        <v>36068.638901049999</v>
      </c>
      <c r="N1378" t="s">
        <v>988</v>
      </c>
    </row>
    <row r="1379" spans="1:14" hidden="1" x14ac:dyDescent="0.3">
      <c r="A1379">
        <v>867</v>
      </c>
      <c r="B1379" t="s">
        <v>1513</v>
      </c>
      <c r="C1379" t="s">
        <v>2670</v>
      </c>
      <c r="D1379" t="s">
        <v>1203</v>
      </c>
      <c r="E1379" t="s">
        <v>1204</v>
      </c>
      <c r="F1379">
        <v>5770</v>
      </c>
      <c r="G1379" t="s">
        <v>2673</v>
      </c>
      <c r="H1379" t="s">
        <v>2665</v>
      </c>
      <c r="I1379">
        <v>21807.5170621</v>
      </c>
      <c r="J1379">
        <v>23467.78538895</v>
      </c>
      <c r="K1379">
        <v>23863.671921599998</v>
      </c>
      <c r="L1379">
        <v>25017.573753199998</v>
      </c>
      <c r="M1379">
        <v>25591.455781150002</v>
      </c>
      <c r="N1379" t="s">
        <v>988</v>
      </c>
    </row>
    <row r="1380" spans="1:14" hidden="1" x14ac:dyDescent="0.3">
      <c r="A1380">
        <v>867</v>
      </c>
      <c r="B1380" t="s">
        <v>1513</v>
      </c>
      <c r="C1380" t="s">
        <v>2670</v>
      </c>
      <c r="D1380" t="s">
        <v>1203</v>
      </c>
      <c r="E1380" t="s">
        <v>1204</v>
      </c>
      <c r="F1380">
        <v>5770</v>
      </c>
      <c r="G1380" t="s">
        <v>2671</v>
      </c>
      <c r="H1380" t="s">
        <v>2665</v>
      </c>
      <c r="I1380">
        <v>21807.5170621</v>
      </c>
      <c r="J1380">
        <v>23467.78538895</v>
      </c>
      <c r="K1380">
        <v>23863.671921599998</v>
      </c>
      <c r="L1380">
        <v>25017.573753199998</v>
      </c>
      <c r="M1380">
        <v>25591.455781150002</v>
      </c>
      <c r="N1380" t="s">
        <v>988</v>
      </c>
    </row>
    <row r="1381" spans="1:14" hidden="1" x14ac:dyDescent="0.3">
      <c r="A1381">
        <v>867</v>
      </c>
      <c r="B1381" t="s">
        <v>1513</v>
      </c>
      <c r="C1381" t="s">
        <v>2670</v>
      </c>
      <c r="D1381" t="s">
        <v>1203</v>
      </c>
      <c r="E1381" t="s">
        <v>1204</v>
      </c>
      <c r="F1381">
        <v>5770</v>
      </c>
      <c r="G1381" t="s">
        <v>2671</v>
      </c>
      <c r="H1381" t="s">
        <v>2664</v>
      </c>
      <c r="I1381">
        <v>38272.100377349998</v>
      </c>
      <c r="J1381">
        <v>38272.100377349998</v>
      </c>
      <c r="K1381">
        <v>38272.100377349998</v>
      </c>
      <c r="L1381">
        <v>38272.100377349998</v>
      </c>
      <c r="M1381">
        <v>38272.100377349998</v>
      </c>
      <c r="N1381" t="s">
        <v>988</v>
      </c>
    </row>
    <row r="1382" spans="1:14" hidden="1" x14ac:dyDescent="0.3">
      <c r="A1382">
        <v>873</v>
      </c>
      <c r="B1382" t="s">
        <v>1516</v>
      </c>
      <c r="C1382" t="s">
        <v>2670</v>
      </c>
      <c r="D1382" t="s">
        <v>159</v>
      </c>
      <c r="E1382" t="s">
        <v>159</v>
      </c>
      <c r="F1382">
        <v>6762</v>
      </c>
      <c r="G1382" t="s">
        <v>2672</v>
      </c>
      <c r="H1382" t="s">
        <v>2665</v>
      </c>
      <c r="N1382" t="s">
        <v>988</v>
      </c>
    </row>
    <row r="1383" spans="1:14" hidden="1" x14ac:dyDescent="0.3">
      <c r="A1383">
        <v>873</v>
      </c>
      <c r="B1383" t="s">
        <v>1516</v>
      </c>
      <c r="C1383" t="s">
        <v>2670</v>
      </c>
      <c r="D1383" t="s">
        <v>159</v>
      </c>
      <c r="E1383" t="s">
        <v>159</v>
      </c>
      <c r="F1383">
        <v>6762</v>
      </c>
      <c r="G1383" t="s">
        <v>2672</v>
      </c>
      <c r="H1383" t="s">
        <v>2664</v>
      </c>
      <c r="N1383" t="s">
        <v>988</v>
      </c>
    </row>
    <row r="1384" spans="1:14" hidden="1" x14ac:dyDescent="0.3">
      <c r="A1384">
        <v>873</v>
      </c>
      <c r="B1384" t="s">
        <v>1516</v>
      </c>
      <c r="C1384" t="s">
        <v>2670</v>
      </c>
      <c r="D1384" t="s">
        <v>159</v>
      </c>
      <c r="E1384" t="s">
        <v>159</v>
      </c>
      <c r="F1384">
        <v>6762</v>
      </c>
      <c r="G1384" t="s">
        <v>2671</v>
      </c>
      <c r="H1384" t="s">
        <v>2665</v>
      </c>
      <c r="I1384">
        <v>10551</v>
      </c>
      <c r="J1384">
        <v>10552</v>
      </c>
      <c r="K1384">
        <v>11569</v>
      </c>
      <c r="L1384">
        <v>11793</v>
      </c>
      <c r="M1384">
        <v>11904</v>
      </c>
      <c r="N1384" t="s">
        <v>988</v>
      </c>
    </row>
    <row r="1385" spans="1:14" hidden="1" x14ac:dyDescent="0.3">
      <c r="A1385">
        <v>873</v>
      </c>
      <c r="B1385" t="s">
        <v>1516</v>
      </c>
      <c r="C1385" t="s">
        <v>2670</v>
      </c>
      <c r="D1385" t="s">
        <v>159</v>
      </c>
      <c r="E1385" t="s">
        <v>159</v>
      </c>
      <c r="F1385">
        <v>6762</v>
      </c>
      <c r="G1385" t="s">
        <v>2671</v>
      </c>
      <c r="H1385" t="s">
        <v>2664</v>
      </c>
      <c r="I1385">
        <v>10551</v>
      </c>
      <c r="J1385">
        <v>10552</v>
      </c>
      <c r="K1385">
        <v>11569</v>
      </c>
      <c r="L1385">
        <v>11793</v>
      </c>
      <c r="M1385">
        <v>11904</v>
      </c>
      <c r="N1385" t="s">
        <v>988</v>
      </c>
    </row>
    <row r="1386" spans="1:14" hidden="1" x14ac:dyDescent="0.3">
      <c r="A1386">
        <v>873</v>
      </c>
      <c r="B1386" t="s">
        <v>1516</v>
      </c>
      <c r="C1386" t="s">
        <v>2670</v>
      </c>
      <c r="D1386" t="s">
        <v>159</v>
      </c>
      <c r="E1386" t="s">
        <v>159</v>
      </c>
      <c r="F1386">
        <v>6762</v>
      </c>
      <c r="G1386" t="s">
        <v>2673</v>
      </c>
      <c r="H1386" t="s">
        <v>2665</v>
      </c>
      <c r="I1386">
        <v>10447</v>
      </c>
      <c r="J1386">
        <v>10448</v>
      </c>
      <c r="K1386">
        <v>11454</v>
      </c>
      <c r="L1386">
        <v>11676</v>
      </c>
      <c r="M1386">
        <v>11786</v>
      </c>
      <c r="N1386" t="s">
        <v>988</v>
      </c>
    </row>
    <row r="1387" spans="1:14" hidden="1" x14ac:dyDescent="0.3">
      <c r="A1387">
        <v>873</v>
      </c>
      <c r="B1387" t="s">
        <v>1516</v>
      </c>
      <c r="C1387" t="s">
        <v>2670</v>
      </c>
      <c r="D1387" t="s">
        <v>159</v>
      </c>
      <c r="E1387" t="s">
        <v>159</v>
      </c>
      <c r="F1387">
        <v>6762</v>
      </c>
      <c r="G1387" t="s">
        <v>2676</v>
      </c>
      <c r="H1387" t="s">
        <v>2664</v>
      </c>
      <c r="I1387">
        <v>10139</v>
      </c>
      <c r="J1387">
        <v>10140</v>
      </c>
      <c r="K1387">
        <v>11117</v>
      </c>
      <c r="L1387">
        <v>11332</v>
      </c>
      <c r="M1387">
        <v>11439</v>
      </c>
      <c r="N1387" t="s">
        <v>988</v>
      </c>
    </row>
    <row r="1388" spans="1:14" hidden="1" x14ac:dyDescent="0.3">
      <c r="A1388">
        <v>873</v>
      </c>
      <c r="B1388" t="s">
        <v>1516</v>
      </c>
      <c r="C1388" t="s">
        <v>2670</v>
      </c>
      <c r="D1388" t="s">
        <v>159</v>
      </c>
      <c r="E1388" t="s">
        <v>159</v>
      </c>
      <c r="F1388">
        <v>6762</v>
      </c>
      <c r="G1388" t="s">
        <v>2674</v>
      </c>
      <c r="H1388" t="s">
        <v>2665</v>
      </c>
      <c r="I1388">
        <v>10343</v>
      </c>
      <c r="J1388">
        <v>10344</v>
      </c>
      <c r="K1388">
        <v>11341</v>
      </c>
      <c r="L1388">
        <v>11560</v>
      </c>
      <c r="M1388">
        <v>11669</v>
      </c>
      <c r="N1388" t="s">
        <v>988</v>
      </c>
    </row>
    <row r="1389" spans="1:14" hidden="1" x14ac:dyDescent="0.3">
      <c r="A1389">
        <v>873</v>
      </c>
      <c r="B1389" t="s">
        <v>1516</v>
      </c>
      <c r="C1389" t="s">
        <v>2670</v>
      </c>
      <c r="D1389" t="s">
        <v>159</v>
      </c>
      <c r="E1389" t="s">
        <v>159</v>
      </c>
      <c r="F1389">
        <v>6762</v>
      </c>
      <c r="G1389" t="s">
        <v>2674</v>
      </c>
      <c r="H1389" t="s">
        <v>2664</v>
      </c>
      <c r="I1389">
        <v>10343</v>
      </c>
      <c r="J1389">
        <v>10344</v>
      </c>
      <c r="K1389">
        <v>11341</v>
      </c>
      <c r="L1389">
        <v>11560</v>
      </c>
      <c r="M1389">
        <v>11669</v>
      </c>
      <c r="N1389" t="s">
        <v>988</v>
      </c>
    </row>
    <row r="1390" spans="1:14" hidden="1" x14ac:dyDescent="0.3">
      <c r="A1390">
        <v>873</v>
      </c>
      <c r="B1390" t="s">
        <v>1516</v>
      </c>
      <c r="C1390" t="s">
        <v>2670</v>
      </c>
      <c r="D1390" t="s">
        <v>159</v>
      </c>
      <c r="E1390" t="s">
        <v>159</v>
      </c>
      <c r="F1390">
        <v>6762</v>
      </c>
      <c r="G1390" t="s">
        <v>2675</v>
      </c>
      <c r="H1390" t="s">
        <v>2665</v>
      </c>
      <c r="I1390">
        <v>10241</v>
      </c>
      <c r="J1390">
        <v>10242</v>
      </c>
      <c r="K1390">
        <v>11228</v>
      </c>
      <c r="L1390">
        <v>11446</v>
      </c>
      <c r="M1390">
        <v>11554</v>
      </c>
      <c r="N1390" t="s">
        <v>988</v>
      </c>
    </row>
    <row r="1391" spans="1:14" hidden="1" x14ac:dyDescent="0.3">
      <c r="A1391">
        <v>873</v>
      </c>
      <c r="B1391" t="s">
        <v>1516</v>
      </c>
      <c r="C1391" t="s">
        <v>2670</v>
      </c>
      <c r="D1391" t="s">
        <v>159</v>
      </c>
      <c r="E1391" t="s">
        <v>159</v>
      </c>
      <c r="F1391">
        <v>6762</v>
      </c>
      <c r="G1391" t="s">
        <v>2675</v>
      </c>
      <c r="H1391" t="s">
        <v>2664</v>
      </c>
      <c r="I1391">
        <v>10241</v>
      </c>
      <c r="J1391">
        <v>10242</v>
      </c>
      <c r="K1391">
        <v>11228</v>
      </c>
      <c r="L1391">
        <v>11446</v>
      </c>
      <c r="M1391">
        <v>11554</v>
      </c>
      <c r="N1391" t="s">
        <v>988</v>
      </c>
    </row>
    <row r="1392" spans="1:14" hidden="1" x14ac:dyDescent="0.3">
      <c r="A1392">
        <v>873</v>
      </c>
      <c r="B1392" t="s">
        <v>1516</v>
      </c>
      <c r="C1392" t="s">
        <v>2670</v>
      </c>
      <c r="D1392" t="s">
        <v>159</v>
      </c>
      <c r="E1392" t="s">
        <v>159</v>
      </c>
      <c r="F1392">
        <v>6762</v>
      </c>
      <c r="G1392" t="s">
        <v>2676</v>
      </c>
      <c r="H1392" t="s">
        <v>2665</v>
      </c>
      <c r="I1392">
        <v>10139</v>
      </c>
      <c r="J1392">
        <v>10140</v>
      </c>
      <c r="K1392">
        <v>11117</v>
      </c>
      <c r="L1392">
        <v>11332</v>
      </c>
      <c r="M1392">
        <v>11439</v>
      </c>
      <c r="N1392" t="s">
        <v>988</v>
      </c>
    </row>
    <row r="1393" spans="1:14" hidden="1" x14ac:dyDescent="0.3">
      <c r="A1393">
        <v>873</v>
      </c>
      <c r="B1393" t="s">
        <v>1516</v>
      </c>
      <c r="C1393" t="s">
        <v>2670</v>
      </c>
      <c r="D1393" t="s">
        <v>159</v>
      </c>
      <c r="E1393" t="s">
        <v>159</v>
      </c>
      <c r="F1393">
        <v>6762</v>
      </c>
      <c r="G1393" t="s">
        <v>2673</v>
      </c>
      <c r="H1393" t="s">
        <v>2664</v>
      </c>
      <c r="I1393">
        <v>10447</v>
      </c>
      <c r="J1393">
        <v>10448</v>
      </c>
      <c r="K1393">
        <v>11454</v>
      </c>
      <c r="L1393">
        <v>11676</v>
      </c>
      <c r="M1393">
        <v>11786</v>
      </c>
      <c r="N1393" t="s">
        <v>988</v>
      </c>
    </row>
    <row r="1394" spans="1:14" x14ac:dyDescent="0.3">
      <c r="A1394">
        <v>904</v>
      </c>
      <c r="B1394" t="s">
        <v>862</v>
      </c>
      <c r="C1394" t="s">
        <v>2670</v>
      </c>
      <c r="D1394" t="s">
        <v>1203</v>
      </c>
      <c r="E1394" t="s">
        <v>1204</v>
      </c>
      <c r="F1394">
        <v>5650</v>
      </c>
      <c r="G1394" t="s">
        <v>2676</v>
      </c>
      <c r="H1394" t="s">
        <v>2665</v>
      </c>
      <c r="I1394">
        <v>20517</v>
      </c>
      <c r="J1394">
        <v>22746</v>
      </c>
      <c r="K1394">
        <v>24214</v>
      </c>
      <c r="L1394">
        <v>25145</v>
      </c>
      <c r="M1394">
        <v>25519</v>
      </c>
      <c r="N1394" t="s">
        <v>988</v>
      </c>
    </row>
    <row r="1395" spans="1:14" x14ac:dyDescent="0.3">
      <c r="A1395">
        <v>904</v>
      </c>
      <c r="B1395" t="s">
        <v>862</v>
      </c>
      <c r="C1395" t="s">
        <v>2670</v>
      </c>
      <c r="D1395" t="s">
        <v>1203</v>
      </c>
      <c r="E1395" t="s">
        <v>1204</v>
      </c>
      <c r="F1395">
        <v>5650</v>
      </c>
      <c r="G1395" t="s">
        <v>2675</v>
      </c>
      <c r="H1395" t="s">
        <v>2664</v>
      </c>
      <c r="I1395">
        <v>36220</v>
      </c>
      <c r="J1395">
        <v>36220</v>
      </c>
      <c r="K1395">
        <v>36220</v>
      </c>
      <c r="L1395">
        <v>36220</v>
      </c>
      <c r="M1395">
        <v>36220</v>
      </c>
      <c r="N1395" t="s">
        <v>988</v>
      </c>
    </row>
    <row r="1396" spans="1:14" x14ac:dyDescent="0.3">
      <c r="A1396">
        <v>904</v>
      </c>
      <c r="B1396" t="s">
        <v>862</v>
      </c>
      <c r="C1396" t="s">
        <v>2670</v>
      </c>
      <c r="D1396" t="s">
        <v>1203</v>
      </c>
      <c r="E1396" t="s">
        <v>1204</v>
      </c>
      <c r="F1396">
        <v>5650</v>
      </c>
      <c r="G1396" t="s">
        <v>2675</v>
      </c>
      <c r="H1396" t="s">
        <v>2665</v>
      </c>
      <c r="I1396">
        <v>20517</v>
      </c>
      <c r="J1396">
        <v>22746</v>
      </c>
      <c r="K1396">
        <v>24214</v>
      </c>
      <c r="L1396">
        <v>25145</v>
      </c>
      <c r="M1396">
        <v>25519</v>
      </c>
      <c r="N1396" t="s">
        <v>988</v>
      </c>
    </row>
    <row r="1397" spans="1:14" x14ac:dyDescent="0.3">
      <c r="A1397">
        <v>904</v>
      </c>
      <c r="B1397" t="s">
        <v>862</v>
      </c>
      <c r="C1397" t="s">
        <v>2670</v>
      </c>
      <c r="D1397" t="s">
        <v>1203</v>
      </c>
      <c r="E1397" t="s">
        <v>1204</v>
      </c>
      <c r="F1397">
        <v>5650</v>
      </c>
      <c r="G1397" t="s">
        <v>2674</v>
      </c>
      <c r="H1397" t="s">
        <v>2664</v>
      </c>
      <c r="I1397">
        <v>34470</v>
      </c>
      <c r="J1397">
        <v>34470</v>
      </c>
      <c r="K1397">
        <v>34470</v>
      </c>
      <c r="L1397">
        <v>34470</v>
      </c>
      <c r="M1397">
        <v>34470</v>
      </c>
      <c r="N1397" t="s">
        <v>988</v>
      </c>
    </row>
    <row r="1398" spans="1:14" x14ac:dyDescent="0.3">
      <c r="A1398">
        <v>904</v>
      </c>
      <c r="B1398" t="s">
        <v>862</v>
      </c>
      <c r="C1398" t="s">
        <v>2670</v>
      </c>
      <c r="D1398" t="s">
        <v>1203</v>
      </c>
      <c r="E1398" t="s">
        <v>1204</v>
      </c>
      <c r="F1398">
        <v>5650</v>
      </c>
      <c r="G1398" t="s">
        <v>2674</v>
      </c>
      <c r="H1398" t="s">
        <v>2665</v>
      </c>
      <c r="I1398">
        <v>20517</v>
      </c>
      <c r="J1398">
        <v>22746</v>
      </c>
      <c r="K1398">
        <v>24214</v>
      </c>
      <c r="L1398">
        <v>25145</v>
      </c>
      <c r="M1398">
        <v>25519</v>
      </c>
      <c r="N1398" t="s">
        <v>988</v>
      </c>
    </row>
    <row r="1399" spans="1:14" x14ac:dyDescent="0.3">
      <c r="A1399">
        <v>904</v>
      </c>
      <c r="B1399" t="s">
        <v>862</v>
      </c>
      <c r="C1399" t="s">
        <v>2670</v>
      </c>
      <c r="D1399" t="s">
        <v>1203</v>
      </c>
      <c r="E1399" t="s">
        <v>1204</v>
      </c>
      <c r="F1399">
        <v>5650</v>
      </c>
      <c r="G1399" t="s">
        <v>2676</v>
      </c>
      <c r="H1399" t="s">
        <v>2664</v>
      </c>
      <c r="I1399">
        <v>36600</v>
      </c>
      <c r="J1399">
        <v>36600</v>
      </c>
      <c r="K1399">
        <v>36600</v>
      </c>
      <c r="L1399">
        <v>36600</v>
      </c>
      <c r="M1399">
        <v>36600</v>
      </c>
      <c r="N1399" t="s">
        <v>988</v>
      </c>
    </row>
    <row r="1400" spans="1:14" x14ac:dyDescent="0.3">
      <c r="A1400">
        <v>904</v>
      </c>
      <c r="B1400" t="s">
        <v>862</v>
      </c>
      <c r="C1400" t="s">
        <v>2670</v>
      </c>
      <c r="D1400" t="s">
        <v>1203</v>
      </c>
      <c r="E1400" t="s">
        <v>1204</v>
      </c>
      <c r="F1400">
        <v>5650</v>
      </c>
      <c r="G1400" t="s">
        <v>2673</v>
      </c>
      <c r="H1400" t="s">
        <v>2665</v>
      </c>
      <c r="I1400">
        <v>20517</v>
      </c>
      <c r="J1400">
        <v>22746</v>
      </c>
      <c r="K1400">
        <v>24214</v>
      </c>
      <c r="L1400">
        <v>25145</v>
      </c>
      <c r="M1400">
        <v>25519</v>
      </c>
      <c r="N1400" t="s">
        <v>988</v>
      </c>
    </row>
    <row r="1401" spans="1:14" x14ac:dyDescent="0.3">
      <c r="A1401">
        <v>904</v>
      </c>
      <c r="B1401" t="s">
        <v>862</v>
      </c>
      <c r="C1401" t="s">
        <v>2670</v>
      </c>
      <c r="D1401" t="s">
        <v>1203</v>
      </c>
      <c r="E1401" t="s">
        <v>1204</v>
      </c>
      <c r="F1401">
        <v>5650</v>
      </c>
      <c r="G1401" t="s">
        <v>2671</v>
      </c>
      <c r="H1401" t="s">
        <v>2664</v>
      </c>
      <c r="I1401">
        <v>32720</v>
      </c>
      <c r="J1401">
        <v>32720</v>
      </c>
      <c r="K1401">
        <v>32720</v>
      </c>
      <c r="L1401">
        <v>32720</v>
      </c>
      <c r="M1401">
        <v>32720</v>
      </c>
      <c r="N1401" t="s">
        <v>988</v>
      </c>
    </row>
    <row r="1402" spans="1:14" x14ac:dyDescent="0.3">
      <c r="A1402">
        <v>904</v>
      </c>
      <c r="B1402" t="s">
        <v>862</v>
      </c>
      <c r="C1402" t="s">
        <v>2670</v>
      </c>
      <c r="D1402" t="s">
        <v>1203</v>
      </c>
      <c r="E1402" t="s">
        <v>1204</v>
      </c>
      <c r="F1402">
        <v>5650</v>
      </c>
      <c r="G1402" t="s">
        <v>2671</v>
      </c>
      <c r="H1402" t="s">
        <v>2665</v>
      </c>
      <c r="I1402">
        <v>20517</v>
      </c>
      <c r="J1402">
        <v>22746</v>
      </c>
      <c r="K1402">
        <v>24214</v>
      </c>
      <c r="L1402">
        <v>25145</v>
      </c>
      <c r="M1402">
        <v>25519</v>
      </c>
      <c r="N1402" t="s">
        <v>988</v>
      </c>
    </row>
    <row r="1403" spans="1:14" x14ac:dyDescent="0.3">
      <c r="A1403">
        <v>904</v>
      </c>
      <c r="B1403" t="s">
        <v>862</v>
      </c>
      <c r="C1403" t="s">
        <v>2670</v>
      </c>
      <c r="D1403" t="s">
        <v>1203</v>
      </c>
      <c r="E1403" t="s">
        <v>1204</v>
      </c>
      <c r="F1403">
        <v>5650</v>
      </c>
      <c r="G1403" t="s">
        <v>2672</v>
      </c>
      <c r="H1403" t="s">
        <v>2664</v>
      </c>
      <c r="N1403" t="s">
        <v>988</v>
      </c>
    </row>
    <row r="1404" spans="1:14" x14ac:dyDescent="0.3">
      <c r="A1404">
        <v>904</v>
      </c>
      <c r="B1404" t="s">
        <v>862</v>
      </c>
      <c r="C1404" t="s">
        <v>2670</v>
      </c>
      <c r="D1404" t="s">
        <v>1203</v>
      </c>
      <c r="E1404" t="s">
        <v>1204</v>
      </c>
      <c r="F1404">
        <v>5650</v>
      </c>
      <c r="G1404" t="s">
        <v>2672</v>
      </c>
      <c r="H1404" t="s">
        <v>2665</v>
      </c>
      <c r="N1404" t="s">
        <v>988</v>
      </c>
    </row>
    <row r="1405" spans="1:14" x14ac:dyDescent="0.3">
      <c r="A1405">
        <v>904</v>
      </c>
      <c r="B1405" t="s">
        <v>862</v>
      </c>
      <c r="C1405" t="s">
        <v>2670</v>
      </c>
      <c r="D1405" t="s">
        <v>1203</v>
      </c>
      <c r="E1405" t="s">
        <v>1204</v>
      </c>
      <c r="F1405">
        <v>5650</v>
      </c>
      <c r="G1405" t="s">
        <v>2673</v>
      </c>
      <c r="H1405" t="s">
        <v>2664</v>
      </c>
      <c r="I1405">
        <v>34470</v>
      </c>
      <c r="J1405">
        <v>34470</v>
      </c>
      <c r="K1405">
        <v>34470</v>
      </c>
      <c r="L1405">
        <v>34470</v>
      </c>
      <c r="M1405">
        <v>34470</v>
      </c>
      <c r="N1405" t="s">
        <v>988</v>
      </c>
    </row>
    <row r="1406" spans="1:14" hidden="1" x14ac:dyDescent="0.3">
      <c r="A1406">
        <v>920</v>
      </c>
      <c r="B1406" t="s">
        <v>1519</v>
      </c>
      <c r="C1406" t="s">
        <v>2670</v>
      </c>
      <c r="D1406" t="s">
        <v>1203</v>
      </c>
      <c r="E1406" t="s">
        <v>1204</v>
      </c>
      <c r="F1406">
        <v>5702</v>
      </c>
      <c r="G1406" t="s">
        <v>2676</v>
      </c>
      <c r="H1406" t="s">
        <v>2664</v>
      </c>
      <c r="I1406">
        <v>1417.8261867000001</v>
      </c>
      <c r="J1406">
        <v>1537.51281285</v>
      </c>
      <c r="K1406">
        <v>1660.26832685</v>
      </c>
      <c r="L1406">
        <v>1795.29939225</v>
      </c>
      <c r="M1406">
        <v>1945.6748969</v>
      </c>
      <c r="N1406" t="s">
        <v>988</v>
      </c>
    </row>
    <row r="1407" spans="1:14" hidden="1" x14ac:dyDescent="0.3">
      <c r="A1407">
        <v>920</v>
      </c>
      <c r="B1407" t="s">
        <v>1519</v>
      </c>
      <c r="C1407" t="s">
        <v>2670</v>
      </c>
      <c r="D1407" t="s">
        <v>1203</v>
      </c>
      <c r="E1407" t="s">
        <v>1204</v>
      </c>
      <c r="F1407">
        <v>5702</v>
      </c>
      <c r="G1407" t="s">
        <v>2676</v>
      </c>
      <c r="H1407" t="s">
        <v>2665</v>
      </c>
      <c r="I1407">
        <v>1417.3044757655</v>
      </c>
      <c r="J1407">
        <v>1537.51281285</v>
      </c>
      <c r="K1407">
        <v>1660.26832685</v>
      </c>
      <c r="L1407">
        <v>1795.29939225</v>
      </c>
      <c r="M1407">
        <v>1945.6748969</v>
      </c>
      <c r="N1407" t="s">
        <v>988</v>
      </c>
    </row>
    <row r="1408" spans="1:14" hidden="1" x14ac:dyDescent="0.3">
      <c r="A1408">
        <v>920</v>
      </c>
      <c r="B1408" t="s">
        <v>1519</v>
      </c>
      <c r="C1408" t="s">
        <v>2670</v>
      </c>
      <c r="D1408" t="s">
        <v>1203</v>
      </c>
      <c r="E1408" t="s">
        <v>1204</v>
      </c>
      <c r="F1408">
        <v>5702</v>
      </c>
      <c r="G1408" t="s">
        <v>2675</v>
      </c>
      <c r="H1408" t="s">
        <v>2664</v>
      </c>
      <c r="I1408">
        <v>1417.8261867000001</v>
      </c>
      <c r="J1408">
        <v>1537.51281285</v>
      </c>
      <c r="K1408">
        <v>1660.26832685</v>
      </c>
      <c r="L1408">
        <v>1795.29939225</v>
      </c>
      <c r="M1408">
        <v>1945.6748969</v>
      </c>
      <c r="N1408" t="s">
        <v>988</v>
      </c>
    </row>
    <row r="1409" spans="1:14" hidden="1" x14ac:dyDescent="0.3">
      <c r="A1409">
        <v>920</v>
      </c>
      <c r="B1409" t="s">
        <v>1519</v>
      </c>
      <c r="C1409" t="s">
        <v>2670</v>
      </c>
      <c r="D1409" t="s">
        <v>1203</v>
      </c>
      <c r="E1409" t="s">
        <v>1204</v>
      </c>
      <c r="F1409">
        <v>5702</v>
      </c>
      <c r="G1409" t="s">
        <v>2675</v>
      </c>
      <c r="H1409" t="s">
        <v>2665</v>
      </c>
      <c r="I1409">
        <v>1417.3044757655</v>
      </c>
      <c r="J1409">
        <v>1537.51281285</v>
      </c>
      <c r="K1409">
        <v>1660.26832685</v>
      </c>
      <c r="L1409">
        <v>1795.29939225</v>
      </c>
      <c r="M1409">
        <v>1945.6748969</v>
      </c>
      <c r="N1409" t="s">
        <v>988</v>
      </c>
    </row>
    <row r="1410" spans="1:14" hidden="1" x14ac:dyDescent="0.3">
      <c r="A1410">
        <v>920</v>
      </c>
      <c r="B1410" t="s">
        <v>1519</v>
      </c>
      <c r="C1410" t="s">
        <v>2670</v>
      </c>
      <c r="D1410" t="s">
        <v>1203</v>
      </c>
      <c r="E1410" t="s">
        <v>1204</v>
      </c>
      <c r="F1410">
        <v>5702</v>
      </c>
      <c r="G1410" t="s">
        <v>2674</v>
      </c>
      <c r="H1410" t="s">
        <v>2664</v>
      </c>
      <c r="I1410">
        <v>1417.8261867000001</v>
      </c>
      <c r="J1410">
        <v>1537.51281285</v>
      </c>
      <c r="K1410">
        <v>1660.26832685</v>
      </c>
      <c r="L1410">
        <v>1795.29939225</v>
      </c>
      <c r="M1410">
        <v>1945.6748969</v>
      </c>
      <c r="N1410" t="s">
        <v>988</v>
      </c>
    </row>
    <row r="1411" spans="1:14" hidden="1" x14ac:dyDescent="0.3">
      <c r="A1411">
        <v>920</v>
      </c>
      <c r="B1411" t="s">
        <v>1519</v>
      </c>
      <c r="C1411" t="s">
        <v>2670</v>
      </c>
      <c r="D1411" t="s">
        <v>1203</v>
      </c>
      <c r="E1411" t="s">
        <v>1204</v>
      </c>
      <c r="F1411">
        <v>5702</v>
      </c>
      <c r="G1411" t="s">
        <v>2674</v>
      </c>
      <c r="H1411" t="s">
        <v>2665</v>
      </c>
      <c r="I1411">
        <v>1417.3044757655</v>
      </c>
      <c r="J1411">
        <v>1537.51281285</v>
      </c>
      <c r="K1411">
        <v>1660.26832685</v>
      </c>
      <c r="L1411">
        <v>1795.29939225</v>
      </c>
      <c r="M1411">
        <v>1945.6748969</v>
      </c>
      <c r="N1411" t="s">
        <v>988</v>
      </c>
    </row>
    <row r="1412" spans="1:14" hidden="1" x14ac:dyDescent="0.3">
      <c r="A1412">
        <v>920</v>
      </c>
      <c r="B1412" t="s">
        <v>1519</v>
      </c>
      <c r="C1412" t="s">
        <v>2670</v>
      </c>
      <c r="D1412" t="s">
        <v>1203</v>
      </c>
      <c r="E1412" t="s">
        <v>1204</v>
      </c>
      <c r="F1412">
        <v>5702</v>
      </c>
      <c r="G1412" t="s">
        <v>2673</v>
      </c>
      <c r="H1412" t="s">
        <v>2664</v>
      </c>
      <c r="I1412">
        <v>1417.8261867000001</v>
      </c>
      <c r="J1412">
        <v>1537.51281285</v>
      </c>
      <c r="K1412">
        <v>1660.26832685</v>
      </c>
      <c r="L1412">
        <v>1795.29939225</v>
      </c>
      <c r="M1412">
        <v>1945.6748969</v>
      </c>
      <c r="N1412" t="s">
        <v>988</v>
      </c>
    </row>
    <row r="1413" spans="1:14" hidden="1" x14ac:dyDescent="0.3">
      <c r="A1413">
        <v>920</v>
      </c>
      <c r="B1413" t="s">
        <v>1519</v>
      </c>
      <c r="C1413" t="s">
        <v>2670</v>
      </c>
      <c r="D1413" t="s">
        <v>1203</v>
      </c>
      <c r="E1413" t="s">
        <v>1204</v>
      </c>
      <c r="F1413">
        <v>5702</v>
      </c>
      <c r="G1413" t="s">
        <v>2673</v>
      </c>
      <c r="H1413" t="s">
        <v>2665</v>
      </c>
      <c r="I1413">
        <v>1417.3044757655</v>
      </c>
      <c r="J1413">
        <v>1537.51281285</v>
      </c>
      <c r="K1413">
        <v>1660.26832685</v>
      </c>
      <c r="L1413">
        <v>1795.29939225</v>
      </c>
      <c r="M1413">
        <v>1945.6748969</v>
      </c>
      <c r="N1413" t="s">
        <v>988</v>
      </c>
    </row>
    <row r="1414" spans="1:14" hidden="1" x14ac:dyDescent="0.3">
      <c r="A1414">
        <v>920</v>
      </c>
      <c r="B1414" t="s">
        <v>1519</v>
      </c>
      <c r="C1414" t="s">
        <v>2670</v>
      </c>
      <c r="D1414" t="s">
        <v>1203</v>
      </c>
      <c r="E1414" t="s">
        <v>1204</v>
      </c>
      <c r="F1414">
        <v>5702</v>
      </c>
      <c r="G1414" t="s">
        <v>2671</v>
      </c>
      <c r="H1414" t="s">
        <v>2664</v>
      </c>
      <c r="I1414">
        <v>1417.8261867000001</v>
      </c>
      <c r="J1414">
        <v>1537.51281285</v>
      </c>
      <c r="K1414">
        <v>1660.26832685</v>
      </c>
      <c r="L1414">
        <v>1795.29939225</v>
      </c>
      <c r="M1414">
        <v>1945.6748969</v>
      </c>
      <c r="N1414" t="s">
        <v>988</v>
      </c>
    </row>
    <row r="1415" spans="1:14" hidden="1" x14ac:dyDescent="0.3">
      <c r="A1415">
        <v>920</v>
      </c>
      <c r="B1415" t="s">
        <v>1519</v>
      </c>
      <c r="C1415" t="s">
        <v>2670</v>
      </c>
      <c r="D1415" t="s">
        <v>1203</v>
      </c>
      <c r="E1415" t="s">
        <v>1204</v>
      </c>
      <c r="F1415">
        <v>5702</v>
      </c>
      <c r="G1415" t="s">
        <v>2671</v>
      </c>
      <c r="H1415" t="s">
        <v>2665</v>
      </c>
      <c r="I1415">
        <v>1417.3044757655</v>
      </c>
      <c r="J1415">
        <v>1537.51281285</v>
      </c>
      <c r="K1415">
        <v>1660.26832685</v>
      </c>
      <c r="L1415">
        <v>1795.29939225</v>
      </c>
      <c r="M1415">
        <v>1945.6748969</v>
      </c>
      <c r="N1415" t="s">
        <v>988</v>
      </c>
    </row>
    <row r="1416" spans="1:14" hidden="1" x14ac:dyDescent="0.3">
      <c r="A1416">
        <v>920</v>
      </c>
      <c r="B1416" t="s">
        <v>1519</v>
      </c>
      <c r="C1416" t="s">
        <v>2670</v>
      </c>
      <c r="D1416" t="s">
        <v>1203</v>
      </c>
      <c r="E1416" t="s">
        <v>1204</v>
      </c>
      <c r="F1416">
        <v>5702</v>
      </c>
      <c r="G1416" t="s">
        <v>2672</v>
      </c>
      <c r="H1416" t="s">
        <v>2665</v>
      </c>
      <c r="N1416" t="s">
        <v>988</v>
      </c>
    </row>
    <row r="1417" spans="1:14" hidden="1" x14ac:dyDescent="0.3">
      <c r="A1417">
        <v>920</v>
      </c>
      <c r="B1417" t="s">
        <v>1519</v>
      </c>
      <c r="C1417" t="s">
        <v>2670</v>
      </c>
      <c r="D1417" t="s">
        <v>1203</v>
      </c>
      <c r="E1417" t="s">
        <v>1204</v>
      </c>
      <c r="F1417">
        <v>5702</v>
      </c>
      <c r="G1417" t="s">
        <v>2672</v>
      </c>
      <c r="H1417" t="s">
        <v>2664</v>
      </c>
      <c r="N1417" t="s">
        <v>988</v>
      </c>
    </row>
    <row r="1418" spans="1:14" hidden="1" x14ac:dyDescent="0.3">
      <c r="A1418">
        <v>924</v>
      </c>
      <c r="B1418" t="s">
        <v>1523</v>
      </c>
      <c r="C1418" t="s">
        <v>2670</v>
      </c>
      <c r="D1418" t="s">
        <v>159</v>
      </c>
      <c r="E1418" t="s">
        <v>159</v>
      </c>
      <c r="F1418">
        <v>7854</v>
      </c>
      <c r="G1418" t="s">
        <v>2672</v>
      </c>
      <c r="H1418" t="s">
        <v>2665</v>
      </c>
      <c r="N1418" t="s">
        <v>988</v>
      </c>
    </row>
    <row r="1419" spans="1:14" hidden="1" x14ac:dyDescent="0.3">
      <c r="A1419">
        <v>924</v>
      </c>
      <c r="B1419" t="s">
        <v>1523</v>
      </c>
      <c r="C1419" t="s">
        <v>2670</v>
      </c>
      <c r="D1419" t="s">
        <v>159</v>
      </c>
      <c r="E1419" t="s">
        <v>159</v>
      </c>
      <c r="F1419">
        <v>7854</v>
      </c>
      <c r="G1419" t="s">
        <v>2672</v>
      </c>
      <c r="H1419" t="s">
        <v>2664</v>
      </c>
      <c r="N1419" t="s">
        <v>988</v>
      </c>
    </row>
    <row r="1420" spans="1:14" hidden="1" x14ac:dyDescent="0.3">
      <c r="A1420">
        <v>924</v>
      </c>
      <c r="B1420" t="s">
        <v>1523</v>
      </c>
      <c r="C1420" t="s">
        <v>2670</v>
      </c>
      <c r="D1420" t="s">
        <v>159</v>
      </c>
      <c r="E1420" t="s">
        <v>159</v>
      </c>
      <c r="F1420">
        <v>7854</v>
      </c>
      <c r="G1420" t="s">
        <v>2671</v>
      </c>
      <c r="H1420" t="s">
        <v>2665</v>
      </c>
      <c r="I1420">
        <v>10588</v>
      </c>
      <c r="J1420">
        <v>10505</v>
      </c>
      <c r="K1420">
        <v>10625</v>
      </c>
      <c r="L1420">
        <v>10725</v>
      </c>
      <c r="M1420">
        <v>10725</v>
      </c>
      <c r="N1420" t="s">
        <v>988</v>
      </c>
    </row>
    <row r="1421" spans="1:14" hidden="1" x14ac:dyDescent="0.3">
      <c r="A1421">
        <v>924</v>
      </c>
      <c r="B1421" t="s">
        <v>1523</v>
      </c>
      <c r="C1421" t="s">
        <v>2670</v>
      </c>
      <c r="D1421" t="s">
        <v>159</v>
      </c>
      <c r="E1421" t="s">
        <v>159</v>
      </c>
      <c r="F1421">
        <v>7854</v>
      </c>
      <c r="G1421" t="s">
        <v>2671</v>
      </c>
      <c r="H1421" t="s">
        <v>2664</v>
      </c>
      <c r="I1421">
        <v>10588</v>
      </c>
      <c r="J1421">
        <v>10505</v>
      </c>
      <c r="K1421">
        <v>10625</v>
      </c>
      <c r="L1421">
        <v>10725</v>
      </c>
      <c r="M1421">
        <v>10725</v>
      </c>
      <c r="N1421" t="s">
        <v>988</v>
      </c>
    </row>
    <row r="1422" spans="1:14" hidden="1" x14ac:dyDescent="0.3">
      <c r="A1422">
        <v>924</v>
      </c>
      <c r="B1422" t="s">
        <v>1523</v>
      </c>
      <c r="C1422" t="s">
        <v>2670</v>
      </c>
      <c r="D1422" t="s">
        <v>159</v>
      </c>
      <c r="E1422" t="s">
        <v>159</v>
      </c>
      <c r="F1422">
        <v>7854</v>
      </c>
      <c r="G1422" t="s">
        <v>2673</v>
      </c>
      <c r="H1422" t="s">
        <v>2665</v>
      </c>
      <c r="I1422">
        <v>10563</v>
      </c>
      <c r="J1422">
        <v>10522</v>
      </c>
      <c r="K1422">
        <v>10601</v>
      </c>
      <c r="L1422">
        <v>10705</v>
      </c>
      <c r="M1422">
        <v>10725</v>
      </c>
      <c r="N1422" t="s">
        <v>988</v>
      </c>
    </row>
    <row r="1423" spans="1:14" hidden="1" x14ac:dyDescent="0.3">
      <c r="A1423">
        <v>924</v>
      </c>
      <c r="B1423" t="s">
        <v>1523</v>
      </c>
      <c r="C1423" t="s">
        <v>2670</v>
      </c>
      <c r="D1423" t="s">
        <v>159</v>
      </c>
      <c r="E1423" t="s">
        <v>159</v>
      </c>
      <c r="F1423">
        <v>7854</v>
      </c>
      <c r="G1423" t="s">
        <v>2676</v>
      </c>
      <c r="H1423" t="s">
        <v>2664</v>
      </c>
      <c r="I1423">
        <v>10487</v>
      </c>
      <c r="J1423">
        <v>10572</v>
      </c>
      <c r="K1423">
        <v>10529</v>
      </c>
      <c r="L1423">
        <v>10645</v>
      </c>
      <c r="M1423">
        <v>10725</v>
      </c>
      <c r="N1423" t="s">
        <v>988</v>
      </c>
    </row>
    <row r="1424" spans="1:14" hidden="1" x14ac:dyDescent="0.3">
      <c r="A1424">
        <v>924</v>
      </c>
      <c r="B1424" t="s">
        <v>1523</v>
      </c>
      <c r="C1424" t="s">
        <v>2670</v>
      </c>
      <c r="D1424" t="s">
        <v>159</v>
      </c>
      <c r="E1424" t="s">
        <v>159</v>
      </c>
      <c r="F1424">
        <v>7854</v>
      </c>
      <c r="G1424" t="s">
        <v>2674</v>
      </c>
      <c r="H1424" t="s">
        <v>2665</v>
      </c>
      <c r="I1424">
        <v>10538</v>
      </c>
      <c r="J1424">
        <v>10539</v>
      </c>
      <c r="K1424">
        <v>10577</v>
      </c>
      <c r="L1424">
        <v>10685</v>
      </c>
      <c r="M1424">
        <v>10725</v>
      </c>
      <c r="N1424" t="s">
        <v>988</v>
      </c>
    </row>
    <row r="1425" spans="1:14" hidden="1" x14ac:dyDescent="0.3">
      <c r="A1425">
        <v>924</v>
      </c>
      <c r="B1425" t="s">
        <v>1523</v>
      </c>
      <c r="C1425" t="s">
        <v>2670</v>
      </c>
      <c r="D1425" t="s">
        <v>159</v>
      </c>
      <c r="E1425" t="s">
        <v>159</v>
      </c>
      <c r="F1425">
        <v>7854</v>
      </c>
      <c r="G1425" t="s">
        <v>2674</v>
      </c>
      <c r="H1425" t="s">
        <v>2664</v>
      </c>
      <c r="I1425">
        <v>10538</v>
      </c>
      <c r="J1425">
        <v>10539</v>
      </c>
      <c r="K1425">
        <v>10577</v>
      </c>
      <c r="L1425">
        <v>10685</v>
      </c>
      <c r="M1425">
        <v>10725</v>
      </c>
      <c r="N1425" t="s">
        <v>988</v>
      </c>
    </row>
    <row r="1426" spans="1:14" hidden="1" x14ac:dyDescent="0.3">
      <c r="A1426">
        <v>924</v>
      </c>
      <c r="B1426" t="s">
        <v>1523</v>
      </c>
      <c r="C1426" t="s">
        <v>2670</v>
      </c>
      <c r="D1426" t="s">
        <v>159</v>
      </c>
      <c r="E1426" t="s">
        <v>159</v>
      </c>
      <c r="F1426">
        <v>7854</v>
      </c>
      <c r="G1426" t="s">
        <v>2675</v>
      </c>
      <c r="H1426" t="s">
        <v>2665</v>
      </c>
      <c r="I1426">
        <v>10513</v>
      </c>
      <c r="J1426">
        <v>10555</v>
      </c>
      <c r="K1426">
        <v>10553</v>
      </c>
      <c r="L1426">
        <v>10665</v>
      </c>
      <c r="M1426">
        <v>10725</v>
      </c>
      <c r="N1426" t="s">
        <v>988</v>
      </c>
    </row>
    <row r="1427" spans="1:14" hidden="1" x14ac:dyDescent="0.3">
      <c r="A1427">
        <v>924</v>
      </c>
      <c r="B1427" t="s">
        <v>1523</v>
      </c>
      <c r="C1427" t="s">
        <v>2670</v>
      </c>
      <c r="D1427" t="s">
        <v>159</v>
      </c>
      <c r="E1427" t="s">
        <v>159</v>
      </c>
      <c r="F1427">
        <v>7854</v>
      </c>
      <c r="G1427" t="s">
        <v>2675</v>
      </c>
      <c r="H1427" t="s">
        <v>2664</v>
      </c>
      <c r="I1427">
        <v>10513</v>
      </c>
      <c r="J1427">
        <v>10555</v>
      </c>
      <c r="K1427">
        <v>10553</v>
      </c>
      <c r="L1427">
        <v>10665</v>
      </c>
      <c r="M1427">
        <v>10725</v>
      </c>
      <c r="N1427" t="s">
        <v>988</v>
      </c>
    </row>
    <row r="1428" spans="1:14" hidden="1" x14ac:dyDescent="0.3">
      <c r="A1428">
        <v>924</v>
      </c>
      <c r="B1428" t="s">
        <v>1523</v>
      </c>
      <c r="C1428" t="s">
        <v>2670</v>
      </c>
      <c r="D1428" t="s">
        <v>159</v>
      </c>
      <c r="E1428" t="s">
        <v>159</v>
      </c>
      <c r="F1428">
        <v>7854</v>
      </c>
      <c r="G1428" t="s">
        <v>2676</v>
      </c>
      <c r="H1428" t="s">
        <v>2665</v>
      </c>
      <c r="I1428">
        <v>10487</v>
      </c>
      <c r="J1428">
        <v>10572</v>
      </c>
      <c r="K1428">
        <v>10529</v>
      </c>
      <c r="L1428">
        <v>10645</v>
      </c>
      <c r="M1428">
        <v>10725</v>
      </c>
      <c r="N1428" t="s">
        <v>988</v>
      </c>
    </row>
    <row r="1429" spans="1:14" hidden="1" x14ac:dyDescent="0.3">
      <c r="A1429">
        <v>924</v>
      </c>
      <c r="B1429" t="s">
        <v>1523</v>
      </c>
      <c r="C1429" t="s">
        <v>2670</v>
      </c>
      <c r="D1429" t="s">
        <v>159</v>
      </c>
      <c r="E1429" t="s">
        <v>159</v>
      </c>
      <c r="F1429">
        <v>7854</v>
      </c>
      <c r="G1429" t="s">
        <v>2673</v>
      </c>
      <c r="H1429" t="s">
        <v>2664</v>
      </c>
      <c r="I1429">
        <v>10563</v>
      </c>
      <c r="J1429">
        <v>10522</v>
      </c>
      <c r="K1429">
        <v>10601</v>
      </c>
      <c r="L1429">
        <v>10705</v>
      </c>
      <c r="M1429">
        <v>10725</v>
      </c>
      <c r="N1429" t="s">
        <v>988</v>
      </c>
    </row>
    <row r="1430" spans="1:14" hidden="1" x14ac:dyDescent="0.3">
      <c r="A1430">
        <v>934</v>
      </c>
      <c r="B1430" t="s">
        <v>899</v>
      </c>
      <c r="C1430" t="s">
        <v>2670</v>
      </c>
      <c r="D1430" t="s">
        <v>159</v>
      </c>
      <c r="E1430" t="s">
        <v>159</v>
      </c>
      <c r="F1430">
        <v>7328</v>
      </c>
      <c r="G1430" t="s">
        <v>2672</v>
      </c>
      <c r="H1430" t="s">
        <v>2665</v>
      </c>
      <c r="N1430" t="s">
        <v>988</v>
      </c>
    </row>
    <row r="1431" spans="1:14" hidden="1" x14ac:dyDescent="0.3">
      <c r="A1431">
        <v>934</v>
      </c>
      <c r="B1431" t="s">
        <v>899</v>
      </c>
      <c r="C1431" t="s">
        <v>2670</v>
      </c>
      <c r="D1431" t="s">
        <v>159</v>
      </c>
      <c r="E1431" t="s">
        <v>159</v>
      </c>
      <c r="F1431">
        <v>7328</v>
      </c>
      <c r="G1431" t="s">
        <v>2672</v>
      </c>
      <c r="H1431" t="s">
        <v>2664</v>
      </c>
      <c r="N1431" t="s">
        <v>988</v>
      </c>
    </row>
    <row r="1432" spans="1:14" hidden="1" x14ac:dyDescent="0.3">
      <c r="A1432">
        <v>934</v>
      </c>
      <c r="B1432" t="s">
        <v>899</v>
      </c>
      <c r="C1432" t="s">
        <v>2670</v>
      </c>
      <c r="D1432" t="s">
        <v>159</v>
      </c>
      <c r="E1432" t="s">
        <v>159</v>
      </c>
      <c r="F1432">
        <v>7328</v>
      </c>
      <c r="G1432" t="s">
        <v>2671</v>
      </c>
      <c r="H1432" t="s">
        <v>2665</v>
      </c>
      <c r="I1432">
        <v>199204</v>
      </c>
      <c r="J1432">
        <v>212756</v>
      </c>
      <c r="K1432">
        <v>222310</v>
      </c>
      <c r="L1432">
        <v>231876</v>
      </c>
      <c r="M1432">
        <v>241447</v>
      </c>
      <c r="N1432" t="s">
        <v>988</v>
      </c>
    </row>
    <row r="1433" spans="1:14" hidden="1" x14ac:dyDescent="0.3">
      <c r="A1433">
        <v>934</v>
      </c>
      <c r="B1433" t="s">
        <v>899</v>
      </c>
      <c r="C1433" t="s">
        <v>2670</v>
      </c>
      <c r="D1433" t="s">
        <v>159</v>
      </c>
      <c r="E1433" t="s">
        <v>159</v>
      </c>
      <c r="F1433">
        <v>7328</v>
      </c>
      <c r="G1433" t="s">
        <v>2671</v>
      </c>
      <c r="H1433" t="s">
        <v>2664</v>
      </c>
      <c r="I1433">
        <v>314840</v>
      </c>
      <c r="J1433">
        <v>320380</v>
      </c>
      <c r="K1433">
        <v>325850</v>
      </c>
      <c r="L1433">
        <v>331240</v>
      </c>
      <c r="M1433">
        <v>336570</v>
      </c>
      <c r="N1433" t="s">
        <v>988</v>
      </c>
    </row>
    <row r="1434" spans="1:14" hidden="1" x14ac:dyDescent="0.3">
      <c r="A1434">
        <v>934</v>
      </c>
      <c r="B1434" t="s">
        <v>899</v>
      </c>
      <c r="C1434" t="s">
        <v>2670</v>
      </c>
      <c r="D1434" t="s">
        <v>159</v>
      </c>
      <c r="E1434" t="s">
        <v>159</v>
      </c>
      <c r="F1434">
        <v>7328</v>
      </c>
      <c r="G1434" t="s">
        <v>2673</v>
      </c>
      <c r="H1434" t="s">
        <v>2665</v>
      </c>
      <c r="I1434">
        <v>162551</v>
      </c>
      <c r="J1434">
        <v>165920</v>
      </c>
      <c r="K1434">
        <v>170020</v>
      </c>
      <c r="L1434">
        <v>174036</v>
      </c>
      <c r="M1434">
        <v>177992</v>
      </c>
      <c r="N1434" t="s">
        <v>988</v>
      </c>
    </row>
    <row r="1435" spans="1:14" hidden="1" x14ac:dyDescent="0.3">
      <c r="A1435">
        <v>934</v>
      </c>
      <c r="B1435" t="s">
        <v>899</v>
      </c>
      <c r="C1435" t="s">
        <v>2670</v>
      </c>
      <c r="D1435" t="s">
        <v>159</v>
      </c>
      <c r="E1435" t="s">
        <v>159</v>
      </c>
      <c r="F1435">
        <v>7328</v>
      </c>
      <c r="G1435" t="s">
        <v>2676</v>
      </c>
      <c r="H1435" t="s">
        <v>2664</v>
      </c>
      <c r="I1435">
        <v>273725</v>
      </c>
      <c r="J1435">
        <v>279265</v>
      </c>
      <c r="K1435">
        <v>284735</v>
      </c>
      <c r="L1435">
        <v>290125</v>
      </c>
      <c r="M1435">
        <v>295455</v>
      </c>
      <c r="N1435" t="s">
        <v>988</v>
      </c>
    </row>
    <row r="1436" spans="1:14" hidden="1" x14ac:dyDescent="0.3">
      <c r="A1436">
        <v>934</v>
      </c>
      <c r="B1436" t="s">
        <v>899</v>
      </c>
      <c r="C1436" t="s">
        <v>2670</v>
      </c>
      <c r="D1436" t="s">
        <v>159</v>
      </c>
      <c r="E1436" t="s">
        <v>159</v>
      </c>
      <c r="F1436">
        <v>7328</v>
      </c>
      <c r="G1436" t="s">
        <v>2674</v>
      </c>
      <c r="H1436" t="s">
        <v>2665</v>
      </c>
      <c r="I1436">
        <v>190267</v>
      </c>
      <c r="J1436">
        <v>193637</v>
      </c>
      <c r="K1436">
        <v>197736</v>
      </c>
      <c r="L1436">
        <v>201753</v>
      </c>
      <c r="M1436">
        <v>205708</v>
      </c>
      <c r="N1436" t="s">
        <v>988</v>
      </c>
    </row>
    <row r="1437" spans="1:14" hidden="1" x14ac:dyDescent="0.3">
      <c r="A1437">
        <v>934</v>
      </c>
      <c r="B1437" t="s">
        <v>899</v>
      </c>
      <c r="C1437" t="s">
        <v>2670</v>
      </c>
      <c r="D1437" t="s">
        <v>159</v>
      </c>
      <c r="E1437" t="s">
        <v>159</v>
      </c>
      <c r="F1437">
        <v>7328</v>
      </c>
      <c r="G1437" t="s">
        <v>2674</v>
      </c>
      <c r="H1437" t="s">
        <v>2664</v>
      </c>
      <c r="I1437">
        <v>217568</v>
      </c>
      <c r="J1437">
        <v>223108</v>
      </c>
      <c r="K1437">
        <v>228578</v>
      </c>
      <c r="L1437">
        <v>233968</v>
      </c>
      <c r="M1437">
        <v>239298</v>
      </c>
      <c r="N1437" t="s">
        <v>988</v>
      </c>
    </row>
    <row r="1438" spans="1:14" hidden="1" x14ac:dyDescent="0.3">
      <c r="A1438">
        <v>934</v>
      </c>
      <c r="B1438" t="s">
        <v>899</v>
      </c>
      <c r="C1438" t="s">
        <v>2670</v>
      </c>
      <c r="D1438" t="s">
        <v>159</v>
      </c>
      <c r="E1438" t="s">
        <v>159</v>
      </c>
      <c r="F1438">
        <v>7328</v>
      </c>
      <c r="G1438" t="s">
        <v>2675</v>
      </c>
      <c r="H1438" t="s">
        <v>2665</v>
      </c>
      <c r="I1438">
        <v>199204</v>
      </c>
      <c r="J1438">
        <v>212756</v>
      </c>
      <c r="K1438">
        <v>222310</v>
      </c>
      <c r="L1438">
        <v>231876</v>
      </c>
      <c r="M1438">
        <v>241447</v>
      </c>
      <c r="N1438" t="s">
        <v>988</v>
      </c>
    </row>
    <row r="1439" spans="1:14" hidden="1" x14ac:dyDescent="0.3">
      <c r="A1439">
        <v>934</v>
      </c>
      <c r="B1439" t="s">
        <v>899</v>
      </c>
      <c r="C1439" t="s">
        <v>2670</v>
      </c>
      <c r="D1439" t="s">
        <v>159</v>
      </c>
      <c r="E1439" t="s">
        <v>159</v>
      </c>
      <c r="F1439">
        <v>7328</v>
      </c>
      <c r="G1439" t="s">
        <v>2675</v>
      </c>
      <c r="H1439" t="s">
        <v>2664</v>
      </c>
      <c r="I1439">
        <v>274626</v>
      </c>
      <c r="J1439">
        <v>280166</v>
      </c>
      <c r="K1439">
        <v>285636</v>
      </c>
      <c r="L1439">
        <v>291026</v>
      </c>
      <c r="M1439">
        <v>296356</v>
      </c>
      <c r="N1439" t="s">
        <v>988</v>
      </c>
    </row>
    <row r="1440" spans="1:14" hidden="1" x14ac:dyDescent="0.3">
      <c r="A1440">
        <v>934</v>
      </c>
      <c r="B1440" t="s">
        <v>899</v>
      </c>
      <c r="C1440" t="s">
        <v>2670</v>
      </c>
      <c r="D1440" t="s">
        <v>159</v>
      </c>
      <c r="E1440" t="s">
        <v>159</v>
      </c>
      <c r="F1440">
        <v>7328</v>
      </c>
      <c r="G1440" t="s">
        <v>2676</v>
      </c>
      <c r="H1440" t="s">
        <v>2665</v>
      </c>
      <c r="I1440">
        <v>199204</v>
      </c>
      <c r="J1440">
        <v>212756</v>
      </c>
      <c r="K1440">
        <v>222310</v>
      </c>
      <c r="L1440">
        <v>231876</v>
      </c>
      <c r="M1440">
        <v>241447</v>
      </c>
      <c r="N1440" t="s">
        <v>988</v>
      </c>
    </row>
    <row r="1441" spans="1:14" hidden="1" x14ac:dyDescent="0.3">
      <c r="A1441">
        <v>934</v>
      </c>
      <c r="B1441" t="s">
        <v>899</v>
      </c>
      <c r="C1441" t="s">
        <v>2670</v>
      </c>
      <c r="D1441" t="s">
        <v>159</v>
      </c>
      <c r="E1441" t="s">
        <v>159</v>
      </c>
      <c r="F1441">
        <v>7328</v>
      </c>
      <c r="G1441" t="s">
        <v>2673</v>
      </c>
      <c r="H1441" t="s">
        <v>2664</v>
      </c>
      <c r="I1441">
        <v>189852</v>
      </c>
      <c r="J1441">
        <v>195392</v>
      </c>
      <c r="K1441">
        <v>200862</v>
      </c>
      <c r="L1441">
        <v>206252</v>
      </c>
      <c r="M1441">
        <v>211582</v>
      </c>
      <c r="N1441" t="s">
        <v>988</v>
      </c>
    </row>
    <row r="1442" spans="1:14" hidden="1" x14ac:dyDescent="0.3">
      <c r="A1442">
        <v>967</v>
      </c>
      <c r="B1442" t="s">
        <v>1528</v>
      </c>
      <c r="C1442" t="s">
        <v>2670</v>
      </c>
      <c r="D1442" t="s">
        <v>1203</v>
      </c>
      <c r="E1442" t="s">
        <v>1204</v>
      </c>
      <c r="F1442">
        <v>5550</v>
      </c>
      <c r="G1442" t="s">
        <v>2673</v>
      </c>
      <c r="H1442" t="s">
        <v>2665</v>
      </c>
      <c r="I1442">
        <v>26801</v>
      </c>
      <c r="J1442">
        <v>28712</v>
      </c>
      <c r="K1442">
        <v>29190</v>
      </c>
      <c r="L1442">
        <v>29308</v>
      </c>
      <c r="M1442">
        <v>29483</v>
      </c>
      <c r="N1442" t="s">
        <v>988</v>
      </c>
    </row>
    <row r="1443" spans="1:14" hidden="1" x14ac:dyDescent="0.3">
      <c r="A1443">
        <v>967</v>
      </c>
      <c r="B1443" t="s">
        <v>1528</v>
      </c>
      <c r="C1443" t="s">
        <v>2670</v>
      </c>
      <c r="D1443" t="s">
        <v>1203</v>
      </c>
      <c r="E1443" t="s">
        <v>1204</v>
      </c>
      <c r="F1443">
        <v>5550</v>
      </c>
      <c r="G1443" t="s">
        <v>2673</v>
      </c>
      <c r="H1443" t="s">
        <v>2664</v>
      </c>
      <c r="I1443">
        <v>26801</v>
      </c>
      <c r="J1443">
        <v>28712</v>
      </c>
      <c r="K1443">
        <v>29190</v>
      </c>
      <c r="L1443">
        <v>29308</v>
      </c>
      <c r="M1443">
        <v>29483</v>
      </c>
      <c r="N1443" t="s">
        <v>988</v>
      </c>
    </row>
    <row r="1444" spans="1:14" hidden="1" x14ac:dyDescent="0.3">
      <c r="A1444">
        <v>967</v>
      </c>
      <c r="B1444" t="s">
        <v>1528</v>
      </c>
      <c r="C1444" t="s">
        <v>2670</v>
      </c>
      <c r="D1444" t="s">
        <v>1203</v>
      </c>
      <c r="E1444" t="s">
        <v>1204</v>
      </c>
      <c r="F1444">
        <v>5550</v>
      </c>
      <c r="G1444" t="s">
        <v>2674</v>
      </c>
      <c r="H1444" t="s">
        <v>2665</v>
      </c>
      <c r="I1444">
        <v>26407</v>
      </c>
      <c r="J1444">
        <v>28332</v>
      </c>
      <c r="K1444">
        <v>29165</v>
      </c>
      <c r="L1444">
        <v>29285</v>
      </c>
      <c r="M1444">
        <v>29445</v>
      </c>
      <c r="N1444" t="s">
        <v>988</v>
      </c>
    </row>
    <row r="1445" spans="1:14" hidden="1" x14ac:dyDescent="0.3">
      <c r="A1445">
        <v>967</v>
      </c>
      <c r="B1445" t="s">
        <v>1528</v>
      </c>
      <c r="C1445" t="s">
        <v>2670</v>
      </c>
      <c r="D1445" t="s">
        <v>1203</v>
      </c>
      <c r="E1445" t="s">
        <v>1204</v>
      </c>
      <c r="F1445">
        <v>5550</v>
      </c>
      <c r="G1445" t="s">
        <v>2674</v>
      </c>
      <c r="H1445" t="s">
        <v>2664</v>
      </c>
      <c r="I1445">
        <v>26407</v>
      </c>
      <c r="J1445">
        <v>28332</v>
      </c>
      <c r="K1445">
        <v>29165</v>
      </c>
      <c r="L1445">
        <v>29285</v>
      </c>
      <c r="M1445">
        <v>29445</v>
      </c>
      <c r="N1445" t="s">
        <v>988</v>
      </c>
    </row>
    <row r="1446" spans="1:14" hidden="1" x14ac:dyDescent="0.3">
      <c r="A1446">
        <v>967</v>
      </c>
      <c r="B1446" t="s">
        <v>1528</v>
      </c>
      <c r="C1446" t="s">
        <v>2670</v>
      </c>
      <c r="D1446" t="s">
        <v>1203</v>
      </c>
      <c r="E1446" t="s">
        <v>1204</v>
      </c>
      <c r="F1446">
        <v>5550</v>
      </c>
      <c r="G1446" t="s">
        <v>2675</v>
      </c>
      <c r="H1446" t="s">
        <v>2665</v>
      </c>
      <c r="I1446">
        <v>26014</v>
      </c>
      <c r="J1446">
        <v>27953</v>
      </c>
      <c r="K1446">
        <v>29140</v>
      </c>
      <c r="L1446">
        <v>29262</v>
      </c>
      <c r="M1446">
        <v>29407</v>
      </c>
      <c r="N1446" t="s">
        <v>988</v>
      </c>
    </row>
    <row r="1447" spans="1:14" hidden="1" x14ac:dyDescent="0.3">
      <c r="A1447">
        <v>967</v>
      </c>
      <c r="B1447" t="s">
        <v>1528</v>
      </c>
      <c r="C1447" t="s">
        <v>2670</v>
      </c>
      <c r="D1447" t="s">
        <v>1203</v>
      </c>
      <c r="E1447" t="s">
        <v>1204</v>
      </c>
      <c r="F1447">
        <v>5550</v>
      </c>
      <c r="G1447" t="s">
        <v>2675</v>
      </c>
      <c r="H1447" t="s">
        <v>2664</v>
      </c>
      <c r="I1447">
        <v>26014</v>
      </c>
      <c r="J1447">
        <v>27953</v>
      </c>
      <c r="K1447">
        <v>29140</v>
      </c>
      <c r="L1447">
        <v>29262</v>
      </c>
      <c r="M1447">
        <v>29407</v>
      </c>
      <c r="N1447" t="s">
        <v>988</v>
      </c>
    </row>
    <row r="1448" spans="1:14" hidden="1" x14ac:dyDescent="0.3">
      <c r="A1448">
        <v>967</v>
      </c>
      <c r="B1448" t="s">
        <v>1528</v>
      </c>
      <c r="C1448" t="s">
        <v>2670</v>
      </c>
      <c r="D1448" t="s">
        <v>1203</v>
      </c>
      <c r="E1448" t="s">
        <v>1204</v>
      </c>
      <c r="F1448">
        <v>5550</v>
      </c>
      <c r="G1448" t="s">
        <v>2676</v>
      </c>
      <c r="H1448" t="s">
        <v>2665</v>
      </c>
      <c r="I1448">
        <v>25620</v>
      </c>
      <c r="J1448">
        <v>27574</v>
      </c>
      <c r="K1448">
        <v>29116</v>
      </c>
      <c r="L1448">
        <v>29238</v>
      </c>
      <c r="M1448">
        <v>29370</v>
      </c>
      <c r="N1448" t="s">
        <v>988</v>
      </c>
    </row>
    <row r="1449" spans="1:14" hidden="1" x14ac:dyDescent="0.3">
      <c r="A1449">
        <v>967</v>
      </c>
      <c r="B1449" t="s">
        <v>1528</v>
      </c>
      <c r="C1449" t="s">
        <v>2670</v>
      </c>
      <c r="D1449" t="s">
        <v>1203</v>
      </c>
      <c r="E1449" t="s">
        <v>1204</v>
      </c>
      <c r="F1449">
        <v>5550</v>
      </c>
      <c r="G1449" t="s">
        <v>2676</v>
      </c>
      <c r="H1449" t="s">
        <v>2664</v>
      </c>
      <c r="I1449">
        <v>25620</v>
      </c>
      <c r="J1449">
        <v>27574</v>
      </c>
      <c r="K1449">
        <v>29116</v>
      </c>
      <c r="L1449">
        <v>29238</v>
      </c>
      <c r="M1449">
        <v>29370</v>
      </c>
      <c r="N1449" t="s">
        <v>988</v>
      </c>
    </row>
    <row r="1450" spans="1:14" hidden="1" x14ac:dyDescent="0.3">
      <c r="A1450">
        <v>967</v>
      </c>
      <c r="B1450" t="s">
        <v>1528</v>
      </c>
      <c r="C1450" t="s">
        <v>2670</v>
      </c>
      <c r="D1450" t="s">
        <v>1203</v>
      </c>
      <c r="E1450" t="s">
        <v>1204</v>
      </c>
      <c r="F1450">
        <v>5550</v>
      </c>
      <c r="G1450" t="s">
        <v>2672</v>
      </c>
      <c r="H1450" t="s">
        <v>2665</v>
      </c>
      <c r="N1450" t="s">
        <v>988</v>
      </c>
    </row>
    <row r="1451" spans="1:14" hidden="1" x14ac:dyDescent="0.3">
      <c r="A1451">
        <v>967</v>
      </c>
      <c r="B1451" t="s">
        <v>1528</v>
      </c>
      <c r="C1451" t="s">
        <v>2670</v>
      </c>
      <c r="D1451" t="s">
        <v>1203</v>
      </c>
      <c r="E1451" t="s">
        <v>1204</v>
      </c>
      <c r="F1451">
        <v>5550</v>
      </c>
      <c r="G1451" t="s">
        <v>2672</v>
      </c>
      <c r="H1451" t="s">
        <v>2664</v>
      </c>
      <c r="N1451" t="s">
        <v>988</v>
      </c>
    </row>
    <row r="1452" spans="1:14" hidden="1" x14ac:dyDescent="0.3">
      <c r="A1452">
        <v>967</v>
      </c>
      <c r="B1452" t="s">
        <v>1528</v>
      </c>
      <c r="C1452" t="s">
        <v>2670</v>
      </c>
      <c r="D1452" t="s">
        <v>1203</v>
      </c>
      <c r="E1452" t="s">
        <v>1204</v>
      </c>
      <c r="F1452">
        <v>5550</v>
      </c>
      <c r="G1452" t="s">
        <v>2671</v>
      </c>
      <c r="H1452" t="s">
        <v>2665</v>
      </c>
      <c r="I1452">
        <v>27194</v>
      </c>
      <c r="J1452">
        <v>29091</v>
      </c>
      <c r="K1452">
        <v>29215</v>
      </c>
      <c r="L1452">
        <v>29332</v>
      </c>
      <c r="M1452">
        <v>29521</v>
      </c>
      <c r="N1452" t="s">
        <v>988</v>
      </c>
    </row>
    <row r="1453" spans="1:14" hidden="1" x14ac:dyDescent="0.3">
      <c r="A1453">
        <v>967</v>
      </c>
      <c r="B1453" t="s">
        <v>1528</v>
      </c>
      <c r="C1453" t="s">
        <v>2670</v>
      </c>
      <c r="D1453" t="s">
        <v>1203</v>
      </c>
      <c r="E1453" t="s">
        <v>1204</v>
      </c>
      <c r="F1453">
        <v>5550</v>
      </c>
      <c r="G1453" t="s">
        <v>2671</v>
      </c>
      <c r="H1453" t="s">
        <v>2664</v>
      </c>
      <c r="I1453">
        <v>27194</v>
      </c>
      <c r="J1453">
        <v>29091</v>
      </c>
      <c r="K1453">
        <v>29215</v>
      </c>
      <c r="L1453">
        <v>29332</v>
      </c>
      <c r="M1453">
        <v>29521</v>
      </c>
      <c r="N1453" t="s">
        <v>988</v>
      </c>
    </row>
    <row r="1454" spans="1:14" hidden="1" x14ac:dyDescent="0.3">
      <c r="A1454">
        <v>972</v>
      </c>
      <c r="B1454" t="s">
        <v>1529</v>
      </c>
      <c r="C1454" t="s">
        <v>2670</v>
      </c>
      <c r="D1454" t="s">
        <v>1203</v>
      </c>
      <c r="E1454" t="s">
        <v>1204</v>
      </c>
      <c r="F1454">
        <v>5640</v>
      </c>
      <c r="G1454" t="s">
        <v>2675</v>
      </c>
      <c r="H1454" t="s">
        <v>2665</v>
      </c>
      <c r="I1454">
        <v>5552.2386563590999</v>
      </c>
      <c r="J1454">
        <v>5678.4459530950899</v>
      </c>
      <c r="K1454">
        <v>5968.2556695886296</v>
      </c>
      <c r="L1454">
        <v>6279.8011148191899</v>
      </c>
      <c r="M1454">
        <v>6614.7124684420296</v>
      </c>
      <c r="N1454" t="s">
        <v>988</v>
      </c>
    </row>
    <row r="1455" spans="1:14" hidden="1" x14ac:dyDescent="0.3">
      <c r="A1455">
        <v>972</v>
      </c>
      <c r="B1455" t="s">
        <v>1529</v>
      </c>
      <c r="C1455" t="s">
        <v>2670</v>
      </c>
      <c r="D1455" t="s">
        <v>1203</v>
      </c>
      <c r="E1455" t="s">
        <v>1204</v>
      </c>
      <c r="F1455">
        <v>5640</v>
      </c>
      <c r="G1455" t="s">
        <v>2675</v>
      </c>
      <c r="H1455" t="s">
        <v>2664</v>
      </c>
      <c r="I1455">
        <v>5552.2386563590999</v>
      </c>
      <c r="J1455">
        <v>5678.4459530950899</v>
      </c>
      <c r="K1455">
        <v>5968.2556695886296</v>
      </c>
      <c r="L1455">
        <v>6279.8011148191899</v>
      </c>
      <c r="M1455">
        <v>6614.7124684420296</v>
      </c>
      <c r="N1455" t="s">
        <v>988</v>
      </c>
    </row>
    <row r="1456" spans="1:14" hidden="1" x14ac:dyDescent="0.3">
      <c r="A1456">
        <v>972</v>
      </c>
      <c r="B1456" t="s">
        <v>1529</v>
      </c>
      <c r="C1456" t="s">
        <v>2670</v>
      </c>
      <c r="D1456" t="s">
        <v>1203</v>
      </c>
      <c r="E1456" t="s">
        <v>1204</v>
      </c>
      <c r="F1456">
        <v>5640</v>
      </c>
      <c r="G1456" t="s">
        <v>2674</v>
      </c>
      <c r="H1456" t="s">
        <v>2664</v>
      </c>
      <c r="I1456">
        <v>5552.2386563590999</v>
      </c>
      <c r="J1456">
        <v>5678.4459530950899</v>
      </c>
      <c r="K1456">
        <v>5968.2556695886296</v>
      </c>
      <c r="L1456">
        <v>6279.8011148191899</v>
      </c>
      <c r="M1456">
        <v>6614.7124684420296</v>
      </c>
      <c r="N1456" t="s">
        <v>988</v>
      </c>
    </row>
    <row r="1457" spans="1:14" hidden="1" x14ac:dyDescent="0.3">
      <c r="A1457">
        <v>972</v>
      </c>
      <c r="B1457" t="s">
        <v>1529</v>
      </c>
      <c r="C1457" t="s">
        <v>2670</v>
      </c>
      <c r="D1457" t="s">
        <v>1203</v>
      </c>
      <c r="E1457" t="s">
        <v>1204</v>
      </c>
      <c r="F1457">
        <v>5640</v>
      </c>
      <c r="G1457" t="s">
        <v>2674</v>
      </c>
      <c r="H1457" t="s">
        <v>2665</v>
      </c>
      <c r="I1457">
        <v>5552.2386563590999</v>
      </c>
      <c r="J1457">
        <v>5678.4459530950899</v>
      </c>
      <c r="K1457">
        <v>5968.2556695886296</v>
      </c>
      <c r="L1457">
        <v>6279.8011148191899</v>
      </c>
      <c r="M1457">
        <v>6614.7124684420296</v>
      </c>
      <c r="N1457" t="s">
        <v>988</v>
      </c>
    </row>
    <row r="1458" spans="1:14" hidden="1" x14ac:dyDescent="0.3">
      <c r="A1458">
        <v>972</v>
      </c>
      <c r="B1458" t="s">
        <v>1529</v>
      </c>
      <c r="C1458" t="s">
        <v>2670</v>
      </c>
      <c r="D1458" t="s">
        <v>1203</v>
      </c>
      <c r="E1458" t="s">
        <v>1204</v>
      </c>
      <c r="F1458">
        <v>5640</v>
      </c>
      <c r="G1458" t="s">
        <v>2673</v>
      </c>
      <c r="H1458" t="s">
        <v>2664</v>
      </c>
      <c r="I1458">
        <v>5552.2386563590999</v>
      </c>
      <c r="J1458">
        <v>5678.4459530950899</v>
      </c>
      <c r="K1458">
        <v>5968.2556695886296</v>
      </c>
      <c r="L1458">
        <v>6279.8011148191899</v>
      </c>
      <c r="M1458">
        <v>6614.7124684420296</v>
      </c>
      <c r="N1458" t="s">
        <v>988</v>
      </c>
    </row>
    <row r="1459" spans="1:14" hidden="1" x14ac:dyDescent="0.3">
      <c r="A1459">
        <v>972</v>
      </c>
      <c r="B1459" t="s">
        <v>1529</v>
      </c>
      <c r="C1459" t="s">
        <v>2670</v>
      </c>
      <c r="D1459" t="s">
        <v>1203</v>
      </c>
      <c r="E1459" t="s">
        <v>1204</v>
      </c>
      <c r="F1459">
        <v>5640</v>
      </c>
      <c r="G1459" t="s">
        <v>2673</v>
      </c>
      <c r="H1459" t="s">
        <v>2665</v>
      </c>
      <c r="I1459">
        <v>5552.2386563590999</v>
      </c>
      <c r="J1459">
        <v>5678.4459530950899</v>
      </c>
      <c r="K1459">
        <v>5968.2556695886296</v>
      </c>
      <c r="L1459">
        <v>6279.8011148191899</v>
      </c>
      <c r="M1459">
        <v>6614.7124684420296</v>
      </c>
      <c r="N1459" t="s">
        <v>988</v>
      </c>
    </row>
    <row r="1460" spans="1:14" hidden="1" x14ac:dyDescent="0.3">
      <c r="A1460">
        <v>972</v>
      </c>
      <c r="B1460" t="s">
        <v>1529</v>
      </c>
      <c r="C1460" t="s">
        <v>2670</v>
      </c>
      <c r="D1460" t="s">
        <v>1203</v>
      </c>
      <c r="E1460" t="s">
        <v>1204</v>
      </c>
      <c r="F1460">
        <v>5640</v>
      </c>
      <c r="G1460" t="s">
        <v>2671</v>
      </c>
      <c r="H1460" t="s">
        <v>2664</v>
      </c>
      <c r="I1460">
        <v>5552.2386563590999</v>
      </c>
      <c r="J1460">
        <v>5678.4459530950899</v>
      </c>
      <c r="K1460">
        <v>5968.2556695886296</v>
      </c>
      <c r="L1460">
        <v>6279.8011148191899</v>
      </c>
      <c r="M1460">
        <v>6614.7124684420296</v>
      </c>
      <c r="N1460" t="s">
        <v>988</v>
      </c>
    </row>
    <row r="1461" spans="1:14" hidden="1" x14ac:dyDescent="0.3">
      <c r="A1461">
        <v>972</v>
      </c>
      <c r="B1461" t="s">
        <v>1529</v>
      </c>
      <c r="C1461" t="s">
        <v>2670</v>
      </c>
      <c r="D1461" t="s">
        <v>1203</v>
      </c>
      <c r="E1461" t="s">
        <v>1204</v>
      </c>
      <c r="F1461">
        <v>5640</v>
      </c>
      <c r="G1461" t="s">
        <v>2671</v>
      </c>
      <c r="H1461" t="s">
        <v>2665</v>
      </c>
      <c r="I1461">
        <v>5552.2386563590999</v>
      </c>
      <c r="J1461">
        <v>5678.4459530950899</v>
      </c>
      <c r="K1461">
        <v>5968.2556695886296</v>
      </c>
      <c r="L1461">
        <v>6279.8011148191899</v>
      </c>
      <c r="M1461">
        <v>6614.7124684420296</v>
      </c>
      <c r="N1461" t="s">
        <v>988</v>
      </c>
    </row>
    <row r="1462" spans="1:14" hidden="1" x14ac:dyDescent="0.3">
      <c r="A1462">
        <v>972</v>
      </c>
      <c r="B1462" t="s">
        <v>1529</v>
      </c>
      <c r="C1462" t="s">
        <v>2670</v>
      </c>
      <c r="D1462" t="s">
        <v>1203</v>
      </c>
      <c r="E1462" t="s">
        <v>1204</v>
      </c>
      <c r="F1462">
        <v>5640</v>
      </c>
      <c r="G1462" t="s">
        <v>2672</v>
      </c>
      <c r="H1462" t="s">
        <v>2664</v>
      </c>
      <c r="N1462" t="s">
        <v>988</v>
      </c>
    </row>
    <row r="1463" spans="1:14" hidden="1" x14ac:dyDescent="0.3">
      <c r="A1463">
        <v>972</v>
      </c>
      <c r="B1463" t="s">
        <v>1529</v>
      </c>
      <c r="C1463" t="s">
        <v>2670</v>
      </c>
      <c r="D1463" t="s">
        <v>1203</v>
      </c>
      <c r="E1463" t="s">
        <v>1204</v>
      </c>
      <c r="F1463">
        <v>5640</v>
      </c>
      <c r="G1463" t="s">
        <v>2672</v>
      </c>
      <c r="H1463" t="s">
        <v>2665</v>
      </c>
      <c r="N1463" t="s">
        <v>988</v>
      </c>
    </row>
    <row r="1464" spans="1:14" hidden="1" x14ac:dyDescent="0.3">
      <c r="A1464">
        <v>972</v>
      </c>
      <c r="B1464" t="s">
        <v>1529</v>
      </c>
      <c r="C1464" t="s">
        <v>2670</v>
      </c>
      <c r="D1464" t="s">
        <v>1203</v>
      </c>
      <c r="E1464" t="s">
        <v>1204</v>
      </c>
      <c r="F1464">
        <v>5640</v>
      </c>
      <c r="G1464" t="s">
        <v>2676</v>
      </c>
      <c r="H1464" t="s">
        <v>2664</v>
      </c>
      <c r="I1464">
        <v>5552.2386563590999</v>
      </c>
      <c r="J1464">
        <v>5678.4459530950899</v>
      </c>
      <c r="K1464">
        <v>5968.2556695886296</v>
      </c>
      <c r="L1464">
        <v>6279.8011148191899</v>
      </c>
      <c r="M1464">
        <v>6614.7124684420296</v>
      </c>
      <c r="N1464" t="s">
        <v>988</v>
      </c>
    </row>
    <row r="1465" spans="1:14" hidden="1" x14ac:dyDescent="0.3">
      <c r="A1465">
        <v>972</v>
      </c>
      <c r="B1465" t="s">
        <v>1529</v>
      </c>
      <c r="C1465" t="s">
        <v>2670</v>
      </c>
      <c r="D1465" t="s">
        <v>1203</v>
      </c>
      <c r="E1465" t="s">
        <v>1204</v>
      </c>
      <c r="F1465">
        <v>5640</v>
      </c>
      <c r="G1465" t="s">
        <v>2676</v>
      </c>
      <c r="H1465" t="s">
        <v>2665</v>
      </c>
      <c r="I1465">
        <v>5552.2386563590999</v>
      </c>
      <c r="J1465">
        <v>5678.4459530950899</v>
      </c>
      <c r="K1465">
        <v>5968.2556695886296</v>
      </c>
      <c r="L1465">
        <v>6279.8011148191899</v>
      </c>
      <c r="M1465">
        <v>6614.7124684420296</v>
      </c>
      <c r="N1465" t="s">
        <v>988</v>
      </c>
    </row>
    <row r="1466" spans="1:14" hidden="1" x14ac:dyDescent="0.3">
      <c r="A1466">
        <v>977</v>
      </c>
      <c r="B1466" t="s">
        <v>1531</v>
      </c>
      <c r="C1466" t="s">
        <v>2670</v>
      </c>
      <c r="D1466" t="s">
        <v>1203</v>
      </c>
      <c r="E1466" t="s">
        <v>1204</v>
      </c>
      <c r="F1466">
        <v>5521</v>
      </c>
      <c r="G1466" t="s">
        <v>2672</v>
      </c>
      <c r="H1466" t="s">
        <v>2665</v>
      </c>
      <c r="N1466" t="s">
        <v>988</v>
      </c>
    </row>
    <row r="1467" spans="1:14" hidden="1" x14ac:dyDescent="0.3">
      <c r="A1467">
        <v>977</v>
      </c>
      <c r="B1467" t="s">
        <v>1531</v>
      </c>
      <c r="C1467" t="s">
        <v>2670</v>
      </c>
      <c r="D1467" t="s">
        <v>1203</v>
      </c>
      <c r="E1467" t="s">
        <v>1204</v>
      </c>
      <c r="F1467">
        <v>5521</v>
      </c>
      <c r="G1467" t="s">
        <v>2676</v>
      </c>
      <c r="H1467" t="s">
        <v>2665</v>
      </c>
      <c r="I1467">
        <v>23427</v>
      </c>
      <c r="J1467">
        <v>24022</v>
      </c>
      <c r="K1467">
        <v>24319</v>
      </c>
      <c r="L1467">
        <v>24224</v>
      </c>
      <c r="M1467">
        <v>24119</v>
      </c>
      <c r="N1467" t="s">
        <v>988</v>
      </c>
    </row>
    <row r="1468" spans="1:14" hidden="1" x14ac:dyDescent="0.3">
      <c r="A1468">
        <v>977</v>
      </c>
      <c r="B1468" t="s">
        <v>1531</v>
      </c>
      <c r="C1468" t="s">
        <v>2670</v>
      </c>
      <c r="D1468" t="s">
        <v>1203</v>
      </c>
      <c r="E1468" t="s">
        <v>1204</v>
      </c>
      <c r="F1468">
        <v>5521</v>
      </c>
      <c r="G1468" t="s">
        <v>2675</v>
      </c>
      <c r="H1468" t="s">
        <v>2664</v>
      </c>
      <c r="I1468">
        <v>23556</v>
      </c>
      <c r="J1468">
        <v>24100</v>
      </c>
      <c r="K1468">
        <v>24302</v>
      </c>
      <c r="L1468">
        <v>24195</v>
      </c>
      <c r="M1468">
        <v>24129</v>
      </c>
      <c r="N1468" t="s">
        <v>988</v>
      </c>
    </row>
    <row r="1469" spans="1:14" hidden="1" x14ac:dyDescent="0.3">
      <c r="A1469">
        <v>977</v>
      </c>
      <c r="B1469" t="s">
        <v>1531</v>
      </c>
      <c r="C1469" t="s">
        <v>2670</v>
      </c>
      <c r="D1469" t="s">
        <v>1203</v>
      </c>
      <c r="E1469" t="s">
        <v>1204</v>
      </c>
      <c r="F1469">
        <v>5521</v>
      </c>
      <c r="G1469" t="s">
        <v>2675</v>
      </c>
      <c r="H1469" t="s">
        <v>2665</v>
      </c>
      <c r="I1469">
        <v>23556</v>
      </c>
      <c r="J1469">
        <v>24100</v>
      </c>
      <c r="K1469">
        <v>24302</v>
      </c>
      <c r="L1469">
        <v>24195</v>
      </c>
      <c r="M1469">
        <v>24129</v>
      </c>
      <c r="N1469" t="s">
        <v>988</v>
      </c>
    </row>
    <row r="1470" spans="1:14" hidden="1" x14ac:dyDescent="0.3">
      <c r="A1470">
        <v>977</v>
      </c>
      <c r="B1470" t="s">
        <v>1531</v>
      </c>
      <c r="C1470" t="s">
        <v>2670</v>
      </c>
      <c r="D1470" t="s">
        <v>1203</v>
      </c>
      <c r="E1470" t="s">
        <v>1204</v>
      </c>
      <c r="F1470">
        <v>5521</v>
      </c>
      <c r="G1470" t="s">
        <v>2674</v>
      </c>
      <c r="H1470" t="s">
        <v>2664</v>
      </c>
      <c r="I1470">
        <v>23685</v>
      </c>
      <c r="J1470">
        <v>24179</v>
      </c>
      <c r="K1470">
        <v>24286</v>
      </c>
      <c r="L1470">
        <v>24166</v>
      </c>
      <c r="M1470">
        <v>24139</v>
      </c>
      <c r="N1470" t="s">
        <v>988</v>
      </c>
    </row>
    <row r="1471" spans="1:14" hidden="1" x14ac:dyDescent="0.3">
      <c r="A1471">
        <v>977</v>
      </c>
      <c r="B1471" t="s">
        <v>1531</v>
      </c>
      <c r="C1471" t="s">
        <v>2670</v>
      </c>
      <c r="D1471" t="s">
        <v>1203</v>
      </c>
      <c r="E1471" t="s">
        <v>1204</v>
      </c>
      <c r="F1471">
        <v>5521</v>
      </c>
      <c r="G1471" t="s">
        <v>2676</v>
      </c>
      <c r="H1471" t="s">
        <v>2664</v>
      </c>
      <c r="I1471">
        <v>23427</v>
      </c>
      <c r="J1471">
        <v>24022</v>
      </c>
      <c r="K1471">
        <v>24319</v>
      </c>
      <c r="L1471">
        <v>24224</v>
      </c>
      <c r="M1471">
        <v>24119</v>
      </c>
      <c r="N1471" t="s">
        <v>988</v>
      </c>
    </row>
    <row r="1472" spans="1:14" hidden="1" x14ac:dyDescent="0.3">
      <c r="A1472">
        <v>977</v>
      </c>
      <c r="B1472" t="s">
        <v>1531</v>
      </c>
      <c r="C1472" t="s">
        <v>2670</v>
      </c>
      <c r="D1472" t="s">
        <v>1203</v>
      </c>
      <c r="E1472" t="s">
        <v>1204</v>
      </c>
      <c r="F1472">
        <v>5521</v>
      </c>
      <c r="G1472" t="s">
        <v>2673</v>
      </c>
      <c r="H1472" t="s">
        <v>2664</v>
      </c>
      <c r="I1472">
        <v>23814</v>
      </c>
      <c r="J1472">
        <v>24257</v>
      </c>
      <c r="K1472">
        <v>24269</v>
      </c>
      <c r="L1472">
        <v>24138</v>
      </c>
      <c r="M1472">
        <v>24149</v>
      </c>
      <c r="N1472" t="s">
        <v>988</v>
      </c>
    </row>
    <row r="1473" spans="1:14" hidden="1" x14ac:dyDescent="0.3">
      <c r="A1473">
        <v>977</v>
      </c>
      <c r="B1473" t="s">
        <v>1531</v>
      </c>
      <c r="C1473" t="s">
        <v>2670</v>
      </c>
      <c r="D1473" t="s">
        <v>1203</v>
      </c>
      <c r="E1473" t="s">
        <v>1204</v>
      </c>
      <c r="F1473">
        <v>5521</v>
      </c>
      <c r="G1473" t="s">
        <v>2673</v>
      </c>
      <c r="H1473" t="s">
        <v>2665</v>
      </c>
      <c r="I1473">
        <v>23814</v>
      </c>
      <c r="J1473">
        <v>24257</v>
      </c>
      <c r="K1473">
        <v>24269</v>
      </c>
      <c r="L1473">
        <v>24138</v>
      </c>
      <c r="M1473">
        <v>24149</v>
      </c>
      <c r="N1473" t="s">
        <v>988</v>
      </c>
    </row>
    <row r="1474" spans="1:14" hidden="1" x14ac:dyDescent="0.3">
      <c r="A1474">
        <v>977</v>
      </c>
      <c r="B1474" t="s">
        <v>1531</v>
      </c>
      <c r="C1474" t="s">
        <v>2670</v>
      </c>
      <c r="D1474" t="s">
        <v>1203</v>
      </c>
      <c r="E1474" t="s">
        <v>1204</v>
      </c>
      <c r="F1474">
        <v>5521</v>
      </c>
      <c r="G1474" t="s">
        <v>2671</v>
      </c>
      <c r="H1474" t="s">
        <v>2664</v>
      </c>
      <c r="I1474">
        <v>23943</v>
      </c>
      <c r="J1474">
        <v>24336</v>
      </c>
      <c r="K1474">
        <v>24253</v>
      </c>
      <c r="L1474">
        <v>24109</v>
      </c>
      <c r="M1474">
        <v>24159</v>
      </c>
      <c r="N1474" t="s">
        <v>988</v>
      </c>
    </row>
    <row r="1475" spans="1:14" hidden="1" x14ac:dyDescent="0.3">
      <c r="A1475">
        <v>977</v>
      </c>
      <c r="B1475" t="s">
        <v>1531</v>
      </c>
      <c r="C1475" t="s">
        <v>2670</v>
      </c>
      <c r="D1475" t="s">
        <v>1203</v>
      </c>
      <c r="E1475" t="s">
        <v>1204</v>
      </c>
      <c r="F1475">
        <v>5521</v>
      </c>
      <c r="G1475" t="s">
        <v>2671</v>
      </c>
      <c r="H1475" t="s">
        <v>2665</v>
      </c>
      <c r="I1475">
        <v>23943</v>
      </c>
      <c r="J1475">
        <v>24336</v>
      </c>
      <c r="K1475">
        <v>24253</v>
      </c>
      <c r="L1475">
        <v>24109</v>
      </c>
      <c r="M1475">
        <v>24159</v>
      </c>
      <c r="N1475" t="s">
        <v>988</v>
      </c>
    </row>
    <row r="1476" spans="1:14" hidden="1" x14ac:dyDescent="0.3">
      <c r="A1476">
        <v>977</v>
      </c>
      <c r="B1476" t="s">
        <v>1531</v>
      </c>
      <c r="C1476" t="s">
        <v>2670</v>
      </c>
      <c r="D1476" t="s">
        <v>1203</v>
      </c>
      <c r="E1476" t="s">
        <v>1204</v>
      </c>
      <c r="F1476">
        <v>5521</v>
      </c>
      <c r="G1476" t="s">
        <v>2672</v>
      </c>
      <c r="H1476" t="s">
        <v>2664</v>
      </c>
      <c r="N1476" t="s">
        <v>988</v>
      </c>
    </row>
    <row r="1477" spans="1:14" hidden="1" x14ac:dyDescent="0.3">
      <c r="A1477">
        <v>977</v>
      </c>
      <c r="B1477" t="s">
        <v>1531</v>
      </c>
      <c r="C1477" t="s">
        <v>2670</v>
      </c>
      <c r="D1477" t="s">
        <v>1203</v>
      </c>
      <c r="E1477" t="s">
        <v>1204</v>
      </c>
      <c r="F1477">
        <v>5521</v>
      </c>
      <c r="G1477" t="s">
        <v>2674</v>
      </c>
      <c r="H1477" t="s">
        <v>2665</v>
      </c>
      <c r="I1477">
        <v>23685</v>
      </c>
      <c r="J1477">
        <v>24179</v>
      </c>
      <c r="K1477">
        <v>24286</v>
      </c>
      <c r="L1477">
        <v>24166</v>
      </c>
      <c r="M1477">
        <v>24139</v>
      </c>
      <c r="N1477" t="s">
        <v>988</v>
      </c>
    </row>
    <row r="1478" spans="1:14" hidden="1" x14ac:dyDescent="0.3">
      <c r="A1478">
        <v>990</v>
      </c>
      <c r="B1478" t="s">
        <v>1537</v>
      </c>
      <c r="C1478" t="s">
        <v>2670</v>
      </c>
      <c r="D1478" t="s">
        <v>1203</v>
      </c>
      <c r="E1478" t="s">
        <v>1204</v>
      </c>
      <c r="F1478">
        <v>5687</v>
      </c>
      <c r="G1478" t="s">
        <v>2672</v>
      </c>
      <c r="H1478" t="s">
        <v>2665</v>
      </c>
      <c r="N1478" t="s">
        <v>988</v>
      </c>
    </row>
    <row r="1479" spans="1:14" hidden="1" x14ac:dyDescent="0.3">
      <c r="A1479">
        <v>990</v>
      </c>
      <c r="B1479" t="s">
        <v>1537</v>
      </c>
      <c r="C1479" t="s">
        <v>2670</v>
      </c>
      <c r="D1479" t="s">
        <v>1203</v>
      </c>
      <c r="E1479" t="s">
        <v>1204</v>
      </c>
      <c r="F1479">
        <v>5687</v>
      </c>
      <c r="G1479" t="s">
        <v>2672</v>
      </c>
      <c r="H1479" t="s">
        <v>2664</v>
      </c>
      <c r="N1479" t="s">
        <v>988</v>
      </c>
    </row>
    <row r="1480" spans="1:14" hidden="1" x14ac:dyDescent="0.3">
      <c r="A1480">
        <v>990</v>
      </c>
      <c r="B1480" t="s">
        <v>1537</v>
      </c>
      <c r="C1480" t="s">
        <v>2670</v>
      </c>
      <c r="D1480" t="s">
        <v>1203</v>
      </c>
      <c r="E1480" t="s">
        <v>1204</v>
      </c>
      <c r="F1480">
        <v>5687</v>
      </c>
      <c r="G1480" t="s">
        <v>2671</v>
      </c>
      <c r="H1480" t="s">
        <v>2665</v>
      </c>
      <c r="I1480">
        <v>9194</v>
      </c>
      <c r="J1480">
        <v>9275</v>
      </c>
      <c r="K1480">
        <v>9357</v>
      </c>
      <c r="L1480">
        <v>9443</v>
      </c>
      <c r="M1480">
        <v>9535</v>
      </c>
      <c r="N1480" t="s">
        <v>988</v>
      </c>
    </row>
    <row r="1481" spans="1:14" hidden="1" x14ac:dyDescent="0.3">
      <c r="A1481">
        <v>990</v>
      </c>
      <c r="B1481" t="s">
        <v>1537</v>
      </c>
      <c r="C1481" t="s">
        <v>2670</v>
      </c>
      <c r="D1481" t="s">
        <v>1203</v>
      </c>
      <c r="E1481" t="s">
        <v>1204</v>
      </c>
      <c r="F1481">
        <v>5687</v>
      </c>
      <c r="G1481" t="s">
        <v>2671</v>
      </c>
      <c r="H1481" t="s">
        <v>2664</v>
      </c>
      <c r="I1481">
        <v>11060</v>
      </c>
      <c r="J1481">
        <v>11060</v>
      </c>
      <c r="K1481">
        <v>11060</v>
      </c>
      <c r="L1481">
        <v>11060</v>
      </c>
      <c r="M1481">
        <v>11060</v>
      </c>
      <c r="N1481" t="s">
        <v>988</v>
      </c>
    </row>
    <row r="1482" spans="1:14" hidden="1" x14ac:dyDescent="0.3">
      <c r="A1482">
        <v>990</v>
      </c>
      <c r="B1482" t="s">
        <v>1537</v>
      </c>
      <c r="C1482" t="s">
        <v>2670</v>
      </c>
      <c r="D1482" t="s">
        <v>1203</v>
      </c>
      <c r="E1482" t="s">
        <v>1204</v>
      </c>
      <c r="F1482">
        <v>5687</v>
      </c>
      <c r="G1482" t="s">
        <v>2673</v>
      </c>
      <c r="H1482" t="s">
        <v>2665</v>
      </c>
      <c r="I1482">
        <v>9189</v>
      </c>
      <c r="J1482">
        <v>9270</v>
      </c>
      <c r="K1482">
        <v>9352</v>
      </c>
      <c r="L1482">
        <v>9438</v>
      </c>
      <c r="M1482">
        <v>9530</v>
      </c>
      <c r="N1482" t="s">
        <v>988</v>
      </c>
    </row>
    <row r="1483" spans="1:14" hidden="1" x14ac:dyDescent="0.3">
      <c r="A1483">
        <v>990</v>
      </c>
      <c r="B1483" t="s">
        <v>1537</v>
      </c>
      <c r="C1483" t="s">
        <v>2670</v>
      </c>
      <c r="D1483" t="s">
        <v>1203</v>
      </c>
      <c r="E1483" t="s">
        <v>1204</v>
      </c>
      <c r="F1483">
        <v>5687</v>
      </c>
      <c r="G1483" t="s">
        <v>2676</v>
      </c>
      <c r="H1483" t="s">
        <v>2664</v>
      </c>
      <c r="I1483">
        <v>11060</v>
      </c>
      <c r="J1483">
        <v>11060</v>
      </c>
      <c r="K1483">
        <v>11060</v>
      </c>
      <c r="L1483">
        <v>11060</v>
      </c>
      <c r="M1483">
        <v>11060</v>
      </c>
      <c r="N1483" t="s">
        <v>988</v>
      </c>
    </row>
    <row r="1484" spans="1:14" hidden="1" x14ac:dyDescent="0.3">
      <c r="A1484">
        <v>990</v>
      </c>
      <c r="B1484" t="s">
        <v>1537</v>
      </c>
      <c r="C1484" t="s">
        <v>2670</v>
      </c>
      <c r="D1484" t="s">
        <v>1203</v>
      </c>
      <c r="E1484" t="s">
        <v>1204</v>
      </c>
      <c r="F1484">
        <v>5687</v>
      </c>
      <c r="G1484" t="s">
        <v>2674</v>
      </c>
      <c r="H1484" t="s">
        <v>2665</v>
      </c>
      <c r="I1484">
        <v>9185</v>
      </c>
      <c r="J1484">
        <v>9266</v>
      </c>
      <c r="K1484">
        <v>9348</v>
      </c>
      <c r="L1484">
        <v>9434</v>
      </c>
      <c r="M1484">
        <v>9526</v>
      </c>
      <c r="N1484" t="s">
        <v>988</v>
      </c>
    </row>
    <row r="1485" spans="1:14" hidden="1" x14ac:dyDescent="0.3">
      <c r="A1485">
        <v>990</v>
      </c>
      <c r="B1485" t="s">
        <v>1537</v>
      </c>
      <c r="C1485" t="s">
        <v>2670</v>
      </c>
      <c r="D1485" t="s">
        <v>1203</v>
      </c>
      <c r="E1485" t="s">
        <v>1204</v>
      </c>
      <c r="F1485">
        <v>5687</v>
      </c>
      <c r="G1485" t="s">
        <v>2674</v>
      </c>
      <c r="H1485" t="s">
        <v>2664</v>
      </c>
      <c r="I1485">
        <v>11060</v>
      </c>
      <c r="J1485">
        <v>11060</v>
      </c>
      <c r="K1485">
        <v>11060</v>
      </c>
      <c r="L1485">
        <v>11060</v>
      </c>
      <c r="M1485">
        <v>11060</v>
      </c>
      <c r="N1485" t="s">
        <v>988</v>
      </c>
    </row>
    <row r="1486" spans="1:14" hidden="1" x14ac:dyDescent="0.3">
      <c r="A1486">
        <v>990</v>
      </c>
      <c r="B1486" t="s">
        <v>1537</v>
      </c>
      <c r="C1486" t="s">
        <v>2670</v>
      </c>
      <c r="D1486" t="s">
        <v>1203</v>
      </c>
      <c r="E1486" t="s">
        <v>1204</v>
      </c>
      <c r="F1486">
        <v>5687</v>
      </c>
      <c r="G1486" t="s">
        <v>2675</v>
      </c>
      <c r="H1486" t="s">
        <v>2665</v>
      </c>
      <c r="I1486">
        <v>9180</v>
      </c>
      <c r="J1486">
        <v>9261</v>
      </c>
      <c r="K1486">
        <v>9343</v>
      </c>
      <c r="L1486">
        <v>9429</v>
      </c>
      <c r="M1486">
        <v>9521</v>
      </c>
      <c r="N1486" t="s">
        <v>988</v>
      </c>
    </row>
    <row r="1487" spans="1:14" hidden="1" x14ac:dyDescent="0.3">
      <c r="A1487">
        <v>990</v>
      </c>
      <c r="B1487" t="s">
        <v>1537</v>
      </c>
      <c r="C1487" t="s">
        <v>2670</v>
      </c>
      <c r="D1487" t="s">
        <v>1203</v>
      </c>
      <c r="E1487" t="s">
        <v>1204</v>
      </c>
      <c r="F1487">
        <v>5687</v>
      </c>
      <c r="G1487" t="s">
        <v>2675</v>
      </c>
      <c r="H1487" t="s">
        <v>2664</v>
      </c>
      <c r="I1487">
        <v>11060</v>
      </c>
      <c r="J1487">
        <v>11060</v>
      </c>
      <c r="K1487">
        <v>11060</v>
      </c>
      <c r="L1487">
        <v>11060</v>
      </c>
      <c r="M1487">
        <v>11060</v>
      </c>
      <c r="N1487" t="s">
        <v>988</v>
      </c>
    </row>
    <row r="1488" spans="1:14" hidden="1" x14ac:dyDescent="0.3">
      <c r="A1488">
        <v>990</v>
      </c>
      <c r="B1488" t="s">
        <v>1537</v>
      </c>
      <c r="C1488" t="s">
        <v>2670</v>
      </c>
      <c r="D1488" t="s">
        <v>1203</v>
      </c>
      <c r="E1488" t="s">
        <v>1204</v>
      </c>
      <c r="F1488">
        <v>5687</v>
      </c>
      <c r="G1488" t="s">
        <v>2676</v>
      </c>
      <c r="H1488" t="s">
        <v>2665</v>
      </c>
      <c r="I1488">
        <v>9175</v>
      </c>
      <c r="J1488">
        <v>9256</v>
      </c>
      <c r="K1488">
        <v>9338</v>
      </c>
      <c r="L1488">
        <v>9424</v>
      </c>
      <c r="M1488">
        <v>9516</v>
      </c>
      <c r="N1488" t="s">
        <v>988</v>
      </c>
    </row>
    <row r="1489" spans="1:14" hidden="1" x14ac:dyDescent="0.3">
      <c r="A1489">
        <v>990</v>
      </c>
      <c r="B1489" t="s">
        <v>1537</v>
      </c>
      <c r="C1489" t="s">
        <v>2670</v>
      </c>
      <c r="D1489" t="s">
        <v>1203</v>
      </c>
      <c r="E1489" t="s">
        <v>1204</v>
      </c>
      <c r="F1489">
        <v>5687</v>
      </c>
      <c r="G1489" t="s">
        <v>2673</v>
      </c>
      <c r="H1489" t="s">
        <v>2664</v>
      </c>
      <c r="I1489">
        <v>11060</v>
      </c>
      <c r="J1489">
        <v>11060</v>
      </c>
      <c r="K1489">
        <v>11060</v>
      </c>
      <c r="L1489">
        <v>11060</v>
      </c>
      <c r="M1489">
        <v>11060</v>
      </c>
      <c r="N1489" t="s">
        <v>988</v>
      </c>
    </row>
    <row r="1490" spans="1:14" hidden="1" x14ac:dyDescent="0.3">
      <c r="A1490">
        <v>995</v>
      </c>
      <c r="B1490" t="s">
        <v>1540</v>
      </c>
      <c r="C1490" t="s">
        <v>2670</v>
      </c>
      <c r="D1490" t="s">
        <v>1203</v>
      </c>
      <c r="E1490" t="s">
        <v>1204</v>
      </c>
      <c r="F1490">
        <v>6827</v>
      </c>
      <c r="G1490" t="s">
        <v>2673</v>
      </c>
      <c r="H1490" t="s">
        <v>2665</v>
      </c>
      <c r="I1490">
        <v>10319</v>
      </c>
      <c r="J1490">
        <v>11383</v>
      </c>
      <c r="K1490">
        <v>12498</v>
      </c>
      <c r="L1490">
        <v>13273</v>
      </c>
      <c r="M1490">
        <v>14109</v>
      </c>
      <c r="N1490" t="s">
        <v>988</v>
      </c>
    </row>
    <row r="1491" spans="1:14" hidden="1" x14ac:dyDescent="0.3">
      <c r="A1491">
        <v>995</v>
      </c>
      <c r="B1491" t="s">
        <v>1540</v>
      </c>
      <c r="C1491" t="s">
        <v>2670</v>
      </c>
      <c r="D1491" t="s">
        <v>1203</v>
      </c>
      <c r="E1491" t="s">
        <v>1204</v>
      </c>
      <c r="F1491">
        <v>6827</v>
      </c>
      <c r="G1491" t="s">
        <v>2673</v>
      </c>
      <c r="H1491" t="s">
        <v>2664</v>
      </c>
      <c r="I1491">
        <v>18833</v>
      </c>
      <c r="J1491">
        <v>19229</v>
      </c>
      <c r="K1491">
        <v>19624</v>
      </c>
      <c r="L1491">
        <v>19624</v>
      </c>
      <c r="M1491">
        <v>19624</v>
      </c>
      <c r="N1491" t="s">
        <v>988</v>
      </c>
    </row>
    <row r="1492" spans="1:14" hidden="1" x14ac:dyDescent="0.3">
      <c r="A1492">
        <v>995</v>
      </c>
      <c r="B1492" t="s">
        <v>1540</v>
      </c>
      <c r="C1492" t="s">
        <v>2670</v>
      </c>
      <c r="D1492" t="s">
        <v>1203</v>
      </c>
      <c r="E1492" t="s">
        <v>1204</v>
      </c>
      <c r="F1492">
        <v>6827</v>
      </c>
      <c r="G1492" t="s">
        <v>2674</v>
      </c>
      <c r="H1492" t="s">
        <v>2665</v>
      </c>
      <c r="I1492">
        <v>10319</v>
      </c>
      <c r="J1492">
        <v>11383</v>
      </c>
      <c r="K1492">
        <v>12498</v>
      </c>
      <c r="L1492">
        <v>13273</v>
      </c>
      <c r="M1492">
        <v>14109</v>
      </c>
      <c r="N1492" t="s">
        <v>988</v>
      </c>
    </row>
    <row r="1493" spans="1:14" hidden="1" x14ac:dyDescent="0.3">
      <c r="A1493">
        <v>995</v>
      </c>
      <c r="B1493" t="s">
        <v>1540</v>
      </c>
      <c r="C1493" t="s">
        <v>2670</v>
      </c>
      <c r="D1493" t="s">
        <v>1203</v>
      </c>
      <c r="E1493" t="s">
        <v>1204</v>
      </c>
      <c r="F1493">
        <v>6827</v>
      </c>
      <c r="G1493" t="s">
        <v>2674</v>
      </c>
      <c r="H1493" t="s">
        <v>2664</v>
      </c>
      <c r="I1493">
        <v>18613</v>
      </c>
      <c r="J1493">
        <v>19009</v>
      </c>
      <c r="K1493">
        <v>19404</v>
      </c>
      <c r="L1493">
        <v>19404</v>
      </c>
      <c r="M1493">
        <v>19404</v>
      </c>
      <c r="N1493" t="s">
        <v>988</v>
      </c>
    </row>
    <row r="1494" spans="1:14" hidden="1" x14ac:dyDescent="0.3">
      <c r="A1494">
        <v>995</v>
      </c>
      <c r="B1494" t="s">
        <v>1540</v>
      </c>
      <c r="C1494" t="s">
        <v>2670</v>
      </c>
      <c r="D1494" t="s">
        <v>1203</v>
      </c>
      <c r="E1494" t="s">
        <v>1204</v>
      </c>
      <c r="F1494">
        <v>6827</v>
      </c>
      <c r="G1494" t="s">
        <v>2675</v>
      </c>
      <c r="H1494" t="s">
        <v>2665</v>
      </c>
      <c r="I1494">
        <v>10319</v>
      </c>
      <c r="J1494">
        <v>11383</v>
      </c>
      <c r="K1494">
        <v>12498</v>
      </c>
      <c r="L1494">
        <v>13273</v>
      </c>
      <c r="M1494">
        <v>14109</v>
      </c>
      <c r="N1494" t="s">
        <v>988</v>
      </c>
    </row>
    <row r="1495" spans="1:14" hidden="1" x14ac:dyDescent="0.3">
      <c r="A1495">
        <v>995</v>
      </c>
      <c r="B1495" t="s">
        <v>1540</v>
      </c>
      <c r="C1495" t="s">
        <v>2670</v>
      </c>
      <c r="D1495" t="s">
        <v>1203</v>
      </c>
      <c r="E1495" t="s">
        <v>1204</v>
      </c>
      <c r="F1495">
        <v>6827</v>
      </c>
      <c r="G1495" t="s">
        <v>2671</v>
      </c>
      <c r="H1495" t="s">
        <v>2664</v>
      </c>
      <c r="I1495">
        <v>18613</v>
      </c>
      <c r="J1495">
        <v>19009</v>
      </c>
      <c r="K1495">
        <v>19404</v>
      </c>
      <c r="L1495">
        <v>19404</v>
      </c>
      <c r="M1495">
        <v>19404</v>
      </c>
      <c r="N1495" t="s">
        <v>988</v>
      </c>
    </row>
    <row r="1496" spans="1:14" hidden="1" x14ac:dyDescent="0.3">
      <c r="A1496">
        <v>995</v>
      </c>
      <c r="B1496" t="s">
        <v>1540</v>
      </c>
      <c r="C1496" t="s">
        <v>2670</v>
      </c>
      <c r="D1496" t="s">
        <v>1203</v>
      </c>
      <c r="E1496" t="s">
        <v>1204</v>
      </c>
      <c r="F1496">
        <v>6827</v>
      </c>
      <c r="G1496" t="s">
        <v>2676</v>
      </c>
      <c r="H1496" t="s">
        <v>2665</v>
      </c>
      <c r="I1496">
        <v>10319</v>
      </c>
      <c r="J1496">
        <v>11383</v>
      </c>
      <c r="K1496">
        <v>12498</v>
      </c>
      <c r="L1496">
        <v>13273</v>
      </c>
      <c r="M1496">
        <v>14109</v>
      </c>
      <c r="N1496" t="s">
        <v>988</v>
      </c>
    </row>
    <row r="1497" spans="1:14" hidden="1" x14ac:dyDescent="0.3">
      <c r="A1497">
        <v>995</v>
      </c>
      <c r="B1497" t="s">
        <v>1540</v>
      </c>
      <c r="C1497" t="s">
        <v>2670</v>
      </c>
      <c r="D1497" t="s">
        <v>1203</v>
      </c>
      <c r="E1497" t="s">
        <v>1204</v>
      </c>
      <c r="F1497">
        <v>6827</v>
      </c>
      <c r="G1497" t="s">
        <v>2676</v>
      </c>
      <c r="H1497" t="s">
        <v>2664</v>
      </c>
      <c r="I1497">
        <v>18833</v>
      </c>
      <c r="J1497">
        <v>19229</v>
      </c>
      <c r="K1497">
        <v>19624</v>
      </c>
      <c r="L1497">
        <v>19624</v>
      </c>
      <c r="M1497">
        <v>19624</v>
      </c>
      <c r="N1497" t="s">
        <v>988</v>
      </c>
    </row>
    <row r="1498" spans="1:14" hidden="1" x14ac:dyDescent="0.3">
      <c r="A1498">
        <v>995</v>
      </c>
      <c r="B1498" t="s">
        <v>1540</v>
      </c>
      <c r="C1498" t="s">
        <v>2670</v>
      </c>
      <c r="D1498" t="s">
        <v>1203</v>
      </c>
      <c r="E1498" t="s">
        <v>1204</v>
      </c>
      <c r="F1498">
        <v>6827</v>
      </c>
      <c r="G1498" t="s">
        <v>2672</v>
      </c>
      <c r="H1498" t="s">
        <v>2665</v>
      </c>
      <c r="N1498" t="s">
        <v>988</v>
      </c>
    </row>
    <row r="1499" spans="1:14" hidden="1" x14ac:dyDescent="0.3">
      <c r="A1499">
        <v>995</v>
      </c>
      <c r="B1499" t="s">
        <v>1540</v>
      </c>
      <c r="C1499" t="s">
        <v>2670</v>
      </c>
      <c r="D1499" t="s">
        <v>1203</v>
      </c>
      <c r="E1499" t="s">
        <v>1204</v>
      </c>
      <c r="F1499">
        <v>6827</v>
      </c>
      <c r="G1499" t="s">
        <v>2672</v>
      </c>
      <c r="H1499" t="s">
        <v>2664</v>
      </c>
      <c r="N1499" t="s">
        <v>988</v>
      </c>
    </row>
    <row r="1500" spans="1:14" hidden="1" x14ac:dyDescent="0.3">
      <c r="A1500">
        <v>995</v>
      </c>
      <c r="B1500" t="s">
        <v>1540</v>
      </c>
      <c r="C1500" t="s">
        <v>2670</v>
      </c>
      <c r="D1500" t="s">
        <v>1203</v>
      </c>
      <c r="E1500" t="s">
        <v>1204</v>
      </c>
      <c r="F1500">
        <v>6827</v>
      </c>
      <c r="G1500" t="s">
        <v>2671</v>
      </c>
      <c r="H1500" t="s">
        <v>2665</v>
      </c>
      <c r="I1500">
        <v>10319</v>
      </c>
      <c r="J1500">
        <v>11383</v>
      </c>
      <c r="K1500">
        <v>12498</v>
      </c>
      <c r="L1500">
        <v>13273</v>
      </c>
      <c r="M1500">
        <v>14109</v>
      </c>
      <c r="N1500" t="s">
        <v>988</v>
      </c>
    </row>
    <row r="1501" spans="1:14" hidden="1" x14ac:dyDescent="0.3">
      <c r="A1501">
        <v>995</v>
      </c>
      <c r="B1501" t="s">
        <v>1540</v>
      </c>
      <c r="C1501" t="s">
        <v>2670</v>
      </c>
      <c r="D1501" t="s">
        <v>1203</v>
      </c>
      <c r="E1501" t="s">
        <v>1204</v>
      </c>
      <c r="F1501">
        <v>6827</v>
      </c>
      <c r="G1501" t="s">
        <v>2675</v>
      </c>
      <c r="H1501" t="s">
        <v>2664</v>
      </c>
      <c r="I1501">
        <v>19933</v>
      </c>
      <c r="J1501">
        <v>20329</v>
      </c>
      <c r="K1501">
        <v>20724</v>
      </c>
      <c r="L1501">
        <v>20724</v>
      </c>
      <c r="M1501">
        <v>20724</v>
      </c>
      <c r="N1501" t="s">
        <v>988</v>
      </c>
    </row>
    <row r="1502" spans="1:14" hidden="1" x14ac:dyDescent="0.3">
      <c r="A1502">
        <v>1004</v>
      </c>
      <c r="B1502" t="s">
        <v>1541</v>
      </c>
      <c r="C1502" t="s">
        <v>2670</v>
      </c>
      <c r="D1502" t="s">
        <v>1203</v>
      </c>
      <c r="E1502" t="s">
        <v>1204</v>
      </c>
      <c r="F1502">
        <v>5904</v>
      </c>
      <c r="G1502" t="s">
        <v>2675</v>
      </c>
      <c r="H1502" t="s">
        <v>2664</v>
      </c>
      <c r="I1502">
        <v>10681</v>
      </c>
      <c r="J1502">
        <v>12292</v>
      </c>
      <c r="K1502">
        <v>13270</v>
      </c>
      <c r="L1502">
        <v>13270</v>
      </c>
      <c r="M1502">
        <v>13270</v>
      </c>
      <c r="N1502" t="s">
        <v>988</v>
      </c>
    </row>
    <row r="1503" spans="1:14" hidden="1" x14ac:dyDescent="0.3">
      <c r="A1503">
        <v>1004</v>
      </c>
      <c r="B1503" t="s">
        <v>1541</v>
      </c>
      <c r="C1503" t="s">
        <v>2670</v>
      </c>
      <c r="D1503" t="s">
        <v>1203</v>
      </c>
      <c r="E1503" t="s">
        <v>1204</v>
      </c>
      <c r="F1503">
        <v>5904</v>
      </c>
      <c r="G1503" t="s">
        <v>2675</v>
      </c>
      <c r="H1503" t="s">
        <v>2665</v>
      </c>
      <c r="I1503">
        <v>25808</v>
      </c>
      <c r="J1503">
        <v>26045</v>
      </c>
      <c r="K1503">
        <v>25951</v>
      </c>
      <c r="L1503">
        <v>25972</v>
      </c>
      <c r="N1503" t="s">
        <v>988</v>
      </c>
    </row>
    <row r="1504" spans="1:14" hidden="1" x14ac:dyDescent="0.3">
      <c r="A1504">
        <v>1004</v>
      </c>
      <c r="B1504" t="s">
        <v>1541</v>
      </c>
      <c r="C1504" t="s">
        <v>2670</v>
      </c>
      <c r="D1504" t="s">
        <v>1203</v>
      </c>
      <c r="E1504" t="s">
        <v>1204</v>
      </c>
      <c r="F1504">
        <v>5904</v>
      </c>
      <c r="G1504" t="s">
        <v>2674</v>
      </c>
      <c r="H1504" t="s">
        <v>2664</v>
      </c>
      <c r="I1504">
        <v>11022</v>
      </c>
      <c r="J1504">
        <v>12536</v>
      </c>
      <c r="K1504">
        <v>13270</v>
      </c>
      <c r="L1504">
        <v>13279</v>
      </c>
      <c r="M1504">
        <v>13270</v>
      </c>
      <c r="N1504" t="s">
        <v>988</v>
      </c>
    </row>
    <row r="1505" spans="1:14" hidden="1" x14ac:dyDescent="0.3">
      <c r="A1505">
        <v>1004</v>
      </c>
      <c r="B1505" t="s">
        <v>1541</v>
      </c>
      <c r="C1505" t="s">
        <v>2670</v>
      </c>
      <c r="D1505" t="s">
        <v>1203</v>
      </c>
      <c r="E1505" t="s">
        <v>1204</v>
      </c>
      <c r="F1505">
        <v>5904</v>
      </c>
      <c r="G1505" t="s">
        <v>2674</v>
      </c>
      <c r="H1505" t="s">
        <v>2665</v>
      </c>
      <c r="I1505">
        <v>25873</v>
      </c>
      <c r="J1505">
        <v>26021</v>
      </c>
      <c r="K1505">
        <v>25952</v>
      </c>
      <c r="L1505">
        <v>25991</v>
      </c>
      <c r="N1505" t="s">
        <v>988</v>
      </c>
    </row>
    <row r="1506" spans="1:14" hidden="1" x14ac:dyDescent="0.3">
      <c r="A1506">
        <v>1004</v>
      </c>
      <c r="B1506" t="s">
        <v>1541</v>
      </c>
      <c r="C1506" t="s">
        <v>2670</v>
      </c>
      <c r="D1506" t="s">
        <v>1203</v>
      </c>
      <c r="E1506" t="s">
        <v>1204</v>
      </c>
      <c r="F1506">
        <v>5904</v>
      </c>
      <c r="G1506" t="s">
        <v>2673</v>
      </c>
      <c r="H1506" t="s">
        <v>2664</v>
      </c>
      <c r="I1506">
        <v>11363</v>
      </c>
      <c r="J1506">
        <v>12781</v>
      </c>
      <c r="K1506">
        <v>13270</v>
      </c>
      <c r="L1506">
        <v>13279</v>
      </c>
      <c r="M1506">
        <v>13270</v>
      </c>
      <c r="N1506" t="s">
        <v>988</v>
      </c>
    </row>
    <row r="1507" spans="1:14" hidden="1" x14ac:dyDescent="0.3">
      <c r="A1507">
        <v>1004</v>
      </c>
      <c r="B1507" t="s">
        <v>1541</v>
      </c>
      <c r="C1507" t="s">
        <v>2670</v>
      </c>
      <c r="D1507" t="s">
        <v>1203</v>
      </c>
      <c r="E1507" t="s">
        <v>1204</v>
      </c>
      <c r="F1507">
        <v>5904</v>
      </c>
      <c r="G1507" t="s">
        <v>2676</v>
      </c>
      <c r="H1507" t="s">
        <v>2665</v>
      </c>
      <c r="I1507">
        <v>25743</v>
      </c>
      <c r="J1507">
        <v>26069</v>
      </c>
      <c r="K1507">
        <v>25950</v>
      </c>
      <c r="L1507">
        <v>25953</v>
      </c>
      <c r="M1507">
        <v>26049</v>
      </c>
      <c r="N1507" t="s">
        <v>988</v>
      </c>
    </row>
    <row r="1508" spans="1:14" hidden="1" x14ac:dyDescent="0.3">
      <c r="A1508">
        <v>1004</v>
      </c>
      <c r="B1508" t="s">
        <v>1541</v>
      </c>
      <c r="C1508" t="s">
        <v>2670</v>
      </c>
      <c r="D1508" t="s">
        <v>1203</v>
      </c>
      <c r="E1508" t="s">
        <v>1204</v>
      </c>
      <c r="F1508">
        <v>5904</v>
      </c>
      <c r="G1508" t="s">
        <v>2671</v>
      </c>
      <c r="H1508" t="s">
        <v>2664</v>
      </c>
      <c r="I1508">
        <v>11704</v>
      </c>
      <c r="J1508">
        <v>13026</v>
      </c>
      <c r="K1508">
        <v>13270</v>
      </c>
      <c r="L1508">
        <v>13270</v>
      </c>
      <c r="M1508">
        <v>13270</v>
      </c>
      <c r="N1508" t="s">
        <v>988</v>
      </c>
    </row>
    <row r="1509" spans="1:14" hidden="1" x14ac:dyDescent="0.3">
      <c r="A1509">
        <v>1004</v>
      </c>
      <c r="B1509" t="s">
        <v>1541</v>
      </c>
      <c r="C1509" t="s">
        <v>2670</v>
      </c>
      <c r="D1509" t="s">
        <v>1203</v>
      </c>
      <c r="E1509" t="s">
        <v>1204</v>
      </c>
      <c r="F1509">
        <v>5904</v>
      </c>
      <c r="G1509" t="s">
        <v>2671</v>
      </c>
      <c r="H1509" t="s">
        <v>2665</v>
      </c>
      <c r="I1509">
        <v>26003</v>
      </c>
      <c r="J1509">
        <v>25973</v>
      </c>
      <c r="K1509">
        <v>25954</v>
      </c>
      <c r="L1509">
        <v>26029</v>
      </c>
      <c r="N1509" t="s">
        <v>988</v>
      </c>
    </row>
    <row r="1510" spans="1:14" hidden="1" x14ac:dyDescent="0.3">
      <c r="A1510">
        <v>1004</v>
      </c>
      <c r="B1510" t="s">
        <v>1541</v>
      </c>
      <c r="C1510" t="s">
        <v>2670</v>
      </c>
      <c r="D1510" t="s">
        <v>1203</v>
      </c>
      <c r="E1510" t="s">
        <v>1204</v>
      </c>
      <c r="F1510">
        <v>5904</v>
      </c>
      <c r="G1510" t="s">
        <v>2672</v>
      </c>
      <c r="H1510" t="s">
        <v>2664</v>
      </c>
      <c r="I1510">
        <v>12046</v>
      </c>
      <c r="J1510">
        <v>13270</v>
      </c>
      <c r="K1510">
        <v>13270</v>
      </c>
      <c r="L1510">
        <v>13270</v>
      </c>
      <c r="M1510">
        <v>13270</v>
      </c>
      <c r="N1510" t="s">
        <v>988</v>
      </c>
    </row>
    <row r="1511" spans="1:14" hidden="1" x14ac:dyDescent="0.3">
      <c r="A1511">
        <v>1004</v>
      </c>
      <c r="B1511" t="s">
        <v>1541</v>
      </c>
      <c r="C1511" t="s">
        <v>2670</v>
      </c>
      <c r="D1511" t="s">
        <v>1203</v>
      </c>
      <c r="E1511" t="s">
        <v>1204</v>
      </c>
      <c r="F1511">
        <v>5904</v>
      </c>
      <c r="G1511" t="s">
        <v>2672</v>
      </c>
      <c r="H1511" t="s">
        <v>2665</v>
      </c>
      <c r="I1511">
        <v>26069</v>
      </c>
      <c r="J1511">
        <v>25950</v>
      </c>
      <c r="K1511">
        <v>25955</v>
      </c>
      <c r="L1511">
        <v>26049</v>
      </c>
      <c r="N1511" t="s">
        <v>988</v>
      </c>
    </row>
    <row r="1512" spans="1:14" hidden="1" x14ac:dyDescent="0.3">
      <c r="A1512">
        <v>1004</v>
      </c>
      <c r="B1512" t="s">
        <v>1541</v>
      </c>
      <c r="C1512" t="s">
        <v>2670</v>
      </c>
      <c r="D1512" t="s">
        <v>1203</v>
      </c>
      <c r="E1512" t="s">
        <v>1204</v>
      </c>
      <c r="F1512">
        <v>5904</v>
      </c>
      <c r="G1512" t="s">
        <v>2676</v>
      </c>
      <c r="H1512" t="s">
        <v>2664</v>
      </c>
      <c r="I1512">
        <v>10340</v>
      </c>
      <c r="J1512">
        <v>12046</v>
      </c>
      <c r="K1512">
        <v>13270</v>
      </c>
      <c r="L1512">
        <v>13270</v>
      </c>
      <c r="M1512">
        <v>13270</v>
      </c>
      <c r="N1512" t="s">
        <v>988</v>
      </c>
    </row>
    <row r="1513" spans="1:14" hidden="1" x14ac:dyDescent="0.3">
      <c r="A1513">
        <v>1004</v>
      </c>
      <c r="B1513" t="s">
        <v>1541</v>
      </c>
      <c r="C1513" t="s">
        <v>2670</v>
      </c>
      <c r="D1513" t="s">
        <v>1203</v>
      </c>
      <c r="E1513" t="s">
        <v>1204</v>
      </c>
      <c r="F1513">
        <v>5904</v>
      </c>
      <c r="G1513" t="s">
        <v>2673</v>
      </c>
      <c r="H1513" t="s">
        <v>2665</v>
      </c>
      <c r="I1513">
        <v>25938</v>
      </c>
      <c r="J1513">
        <v>25997</v>
      </c>
      <c r="K1513">
        <v>25953</v>
      </c>
      <c r="L1513">
        <v>26010</v>
      </c>
      <c r="N1513" t="s">
        <v>988</v>
      </c>
    </row>
    <row r="1514" spans="1:14" hidden="1" x14ac:dyDescent="0.3">
      <c r="A1514">
        <v>1005</v>
      </c>
      <c r="B1514" t="s">
        <v>1542</v>
      </c>
      <c r="C1514" t="s">
        <v>2670</v>
      </c>
      <c r="D1514" t="s">
        <v>1203</v>
      </c>
      <c r="E1514" t="s">
        <v>1204</v>
      </c>
      <c r="F1514">
        <v>5451</v>
      </c>
      <c r="G1514" t="s">
        <v>2676</v>
      </c>
      <c r="H1514" t="s">
        <v>2665</v>
      </c>
      <c r="I1514">
        <v>11937</v>
      </c>
      <c r="J1514">
        <v>13616</v>
      </c>
      <c r="K1514">
        <v>13762</v>
      </c>
      <c r="L1514">
        <v>13910</v>
      </c>
      <c r="M1514">
        <v>14059</v>
      </c>
      <c r="N1514" t="s">
        <v>988</v>
      </c>
    </row>
    <row r="1515" spans="1:14" hidden="1" x14ac:dyDescent="0.3">
      <c r="A1515">
        <v>1005</v>
      </c>
      <c r="B1515" t="s">
        <v>1542</v>
      </c>
      <c r="C1515" t="s">
        <v>2670</v>
      </c>
      <c r="D1515" t="s">
        <v>1203</v>
      </c>
      <c r="E1515" t="s">
        <v>1204</v>
      </c>
      <c r="F1515">
        <v>5451</v>
      </c>
      <c r="G1515" t="s">
        <v>2675</v>
      </c>
      <c r="H1515" t="s">
        <v>2664</v>
      </c>
      <c r="I1515">
        <v>12479</v>
      </c>
      <c r="J1515">
        <v>14234</v>
      </c>
      <c r="K1515">
        <v>14386</v>
      </c>
      <c r="L1515">
        <v>14541</v>
      </c>
      <c r="M1515">
        <v>14697</v>
      </c>
      <c r="N1515" t="s">
        <v>988</v>
      </c>
    </row>
    <row r="1516" spans="1:14" hidden="1" x14ac:dyDescent="0.3">
      <c r="A1516">
        <v>1005</v>
      </c>
      <c r="B1516" t="s">
        <v>1542</v>
      </c>
      <c r="C1516" t="s">
        <v>2670</v>
      </c>
      <c r="D1516" t="s">
        <v>1203</v>
      </c>
      <c r="E1516" t="s">
        <v>1204</v>
      </c>
      <c r="F1516">
        <v>5451</v>
      </c>
      <c r="G1516" t="s">
        <v>2675</v>
      </c>
      <c r="H1516" t="s">
        <v>2665</v>
      </c>
      <c r="I1516">
        <v>12479</v>
      </c>
      <c r="J1516">
        <v>14234</v>
      </c>
      <c r="K1516">
        <v>14386</v>
      </c>
      <c r="L1516">
        <v>14541</v>
      </c>
      <c r="M1516">
        <v>14697</v>
      </c>
      <c r="N1516" t="s">
        <v>988</v>
      </c>
    </row>
    <row r="1517" spans="1:14" hidden="1" x14ac:dyDescent="0.3">
      <c r="A1517">
        <v>1005</v>
      </c>
      <c r="B1517" t="s">
        <v>1542</v>
      </c>
      <c r="C1517" t="s">
        <v>2670</v>
      </c>
      <c r="D1517" t="s">
        <v>1203</v>
      </c>
      <c r="E1517" t="s">
        <v>1204</v>
      </c>
      <c r="F1517">
        <v>5451</v>
      </c>
      <c r="G1517" t="s">
        <v>2674</v>
      </c>
      <c r="H1517" t="s">
        <v>2664</v>
      </c>
      <c r="I1517">
        <v>13157</v>
      </c>
      <c r="J1517">
        <v>15007</v>
      </c>
      <c r="K1517">
        <v>15168</v>
      </c>
      <c r="L1517">
        <v>15331</v>
      </c>
      <c r="M1517">
        <v>15496</v>
      </c>
      <c r="N1517" t="s">
        <v>988</v>
      </c>
    </row>
    <row r="1518" spans="1:14" hidden="1" x14ac:dyDescent="0.3">
      <c r="A1518">
        <v>1005</v>
      </c>
      <c r="B1518" t="s">
        <v>1542</v>
      </c>
      <c r="C1518" t="s">
        <v>2670</v>
      </c>
      <c r="D1518" t="s">
        <v>1203</v>
      </c>
      <c r="E1518" t="s">
        <v>1204</v>
      </c>
      <c r="F1518">
        <v>5451</v>
      </c>
      <c r="G1518" t="s">
        <v>2674</v>
      </c>
      <c r="H1518" t="s">
        <v>2665</v>
      </c>
      <c r="I1518">
        <v>13157</v>
      </c>
      <c r="J1518">
        <v>15007</v>
      </c>
      <c r="K1518">
        <v>15168</v>
      </c>
      <c r="L1518">
        <v>15331</v>
      </c>
      <c r="M1518">
        <v>15496</v>
      </c>
      <c r="N1518" t="s">
        <v>988</v>
      </c>
    </row>
    <row r="1519" spans="1:14" hidden="1" x14ac:dyDescent="0.3">
      <c r="A1519">
        <v>1005</v>
      </c>
      <c r="B1519" t="s">
        <v>1542</v>
      </c>
      <c r="C1519" t="s">
        <v>2670</v>
      </c>
      <c r="D1519" t="s">
        <v>1203</v>
      </c>
      <c r="E1519" t="s">
        <v>1204</v>
      </c>
      <c r="F1519">
        <v>5451</v>
      </c>
      <c r="G1519" t="s">
        <v>2673</v>
      </c>
      <c r="H1519" t="s">
        <v>2664</v>
      </c>
      <c r="I1519">
        <v>10581</v>
      </c>
      <c r="J1519">
        <v>12069</v>
      </c>
      <c r="K1519">
        <v>12198</v>
      </c>
      <c r="L1519">
        <v>12329</v>
      </c>
      <c r="M1519">
        <v>12462</v>
      </c>
      <c r="N1519" t="s">
        <v>988</v>
      </c>
    </row>
    <row r="1520" spans="1:14" hidden="1" x14ac:dyDescent="0.3">
      <c r="A1520">
        <v>1005</v>
      </c>
      <c r="B1520" t="s">
        <v>1542</v>
      </c>
      <c r="C1520" t="s">
        <v>2670</v>
      </c>
      <c r="D1520" t="s">
        <v>1203</v>
      </c>
      <c r="E1520" t="s">
        <v>1204</v>
      </c>
      <c r="F1520">
        <v>5451</v>
      </c>
      <c r="G1520" t="s">
        <v>2673</v>
      </c>
      <c r="H1520" t="s">
        <v>2665</v>
      </c>
      <c r="I1520">
        <v>10581</v>
      </c>
      <c r="J1520">
        <v>12069</v>
      </c>
      <c r="K1520">
        <v>12198</v>
      </c>
      <c r="L1520">
        <v>12329</v>
      </c>
      <c r="M1520">
        <v>12462</v>
      </c>
      <c r="N1520" t="s">
        <v>988</v>
      </c>
    </row>
    <row r="1521" spans="1:14" hidden="1" x14ac:dyDescent="0.3">
      <c r="A1521">
        <v>1005</v>
      </c>
      <c r="B1521" t="s">
        <v>1542</v>
      </c>
      <c r="C1521" t="s">
        <v>2670</v>
      </c>
      <c r="D1521" t="s">
        <v>1203</v>
      </c>
      <c r="E1521" t="s">
        <v>1204</v>
      </c>
      <c r="F1521">
        <v>5451</v>
      </c>
      <c r="G1521" t="s">
        <v>2671</v>
      </c>
      <c r="H1521" t="s">
        <v>2664</v>
      </c>
      <c r="I1521">
        <v>8761</v>
      </c>
      <c r="J1521">
        <v>9993</v>
      </c>
      <c r="K1521">
        <v>10101</v>
      </c>
      <c r="L1521">
        <v>10209</v>
      </c>
      <c r="M1521">
        <v>10318</v>
      </c>
      <c r="N1521" t="s">
        <v>988</v>
      </c>
    </row>
    <row r="1522" spans="1:14" hidden="1" x14ac:dyDescent="0.3">
      <c r="A1522">
        <v>1005</v>
      </c>
      <c r="B1522" t="s">
        <v>1542</v>
      </c>
      <c r="C1522" t="s">
        <v>2670</v>
      </c>
      <c r="D1522" t="s">
        <v>1203</v>
      </c>
      <c r="E1522" t="s">
        <v>1204</v>
      </c>
      <c r="F1522">
        <v>5451</v>
      </c>
      <c r="G1522" t="s">
        <v>2671</v>
      </c>
      <c r="H1522" t="s">
        <v>2665</v>
      </c>
      <c r="I1522">
        <v>8761</v>
      </c>
      <c r="J1522">
        <v>9993</v>
      </c>
      <c r="K1522">
        <v>10101</v>
      </c>
      <c r="L1522">
        <v>10209</v>
      </c>
      <c r="M1522">
        <v>10318</v>
      </c>
      <c r="N1522" t="s">
        <v>988</v>
      </c>
    </row>
    <row r="1523" spans="1:14" hidden="1" x14ac:dyDescent="0.3">
      <c r="A1523">
        <v>1005</v>
      </c>
      <c r="B1523" t="s">
        <v>1542</v>
      </c>
      <c r="C1523" t="s">
        <v>2670</v>
      </c>
      <c r="D1523" t="s">
        <v>1203</v>
      </c>
      <c r="E1523" t="s">
        <v>1204</v>
      </c>
      <c r="F1523">
        <v>5451</v>
      </c>
      <c r="G1523" t="s">
        <v>2672</v>
      </c>
      <c r="H1523" t="s">
        <v>2664</v>
      </c>
      <c r="N1523" t="s">
        <v>988</v>
      </c>
    </row>
    <row r="1524" spans="1:14" hidden="1" x14ac:dyDescent="0.3">
      <c r="A1524">
        <v>1005</v>
      </c>
      <c r="B1524" t="s">
        <v>1542</v>
      </c>
      <c r="C1524" t="s">
        <v>2670</v>
      </c>
      <c r="D1524" t="s">
        <v>1203</v>
      </c>
      <c r="E1524" t="s">
        <v>1204</v>
      </c>
      <c r="F1524">
        <v>5451</v>
      </c>
      <c r="G1524" t="s">
        <v>2676</v>
      </c>
      <c r="H1524" t="s">
        <v>2664</v>
      </c>
      <c r="I1524">
        <v>11937</v>
      </c>
      <c r="J1524">
        <v>13616</v>
      </c>
      <c r="K1524">
        <v>13762</v>
      </c>
      <c r="L1524">
        <v>13910</v>
      </c>
      <c r="M1524">
        <v>14059</v>
      </c>
      <c r="N1524" t="s">
        <v>988</v>
      </c>
    </row>
    <row r="1525" spans="1:14" hidden="1" x14ac:dyDescent="0.3">
      <c r="A1525">
        <v>1005</v>
      </c>
      <c r="B1525" t="s">
        <v>1542</v>
      </c>
      <c r="C1525" t="s">
        <v>2670</v>
      </c>
      <c r="D1525" t="s">
        <v>1203</v>
      </c>
      <c r="E1525" t="s">
        <v>1204</v>
      </c>
      <c r="F1525">
        <v>5451</v>
      </c>
      <c r="G1525" t="s">
        <v>2672</v>
      </c>
      <c r="H1525" t="s">
        <v>2665</v>
      </c>
      <c r="N1525" t="s">
        <v>988</v>
      </c>
    </row>
    <row r="1526" spans="1:14" hidden="1" x14ac:dyDescent="0.3">
      <c r="A1526">
        <v>1029</v>
      </c>
      <c r="B1526" t="s">
        <v>1543</v>
      </c>
      <c r="C1526" t="s">
        <v>2670</v>
      </c>
      <c r="D1526" t="s">
        <v>1203</v>
      </c>
      <c r="E1526" t="s">
        <v>1204</v>
      </c>
      <c r="F1526">
        <v>5875</v>
      </c>
      <c r="G1526" t="s">
        <v>2676</v>
      </c>
      <c r="H1526" t="s">
        <v>2665</v>
      </c>
      <c r="I1526">
        <v>5620</v>
      </c>
      <c r="J1526">
        <v>5668</v>
      </c>
      <c r="K1526">
        <v>5716</v>
      </c>
      <c r="L1526">
        <v>5764</v>
      </c>
      <c r="M1526">
        <v>5813</v>
      </c>
      <c r="N1526" t="s">
        <v>988</v>
      </c>
    </row>
    <row r="1527" spans="1:14" hidden="1" x14ac:dyDescent="0.3">
      <c r="A1527">
        <v>1029</v>
      </c>
      <c r="B1527" t="s">
        <v>1543</v>
      </c>
      <c r="C1527" t="s">
        <v>2670</v>
      </c>
      <c r="D1527" t="s">
        <v>1203</v>
      </c>
      <c r="E1527" t="s">
        <v>1204</v>
      </c>
      <c r="F1527">
        <v>5875</v>
      </c>
      <c r="G1527" t="s">
        <v>2675</v>
      </c>
      <c r="H1527" t="s">
        <v>2664</v>
      </c>
      <c r="I1527">
        <v>5630</v>
      </c>
      <c r="J1527">
        <v>5677</v>
      </c>
      <c r="K1527">
        <v>5725</v>
      </c>
      <c r="L1527">
        <v>5774</v>
      </c>
      <c r="M1527">
        <v>5813</v>
      </c>
      <c r="N1527" t="s">
        <v>988</v>
      </c>
    </row>
    <row r="1528" spans="1:14" hidden="1" x14ac:dyDescent="0.3">
      <c r="A1528">
        <v>1029</v>
      </c>
      <c r="B1528" t="s">
        <v>1543</v>
      </c>
      <c r="C1528" t="s">
        <v>2670</v>
      </c>
      <c r="D1528" t="s">
        <v>1203</v>
      </c>
      <c r="E1528" t="s">
        <v>1204</v>
      </c>
      <c r="F1528">
        <v>5875</v>
      </c>
      <c r="G1528" t="s">
        <v>2675</v>
      </c>
      <c r="H1528" t="s">
        <v>2665</v>
      </c>
      <c r="I1528">
        <v>5630</v>
      </c>
      <c r="J1528">
        <v>5677</v>
      </c>
      <c r="K1528">
        <v>5725</v>
      </c>
      <c r="L1528">
        <v>5774</v>
      </c>
      <c r="M1528">
        <v>5813</v>
      </c>
      <c r="N1528" t="s">
        <v>988</v>
      </c>
    </row>
    <row r="1529" spans="1:14" hidden="1" x14ac:dyDescent="0.3">
      <c r="A1529">
        <v>1029</v>
      </c>
      <c r="B1529" t="s">
        <v>1543</v>
      </c>
      <c r="C1529" t="s">
        <v>2670</v>
      </c>
      <c r="D1529" t="s">
        <v>1203</v>
      </c>
      <c r="E1529" t="s">
        <v>1204</v>
      </c>
      <c r="F1529">
        <v>5875</v>
      </c>
      <c r="G1529" t="s">
        <v>2674</v>
      </c>
      <c r="H1529" t="s">
        <v>2664</v>
      </c>
      <c r="I1529">
        <v>5639</v>
      </c>
      <c r="J1529">
        <v>5687</v>
      </c>
      <c r="K1529">
        <v>5735</v>
      </c>
      <c r="L1529">
        <v>5784</v>
      </c>
      <c r="M1529">
        <v>5813</v>
      </c>
      <c r="N1529" t="s">
        <v>988</v>
      </c>
    </row>
    <row r="1530" spans="1:14" hidden="1" x14ac:dyDescent="0.3">
      <c r="A1530">
        <v>1029</v>
      </c>
      <c r="B1530" t="s">
        <v>1543</v>
      </c>
      <c r="C1530" t="s">
        <v>2670</v>
      </c>
      <c r="D1530" t="s">
        <v>1203</v>
      </c>
      <c r="E1530" t="s">
        <v>1204</v>
      </c>
      <c r="F1530">
        <v>5875</v>
      </c>
      <c r="G1530" t="s">
        <v>2674</v>
      </c>
      <c r="H1530" t="s">
        <v>2665</v>
      </c>
      <c r="I1530">
        <v>5639</v>
      </c>
      <c r="J1530">
        <v>5687</v>
      </c>
      <c r="K1530">
        <v>5735</v>
      </c>
      <c r="L1530">
        <v>5784</v>
      </c>
      <c r="M1530">
        <v>5813</v>
      </c>
      <c r="N1530" t="s">
        <v>988</v>
      </c>
    </row>
    <row r="1531" spans="1:14" hidden="1" x14ac:dyDescent="0.3">
      <c r="A1531">
        <v>1029</v>
      </c>
      <c r="B1531" t="s">
        <v>1543</v>
      </c>
      <c r="C1531" t="s">
        <v>2670</v>
      </c>
      <c r="D1531" t="s">
        <v>1203</v>
      </c>
      <c r="E1531" t="s">
        <v>1204</v>
      </c>
      <c r="F1531">
        <v>5875</v>
      </c>
      <c r="G1531" t="s">
        <v>2676</v>
      </c>
      <c r="H1531" t="s">
        <v>2664</v>
      </c>
      <c r="I1531">
        <v>5620</v>
      </c>
      <c r="J1531">
        <v>5668</v>
      </c>
      <c r="K1531">
        <v>5716</v>
      </c>
      <c r="L1531">
        <v>5764</v>
      </c>
      <c r="M1531">
        <v>5813</v>
      </c>
      <c r="N1531" t="s">
        <v>988</v>
      </c>
    </row>
    <row r="1532" spans="1:14" hidden="1" x14ac:dyDescent="0.3">
      <c r="A1532">
        <v>1029</v>
      </c>
      <c r="B1532" t="s">
        <v>1543</v>
      </c>
      <c r="C1532" t="s">
        <v>2670</v>
      </c>
      <c r="D1532" t="s">
        <v>1203</v>
      </c>
      <c r="E1532" t="s">
        <v>1204</v>
      </c>
      <c r="F1532">
        <v>5875</v>
      </c>
      <c r="G1532" t="s">
        <v>2673</v>
      </c>
      <c r="H1532" t="s">
        <v>2665</v>
      </c>
      <c r="I1532">
        <v>5649</v>
      </c>
      <c r="J1532">
        <v>5696</v>
      </c>
      <c r="K1532">
        <v>5745</v>
      </c>
      <c r="L1532">
        <v>5793</v>
      </c>
      <c r="M1532">
        <v>5813</v>
      </c>
      <c r="N1532" t="s">
        <v>988</v>
      </c>
    </row>
    <row r="1533" spans="1:14" hidden="1" x14ac:dyDescent="0.3">
      <c r="A1533">
        <v>1029</v>
      </c>
      <c r="B1533" t="s">
        <v>1543</v>
      </c>
      <c r="C1533" t="s">
        <v>2670</v>
      </c>
      <c r="D1533" t="s">
        <v>1203</v>
      </c>
      <c r="E1533" t="s">
        <v>1204</v>
      </c>
      <c r="F1533">
        <v>5875</v>
      </c>
      <c r="G1533" t="s">
        <v>2671</v>
      </c>
      <c r="H1533" t="s">
        <v>2664</v>
      </c>
      <c r="I1533">
        <v>5684</v>
      </c>
      <c r="J1533">
        <v>5706</v>
      </c>
      <c r="K1533">
        <v>5754</v>
      </c>
      <c r="L1533">
        <v>5803</v>
      </c>
      <c r="M1533">
        <v>5813</v>
      </c>
      <c r="N1533" t="s">
        <v>988</v>
      </c>
    </row>
    <row r="1534" spans="1:14" hidden="1" x14ac:dyDescent="0.3">
      <c r="A1534">
        <v>1029</v>
      </c>
      <c r="B1534" t="s">
        <v>1543</v>
      </c>
      <c r="C1534" t="s">
        <v>2670</v>
      </c>
      <c r="D1534" t="s">
        <v>1203</v>
      </c>
      <c r="E1534" t="s">
        <v>1204</v>
      </c>
      <c r="F1534">
        <v>5875</v>
      </c>
      <c r="G1534" t="s">
        <v>2671</v>
      </c>
      <c r="H1534" t="s">
        <v>2665</v>
      </c>
      <c r="I1534">
        <v>5684</v>
      </c>
      <c r="J1534">
        <v>5706</v>
      </c>
      <c r="K1534">
        <v>5754</v>
      </c>
      <c r="L1534">
        <v>5803</v>
      </c>
      <c r="M1534">
        <v>5813</v>
      </c>
      <c r="N1534" t="s">
        <v>988</v>
      </c>
    </row>
    <row r="1535" spans="1:14" hidden="1" x14ac:dyDescent="0.3">
      <c r="A1535">
        <v>1029</v>
      </c>
      <c r="B1535" t="s">
        <v>1543</v>
      </c>
      <c r="C1535" t="s">
        <v>2670</v>
      </c>
      <c r="D1535" t="s">
        <v>1203</v>
      </c>
      <c r="E1535" t="s">
        <v>1204</v>
      </c>
      <c r="F1535">
        <v>5875</v>
      </c>
      <c r="G1535" t="s">
        <v>2672</v>
      </c>
      <c r="H1535" t="s">
        <v>2664</v>
      </c>
      <c r="N1535" t="s">
        <v>988</v>
      </c>
    </row>
    <row r="1536" spans="1:14" hidden="1" x14ac:dyDescent="0.3">
      <c r="A1536">
        <v>1029</v>
      </c>
      <c r="B1536" t="s">
        <v>1543</v>
      </c>
      <c r="C1536" t="s">
        <v>2670</v>
      </c>
      <c r="D1536" t="s">
        <v>1203</v>
      </c>
      <c r="E1536" t="s">
        <v>1204</v>
      </c>
      <c r="F1536">
        <v>5875</v>
      </c>
      <c r="G1536" t="s">
        <v>2672</v>
      </c>
      <c r="H1536" t="s">
        <v>2665</v>
      </c>
      <c r="N1536" t="s">
        <v>988</v>
      </c>
    </row>
    <row r="1537" spans="1:14" hidden="1" x14ac:dyDescent="0.3">
      <c r="A1537">
        <v>1029</v>
      </c>
      <c r="B1537" t="s">
        <v>1543</v>
      </c>
      <c r="C1537" t="s">
        <v>2670</v>
      </c>
      <c r="D1537" t="s">
        <v>1203</v>
      </c>
      <c r="E1537" t="s">
        <v>1204</v>
      </c>
      <c r="F1537">
        <v>5875</v>
      </c>
      <c r="G1537" t="s">
        <v>2673</v>
      </c>
      <c r="H1537" t="s">
        <v>2664</v>
      </c>
      <c r="I1537">
        <v>5649</v>
      </c>
      <c r="J1537">
        <v>5696</v>
      </c>
      <c r="K1537">
        <v>5745</v>
      </c>
      <c r="L1537">
        <v>5793</v>
      </c>
      <c r="M1537">
        <v>5813</v>
      </c>
      <c r="N1537" t="s">
        <v>988</v>
      </c>
    </row>
    <row r="1538" spans="1:14" hidden="1" x14ac:dyDescent="0.3">
      <c r="A1538">
        <v>1030</v>
      </c>
      <c r="B1538" t="s">
        <v>1544</v>
      </c>
      <c r="C1538" t="s">
        <v>2670</v>
      </c>
      <c r="D1538" t="s">
        <v>1203</v>
      </c>
      <c r="E1538" t="s">
        <v>1204</v>
      </c>
      <c r="F1538">
        <v>5887</v>
      </c>
      <c r="G1538" t="s">
        <v>2676</v>
      </c>
      <c r="H1538" t="s">
        <v>2664</v>
      </c>
      <c r="I1538">
        <v>15128</v>
      </c>
      <c r="J1538">
        <v>14408</v>
      </c>
      <c r="K1538">
        <v>14408</v>
      </c>
      <c r="L1538">
        <v>14408</v>
      </c>
      <c r="M1538">
        <v>14408</v>
      </c>
      <c r="N1538" t="s">
        <v>988</v>
      </c>
    </row>
    <row r="1539" spans="1:14" hidden="1" x14ac:dyDescent="0.3">
      <c r="A1539">
        <v>1030</v>
      </c>
      <c r="B1539" t="s">
        <v>1544</v>
      </c>
      <c r="C1539" t="s">
        <v>2670</v>
      </c>
      <c r="D1539" t="s">
        <v>1203</v>
      </c>
      <c r="E1539" t="s">
        <v>1204</v>
      </c>
      <c r="F1539">
        <v>5887</v>
      </c>
      <c r="G1539" t="s">
        <v>2676</v>
      </c>
      <c r="H1539" t="s">
        <v>2665</v>
      </c>
      <c r="I1539">
        <v>5435</v>
      </c>
      <c r="J1539">
        <v>5528</v>
      </c>
      <c r="K1539">
        <v>5622</v>
      </c>
      <c r="L1539">
        <v>5718</v>
      </c>
      <c r="M1539">
        <v>5815</v>
      </c>
      <c r="N1539" t="s">
        <v>988</v>
      </c>
    </row>
    <row r="1540" spans="1:14" hidden="1" x14ac:dyDescent="0.3">
      <c r="A1540">
        <v>1030</v>
      </c>
      <c r="B1540" t="s">
        <v>1544</v>
      </c>
      <c r="C1540" t="s">
        <v>2670</v>
      </c>
      <c r="D1540" t="s">
        <v>1203</v>
      </c>
      <c r="E1540" t="s">
        <v>1204</v>
      </c>
      <c r="F1540">
        <v>5887</v>
      </c>
      <c r="G1540" t="s">
        <v>2675</v>
      </c>
      <c r="H1540" t="s">
        <v>2664</v>
      </c>
      <c r="I1540">
        <v>14408</v>
      </c>
      <c r="J1540">
        <v>14408</v>
      </c>
      <c r="K1540">
        <v>14408</v>
      </c>
      <c r="L1540">
        <v>14408</v>
      </c>
      <c r="M1540">
        <v>14408</v>
      </c>
      <c r="N1540" t="s">
        <v>988</v>
      </c>
    </row>
    <row r="1541" spans="1:14" hidden="1" x14ac:dyDescent="0.3">
      <c r="A1541">
        <v>1030</v>
      </c>
      <c r="B1541" t="s">
        <v>1544</v>
      </c>
      <c r="C1541" t="s">
        <v>2670</v>
      </c>
      <c r="D1541" t="s">
        <v>1203</v>
      </c>
      <c r="E1541" t="s">
        <v>1204</v>
      </c>
      <c r="F1541">
        <v>5887</v>
      </c>
      <c r="G1541" t="s">
        <v>2675</v>
      </c>
      <c r="H1541" t="s">
        <v>2665</v>
      </c>
      <c r="I1541">
        <v>5454</v>
      </c>
      <c r="J1541">
        <v>5547</v>
      </c>
      <c r="K1541">
        <v>5641</v>
      </c>
      <c r="L1541">
        <v>5737</v>
      </c>
      <c r="M1541">
        <v>5815</v>
      </c>
      <c r="N1541" t="s">
        <v>988</v>
      </c>
    </row>
    <row r="1542" spans="1:14" hidden="1" x14ac:dyDescent="0.3">
      <c r="A1542">
        <v>1030</v>
      </c>
      <c r="B1542" t="s">
        <v>1544</v>
      </c>
      <c r="C1542" t="s">
        <v>2670</v>
      </c>
      <c r="D1542" t="s">
        <v>1203</v>
      </c>
      <c r="E1542" t="s">
        <v>1204</v>
      </c>
      <c r="F1542">
        <v>5887</v>
      </c>
      <c r="G1542" t="s">
        <v>2674</v>
      </c>
      <c r="H1542" t="s">
        <v>2664</v>
      </c>
      <c r="I1542">
        <v>14408</v>
      </c>
      <c r="J1542">
        <v>14408</v>
      </c>
      <c r="K1542">
        <v>14408</v>
      </c>
      <c r="L1542">
        <v>14408</v>
      </c>
      <c r="M1542">
        <v>14408</v>
      </c>
      <c r="N1542" t="s">
        <v>988</v>
      </c>
    </row>
    <row r="1543" spans="1:14" hidden="1" x14ac:dyDescent="0.3">
      <c r="A1543">
        <v>1030</v>
      </c>
      <c r="B1543" t="s">
        <v>1544</v>
      </c>
      <c r="C1543" t="s">
        <v>2670</v>
      </c>
      <c r="D1543" t="s">
        <v>1203</v>
      </c>
      <c r="E1543" t="s">
        <v>1204</v>
      </c>
      <c r="F1543">
        <v>5887</v>
      </c>
      <c r="G1543" t="s">
        <v>2674</v>
      </c>
      <c r="H1543" t="s">
        <v>2665</v>
      </c>
      <c r="I1543">
        <v>5472</v>
      </c>
      <c r="J1543">
        <v>5565</v>
      </c>
      <c r="K1543">
        <v>5660</v>
      </c>
      <c r="L1543">
        <v>5757</v>
      </c>
      <c r="M1543">
        <v>5815</v>
      </c>
      <c r="N1543" t="s">
        <v>988</v>
      </c>
    </row>
    <row r="1544" spans="1:14" hidden="1" x14ac:dyDescent="0.3">
      <c r="A1544">
        <v>1030</v>
      </c>
      <c r="B1544" t="s">
        <v>1544</v>
      </c>
      <c r="C1544" t="s">
        <v>2670</v>
      </c>
      <c r="D1544" t="s">
        <v>1203</v>
      </c>
      <c r="E1544" t="s">
        <v>1204</v>
      </c>
      <c r="F1544">
        <v>5887</v>
      </c>
      <c r="G1544" t="s">
        <v>2673</v>
      </c>
      <c r="H1544" t="s">
        <v>2664</v>
      </c>
      <c r="I1544">
        <v>14408</v>
      </c>
      <c r="J1544">
        <v>14408</v>
      </c>
      <c r="K1544">
        <v>14408</v>
      </c>
      <c r="L1544">
        <v>14408</v>
      </c>
      <c r="M1544">
        <v>14408</v>
      </c>
      <c r="N1544" t="s">
        <v>988</v>
      </c>
    </row>
    <row r="1545" spans="1:14" hidden="1" x14ac:dyDescent="0.3">
      <c r="A1545">
        <v>1030</v>
      </c>
      <c r="B1545" t="s">
        <v>1544</v>
      </c>
      <c r="C1545" t="s">
        <v>2670</v>
      </c>
      <c r="D1545" t="s">
        <v>1203</v>
      </c>
      <c r="E1545" t="s">
        <v>1204</v>
      </c>
      <c r="F1545">
        <v>5887</v>
      </c>
      <c r="G1545" t="s">
        <v>2673</v>
      </c>
      <c r="H1545" t="s">
        <v>2665</v>
      </c>
      <c r="I1545">
        <v>5491</v>
      </c>
      <c r="J1545">
        <v>5584</v>
      </c>
      <c r="K1545">
        <v>5679</v>
      </c>
      <c r="L1545">
        <v>5776</v>
      </c>
      <c r="M1545">
        <v>5815</v>
      </c>
      <c r="N1545" t="s">
        <v>988</v>
      </c>
    </row>
    <row r="1546" spans="1:14" hidden="1" x14ac:dyDescent="0.3">
      <c r="A1546">
        <v>1030</v>
      </c>
      <c r="B1546" t="s">
        <v>1544</v>
      </c>
      <c r="C1546" t="s">
        <v>2670</v>
      </c>
      <c r="D1546" t="s">
        <v>1203</v>
      </c>
      <c r="E1546" t="s">
        <v>1204</v>
      </c>
      <c r="F1546">
        <v>5887</v>
      </c>
      <c r="G1546" t="s">
        <v>2671</v>
      </c>
      <c r="H1546" t="s">
        <v>2664</v>
      </c>
      <c r="I1546">
        <v>14408</v>
      </c>
      <c r="J1546">
        <v>14408</v>
      </c>
      <c r="K1546">
        <v>14408</v>
      </c>
      <c r="L1546">
        <v>14408</v>
      </c>
      <c r="M1546">
        <v>14408</v>
      </c>
      <c r="N1546" t="s">
        <v>988</v>
      </c>
    </row>
    <row r="1547" spans="1:14" hidden="1" x14ac:dyDescent="0.3">
      <c r="A1547">
        <v>1030</v>
      </c>
      <c r="B1547" t="s">
        <v>1544</v>
      </c>
      <c r="C1547" t="s">
        <v>2670</v>
      </c>
      <c r="D1547" t="s">
        <v>1203</v>
      </c>
      <c r="E1547" t="s">
        <v>1204</v>
      </c>
      <c r="F1547">
        <v>5887</v>
      </c>
      <c r="G1547" t="s">
        <v>2671</v>
      </c>
      <c r="H1547" t="s">
        <v>2665</v>
      </c>
      <c r="I1547">
        <v>5491</v>
      </c>
      <c r="J1547">
        <v>5584</v>
      </c>
      <c r="K1547">
        <v>5679</v>
      </c>
      <c r="L1547">
        <v>5776</v>
      </c>
      <c r="M1547">
        <v>5815</v>
      </c>
      <c r="N1547" t="s">
        <v>988</v>
      </c>
    </row>
    <row r="1548" spans="1:14" hidden="1" x14ac:dyDescent="0.3">
      <c r="A1548">
        <v>1030</v>
      </c>
      <c r="B1548" t="s">
        <v>1544</v>
      </c>
      <c r="C1548" t="s">
        <v>2670</v>
      </c>
      <c r="D1548" t="s">
        <v>1203</v>
      </c>
      <c r="E1548" t="s">
        <v>1204</v>
      </c>
      <c r="F1548">
        <v>5887</v>
      </c>
      <c r="G1548" t="s">
        <v>2672</v>
      </c>
      <c r="H1548" t="s">
        <v>2665</v>
      </c>
      <c r="N1548" t="s">
        <v>988</v>
      </c>
    </row>
    <row r="1549" spans="1:14" hidden="1" x14ac:dyDescent="0.3">
      <c r="A1549">
        <v>1030</v>
      </c>
      <c r="B1549" t="s">
        <v>1544</v>
      </c>
      <c r="C1549" t="s">
        <v>2670</v>
      </c>
      <c r="D1549" t="s">
        <v>1203</v>
      </c>
      <c r="E1549" t="s">
        <v>1204</v>
      </c>
      <c r="F1549">
        <v>5887</v>
      </c>
      <c r="G1549" t="s">
        <v>2672</v>
      </c>
      <c r="H1549" t="s">
        <v>2664</v>
      </c>
      <c r="N1549" t="s">
        <v>988</v>
      </c>
    </row>
    <row r="1550" spans="1:14" hidden="1" x14ac:dyDescent="0.3">
      <c r="A1550">
        <v>1031</v>
      </c>
      <c r="B1550" t="s">
        <v>1545</v>
      </c>
      <c r="C1550" t="s">
        <v>2670</v>
      </c>
      <c r="D1550" t="s">
        <v>1203</v>
      </c>
      <c r="E1550" t="s">
        <v>1204</v>
      </c>
      <c r="F1550">
        <v>5889</v>
      </c>
      <c r="G1550" t="s">
        <v>2672</v>
      </c>
      <c r="H1550" t="s">
        <v>2665</v>
      </c>
      <c r="N1550" t="s">
        <v>988</v>
      </c>
    </row>
    <row r="1551" spans="1:14" hidden="1" x14ac:dyDescent="0.3">
      <c r="A1551">
        <v>1031</v>
      </c>
      <c r="B1551" t="s">
        <v>1545</v>
      </c>
      <c r="C1551" t="s">
        <v>2670</v>
      </c>
      <c r="D1551" t="s">
        <v>1203</v>
      </c>
      <c r="E1551" t="s">
        <v>1204</v>
      </c>
      <c r="F1551">
        <v>5889</v>
      </c>
      <c r="G1551" t="s">
        <v>2672</v>
      </c>
      <c r="H1551" t="s">
        <v>2664</v>
      </c>
      <c r="N1551" t="s">
        <v>988</v>
      </c>
    </row>
    <row r="1552" spans="1:14" hidden="1" x14ac:dyDescent="0.3">
      <c r="A1552">
        <v>1031</v>
      </c>
      <c r="B1552" t="s">
        <v>1545</v>
      </c>
      <c r="C1552" t="s">
        <v>2670</v>
      </c>
      <c r="D1552" t="s">
        <v>1203</v>
      </c>
      <c r="E1552" t="s">
        <v>1204</v>
      </c>
      <c r="F1552">
        <v>5889</v>
      </c>
      <c r="G1552" t="s">
        <v>2671</v>
      </c>
      <c r="H1552" t="s">
        <v>2665</v>
      </c>
      <c r="I1552">
        <v>1978</v>
      </c>
      <c r="J1552">
        <v>2012</v>
      </c>
      <c r="K1552">
        <v>2047</v>
      </c>
      <c r="L1552">
        <v>2082</v>
      </c>
      <c r="M1552">
        <v>2089</v>
      </c>
      <c r="N1552" t="s">
        <v>988</v>
      </c>
    </row>
    <row r="1553" spans="1:14" hidden="1" x14ac:dyDescent="0.3">
      <c r="A1553">
        <v>1031</v>
      </c>
      <c r="B1553" t="s">
        <v>1545</v>
      </c>
      <c r="C1553" t="s">
        <v>2670</v>
      </c>
      <c r="D1553" t="s">
        <v>1203</v>
      </c>
      <c r="E1553" t="s">
        <v>1204</v>
      </c>
      <c r="F1553">
        <v>5889</v>
      </c>
      <c r="G1553" t="s">
        <v>2671</v>
      </c>
      <c r="H1553" t="s">
        <v>2664</v>
      </c>
      <c r="I1553">
        <v>1978</v>
      </c>
      <c r="J1553">
        <v>2012</v>
      </c>
      <c r="K1553">
        <v>2047</v>
      </c>
      <c r="L1553">
        <v>2082</v>
      </c>
      <c r="M1553">
        <v>2089</v>
      </c>
      <c r="N1553" t="s">
        <v>988</v>
      </c>
    </row>
    <row r="1554" spans="1:14" hidden="1" x14ac:dyDescent="0.3">
      <c r="A1554">
        <v>1031</v>
      </c>
      <c r="B1554" t="s">
        <v>1545</v>
      </c>
      <c r="C1554" t="s">
        <v>2670</v>
      </c>
      <c r="D1554" t="s">
        <v>1203</v>
      </c>
      <c r="E1554" t="s">
        <v>1204</v>
      </c>
      <c r="F1554">
        <v>5889</v>
      </c>
      <c r="G1554" t="s">
        <v>2673</v>
      </c>
      <c r="H1554" t="s">
        <v>2665</v>
      </c>
      <c r="I1554">
        <v>1971</v>
      </c>
      <c r="J1554">
        <v>2005</v>
      </c>
      <c r="K1554">
        <v>2040</v>
      </c>
      <c r="L1554">
        <v>2075</v>
      </c>
      <c r="M1554">
        <v>2089</v>
      </c>
      <c r="N1554" t="s">
        <v>988</v>
      </c>
    </row>
    <row r="1555" spans="1:14" hidden="1" x14ac:dyDescent="0.3">
      <c r="A1555">
        <v>1031</v>
      </c>
      <c r="B1555" t="s">
        <v>1545</v>
      </c>
      <c r="C1555" t="s">
        <v>2670</v>
      </c>
      <c r="D1555" t="s">
        <v>1203</v>
      </c>
      <c r="E1555" t="s">
        <v>1204</v>
      </c>
      <c r="F1555">
        <v>5889</v>
      </c>
      <c r="G1555" t="s">
        <v>2673</v>
      </c>
      <c r="H1555" t="s">
        <v>2664</v>
      </c>
      <c r="I1555">
        <v>1971</v>
      </c>
      <c r="J1555">
        <v>2005</v>
      </c>
      <c r="K1555">
        <v>2040</v>
      </c>
      <c r="L1555">
        <v>2075</v>
      </c>
      <c r="M1555">
        <v>2089</v>
      </c>
      <c r="N1555" t="s">
        <v>988</v>
      </c>
    </row>
    <row r="1556" spans="1:14" hidden="1" x14ac:dyDescent="0.3">
      <c r="A1556">
        <v>1031</v>
      </c>
      <c r="B1556" t="s">
        <v>1545</v>
      </c>
      <c r="C1556" t="s">
        <v>2670</v>
      </c>
      <c r="D1556" t="s">
        <v>1203</v>
      </c>
      <c r="E1556" t="s">
        <v>1204</v>
      </c>
      <c r="F1556">
        <v>5889</v>
      </c>
      <c r="G1556" t="s">
        <v>2674</v>
      </c>
      <c r="H1556" t="s">
        <v>2665</v>
      </c>
      <c r="I1556">
        <v>1965</v>
      </c>
      <c r="J1556">
        <v>1999</v>
      </c>
      <c r="K1556">
        <v>2033</v>
      </c>
      <c r="L1556">
        <v>2068</v>
      </c>
      <c r="M1556">
        <v>2089</v>
      </c>
      <c r="N1556" t="s">
        <v>988</v>
      </c>
    </row>
    <row r="1557" spans="1:14" hidden="1" x14ac:dyDescent="0.3">
      <c r="A1557">
        <v>1031</v>
      </c>
      <c r="B1557" t="s">
        <v>1545</v>
      </c>
      <c r="C1557" t="s">
        <v>2670</v>
      </c>
      <c r="D1557" t="s">
        <v>1203</v>
      </c>
      <c r="E1557" t="s">
        <v>1204</v>
      </c>
      <c r="F1557">
        <v>5889</v>
      </c>
      <c r="G1557" t="s">
        <v>2674</v>
      </c>
      <c r="H1557" t="s">
        <v>2664</v>
      </c>
      <c r="I1557">
        <v>1965</v>
      </c>
      <c r="J1557">
        <v>1999</v>
      </c>
      <c r="K1557">
        <v>2033</v>
      </c>
      <c r="L1557">
        <v>2068</v>
      </c>
      <c r="M1557">
        <v>2089</v>
      </c>
      <c r="N1557" t="s">
        <v>988</v>
      </c>
    </row>
    <row r="1558" spans="1:14" hidden="1" x14ac:dyDescent="0.3">
      <c r="A1558">
        <v>1031</v>
      </c>
      <c r="B1558" t="s">
        <v>1545</v>
      </c>
      <c r="C1558" t="s">
        <v>2670</v>
      </c>
      <c r="D1558" t="s">
        <v>1203</v>
      </c>
      <c r="E1558" t="s">
        <v>1204</v>
      </c>
      <c r="F1558">
        <v>5889</v>
      </c>
      <c r="G1558" t="s">
        <v>2675</v>
      </c>
      <c r="H1558" t="s">
        <v>2665</v>
      </c>
      <c r="I1558">
        <v>1958</v>
      </c>
      <c r="J1558">
        <v>1992</v>
      </c>
      <c r="K1558">
        <v>2026</v>
      </c>
      <c r="L1558">
        <v>2061</v>
      </c>
      <c r="M1558">
        <v>2089</v>
      </c>
      <c r="N1558" t="s">
        <v>988</v>
      </c>
    </row>
    <row r="1559" spans="1:14" hidden="1" x14ac:dyDescent="0.3">
      <c r="A1559">
        <v>1031</v>
      </c>
      <c r="B1559" t="s">
        <v>1545</v>
      </c>
      <c r="C1559" t="s">
        <v>2670</v>
      </c>
      <c r="D1559" t="s">
        <v>1203</v>
      </c>
      <c r="E1559" t="s">
        <v>1204</v>
      </c>
      <c r="F1559">
        <v>5889</v>
      </c>
      <c r="G1559" t="s">
        <v>2675</v>
      </c>
      <c r="H1559" t="s">
        <v>2664</v>
      </c>
      <c r="I1559">
        <v>1958</v>
      </c>
      <c r="J1559">
        <v>1992</v>
      </c>
      <c r="K1559">
        <v>2026</v>
      </c>
      <c r="L1559">
        <v>2061</v>
      </c>
      <c r="M1559">
        <v>2089</v>
      </c>
      <c r="N1559" t="s">
        <v>988</v>
      </c>
    </row>
    <row r="1560" spans="1:14" hidden="1" x14ac:dyDescent="0.3">
      <c r="A1560">
        <v>1031</v>
      </c>
      <c r="B1560" t="s">
        <v>1545</v>
      </c>
      <c r="C1560" t="s">
        <v>2670</v>
      </c>
      <c r="D1560" t="s">
        <v>1203</v>
      </c>
      <c r="E1560" t="s">
        <v>1204</v>
      </c>
      <c r="F1560">
        <v>5889</v>
      </c>
      <c r="G1560" t="s">
        <v>2676</v>
      </c>
      <c r="H1560" t="s">
        <v>2665</v>
      </c>
      <c r="I1560">
        <v>1951</v>
      </c>
      <c r="J1560">
        <v>1985</v>
      </c>
      <c r="K1560">
        <v>2019</v>
      </c>
      <c r="L1560">
        <v>2054</v>
      </c>
      <c r="M1560">
        <v>2089</v>
      </c>
      <c r="N1560" t="s">
        <v>988</v>
      </c>
    </row>
    <row r="1561" spans="1:14" hidden="1" x14ac:dyDescent="0.3">
      <c r="A1561">
        <v>1031</v>
      </c>
      <c r="B1561" t="s">
        <v>1545</v>
      </c>
      <c r="C1561" t="s">
        <v>2670</v>
      </c>
      <c r="D1561" t="s">
        <v>1203</v>
      </c>
      <c r="E1561" t="s">
        <v>1204</v>
      </c>
      <c r="F1561">
        <v>5889</v>
      </c>
      <c r="G1561" t="s">
        <v>2676</v>
      </c>
      <c r="H1561" t="s">
        <v>2664</v>
      </c>
      <c r="I1561">
        <v>1951</v>
      </c>
      <c r="J1561">
        <v>1985</v>
      </c>
      <c r="K1561">
        <v>2019</v>
      </c>
      <c r="L1561">
        <v>2054</v>
      </c>
      <c r="M1561">
        <v>2089</v>
      </c>
      <c r="N1561" t="s">
        <v>988</v>
      </c>
    </row>
    <row r="1562" spans="1:14" hidden="1" x14ac:dyDescent="0.3">
      <c r="A1562">
        <v>1032</v>
      </c>
      <c r="B1562" t="s">
        <v>1546</v>
      </c>
      <c r="C1562" t="s">
        <v>2670</v>
      </c>
      <c r="D1562" t="s">
        <v>1203</v>
      </c>
      <c r="E1562" t="s">
        <v>1204</v>
      </c>
      <c r="F1562">
        <v>5891</v>
      </c>
      <c r="G1562" t="s">
        <v>2672</v>
      </c>
      <c r="H1562" t="s">
        <v>2665</v>
      </c>
      <c r="N1562" t="s">
        <v>988</v>
      </c>
    </row>
    <row r="1563" spans="1:14" hidden="1" x14ac:dyDescent="0.3">
      <c r="A1563">
        <v>1032</v>
      </c>
      <c r="B1563" t="s">
        <v>1546</v>
      </c>
      <c r="C1563" t="s">
        <v>2670</v>
      </c>
      <c r="D1563" t="s">
        <v>1203</v>
      </c>
      <c r="E1563" t="s">
        <v>1204</v>
      </c>
      <c r="F1563">
        <v>5891</v>
      </c>
      <c r="G1563" t="s">
        <v>2672</v>
      </c>
      <c r="H1563" t="s">
        <v>2664</v>
      </c>
      <c r="N1563" t="s">
        <v>988</v>
      </c>
    </row>
    <row r="1564" spans="1:14" hidden="1" x14ac:dyDescent="0.3">
      <c r="A1564">
        <v>1032</v>
      </c>
      <c r="B1564" t="s">
        <v>1546</v>
      </c>
      <c r="C1564" t="s">
        <v>2670</v>
      </c>
      <c r="D1564" t="s">
        <v>1203</v>
      </c>
      <c r="E1564" t="s">
        <v>1204</v>
      </c>
      <c r="F1564">
        <v>5891</v>
      </c>
      <c r="G1564" t="s">
        <v>2671</v>
      </c>
      <c r="H1564" t="s">
        <v>2665</v>
      </c>
      <c r="I1564">
        <v>5127</v>
      </c>
      <c r="J1564">
        <v>5162</v>
      </c>
      <c r="K1564">
        <v>5197</v>
      </c>
      <c r="L1564">
        <v>5232</v>
      </c>
      <c r="M1564">
        <v>5240</v>
      </c>
      <c r="N1564" t="s">
        <v>988</v>
      </c>
    </row>
    <row r="1565" spans="1:14" hidden="1" x14ac:dyDescent="0.3">
      <c r="A1565">
        <v>1032</v>
      </c>
      <c r="B1565" t="s">
        <v>1546</v>
      </c>
      <c r="C1565" t="s">
        <v>2670</v>
      </c>
      <c r="D1565" t="s">
        <v>1203</v>
      </c>
      <c r="E1565" t="s">
        <v>1204</v>
      </c>
      <c r="F1565">
        <v>5891</v>
      </c>
      <c r="G1565" t="s">
        <v>2671</v>
      </c>
      <c r="H1565" t="s">
        <v>2664</v>
      </c>
      <c r="I1565">
        <v>5127</v>
      </c>
      <c r="J1565">
        <v>5162</v>
      </c>
      <c r="K1565">
        <v>5197</v>
      </c>
      <c r="L1565">
        <v>5232</v>
      </c>
      <c r="M1565">
        <v>5240</v>
      </c>
      <c r="N1565" t="s">
        <v>988</v>
      </c>
    </row>
    <row r="1566" spans="1:14" hidden="1" x14ac:dyDescent="0.3">
      <c r="A1566">
        <v>1032</v>
      </c>
      <c r="B1566" t="s">
        <v>1546</v>
      </c>
      <c r="C1566" t="s">
        <v>2670</v>
      </c>
      <c r="D1566" t="s">
        <v>1203</v>
      </c>
      <c r="E1566" t="s">
        <v>1204</v>
      </c>
      <c r="F1566">
        <v>5891</v>
      </c>
      <c r="G1566" t="s">
        <v>2673</v>
      </c>
      <c r="H1566" t="s">
        <v>2665</v>
      </c>
      <c r="I1566">
        <v>5120</v>
      </c>
      <c r="J1566">
        <v>5155</v>
      </c>
      <c r="K1566">
        <v>5190</v>
      </c>
      <c r="L1566">
        <v>5225</v>
      </c>
      <c r="M1566">
        <v>5240</v>
      </c>
      <c r="N1566" t="s">
        <v>988</v>
      </c>
    </row>
    <row r="1567" spans="1:14" hidden="1" x14ac:dyDescent="0.3">
      <c r="A1567">
        <v>1032</v>
      </c>
      <c r="B1567" t="s">
        <v>1546</v>
      </c>
      <c r="C1567" t="s">
        <v>2670</v>
      </c>
      <c r="D1567" t="s">
        <v>1203</v>
      </c>
      <c r="E1567" t="s">
        <v>1204</v>
      </c>
      <c r="F1567">
        <v>5891</v>
      </c>
      <c r="G1567" t="s">
        <v>2676</v>
      </c>
      <c r="H1567" t="s">
        <v>2664</v>
      </c>
      <c r="I1567">
        <v>5100</v>
      </c>
      <c r="J1567">
        <v>5134</v>
      </c>
      <c r="K1567">
        <v>5169</v>
      </c>
      <c r="L1567">
        <v>5204</v>
      </c>
      <c r="M1567">
        <v>5240</v>
      </c>
      <c r="N1567" t="s">
        <v>988</v>
      </c>
    </row>
    <row r="1568" spans="1:14" hidden="1" x14ac:dyDescent="0.3">
      <c r="A1568">
        <v>1032</v>
      </c>
      <c r="B1568" t="s">
        <v>1546</v>
      </c>
      <c r="C1568" t="s">
        <v>2670</v>
      </c>
      <c r="D1568" t="s">
        <v>1203</v>
      </c>
      <c r="E1568" t="s">
        <v>1204</v>
      </c>
      <c r="F1568">
        <v>5891</v>
      </c>
      <c r="G1568" t="s">
        <v>2674</v>
      </c>
      <c r="H1568" t="s">
        <v>2665</v>
      </c>
      <c r="I1568">
        <v>5113</v>
      </c>
      <c r="J1568">
        <v>5148</v>
      </c>
      <c r="K1568">
        <v>5183</v>
      </c>
      <c r="L1568">
        <v>5218</v>
      </c>
      <c r="M1568">
        <v>5240</v>
      </c>
      <c r="N1568" t="s">
        <v>988</v>
      </c>
    </row>
    <row r="1569" spans="1:14" hidden="1" x14ac:dyDescent="0.3">
      <c r="A1569">
        <v>1032</v>
      </c>
      <c r="B1569" t="s">
        <v>1546</v>
      </c>
      <c r="C1569" t="s">
        <v>2670</v>
      </c>
      <c r="D1569" t="s">
        <v>1203</v>
      </c>
      <c r="E1569" t="s">
        <v>1204</v>
      </c>
      <c r="F1569">
        <v>5891</v>
      </c>
      <c r="G1569" t="s">
        <v>2674</v>
      </c>
      <c r="H1569" t="s">
        <v>2664</v>
      </c>
      <c r="I1569">
        <v>5113</v>
      </c>
      <c r="J1569">
        <v>5148</v>
      </c>
      <c r="K1569">
        <v>5183</v>
      </c>
      <c r="L1569">
        <v>5218</v>
      </c>
      <c r="M1569">
        <v>5240</v>
      </c>
      <c r="N1569" t="s">
        <v>988</v>
      </c>
    </row>
    <row r="1570" spans="1:14" hidden="1" x14ac:dyDescent="0.3">
      <c r="A1570">
        <v>1032</v>
      </c>
      <c r="B1570" t="s">
        <v>1546</v>
      </c>
      <c r="C1570" t="s">
        <v>2670</v>
      </c>
      <c r="D1570" t="s">
        <v>1203</v>
      </c>
      <c r="E1570" t="s">
        <v>1204</v>
      </c>
      <c r="F1570">
        <v>5891</v>
      </c>
      <c r="G1570" t="s">
        <v>2675</v>
      </c>
      <c r="H1570" t="s">
        <v>2665</v>
      </c>
      <c r="I1570">
        <v>5106</v>
      </c>
      <c r="J1570">
        <v>5141</v>
      </c>
      <c r="K1570">
        <v>5176</v>
      </c>
      <c r="L1570">
        <v>5211</v>
      </c>
      <c r="M1570">
        <v>5240</v>
      </c>
      <c r="N1570" t="s">
        <v>988</v>
      </c>
    </row>
    <row r="1571" spans="1:14" hidden="1" x14ac:dyDescent="0.3">
      <c r="A1571">
        <v>1032</v>
      </c>
      <c r="B1571" t="s">
        <v>1546</v>
      </c>
      <c r="C1571" t="s">
        <v>2670</v>
      </c>
      <c r="D1571" t="s">
        <v>1203</v>
      </c>
      <c r="E1571" t="s">
        <v>1204</v>
      </c>
      <c r="F1571">
        <v>5891</v>
      </c>
      <c r="G1571" t="s">
        <v>2675</v>
      </c>
      <c r="H1571" t="s">
        <v>2664</v>
      </c>
      <c r="I1571">
        <v>5106</v>
      </c>
      <c r="J1571">
        <v>5141</v>
      </c>
      <c r="K1571">
        <v>5176</v>
      </c>
      <c r="L1571">
        <v>5211</v>
      </c>
      <c r="M1571">
        <v>5240</v>
      </c>
      <c r="N1571" t="s">
        <v>988</v>
      </c>
    </row>
    <row r="1572" spans="1:14" hidden="1" x14ac:dyDescent="0.3">
      <c r="A1572">
        <v>1032</v>
      </c>
      <c r="B1572" t="s">
        <v>1546</v>
      </c>
      <c r="C1572" t="s">
        <v>2670</v>
      </c>
      <c r="D1572" t="s">
        <v>1203</v>
      </c>
      <c r="E1572" t="s">
        <v>1204</v>
      </c>
      <c r="F1572">
        <v>5891</v>
      </c>
      <c r="G1572" t="s">
        <v>2676</v>
      </c>
      <c r="H1572" t="s">
        <v>2665</v>
      </c>
      <c r="I1572">
        <v>5100</v>
      </c>
      <c r="J1572">
        <v>5134</v>
      </c>
      <c r="K1572">
        <v>5169</v>
      </c>
      <c r="L1572">
        <v>5204</v>
      </c>
      <c r="M1572">
        <v>5240</v>
      </c>
      <c r="N1572" t="s">
        <v>988</v>
      </c>
    </row>
    <row r="1573" spans="1:14" hidden="1" x14ac:dyDescent="0.3">
      <c r="A1573">
        <v>1032</v>
      </c>
      <c r="B1573" t="s">
        <v>1546</v>
      </c>
      <c r="C1573" t="s">
        <v>2670</v>
      </c>
      <c r="D1573" t="s">
        <v>1203</v>
      </c>
      <c r="E1573" t="s">
        <v>1204</v>
      </c>
      <c r="F1573">
        <v>5891</v>
      </c>
      <c r="G1573" t="s">
        <v>2673</v>
      </c>
      <c r="H1573" t="s">
        <v>2664</v>
      </c>
      <c r="I1573">
        <v>5120</v>
      </c>
      <c r="J1573">
        <v>5155</v>
      </c>
      <c r="K1573">
        <v>5190</v>
      </c>
      <c r="L1573">
        <v>5225</v>
      </c>
      <c r="M1573">
        <v>5240</v>
      </c>
      <c r="N1573" t="s">
        <v>988</v>
      </c>
    </row>
    <row r="1574" spans="1:14" hidden="1" x14ac:dyDescent="0.3">
      <c r="A1574">
        <v>1034</v>
      </c>
      <c r="B1574" t="s">
        <v>1547</v>
      </c>
      <c r="C1574" t="s">
        <v>2670</v>
      </c>
      <c r="D1574" t="s">
        <v>1203</v>
      </c>
      <c r="E1574" t="s">
        <v>1204</v>
      </c>
      <c r="F1574">
        <v>5539</v>
      </c>
      <c r="G1574" t="s">
        <v>2674</v>
      </c>
      <c r="H1574" t="s">
        <v>2665</v>
      </c>
      <c r="I1574">
        <v>10174</v>
      </c>
      <c r="J1574">
        <v>10342</v>
      </c>
      <c r="K1574">
        <v>10512</v>
      </c>
      <c r="L1574">
        <v>10512</v>
      </c>
      <c r="M1574">
        <v>10685</v>
      </c>
      <c r="N1574" t="s">
        <v>988</v>
      </c>
    </row>
    <row r="1575" spans="1:14" hidden="1" x14ac:dyDescent="0.3">
      <c r="A1575">
        <v>1034</v>
      </c>
      <c r="B1575" t="s">
        <v>1547</v>
      </c>
      <c r="C1575" t="s">
        <v>2670</v>
      </c>
      <c r="D1575" t="s">
        <v>1203</v>
      </c>
      <c r="E1575" t="s">
        <v>1204</v>
      </c>
      <c r="F1575">
        <v>5539</v>
      </c>
      <c r="G1575" t="s">
        <v>2674</v>
      </c>
      <c r="H1575" t="s">
        <v>2664</v>
      </c>
      <c r="I1575">
        <v>10174</v>
      </c>
      <c r="J1575">
        <v>10342</v>
      </c>
      <c r="K1575">
        <v>10512</v>
      </c>
      <c r="L1575">
        <v>10512</v>
      </c>
      <c r="M1575">
        <v>10685</v>
      </c>
      <c r="N1575" t="s">
        <v>988</v>
      </c>
    </row>
    <row r="1576" spans="1:14" hidden="1" x14ac:dyDescent="0.3">
      <c r="A1576">
        <v>1034</v>
      </c>
      <c r="B1576" t="s">
        <v>1547</v>
      </c>
      <c r="C1576" t="s">
        <v>2670</v>
      </c>
      <c r="D1576" t="s">
        <v>1203</v>
      </c>
      <c r="E1576" t="s">
        <v>1204</v>
      </c>
      <c r="F1576">
        <v>5539</v>
      </c>
      <c r="G1576" t="s">
        <v>2675</v>
      </c>
      <c r="H1576" t="s">
        <v>2665</v>
      </c>
      <c r="I1576">
        <v>12827</v>
      </c>
      <c r="J1576">
        <v>13038</v>
      </c>
      <c r="K1576">
        <v>13253</v>
      </c>
      <c r="L1576">
        <v>13253</v>
      </c>
      <c r="M1576">
        <v>13472</v>
      </c>
      <c r="N1576" t="s">
        <v>988</v>
      </c>
    </row>
    <row r="1577" spans="1:14" hidden="1" x14ac:dyDescent="0.3">
      <c r="A1577">
        <v>1034</v>
      </c>
      <c r="B1577" t="s">
        <v>1547</v>
      </c>
      <c r="C1577" t="s">
        <v>2670</v>
      </c>
      <c r="D1577" t="s">
        <v>1203</v>
      </c>
      <c r="E1577" t="s">
        <v>1204</v>
      </c>
      <c r="F1577">
        <v>5539</v>
      </c>
      <c r="G1577" t="s">
        <v>2675</v>
      </c>
      <c r="H1577" t="s">
        <v>2664</v>
      </c>
      <c r="I1577">
        <v>12827</v>
      </c>
      <c r="J1577">
        <v>13038</v>
      </c>
      <c r="K1577">
        <v>13253</v>
      </c>
      <c r="L1577">
        <v>13253</v>
      </c>
      <c r="M1577">
        <v>13472</v>
      </c>
      <c r="N1577" t="s">
        <v>988</v>
      </c>
    </row>
    <row r="1578" spans="1:14" hidden="1" x14ac:dyDescent="0.3">
      <c r="A1578">
        <v>1034</v>
      </c>
      <c r="B1578" t="s">
        <v>1547</v>
      </c>
      <c r="C1578" t="s">
        <v>2670</v>
      </c>
      <c r="D1578" t="s">
        <v>1203</v>
      </c>
      <c r="E1578" t="s">
        <v>1204</v>
      </c>
      <c r="F1578">
        <v>5539</v>
      </c>
      <c r="G1578" t="s">
        <v>2676</v>
      </c>
      <c r="H1578" t="s">
        <v>2665</v>
      </c>
      <c r="I1578">
        <v>12120</v>
      </c>
      <c r="J1578">
        <v>12320</v>
      </c>
      <c r="K1578">
        <v>12523</v>
      </c>
      <c r="L1578">
        <v>12523</v>
      </c>
      <c r="M1578">
        <v>12729</v>
      </c>
      <c r="N1578" t="s">
        <v>988</v>
      </c>
    </row>
    <row r="1579" spans="1:14" hidden="1" x14ac:dyDescent="0.3">
      <c r="A1579">
        <v>1034</v>
      </c>
      <c r="B1579" t="s">
        <v>1547</v>
      </c>
      <c r="C1579" t="s">
        <v>2670</v>
      </c>
      <c r="D1579" t="s">
        <v>1203</v>
      </c>
      <c r="E1579" t="s">
        <v>1204</v>
      </c>
      <c r="F1579">
        <v>5539</v>
      </c>
      <c r="G1579" t="s">
        <v>2676</v>
      </c>
      <c r="H1579" t="s">
        <v>2664</v>
      </c>
      <c r="I1579">
        <v>12120</v>
      </c>
      <c r="J1579">
        <v>12320</v>
      </c>
      <c r="K1579">
        <v>12523</v>
      </c>
      <c r="L1579">
        <v>12523</v>
      </c>
      <c r="M1579">
        <v>12729</v>
      </c>
      <c r="N1579" t="s">
        <v>988</v>
      </c>
    </row>
    <row r="1580" spans="1:14" hidden="1" x14ac:dyDescent="0.3">
      <c r="A1580">
        <v>1034</v>
      </c>
      <c r="B1580" t="s">
        <v>1547</v>
      </c>
      <c r="C1580" t="s">
        <v>2670</v>
      </c>
      <c r="D1580" t="s">
        <v>1203</v>
      </c>
      <c r="E1580" t="s">
        <v>1204</v>
      </c>
      <c r="F1580">
        <v>5539</v>
      </c>
      <c r="G1580" t="s">
        <v>2673</v>
      </c>
      <c r="H1580" t="s">
        <v>2665</v>
      </c>
      <c r="I1580">
        <v>12536</v>
      </c>
      <c r="J1580">
        <v>12743</v>
      </c>
      <c r="K1580">
        <v>12953</v>
      </c>
      <c r="L1580">
        <v>12953</v>
      </c>
      <c r="M1580">
        <v>13166</v>
      </c>
      <c r="N1580" t="s">
        <v>988</v>
      </c>
    </row>
    <row r="1581" spans="1:14" hidden="1" x14ac:dyDescent="0.3">
      <c r="A1581">
        <v>1034</v>
      </c>
      <c r="B1581" t="s">
        <v>1547</v>
      </c>
      <c r="C1581" t="s">
        <v>2670</v>
      </c>
      <c r="D1581" t="s">
        <v>1203</v>
      </c>
      <c r="E1581" t="s">
        <v>1204</v>
      </c>
      <c r="F1581">
        <v>5539</v>
      </c>
      <c r="G1581" t="s">
        <v>2671</v>
      </c>
      <c r="H1581" t="s">
        <v>2664</v>
      </c>
      <c r="I1581">
        <v>9257</v>
      </c>
      <c r="J1581">
        <v>9410</v>
      </c>
      <c r="K1581">
        <v>9565</v>
      </c>
      <c r="L1581">
        <v>9565</v>
      </c>
      <c r="M1581">
        <v>9722</v>
      </c>
      <c r="N1581" t="s">
        <v>988</v>
      </c>
    </row>
    <row r="1582" spans="1:14" hidden="1" x14ac:dyDescent="0.3">
      <c r="A1582">
        <v>1034</v>
      </c>
      <c r="B1582" t="s">
        <v>1547</v>
      </c>
      <c r="C1582" t="s">
        <v>2670</v>
      </c>
      <c r="D1582" t="s">
        <v>1203</v>
      </c>
      <c r="E1582" t="s">
        <v>1204</v>
      </c>
      <c r="F1582">
        <v>5539</v>
      </c>
      <c r="G1582" t="s">
        <v>2671</v>
      </c>
      <c r="H1582" t="s">
        <v>2665</v>
      </c>
      <c r="I1582">
        <v>9257</v>
      </c>
      <c r="J1582">
        <v>9410</v>
      </c>
      <c r="K1582">
        <v>9565</v>
      </c>
      <c r="L1582">
        <v>9565</v>
      </c>
      <c r="M1582">
        <v>9722</v>
      </c>
      <c r="N1582" t="s">
        <v>988</v>
      </c>
    </row>
    <row r="1583" spans="1:14" hidden="1" x14ac:dyDescent="0.3">
      <c r="A1583">
        <v>1034</v>
      </c>
      <c r="B1583" t="s">
        <v>1547</v>
      </c>
      <c r="C1583" t="s">
        <v>2670</v>
      </c>
      <c r="D1583" t="s">
        <v>1203</v>
      </c>
      <c r="E1583" t="s">
        <v>1204</v>
      </c>
      <c r="F1583">
        <v>5539</v>
      </c>
      <c r="G1583" t="s">
        <v>2672</v>
      </c>
      <c r="H1583" t="s">
        <v>2664</v>
      </c>
      <c r="N1583" t="s">
        <v>988</v>
      </c>
    </row>
    <row r="1584" spans="1:14" hidden="1" x14ac:dyDescent="0.3">
      <c r="A1584">
        <v>1034</v>
      </c>
      <c r="B1584" t="s">
        <v>1547</v>
      </c>
      <c r="C1584" t="s">
        <v>2670</v>
      </c>
      <c r="D1584" t="s">
        <v>1203</v>
      </c>
      <c r="E1584" t="s">
        <v>1204</v>
      </c>
      <c r="F1584">
        <v>5539</v>
      </c>
      <c r="G1584" t="s">
        <v>2672</v>
      </c>
      <c r="H1584" t="s">
        <v>2665</v>
      </c>
      <c r="N1584" t="s">
        <v>988</v>
      </c>
    </row>
    <row r="1585" spans="1:14" hidden="1" x14ac:dyDescent="0.3">
      <c r="A1585">
        <v>1034</v>
      </c>
      <c r="B1585" t="s">
        <v>1547</v>
      </c>
      <c r="C1585" t="s">
        <v>2670</v>
      </c>
      <c r="D1585" t="s">
        <v>1203</v>
      </c>
      <c r="E1585" t="s">
        <v>1204</v>
      </c>
      <c r="F1585">
        <v>5539</v>
      </c>
      <c r="G1585" t="s">
        <v>2673</v>
      </c>
      <c r="H1585" t="s">
        <v>2664</v>
      </c>
      <c r="I1585">
        <v>12536</v>
      </c>
      <c r="J1585">
        <v>12743</v>
      </c>
      <c r="K1585">
        <v>12953</v>
      </c>
      <c r="L1585">
        <v>12953</v>
      </c>
      <c r="M1585">
        <v>13166</v>
      </c>
      <c r="N1585" t="s">
        <v>988</v>
      </c>
    </row>
    <row r="1586" spans="1:14" hidden="1" x14ac:dyDescent="0.3">
      <c r="A1586">
        <v>1036</v>
      </c>
      <c r="B1586" t="s">
        <v>1548</v>
      </c>
      <c r="C1586" t="s">
        <v>2670</v>
      </c>
      <c r="D1586" t="s">
        <v>1203</v>
      </c>
      <c r="E1586" t="s">
        <v>1204</v>
      </c>
      <c r="F1586">
        <v>5892</v>
      </c>
      <c r="G1586" t="s">
        <v>2673</v>
      </c>
      <c r="H1586" t="s">
        <v>2665</v>
      </c>
      <c r="I1586">
        <v>15191</v>
      </c>
      <c r="J1586">
        <v>15575</v>
      </c>
      <c r="K1586">
        <v>15968</v>
      </c>
      <c r="L1586">
        <v>16371</v>
      </c>
      <c r="M1586">
        <v>16535</v>
      </c>
      <c r="N1586" t="s">
        <v>988</v>
      </c>
    </row>
    <row r="1587" spans="1:14" hidden="1" x14ac:dyDescent="0.3">
      <c r="A1587">
        <v>1036</v>
      </c>
      <c r="B1587" t="s">
        <v>1548</v>
      </c>
      <c r="C1587" t="s">
        <v>2670</v>
      </c>
      <c r="D1587" t="s">
        <v>1203</v>
      </c>
      <c r="E1587" t="s">
        <v>1204</v>
      </c>
      <c r="F1587">
        <v>5892</v>
      </c>
      <c r="G1587" t="s">
        <v>2671</v>
      </c>
      <c r="H1587" t="s">
        <v>2664</v>
      </c>
      <c r="I1587">
        <v>15267</v>
      </c>
      <c r="J1587">
        <v>15653</v>
      </c>
      <c r="K1587">
        <v>16048</v>
      </c>
      <c r="L1587">
        <v>16453</v>
      </c>
      <c r="M1587">
        <v>16535</v>
      </c>
      <c r="N1587" t="s">
        <v>988</v>
      </c>
    </row>
    <row r="1588" spans="1:14" hidden="1" x14ac:dyDescent="0.3">
      <c r="A1588">
        <v>1036</v>
      </c>
      <c r="B1588" t="s">
        <v>1548</v>
      </c>
      <c r="C1588" t="s">
        <v>2670</v>
      </c>
      <c r="D1588" t="s">
        <v>1203</v>
      </c>
      <c r="E1588" t="s">
        <v>1204</v>
      </c>
      <c r="F1588">
        <v>5892</v>
      </c>
      <c r="G1588" t="s">
        <v>2671</v>
      </c>
      <c r="H1588" t="s">
        <v>2665</v>
      </c>
      <c r="I1588">
        <v>15267</v>
      </c>
      <c r="J1588">
        <v>15653</v>
      </c>
      <c r="K1588">
        <v>16048</v>
      </c>
      <c r="L1588">
        <v>16453</v>
      </c>
      <c r="M1588">
        <v>16535</v>
      </c>
      <c r="N1588" t="s">
        <v>988</v>
      </c>
    </row>
    <row r="1589" spans="1:14" hidden="1" x14ac:dyDescent="0.3">
      <c r="A1589">
        <v>1036</v>
      </c>
      <c r="B1589" t="s">
        <v>1548</v>
      </c>
      <c r="C1589" t="s">
        <v>2670</v>
      </c>
      <c r="D1589" t="s">
        <v>1203</v>
      </c>
      <c r="E1589" t="s">
        <v>1204</v>
      </c>
      <c r="F1589">
        <v>5892</v>
      </c>
      <c r="G1589" t="s">
        <v>2672</v>
      </c>
      <c r="H1589" t="s">
        <v>2664</v>
      </c>
      <c r="N1589" t="s">
        <v>988</v>
      </c>
    </row>
    <row r="1590" spans="1:14" hidden="1" x14ac:dyDescent="0.3">
      <c r="A1590">
        <v>1036</v>
      </c>
      <c r="B1590" t="s">
        <v>1548</v>
      </c>
      <c r="C1590" t="s">
        <v>2670</v>
      </c>
      <c r="D1590" t="s">
        <v>1203</v>
      </c>
      <c r="E1590" t="s">
        <v>1204</v>
      </c>
      <c r="F1590">
        <v>5892</v>
      </c>
      <c r="G1590" t="s">
        <v>2672</v>
      </c>
      <c r="H1590" t="s">
        <v>2665</v>
      </c>
      <c r="N1590" t="s">
        <v>988</v>
      </c>
    </row>
    <row r="1591" spans="1:14" hidden="1" x14ac:dyDescent="0.3">
      <c r="A1591">
        <v>1036</v>
      </c>
      <c r="B1591" t="s">
        <v>1548</v>
      </c>
      <c r="C1591" t="s">
        <v>2670</v>
      </c>
      <c r="D1591" t="s">
        <v>1203</v>
      </c>
      <c r="E1591" t="s">
        <v>1204</v>
      </c>
      <c r="F1591">
        <v>5892</v>
      </c>
      <c r="G1591" t="s">
        <v>2673</v>
      </c>
      <c r="H1591" t="s">
        <v>2664</v>
      </c>
      <c r="I1591">
        <v>15191</v>
      </c>
      <c r="J1591">
        <v>15575</v>
      </c>
      <c r="K1591">
        <v>15968</v>
      </c>
      <c r="L1591">
        <v>16371</v>
      </c>
      <c r="M1591">
        <v>16535</v>
      </c>
      <c r="N1591" t="s">
        <v>988</v>
      </c>
    </row>
    <row r="1592" spans="1:14" hidden="1" x14ac:dyDescent="0.3">
      <c r="A1592">
        <v>1036</v>
      </c>
      <c r="B1592" t="s">
        <v>1548</v>
      </c>
      <c r="C1592" t="s">
        <v>2670</v>
      </c>
      <c r="D1592" t="s">
        <v>1203</v>
      </c>
      <c r="E1592" t="s">
        <v>1204</v>
      </c>
      <c r="F1592">
        <v>5892</v>
      </c>
      <c r="G1592" t="s">
        <v>2676</v>
      </c>
      <c r="H1592" t="s">
        <v>2664</v>
      </c>
      <c r="I1592">
        <v>14966</v>
      </c>
      <c r="J1592">
        <v>15343</v>
      </c>
      <c r="K1592">
        <v>15731</v>
      </c>
      <c r="L1592">
        <v>16128</v>
      </c>
      <c r="M1592">
        <v>16535</v>
      </c>
      <c r="N1592" t="s">
        <v>988</v>
      </c>
    </row>
    <row r="1593" spans="1:14" hidden="1" x14ac:dyDescent="0.3">
      <c r="A1593">
        <v>1036</v>
      </c>
      <c r="B1593" t="s">
        <v>1548</v>
      </c>
      <c r="C1593" t="s">
        <v>2670</v>
      </c>
      <c r="D1593" t="s">
        <v>1203</v>
      </c>
      <c r="E1593" t="s">
        <v>1204</v>
      </c>
      <c r="F1593">
        <v>5892</v>
      </c>
      <c r="G1593" t="s">
        <v>2676</v>
      </c>
      <c r="H1593" t="s">
        <v>2665</v>
      </c>
      <c r="I1593">
        <v>14966</v>
      </c>
      <c r="J1593">
        <v>15343</v>
      </c>
      <c r="K1593">
        <v>15731</v>
      </c>
      <c r="L1593">
        <v>16128</v>
      </c>
      <c r="M1593">
        <v>16535</v>
      </c>
      <c r="N1593" t="s">
        <v>988</v>
      </c>
    </row>
    <row r="1594" spans="1:14" hidden="1" x14ac:dyDescent="0.3">
      <c r="A1594">
        <v>1036</v>
      </c>
      <c r="B1594" t="s">
        <v>1548</v>
      </c>
      <c r="C1594" t="s">
        <v>2670</v>
      </c>
      <c r="D1594" t="s">
        <v>1203</v>
      </c>
      <c r="E1594" t="s">
        <v>1204</v>
      </c>
      <c r="F1594">
        <v>5892</v>
      </c>
      <c r="G1594" t="s">
        <v>2675</v>
      </c>
      <c r="H1594" t="s">
        <v>2664</v>
      </c>
      <c r="I1594">
        <v>15040</v>
      </c>
      <c r="J1594">
        <v>15420</v>
      </c>
      <c r="K1594">
        <v>15810</v>
      </c>
      <c r="L1594">
        <v>16209</v>
      </c>
      <c r="M1594">
        <v>16535</v>
      </c>
      <c r="N1594" t="s">
        <v>988</v>
      </c>
    </row>
    <row r="1595" spans="1:14" hidden="1" x14ac:dyDescent="0.3">
      <c r="A1595">
        <v>1036</v>
      </c>
      <c r="B1595" t="s">
        <v>1548</v>
      </c>
      <c r="C1595" t="s">
        <v>2670</v>
      </c>
      <c r="D1595" t="s">
        <v>1203</v>
      </c>
      <c r="E1595" t="s">
        <v>1204</v>
      </c>
      <c r="F1595">
        <v>5892</v>
      </c>
      <c r="G1595" t="s">
        <v>2675</v>
      </c>
      <c r="H1595" t="s">
        <v>2665</v>
      </c>
      <c r="I1595">
        <v>15040</v>
      </c>
      <c r="J1595">
        <v>15420</v>
      </c>
      <c r="K1595">
        <v>15810</v>
      </c>
      <c r="L1595">
        <v>16209</v>
      </c>
      <c r="M1595">
        <v>16535</v>
      </c>
      <c r="N1595" t="s">
        <v>988</v>
      </c>
    </row>
    <row r="1596" spans="1:14" hidden="1" x14ac:dyDescent="0.3">
      <c r="A1596">
        <v>1036</v>
      </c>
      <c r="B1596" t="s">
        <v>1548</v>
      </c>
      <c r="C1596" t="s">
        <v>2670</v>
      </c>
      <c r="D1596" t="s">
        <v>1203</v>
      </c>
      <c r="E1596" t="s">
        <v>1204</v>
      </c>
      <c r="F1596">
        <v>5892</v>
      </c>
      <c r="G1596" t="s">
        <v>2674</v>
      </c>
      <c r="H1596" t="s">
        <v>2664</v>
      </c>
      <c r="I1596">
        <v>15116</v>
      </c>
      <c r="J1596">
        <v>15497</v>
      </c>
      <c r="K1596">
        <v>15889</v>
      </c>
      <c r="L1596">
        <v>16290</v>
      </c>
      <c r="M1596">
        <v>16535</v>
      </c>
      <c r="N1596" t="s">
        <v>988</v>
      </c>
    </row>
    <row r="1597" spans="1:14" hidden="1" x14ac:dyDescent="0.3">
      <c r="A1597">
        <v>1036</v>
      </c>
      <c r="B1597" t="s">
        <v>1548</v>
      </c>
      <c r="C1597" t="s">
        <v>2670</v>
      </c>
      <c r="D1597" t="s">
        <v>1203</v>
      </c>
      <c r="E1597" t="s">
        <v>1204</v>
      </c>
      <c r="F1597">
        <v>5892</v>
      </c>
      <c r="G1597" t="s">
        <v>2674</v>
      </c>
      <c r="H1597" t="s">
        <v>2665</v>
      </c>
      <c r="I1597">
        <v>15116</v>
      </c>
      <c r="J1597">
        <v>15497</v>
      </c>
      <c r="K1597">
        <v>15889</v>
      </c>
      <c r="L1597">
        <v>16290</v>
      </c>
      <c r="M1597">
        <v>16535</v>
      </c>
      <c r="N1597" t="s">
        <v>988</v>
      </c>
    </row>
    <row r="1598" spans="1:14" hidden="1" x14ac:dyDescent="0.3">
      <c r="A1598">
        <v>1038</v>
      </c>
      <c r="B1598" t="s">
        <v>1549</v>
      </c>
      <c r="C1598" t="s">
        <v>2670</v>
      </c>
      <c r="D1598" t="s">
        <v>1203</v>
      </c>
      <c r="E1598" t="s">
        <v>1204</v>
      </c>
      <c r="F1598">
        <v>5893</v>
      </c>
      <c r="G1598" t="s">
        <v>2676</v>
      </c>
      <c r="H1598" t="s">
        <v>2665</v>
      </c>
      <c r="I1598">
        <v>5502</v>
      </c>
      <c r="J1598">
        <v>5594</v>
      </c>
      <c r="K1598">
        <v>5692</v>
      </c>
      <c r="L1598">
        <v>5796</v>
      </c>
      <c r="M1598">
        <v>5907</v>
      </c>
      <c r="N1598" t="s">
        <v>988</v>
      </c>
    </row>
    <row r="1599" spans="1:14" hidden="1" x14ac:dyDescent="0.3">
      <c r="A1599">
        <v>1038</v>
      </c>
      <c r="B1599" t="s">
        <v>1549</v>
      </c>
      <c r="C1599" t="s">
        <v>2670</v>
      </c>
      <c r="D1599" t="s">
        <v>1203</v>
      </c>
      <c r="E1599" t="s">
        <v>1204</v>
      </c>
      <c r="F1599">
        <v>5893</v>
      </c>
      <c r="G1599" t="s">
        <v>2675</v>
      </c>
      <c r="H1599" t="s">
        <v>2664</v>
      </c>
      <c r="I1599">
        <v>5520</v>
      </c>
      <c r="J1599">
        <v>5613</v>
      </c>
      <c r="K1599">
        <v>5712</v>
      </c>
      <c r="L1599">
        <v>5817</v>
      </c>
      <c r="M1599">
        <v>5907</v>
      </c>
      <c r="N1599" t="s">
        <v>988</v>
      </c>
    </row>
    <row r="1600" spans="1:14" hidden="1" x14ac:dyDescent="0.3">
      <c r="A1600">
        <v>1038</v>
      </c>
      <c r="B1600" t="s">
        <v>1549</v>
      </c>
      <c r="C1600" t="s">
        <v>2670</v>
      </c>
      <c r="D1600" t="s">
        <v>1203</v>
      </c>
      <c r="E1600" t="s">
        <v>1204</v>
      </c>
      <c r="F1600">
        <v>5893</v>
      </c>
      <c r="G1600" t="s">
        <v>2675</v>
      </c>
      <c r="H1600" t="s">
        <v>2665</v>
      </c>
      <c r="I1600">
        <v>5520</v>
      </c>
      <c r="J1600">
        <v>5613</v>
      </c>
      <c r="K1600">
        <v>5712</v>
      </c>
      <c r="L1600">
        <v>5817</v>
      </c>
      <c r="M1600">
        <v>5907</v>
      </c>
      <c r="N1600" t="s">
        <v>988</v>
      </c>
    </row>
    <row r="1601" spans="1:14" hidden="1" x14ac:dyDescent="0.3">
      <c r="A1601">
        <v>1038</v>
      </c>
      <c r="B1601" t="s">
        <v>1549</v>
      </c>
      <c r="C1601" t="s">
        <v>2670</v>
      </c>
      <c r="D1601" t="s">
        <v>1203</v>
      </c>
      <c r="E1601" t="s">
        <v>1204</v>
      </c>
      <c r="F1601">
        <v>5893</v>
      </c>
      <c r="G1601" t="s">
        <v>2674</v>
      </c>
      <c r="H1601" t="s">
        <v>2664</v>
      </c>
      <c r="I1601">
        <v>5538</v>
      </c>
      <c r="J1601">
        <v>5633</v>
      </c>
      <c r="K1601">
        <v>5733</v>
      </c>
      <c r="L1601">
        <v>5839</v>
      </c>
      <c r="M1601">
        <v>5907</v>
      </c>
      <c r="N1601" t="s">
        <v>988</v>
      </c>
    </row>
    <row r="1602" spans="1:14" hidden="1" x14ac:dyDescent="0.3">
      <c r="A1602">
        <v>1038</v>
      </c>
      <c r="B1602" t="s">
        <v>1549</v>
      </c>
      <c r="C1602" t="s">
        <v>2670</v>
      </c>
      <c r="D1602" t="s">
        <v>1203</v>
      </c>
      <c r="E1602" t="s">
        <v>1204</v>
      </c>
      <c r="F1602">
        <v>5893</v>
      </c>
      <c r="G1602" t="s">
        <v>2674</v>
      </c>
      <c r="H1602" t="s">
        <v>2665</v>
      </c>
      <c r="I1602">
        <v>5538</v>
      </c>
      <c r="J1602">
        <v>5633</v>
      </c>
      <c r="K1602">
        <v>5733</v>
      </c>
      <c r="L1602">
        <v>5839</v>
      </c>
      <c r="M1602">
        <v>5907</v>
      </c>
      <c r="N1602" t="s">
        <v>988</v>
      </c>
    </row>
    <row r="1603" spans="1:14" hidden="1" x14ac:dyDescent="0.3">
      <c r="A1603">
        <v>1038</v>
      </c>
      <c r="B1603" t="s">
        <v>1549</v>
      </c>
      <c r="C1603" t="s">
        <v>2670</v>
      </c>
      <c r="D1603" t="s">
        <v>1203</v>
      </c>
      <c r="E1603" t="s">
        <v>1204</v>
      </c>
      <c r="F1603">
        <v>5893</v>
      </c>
      <c r="G1603" t="s">
        <v>2676</v>
      </c>
      <c r="H1603" t="s">
        <v>2664</v>
      </c>
      <c r="I1603">
        <v>5502</v>
      </c>
      <c r="J1603">
        <v>5594</v>
      </c>
      <c r="K1603">
        <v>5692</v>
      </c>
      <c r="L1603">
        <v>5796</v>
      </c>
      <c r="M1603">
        <v>5907</v>
      </c>
      <c r="N1603" t="s">
        <v>988</v>
      </c>
    </row>
    <row r="1604" spans="1:14" hidden="1" x14ac:dyDescent="0.3">
      <c r="A1604">
        <v>1038</v>
      </c>
      <c r="B1604" t="s">
        <v>1549</v>
      </c>
      <c r="C1604" t="s">
        <v>2670</v>
      </c>
      <c r="D1604" t="s">
        <v>1203</v>
      </c>
      <c r="E1604" t="s">
        <v>1204</v>
      </c>
      <c r="F1604">
        <v>5893</v>
      </c>
      <c r="G1604" t="s">
        <v>2672</v>
      </c>
      <c r="H1604" t="s">
        <v>2664</v>
      </c>
      <c r="N1604" t="s">
        <v>988</v>
      </c>
    </row>
    <row r="1605" spans="1:14" hidden="1" x14ac:dyDescent="0.3">
      <c r="A1605">
        <v>1038</v>
      </c>
      <c r="B1605" t="s">
        <v>1549</v>
      </c>
      <c r="C1605" t="s">
        <v>2670</v>
      </c>
      <c r="D1605" t="s">
        <v>1203</v>
      </c>
      <c r="E1605" t="s">
        <v>1204</v>
      </c>
      <c r="F1605">
        <v>5893</v>
      </c>
      <c r="G1605" t="s">
        <v>2671</v>
      </c>
      <c r="H1605" t="s">
        <v>2665</v>
      </c>
      <c r="I1605">
        <v>5575</v>
      </c>
      <c r="J1605">
        <v>5672</v>
      </c>
      <c r="K1605">
        <v>5775</v>
      </c>
      <c r="L1605">
        <v>5884</v>
      </c>
      <c r="M1605">
        <v>5907</v>
      </c>
      <c r="N1605" t="s">
        <v>988</v>
      </c>
    </row>
    <row r="1606" spans="1:14" hidden="1" x14ac:dyDescent="0.3">
      <c r="A1606">
        <v>1038</v>
      </c>
      <c r="B1606" t="s">
        <v>1549</v>
      </c>
      <c r="C1606" t="s">
        <v>2670</v>
      </c>
      <c r="D1606" t="s">
        <v>1203</v>
      </c>
      <c r="E1606" t="s">
        <v>1204</v>
      </c>
      <c r="F1606">
        <v>5893</v>
      </c>
      <c r="G1606" t="s">
        <v>2671</v>
      </c>
      <c r="H1606" t="s">
        <v>2664</v>
      </c>
      <c r="I1606">
        <v>5575</v>
      </c>
      <c r="J1606">
        <v>5672</v>
      </c>
      <c r="K1606">
        <v>5775</v>
      </c>
      <c r="L1606">
        <v>5884</v>
      </c>
      <c r="M1606">
        <v>5907</v>
      </c>
      <c r="N1606" t="s">
        <v>988</v>
      </c>
    </row>
    <row r="1607" spans="1:14" hidden="1" x14ac:dyDescent="0.3">
      <c r="A1607">
        <v>1038</v>
      </c>
      <c r="B1607" t="s">
        <v>1549</v>
      </c>
      <c r="C1607" t="s">
        <v>2670</v>
      </c>
      <c r="D1607" t="s">
        <v>1203</v>
      </c>
      <c r="E1607" t="s">
        <v>1204</v>
      </c>
      <c r="F1607">
        <v>5893</v>
      </c>
      <c r="G1607" t="s">
        <v>2673</v>
      </c>
      <c r="H1607" t="s">
        <v>2665</v>
      </c>
      <c r="I1607">
        <v>5557</v>
      </c>
      <c r="J1607">
        <v>5652</v>
      </c>
      <c r="K1607">
        <v>5754</v>
      </c>
      <c r="L1607">
        <v>5862</v>
      </c>
      <c r="M1607">
        <v>5907</v>
      </c>
      <c r="N1607" t="s">
        <v>988</v>
      </c>
    </row>
    <row r="1608" spans="1:14" hidden="1" x14ac:dyDescent="0.3">
      <c r="A1608">
        <v>1038</v>
      </c>
      <c r="B1608" t="s">
        <v>1549</v>
      </c>
      <c r="C1608" t="s">
        <v>2670</v>
      </c>
      <c r="D1608" t="s">
        <v>1203</v>
      </c>
      <c r="E1608" t="s">
        <v>1204</v>
      </c>
      <c r="F1608">
        <v>5893</v>
      </c>
      <c r="G1608" t="s">
        <v>2673</v>
      </c>
      <c r="H1608" t="s">
        <v>2664</v>
      </c>
      <c r="I1608">
        <v>5557</v>
      </c>
      <c r="J1608">
        <v>5652</v>
      </c>
      <c r="K1608">
        <v>5754</v>
      </c>
      <c r="L1608">
        <v>5862</v>
      </c>
      <c r="M1608">
        <v>5907</v>
      </c>
      <c r="N1608" t="s">
        <v>988</v>
      </c>
    </row>
    <row r="1609" spans="1:14" hidden="1" x14ac:dyDescent="0.3">
      <c r="A1609">
        <v>1038</v>
      </c>
      <c r="B1609" t="s">
        <v>1549</v>
      </c>
      <c r="C1609" t="s">
        <v>2670</v>
      </c>
      <c r="D1609" t="s">
        <v>1203</v>
      </c>
      <c r="E1609" t="s">
        <v>1204</v>
      </c>
      <c r="F1609">
        <v>5893</v>
      </c>
      <c r="G1609" t="s">
        <v>2672</v>
      </c>
      <c r="H1609" t="s">
        <v>2665</v>
      </c>
      <c r="N1609" t="s">
        <v>988</v>
      </c>
    </row>
    <row r="1610" spans="1:14" hidden="1" x14ac:dyDescent="0.3">
      <c r="A1610">
        <v>1041</v>
      </c>
      <c r="B1610" t="s">
        <v>1550</v>
      </c>
      <c r="C1610" t="s">
        <v>2670</v>
      </c>
      <c r="D1610" t="s">
        <v>1203</v>
      </c>
      <c r="E1610" t="s">
        <v>1204</v>
      </c>
      <c r="F1610">
        <v>5894</v>
      </c>
      <c r="G1610" t="s">
        <v>2672</v>
      </c>
      <c r="H1610" t="s">
        <v>2665</v>
      </c>
      <c r="N1610" t="s">
        <v>988</v>
      </c>
    </row>
    <row r="1611" spans="1:14" hidden="1" x14ac:dyDescent="0.3">
      <c r="A1611">
        <v>1041</v>
      </c>
      <c r="B1611" t="s">
        <v>1550</v>
      </c>
      <c r="C1611" t="s">
        <v>2670</v>
      </c>
      <c r="D1611" t="s">
        <v>1203</v>
      </c>
      <c r="E1611" t="s">
        <v>1204</v>
      </c>
      <c r="F1611">
        <v>5894</v>
      </c>
      <c r="G1611" t="s">
        <v>2672</v>
      </c>
      <c r="H1611" t="s">
        <v>2664</v>
      </c>
      <c r="N1611" t="s">
        <v>988</v>
      </c>
    </row>
    <row r="1612" spans="1:14" hidden="1" x14ac:dyDescent="0.3">
      <c r="A1612">
        <v>1041</v>
      </c>
      <c r="B1612" t="s">
        <v>1550</v>
      </c>
      <c r="C1612" t="s">
        <v>2670</v>
      </c>
      <c r="D1612" t="s">
        <v>1203</v>
      </c>
      <c r="E1612" t="s">
        <v>1204</v>
      </c>
      <c r="F1612">
        <v>5894</v>
      </c>
      <c r="G1612" t="s">
        <v>2671</v>
      </c>
      <c r="H1612" t="s">
        <v>2665</v>
      </c>
      <c r="I1612">
        <v>5417</v>
      </c>
      <c r="J1612">
        <v>5531</v>
      </c>
      <c r="K1612">
        <v>5647</v>
      </c>
      <c r="L1612">
        <v>5766</v>
      </c>
      <c r="M1612">
        <v>5790</v>
      </c>
      <c r="N1612" t="s">
        <v>988</v>
      </c>
    </row>
    <row r="1613" spans="1:14" hidden="1" x14ac:dyDescent="0.3">
      <c r="A1613">
        <v>1041</v>
      </c>
      <c r="B1613" t="s">
        <v>1550</v>
      </c>
      <c r="C1613" t="s">
        <v>2670</v>
      </c>
      <c r="D1613" t="s">
        <v>1203</v>
      </c>
      <c r="E1613" t="s">
        <v>1204</v>
      </c>
      <c r="F1613">
        <v>5894</v>
      </c>
      <c r="G1613" t="s">
        <v>2671</v>
      </c>
      <c r="H1613" t="s">
        <v>2664</v>
      </c>
      <c r="I1613">
        <v>5417</v>
      </c>
      <c r="J1613">
        <v>5531</v>
      </c>
      <c r="K1613">
        <v>5647</v>
      </c>
      <c r="L1613">
        <v>5766</v>
      </c>
      <c r="M1613">
        <v>5790</v>
      </c>
      <c r="N1613" t="s">
        <v>988</v>
      </c>
    </row>
    <row r="1614" spans="1:14" hidden="1" x14ac:dyDescent="0.3">
      <c r="A1614">
        <v>1041</v>
      </c>
      <c r="B1614" t="s">
        <v>1550</v>
      </c>
      <c r="C1614" t="s">
        <v>2670</v>
      </c>
      <c r="D1614" t="s">
        <v>1203</v>
      </c>
      <c r="E1614" t="s">
        <v>1204</v>
      </c>
      <c r="F1614">
        <v>5894</v>
      </c>
      <c r="G1614" t="s">
        <v>2673</v>
      </c>
      <c r="H1614" t="s">
        <v>2665</v>
      </c>
      <c r="I1614">
        <v>5395</v>
      </c>
      <c r="J1614">
        <v>5508</v>
      </c>
      <c r="K1614">
        <v>5624</v>
      </c>
      <c r="L1614">
        <v>5742</v>
      </c>
      <c r="M1614">
        <v>5790</v>
      </c>
      <c r="N1614" t="s">
        <v>988</v>
      </c>
    </row>
    <row r="1615" spans="1:14" hidden="1" x14ac:dyDescent="0.3">
      <c r="A1615">
        <v>1041</v>
      </c>
      <c r="B1615" t="s">
        <v>1550</v>
      </c>
      <c r="C1615" t="s">
        <v>2670</v>
      </c>
      <c r="D1615" t="s">
        <v>1203</v>
      </c>
      <c r="E1615" t="s">
        <v>1204</v>
      </c>
      <c r="F1615">
        <v>5894</v>
      </c>
      <c r="G1615" t="s">
        <v>2676</v>
      </c>
      <c r="H1615" t="s">
        <v>2664</v>
      </c>
      <c r="I1615">
        <v>5328</v>
      </c>
      <c r="J1615">
        <v>5440</v>
      </c>
      <c r="K1615">
        <v>5554</v>
      </c>
      <c r="L1615">
        <v>5671</v>
      </c>
      <c r="M1615">
        <v>5790</v>
      </c>
      <c r="N1615" t="s">
        <v>988</v>
      </c>
    </row>
    <row r="1616" spans="1:14" hidden="1" x14ac:dyDescent="0.3">
      <c r="A1616">
        <v>1041</v>
      </c>
      <c r="B1616" t="s">
        <v>1550</v>
      </c>
      <c r="C1616" t="s">
        <v>2670</v>
      </c>
      <c r="D1616" t="s">
        <v>1203</v>
      </c>
      <c r="E1616" t="s">
        <v>1204</v>
      </c>
      <c r="F1616">
        <v>5894</v>
      </c>
      <c r="G1616" t="s">
        <v>2674</v>
      </c>
      <c r="H1616" t="s">
        <v>2665</v>
      </c>
      <c r="I1616">
        <v>5372</v>
      </c>
      <c r="J1616">
        <v>5485</v>
      </c>
      <c r="K1616">
        <v>5601</v>
      </c>
      <c r="L1616">
        <v>5718</v>
      </c>
      <c r="M1616">
        <v>5790</v>
      </c>
      <c r="N1616" t="s">
        <v>988</v>
      </c>
    </row>
    <row r="1617" spans="1:14" hidden="1" x14ac:dyDescent="0.3">
      <c r="A1617">
        <v>1041</v>
      </c>
      <c r="B1617" t="s">
        <v>1550</v>
      </c>
      <c r="C1617" t="s">
        <v>2670</v>
      </c>
      <c r="D1617" t="s">
        <v>1203</v>
      </c>
      <c r="E1617" t="s">
        <v>1204</v>
      </c>
      <c r="F1617">
        <v>5894</v>
      </c>
      <c r="G1617" t="s">
        <v>2674</v>
      </c>
      <c r="H1617" t="s">
        <v>2664</v>
      </c>
      <c r="I1617">
        <v>5372</v>
      </c>
      <c r="J1617">
        <v>5485</v>
      </c>
      <c r="K1617">
        <v>5601</v>
      </c>
      <c r="L1617">
        <v>5718</v>
      </c>
      <c r="M1617">
        <v>5790</v>
      </c>
      <c r="N1617" t="s">
        <v>988</v>
      </c>
    </row>
    <row r="1618" spans="1:14" hidden="1" x14ac:dyDescent="0.3">
      <c r="A1618">
        <v>1041</v>
      </c>
      <c r="B1618" t="s">
        <v>1550</v>
      </c>
      <c r="C1618" t="s">
        <v>2670</v>
      </c>
      <c r="D1618" t="s">
        <v>1203</v>
      </c>
      <c r="E1618" t="s">
        <v>1204</v>
      </c>
      <c r="F1618">
        <v>5894</v>
      </c>
      <c r="G1618" t="s">
        <v>2675</v>
      </c>
      <c r="H1618" t="s">
        <v>2665</v>
      </c>
      <c r="I1618">
        <v>5350</v>
      </c>
      <c r="J1618">
        <v>5463</v>
      </c>
      <c r="K1618">
        <v>5577</v>
      </c>
      <c r="L1618">
        <v>5695</v>
      </c>
      <c r="M1618">
        <v>5790</v>
      </c>
      <c r="N1618" t="s">
        <v>988</v>
      </c>
    </row>
    <row r="1619" spans="1:14" hidden="1" x14ac:dyDescent="0.3">
      <c r="A1619">
        <v>1041</v>
      </c>
      <c r="B1619" t="s">
        <v>1550</v>
      </c>
      <c r="C1619" t="s">
        <v>2670</v>
      </c>
      <c r="D1619" t="s">
        <v>1203</v>
      </c>
      <c r="E1619" t="s">
        <v>1204</v>
      </c>
      <c r="F1619">
        <v>5894</v>
      </c>
      <c r="G1619" t="s">
        <v>2675</v>
      </c>
      <c r="H1619" t="s">
        <v>2664</v>
      </c>
      <c r="I1619">
        <v>5350</v>
      </c>
      <c r="J1619">
        <v>5463</v>
      </c>
      <c r="K1619">
        <v>5577</v>
      </c>
      <c r="L1619">
        <v>5695</v>
      </c>
      <c r="M1619">
        <v>5790</v>
      </c>
      <c r="N1619" t="s">
        <v>988</v>
      </c>
    </row>
    <row r="1620" spans="1:14" hidden="1" x14ac:dyDescent="0.3">
      <c r="A1620">
        <v>1041</v>
      </c>
      <c r="B1620" t="s">
        <v>1550</v>
      </c>
      <c r="C1620" t="s">
        <v>2670</v>
      </c>
      <c r="D1620" t="s">
        <v>1203</v>
      </c>
      <c r="E1620" t="s">
        <v>1204</v>
      </c>
      <c r="F1620">
        <v>5894</v>
      </c>
      <c r="G1620" t="s">
        <v>2676</v>
      </c>
      <c r="H1620" t="s">
        <v>2665</v>
      </c>
      <c r="I1620">
        <v>5328</v>
      </c>
      <c r="J1620">
        <v>5440</v>
      </c>
      <c r="K1620">
        <v>5554</v>
      </c>
      <c r="L1620">
        <v>5671</v>
      </c>
      <c r="M1620">
        <v>5790</v>
      </c>
      <c r="N1620" t="s">
        <v>988</v>
      </c>
    </row>
    <row r="1621" spans="1:14" hidden="1" x14ac:dyDescent="0.3">
      <c r="A1621">
        <v>1041</v>
      </c>
      <c r="B1621" t="s">
        <v>1550</v>
      </c>
      <c r="C1621" t="s">
        <v>2670</v>
      </c>
      <c r="D1621" t="s">
        <v>1203</v>
      </c>
      <c r="E1621" t="s">
        <v>1204</v>
      </c>
      <c r="F1621">
        <v>5894</v>
      </c>
      <c r="G1621" t="s">
        <v>2673</v>
      </c>
      <c r="H1621" t="s">
        <v>2664</v>
      </c>
      <c r="I1621">
        <v>5395</v>
      </c>
      <c r="J1621">
        <v>5508</v>
      </c>
      <c r="K1621">
        <v>5624</v>
      </c>
      <c r="L1621">
        <v>5742</v>
      </c>
      <c r="M1621">
        <v>5790</v>
      </c>
      <c r="N1621" t="s">
        <v>988</v>
      </c>
    </row>
    <row r="1622" spans="1:14" hidden="1" x14ac:dyDescent="0.3">
      <c r="A1622">
        <v>1049</v>
      </c>
      <c r="B1622" t="s">
        <v>1551</v>
      </c>
      <c r="C1622" t="s">
        <v>2670</v>
      </c>
      <c r="D1622" t="s">
        <v>1203</v>
      </c>
      <c r="E1622" t="s">
        <v>1204</v>
      </c>
      <c r="F1622">
        <v>5895</v>
      </c>
      <c r="G1622" t="s">
        <v>2673</v>
      </c>
      <c r="H1622" t="s">
        <v>2665</v>
      </c>
      <c r="I1622">
        <v>4803</v>
      </c>
      <c r="J1622">
        <v>4805</v>
      </c>
      <c r="K1622">
        <v>4808</v>
      </c>
      <c r="L1622">
        <v>4810</v>
      </c>
      <c r="M1622">
        <v>4811</v>
      </c>
      <c r="N1622" t="s">
        <v>988</v>
      </c>
    </row>
    <row r="1623" spans="1:14" hidden="1" x14ac:dyDescent="0.3">
      <c r="A1623">
        <v>1049</v>
      </c>
      <c r="B1623" t="s">
        <v>1551</v>
      </c>
      <c r="C1623" t="s">
        <v>2670</v>
      </c>
      <c r="D1623" t="s">
        <v>1203</v>
      </c>
      <c r="E1623" t="s">
        <v>1204</v>
      </c>
      <c r="F1623">
        <v>5895</v>
      </c>
      <c r="G1623" t="s">
        <v>2673</v>
      </c>
      <c r="H1623" t="s">
        <v>2664</v>
      </c>
      <c r="I1623">
        <v>4803</v>
      </c>
      <c r="J1623">
        <v>4805</v>
      </c>
      <c r="K1623">
        <v>4808</v>
      </c>
      <c r="L1623">
        <v>4810</v>
      </c>
      <c r="M1623">
        <v>4811</v>
      </c>
      <c r="N1623" t="s">
        <v>988</v>
      </c>
    </row>
    <row r="1624" spans="1:14" hidden="1" x14ac:dyDescent="0.3">
      <c r="A1624">
        <v>1049</v>
      </c>
      <c r="B1624" t="s">
        <v>1551</v>
      </c>
      <c r="C1624" t="s">
        <v>2670</v>
      </c>
      <c r="D1624" t="s">
        <v>1203</v>
      </c>
      <c r="E1624" t="s">
        <v>1204</v>
      </c>
      <c r="F1624">
        <v>5895</v>
      </c>
      <c r="G1624" t="s">
        <v>2674</v>
      </c>
      <c r="H1624" t="s">
        <v>2665</v>
      </c>
      <c r="I1624">
        <v>4802</v>
      </c>
      <c r="J1624">
        <v>4805</v>
      </c>
      <c r="K1624">
        <v>4807</v>
      </c>
      <c r="L1624">
        <v>4809</v>
      </c>
      <c r="M1624">
        <v>4811</v>
      </c>
      <c r="N1624" t="s">
        <v>988</v>
      </c>
    </row>
    <row r="1625" spans="1:14" hidden="1" x14ac:dyDescent="0.3">
      <c r="A1625">
        <v>1049</v>
      </c>
      <c r="B1625" t="s">
        <v>1551</v>
      </c>
      <c r="C1625" t="s">
        <v>2670</v>
      </c>
      <c r="D1625" t="s">
        <v>1203</v>
      </c>
      <c r="E1625" t="s">
        <v>1204</v>
      </c>
      <c r="F1625">
        <v>5895</v>
      </c>
      <c r="G1625" t="s">
        <v>2674</v>
      </c>
      <c r="H1625" t="s">
        <v>2664</v>
      </c>
      <c r="I1625">
        <v>4802</v>
      </c>
      <c r="J1625">
        <v>4805</v>
      </c>
      <c r="K1625">
        <v>4807</v>
      </c>
      <c r="L1625">
        <v>4809</v>
      </c>
      <c r="M1625">
        <v>4811</v>
      </c>
      <c r="N1625" t="s">
        <v>988</v>
      </c>
    </row>
    <row r="1626" spans="1:14" hidden="1" x14ac:dyDescent="0.3">
      <c r="A1626">
        <v>1049</v>
      </c>
      <c r="B1626" t="s">
        <v>1551</v>
      </c>
      <c r="C1626" t="s">
        <v>2670</v>
      </c>
      <c r="D1626" t="s">
        <v>1203</v>
      </c>
      <c r="E1626" t="s">
        <v>1204</v>
      </c>
      <c r="F1626">
        <v>5895</v>
      </c>
      <c r="G1626" t="s">
        <v>2676</v>
      </c>
      <c r="H1626" t="s">
        <v>2664</v>
      </c>
      <c r="I1626">
        <v>4801</v>
      </c>
      <c r="J1626">
        <v>4804</v>
      </c>
      <c r="K1626">
        <v>4806</v>
      </c>
      <c r="L1626">
        <v>4808</v>
      </c>
      <c r="M1626">
        <v>4811</v>
      </c>
      <c r="N1626" t="s">
        <v>988</v>
      </c>
    </row>
    <row r="1627" spans="1:14" hidden="1" x14ac:dyDescent="0.3">
      <c r="A1627">
        <v>1049</v>
      </c>
      <c r="B1627" t="s">
        <v>1551</v>
      </c>
      <c r="C1627" t="s">
        <v>2670</v>
      </c>
      <c r="D1627" t="s">
        <v>1203</v>
      </c>
      <c r="E1627" t="s">
        <v>1204</v>
      </c>
      <c r="F1627">
        <v>5895</v>
      </c>
      <c r="G1627" t="s">
        <v>2671</v>
      </c>
      <c r="H1627" t="s">
        <v>2664</v>
      </c>
      <c r="I1627">
        <v>4803</v>
      </c>
      <c r="J1627">
        <v>4806</v>
      </c>
      <c r="K1627">
        <v>4808</v>
      </c>
      <c r="L1627">
        <v>4810</v>
      </c>
      <c r="M1627">
        <v>4811</v>
      </c>
      <c r="N1627" t="s">
        <v>988</v>
      </c>
    </row>
    <row r="1628" spans="1:14" hidden="1" x14ac:dyDescent="0.3">
      <c r="A1628">
        <v>1049</v>
      </c>
      <c r="B1628" t="s">
        <v>1551</v>
      </c>
      <c r="C1628" t="s">
        <v>2670</v>
      </c>
      <c r="D1628" t="s">
        <v>1203</v>
      </c>
      <c r="E1628" t="s">
        <v>1204</v>
      </c>
      <c r="F1628">
        <v>5895</v>
      </c>
      <c r="G1628" t="s">
        <v>2675</v>
      </c>
      <c r="H1628" t="s">
        <v>2664</v>
      </c>
      <c r="I1628">
        <v>4802</v>
      </c>
      <c r="J1628">
        <v>4804</v>
      </c>
      <c r="K1628">
        <v>4807</v>
      </c>
      <c r="L1628">
        <v>4809</v>
      </c>
      <c r="M1628">
        <v>4811</v>
      </c>
      <c r="N1628" t="s">
        <v>988</v>
      </c>
    </row>
    <row r="1629" spans="1:14" hidden="1" x14ac:dyDescent="0.3">
      <c r="A1629">
        <v>1049</v>
      </c>
      <c r="B1629" t="s">
        <v>1551</v>
      </c>
      <c r="C1629" t="s">
        <v>2670</v>
      </c>
      <c r="D1629" t="s">
        <v>1203</v>
      </c>
      <c r="E1629" t="s">
        <v>1204</v>
      </c>
      <c r="F1629">
        <v>5895</v>
      </c>
      <c r="G1629" t="s">
        <v>2676</v>
      </c>
      <c r="H1629" t="s">
        <v>2665</v>
      </c>
      <c r="I1629">
        <v>4801</v>
      </c>
      <c r="J1629">
        <v>4804</v>
      </c>
      <c r="K1629">
        <v>4806</v>
      </c>
      <c r="L1629">
        <v>4808</v>
      </c>
      <c r="M1629">
        <v>4811</v>
      </c>
      <c r="N1629" t="s">
        <v>988</v>
      </c>
    </row>
    <row r="1630" spans="1:14" hidden="1" x14ac:dyDescent="0.3">
      <c r="A1630">
        <v>1049</v>
      </c>
      <c r="B1630" t="s">
        <v>1551</v>
      </c>
      <c r="C1630" t="s">
        <v>2670</v>
      </c>
      <c r="D1630" t="s">
        <v>1203</v>
      </c>
      <c r="E1630" t="s">
        <v>1204</v>
      </c>
      <c r="F1630">
        <v>5895</v>
      </c>
      <c r="G1630" t="s">
        <v>2672</v>
      </c>
      <c r="H1630" t="s">
        <v>2665</v>
      </c>
      <c r="N1630" t="s">
        <v>988</v>
      </c>
    </row>
    <row r="1631" spans="1:14" hidden="1" x14ac:dyDescent="0.3">
      <c r="A1631">
        <v>1049</v>
      </c>
      <c r="B1631" t="s">
        <v>1551</v>
      </c>
      <c r="C1631" t="s">
        <v>2670</v>
      </c>
      <c r="D1631" t="s">
        <v>1203</v>
      </c>
      <c r="E1631" t="s">
        <v>1204</v>
      </c>
      <c r="F1631">
        <v>5895</v>
      </c>
      <c r="G1631" t="s">
        <v>2672</v>
      </c>
      <c r="H1631" t="s">
        <v>2664</v>
      </c>
      <c r="N1631" t="s">
        <v>988</v>
      </c>
    </row>
    <row r="1632" spans="1:14" hidden="1" x14ac:dyDescent="0.3">
      <c r="A1632">
        <v>1049</v>
      </c>
      <c r="B1632" t="s">
        <v>1551</v>
      </c>
      <c r="C1632" t="s">
        <v>2670</v>
      </c>
      <c r="D1632" t="s">
        <v>1203</v>
      </c>
      <c r="E1632" t="s">
        <v>1204</v>
      </c>
      <c r="F1632">
        <v>5895</v>
      </c>
      <c r="G1632" t="s">
        <v>2671</v>
      </c>
      <c r="H1632" t="s">
        <v>2665</v>
      </c>
      <c r="I1632">
        <v>4803</v>
      </c>
      <c r="J1632">
        <v>4806</v>
      </c>
      <c r="K1632">
        <v>4808</v>
      </c>
      <c r="L1632">
        <v>4810</v>
      </c>
      <c r="M1632">
        <v>4811</v>
      </c>
      <c r="N1632" t="s">
        <v>988</v>
      </c>
    </row>
    <row r="1633" spans="1:14" hidden="1" x14ac:dyDescent="0.3">
      <c r="A1633">
        <v>1049</v>
      </c>
      <c r="B1633" t="s">
        <v>1551</v>
      </c>
      <c r="C1633" t="s">
        <v>2670</v>
      </c>
      <c r="D1633" t="s">
        <v>1203</v>
      </c>
      <c r="E1633" t="s">
        <v>1204</v>
      </c>
      <c r="F1633">
        <v>5895</v>
      </c>
      <c r="G1633" t="s">
        <v>2675</v>
      </c>
      <c r="H1633" t="s">
        <v>2665</v>
      </c>
      <c r="I1633">
        <v>4802</v>
      </c>
      <c r="J1633">
        <v>4804</v>
      </c>
      <c r="K1633">
        <v>4807</v>
      </c>
      <c r="L1633">
        <v>4809</v>
      </c>
      <c r="M1633">
        <v>4811</v>
      </c>
      <c r="N1633" t="s">
        <v>988</v>
      </c>
    </row>
    <row r="1634" spans="1:14" hidden="1" x14ac:dyDescent="0.3">
      <c r="A1634">
        <v>1052</v>
      </c>
      <c r="B1634" t="s">
        <v>1552</v>
      </c>
      <c r="C1634" t="s">
        <v>2670</v>
      </c>
      <c r="D1634" t="s">
        <v>1203</v>
      </c>
      <c r="E1634" t="s">
        <v>1204</v>
      </c>
      <c r="F1634">
        <v>5896</v>
      </c>
      <c r="G1634" t="s">
        <v>2672</v>
      </c>
      <c r="H1634" t="s">
        <v>2665</v>
      </c>
      <c r="N1634" t="s">
        <v>988</v>
      </c>
    </row>
    <row r="1635" spans="1:14" hidden="1" x14ac:dyDescent="0.3">
      <c r="A1635">
        <v>1052</v>
      </c>
      <c r="B1635" t="s">
        <v>1552</v>
      </c>
      <c r="C1635" t="s">
        <v>2670</v>
      </c>
      <c r="D1635" t="s">
        <v>1203</v>
      </c>
      <c r="E1635" t="s">
        <v>1204</v>
      </c>
      <c r="F1635">
        <v>5896</v>
      </c>
      <c r="G1635" t="s">
        <v>2672</v>
      </c>
      <c r="H1635" t="s">
        <v>2664</v>
      </c>
      <c r="N1635" t="s">
        <v>988</v>
      </c>
    </row>
    <row r="1636" spans="1:14" hidden="1" x14ac:dyDescent="0.3">
      <c r="A1636">
        <v>1052</v>
      </c>
      <c r="B1636" t="s">
        <v>1552</v>
      </c>
      <c r="C1636" t="s">
        <v>2670</v>
      </c>
      <c r="D1636" t="s">
        <v>1203</v>
      </c>
      <c r="E1636" t="s">
        <v>1204</v>
      </c>
      <c r="F1636">
        <v>5896</v>
      </c>
      <c r="G1636" t="s">
        <v>2671</v>
      </c>
      <c r="H1636" t="s">
        <v>2665</v>
      </c>
      <c r="I1636">
        <v>6857</v>
      </c>
      <c r="J1636">
        <v>7039</v>
      </c>
      <c r="K1636">
        <v>7225</v>
      </c>
      <c r="L1636">
        <v>7416</v>
      </c>
      <c r="M1636">
        <v>7455</v>
      </c>
      <c r="N1636" t="s">
        <v>988</v>
      </c>
    </row>
    <row r="1637" spans="1:14" hidden="1" x14ac:dyDescent="0.3">
      <c r="A1637">
        <v>1052</v>
      </c>
      <c r="B1637" t="s">
        <v>1552</v>
      </c>
      <c r="C1637" t="s">
        <v>2670</v>
      </c>
      <c r="D1637" t="s">
        <v>1203</v>
      </c>
      <c r="E1637" t="s">
        <v>1204</v>
      </c>
      <c r="F1637">
        <v>5896</v>
      </c>
      <c r="G1637" t="s">
        <v>2671</v>
      </c>
      <c r="H1637" t="s">
        <v>2664</v>
      </c>
      <c r="I1637">
        <v>6857</v>
      </c>
      <c r="J1637">
        <v>7039</v>
      </c>
      <c r="K1637">
        <v>7225</v>
      </c>
      <c r="L1637">
        <v>7416</v>
      </c>
      <c r="M1637">
        <v>7455</v>
      </c>
      <c r="N1637" t="s">
        <v>988</v>
      </c>
    </row>
    <row r="1638" spans="1:14" hidden="1" x14ac:dyDescent="0.3">
      <c r="A1638">
        <v>1052</v>
      </c>
      <c r="B1638" t="s">
        <v>1552</v>
      </c>
      <c r="C1638" t="s">
        <v>2670</v>
      </c>
      <c r="D1638" t="s">
        <v>1203</v>
      </c>
      <c r="E1638" t="s">
        <v>1204</v>
      </c>
      <c r="F1638">
        <v>5896</v>
      </c>
      <c r="G1638" t="s">
        <v>2673</v>
      </c>
      <c r="H1638" t="s">
        <v>2665</v>
      </c>
      <c r="I1638">
        <v>6821</v>
      </c>
      <c r="J1638">
        <v>7002</v>
      </c>
      <c r="K1638">
        <v>7187</v>
      </c>
      <c r="L1638">
        <v>7378</v>
      </c>
      <c r="M1638">
        <v>7455</v>
      </c>
      <c r="N1638" t="s">
        <v>988</v>
      </c>
    </row>
    <row r="1639" spans="1:14" hidden="1" x14ac:dyDescent="0.3">
      <c r="A1639">
        <v>1052</v>
      </c>
      <c r="B1639" t="s">
        <v>1552</v>
      </c>
      <c r="C1639" t="s">
        <v>2670</v>
      </c>
      <c r="D1639" t="s">
        <v>1203</v>
      </c>
      <c r="E1639" t="s">
        <v>1204</v>
      </c>
      <c r="F1639">
        <v>5896</v>
      </c>
      <c r="G1639" t="s">
        <v>2676</v>
      </c>
      <c r="H1639" t="s">
        <v>2664</v>
      </c>
      <c r="I1639">
        <v>6715</v>
      </c>
      <c r="J1639">
        <v>6893</v>
      </c>
      <c r="K1639">
        <v>7075</v>
      </c>
      <c r="L1639">
        <v>7263</v>
      </c>
      <c r="M1639">
        <v>7455</v>
      </c>
      <c r="N1639" t="s">
        <v>988</v>
      </c>
    </row>
    <row r="1640" spans="1:14" hidden="1" x14ac:dyDescent="0.3">
      <c r="A1640">
        <v>1052</v>
      </c>
      <c r="B1640" t="s">
        <v>1552</v>
      </c>
      <c r="C1640" t="s">
        <v>2670</v>
      </c>
      <c r="D1640" t="s">
        <v>1203</v>
      </c>
      <c r="E1640" t="s">
        <v>1204</v>
      </c>
      <c r="F1640">
        <v>5896</v>
      </c>
      <c r="G1640" t="s">
        <v>2674</v>
      </c>
      <c r="H1640" t="s">
        <v>2665</v>
      </c>
      <c r="I1640">
        <v>6786</v>
      </c>
      <c r="J1640">
        <v>6965</v>
      </c>
      <c r="K1640">
        <v>7150</v>
      </c>
      <c r="L1640">
        <v>7339</v>
      </c>
      <c r="M1640">
        <v>7455</v>
      </c>
      <c r="N1640" t="s">
        <v>988</v>
      </c>
    </row>
    <row r="1641" spans="1:14" hidden="1" x14ac:dyDescent="0.3">
      <c r="A1641">
        <v>1052</v>
      </c>
      <c r="B1641" t="s">
        <v>1552</v>
      </c>
      <c r="C1641" t="s">
        <v>2670</v>
      </c>
      <c r="D1641" t="s">
        <v>1203</v>
      </c>
      <c r="E1641" t="s">
        <v>1204</v>
      </c>
      <c r="F1641">
        <v>5896</v>
      </c>
      <c r="G1641" t="s">
        <v>2674</v>
      </c>
      <c r="H1641" t="s">
        <v>2664</v>
      </c>
      <c r="I1641">
        <v>6786</v>
      </c>
      <c r="J1641">
        <v>6965</v>
      </c>
      <c r="K1641">
        <v>7150</v>
      </c>
      <c r="L1641">
        <v>7339</v>
      </c>
      <c r="M1641">
        <v>7455</v>
      </c>
      <c r="N1641" t="s">
        <v>988</v>
      </c>
    </row>
    <row r="1642" spans="1:14" hidden="1" x14ac:dyDescent="0.3">
      <c r="A1642">
        <v>1052</v>
      </c>
      <c r="B1642" t="s">
        <v>1552</v>
      </c>
      <c r="C1642" t="s">
        <v>2670</v>
      </c>
      <c r="D1642" t="s">
        <v>1203</v>
      </c>
      <c r="E1642" t="s">
        <v>1204</v>
      </c>
      <c r="F1642">
        <v>5896</v>
      </c>
      <c r="G1642" t="s">
        <v>2675</v>
      </c>
      <c r="H1642" t="s">
        <v>2665</v>
      </c>
      <c r="I1642">
        <v>6750</v>
      </c>
      <c r="J1642">
        <v>6929</v>
      </c>
      <c r="K1642">
        <v>7113</v>
      </c>
      <c r="L1642">
        <v>7301</v>
      </c>
      <c r="M1642">
        <v>7455</v>
      </c>
      <c r="N1642" t="s">
        <v>988</v>
      </c>
    </row>
    <row r="1643" spans="1:14" hidden="1" x14ac:dyDescent="0.3">
      <c r="A1643">
        <v>1052</v>
      </c>
      <c r="B1643" t="s">
        <v>1552</v>
      </c>
      <c r="C1643" t="s">
        <v>2670</v>
      </c>
      <c r="D1643" t="s">
        <v>1203</v>
      </c>
      <c r="E1643" t="s">
        <v>1204</v>
      </c>
      <c r="F1643">
        <v>5896</v>
      </c>
      <c r="G1643" t="s">
        <v>2675</v>
      </c>
      <c r="H1643" t="s">
        <v>2664</v>
      </c>
      <c r="I1643">
        <v>6750</v>
      </c>
      <c r="J1643">
        <v>6929</v>
      </c>
      <c r="K1643">
        <v>7113</v>
      </c>
      <c r="L1643">
        <v>7301</v>
      </c>
      <c r="M1643">
        <v>7455</v>
      </c>
      <c r="N1643" t="s">
        <v>988</v>
      </c>
    </row>
    <row r="1644" spans="1:14" hidden="1" x14ac:dyDescent="0.3">
      <c r="A1644">
        <v>1052</v>
      </c>
      <c r="B1644" t="s">
        <v>1552</v>
      </c>
      <c r="C1644" t="s">
        <v>2670</v>
      </c>
      <c r="D1644" t="s">
        <v>1203</v>
      </c>
      <c r="E1644" t="s">
        <v>1204</v>
      </c>
      <c r="F1644">
        <v>5896</v>
      </c>
      <c r="G1644" t="s">
        <v>2676</v>
      </c>
      <c r="H1644" t="s">
        <v>2665</v>
      </c>
      <c r="I1644">
        <v>6715</v>
      </c>
      <c r="J1644">
        <v>6893</v>
      </c>
      <c r="K1644">
        <v>7075</v>
      </c>
      <c r="L1644">
        <v>7263</v>
      </c>
      <c r="M1644">
        <v>7455</v>
      </c>
      <c r="N1644" t="s">
        <v>988</v>
      </c>
    </row>
    <row r="1645" spans="1:14" hidden="1" x14ac:dyDescent="0.3">
      <c r="A1645">
        <v>1052</v>
      </c>
      <c r="B1645" t="s">
        <v>1552</v>
      </c>
      <c r="C1645" t="s">
        <v>2670</v>
      </c>
      <c r="D1645" t="s">
        <v>1203</v>
      </c>
      <c r="E1645" t="s">
        <v>1204</v>
      </c>
      <c r="F1645">
        <v>5896</v>
      </c>
      <c r="G1645" t="s">
        <v>2673</v>
      </c>
      <c r="H1645" t="s">
        <v>2664</v>
      </c>
      <c r="I1645">
        <v>6821</v>
      </c>
      <c r="J1645">
        <v>7002</v>
      </c>
      <c r="K1645">
        <v>7187</v>
      </c>
      <c r="L1645">
        <v>7378</v>
      </c>
      <c r="M1645">
        <v>7455</v>
      </c>
      <c r="N1645" t="s">
        <v>988</v>
      </c>
    </row>
    <row r="1646" spans="1:14" hidden="1" x14ac:dyDescent="0.3">
      <c r="A1646">
        <v>1053</v>
      </c>
      <c r="B1646" t="s">
        <v>1553</v>
      </c>
      <c r="C1646" t="s">
        <v>2670</v>
      </c>
      <c r="D1646" t="s">
        <v>1203</v>
      </c>
      <c r="E1646" t="s">
        <v>1204</v>
      </c>
      <c r="F1646">
        <v>5897</v>
      </c>
      <c r="G1646" t="s">
        <v>2672</v>
      </c>
      <c r="H1646" t="s">
        <v>2665</v>
      </c>
      <c r="N1646" t="s">
        <v>988</v>
      </c>
    </row>
    <row r="1647" spans="1:14" hidden="1" x14ac:dyDescent="0.3">
      <c r="A1647">
        <v>1053</v>
      </c>
      <c r="B1647" t="s">
        <v>1553</v>
      </c>
      <c r="C1647" t="s">
        <v>2670</v>
      </c>
      <c r="D1647" t="s">
        <v>1203</v>
      </c>
      <c r="E1647" t="s">
        <v>1204</v>
      </c>
      <c r="F1647">
        <v>5897</v>
      </c>
      <c r="G1647" t="s">
        <v>2672</v>
      </c>
      <c r="H1647" t="s">
        <v>2664</v>
      </c>
      <c r="N1647" t="s">
        <v>988</v>
      </c>
    </row>
    <row r="1648" spans="1:14" hidden="1" x14ac:dyDescent="0.3">
      <c r="A1648">
        <v>1053</v>
      </c>
      <c r="B1648" t="s">
        <v>1553</v>
      </c>
      <c r="C1648" t="s">
        <v>2670</v>
      </c>
      <c r="D1648" t="s">
        <v>1203</v>
      </c>
      <c r="E1648" t="s">
        <v>1204</v>
      </c>
      <c r="F1648">
        <v>5897</v>
      </c>
      <c r="G1648" t="s">
        <v>2671</v>
      </c>
      <c r="H1648" t="s">
        <v>2665</v>
      </c>
      <c r="I1648">
        <v>7346</v>
      </c>
      <c r="J1648">
        <v>7357</v>
      </c>
      <c r="K1648">
        <v>7404</v>
      </c>
      <c r="L1648">
        <v>7433</v>
      </c>
      <c r="M1648">
        <v>7439</v>
      </c>
      <c r="N1648" t="s">
        <v>988</v>
      </c>
    </row>
    <row r="1649" spans="1:14" hidden="1" x14ac:dyDescent="0.3">
      <c r="A1649">
        <v>1053</v>
      </c>
      <c r="B1649" t="s">
        <v>1553</v>
      </c>
      <c r="C1649" t="s">
        <v>2670</v>
      </c>
      <c r="D1649" t="s">
        <v>1203</v>
      </c>
      <c r="E1649" t="s">
        <v>1204</v>
      </c>
      <c r="F1649">
        <v>5897</v>
      </c>
      <c r="G1649" t="s">
        <v>2671</v>
      </c>
      <c r="H1649" t="s">
        <v>2664</v>
      </c>
      <c r="I1649">
        <v>7346</v>
      </c>
      <c r="J1649">
        <v>7357</v>
      </c>
      <c r="K1649">
        <v>7404</v>
      </c>
      <c r="L1649">
        <v>7433</v>
      </c>
      <c r="M1649">
        <v>7439</v>
      </c>
      <c r="N1649" t="s">
        <v>988</v>
      </c>
    </row>
    <row r="1650" spans="1:14" hidden="1" x14ac:dyDescent="0.3">
      <c r="A1650">
        <v>1053</v>
      </c>
      <c r="B1650" t="s">
        <v>1553</v>
      </c>
      <c r="C1650" t="s">
        <v>2670</v>
      </c>
      <c r="D1650" t="s">
        <v>1203</v>
      </c>
      <c r="E1650" t="s">
        <v>1204</v>
      </c>
      <c r="F1650">
        <v>5897</v>
      </c>
      <c r="G1650" t="s">
        <v>2673</v>
      </c>
      <c r="H1650" t="s">
        <v>2665</v>
      </c>
      <c r="I1650">
        <v>7340</v>
      </c>
      <c r="J1650">
        <v>7369</v>
      </c>
      <c r="K1650">
        <v>7398</v>
      </c>
      <c r="L1650">
        <v>7427</v>
      </c>
      <c r="M1650">
        <v>7439</v>
      </c>
      <c r="N1650" t="s">
        <v>988</v>
      </c>
    </row>
    <row r="1651" spans="1:14" hidden="1" x14ac:dyDescent="0.3">
      <c r="A1651">
        <v>1053</v>
      </c>
      <c r="B1651" t="s">
        <v>1553</v>
      </c>
      <c r="C1651" t="s">
        <v>2670</v>
      </c>
      <c r="D1651" t="s">
        <v>1203</v>
      </c>
      <c r="E1651" t="s">
        <v>1204</v>
      </c>
      <c r="F1651">
        <v>5897</v>
      </c>
      <c r="G1651" t="s">
        <v>2676</v>
      </c>
      <c r="H1651" t="s">
        <v>2664</v>
      </c>
      <c r="I1651">
        <v>7323</v>
      </c>
      <c r="J1651">
        <v>7351</v>
      </c>
      <c r="K1651">
        <v>7380</v>
      </c>
      <c r="L1651">
        <v>7409</v>
      </c>
      <c r="M1651">
        <v>7439</v>
      </c>
      <c r="N1651" t="s">
        <v>988</v>
      </c>
    </row>
    <row r="1652" spans="1:14" hidden="1" x14ac:dyDescent="0.3">
      <c r="A1652">
        <v>1053</v>
      </c>
      <c r="B1652" t="s">
        <v>1553</v>
      </c>
      <c r="C1652" t="s">
        <v>2670</v>
      </c>
      <c r="D1652" t="s">
        <v>1203</v>
      </c>
      <c r="E1652" t="s">
        <v>1204</v>
      </c>
      <c r="F1652">
        <v>5897</v>
      </c>
      <c r="G1652" t="s">
        <v>2674</v>
      </c>
      <c r="H1652" t="s">
        <v>2665</v>
      </c>
      <c r="I1652">
        <v>7334</v>
      </c>
      <c r="J1652">
        <v>7363</v>
      </c>
      <c r="K1652">
        <v>7392</v>
      </c>
      <c r="L1652">
        <v>7421</v>
      </c>
      <c r="M1652">
        <v>7439</v>
      </c>
      <c r="N1652" t="s">
        <v>988</v>
      </c>
    </row>
    <row r="1653" spans="1:14" hidden="1" x14ac:dyDescent="0.3">
      <c r="A1653">
        <v>1053</v>
      </c>
      <c r="B1653" t="s">
        <v>1553</v>
      </c>
      <c r="C1653" t="s">
        <v>2670</v>
      </c>
      <c r="D1653" t="s">
        <v>1203</v>
      </c>
      <c r="E1653" t="s">
        <v>1204</v>
      </c>
      <c r="F1653">
        <v>5897</v>
      </c>
      <c r="G1653" t="s">
        <v>2674</v>
      </c>
      <c r="H1653" t="s">
        <v>2664</v>
      </c>
      <c r="I1653">
        <v>7334</v>
      </c>
      <c r="J1653">
        <v>7363</v>
      </c>
      <c r="K1653">
        <v>7392</v>
      </c>
      <c r="L1653">
        <v>7421</v>
      </c>
      <c r="M1653">
        <v>7439</v>
      </c>
      <c r="N1653" t="s">
        <v>988</v>
      </c>
    </row>
    <row r="1654" spans="1:14" hidden="1" x14ac:dyDescent="0.3">
      <c r="A1654">
        <v>1053</v>
      </c>
      <c r="B1654" t="s">
        <v>1553</v>
      </c>
      <c r="C1654" t="s">
        <v>2670</v>
      </c>
      <c r="D1654" t="s">
        <v>1203</v>
      </c>
      <c r="E1654" t="s">
        <v>1204</v>
      </c>
      <c r="F1654">
        <v>5897</v>
      </c>
      <c r="G1654" t="s">
        <v>2675</v>
      </c>
      <c r="H1654" t="s">
        <v>2665</v>
      </c>
      <c r="I1654">
        <v>7328</v>
      </c>
      <c r="J1654">
        <v>7357</v>
      </c>
      <c r="K1654">
        <v>7386</v>
      </c>
      <c r="L1654">
        <v>7415</v>
      </c>
      <c r="M1654">
        <v>7439</v>
      </c>
      <c r="N1654" t="s">
        <v>988</v>
      </c>
    </row>
    <row r="1655" spans="1:14" hidden="1" x14ac:dyDescent="0.3">
      <c r="A1655">
        <v>1053</v>
      </c>
      <c r="B1655" t="s">
        <v>1553</v>
      </c>
      <c r="C1655" t="s">
        <v>2670</v>
      </c>
      <c r="D1655" t="s">
        <v>1203</v>
      </c>
      <c r="E1655" t="s">
        <v>1204</v>
      </c>
      <c r="F1655">
        <v>5897</v>
      </c>
      <c r="G1655" t="s">
        <v>2675</v>
      </c>
      <c r="H1655" t="s">
        <v>2664</v>
      </c>
      <c r="I1655">
        <v>7328</v>
      </c>
      <c r="J1655">
        <v>7357</v>
      </c>
      <c r="K1655">
        <v>7386</v>
      </c>
      <c r="L1655">
        <v>7415</v>
      </c>
      <c r="M1655">
        <v>7439</v>
      </c>
      <c r="N1655" t="s">
        <v>988</v>
      </c>
    </row>
    <row r="1656" spans="1:14" hidden="1" x14ac:dyDescent="0.3">
      <c r="A1656">
        <v>1053</v>
      </c>
      <c r="B1656" t="s">
        <v>1553</v>
      </c>
      <c r="C1656" t="s">
        <v>2670</v>
      </c>
      <c r="D1656" t="s">
        <v>1203</v>
      </c>
      <c r="E1656" t="s">
        <v>1204</v>
      </c>
      <c r="F1656">
        <v>5897</v>
      </c>
      <c r="G1656" t="s">
        <v>2676</v>
      </c>
      <c r="H1656" t="s">
        <v>2665</v>
      </c>
      <c r="I1656">
        <v>7323</v>
      </c>
      <c r="J1656">
        <v>7351</v>
      </c>
      <c r="K1656">
        <v>7380</v>
      </c>
      <c r="L1656">
        <v>7409</v>
      </c>
      <c r="M1656">
        <v>7439</v>
      </c>
      <c r="N1656" t="s">
        <v>988</v>
      </c>
    </row>
    <row r="1657" spans="1:14" hidden="1" x14ac:dyDescent="0.3">
      <c r="A1657">
        <v>1053</v>
      </c>
      <c r="B1657" t="s">
        <v>1553</v>
      </c>
      <c r="C1657" t="s">
        <v>2670</v>
      </c>
      <c r="D1657" t="s">
        <v>1203</v>
      </c>
      <c r="E1657" t="s">
        <v>1204</v>
      </c>
      <c r="F1657">
        <v>5897</v>
      </c>
      <c r="G1657" t="s">
        <v>2673</v>
      </c>
      <c r="H1657" t="s">
        <v>2664</v>
      </c>
      <c r="I1657">
        <v>7340</v>
      </c>
      <c r="J1657">
        <v>7369</v>
      </c>
      <c r="K1657">
        <v>7398</v>
      </c>
      <c r="L1657">
        <v>7427</v>
      </c>
      <c r="M1657">
        <v>7439</v>
      </c>
      <c r="N1657" t="s">
        <v>988</v>
      </c>
    </row>
    <row r="1658" spans="1:14" hidden="1" x14ac:dyDescent="0.3">
      <c r="A1658">
        <v>1054</v>
      </c>
      <c r="B1658" t="s">
        <v>1554</v>
      </c>
      <c r="C1658" t="s">
        <v>2670</v>
      </c>
      <c r="D1658" t="s">
        <v>1203</v>
      </c>
      <c r="E1658" t="s">
        <v>1204</v>
      </c>
      <c r="F1658">
        <v>5540</v>
      </c>
      <c r="G1658" t="s">
        <v>2672</v>
      </c>
      <c r="H1658" t="s">
        <v>2665</v>
      </c>
      <c r="N1658" t="s">
        <v>988</v>
      </c>
    </row>
    <row r="1659" spans="1:14" hidden="1" x14ac:dyDescent="0.3">
      <c r="A1659">
        <v>1054</v>
      </c>
      <c r="B1659" t="s">
        <v>1554</v>
      </c>
      <c r="C1659" t="s">
        <v>2670</v>
      </c>
      <c r="D1659" t="s">
        <v>1203</v>
      </c>
      <c r="E1659" t="s">
        <v>1204</v>
      </c>
      <c r="F1659">
        <v>5540</v>
      </c>
      <c r="G1659" t="s">
        <v>2672</v>
      </c>
      <c r="H1659" t="s">
        <v>2664</v>
      </c>
      <c r="N1659" t="s">
        <v>988</v>
      </c>
    </row>
    <row r="1660" spans="1:14" hidden="1" x14ac:dyDescent="0.3">
      <c r="A1660">
        <v>1054</v>
      </c>
      <c r="B1660" t="s">
        <v>1554</v>
      </c>
      <c r="C1660" t="s">
        <v>2670</v>
      </c>
      <c r="D1660" t="s">
        <v>1203</v>
      </c>
      <c r="E1660" t="s">
        <v>1204</v>
      </c>
      <c r="F1660">
        <v>5540</v>
      </c>
      <c r="G1660" t="s">
        <v>2671</v>
      </c>
      <c r="H1660" t="s">
        <v>2665</v>
      </c>
      <c r="I1660">
        <v>9359</v>
      </c>
      <c r="J1660">
        <v>9397</v>
      </c>
      <c r="K1660">
        <v>9434</v>
      </c>
      <c r="L1660">
        <v>9472</v>
      </c>
      <c r="M1660">
        <v>9510</v>
      </c>
      <c r="N1660" t="s">
        <v>988</v>
      </c>
    </row>
    <row r="1661" spans="1:14" hidden="1" x14ac:dyDescent="0.3">
      <c r="A1661">
        <v>1054</v>
      </c>
      <c r="B1661" t="s">
        <v>1554</v>
      </c>
      <c r="C1661" t="s">
        <v>2670</v>
      </c>
      <c r="D1661" t="s">
        <v>1203</v>
      </c>
      <c r="E1661" t="s">
        <v>1204</v>
      </c>
      <c r="F1661">
        <v>5540</v>
      </c>
      <c r="G1661" t="s">
        <v>2671</v>
      </c>
      <c r="H1661" t="s">
        <v>2664</v>
      </c>
      <c r="I1661">
        <v>9359</v>
      </c>
      <c r="J1661">
        <v>9397</v>
      </c>
      <c r="K1661">
        <v>9434</v>
      </c>
      <c r="L1661">
        <v>9472</v>
      </c>
      <c r="M1661">
        <v>9510</v>
      </c>
      <c r="N1661" t="s">
        <v>988</v>
      </c>
    </row>
    <row r="1662" spans="1:14" hidden="1" x14ac:dyDescent="0.3">
      <c r="A1662">
        <v>1054</v>
      </c>
      <c r="B1662" t="s">
        <v>1554</v>
      </c>
      <c r="C1662" t="s">
        <v>2670</v>
      </c>
      <c r="D1662" t="s">
        <v>1203</v>
      </c>
      <c r="E1662" t="s">
        <v>1204</v>
      </c>
      <c r="F1662">
        <v>5540</v>
      </c>
      <c r="G1662" t="s">
        <v>2673</v>
      </c>
      <c r="H1662" t="s">
        <v>2665</v>
      </c>
      <c r="I1662">
        <v>11983</v>
      </c>
      <c r="J1662">
        <v>12031</v>
      </c>
      <c r="K1662">
        <v>12079</v>
      </c>
      <c r="L1662">
        <v>12127</v>
      </c>
      <c r="M1662">
        <v>12175</v>
      </c>
      <c r="N1662" t="s">
        <v>988</v>
      </c>
    </row>
    <row r="1663" spans="1:14" hidden="1" x14ac:dyDescent="0.3">
      <c r="A1663">
        <v>1054</v>
      </c>
      <c r="B1663" t="s">
        <v>1554</v>
      </c>
      <c r="C1663" t="s">
        <v>2670</v>
      </c>
      <c r="D1663" t="s">
        <v>1203</v>
      </c>
      <c r="E1663" t="s">
        <v>1204</v>
      </c>
      <c r="F1663">
        <v>5540</v>
      </c>
      <c r="G1663" t="s">
        <v>2676</v>
      </c>
      <c r="H1663" t="s">
        <v>2664</v>
      </c>
      <c r="I1663">
        <v>11280</v>
      </c>
      <c r="J1663">
        <v>11325</v>
      </c>
      <c r="K1663">
        <v>11371</v>
      </c>
      <c r="L1663">
        <v>11416</v>
      </c>
      <c r="M1663">
        <v>11462</v>
      </c>
      <c r="N1663" t="s">
        <v>988</v>
      </c>
    </row>
    <row r="1664" spans="1:14" hidden="1" x14ac:dyDescent="0.3">
      <c r="A1664">
        <v>1054</v>
      </c>
      <c r="B1664" t="s">
        <v>1554</v>
      </c>
      <c r="C1664" t="s">
        <v>2670</v>
      </c>
      <c r="D1664" t="s">
        <v>1203</v>
      </c>
      <c r="E1664" t="s">
        <v>1204</v>
      </c>
      <c r="F1664">
        <v>5540</v>
      </c>
      <c r="G1664" t="s">
        <v>2674</v>
      </c>
      <c r="H1664" t="s">
        <v>2665</v>
      </c>
      <c r="I1664">
        <v>12135</v>
      </c>
      <c r="J1664">
        <v>12184</v>
      </c>
      <c r="K1664">
        <v>12232</v>
      </c>
      <c r="L1664">
        <v>12281</v>
      </c>
      <c r="M1664">
        <v>12330</v>
      </c>
      <c r="N1664" t="s">
        <v>988</v>
      </c>
    </row>
    <row r="1665" spans="1:14" hidden="1" x14ac:dyDescent="0.3">
      <c r="A1665">
        <v>1054</v>
      </c>
      <c r="B1665" t="s">
        <v>1554</v>
      </c>
      <c r="C1665" t="s">
        <v>2670</v>
      </c>
      <c r="D1665" t="s">
        <v>1203</v>
      </c>
      <c r="E1665" t="s">
        <v>1204</v>
      </c>
      <c r="F1665">
        <v>5540</v>
      </c>
      <c r="G1665" t="s">
        <v>2674</v>
      </c>
      <c r="H1665" t="s">
        <v>2664</v>
      </c>
      <c r="I1665">
        <v>12135</v>
      </c>
      <c r="J1665">
        <v>12184</v>
      </c>
      <c r="K1665">
        <v>12232</v>
      </c>
      <c r="L1665">
        <v>12281</v>
      </c>
      <c r="M1665">
        <v>12330</v>
      </c>
      <c r="N1665" t="s">
        <v>988</v>
      </c>
    </row>
    <row r="1666" spans="1:14" hidden="1" x14ac:dyDescent="0.3">
      <c r="A1666">
        <v>1054</v>
      </c>
      <c r="B1666" t="s">
        <v>1554</v>
      </c>
      <c r="C1666" t="s">
        <v>2670</v>
      </c>
      <c r="D1666" t="s">
        <v>1203</v>
      </c>
      <c r="E1666" t="s">
        <v>1204</v>
      </c>
      <c r="F1666">
        <v>5540</v>
      </c>
      <c r="G1666" t="s">
        <v>2675</v>
      </c>
      <c r="H1666" t="s">
        <v>2665</v>
      </c>
      <c r="I1666">
        <v>12072</v>
      </c>
      <c r="J1666">
        <v>12120</v>
      </c>
      <c r="K1666">
        <v>12168</v>
      </c>
      <c r="L1666">
        <v>12217</v>
      </c>
      <c r="M1666">
        <v>12266</v>
      </c>
      <c r="N1666" t="s">
        <v>988</v>
      </c>
    </row>
    <row r="1667" spans="1:14" hidden="1" x14ac:dyDescent="0.3">
      <c r="A1667">
        <v>1054</v>
      </c>
      <c r="B1667" t="s">
        <v>1554</v>
      </c>
      <c r="C1667" t="s">
        <v>2670</v>
      </c>
      <c r="D1667" t="s">
        <v>1203</v>
      </c>
      <c r="E1667" t="s">
        <v>1204</v>
      </c>
      <c r="F1667">
        <v>5540</v>
      </c>
      <c r="G1667" t="s">
        <v>2675</v>
      </c>
      <c r="H1667" t="s">
        <v>2664</v>
      </c>
      <c r="I1667">
        <v>12072</v>
      </c>
      <c r="J1667">
        <v>12120</v>
      </c>
      <c r="K1667">
        <v>12168</v>
      </c>
      <c r="L1667">
        <v>12217</v>
      </c>
      <c r="M1667">
        <v>12266</v>
      </c>
      <c r="N1667" t="s">
        <v>988</v>
      </c>
    </row>
    <row r="1668" spans="1:14" hidden="1" x14ac:dyDescent="0.3">
      <c r="A1668">
        <v>1054</v>
      </c>
      <c r="B1668" t="s">
        <v>1554</v>
      </c>
      <c r="C1668" t="s">
        <v>2670</v>
      </c>
      <c r="D1668" t="s">
        <v>1203</v>
      </c>
      <c r="E1668" t="s">
        <v>1204</v>
      </c>
      <c r="F1668">
        <v>5540</v>
      </c>
      <c r="G1668" t="s">
        <v>2676</v>
      </c>
      <c r="H1668" t="s">
        <v>2665</v>
      </c>
      <c r="I1668">
        <v>11280</v>
      </c>
      <c r="J1668">
        <v>11325</v>
      </c>
      <c r="K1668">
        <v>11371</v>
      </c>
      <c r="L1668">
        <v>11416</v>
      </c>
      <c r="M1668">
        <v>11462</v>
      </c>
      <c r="N1668" t="s">
        <v>988</v>
      </c>
    </row>
    <row r="1669" spans="1:14" hidden="1" x14ac:dyDescent="0.3">
      <c r="A1669">
        <v>1054</v>
      </c>
      <c r="B1669" t="s">
        <v>1554</v>
      </c>
      <c r="C1669" t="s">
        <v>2670</v>
      </c>
      <c r="D1669" t="s">
        <v>1203</v>
      </c>
      <c r="E1669" t="s">
        <v>1204</v>
      </c>
      <c r="F1669">
        <v>5540</v>
      </c>
      <c r="G1669" t="s">
        <v>2673</v>
      </c>
      <c r="H1669" t="s">
        <v>2664</v>
      </c>
      <c r="I1669">
        <v>11983</v>
      </c>
      <c r="J1669">
        <v>12031</v>
      </c>
      <c r="K1669">
        <v>12079</v>
      </c>
      <c r="L1669">
        <v>12127</v>
      </c>
      <c r="M1669">
        <v>12175</v>
      </c>
      <c r="N1669" t="s">
        <v>988</v>
      </c>
    </row>
    <row r="1670" spans="1:14" hidden="1" x14ac:dyDescent="0.3">
      <c r="A1670">
        <v>1057</v>
      </c>
      <c r="B1670" t="s">
        <v>1555</v>
      </c>
      <c r="C1670" t="s">
        <v>2670</v>
      </c>
      <c r="D1670" t="s">
        <v>1203</v>
      </c>
      <c r="E1670" t="s">
        <v>1204</v>
      </c>
      <c r="F1670">
        <v>5898</v>
      </c>
      <c r="G1670" t="s">
        <v>2672</v>
      </c>
      <c r="H1670" t="s">
        <v>2665</v>
      </c>
      <c r="N1670" t="s">
        <v>988</v>
      </c>
    </row>
    <row r="1671" spans="1:14" hidden="1" x14ac:dyDescent="0.3">
      <c r="A1671">
        <v>1057</v>
      </c>
      <c r="B1671" t="s">
        <v>1555</v>
      </c>
      <c r="C1671" t="s">
        <v>2670</v>
      </c>
      <c r="D1671" t="s">
        <v>1203</v>
      </c>
      <c r="E1671" t="s">
        <v>1204</v>
      </c>
      <c r="F1671">
        <v>5898</v>
      </c>
      <c r="G1671" t="s">
        <v>2672</v>
      </c>
      <c r="H1671" t="s">
        <v>2664</v>
      </c>
      <c r="N1671" t="s">
        <v>988</v>
      </c>
    </row>
    <row r="1672" spans="1:14" hidden="1" x14ac:dyDescent="0.3">
      <c r="A1672">
        <v>1057</v>
      </c>
      <c r="B1672" t="s">
        <v>1555</v>
      </c>
      <c r="C1672" t="s">
        <v>2670</v>
      </c>
      <c r="D1672" t="s">
        <v>1203</v>
      </c>
      <c r="E1672" t="s">
        <v>1204</v>
      </c>
      <c r="F1672">
        <v>5898</v>
      </c>
      <c r="G1672" t="s">
        <v>2671</v>
      </c>
      <c r="H1672" t="s">
        <v>2665</v>
      </c>
      <c r="I1672">
        <v>6780</v>
      </c>
      <c r="J1672">
        <v>6921</v>
      </c>
      <c r="K1672">
        <v>7066</v>
      </c>
      <c r="L1672">
        <v>7214</v>
      </c>
      <c r="M1672">
        <v>7244</v>
      </c>
      <c r="N1672" t="s">
        <v>988</v>
      </c>
    </row>
    <row r="1673" spans="1:14" hidden="1" x14ac:dyDescent="0.3">
      <c r="A1673">
        <v>1057</v>
      </c>
      <c r="B1673" t="s">
        <v>1555</v>
      </c>
      <c r="C1673" t="s">
        <v>2670</v>
      </c>
      <c r="D1673" t="s">
        <v>1203</v>
      </c>
      <c r="E1673" t="s">
        <v>1204</v>
      </c>
      <c r="F1673">
        <v>5898</v>
      </c>
      <c r="G1673" t="s">
        <v>2671</v>
      </c>
      <c r="H1673" t="s">
        <v>2664</v>
      </c>
      <c r="I1673">
        <v>6780</v>
      </c>
      <c r="J1673">
        <v>6921</v>
      </c>
      <c r="K1673">
        <v>7066</v>
      </c>
      <c r="L1673">
        <v>7214</v>
      </c>
      <c r="M1673">
        <v>7244</v>
      </c>
      <c r="N1673" t="s">
        <v>988</v>
      </c>
    </row>
    <row r="1674" spans="1:14" hidden="1" x14ac:dyDescent="0.3">
      <c r="A1674">
        <v>1057</v>
      </c>
      <c r="B1674" t="s">
        <v>1555</v>
      </c>
      <c r="C1674" t="s">
        <v>2670</v>
      </c>
      <c r="D1674" t="s">
        <v>1203</v>
      </c>
      <c r="E1674" t="s">
        <v>1204</v>
      </c>
      <c r="F1674">
        <v>5898</v>
      </c>
      <c r="G1674" t="s">
        <v>2673</v>
      </c>
      <c r="H1674" t="s">
        <v>2665</v>
      </c>
      <c r="I1674">
        <v>6752</v>
      </c>
      <c r="J1674">
        <v>6893</v>
      </c>
      <c r="K1674">
        <v>7037</v>
      </c>
      <c r="L1674">
        <v>7184</v>
      </c>
      <c r="M1674">
        <v>7244</v>
      </c>
      <c r="N1674" t="s">
        <v>988</v>
      </c>
    </row>
    <row r="1675" spans="1:14" hidden="1" x14ac:dyDescent="0.3">
      <c r="A1675">
        <v>1057</v>
      </c>
      <c r="B1675" t="s">
        <v>1555</v>
      </c>
      <c r="C1675" t="s">
        <v>2670</v>
      </c>
      <c r="D1675" t="s">
        <v>1203</v>
      </c>
      <c r="E1675" t="s">
        <v>1204</v>
      </c>
      <c r="F1675">
        <v>5898</v>
      </c>
      <c r="G1675" t="s">
        <v>2673</v>
      </c>
      <c r="H1675" t="s">
        <v>2664</v>
      </c>
      <c r="I1675">
        <v>6752</v>
      </c>
      <c r="J1675">
        <v>6893</v>
      </c>
      <c r="K1675">
        <v>7037</v>
      </c>
      <c r="L1675">
        <v>7184</v>
      </c>
      <c r="M1675">
        <v>7244</v>
      </c>
      <c r="N1675" t="s">
        <v>988</v>
      </c>
    </row>
    <row r="1676" spans="1:14" hidden="1" x14ac:dyDescent="0.3">
      <c r="A1676">
        <v>1057</v>
      </c>
      <c r="B1676" t="s">
        <v>1555</v>
      </c>
      <c r="C1676" t="s">
        <v>2670</v>
      </c>
      <c r="D1676" t="s">
        <v>1203</v>
      </c>
      <c r="E1676" t="s">
        <v>1204</v>
      </c>
      <c r="F1676">
        <v>5898</v>
      </c>
      <c r="G1676" t="s">
        <v>2674</v>
      </c>
      <c r="H1676" t="s">
        <v>2665</v>
      </c>
      <c r="I1676">
        <v>6724</v>
      </c>
      <c r="J1676">
        <v>6864</v>
      </c>
      <c r="K1676">
        <v>7008</v>
      </c>
      <c r="L1676">
        <v>7154</v>
      </c>
      <c r="M1676">
        <v>7244</v>
      </c>
      <c r="N1676" t="s">
        <v>988</v>
      </c>
    </row>
    <row r="1677" spans="1:14" hidden="1" x14ac:dyDescent="0.3">
      <c r="A1677">
        <v>1057</v>
      </c>
      <c r="B1677" t="s">
        <v>1555</v>
      </c>
      <c r="C1677" t="s">
        <v>2670</v>
      </c>
      <c r="D1677" t="s">
        <v>1203</v>
      </c>
      <c r="E1677" t="s">
        <v>1204</v>
      </c>
      <c r="F1677">
        <v>5898</v>
      </c>
      <c r="G1677" t="s">
        <v>2674</v>
      </c>
      <c r="H1677" t="s">
        <v>2664</v>
      </c>
      <c r="I1677">
        <v>6724</v>
      </c>
      <c r="J1677">
        <v>6864</v>
      </c>
      <c r="K1677">
        <v>7008</v>
      </c>
      <c r="L1677">
        <v>7154</v>
      </c>
      <c r="M1677">
        <v>7244</v>
      </c>
      <c r="N1677" t="s">
        <v>988</v>
      </c>
    </row>
    <row r="1678" spans="1:14" hidden="1" x14ac:dyDescent="0.3">
      <c r="A1678">
        <v>1057</v>
      </c>
      <c r="B1678" t="s">
        <v>1555</v>
      </c>
      <c r="C1678" t="s">
        <v>2670</v>
      </c>
      <c r="D1678" t="s">
        <v>1203</v>
      </c>
      <c r="E1678" t="s">
        <v>1204</v>
      </c>
      <c r="F1678">
        <v>5898</v>
      </c>
      <c r="G1678" t="s">
        <v>2675</v>
      </c>
      <c r="H1678" t="s">
        <v>2665</v>
      </c>
      <c r="I1678">
        <v>6696</v>
      </c>
      <c r="J1678">
        <v>6836</v>
      </c>
      <c r="K1678">
        <v>6979</v>
      </c>
      <c r="L1678">
        <v>7125</v>
      </c>
      <c r="M1678">
        <v>7244</v>
      </c>
      <c r="N1678" t="s">
        <v>988</v>
      </c>
    </row>
    <row r="1679" spans="1:14" hidden="1" x14ac:dyDescent="0.3">
      <c r="A1679">
        <v>1057</v>
      </c>
      <c r="B1679" t="s">
        <v>1555</v>
      </c>
      <c r="C1679" t="s">
        <v>2670</v>
      </c>
      <c r="D1679" t="s">
        <v>1203</v>
      </c>
      <c r="E1679" t="s">
        <v>1204</v>
      </c>
      <c r="F1679">
        <v>5898</v>
      </c>
      <c r="G1679" t="s">
        <v>2675</v>
      </c>
      <c r="H1679" t="s">
        <v>2664</v>
      </c>
      <c r="I1679">
        <v>6696</v>
      </c>
      <c r="J1679">
        <v>6836</v>
      </c>
      <c r="K1679">
        <v>6979</v>
      </c>
      <c r="L1679">
        <v>7125</v>
      </c>
      <c r="M1679">
        <v>7244</v>
      </c>
      <c r="N1679" t="s">
        <v>988</v>
      </c>
    </row>
    <row r="1680" spans="1:14" hidden="1" x14ac:dyDescent="0.3">
      <c r="A1680">
        <v>1057</v>
      </c>
      <c r="B1680" t="s">
        <v>1555</v>
      </c>
      <c r="C1680" t="s">
        <v>2670</v>
      </c>
      <c r="D1680" t="s">
        <v>1203</v>
      </c>
      <c r="E1680" t="s">
        <v>1204</v>
      </c>
      <c r="F1680">
        <v>5898</v>
      </c>
      <c r="G1680" t="s">
        <v>2676</v>
      </c>
      <c r="H1680" t="s">
        <v>2665</v>
      </c>
      <c r="I1680">
        <v>6668</v>
      </c>
      <c r="J1680">
        <v>6808</v>
      </c>
      <c r="K1680">
        <v>6950</v>
      </c>
      <c r="L1680">
        <v>7095</v>
      </c>
      <c r="M1680">
        <v>7244</v>
      </c>
      <c r="N1680" t="s">
        <v>988</v>
      </c>
    </row>
    <row r="1681" spans="1:14" hidden="1" x14ac:dyDescent="0.3">
      <c r="A1681">
        <v>1057</v>
      </c>
      <c r="B1681" t="s">
        <v>1555</v>
      </c>
      <c r="C1681" t="s">
        <v>2670</v>
      </c>
      <c r="D1681" t="s">
        <v>1203</v>
      </c>
      <c r="E1681" t="s">
        <v>1204</v>
      </c>
      <c r="F1681">
        <v>5898</v>
      </c>
      <c r="G1681" t="s">
        <v>2676</v>
      </c>
      <c r="H1681" t="s">
        <v>2664</v>
      </c>
      <c r="I1681">
        <v>6668</v>
      </c>
      <c r="J1681">
        <v>6808</v>
      </c>
      <c r="K1681">
        <v>6950</v>
      </c>
      <c r="L1681">
        <v>7095</v>
      </c>
      <c r="M1681">
        <v>7244</v>
      </c>
      <c r="N1681" t="s">
        <v>988</v>
      </c>
    </row>
    <row r="1682" spans="1:14" hidden="1" x14ac:dyDescent="0.3">
      <c r="A1682">
        <v>1058</v>
      </c>
      <c r="B1682" t="s">
        <v>1556</v>
      </c>
      <c r="C1682" t="s">
        <v>2670</v>
      </c>
      <c r="D1682" t="s">
        <v>1203</v>
      </c>
      <c r="E1682" t="s">
        <v>1204</v>
      </c>
      <c r="F1682">
        <v>5899</v>
      </c>
      <c r="G1682" t="s">
        <v>2672</v>
      </c>
      <c r="H1682" t="s">
        <v>2665</v>
      </c>
      <c r="N1682" t="s">
        <v>988</v>
      </c>
    </row>
    <row r="1683" spans="1:14" hidden="1" x14ac:dyDescent="0.3">
      <c r="A1683">
        <v>1058</v>
      </c>
      <c r="B1683" t="s">
        <v>1556</v>
      </c>
      <c r="C1683" t="s">
        <v>2670</v>
      </c>
      <c r="D1683" t="s">
        <v>1203</v>
      </c>
      <c r="E1683" t="s">
        <v>1204</v>
      </c>
      <c r="F1683">
        <v>5899</v>
      </c>
      <c r="G1683" t="s">
        <v>2672</v>
      </c>
      <c r="H1683" t="s">
        <v>2664</v>
      </c>
      <c r="N1683" t="s">
        <v>988</v>
      </c>
    </row>
    <row r="1684" spans="1:14" hidden="1" x14ac:dyDescent="0.3">
      <c r="A1684">
        <v>1058</v>
      </c>
      <c r="B1684" t="s">
        <v>1556</v>
      </c>
      <c r="C1684" t="s">
        <v>2670</v>
      </c>
      <c r="D1684" t="s">
        <v>1203</v>
      </c>
      <c r="E1684" t="s">
        <v>1204</v>
      </c>
      <c r="F1684">
        <v>5899</v>
      </c>
      <c r="G1684" t="s">
        <v>2671</v>
      </c>
      <c r="H1684" t="s">
        <v>2665</v>
      </c>
      <c r="I1684">
        <v>3279</v>
      </c>
      <c r="J1684">
        <v>3316</v>
      </c>
      <c r="K1684">
        <v>3354</v>
      </c>
      <c r="L1684">
        <v>3392</v>
      </c>
      <c r="M1684">
        <v>3400</v>
      </c>
      <c r="N1684" t="s">
        <v>988</v>
      </c>
    </row>
    <row r="1685" spans="1:14" hidden="1" x14ac:dyDescent="0.3">
      <c r="A1685">
        <v>1058</v>
      </c>
      <c r="B1685" t="s">
        <v>1556</v>
      </c>
      <c r="C1685" t="s">
        <v>2670</v>
      </c>
      <c r="D1685" t="s">
        <v>1203</v>
      </c>
      <c r="E1685" t="s">
        <v>1204</v>
      </c>
      <c r="F1685">
        <v>5899</v>
      </c>
      <c r="G1685" t="s">
        <v>2671</v>
      </c>
      <c r="H1685" t="s">
        <v>2664</v>
      </c>
      <c r="I1685">
        <v>3279</v>
      </c>
      <c r="J1685">
        <v>3316</v>
      </c>
      <c r="K1685">
        <v>3354</v>
      </c>
      <c r="L1685">
        <v>3392</v>
      </c>
      <c r="M1685">
        <v>3400</v>
      </c>
      <c r="N1685" t="s">
        <v>988</v>
      </c>
    </row>
    <row r="1686" spans="1:14" hidden="1" x14ac:dyDescent="0.3">
      <c r="A1686">
        <v>1058</v>
      </c>
      <c r="B1686" t="s">
        <v>1556</v>
      </c>
      <c r="C1686" t="s">
        <v>2670</v>
      </c>
      <c r="D1686" t="s">
        <v>1203</v>
      </c>
      <c r="E1686" t="s">
        <v>1204</v>
      </c>
      <c r="F1686">
        <v>5899</v>
      </c>
      <c r="G1686" t="s">
        <v>2673</v>
      </c>
      <c r="H1686" t="s">
        <v>2665</v>
      </c>
      <c r="I1686">
        <v>3272</v>
      </c>
      <c r="J1686">
        <v>3309</v>
      </c>
      <c r="K1686">
        <v>3346</v>
      </c>
      <c r="L1686">
        <v>3384</v>
      </c>
      <c r="M1686">
        <v>3400</v>
      </c>
      <c r="N1686" t="s">
        <v>988</v>
      </c>
    </row>
    <row r="1687" spans="1:14" hidden="1" x14ac:dyDescent="0.3">
      <c r="A1687">
        <v>1058</v>
      </c>
      <c r="B1687" t="s">
        <v>1556</v>
      </c>
      <c r="C1687" t="s">
        <v>2670</v>
      </c>
      <c r="D1687" t="s">
        <v>1203</v>
      </c>
      <c r="E1687" t="s">
        <v>1204</v>
      </c>
      <c r="F1687">
        <v>5899</v>
      </c>
      <c r="G1687" t="s">
        <v>2676</v>
      </c>
      <c r="H1687" t="s">
        <v>2664</v>
      </c>
      <c r="I1687">
        <v>3250</v>
      </c>
      <c r="J1687">
        <v>3287</v>
      </c>
      <c r="K1687">
        <v>3324</v>
      </c>
      <c r="L1687">
        <v>3362</v>
      </c>
      <c r="M1687">
        <v>3400</v>
      </c>
      <c r="N1687" t="s">
        <v>988</v>
      </c>
    </row>
    <row r="1688" spans="1:14" hidden="1" x14ac:dyDescent="0.3">
      <c r="A1688">
        <v>1058</v>
      </c>
      <c r="B1688" t="s">
        <v>1556</v>
      </c>
      <c r="C1688" t="s">
        <v>2670</v>
      </c>
      <c r="D1688" t="s">
        <v>1203</v>
      </c>
      <c r="E1688" t="s">
        <v>1204</v>
      </c>
      <c r="F1688">
        <v>5899</v>
      </c>
      <c r="G1688" t="s">
        <v>2674</v>
      </c>
      <c r="H1688" t="s">
        <v>2665</v>
      </c>
      <c r="I1688">
        <v>3264</v>
      </c>
      <c r="J1688">
        <v>3301</v>
      </c>
      <c r="K1688">
        <v>3339</v>
      </c>
      <c r="L1688">
        <v>3377</v>
      </c>
      <c r="M1688">
        <v>3400</v>
      </c>
      <c r="N1688" t="s">
        <v>988</v>
      </c>
    </row>
    <row r="1689" spans="1:14" hidden="1" x14ac:dyDescent="0.3">
      <c r="A1689">
        <v>1058</v>
      </c>
      <c r="B1689" t="s">
        <v>1556</v>
      </c>
      <c r="C1689" t="s">
        <v>2670</v>
      </c>
      <c r="D1689" t="s">
        <v>1203</v>
      </c>
      <c r="E1689" t="s">
        <v>1204</v>
      </c>
      <c r="F1689">
        <v>5899</v>
      </c>
      <c r="G1689" t="s">
        <v>2674</v>
      </c>
      <c r="H1689" t="s">
        <v>2664</v>
      </c>
      <c r="I1689">
        <v>3264</v>
      </c>
      <c r="J1689">
        <v>3301</v>
      </c>
      <c r="K1689">
        <v>3339</v>
      </c>
      <c r="L1689">
        <v>3377</v>
      </c>
      <c r="M1689">
        <v>3400</v>
      </c>
      <c r="N1689" t="s">
        <v>988</v>
      </c>
    </row>
    <row r="1690" spans="1:14" hidden="1" x14ac:dyDescent="0.3">
      <c r="A1690">
        <v>1058</v>
      </c>
      <c r="B1690" t="s">
        <v>1556</v>
      </c>
      <c r="C1690" t="s">
        <v>2670</v>
      </c>
      <c r="D1690" t="s">
        <v>1203</v>
      </c>
      <c r="E1690" t="s">
        <v>1204</v>
      </c>
      <c r="F1690">
        <v>5899</v>
      </c>
      <c r="G1690" t="s">
        <v>2675</v>
      </c>
      <c r="H1690" t="s">
        <v>2665</v>
      </c>
      <c r="I1690">
        <v>3257</v>
      </c>
      <c r="J1690">
        <v>3294</v>
      </c>
      <c r="K1690">
        <v>3331</v>
      </c>
      <c r="L1690">
        <v>3369</v>
      </c>
      <c r="M1690">
        <v>3400</v>
      </c>
      <c r="N1690" t="s">
        <v>988</v>
      </c>
    </row>
    <row r="1691" spans="1:14" hidden="1" x14ac:dyDescent="0.3">
      <c r="A1691">
        <v>1058</v>
      </c>
      <c r="B1691" t="s">
        <v>1556</v>
      </c>
      <c r="C1691" t="s">
        <v>2670</v>
      </c>
      <c r="D1691" t="s">
        <v>1203</v>
      </c>
      <c r="E1691" t="s">
        <v>1204</v>
      </c>
      <c r="F1691">
        <v>5899</v>
      </c>
      <c r="G1691" t="s">
        <v>2675</v>
      </c>
      <c r="H1691" t="s">
        <v>2664</v>
      </c>
      <c r="I1691">
        <v>3257</v>
      </c>
      <c r="J1691">
        <v>3294</v>
      </c>
      <c r="K1691">
        <v>3331</v>
      </c>
      <c r="L1691">
        <v>3369</v>
      </c>
      <c r="M1691">
        <v>3400</v>
      </c>
      <c r="N1691" t="s">
        <v>988</v>
      </c>
    </row>
    <row r="1692" spans="1:14" hidden="1" x14ac:dyDescent="0.3">
      <c r="A1692">
        <v>1058</v>
      </c>
      <c r="B1692" t="s">
        <v>1556</v>
      </c>
      <c r="C1692" t="s">
        <v>2670</v>
      </c>
      <c r="D1692" t="s">
        <v>1203</v>
      </c>
      <c r="E1692" t="s">
        <v>1204</v>
      </c>
      <c r="F1692">
        <v>5899</v>
      </c>
      <c r="G1692" t="s">
        <v>2676</v>
      </c>
      <c r="H1692" t="s">
        <v>2665</v>
      </c>
      <c r="I1692">
        <v>3250</v>
      </c>
      <c r="J1692">
        <v>3287</v>
      </c>
      <c r="K1692">
        <v>3324</v>
      </c>
      <c r="L1692">
        <v>3362</v>
      </c>
      <c r="M1692">
        <v>3400</v>
      </c>
      <c r="N1692" t="s">
        <v>988</v>
      </c>
    </row>
    <row r="1693" spans="1:14" hidden="1" x14ac:dyDescent="0.3">
      <c r="A1693">
        <v>1058</v>
      </c>
      <c r="B1693" t="s">
        <v>1556</v>
      </c>
      <c r="C1693" t="s">
        <v>2670</v>
      </c>
      <c r="D1693" t="s">
        <v>1203</v>
      </c>
      <c r="E1693" t="s">
        <v>1204</v>
      </c>
      <c r="F1693">
        <v>5899</v>
      </c>
      <c r="G1693" t="s">
        <v>2673</v>
      </c>
      <c r="H1693" t="s">
        <v>2664</v>
      </c>
      <c r="I1693">
        <v>3272</v>
      </c>
      <c r="J1693">
        <v>3309</v>
      </c>
      <c r="K1693">
        <v>3346</v>
      </c>
      <c r="L1693">
        <v>3384</v>
      </c>
      <c r="M1693">
        <v>3400</v>
      </c>
      <c r="N1693" t="s">
        <v>988</v>
      </c>
    </row>
    <row r="1694" spans="1:14" hidden="1" x14ac:dyDescent="0.3">
      <c r="A1694">
        <v>1059</v>
      </c>
      <c r="B1694" t="s">
        <v>1557</v>
      </c>
      <c r="C1694" t="s">
        <v>2670</v>
      </c>
      <c r="D1694" t="s">
        <v>1203</v>
      </c>
      <c r="E1694" t="s">
        <v>1204</v>
      </c>
      <c r="F1694">
        <v>5900</v>
      </c>
      <c r="G1694" t="s">
        <v>2672</v>
      </c>
      <c r="H1694" t="s">
        <v>2665</v>
      </c>
      <c r="N1694" t="s">
        <v>988</v>
      </c>
    </row>
    <row r="1695" spans="1:14" hidden="1" x14ac:dyDescent="0.3">
      <c r="A1695">
        <v>1059</v>
      </c>
      <c r="B1695" t="s">
        <v>1557</v>
      </c>
      <c r="C1695" t="s">
        <v>2670</v>
      </c>
      <c r="D1695" t="s">
        <v>1203</v>
      </c>
      <c r="E1695" t="s">
        <v>1204</v>
      </c>
      <c r="F1695">
        <v>5900</v>
      </c>
      <c r="G1695" t="s">
        <v>2672</v>
      </c>
      <c r="H1695" t="s">
        <v>2664</v>
      </c>
      <c r="N1695" t="s">
        <v>988</v>
      </c>
    </row>
    <row r="1696" spans="1:14" hidden="1" x14ac:dyDescent="0.3">
      <c r="A1696">
        <v>1059</v>
      </c>
      <c r="B1696" t="s">
        <v>1557</v>
      </c>
      <c r="C1696" t="s">
        <v>2670</v>
      </c>
      <c r="D1696" t="s">
        <v>1203</v>
      </c>
      <c r="E1696" t="s">
        <v>1204</v>
      </c>
      <c r="F1696">
        <v>5900</v>
      </c>
      <c r="G1696" t="s">
        <v>2671</v>
      </c>
      <c r="H1696" t="s">
        <v>2665</v>
      </c>
      <c r="I1696">
        <v>2658</v>
      </c>
      <c r="J1696">
        <v>2686</v>
      </c>
      <c r="K1696">
        <v>2715</v>
      </c>
      <c r="L1696">
        <v>2744</v>
      </c>
      <c r="M1696">
        <v>2750</v>
      </c>
      <c r="N1696" t="s">
        <v>988</v>
      </c>
    </row>
    <row r="1697" spans="1:14" hidden="1" x14ac:dyDescent="0.3">
      <c r="A1697">
        <v>1059</v>
      </c>
      <c r="B1697" t="s">
        <v>1557</v>
      </c>
      <c r="C1697" t="s">
        <v>2670</v>
      </c>
      <c r="D1697" t="s">
        <v>1203</v>
      </c>
      <c r="E1697" t="s">
        <v>1204</v>
      </c>
      <c r="F1697">
        <v>5900</v>
      </c>
      <c r="G1697" t="s">
        <v>2671</v>
      </c>
      <c r="H1697" t="s">
        <v>2664</v>
      </c>
      <c r="I1697">
        <v>2658</v>
      </c>
      <c r="J1697">
        <v>2686</v>
      </c>
      <c r="K1697">
        <v>2715</v>
      </c>
      <c r="L1697">
        <v>2744</v>
      </c>
      <c r="M1697">
        <v>2750</v>
      </c>
      <c r="N1697" t="s">
        <v>988</v>
      </c>
    </row>
    <row r="1698" spans="1:14" hidden="1" x14ac:dyDescent="0.3">
      <c r="A1698">
        <v>1059</v>
      </c>
      <c r="B1698" t="s">
        <v>1557</v>
      </c>
      <c r="C1698" t="s">
        <v>2670</v>
      </c>
      <c r="D1698" t="s">
        <v>1203</v>
      </c>
      <c r="E1698" t="s">
        <v>1204</v>
      </c>
      <c r="F1698">
        <v>5900</v>
      </c>
      <c r="G1698" t="s">
        <v>2673</v>
      </c>
      <c r="H1698" t="s">
        <v>2665</v>
      </c>
      <c r="I1698">
        <v>2651</v>
      </c>
      <c r="J1698">
        <v>2681</v>
      </c>
      <c r="K1698">
        <v>2709</v>
      </c>
      <c r="L1698">
        <v>2738</v>
      </c>
      <c r="M1698">
        <v>2750</v>
      </c>
      <c r="N1698" t="s">
        <v>988</v>
      </c>
    </row>
    <row r="1699" spans="1:14" hidden="1" x14ac:dyDescent="0.3">
      <c r="A1699">
        <v>1059</v>
      </c>
      <c r="B1699" t="s">
        <v>1557</v>
      </c>
      <c r="C1699" t="s">
        <v>2670</v>
      </c>
      <c r="D1699" t="s">
        <v>1203</v>
      </c>
      <c r="E1699" t="s">
        <v>1204</v>
      </c>
      <c r="F1699">
        <v>5900</v>
      </c>
      <c r="G1699" t="s">
        <v>2673</v>
      </c>
      <c r="H1699" t="s">
        <v>2664</v>
      </c>
      <c r="I1699">
        <v>2651</v>
      </c>
      <c r="J1699">
        <v>2681</v>
      </c>
      <c r="K1699">
        <v>2709</v>
      </c>
      <c r="L1699">
        <v>2738</v>
      </c>
      <c r="M1699">
        <v>2750</v>
      </c>
      <c r="N1699" t="s">
        <v>988</v>
      </c>
    </row>
    <row r="1700" spans="1:14" hidden="1" x14ac:dyDescent="0.3">
      <c r="A1700">
        <v>1059</v>
      </c>
      <c r="B1700" t="s">
        <v>1557</v>
      </c>
      <c r="C1700" t="s">
        <v>2670</v>
      </c>
      <c r="D1700" t="s">
        <v>1203</v>
      </c>
      <c r="E1700" t="s">
        <v>1204</v>
      </c>
      <c r="F1700">
        <v>5900</v>
      </c>
      <c r="G1700" t="s">
        <v>2674</v>
      </c>
      <c r="H1700" t="s">
        <v>2665</v>
      </c>
      <c r="I1700">
        <v>2647</v>
      </c>
      <c r="J1700">
        <v>2675</v>
      </c>
      <c r="K1700">
        <v>2704</v>
      </c>
      <c r="L1700">
        <v>2732</v>
      </c>
      <c r="M1700">
        <v>2750</v>
      </c>
      <c r="N1700" t="s">
        <v>988</v>
      </c>
    </row>
    <row r="1701" spans="1:14" hidden="1" x14ac:dyDescent="0.3">
      <c r="A1701">
        <v>1059</v>
      </c>
      <c r="B1701" t="s">
        <v>1557</v>
      </c>
      <c r="C1701" t="s">
        <v>2670</v>
      </c>
      <c r="D1701" t="s">
        <v>1203</v>
      </c>
      <c r="E1701" t="s">
        <v>1204</v>
      </c>
      <c r="F1701">
        <v>5900</v>
      </c>
      <c r="G1701" t="s">
        <v>2674</v>
      </c>
      <c r="H1701" t="s">
        <v>2664</v>
      </c>
      <c r="I1701">
        <v>2647</v>
      </c>
      <c r="J1701">
        <v>2675</v>
      </c>
      <c r="K1701">
        <v>2704</v>
      </c>
      <c r="L1701">
        <v>2732</v>
      </c>
      <c r="M1701">
        <v>2750</v>
      </c>
      <c r="N1701" t="s">
        <v>988</v>
      </c>
    </row>
    <row r="1702" spans="1:14" hidden="1" x14ac:dyDescent="0.3">
      <c r="A1702">
        <v>1059</v>
      </c>
      <c r="B1702" t="s">
        <v>1557</v>
      </c>
      <c r="C1702" t="s">
        <v>2670</v>
      </c>
      <c r="D1702" t="s">
        <v>1203</v>
      </c>
      <c r="E1702" t="s">
        <v>1204</v>
      </c>
      <c r="F1702">
        <v>5900</v>
      </c>
      <c r="G1702" t="s">
        <v>2675</v>
      </c>
      <c r="H1702" t="s">
        <v>2665</v>
      </c>
      <c r="I1702">
        <v>2641</v>
      </c>
      <c r="J1702">
        <v>2669</v>
      </c>
      <c r="K1702">
        <v>2698</v>
      </c>
      <c r="L1702">
        <v>2727</v>
      </c>
      <c r="M1702">
        <v>2750</v>
      </c>
      <c r="N1702" t="s">
        <v>988</v>
      </c>
    </row>
    <row r="1703" spans="1:14" hidden="1" x14ac:dyDescent="0.3">
      <c r="A1703">
        <v>1059</v>
      </c>
      <c r="B1703" t="s">
        <v>1557</v>
      </c>
      <c r="C1703" t="s">
        <v>2670</v>
      </c>
      <c r="D1703" t="s">
        <v>1203</v>
      </c>
      <c r="E1703" t="s">
        <v>1204</v>
      </c>
      <c r="F1703">
        <v>5900</v>
      </c>
      <c r="G1703" t="s">
        <v>2675</v>
      </c>
      <c r="H1703" t="s">
        <v>2664</v>
      </c>
      <c r="I1703">
        <v>2641</v>
      </c>
      <c r="J1703">
        <v>2669</v>
      </c>
      <c r="K1703">
        <v>2698</v>
      </c>
      <c r="L1703">
        <v>2727</v>
      </c>
      <c r="M1703">
        <v>2750</v>
      </c>
      <c r="N1703" t="s">
        <v>988</v>
      </c>
    </row>
    <row r="1704" spans="1:14" hidden="1" x14ac:dyDescent="0.3">
      <c r="A1704">
        <v>1059</v>
      </c>
      <c r="B1704" t="s">
        <v>1557</v>
      </c>
      <c r="C1704" t="s">
        <v>2670</v>
      </c>
      <c r="D1704" t="s">
        <v>1203</v>
      </c>
      <c r="E1704" t="s">
        <v>1204</v>
      </c>
      <c r="F1704">
        <v>5900</v>
      </c>
      <c r="G1704" t="s">
        <v>2676</v>
      </c>
      <c r="H1704" t="s">
        <v>2665</v>
      </c>
      <c r="I1704">
        <v>2636</v>
      </c>
      <c r="J1704">
        <v>2664</v>
      </c>
      <c r="K1704">
        <v>2692</v>
      </c>
      <c r="L1704">
        <v>2721</v>
      </c>
      <c r="M1704">
        <v>2750</v>
      </c>
      <c r="N1704" t="s">
        <v>988</v>
      </c>
    </row>
    <row r="1705" spans="1:14" hidden="1" x14ac:dyDescent="0.3">
      <c r="A1705">
        <v>1059</v>
      </c>
      <c r="B1705" t="s">
        <v>1557</v>
      </c>
      <c r="C1705" t="s">
        <v>2670</v>
      </c>
      <c r="D1705" t="s">
        <v>1203</v>
      </c>
      <c r="E1705" t="s">
        <v>1204</v>
      </c>
      <c r="F1705">
        <v>5900</v>
      </c>
      <c r="G1705" t="s">
        <v>2676</v>
      </c>
      <c r="H1705" t="s">
        <v>2664</v>
      </c>
      <c r="I1705">
        <v>2636</v>
      </c>
      <c r="J1705">
        <v>2664</v>
      </c>
      <c r="K1705">
        <v>2692</v>
      </c>
      <c r="L1705">
        <v>2721</v>
      </c>
      <c r="M1705">
        <v>2750</v>
      </c>
      <c r="N1705" t="s">
        <v>988</v>
      </c>
    </row>
    <row r="1706" spans="1:14" hidden="1" x14ac:dyDescent="0.3">
      <c r="A1706">
        <v>1060</v>
      </c>
      <c r="B1706" t="s">
        <v>1558</v>
      </c>
      <c r="C1706" t="s">
        <v>2670</v>
      </c>
      <c r="D1706" t="s">
        <v>1203</v>
      </c>
      <c r="E1706" t="s">
        <v>1204</v>
      </c>
      <c r="F1706">
        <v>5901</v>
      </c>
      <c r="G1706" t="s">
        <v>2674</v>
      </c>
      <c r="H1706" t="s">
        <v>2664</v>
      </c>
      <c r="I1706">
        <v>29812</v>
      </c>
      <c r="J1706">
        <v>30263</v>
      </c>
      <c r="K1706">
        <v>30721</v>
      </c>
      <c r="L1706">
        <v>31187</v>
      </c>
      <c r="M1706">
        <v>31469</v>
      </c>
      <c r="N1706" t="s">
        <v>988</v>
      </c>
    </row>
    <row r="1707" spans="1:14" hidden="1" x14ac:dyDescent="0.3">
      <c r="A1707">
        <v>1060</v>
      </c>
      <c r="B1707" t="s">
        <v>1558</v>
      </c>
      <c r="C1707" t="s">
        <v>2670</v>
      </c>
      <c r="D1707" t="s">
        <v>1203</v>
      </c>
      <c r="E1707" t="s">
        <v>1204</v>
      </c>
      <c r="F1707">
        <v>5901</v>
      </c>
      <c r="G1707" t="s">
        <v>2674</v>
      </c>
      <c r="H1707" t="s">
        <v>2665</v>
      </c>
      <c r="I1707">
        <v>29812</v>
      </c>
      <c r="J1707">
        <v>30263</v>
      </c>
      <c r="K1707">
        <v>30721</v>
      </c>
      <c r="L1707">
        <v>31187</v>
      </c>
      <c r="M1707">
        <v>31469</v>
      </c>
      <c r="N1707" t="s">
        <v>988</v>
      </c>
    </row>
    <row r="1708" spans="1:14" hidden="1" x14ac:dyDescent="0.3">
      <c r="A1708">
        <v>1060</v>
      </c>
      <c r="B1708" t="s">
        <v>1558</v>
      </c>
      <c r="C1708" t="s">
        <v>2670</v>
      </c>
      <c r="D1708" t="s">
        <v>1203</v>
      </c>
      <c r="E1708" t="s">
        <v>1204</v>
      </c>
      <c r="F1708">
        <v>5901</v>
      </c>
      <c r="G1708" t="s">
        <v>2673</v>
      </c>
      <c r="H1708" t="s">
        <v>2664</v>
      </c>
      <c r="I1708">
        <v>29902</v>
      </c>
      <c r="J1708">
        <v>30354</v>
      </c>
      <c r="K1708">
        <v>30814</v>
      </c>
      <c r="L1708">
        <v>31280</v>
      </c>
      <c r="M1708">
        <v>31469</v>
      </c>
      <c r="N1708" t="s">
        <v>988</v>
      </c>
    </row>
    <row r="1709" spans="1:14" hidden="1" x14ac:dyDescent="0.3">
      <c r="A1709">
        <v>1060</v>
      </c>
      <c r="B1709" t="s">
        <v>1558</v>
      </c>
      <c r="C1709" t="s">
        <v>2670</v>
      </c>
      <c r="D1709" t="s">
        <v>1203</v>
      </c>
      <c r="E1709" t="s">
        <v>1204</v>
      </c>
      <c r="F1709">
        <v>5901</v>
      </c>
      <c r="G1709" t="s">
        <v>2673</v>
      </c>
      <c r="H1709" t="s">
        <v>2665</v>
      </c>
      <c r="I1709">
        <v>29902</v>
      </c>
      <c r="J1709">
        <v>30354</v>
      </c>
      <c r="K1709">
        <v>30814</v>
      </c>
      <c r="L1709">
        <v>31280</v>
      </c>
      <c r="M1709">
        <v>31469</v>
      </c>
      <c r="N1709" t="s">
        <v>988</v>
      </c>
    </row>
    <row r="1710" spans="1:14" hidden="1" x14ac:dyDescent="0.3">
      <c r="A1710">
        <v>1060</v>
      </c>
      <c r="B1710" t="s">
        <v>1558</v>
      </c>
      <c r="C1710" t="s">
        <v>2670</v>
      </c>
      <c r="D1710" t="s">
        <v>1203</v>
      </c>
      <c r="E1710" t="s">
        <v>1204</v>
      </c>
      <c r="F1710">
        <v>5901</v>
      </c>
      <c r="G1710" t="s">
        <v>2671</v>
      </c>
      <c r="H1710" t="s">
        <v>2664</v>
      </c>
      <c r="I1710">
        <v>29992</v>
      </c>
      <c r="J1710">
        <v>30446</v>
      </c>
      <c r="K1710">
        <v>30907</v>
      </c>
      <c r="L1710">
        <v>31375</v>
      </c>
      <c r="M1710">
        <v>31469</v>
      </c>
      <c r="N1710" t="s">
        <v>988</v>
      </c>
    </row>
    <row r="1711" spans="1:14" hidden="1" x14ac:dyDescent="0.3">
      <c r="A1711">
        <v>1060</v>
      </c>
      <c r="B1711" t="s">
        <v>1558</v>
      </c>
      <c r="C1711" t="s">
        <v>2670</v>
      </c>
      <c r="D1711" t="s">
        <v>1203</v>
      </c>
      <c r="E1711" t="s">
        <v>1204</v>
      </c>
      <c r="F1711">
        <v>5901</v>
      </c>
      <c r="G1711" t="s">
        <v>2671</v>
      </c>
      <c r="H1711" t="s">
        <v>2665</v>
      </c>
      <c r="I1711">
        <v>29992</v>
      </c>
      <c r="J1711">
        <v>30446</v>
      </c>
      <c r="K1711">
        <v>30907</v>
      </c>
      <c r="L1711">
        <v>31375</v>
      </c>
      <c r="M1711">
        <v>31469</v>
      </c>
      <c r="N1711" t="s">
        <v>988</v>
      </c>
    </row>
    <row r="1712" spans="1:14" hidden="1" x14ac:dyDescent="0.3">
      <c r="A1712">
        <v>1060</v>
      </c>
      <c r="B1712" t="s">
        <v>1558</v>
      </c>
      <c r="C1712" t="s">
        <v>2670</v>
      </c>
      <c r="D1712" t="s">
        <v>1203</v>
      </c>
      <c r="E1712" t="s">
        <v>1204</v>
      </c>
      <c r="F1712">
        <v>5901</v>
      </c>
      <c r="G1712" t="s">
        <v>2672</v>
      </c>
      <c r="H1712" t="s">
        <v>2664</v>
      </c>
      <c r="N1712" t="s">
        <v>988</v>
      </c>
    </row>
    <row r="1713" spans="1:14" hidden="1" x14ac:dyDescent="0.3">
      <c r="A1713">
        <v>1060</v>
      </c>
      <c r="B1713" t="s">
        <v>1558</v>
      </c>
      <c r="C1713" t="s">
        <v>2670</v>
      </c>
      <c r="D1713" t="s">
        <v>1203</v>
      </c>
      <c r="E1713" t="s">
        <v>1204</v>
      </c>
      <c r="F1713">
        <v>5901</v>
      </c>
      <c r="G1713" t="s">
        <v>2672</v>
      </c>
      <c r="H1713" t="s">
        <v>2665</v>
      </c>
      <c r="N1713" t="s">
        <v>988</v>
      </c>
    </row>
    <row r="1714" spans="1:14" hidden="1" x14ac:dyDescent="0.3">
      <c r="A1714">
        <v>1060</v>
      </c>
      <c r="B1714" t="s">
        <v>1558</v>
      </c>
      <c r="C1714" t="s">
        <v>2670</v>
      </c>
      <c r="D1714" t="s">
        <v>1203</v>
      </c>
      <c r="E1714" t="s">
        <v>1204</v>
      </c>
      <c r="F1714">
        <v>5901</v>
      </c>
      <c r="G1714" t="s">
        <v>2676</v>
      </c>
      <c r="H1714" t="s">
        <v>2664</v>
      </c>
      <c r="I1714">
        <v>29633</v>
      </c>
      <c r="J1714">
        <v>20082</v>
      </c>
      <c r="K1714">
        <v>20537</v>
      </c>
      <c r="L1714">
        <v>31000</v>
      </c>
      <c r="M1714">
        <v>31469</v>
      </c>
      <c r="N1714" t="s">
        <v>988</v>
      </c>
    </row>
    <row r="1715" spans="1:14" hidden="1" x14ac:dyDescent="0.3">
      <c r="A1715">
        <v>1060</v>
      </c>
      <c r="B1715" t="s">
        <v>1558</v>
      </c>
      <c r="C1715" t="s">
        <v>2670</v>
      </c>
      <c r="D1715" t="s">
        <v>1203</v>
      </c>
      <c r="E1715" t="s">
        <v>1204</v>
      </c>
      <c r="F1715">
        <v>5901</v>
      </c>
      <c r="G1715" t="s">
        <v>2676</v>
      </c>
      <c r="H1715" t="s">
        <v>2665</v>
      </c>
      <c r="I1715">
        <v>29633</v>
      </c>
      <c r="J1715">
        <v>20082</v>
      </c>
      <c r="K1715">
        <v>20537</v>
      </c>
      <c r="L1715">
        <v>31000</v>
      </c>
      <c r="M1715">
        <v>31469</v>
      </c>
      <c r="N1715" t="s">
        <v>988</v>
      </c>
    </row>
    <row r="1716" spans="1:14" hidden="1" x14ac:dyDescent="0.3">
      <c r="A1716">
        <v>1060</v>
      </c>
      <c r="B1716" t="s">
        <v>1558</v>
      </c>
      <c r="C1716" t="s">
        <v>2670</v>
      </c>
      <c r="D1716" t="s">
        <v>1203</v>
      </c>
      <c r="E1716" t="s">
        <v>1204</v>
      </c>
      <c r="F1716">
        <v>5901</v>
      </c>
      <c r="G1716" t="s">
        <v>2675</v>
      </c>
      <c r="H1716" t="s">
        <v>2665</v>
      </c>
      <c r="I1716">
        <v>29722</v>
      </c>
      <c r="J1716">
        <v>30172</v>
      </c>
      <c r="K1716">
        <v>30629</v>
      </c>
      <c r="L1716">
        <v>31093</v>
      </c>
      <c r="M1716">
        <v>31469</v>
      </c>
      <c r="N1716" t="s">
        <v>988</v>
      </c>
    </row>
    <row r="1717" spans="1:14" hidden="1" x14ac:dyDescent="0.3">
      <c r="A1717">
        <v>1060</v>
      </c>
      <c r="B1717" t="s">
        <v>1558</v>
      </c>
      <c r="C1717" t="s">
        <v>2670</v>
      </c>
      <c r="D1717" t="s">
        <v>1203</v>
      </c>
      <c r="E1717" t="s">
        <v>1204</v>
      </c>
      <c r="F1717">
        <v>5901</v>
      </c>
      <c r="G1717" t="s">
        <v>2675</v>
      </c>
      <c r="H1717" t="s">
        <v>2664</v>
      </c>
      <c r="I1717">
        <v>29722</v>
      </c>
      <c r="J1717">
        <v>30172</v>
      </c>
      <c r="K1717">
        <v>30629</v>
      </c>
      <c r="L1717">
        <v>31093</v>
      </c>
      <c r="M1717">
        <v>31469</v>
      </c>
      <c r="N1717" t="s">
        <v>988</v>
      </c>
    </row>
    <row r="1718" spans="1:14" hidden="1" x14ac:dyDescent="0.3">
      <c r="A1718">
        <v>1062</v>
      </c>
      <c r="B1718" t="s">
        <v>1559</v>
      </c>
      <c r="C1718" t="s">
        <v>2670</v>
      </c>
      <c r="D1718" t="s">
        <v>1203</v>
      </c>
      <c r="E1718" t="s">
        <v>1204</v>
      </c>
      <c r="F1718">
        <v>5886</v>
      </c>
      <c r="G1718" t="s">
        <v>2676</v>
      </c>
      <c r="H1718" t="s">
        <v>2664</v>
      </c>
      <c r="I1718">
        <v>15551</v>
      </c>
      <c r="J1718">
        <v>15979</v>
      </c>
      <c r="K1718">
        <v>16419</v>
      </c>
      <c r="L1718">
        <v>16871</v>
      </c>
      <c r="M1718">
        <v>17335</v>
      </c>
      <c r="N1718" t="s">
        <v>988</v>
      </c>
    </row>
    <row r="1719" spans="1:14" hidden="1" x14ac:dyDescent="0.3">
      <c r="A1719">
        <v>1062</v>
      </c>
      <c r="B1719" t="s">
        <v>1559</v>
      </c>
      <c r="C1719" t="s">
        <v>2670</v>
      </c>
      <c r="D1719" t="s">
        <v>1203</v>
      </c>
      <c r="E1719" t="s">
        <v>1204</v>
      </c>
      <c r="F1719">
        <v>5886</v>
      </c>
      <c r="G1719" t="s">
        <v>2672</v>
      </c>
      <c r="H1719" t="s">
        <v>2665</v>
      </c>
      <c r="N1719" t="s">
        <v>988</v>
      </c>
    </row>
    <row r="1720" spans="1:14" hidden="1" x14ac:dyDescent="0.3">
      <c r="A1720">
        <v>1062</v>
      </c>
      <c r="B1720" t="s">
        <v>1559</v>
      </c>
      <c r="C1720" t="s">
        <v>2670</v>
      </c>
      <c r="D1720" t="s">
        <v>1203</v>
      </c>
      <c r="E1720" t="s">
        <v>1204</v>
      </c>
      <c r="F1720">
        <v>5886</v>
      </c>
      <c r="G1720" t="s">
        <v>2672</v>
      </c>
      <c r="H1720" t="s">
        <v>2664</v>
      </c>
      <c r="N1720" t="s">
        <v>988</v>
      </c>
    </row>
    <row r="1721" spans="1:14" hidden="1" x14ac:dyDescent="0.3">
      <c r="A1721">
        <v>1062</v>
      </c>
      <c r="B1721" t="s">
        <v>1559</v>
      </c>
      <c r="C1721" t="s">
        <v>2670</v>
      </c>
      <c r="D1721" t="s">
        <v>1203</v>
      </c>
      <c r="E1721" t="s">
        <v>1204</v>
      </c>
      <c r="F1721">
        <v>5886</v>
      </c>
      <c r="G1721" t="s">
        <v>2671</v>
      </c>
      <c r="H1721" t="s">
        <v>2665</v>
      </c>
      <c r="I1721">
        <v>15893</v>
      </c>
      <c r="J1721">
        <v>16330</v>
      </c>
      <c r="K1721">
        <v>16780</v>
      </c>
      <c r="L1721">
        <v>17242</v>
      </c>
      <c r="M1721">
        <v>17335</v>
      </c>
      <c r="N1721" t="s">
        <v>988</v>
      </c>
    </row>
    <row r="1722" spans="1:14" hidden="1" x14ac:dyDescent="0.3">
      <c r="A1722">
        <v>1062</v>
      </c>
      <c r="B1722" t="s">
        <v>1559</v>
      </c>
      <c r="C1722" t="s">
        <v>2670</v>
      </c>
      <c r="D1722" t="s">
        <v>1203</v>
      </c>
      <c r="E1722" t="s">
        <v>1204</v>
      </c>
      <c r="F1722">
        <v>5886</v>
      </c>
      <c r="G1722" t="s">
        <v>2671</v>
      </c>
      <c r="H1722" t="s">
        <v>2664</v>
      </c>
      <c r="I1722">
        <v>15893</v>
      </c>
      <c r="J1722">
        <v>16330</v>
      </c>
      <c r="K1722">
        <v>16780</v>
      </c>
      <c r="L1722">
        <v>17242</v>
      </c>
      <c r="M1722">
        <v>17335</v>
      </c>
      <c r="N1722" t="s">
        <v>988</v>
      </c>
    </row>
    <row r="1723" spans="1:14" hidden="1" x14ac:dyDescent="0.3">
      <c r="A1723">
        <v>1062</v>
      </c>
      <c r="B1723" t="s">
        <v>1559</v>
      </c>
      <c r="C1723" t="s">
        <v>2670</v>
      </c>
      <c r="D1723" t="s">
        <v>1203</v>
      </c>
      <c r="E1723" t="s">
        <v>1204</v>
      </c>
      <c r="F1723">
        <v>5886</v>
      </c>
      <c r="G1723" t="s">
        <v>2676</v>
      </c>
      <c r="H1723" t="s">
        <v>2665</v>
      </c>
      <c r="I1723">
        <v>15551</v>
      </c>
      <c r="J1723">
        <v>15979</v>
      </c>
      <c r="K1723">
        <v>16419</v>
      </c>
      <c r="L1723">
        <v>16871</v>
      </c>
      <c r="M1723">
        <v>17335</v>
      </c>
      <c r="N1723" t="s">
        <v>988</v>
      </c>
    </row>
    <row r="1724" spans="1:14" hidden="1" x14ac:dyDescent="0.3">
      <c r="A1724">
        <v>1062</v>
      </c>
      <c r="B1724" t="s">
        <v>1559</v>
      </c>
      <c r="C1724" t="s">
        <v>2670</v>
      </c>
      <c r="D1724" t="s">
        <v>1203</v>
      </c>
      <c r="E1724" t="s">
        <v>1204</v>
      </c>
      <c r="F1724">
        <v>5886</v>
      </c>
      <c r="G1724" t="s">
        <v>2673</v>
      </c>
      <c r="H1724" t="s">
        <v>2664</v>
      </c>
      <c r="I1724">
        <v>15807</v>
      </c>
      <c r="J1724">
        <v>16242</v>
      </c>
      <c r="K1724">
        <v>16689</v>
      </c>
      <c r="L1724">
        <v>17148</v>
      </c>
      <c r="M1724">
        <v>17335</v>
      </c>
      <c r="N1724" t="s">
        <v>988</v>
      </c>
    </row>
    <row r="1725" spans="1:14" hidden="1" x14ac:dyDescent="0.3">
      <c r="A1725">
        <v>1062</v>
      </c>
      <c r="B1725" t="s">
        <v>1559</v>
      </c>
      <c r="C1725" t="s">
        <v>2670</v>
      </c>
      <c r="D1725" t="s">
        <v>1203</v>
      </c>
      <c r="E1725" t="s">
        <v>1204</v>
      </c>
      <c r="F1725">
        <v>5886</v>
      </c>
      <c r="G1725" t="s">
        <v>2674</v>
      </c>
      <c r="H1725" t="s">
        <v>2665</v>
      </c>
      <c r="I1725">
        <v>15721</v>
      </c>
      <c r="J1725">
        <v>16154</v>
      </c>
      <c r="K1725">
        <v>16598</v>
      </c>
      <c r="L1725">
        <v>17055</v>
      </c>
      <c r="M1725">
        <v>17335</v>
      </c>
      <c r="N1725" t="s">
        <v>988</v>
      </c>
    </row>
    <row r="1726" spans="1:14" hidden="1" x14ac:dyDescent="0.3">
      <c r="A1726">
        <v>1062</v>
      </c>
      <c r="B1726" t="s">
        <v>1559</v>
      </c>
      <c r="C1726" t="s">
        <v>2670</v>
      </c>
      <c r="D1726" t="s">
        <v>1203</v>
      </c>
      <c r="E1726" t="s">
        <v>1204</v>
      </c>
      <c r="F1726">
        <v>5886</v>
      </c>
      <c r="G1726" t="s">
        <v>2674</v>
      </c>
      <c r="H1726" t="s">
        <v>2664</v>
      </c>
      <c r="I1726">
        <v>15721</v>
      </c>
      <c r="J1726">
        <v>16154</v>
      </c>
      <c r="K1726">
        <v>16598</v>
      </c>
      <c r="L1726">
        <v>17055</v>
      </c>
      <c r="M1726">
        <v>17335</v>
      </c>
      <c r="N1726" t="s">
        <v>988</v>
      </c>
    </row>
    <row r="1727" spans="1:14" hidden="1" x14ac:dyDescent="0.3">
      <c r="A1727">
        <v>1062</v>
      </c>
      <c r="B1727" t="s">
        <v>1559</v>
      </c>
      <c r="C1727" t="s">
        <v>2670</v>
      </c>
      <c r="D1727" t="s">
        <v>1203</v>
      </c>
      <c r="E1727" t="s">
        <v>1204</v>
      </c>
      <c r="F1727">
        <v>5886</v>
      </c>
      <c r="G1727" t="s">
        <v>2675</v>
      </c>
      <c r="H1727" t="s">
        <v>2665</v>
      </c>
      <c r="I1727">
        <v>15636</v>
      </c>
      <c r="J1727">
        <v>16066</v>
      </c>
      <c r="K1727">
        <v>16509</v>
      </c>
      <c r="L1727">
        <v>16963</v>
      </c>
      <c r="M1727">
        <v>17335</v>
      </c>
      <c r="N1727" t="s">
        <v>988</v>
      </c>
    </row>
    <row r="1728" spans="1:14" hidden="1" x14ac:dyDescent="0.3">
      <c r="A1728">
        <v>1062</v>
      </c>
      <c r="B1728" t="s">
        <v>1559</v>
      </c>
      <c r="C1728" t="s">
        <v>2670</v>
      </c>
      <c r="D1728" t="s">
        <v>1203</v>
      </c>
      <c r="E1728" t="s">
        <v>1204</v>
      </c>
      <c r="F1728">
        <v>5886</v>
      </c>
      <c r="G1728" t="s">
        <v>2675</v>
      </c>
      <c r="H1728" t="s">
        <v>2664</v>
      </c>
      <c r="I1728">
        <v>15636</v>
      </c>
      <c r="J1728">
        <v>16066</v>
      </c>
      <c r="K1728">
        <v>16509</v>
      </c>
      <c r="L1728">
        <v>16963</v>
      </c>
      <c r="M1728">
        <v>17335</v>
      </c>
      <c r="N1728" t="s">
        <v>988</v>
      </c>
    </row>
    <row r="1729" spans="1:14" hidden="1" x14ac:dyDescent="0.3">
      <c r="A1729">
        <v>1062</v>
      </c>
      <c r="B1729" t="s">
        <v>1559</v>
      </c>
      <c r="C1729" t="s">
        <v>2670</v>
      </c>
      <c r="D1729" t="s">
        <v>1203</v>
      </c>
      <c r="E1729" t="s">
        <v>1204</v>
      </c>
      <c r="F1729">
        <v>5886</v>
      </c>
      <c r="G1729" t="s">
        <v>2673</v>
      </c>
      <c r="H1729" t="s">
        <v>2665</v>
      </c>
      <c r="I1729">
        <v>15807</v>
      </c>
      <c r="J1729">
        <v>16242</v>
      </c>
      <c r="K1729">
        <v>16689</v>
      </c>
      <c r="L1729">
        <v>17148</v>
      </c>
      <c r="M1729">
        <v>17335</v>
      </c>
      <c r="N1729" t="s">
        <v>988</v>
      </c>
    </row>
    <row r="1730" spans="1:14" hidden="1" x14ac:dyDescent="0.3">
      <c r="A1730">
        <v>1068</v>
      </c>
      <c r="B1730" t="s">
        <v>1560</v>
      </c>
      <c r="C1730" t="s">
        <v>2670</v>
      </c>
      <c r="D1730" t="s">
        <v>159</v>
      </c>
      <c r="E1730" t="s">
        <v>159</v>
      </c>
      <c r="F1730">
        <v>5489</v>
      </c>
      <c r="G1730" t="s">
        <v>2676</v>
      </c>
      <c r="H1730" t="s">
        <v>2665</v>
      </c>
      <c r="I1730">
        <v>11627</v>
      </c>
      <c r="J1730">
        <v>12118</v>
      </c>
      <c r="K1730">
        <v>12370</v>
      </c>
      <c r="L1730">
        <v>12559</v>
      </c>
      <c r="N1730" t="s">
        <v>988</v>
      </c>
    </row>
    <row r="1731" spans="1:14" hidden="1" x14ac:dyDescent="0.3">
      <c r="A1731">
        <v>1068</v>
      </c>
      <c r="B1731" t="s">
        <v>1560</v>
      </c>
      <c r="C1731" t="s">
        <v>2670</v>
      </c>
      <c r="D1731" t="s">
        <v>159</v>
      </c>
      <c r="E1731" t="s">
        <v>159</v>
      </c>
      <c r="F1731">
        <v>5489</v>
      </c>
      <c r="G1731" t="s">
        <v>2675</v>
      </c>
      <c r="H1731" t="s">
        <v>2664</v>
      </c>
      <c r="I1731">
        <v>14964</v>
      </c>
      <c r="J1731">
        <v>14968</v>
      </c>
      <c r="K1731">
        <v>14968</v>
      </c>
      <c r="L1731">
        <v>14968</v>
      </c>
      <c r="N1731" t="s">
        <v>988</v>
      </c>
    </row>
    <row r="1732" spans="1:14" hidden="1" x14ac:dyDescent="0.3">
      <c r="A1732">
        <v>1068</v>
      </c>
      <c r="B1732" t="s">
        <v>1560</v>
      </c>
      <c r="C1732" t="s">
        <v>2670</v>
      </c>
      <c r="D1732" t="s">
        <v>159</v>
      </c>
      <c r="E1732" t="s">
        <v>159</v>
      </c>
      <c r="F1732">
        <v>5489</v>
      </c>
      <c r="G1732" t="s">
        <v>2675</v>
      </c>
      <c r="H1732" t="s">
        <v>2665</v>
      </c>
      <c r="I1732">
        <v>11627</v>
      </c>
      <c r="J1732">
        <v>12118</v>
      </c>
      <c r="K1732">
        <v>12370</v>
      </c>
      <c r="L1732">
        <v>12559</v>
      </c>
      <c r="N1732" t="s">
        <v>988</v>
      </c>
    </row>
    <row r="1733" spans="1:14" hidden="1" x14ac:dyDescent="0.3">
      <c r="A1733">
        <v>1068</v>
      </c>
      <c r="B1733" t="s">
        <v>1560</v>
      </c>
      <c r="C1733" t="s">
        <v>2670</v>
      </c>
      <c r="D1733" t="s">
        <v>159</v>
      </c>
      <c r="E1733" t="s">
        <v>159</v>
      </c>
      <c r="F1733">
        <v>5489</v>
      </c>
      <c r="G1733" t="s">
        <v>2674</v>
      </c>
      <c r="H1733" t="s">
        <v>2664</v>
      </c>
      <c r="I1733">
        <v>11627</v>
      </c>
      <c r="J1733">
        <v>12118</v>
      </c>
      <c r="K1733">
        <v>12370</v>
      </c>
      <c r="L1733">
        <v>12559</v>
      </c>
      <c r="N1733" t="s">
        <v>988</v>
      </c>
    </row>
    <row r="1734" spans="1:14" hidden="1" x14ac:dyDescent="0.3">
      <c r="A1734">
        <v>1068</v>
      </c>
      <c r="B1734" t="s">
        <v>1560</v>
      </c>
      <c r="C1734" t="s">
        <v>2670</v>
      </c>
      <c r="D1734" t="s">
        <v>159</v>
      </c>
      <c r="E1734" t="s">
        <v>159</v>
      </c>
      <c r="F1734">
        <v>5489</v>
      </c>
      <c r="G1734" t="s">
        <v>2674</v>
      </c>
      <c r="H1734" t="s">
        <v>2665</v>
      </c>
      <c r="I1734">
        <v>11627</v>
      </c>
      <c r="J1734">
        <v>12118</v>
      </c>
      <c r="K1734">
        <v>12370</v>
      </c>
      <c r="L1734">
        <v>12559</v>
      </c>
      <c r="N1734" t="s">
        <v>988</v>
      </c>
    </row>
    <row r="1735" spans="1:14" hidden="1" x14ac:dyDescent="0.3">
      <c r="A1735">
        <v>1068</v>
      </c>
      <c r="B1735" t="s">
        <v>1560</v>
      </c>
      <c r="C1735" t="s">
        <v>2670</v>
      </c>
      <c r="D1735" t="s">
        <v>159</v>
      </c>
      <c r="E1735" t="s">
        <v>159</v>
      </c>
      <c r="F1735">
        <v>5489</v>
      </c>
      <c r="G1735" t="s">
        <v>2673</v>
      </c>
      <c r="H1735" t="s">
        <v>2664</v>
      </c>
      <c r="I1735">
        <v>11627</v>
      </c>
      <c r="J1735">
        <v>12118</v>
      </c>
      <c r="K1735">
        <v>12370</v>
      </c>
      <c r="L1735">
        <v>12559</v>
      </c>
      <c r="N1735" t="s">
        <v>988</v>
      </c>
    </row>
    <row r="1736" spans="1:14" hidden="1" x14ac:dyDescent="0.3">
      <c r="A1736">
        <v>1068</v>
      </c>
      <c r="B1736" t="s">
        <v>1560</v>
      </c>
      <c r="C1736" t="s">
        <v>2670</v>
      </c>
      <c r="D1736" t="s">
        <v>159</v>
      </c>
      <c r="E1736" t="s">
        <v>159</v>
      </c>
      <c r="F1736">
        <v>5489</v>
      </c>
      <c r="G1736" t="s">
        <v>2673</v>
      </c>
      <c r="H1736" t="s">
        <v>2665</v>
      </c>
      <c r="I1736">
        <v>11627</v>
      </c>
      <c r="J1736">
        <v>12118</v>
      </c>
      <c r="K1736">
        <v>12370</v>
      </c>
      <c r="L1736">
        <v>12559</v>
      </c>
      <c r="N1736" t="s">
        <v>988</v>
      </c>
    </row>
    <row r="1737" spans="1:14" hidden="1" x14ac:dyDescent="0.3">
      <c r="A1737">
        <v>1068</v>
      </c>
      <c r="B1737" t="s">
        <v>1560</v>
      </c>
      <c r="C1737" t="s">
        <v>2670</v>
      </c>
      <c r="D1737" t="s">
        <v>159</v>
      </c>
      <c r="E1737" t="s">
        <v>159</v>
      </c>
      <c r="F1737">
        <v>5489</v>
      </c>
      <c r="G1737" t="s">
        <v>2671</v>
      </c>
      <c r="H1737" t="s">
        <v>2664</v>
      </c>
      <c r="I1737">
        <v>11627</v>
      </c>
      <c r="J1737">
        <v>12118</v>
      </c>
      <c r="K1737">
        <v>12370</v>
      </c>
      <c r="L1737">
        <v>12559</v>
      </c>
      <c r="N1737" t="s">
        <v>988</v>
      </c>
    </row>
    <row r="1738" spans="1:14" hidden="1" x14ac:dyDescent="0.3">
      <c r="A1738">
        <v>1068</v>
      </c>
      <c r="B1738" t="s">
        <v>1560</v>
      </c>
      <c r="C1738" t="s">
        <v>2670</v>
      </c>
      <c r="D1738" t="s">
        <v>159</v>
      </c>
      <c r="E1738" t="s">
        <v>159</v>
      </c>
      <c r="F1738">
        <v>5489</v>
      </c>
      <c r="G1738" t="s">
        <v>2671</v>
      </c>
      <c r="H1738" t="s">
        <v>2665</v>
      </c>
      <c r="I1738">
        <v>11627</v>
      </c>
      <c r="J1738">
        <v>12118</v>
      </c>
      <c r="K1738">
        <v>12370</v>
      </c>
      <c r="L1738">
        <v>12559</v>
      </c>
      <c r="N1738" t="s">
        <v>988</v>
      </c>
    </row>
    <row r="1739" spans="1:14" hidden="1" x14ac:dyDescent="0.3">
      <c r="A1739">
        <v>1068</v>
      </c>
      <c r="B1739" t="s">
        <v>1560</v>
      </c>
      <c r="C1739" t="s">
        <v>2670</v>
      </c>
      <c r="D1739" t="s">
        <v>159</v>
      </c>
      <c r="E1739" t="s">
        <v>159</v>
      </c>
      <c r="F1739">
        <v>5489</v>
      </c>
      <c r="G1739" t="s">
        <v>2672</v>
      </c>
      <c r="H1739" t="s">
        <v>2664</v>
      </c>
      <c r="N1739" t="s">
        <v>988</v>
      </c>
    </row>
    <row r="1740" spans="1:14" hidden="1" x14ac:dyDescent="0.3">
      <c r="A1740">
        <v>1068</v>
      </c>
      <c r="B1740" t="s">
        <v>1560</v>
      </c>
      <c r="C1740" t="s">
        <v>2670</v>
      </c>
      <c r="D1740" t="s">
        <v>159</v>
      </c>
      <c r="E1740" t="s">
        <v>159</v>
      </c>
      <c r="F1740">
        <v>5489</v>
      </c>
      <c r="G1740" t="s">
        <v>2672</v>
      </c>
      <c r="H1740" t="s">
        <v>2665</v>
      </c>
      <c r="N1740" t="s">
        <v>988</v>
      </c>
    </row>
    <row r="1741" spans="1:14" hidden="1" x14ac:dyDescent="0.3">
      <c r="A1741">
        <v>1068</v>
      </c>
      <c r="B1741" t="s">
        <v>1560</v>
      </c>
      <c r="C1741" t="s">
        <v>2670</v>
      </c>
      <c r="D1741" t="s">
        <v>159</v>
      </c>
      <c r="E1741" t="s">
        <v>159</v>
      </c>
      <c r="F1741">
        <v>5489</v>
      </c>
      <c r="G1741" t="s">
        <v>2676</v>
      </c>
      <c r="H1741" t="s">
        <v>2664</v>
      </c>
      <c r="I1741">
        <v>15464</v>
      </c>
      <c r="J1741">
        <v>15468</v>
      </c>
      <c r="K1741">
        <v>15468</v>
      </c>
      <c r="L1741">
        <v>15468</v>
      </c>
      <c r="N1741" t="s">
        <v>988</v>
      </c>
    </row>
    <row r="1742" spans="1:14" hidden="1" x14ac:dyDescent="0.3">
      <c r="A1742">
        <v>1083</v>
      </c>
      <c r="B1742" t="s">
        <v>1561</v>
      </c>
      <c r="C1742" t="s">
        <v>2670</v>
      </c>
      <c r="D1742" t="s">
        <v>1203</v>
      </c>
      <c r="E1742" t="s">
        <v>1204</v>
      </c>
      <c r="F1742">
        <v>5752</v>
      </c>
      <c r="G1742" t="s">
        <v>2675</v>
      </c>
      <c r="H1742" t="s">
        <v>2664</v>
      </c>
      <c r="I1742">
        <v>30154.892014100002</v>
      </c>
      <c r="J1742">
        <v>30154.892014100002</v>
      </c>
      <c r="K1742">
        <v>30154.892014100002</v>
      </c>
      <c r="L1742">
        <v>30154.892014100002</v>
      </c>
      <c r="M1742">
        <v>30154.892014100002</v>
      </c>
      <c r="N1742" t="s">
        <v>988</v>
      </c>
    </row>
    <row r="1743" spans="1:14" hidden="1" x14ac:dyDescent="0.3">
      <c r="A1743">
        <v>1083</v>
      </c>
      <c r="B1743" t="s">
        <v>1561</v>
      </c>
      <c r="C1743" t="s">
        <v>2670</v>
      </c>
      <c r="D1743" t="s">
        <v>1203</v>
      </c>
      <c r="E1743" t="s">
        <v>1204</v>
      </c>
      <c r="F1743">
        <v>5752</v>
      </c>
      <c r="G1743" t="s">
        <v>2675</v>
      </c>
      <c r="H1743" t="s">
        <v>2665</v>
      </c>
      <c r="I1743">
        <v>10320.669839550001</v>
      </c>
      <c r="J1743">
        <v>9740.6500359000001</v>
      </c>
      <c r="K1743">
        <v>8669.6081762499998</v>
      </c>
      <c r="L1743">
        <v>7521.8441203499997</v>
      </c>
      <c r="M1743">
        <v>6769.9665971000004</v>
      </c>
      <c r="N1743" t="s">
        <v>988</v>
      </c>
    </row>
    <row r="1744" spans="1:14" hidden="1" x14ac:dyDescent="0.3">
      <c r="A1744">
        <v>1083</v>
      </c>
      <c r="B1744" t="s">
        <v>1561</v>
      </c>
      <c r="C1744" t="s">
        <v>2670</v>
      </c>
      <c r="D1744" t="s">
        <v>1203</v>
      </c>
      <c r="E1744" t="s">
        <v>1204</v>
      </c>
      <c r="F1744">
        <v>5752</v>
      </c>
      <c r="G1744" t="s">
        <v>2674</v>
      </c>
      <c r="H1744" t="s">
        <v>2664</v>
      </c>
      <c r="I1744">
        <v>27975.981640599999</v>
      </c>
      <c r="J1744">
        <v>27975.981640599999</v>
      </c>
      <c r="K1744">
        <v>27975.981640599999</v>
      </c>
      <c r="L1744">
        <v>27975.981640599999</v>
      </c>
      <c r="M1744">
        <v>27975.981640599999</v>
      </c>
      <c r="N1744" t="s">
        <v>988</v>
      </c>
    </row>
    <row r="1745" spans="1:14" hidden="1" x14ac:dyDescent="0.3">
      <c r="A1745">
        <v>1083</v>
      </c>
      <c r="B1745" t="s">
        <v>1561</v>
      </c>
      <c r="C1745" t="s">
        <v>2670</v>
      </c>
      <c r="D1745" t="s">
        <v>1203</v>
      </c>
      <c r="E1745" t="s">
        <v>1204</v>
      </c>
      <c r="F1745">
        <v>5752</v>
      </c>
      <c r="G1745" t="s">
        <v>2674</v>
      </c>
      <c r="H1745" t="s">
        <v>2665</v>
      </c>
      <c r="I1745">
        <v>10320.669839550001</v>
      </c>
      <c r="J1745">
        <v>9740.6500359000001</v>
      </c>
      <c r="K1745">
        <v>8669.6081762499998</v>
      </c>
      <c r="L1745">
        <v>7521.8441203499997</v>
      </c>
      <c r="M1745">
        <v>6769.9665971000004</v>
      </c>
      <c r="N1745" t="s">
        <v>988</v>
      </c>
    </row>
    <row r="1746" spans="1:14" hidden="1" x14ac:dyDescent="0.3">
      <c r="A1746">
        <v>1083</v>
      </c>
      <c r="B1746" t="s">
        <v>1561</v>
      </c>
      <c r="C1746" t="s">
        <v>2670</v>
      </c>
      <c r="D1746" t="s">
        <v>1203</v>
      </c>
      <c r="E1746" t="s">
        <v>1204</v>
      </c>
      <c r="F1746">
        <v>5752</v>
      </c>
      <c r="G1746" t="s">
        <v>2673</v>
      </c>
      <c r="H1746" t="s">
        <v>2664</v>
      </c>
      <c r="I1746">
        <v>28338.110406899999</v>
      </c>
      <c r="J1746">
        <v>28338.110406899999</v>
      </c>
      <c r="K1746">
        <v>28338.110406899999</v>
      </c>
      <c r="L1746">
        <v>28338.110406899999</v>
      </c>
      <c r="M1746">
        <v>28338.110406899999</v>
      </c>
      <c r="N1746" t="s">
        <v>988</v>
      </c>
    </row>
    <row r="1747" spans="1:14" hidden="1" x14ac:dyDescent="0.3">
      <c r="A1747">
        <v>1083</v>
      </c>
      <c r="B1747" t="s">
        <v>1561</v>
      </c>
      <c r="C1747" t="s">
        <v>2670</v>
      </c>
      <c r="D1747" t="s">
        <v>1203</v>
      </c>
      <c r="E1747" t="s">
        <v>1204</v>
      </c>
      <c r="F1747">
        <v>5752</v>
      </c>
      <c r="G1747" t="s">
        <v>2676</v>
      </c>
      <c r="H1747" t="s">
        <v>2665</v>
      </c>
      <c r="I1747">
        <v>10320.669839550001</v>
      </c>
      <c r="J1747">
        <v>9740.6500359000001</v>
      </c>
      <c r="K1747">
        <v>8669.6081762499998</v>
      </c>
      <c r="L1747">
        <v>7521.8441203499997</v>
      </c>
      <c r="M1747">
        <v>6769.9665971000004</v>
      </c>
      <c r="N1747" t="s">
        <v>988</v>
      </c>
    </row>
    <row r="1748" spans="1:14" hidden="1" x14ac:dyDescent="0.3">
      <c r="A1748">
        <v>1083</v>
      </c>
      <c r="B1748" t="s">
        <v>1561</v>
      </c>
      <c r="C1748" t="s">
        <v>2670</v>
      </c>
      <c r="D1748" t="s">
        <v>1203</v>
      </c>
      <c r="E1748" t="s">
        <v>1204</v>
      </c>
      <c r="F1748">
        <v>5752</v>
      </c>
      <c r="G1748" t="s">
        <v>2671</v>
      </c>
      <c r="H1748" t="s">
        <v>2664</v>
      </c>
      <c r="I1748">
        <v>27975.981640599999</v>
      </c>
      <c r="J1748">
        <v>27975.981640599999</v>
      </c>
      <c r="K1748">
        <v>27975.981640599999</v>
      </c>
      <c r="L1748">
        <v>27975.981640599999</v>
      </c>
      <c r="M1748">
        <v>27975.981640599999</v>
      </c>
      <c r="N1748" t="s">
        <v>988</v>
      </c>
    </row>
    <row r="1749" spans="1:14" hidden="1" x14ac:dyDescent="0.3">
      <c r="A1749">
        <v>1083</v>
      </c>
      <c r="B1749" t="s">
        <v>1561</v>
      </c>
      <c r="C1749" t="s">
        <v>2670</v>
      </c>
      <c r="D1749" t="s">
        <v>1203</v>
      </c>
      <c r="E1749" t="s">
        <v>1204</v>
      </c>
      <c r="F1749">
        <v>5752</v>
      </c>
      <c r="G1749" t="s">
        <v>2671</v>
      </c>
      <c r="H1749" t="s">
        <v>2665</v>
      </c>
      <c r="I1749">
        <v>10320.669839550001</v>
      </c>
      <c r="J1749">
        <v>9740.6500359000001</v>
      </c>
      <c r="K1749">
        <v>8669.6081762499998</v>
      </c>
      <c r="L1749">
        <v>7521.8441203499997</v>
      </c>
      <c r="M1749">
        <v>6769.9665971000004</v>
      </c>
      <c r="N1749" t="s">
        <v>988</v>
      </c>
    </row>
    <row r="1750" spans="1:14" hidden="1" x14ac:dyDescent="0.3">
      <c r="A1750">
        <v>1083</v>
      </c>
      <c r="B1750" t="s">
        <v>1561</v>
      </c>
      <c r="C1750" t="s">
        <v>2670</v>
      </c>
      <c r="D1750" t="s">
        <v>1203</v>
      </c>
      <c r="E1750" t="s">
        <v>1204</v>
      </c>
      <c r="F1750">
        <v>5752</v>
      </c>
      <c r="G1750" t="s">
        <v>2672</v>
      </c>
      <c r="H1750" t="s">
        <v>2664</v>
      </c>
      <c r="N1750" t="s">
        <v>988</v>
      </c>
    </row>
    <row r="1751" spans="1:14" hidden="1" x14ac:dyDescent="0.3">
      <c r="A1751">
        <v>1083</v>
      </c>
      <c r="B1751" t="s">
        <v>1561</v>
      </c>
      <c r="C1751" t="s">
        <v>2670</v>
      </c>
      <c r="D1751" t="s">
        <v>1203</v>
      </c>
      <c r="E1751" t="s">
        <v>1204</v>
      </c>
      <c r="F1751">
        <v>5752</v>
      </c>
      <c r="G1751" t="s">
        <v>2672</v>
      </c>
      <c r="H1751" t="s">
        <v>2665</v>
      </c>
      <c r="N1751" t="s">
        <v>988</v>
      </c>
    </row>
    <row r="1752" spans="1:14" hidden="1" x14ac:dyDescent="0.3">
      <c r="A1752">
        <v>1083</v>
      </c>
      <c r="B1752" t="s">
        <v>1561</v>
      </c>
      <c r="C1752" t="s">
        <v>2670</v>
      </c>
      <c r="D1752" t="s">
        <v>1203</v>
      </c>
      <c r="E1752" t="s">
        <v>1204</v>
      </c>
      <c r="F1752">
        <v>5752</v>
      </c>
      <c r="G1752" t="s">
        <v>2676</v>
      </c>
      <c r="H1752" t="s">
        <v>2664</v>
      </c>
      <c r="I1752">
        <v>28338.110406899999</v>
      </c>
      <c r="J1752">
        <v>28338.110406899999</v>
      </c>
      <c r="K1752">
        <v>28338.110406899999</v>
      </c>
      <c r="L1752">
        <v>28338.110406899999</v>
      </c>
      <c r="M1752">
        <v>28338.110406899999</v>
      </c>
      <c r="N1752" t="s">
        <v>988</v>
      </c>
    </row>
    <row r="1753" spans="1:14" hidden="1" x14ac:dyDescent="0.3">
      <c r="A1753">
        <v>1083</v>
      </c>
      <c r="B1753" t="s">
        <v>1561</v>
      </c>
      <c r="C1753" t="s">
        <v>2670</v>
      </c>
      <c r="D1753" t="s">
        <v>1203</v>
      </c>
      <c r="E1753" t="s">
        <v>1204</v>
      </c>
      <c r="F1753">
        <v>5752</v>
      </c>
      <c r="G1753" t="s">
        <v>2673</v>
      </c>
      <c r="H1753" t="s">
        <v>2665</v>
      </c>
      <c r="I1753">
        <v>10320.669839550001</v>
      </c>
      <c r="J1753">
        <v>9740.6500359000001</v>
      </c>
      <c r="K1753">
        <v>8669.6081762499998</v>
      </c>
      <c r="L1753">
        <v>7521.8441203499997</v>
      </c>
      <c r="M1753">
        <v>6769.9665971000004</v>
      </c>
      <c r="N1753" t="s">
        <v>988</v>
      </c>
    </row>
    <row r="1754" spans="1:14" hidden="1" x14ac:dyDescent="0.3">
      <c r="A1754">
        <v>1094</v>
      </c>
      <c r="B1754" t="s">
        <v>1564</v>
      </c>
      <c r="C1754" t="s">
        <v>2670</v>
      </c>
      <c r="D1754" t="s">
        <v>1203</v>
      </c>
      <c r="E1754" t="s">
        <v>1204</v>
      </c>
      <c r="F1754">
        <v>5821</v>
      </c>
      <c r="G1754" t="s">
        <v>2672</v>
      </c>
      <c r="H1754" t="s">
        <v>2665</v>
      </c>
      <c r="N1754" t="s">
        <v>988</v>
      </c>
    </row>
    <row r="1755" spans="1:14" hidden="1" x14ac:dyDescent="0.3">
      <c r="A1755">
        <v>1094</v>
      </c>
      <c r="B1755" t="s">
        <v>1564</v>
      </c>
      <c r="C1755" t="s">
        <v>2670</v>
      </c>
      <c r="D1755" t="s">
        <v>1203</v>
      </c>
      <c r="E1755" t="s">
        <v>1204</v>
      </c>
      <c r="F1755">
        <v>5821</v>
      </c>
      <c r="G1755" t="s">
        <v>2672</v>
      </c>
      <c r="H1755" t="s">
        <v>2664</v>
      </c>
      <c r="N1755" t="s">
        <v>988</v>
      </c>
    </row>
    <row r="1756" spans="1:14" hidden="1" x14ac:dyDescent="0.3">
      <c r="A1756">
        <v>1094</v>
      </c>
      <c r="B1756" t="s">
        <v>1564</v>
      </c>
      <c r="C1756" t="s">
        <v>2670</v>
      </c>
      <c r="D1756" t="s">
        <v>1203</v>
      </c>
      <c r="E1756" t="s">
        <v>1204</v>
      </c>
      <c r="F1756">
        <v>5821</v>
      </c>
      <c r="G1756" t="s">
        <v>2671</v>
      </c>
      <c r="H1756" t="s">
        <v>2665</v>
      </c>
      <c r="I1756">
        <v>2703.6901958499998</v>
      </c>
      <c r="J1756">
        <v>2844.8590369499998</v>
      </c>
      <c r="K1756">
        <v>2982.9589901999998</v>
      </c>
      <c r="L1756">
        <v>3130.2656069999998</v>
      </c>
      <c r="N1756" t="s">
        <v>988</v>
      </c>
    </row>
    <row r="1757" spans="1:14" hidden="1" x14ac:dyDescent="0.3">
      <c r="A1757">
        <v>1094</v>
      </c>
      <c r="B1757" t="s">
        <v>1564</v>
      </c>
      <c r="C1757" t="s">
        <v>2670</v>
      </c>
      <c r="D1757" t="s">
        <v>1203</v>
      </c>
      <c r="E1757" t="s">
        <v>1204</v>
      </c>
      <c r="F1757">
        <v>5821</v>
      </c>
      <c r="G1757" t="s">
        <v>2671</v>
      </c>
      <c r="H1757" t="s">
        <v>2664</v>
      </c>
      <c r="I1757">
        <v>9722.2367087999992</v>
      </c>
      <c r="J1757">
        <v>9722.2367087999992</v>
      </c>
      <c r="K1757">
        <v>9722.2367087999992</v>
      </c>
      <c r="L1757">
        <v>9722.2367087999992</v>
      </c>
      <c r="N1757" t="s">
        <v>988</v>
      </c>
    </row>
    <row r="1758" spans="1:14" hidden="1" x14ac:dyDescent="0.3">
      <c r="A1758">
        <v>1094</v>
      </c>
      <c r="B1758" t="s">
        <v>1564</v>
      </c>
      <c r="C1758" t="s">
        <v>2670</v>
      </c>
      <c r="D1758" t="s">
        <v>1203</v>
      </c>
      <c r="E1758" t="s">
        <v>1204</v>
      </c>
      <c r="F1758">
        <v>5821</v>
      </c>
      <c r="G1758" t="s">
        <v>2673</v>
      </c>
      <c r="H1758" t="s">
        <v>2665</v>
      </c>
      <c r="I1758">
        <v>2703.6901958499998</v>
      </c>
      <c r="J1758">
        <v>2844.8590369499998</v>
      </c>
      <c r="K1758">
        <v>2982.9589901999998</v>
      </c>
      <c r="L1758">
        <v>9605.6189704999997</v>
      </c>
      <c r="N1758" t="s">
        <v>988</v>
      </c>
    </row>
    <row r="1759" spans="1:14" hidden="1" x14ac:dyDescent="0.3">
      <c r="A1759">
        <v>1094</v>
      </c>
      <c r="B1759" t="s">
        <v>1564</v>
      </c>
      <c r="C1759" t="s">
        <v>2670</v>
      </c>
      <c r="D1759" t="s">
        <v>1203</v>
      </c>
      <c r="E1759" t="s">
        <v>1204</v>
      </c>
      <c r="F1759">
        <v>5821</v>
      </c>
      <c r="G1759" t="s">
        <v>2673</v>
      </c>
      <c r="H1759" t="s">
        <v>2664</v>
      </c>
      <c r="I1759">
        <v>9722.2367087999992</v>
      </c>
      <c r="J1759">
        <v>9722.2367087999992</v>
      </c>
      <c r="K1759">
        <v>9722.2367087999992</v>
      </c>
      <c r="L1759">
        <v>9722.2367087999992</v>
      </c>
      <c r="N1759" t="s">
        <v>988</v>
      </c>
    </row>
    <row r="1760" spans="1:14" hidden="1" x14ac:dyDescent="0.3">
      <c r="A1760">
        <v>1094</v>
      </c>
      <c r="B1760" t="s">
        <v>1564</v>
      </c>
      <c r="C1760" t="s">
        <v>2670</v>
      </c>
      <c r="D1760" t="s">
        <v>1203</v>
      </c>
      <c r="E1760" t="s">
        <v>1204</v>
      </c>
      <c r="F1760">
        <v>5821</v>
      </c>
      <c r="G1760" t="s">
        <v>2674</v>
      </c>
      <c r="H1760" t="s">
        <v>2665</v>
      </c>
      <c r="I1760">
        <v>2703.6901958499998</v>
      </c>
      <c r="J1760">
        <v>2844.8590369499998</v>
      </c>
      <c r="K1760">
        <v>2982.9589901999998</v>
      </c>
      <c r="L1760">
        <v>3130.2656069999998</v>
      </c>
      <c r="N1760" t="s">
        <v>988</v>
      </c>
    </row>
    <row r="1761" spans="1:14" hidden="1" x14ac:dyDescent="0.3">
      <c r="A1761">
        <v>1094</v>
      </c>
      <c r="B1761" t="s">
        <v>1564</v>
      </c>
      <c r="C1761" t="s">
        <v>2670</v>
      </c>
      <c r="D1761" t="s">
        <v>1203</v>
      </c>
      <c r="E1761" t="s">
        <v>1204</v>
      </c>
      <c r="F1761">
        <v>5821</v>
      </c>
      <c r="G1761" t="s">
        <v>2674</v>
      </c>
      <c r="H1761" t="s">
        <v>2664</v>
      </c>
      <c r="I1761">
        <v>9722.2367087999992</v>
      </c>
      <c r="J1761">
        <v>9722.2367087999992</v>
      </c>
      <c r="K1761">
        <v>9722.2367087999992</v>
      </c>
      <c r="L1761">
        <v>9722.2367087999992</v>
      </c>
      <c r="N1761" t="s">
        <v>988</v>
      </c>
    </row>
    <row r="1762" spans="1:14" hidden="1" x14ac:dyDescent="0.3">
      <c r="A1762">
        <v>1094</v>
      </c>
      <c r="B1762" t="s">
        <v>1564</v>
      </c>
      <c r="C1762" t="s">
        <v>2670</v>
      </c>
      <c r="D1762" t="s">
        <v>1203</v>
      </c>
      <c r="E1762" t="s">
        <v>1204</v>
      </c>
      <c r="F1762">
        <v>5821</v>
      </c>
      <c r="G1762" t="s">
        <v>2675</v>
      </c>
      <c r="H1762" t="s">
        <v>2665</v>
      </c>
      <c r="I1762">
        <v>2703.6901958499998</v>
      </c>
      <c r="J1762">
        <v>2844.8590369499998</v>
      </c>
      <c r="K1762">
        <v>2982.9589901999998</v>
      </c>
      <c r="L1762">
        <v>3130.2656069999998</v>
      </c>
      <c r="N1762" t="s">
        <v>988</v>
      </c>
    </row>
    <row r="1763" spans="1:14" hidden="1" x14ac:dyDescent="0.3">
      <c r="A1763">
        <v>1094</v>
      </c>
      <c r="B1763" t="s">
        <v>1564</v>
      </c>
      <c r="C1763" t="s">
        <v>2670</v>
      </c>
      <c r="D1763" t="s">
        <v>1203</v>
      </c>
      <c r="E1763" t="s">
        <v>1204</v>
      </c>
      <c r="F1763">
        <v>5821</v>
      </c>
      <c r="G1763" t="s">
        <v>2675</v>
      </c>
      <c r="H1763" t="s">
        <v>2664</v>
      </c>
      <c r="I1763">
        <v>9722.2367087999992</v>
      </c>
      <c r="J1763">
        <v>9722.2367087999992</v>
      </c>
      <c r="K1763">
        <v>9722.2367087999992</v>
      </c>
      <c r="L1763">
        <v>9722.2367087999992</v>
      </c>
      <c r="N1763" t="s">
        <v>988</v>
      </c>
    </row>
    <row r="1764" spans="1:14" hidden="1" x14ac:dyDescent="0.3">
      <c r="A1764">
        <v>1094</v>
      </c>
      <c r="B1764" t="s">
        <v>1564</v>
      </c>
      <c r="C1764" t="s">
        <v>2670</v>
      </c>
      <c r="D1764" t="s">
        <v>1203</v>
      </c>
      <c r="E1764" t="s">
        <v>1204</v>
      </c>
      <c r="F1764">
        <v>5821</v>
      </c>
      <c r="G1764" t="s">
        <v>2676</v>
      </c>
      <c r="H1764" t="s">
        <v>2664</v>
      </c>
      <c r="I1764">
        <v>9722.2367087999992</v>
      </c>
      <c r="J1764">
        <v>9722.2367087999992</v>
      </c>
      <c r="K1764">
        <v>9722.2367087999992</v>
      </c>
      <c r="L1764">
        <v>9722.2367087999992</v>
      </c>
      <c r="N1764" t="s">
        <v>988</v>
      </c>
    </row>
    <row r="1765" spans="1:14" hidden="1" x14ac:dyDescent="0.3">
      <c r="A1765">
        <v>1094</v>
      </c>
      <c r="B1765" t="s">
        <v>1564</v>
      </c>
      <c r="C1765" t="s">
        <v>2670</v>
      </c>
      <c r="D1765" t="s">
        <v>1203</v>
      </c>
      <c r="E1765" t="s">
        <v>1204</v>
      </c>
      <c r="F1765">
        <v>5821</v>
      </c>
      <c r="G1765" t="s">
        <v>2676</v>
      </c>
      <c r="H1765" t="s">
        <v>2665</v>
      </c>
      <c r="I1765">
        <v>2703.6901958499998</v>
      </c>
      <c r="J1765">
        <v>2844.8590369499998</v>
      </c>
      <c r="K1765">
        <v>2982.9589901999998</v>
      </c>
      <c r="L1765">
        <v>3130.2656069999998</v>
      </c>
      <c r="N1765" t="s">
        <v>988</v>
      </c>
    </row>
    <row r="1766" spans="1:14" hidden="1" x14ac:dyDescent="0.3">
      <c r="A1766">
        <v>1109</v>
      </c>
      <c r="B1766" t="s">
        <v>1566</v>
      </c>
      <c r="C1766" t="s">
        <v>2670</v>
      </c>
      <c r="D1766" t="s">
        <v>1203</v>
      </c>
      <c r="E1766" t="s">
        <v>1204</v>
      </c>
      <c r="F1766">
        <v>6747</v>
      </c>
      <c r="G1766" t="s">
        <v>2676</v>
      </c>
      <c r="H1766" t="s">
        <v>2665</v>
      </c>
      <c r="I1766">
        <v>392.81764479999998</v>
      </c>
      <c r="J1766">
        <v>405.09319620000002</v>
      </c>
      <c r="K1766">
        <v>420.43763545000002</v>
      </c>
      <c r="L1766">
        <v>441.91985039999997</v>
      </c>
      <c r="M1766">
        <v>472.60872890000002</v>
      </c>
      <c r="N1766" t="s">
        <v>988</v>
      </c>
    </row>
    <row r="1767" spans="1:14" hidden="1" x14ac:dyDescent="0.3">
      <c r="A1767">
        <v>1109</v>
      </c>
      <c r="B1767" t="s">
        <v>1566</v>
      </c>
      <c r="C1767" t="s">
        <v>2670</v>
      </c>
      <c r="D1767" t="s">
        <v>1203</v>
      </c>
      <c r="E1767" t="s">
        <v>1204</v>
      </c>
      <c r="F1767">
        <v>6747</v>
      </c>
      <c r="G1767" t="s">
        <v>2676</v>
      </c>
      <c r="H1767" t="s">
        <v>2664</v>
      </c>
      <c r="I1767">
        <v>392.81764479999998</v>
      </c>
      <c r="J1767">
        <v>405.09319620000002</v>
      </c>
      <c r="K1767">
        <v>420.43763545000002</v>
      </c>
      <c r="L1767">
        <v>441.91985039999997</v>
      </c>
      <c r="M1767">
        <v>472.60872890000002</v>
      </c>
      <c r="N1767" t="s">
        <v>988</v>
      </c>
    </row>
    <row r="1768" spans="1:14" hidden="1" x14ac:dyDescent="0.3">
      <c r="A1768">
        <v>1109</v>
      </c>
      <c r="B1768" t="s">
        <v>1566</v>
      </c>
      <c r="C1768" t="s">
        <v>2670</v>
      </c>
      <c r="D1768" t="s">
        <v>1203</v>
      </c>
      <c r="E1768" t="s">
        <v>1204</v>
      </c>
      <c r="F1768">
        <v>6747</v>
      </c>
      <c r="G1768" t="s">
        <v>2675</v>
      </c>
      <c r="H1768" t="s">
        <v>2664</v>
      </c>
      <c r="I1768">
        <v>377.47320554999999</v>
      </c>
      <c r="J1768">
        <v>386.67986910000002</v>
      </c>
      <c r="K1768">
        <v>402.02430835000001</v>
      </c>
      <c r="L1768">
        <v>423.50652330000003</v>
      </c>
      <c r="M1768">
        <v>451.12651395</v>
      </c>
      <c r="N1768" t="s">
        <v>988</v>
      </c>
    </row>
    <row r="1769" spans="1:14" hidden="1" x14ac:dyDescent="0.3">
      <c r="A1769">
        <v>1109</v>
      </c>
      <c r="B1769" t="s">
        <v>1566</v>
      </c>
      <c r="C1769" t="s">
        <v>2670</v>
      </c>
      <c r="D1769" t="s">
        <v>1203</v>
      </c>
      <c r="E1769" t="s">
        <v>1204</v>
      </c>
      <c r="F1769">
        <v>6747</v>
      </c>
      <c r="G1769" t="s">
        <v>2675</v>
      </c>
      <c r="H1769" t="s">
        <v>2665</v>
      </c>
      <c r="I1769">
        <v>377.47320554999999</v>
      </c>
      <c r="J1769">
        <v>386.67986910000002</v>
      </c>
      <c r="K1769">
        <v>402.02430835000001</v>
      </c>
      <c r="L1769">
        <v>423.50652330000003</v>
      </c>
      <c r="M1769">
        <v>451.12651395</v>
      </c>
      <c r="N1769" t="s">
        <v>988</v>
      </c>
    </row>
    <row r="1770" spans="1:14" hidden="1" x14ac:dyDescent="0.3">
      <c r="A1770">
        <v>1109</v>
      </c>
      <c r="B1770" t="s">
        <v>1566</v>
      </c>
      <c r="C1770" t="s">
        <v>2670</v>
      </c>
      <c r="D1770" t="s">
        <v>1203</v>
      </c>
      <c r="E1770" t="s">
        <v>1204</v>
      </c>
      <c r="F1770">
        <v>6747</v>
      </c>
      <c r="G1770" t="s">
        <v>2674</v>
      </c>
      <c r="H1770" t="s">
        <v>2664</v>
      </c>
      <c r="I1770">
        <v>362.1287663</v>
      </c>
      <c r="J1770">
        <v>371.33542985000003</v>
      </c>
      <c r="K1770">
        <v>383.61098125000001</v>
      </c>
      <c r="L1770">
        <v>405.09319620000002</v>
      </c>
      <c r="M1770">
        <v>432.71318685</v>
      </c>
      <c r="N1770" t="s">
        <v>988</v>
      </c>
    </row>
    <row r="1771" spans="1:14" hidden="1" x14ac:dyDescent="0.3">
      <c r="A1771">
        <v>1109</v>
      </c>
      <c r="B1771" t="s">
        <v>1566</v>
      </c>
      <c r="C1771" t="s">
        <v>2670</v>
      </c>
      <c r="D1771" t="s">
        <v>1203</v>
      </c>
      <c r="E1771" t="s">
        <v>1204</v>
      </c>
      <c r="F1771">
        <v>6747</v>
      </c>
      <c r="G1771" t="s">
        <v>2674</v>
      </c>
      <c r="H1771" t="s">
        <v>2665</v>
      </c>
      <c r="I1771">
        <v>362.1287663</v>
      </c>
      <c r="J1771">
        <v>371.33542985000003</v>
      </c>
      <c r="K1771">
        <v>383.61098125000001</v>
      </c>
      <c r="L1771">
        <v>405.09319620000002</v>
      </c>
      <c r="M1771">
        <v>432.71318685</v>
      </c>
      <c r="N1771" t="s">
        <v>988</v>
      </c>
    </row>
    <row r="1772" spans="1:14" hidden="1" x14ac:dyDescent="0.3">
      <c r="A1772">
        <v>1109</v>
      </c>
      <c r="B1772" t="s">
        <v>1566</v>
      </c>
      <c r="C1772" t="s">
        <v>2670</v>
      </c>
      <c r="D1772" t="s">
        <v>1203</v>
      </c>
      <c r="E1772" t="s">
        <v>1204</v>
      </c>
      <c r="F1772">
        <v>6747</v>
      </c>
      <c r="G1772" t="s">
        <v>2673</v>
      </c>
      <c r="H1772" t="s">
        <v>2664</v>
      </c>
      <c r="I1772">
        <v>346.78432705</v>
      </c>
      <c r="J1772">
        <v>355.99099059999998</v>
      </c>
      <c r="K1772">
        <v>368.26654200000002</v>
      </c>
      <c r="L1772">
        <v>386.67986910000002</v>
      </c>
      <c r="M1772">
        <v>414.29985975</v>
      </c>
      <c r="N1772" t="s">
        <v>988</v>
      </c>
    </row>
    <row r="1773" spans="1:14" hidden="1" x14ac:dyDescent="0.3">
      <c r="A1773">
        <v>1109</v>
      </c>
      <c r="B1773" t="s">
        <v>1566</v>
      </c>
      <c r="C1773" t="s">
        <v>2670</v>
      </c>
      <c r="D1773" t="s">
        <v>1203</v>
      </c>
      <c r="E1773" t="s">
        <v>1204</v>
      </c>
      <c r="F1773">
        <v>6747</v>
      </c>
      <c r="G1773" t="s">
        <v>2673</v>
      </c>
      <c r="H1773" t="s">
        <v>2665</v>
      </c>
      <c r="I1773">
        <v>346.78432705</v>
      </c>
      <c r="J1773">
        <v>355.99099059999998</v>
      </c>
      <c r="K1773">
        <v>368.26654200000002</v>
      </c>
      <c r="L1773">
        <v>386.67986910000002</v>
      </c>
      <c r="M1773">
        <v>414.29985975</v>
      </c>
      <c r="N1773" t="s">
        <v>988</v>
      </c>
    </row>
    <row r="1774" spans="1:14" hidden="1" x14ac:dyDescent="0.3">
      <c r="A1774">
        <v>1109</v>
      </c>
      <c r="B1774" t="s">
        <v>1566</v>
      </c>
      <c r="C1774" t="s">
        <v>2670</v>
      </c>
      <c r="D1774" t="s">
        <v>1203</v>
      </c>
      <c r="E1774" t="s">
        <v>1204</v>
      </c>
      <c r="F1774">
        <v>6747</v>
      </c>
      <c r="G1774" t="s">
        <v>2671</v>
      </c>
      <c r="H1774" t="s">
        <v>2664</v>
      </c>
      <c r="I1774">
        <v>331.43988780000001</v>
      </c>
      <c r="J1774">
        <v>340.64655134999998</v>
      </c>
      <c r="K1774">
        <v>352.92210275000002</v>
      </c>
      <c r="L1774">
        <v>371.33542985000003</v>
      </c>
      <c r="M1774">
        <v>395.88653264999999</v>
      </c>
      <c r="N1774" t="s">
        <v>988</v>
      </c>
    </row>
    <row r="1775" spans="1:14" hidden="1" x14ac:dyDescent="0.3">
      <c r="A1775">
        <v>1109</v>
      </c>
      <c r="B1775" t="s">
        <v>1566</v>
      </c>
      <c r="C1775" t="s">
        <v>2670</v>
      </c>
      <c r="D1775" t="s">
        <v>1203</v>
      </c>
      <c r="E1775" t="s">
        <v>1204</v>
      </c>
      <c r="F1775">
        <v>6747</v>
      </c>
      <c r="G1775" t="s">
        <v>2671</v>
      </c>
      <c r="H1775" t="s">
        <v>2665</v>
      </c>
      <c r="I1775">
        <v>331.43988780000001</v>
      </c>
      <c r="J1775">
        <v>340.64655134999998</v>
      </c>
      <c r="K1775">
        <v>352.92210275000002</v>
      </c>
      <c r="L1775">
        <v>371.33542985000003</v>
      </c>
      <c r="M1775">
        <v>395.88653264999999</v>
      </c>
      <c r="N1775" t="s">
        <v>988</v>
      </c>
    </row>
    <row r="1776" spans="1:14" hidden="1" x14ac:dyDescent="0.3">
      <c r="A1776">
        <v>1109</v>
      </c>
      <c r="B1776" t="s">
        <v>1566</v>
      </c>
      <c r="C1776" t="s">
        <v>2670</v>
      </c>
      <c r="D1776" t="s">
        <v>1203</v>
      </c>
      <c r="E1776" t="s">
        <v>1204</v>
      </c>
      <c r="F1776">
        <v>6747</v>
      </c>
      <c r="G1776" t="s">
        <v>2672</v>
      </c>
      <c r="H1776" t="s">
        <v>2664</v>
      </c>
      <c r="N1776" t="s">
        <v>988</v>
      </c>
    </row>
    <row r="1777" spans="1:14" hidden="1" x14ac:dyDescent="0.3">
      <c r="A1777">
        <v>1109</v>
      </c>
      <c r="B1777" t="s">
        <v>1566</v>
      </c>
      <c r="C1777" t="s">
        <v>2670</v>
      </c>
      <c r="D1777" t="s">
        <v>1203</v>
      </c>
      <c r="E1777" t="s">
        <v>1204</v>
      </c>
      <c r="F1777">
        <v>6747</v>
      </c>
      <c r="G1777" t="s">
        <v>2672</v>
      </c>
      <c r="H1777" t="s">
        <v>2665</v>
      </c>
      <c r="N1777" t="s">
        <v>988</v>
      </c>
    </row>
    <row r="1778" spans="1:14" hidden="1" x14ac:dyDescent="0.3">
      <c r="A1778">
        <v>1110</v>
      </c>
      <c r="B1778" t="s">
        <v>1571</v>
      </c>
      <c r="C1778" t="s">
        <v>2670</v>
      </c>
      <c r="D1778" t="s">
        <v>1203</v>
      </c>
      <c r="E1778" t="s">
        <v>1204</v>
      </c>
      <c r="F1778">
        <v>7139</v>
      </c>
      <c r="G1778" t="s">
        <v>2672</v>
      </c>
      <c r="H1778" t="s">
        <v>2665</v>
      </c>
      <c r="I1778">
        <v>1375</v>
      </c>
      <c r="J1778">
        <v>1464</v>
      </c>
      <c r="K1778">
        <v>1550</v>
      </c>
      <c r="L1778">
        <v>1636</v>
      </c>
      <c r="M1778">
        <v>1723</v>
      </c>
      <c r="N1778" t="s">
        <v>988</v>
      </c>
    </row>
    <row r="1779" spans="1:14" hidden="1" x14ac:dyDescent="0.3">
      <c r="A1779">
        <v>1110</v>
      </c>
      <c r="B1779" t="s">
        <v>1571</v>
      </c>
      <c r="C1779" t="s">
        <v>2670</v>
      </c>
      <c r="D1779" t="s">
        <v>1203</v>
      </c>
      <c r="E1779" t="s">
        <v>1204</v>
      </c>
      <c r="F1779">
        <v>7139</v>
      </c>
      <c r="G1779" t="s">
        <v>2672</v>
      </c>
      <c r="H1779" t="s">
        <v>2664</v>
      </c>
      <c r="I1779">
        <v>1624</v>
      </c>
      <c r="J1779">
        <v>1624</v>
      </c>
      <c r="K1779">
        <v>1624</v>
      </c>
      <c r="L1779">
        <v>1674</v>
      </c>
      <c r="M1779">
        <v>1724</v>
      </c>
      <c r="N1779" t="s">
        <v>988</v>
      </c>
    </row>
    <row r="1780" spans="1:14" hidden="1" x14ac:dyDescent="0.3">
      <c r="A1780">
        <v>1110</v>
      </c>
      <c r="B1780" t="s">
        <v>1571</v>
      </c>
      <c r="C1780" t="s">
        <v>2670</v>
      </c>
      <c r="D1780" t="s">
        <v>1203</v>
      </c>
      <c r="E1780" t="s">
        <v>1204</v>
      </c>
      <c r="F1780">
        <v>7139</v>
      </c>
      <c r="G1780" t="s">
        <v>2671</v>
      </c>
      <c r="H1780" t="s">
        <v>2665</v>
      </c>
      <c r="I1780">
        <v>1375</v>
      </c>
      <c r="J1780">
        <v>1464</v>
      </c>
      <c r="K1780">
        <v>1550</v>
      </c>
      <c r="L1780">
        <v>1636</v>
      </c>
      <c r="M1780">
        <v>1723</v>
      </c>
      <c r="N1780" t="s">
        <v>988</v>
      </c>
    </row>
    <row r="1781" spans="1:14" hidden="1" x14ac:dyDescent="0.3">
      <c r="A1781">
        <v>1110</v>
      </c>
      <c r="B1781" t="s">
        <v>1571</v>
      </c>
      <c r="C1781" t="s">
        <v>2670</v>
      </c>
      <c r="D1781" t="s">
        <v>1203</v>
      </c>
      <c r="E1781" t="s">
        <v>1204</v>
      </c>
      <c r="F1781">
        <v>7139</v>
      </c>
      <c r="G1781" t="s">
        <v>2671</v>
      </c>
      <c r="H1781" t="s">
        <v>2664</v>
      </c>
      <c r="I1781">
        <v>1624</v>
      </c>
      <c r="J1781">
        <v>1624</v>
      </c>
      <c r="K1781">
        <v>1624</v>
      </c>
      <c r="L1781">
        <v>1674</v>
      </c>
      <c r="M1781">
        <v>1724</v>
      </c>
      <c r="N1781" t="s">
        <v>988</v>
      </c>
    </row>
    <row r="1782" spans="1:14" hidden="1" x14ac:dyDescent="0.3">
      <c r="A1782">
        <v>1110</v>
      </c>
      <c r="B1782" t="s">
        <v>1571</v>
      </c>
      <c r="C1782" t="s">
        <v>2670</v>
      </c>
      <c r="D1782" t="s">
        <v>1203</v>
      </c>
      <c r="E1782" t="s">
        <v>1204</v>
      </c>
      <c r="F1782">
        <v>7139</v>
      </c>
      <c r="G1782" t="s">
        <v>2673</v>
      </c>
      <c r="H1782" t="s">
        <v>2665</v>
      </c>
      <c r="I1782">
        <v>1375</v>
      </c>
      <c r="J1782">
        <v>1464</v>
      </c>
      <c r="K1782">
        <v>1550</v>
      </c>
      <c r="L1782">
        <v>1636</v>
      </c>
      <c r="M1782">
        <v>1723</v>
      </c>
      <c r="N1782" t="s">
        <v>988</v>
      </c>
    </row>
    <row r="1783" spans="1:14" hidden="1" x14ac:dyDescent="0.3">
      <c r="A1783">
        <v>1110</v>
      </c>
      <c r="B1783" t="s">
        <v>1571</v>
      </c>
      <c r="C1783" t="s">
        <v>2670</v>
      </c>
      <c r="D1783" t="s">
        <v>1203</v>
      </c>
      <c r="E1783" t="s">
        <v>1204</v>
      </c>
      <c r="F1783">
        <v>7139</v>
      </c>
      <c r="G1783" t="s">
        <v>2676</v>
      </c>
      <c r="H1783" t="s">
        <v>2664</v>
      </c>
      <c r="I1783">
        <v>1624</v>
      </c>
      <c r="J1783">
        <v>1624</v>
      </c>
      <c r="K1783">
        <v>1624</v>
      </c>
      <c r="L1783">
        <v>1674</v>
      </c>
      <c r="M1783">
        <v>1724</v>
      </c>
      <c r="N1783" t="s">
        <v>988</v>
      </c>
    </row>
    <row r="1784" spans="1:14" hidden="1" x14ac:dyDescent="0.3">
      <c r="A1784">
        <v>1110</v>
      </c>
      <c r="B1784" t="s">
        <v>1571</v>
      </c>
      <c r="C1784" t="s">
        <v>2670</v>
      </c>
      <c r="D1784" t="s">
        <v>1203</v>
      </c>
      <c r="E1784" t="s">
        <v>1204</v>
      </c>
      <c r="F1784">
        <v>7139</v>
      </c>
      <c r="G1784" t="s">
        <v>2674</v>
      </c>
      <c r="H1784" t="s">
        <v>2665</v>
      </c>
      <c r="I1784">
        <v>1375</v>
      </c>
      <c r="J1784">
        <v>1464</v>
      </c>
      <c r="K1784">
        <v>1550</v>
      </c>
      <c r="L1784">
        <v>1636</v>
      </c>
      <c r="M1784">
        <v>1723</v>
      </c>
      <c r="N1784" t="s">
        <v>988</v>
      </c>
    </row>
    <row r="1785" spans="1:14" hidden="1" x14ac:dyDescent="0.3">
      <c r="A1785">
        <v>1110</v>
      </c>
      <c r="B1785" t="s">
        <v>1571</v>
      </c>
      <c r="C1785" t="s">
        <v>2670</v>
      </c>
      <c r="D1785" t="s">
        <v>1203</v>
      </c>
      <c r="E1785" t="s">
        <v>1204</v>
      </c>
      <c r="F1785">
        <v>7139</v>
      </c>
      <c r="G1785" t="s">
        <v>2674</v>
      </c>
      <c r="H1785" t="s">
        <v>2664</v>
      </c>
      <c r="I1785">
        <v>1624</v>
      </c>
      <c r="J1785">
        <v>1624</v>
      </c>
      <c r="K1785">
        <v>1624</v>
      </c>
      <c r="L1785">
        <v>1674</v>
      </c>
      <c r="M1785">
        <v>1724</v>
      </c>
      <c r="N1785" t="s">
        <v>988</v>
      </c>
    </row>
    <row r="1786" spans="1:14" hidden="1" x14ac:dyDescent="0.3">
      <c r="A1786">
        <v>1110</v>
      </c>
      <c r="B1786" t="s">
        <v>1571</v>
      </c>
      <c r="C1786" t="s">
        <v>2670</v>
      </c>
      <c r="D1786" t="s">
        <v>1203</v>
      </c>
      <c r="E1786" t="s">
        <v>1204</v>
      </c>
      <c r="F1786">
        <v>7139</v>
      </c>
      <c r="G1786" t="s">
        <v>2675</v>
      </c>
      <c r="H1786" t="s">
        <v>2665</v>
      </c>
      <c r="I1786">
        <v>1375</v>
      </c>
      <c r="J1786">
        <v>1464</v>
      </c>
      <c r="K1786">
        <v>1550</v>
      </c>
      <c r="L1786">
        <v>1636</v>
      </c>
      <c r="M1786">
        <v>1723</v>
      </c>
      <c r="N1786" t="s">
        <v>988</v>
      </c>
    </row>
    <row r="1787" spans="1:14" hidden="1" x14ac:dyDescent="0.3">
      <c r="A1787">
        <v>1110</v>
      </c>
      <c r="B1787" t="s">
        <v>1571</v>
      </c>
      <c r="C1787" t="s">
        <v>2670</v>
      </c>
      <c r="D1787" t="s">
        <v>1203</v>
      </c>
      <c r="E1787" t="s">
        <v>1204</v>
      </c>
      <c r="F1787">
        <v>7139</v>
      </c>
      <c r="G1787" t="s">
        <v>2675</v>
      </c>
      <c r="H1787" t="s">
        <v>2664</v>
      </c>
      <c r="I1787">
        <v>1624</v>
      </c>
      <c r="J1787">
        <v>1624</v>
      </c>
      <c r="K1787">
        <v>1624</v>
      </c>
      <c r="L1787">
        <v>1674</v>
      </c>
      <c r="M1787">
        <v>1724</v>
      </c>
      <c r="N1787" t="s">
        <v>988</v>
      </c>
    </row>
    <row r="1788" spans="1:14" hidden="1" x14ac:dyDescent="0.3">
      <c r="A1788">
        <v>1110</v>
      </c>
      <c r="B1788" t="s">
        <v>1571</v>
      </c>
      <c r="C1788" t="s">
        <v>2670</v>
      </c>
      <c r="D1788" t="s">
        <v>1203</v>
      </c>
      <c r="E1788" t="s">
        <v>1204</v>
      </c>
      <c r="F1788">
        <v>7139</v>
      </c>
      <c r="G1788" t="s">
        <v>2676</v>
      </c>
      <c r="H1788" t="s">
        <v>2665</v>
      </c>
      <c r="I1788">
        <v>1375</v>
      </c>
      <c r="J1788">
        <v>1464</v>
      </c>
      <c r="K1788">
        <v>1550</v>
      </c>
      <c r="L1788">
        <v>1636</v>
      </c>
      <c r="M1788">
        <v>1723</v>
      </c>
      <c r="N1788" t="s">
        <v>988</v>
      </c>
    </row>
    <row r="1789" spans="1:14" hidden="1" x14ac:dyDescent="0.3">
      <c r="A1789">
        <v>1110</v>
      </c>
      <c r="B1789" t="s">
        <v>1571</v>
      </c>
      <c r="C1789" t="s">
        <v>2670</v>
      </c>
      <c r="D1789" t="s">
        <v>1203</v>
      </c>
      <c r="E1789" t="s">
        <v>1204</v>
      </c>
      <c r="F1789">
        <v>7139</v>
      </c>
      <c r="G1789" t="s">
        <v>2673</v>
      </c>
      <c r="H1789" t="s">
        <v>2664</v>
      </c>
      <c r="I1789">
        <v>1624</v>
      </c>
      <c r="J1789">
        <v>1624</v>
      </c>
      <c r="K1789">
        <v>1624</v>
      </c>
      <c r="L1789">
        <v>1674</v>
      </c>
      <c r="M1789">
        <v>1724</v>
      </c>
      <c r="N1789" t="s">
        <v>988</v>
      </c>
    </row>
    <row r="1790" spans="1:14" hidden="1" x14ac:dyDescent="0.3">
      <c r="A1790">
        <v>1125</v>
      </c>
      <c r="B1790" t="s">
        <v>1572</v>
      </c>
      <c r="C1790" t="s">
        <v>2670</v>
      </c>
      <c r="D1790" t="s">
        <v>1203</v>
      </c>
      <c r="E1790" t="s">
        <v>1204</v>
      </c>
      <c r="F1790">
        <v>6188</v>
      </c>
      <c r="G1790" t="s">
        <v>2673</v>
      </c>
      <c r="H1790" t="s">
        <v>2665</v>
      </c>
      <c r="I1790">
        <v>12971</v>
      </c>
      <c r="J1790">
        <v>13584</v>
      </c>
      <c r="K1790">
        <v>14227</v>
      </c>
      <c r="L1790">
        <v>14899</v>
      </c>
      <c r="M1790">
        <v>15604</v>
      </c>
      <c r="N1790" t="s">
        <v>988</v>
      </c>
    </row>
    <row r="1791" spans="1:14" hidden="1" x14ac:dyDescent="0.3">
      <c r="A1791">
        <v>1125</v>
      </c>
      <c r="B1791" t="s">
        <v>1572</v>
      </c>
      <c r="C1791" t="s">
        <v>2670</v>
      </c>
      <c r="D1791" t="s">
        <v>1203</v>
      </c>
      <c r="E1791" t="s">
        <v>1204</v>
      </c>
      <c r="F1791">
        <v>6188</v>
      </c>
      <c r="G1791" t="s">
        <v>2671</v>
      </c>
      <c r="H1791" t="s">
        <v>2664</v>
      </c>
      <c r="I1791">
        <v>15110</v>
      </c>
      <c r="J1791">
        <v>15351</v>
      </c>
      <c r="K1791">
        <v>15602</v>
      </c>
      <c r="L1791">
        <v>15866</v>
      </c>
      <c r="M1791">
        <v>16142</v>
      </c>
      <c r="N1791" t="s">
        <v>988</v>
      </c>
    </row>
    <row r="1792" spans="1:14" hidden="1" x14ac:dyDescent="0.3">
      <c r="A1792">
        <v>1125</v>
      </c>
      <c r="B1792" t="s">
        <v>1572</v>
      </c>
      <c r="C1792" t="s">
        <v>2670</v>
      </c>
      <c r="D1792" t="s">
        <v>1203</v>
      </c>
      <c r="E1792" t="s">
        <v>1204</v>
      </c>
      <c r="F1792">
        <v>6188</v>
      </c>
      <c r="G1792" t="s">
        <v>2671</v>
      </c>
      <c r="H1792" t="s">
        <v>2665</v>
      </c>
      <c r="I1792">
        <v>12971</v>
      </c>
      <c r="J1792">
        <v>13584</v>
      </c>
      <c r="K1792">
        <v>14227</v>
      </c>
      <c r="L1792">
        <v>14899</v>
      </c>
      <c r="M1792">
        <v>15604</v>
      </c>
      <c r="N1792" t="s">
        <v>988</v>
      </c>
    </row>
    <row r="1793" spans="1:14" hidden="1" x14ac:dyDescent="0.3">
      <c r="A1793">
        <v>1125</v>
      </c>
      <c r="B1793" t="s">
        <v>1572</v>
      </c>
      <c r="C1793" t="s">
        <v>2670</v>
      </c>
      <c r="D1793" t="s">
        <v>1203</v>
      </c>
      <c r="E1793" t="s">
        <v>1204</v>
      </c>
      <c r="F1793">
        <v>6188</v>
      </c>
      <c r="G1793" t="s">
        <v>2672</v>
      </c>
      <c r="H1793" t="s">
        <v>2664</v>
      </c>
      <c r="N1793" t="s">
        <v>988</v>
      </c>
    </row>
    <row r="1794" spans="1:14" hidden="1" x14ac:dyDescent="0.3">
      <c r="A1794">
        <v>1125</v>
      </c>
      <c r="B1794" t="s">
        <v>1572</v>
      </c>
      <c r="C1794" t="s">
        <v>2670</v>
      </c>
      <c r="D1794" t="s">
        <v>1203</v>
      </c>
      <c r="E1794" t="s">
        <v>1204</v>
      </c>
      <c r="F1794">
        <v>6188</v>
      </c>
      <c r="G1794" t="s">
        <v>2672</v>
      </c>
      <c r="H1794" t="s">
        <v>2665</v>
      </c>
      <c r="N1794" t="s">
        <v>988</v>
      </c>
    </row>
    <row r="1795" spans="1:14" hidden="1" x14ac:dyDescent="0.3">
      <c r="A1795">
        <v>1125</v>
      </c>
      <c r="B1795" t="s">
        <v>1572</v>
      </c>
      <c r="C1795" t="s">
        <v>2670</v>
      </c>
      <c r="D1795" t="s">
        <v>1203</v>
      </c>
      <c r="E1795" t="s">
        <v>1204</v>
      </c>
      <c r="F1795">
        <v>6188</v>
      </c>
      <c r="G1795" t="s">
        <v>2676</v>
      </c>
      <c r="H1795" t="s">
        <v>2664</v>
      </c>
      <c r="I1795">
        <v>15110</v>
      </c>
      <c r="J1795">
        <v>15351</v>
      </c>
      <c r="K1795">
        <v>15602</v>
      </c>
      <c r="L1795">
        <v>15866</v>
      </c>
      <c r="M1795">
        <v>16142</v>
      </c>
      <c r="N1795" t="s">
        <v>988</v>
      </c>
    </row>
    <row r="1796" spans="1:14" hidden="1" x14ac:dyDescent="0.3">
      <c r="A1796">
        <v>1125</v>
      </c>
      <c r="B1796" t="s">
        <v>1572</v>
      </c>
      <c r="C1796" t="s">
        <v>2670</v>
      </c>
      <c r="D1796" t="s">
        <v>1203</v>
      </c>
      <c r="E1796" t="s">
        <v>1204</v>
      </c>
      <c r="F1796">
        <v>6188</v>
      </c>
      <c r="G1796" t="s">
        <v>2674</v>
      </c>
      <c r="H1796" t="s">
        <v>2665</v>
      </c>
      <c r="I1796">
        <v>12971</v>
      </c>
      <c r="J1796">
        <v>13584</v>
      </c>
      <c r="K1796">
        <v>14227</v>
      </c>
      <c r="L1796">
        <v>14899</v>
      </c>
      <c r="M1796">
        <v>15604</v>
      </c>
      <c r="N1796" t="s">
        <v>988</v>
      </c>
    </row>
    <row r="1797" spans="1:14" hidden="1" x14ac:dyDescent="0.3">
      <c r="A1797">
        <v>1125</v>
      </c>
      <c r="B1797" t="s">
        <v>1572</v>
      </c>
      <c r="C1797" t="s">
        <v>2670</v>
      </c>
      <c r="D1797" t="s">
        <v>1203</v>
      </c>
      <c r="E1797" t="s">
        <v>1204</v>
      </c>
      <c r="F1797">
        <v>6188</v>
      </c>
      <c r="G1797" t="s">
        <v>2674</v>
      </c>
      <c r="H1797" t="s">
        <v>2664</v>
      </c>
      <c r="I1797">
        <v>15110</v>
      </c>
      <c r="J1797">
        <v>15351</v>
      </c>
      <c r="K1797">
        <v>15602</v>
      </c>
      <c r="L1797">
        <v>15866</v>
      </c>
      <c r="M1797">
        <v>16142</v>
      </c>
      <c r="N1797" t="s">
        <v>988</v>
      </c>
    </row>
    <row r="1798" spans="1:14" hidden="1" x14ac:dyDescent="0.3">
      <c r="A1798">
        <v>1125</v>
      </c>
      <c r="B1798" t="s">
        <v>1572</v>
      </c>
      <c r="C1798" t="s">
        <v>2670</v>
      </c>
      <c r="D1798" t="s">
        <v>1203</v>
      </c>
      <c r="E1798" t="s">
        <v>1204</v>
      </c>
      <c r="F1798">
        <v>6188</v>
      </c>
      <c r="G1798" t="s">
        <v>2675</v>
      </c>
      <c r="H1798" t="s">
        <v>2665</v>
      </c>
      <c r="I1798">
        <v>12971</v>
      </c>
      <c r="J1798">
        <v>13584</v>
      </c>
      <c r="K1798">
        <v>14227</v>
      </c>
      <c r="L1798">
        <v>14899</v>
      </c>
      <c r="M1798">
        <v>15604</v>
      </c>
      <c r="N1798" t="s">
        <v>988</v>
      </c>
    </row>
    <row r="1799" spans="1:14" hidden="1" x14ac:dyDescent="0.3">
      <c r="A1799">
        <v>1125</v>
      </c>
      <c r="B1799" t="s">
        <v>1572</v>
      </c>
      <c r="C1799" t="s">
        <v>2670</v>
      </c>
      <c r="D1799" t="s">
        <v>1203</v>
      </c>
      <c r="E1799" t="s">
        <v>1204</v>
      </c>
      <c r="F1799">
        <v>6188</v>
      </c>
      <c r="G1799" t="s">
        <v>2675</v>
      </c>
      <c r="H1799" t="s">
        <v>2664</v>
      </c>
      <c r="I1799">
        <v>15110</v>
      </c>
      <c r="J1799">
        <v>15351</v>
      </c>
      <c r="K1799">
        <v>15602</v>
      </c>
      <c r="L1799">
        <v>15866</v>
      </c>
      <c r="M1799">
        <v>16142</v>
      </c>
      <c r="N1799" t="s">
        <v>988</v>
      </c>
    </row>
    <row r="1800" spans="1:14" hidden="1" x14ac:dyDescent="0.3">
      <c r="A1800">
        <v>1125</v>
      </c>
      <c r="B1800" t="s">
        <v>1572</v>
      </c>
      <c r="C1800" t="s">
        <v>2670</v>
      </c>
      <c r="D1800" t="s">
        <v>1203</v>
      </c>
      <c r="E1800" t="s">
        <v>1204</v>
      </c>
      <c r="F1800">
        <v>6188</v>
      </c>
      <c r="G1800" t="s">
        <v>2676</v>
      </c>
      <c r="H1800" t="s">
        <v>2665</v>
      </c>
      <c r="I1800">
        <v>12971</v>
      </c>
      <c r="J1800">
        <v>13584</v>
      </c>
      <c r="K1800">
        <v>14227</v>
      </c>
      <c r="L1800">
        <v>14899</v>
      </c>
      <c r="M1800">
        <v>15604</v>
      </c>
      <c r="N1800" t="s">
        <v>988</v>
      </c>
    </row>
    <row r="1801" spans="1:14" hidden="1" x14ac:dyDescent="0.3">
      <c r="A1801">
        <v>1125</v>
      </c>
      <c r="B1801" t="s">
        <v>1572</v>
      </c>
      <c r="C1801" t="s">
        <v>2670</v>
      </c>
      <c r="D1801" t="s">
        <v>1203</v>
      </c>
      <c r="E1801" t="s">
        <v>1204</v>
      </c>
      <c r="F1801">
        <v>6188</v>
      </c>
      <c r="G1801" t="s">
        <v>2673</v>
      </c>
      <c r="H1801" t="s">
        <v>2664</v>
      </c>
      <c r="I1801">
        <v>15110</v>
      </c>
      <c r="J1801">
        <v>15351</v>
      </c>
      <c r="K1801">
        <v>15602</v>
      </c>
      <c r="L1801">
        <v>15866</v>
      </c>
      <c r="M1801">
        <v>16142</v>
      </c>
      <c r="N1801" t="s">
        <v>988</v>
      </c>
    </row>
    <row r="1802" spans="1:14" hidden="1" x14ac:dyDescent="0.3">
      <c r="A1802">
        <v>1142</v>
      </c>
      <c r="B1802" t="s">
        <v>1574</v>
      </c>
      <c r="C1802" t="s">
        <v>2670</v>
      </c>
      <c r="D1802" t="s">
        <v>1203</v>
      </c>
      <c r="E1802" t="s">
        <v>1204</v>
      </c>
      <c r="F1802">
        <v>7556</v>
      </c>
      <c r="G1802" t="s">
        <v>2673</v>
      </c>
      <c r="H1802" t="s">
        <v>2665</v>
      </c>
      <c r="I1802">
        <v>4025</v>
      </c>
      <c r="J1802">
        <v>4006</v>
      </c>
      <c r="K1802">
        <v>4012</v>
      </c>
      <c r="L1802">
        <v>4023</v>
      </c>
      <c r="M1802">
        <v>4059</v>
      </c>
      <c r="N1802" t="s">
        <v>988</v>
      </c>
    </row>
    <row r="1803" spans="1:14" hidden="1" x14ac:dyDescent="0.3">
      <c r="A1803">
        <v>1142</v>
      </c>
      <c r="B1803" t="s">
        <v>1574</v>
      </c>
      <c r="C1803" t="s">
        <v>2670</v>
      </c>
      <c r="D1803" t="s">
        <v>1203</v>
      </c>
      <c r="E1803" t="s">
        <v>1204</v>
      </c>
      <c r="F1803">
        <v>7556</v>
      </c>
      <c r="G1803" t="s">
        <v>2671</v>
      </c>
      <c r="H1803" t="s">
        <v>2664</v>
      </c>
      <c r="I1803">
        <v>4025</v>
      </c>
      <c r="J1803">
        <v>4006</v>
      </c>
      <c r="K1803">
        <v>4012</v>
      </c>
      <c r="L1803">
        <v>4023</v>
      </c>
      <c r="M1803">
        <v>4059</v>
      </c>
      <c r="N1803" t="s">
        <v>988</v>
      </c>
    </row>
    <row r="1804" spans="1:14" hidden="1" x14ac:dyDescent="0.3">
      <c r="A1804">
        <v>1142</v>
      </c>
      <c r="B1804" t="s">
        <v>1574</v>
      </c>
      <c r="C1804" t="s">
        <v>2670</v>
      </c>
      <c r="D1804" t="s">
        <v>1203</v>
      </c>
      <c r="E1804" t="s">
        <v>1204</v>
      </c>
      <c r="F1804">
        <v>7556</v>
      </c>
      <c r="G1804" t="s">
        <v>2671</v>
      </c>
      <c r="H1804" t="s">
        <v>2665</v>
      </c>
      <c r="I1804">
        <v>4025</v>
      </c>
      <c r="J1804">
        <v>4006</v>
      </c>
      <c r="K1804">
        <v>4012</v>
      </c>
      <c r="L1804">
        <v>4023</v>
      </c>
      <c r="M1804">
        <v>4059</v>
      </c>
      <c r="N1804" t="s">
        <v>988</v>
      </c>
    </row>
    <row r="1805" spans="1:14" hidden="1" x14ac:dyDescent="0.3">
      <c r="A1805">
        <v>1142</v>
      </c>
      <c r="B1805" t="s">
        <v>1574</v>
      </c>
      <c r="C1805" t="s">
        <v>2670</v>
      </c>
      <c r="D1805" t="s">
        <v>1203</v>
      </c>
      <c r="E1805" t="s">
        <v>1204</v>
      </c>
      <c r="F1805">
        <v>7556</v>
      </c>
      <c r="G1805" t="s">
        <v>2672</v>
      </c>
      <c r="H1805" t="s">
        <v>2664</v>
      </c>
      <c r="N1805" t="s">
        <v>988</v>
      </c>
    </row>
    <row r="1806" spans="1:14" hidden="1" x14ac:dyDescent="0.3">
      <c r="A1806">
        <v>1142</v>
      </c>
      <c r="B1806" t="s">
        <v>1574</v>
      </c>
      <c r="C1806" t="s">
        <v>2670</v>
      </c>
      <c r="D1806" t="s">
        <v>1203</v>
      </c>
      <c r="E1806" t="s">
        <v>1204</v>
      </c>
      <c r="F1806">
        <v>7556</v>
      </c>
      <c r="G1806" t="s">
        <v>2672</v>
      </c>
      <c r="H1806" t="s">
        <v>2665</v>
      </c>
      <c r="N1806" t="s">
        <v>988</v>
      </c>
    </row>
    <row r="1807" spans="1:14" hidden="1" x14ac:dyDescent="0.3">
      <c r="A1807">
        <v>1142</v>
      </c>
      <c r="B1807" t="s">
        <v>1574</v>
      </c>
      <c r="C1807" t="s">
        <v>2670</v>
      </c>
      <c r="D1807" t="s">
        <v>1203</v>
      </c>
      <c r="E1807" t="s">
        <v>1204</v>
      </c>
      <c r="F1807">
        <v>7556</v>
      </c>
      <c r="G1807" t="s">
        <v>2673</v>
      </c>
      <c r="H1807" t="s">
        <v>2664</v>
      </c>
      <c r="I1807">
        <v>4025</v>
      </c>
      <c r="J1807">
        <v>4006</v>
      </c>
      <c r="K1807">
        <v>4012</v>
      </c>
      <c r="L1807">
        <v>4023</v>
      </c>
      <c r="M1807">
        <v>4059</v>
      </c>
      <c r="N1807" t="s">
        <v>988</v>
      </c>
    </row>
    <row r="1808" spans="1:14" hidden="1" x14ac:dyDescent="0.3">
      <c r="A1808">
        <v>1142</v>
      </c>
      <c r="B1808" t="s">
        <v>1574</v>
      </c>
      <c r="C1808" t="s">
        <v>2670</v>
      </c>
      <c r="D1808" t="s">
        <v>1203</v>
      </c>
      <c r="E1808" t="s">
        <v>1204</v>
      </c>
      <c r="F1808">
        <v>7556</v>
      </c>
      <c r="G1808" t="s">
        <v>2676</v>
      </c>
      <c r="H1808" t="s">
        <v>2664</v>
      </c>
      <c r="I1808">
        <v>4025</v>
      </c>
      <c r="J1808">
        <v>4006</v>
      </c>
      <c r="K1808">
        <v>4012</v>
      </c>
      <c r="L1808">
        <v>4023</v>
      </c>
      <c r="M1808">
        <v>4059</v>
      </c>
      <c r="N1808" t="s">
        <v>988</v>
      </c>
    </row>
    <row r="1809" spans="1:14" hidden="1" x14ac:dyDescent="0.3">
      <c r="A1809">
        <v>1142</v>
      </c>
      <c r="B1809" t="s">
        <v>1574</v>
      </c>
      <c r="C1809" t="s">
        <v>2670</v>
      </c>
      <c r="D1809" t="s">
        <v>1203</v>
      </c>
      <c r="E1809" t="s">
        <v>1204</v>
      </c>
      <c r="F1809">
        <v>7556</v>
      </c>
      <c r="G1809" t="s">
        <v>2676</v>
      </c>
      <c r="H1809" t="s">
        <v>2665</v>
      </c>
      <c r="I1809">
        <v>4025</v>
      </c>
      <c r="J1809">
        <v>4006</v>
      </c>
      <c r="K1809">
        <v>4012</v>
      </c>
      <c r="L1809">
        <v>4023</v>
      </c>
      <c r="M1809">
        <v>4059</v>
      </c>
      <c r="N1809" t="s">
        <v>988</v>
      </c>
    </row>
    <row r="1810" spans="1:14" hidden="1" x14ac:dyDescent="0.3">
      <c r="A1810">
        <v>1142</v>
      </c>
      <c r="B1810" t="s">
        <v>1574</v>
      </c>
      <c r="C1810" t="s">
        <v>2670</v>
      </c>
      <c r="D1810" t="s">
        <v>1203</v>
      </c>
      <c r="E1810" t="s">
        <v>1204</v>
      </c>
      <c r="F1810">
        <v>7556</v>
      </c>
      <c r="G1810" t="s">
        <v>2675</v>
      </c>
      <c r="H1810" t="s">
        <v>2664</v>
      </c>
      <c r="I1810">
        <v>4025</v>
      </c>
      <c r="J1810">
        <v>4006</v>
      </c>
      <c r="K1810">
        <v>4012</v>
      </c>
      <c r="L1810">
        <v>4023</v>
      </c>
      <c r="M1810">
        <v>4059</v>
      </c>
      <c r="N1810" t="s">
        <v>988</v>
      </c>
    </row>
    <row r="1811" spans="1:14" hidden="1" x14ac:dyDescent="0.3">
      <c r="A1811">
        <v>1142</v>
      </c>
      <c r="B1811" t="s">
        <v>1574</v>
      </c>
      <c r="C1811" t="s">
        <v>2670</v>
      </c>
      <c r="D1811" t="s">
        <v>1203</v>
      </c>
      <c r="E1811" t="s">
        <v>1204</v>
      </c>
      <c r="F1811">
        <v>7556</v>
      </c>
      <c r="G1811" t="s">
        <v>2675</v>
      </c>
      <c r="H1811" t="s">
        <v>2665</v>
      </c>
      <c r="I1811">
        <v>4025</v>
      </c>
      <c r="J1811">
        <v>4006</v>
      </c>
      <c r="K1811">
        <v>4012</v>
      </c>
      <c r="L1811">
        <v>4023</v>
      </c>
      <c r="M1811">
        <v>4059</v>
      </c>
      <c r="N1811" t="s">
        <v>988</v>
      </c>
    </row>
    <row r="1812" spans="1:14" hidden="1" x14ac:dyDescent="0.3">
      <c r="A1812">
        <v>1142</v>
      </c>
      <c r="B1812" t="s">
        <v>1574</v>
      </c>
      <c r="C1812" t="s">
        <v>2670</v>
      </c>
      <c r="D1812" t="s">
        <v>1203</v>
      </c>
      <c r="E1812" t="s">
        <v>1204</v>
      </c>
      <c r="F1812">
        <v>7556</v>
      </c>
      <c r="G1812" t="s">
        <v>2674</v>
      </c>
      <c r="H1812" t="s">
        <v>2664</v>
      </c>
      <c r="I1812">
        <v>4025</v>
      </c>
      <c r="J1812">
        <v>4006</v>
      </c>
      <c r="K1812">
        <v>4012</v>
      </c>
      <c r="L1812">
        <v>4023</v>
      </c>
      <c r="M1812">
        <v>4059</v>
      </c>
      <c r="N1812" t="s">
        <v>988</v>
      </c>
    </row>
    <row r="1813" spans="1:14" hidden="1" x14ac:dyDescent="0.3">
      <c r="A1813">
        <v>1142</v>
      </c>
      <c r="B1813" t="s">
        <v>1574</v>
      </c>
      <c r="C1813" t="s">
        <v>2670</v>
      </c>
      <c r="D1813" t="s">
        <v>1203</v>
      </c>
      <c r="E1813" t="s">
        <v>1204</v>
      </c>
      <c r="F1813">
        <v>7556</v>
      </c>
      <c r="G1813" t="s">
        <v>2674</v>
      </c>
      <c r="H1813" t="s">
        <v>2665</v>
      </c>
      <c r="I1813">
        <v>4025</v>
      </c>
      <c r="J1813">
        <v>4006</v>
      </c>
      <c r="K1813">
        <v>4012</v>
      </c>
      <c r="L1813">
        <v>4023</v>
      </c>
      <c r="M1813">
        <v>4059</v>
      </c>
      <c r="N1813" t="s">
        <v>988</v>
      </c>
    </row>
    <row r="1814" spans="1:14" hidden="1" x14ac:dyDescent="0.3">
      <c r="A1814">
        <v>1143</v>
      </c>
      <c r="B1814" t="s">
        <v>1575</v>
      </c>
      <c r="C1814" t="s">
        <v>2670</v>
      </c>
      <c r="D1814" t="s">
        <v>1203</v>
      </c>
      <c r="E1814" t="s">
        <v>1204</v>
      </c>
      <c r="F1814">
        <v>5903</v>
      </c>
      <c r="G1814" t="s">
        <v>2672</v>
      </c>
      <c r="H1814" t="s">
        <v>2665</v>
      </c>
      <c r="N1814" t="s">
        <v>988</v>
      </c>
    </row>
    <row r="1815" spans="1:14" hidden="1" x14ac:dyDescent="0.3">
      <c r="A1815">
        <v>1143</v>
      </c>
      <c r="B1815" t="s">
        <v>1575</v>
      </c>
      <c r="C1815" t="s">
        <v>2670</v>
      </c>
      <c r="D1815" t="s">
        <v>1203</v>
      </c>
      <c r="E1815" t="s">
        <v>1204</v>
      </c>
      <c r="F1815">
        <v>5903</v>
      </c>
      <c r="G1815" t="s">
        <v>2672</v>
      </c>
      <c r="H1815" t="s">
        <v>2664</v>
      </c>
      <c r="N1815" t="s">
        <v>988</v>
      </c>
    </row>
    <row r="1816" spans="1:14" hidden="1" x14ac:dyDescent="0.3">
      <c r="A1816">
        <v>1143</v>
      </c>
      <c r="B1816" t="s">
        <v>1575</v>
      </c>
      <c r="C1816" t="s">
        <v>2670</v>
      </c>
      <c r="D1816" t="s">
        <v>1203</v>
      </c>
      <c r="E1816" t="s">
        <v>1204</v>
      </c>
      <c r="F1816">
        <v>5903</v>
      </c>
      <c r="G1816" t="s">
        <v>2671</v>
      </c>
      <c r="H1816" t="s">
        <v>2665</v>
      </c>
      <c r="I1816">
        <v>20141.110959549998</v>
      </c>
      <c r="J1816">
        <v>21058.708426699999</v>
      </c>
      <c r="K1816">
        <v>22240.23024895</v>
      </c>
      <c r="L1816">
        <v>23541.43869735</v>
      </c>
      <c r="N1816" t="s">
        <v>988</v>
      </c>
    </row>
    <row r="1817" spans="1:14" hidden="1" x14ac:dyDescent="0.3">
      <c r="A1817">
        <v>1143</v>
      </c>
      <c r="B1817" t="s">
        <v>1575</v>
      </c>
      <c r="C1817" t="s">
        <v>2670</v>
      </c>
      <c r="D1817" t="s">
        <v>1203</v>
      </c>
      <c r="E1817" t="s">
        <v>1204</v>
      </c>
      <c r="F1817">
        <v>5903</v>
      </c>
      <c r="G1817" t="s">
        <v>2671</v>
      </c>
      <c r="H1817" t="s">
        <v>2664</v>
      </c>
      <c r="I1817">
        <v>11136.994007650001</v>
      </c>
      <c r="J1817">
        <v>11606.533848700001</v>
      </c>
      <c r="K1817">
        <v>11210.647316050001</v>
      </c>
      <c r="L1817">
        <v>11486.847222550001</v>
      </c>
      <c r="N1817" t="s">
        <v>988</v>
      </c>
    </row>
    <row r="1818" spans="1:14" hidden="1" x14ac:dyDescent="0.3">
      <c r="A1818">
        <v>1143</v>
      </c>
      <c r="B1818" t="s">
        <v>1575</v>
      </c>
      <c r="C1818" t="s">
        <v>2670</v>
      </c>
      <c r="D1818" t="s">
        <v>1203</v>
      </c>
      <c r="E1818" t="s">
        <v>1204</v>
      </c>
      <c r="F1818">
        <v>5903</v>
      </c>
      <c r="G1818" t="s">
        <v>2673</v>
      </c>
      <c r="H1818" t="s">
        <v>2665</v>
      </c>
      <c r="I1818">
        <v>20141.110959549998</v>
      </c>
      <c r="J1818">
        <v>21058.708426699999</v>
      </c>
      <c r="K1818">
        <v>22240.23024895</v>
      </c>
      <c r="L1818">
        <v>23541.43869735</v>
      </c>
      <c r="N1818" t="s">
        <v>988</v>
      </c>
    </row>
    <row r="1819" spans="1:14" hidden="1" x14ac:dyDescent="0.3">
      <c r="A1819">
        <v>1143</v>
      </c>
      <c r="B1819" t="s">
        <v>1575</v>
      </c>
      <c r="C1819" t="s">
        <v>2670</v>
      </c>
      <c r="D1819" t="s">
        <v>1203</v>
      </c>
      <c r="E1819" t="s">
        <v>1204</v>
      </c>
      <c r="F1819">
        <v>5903</v>
      </c>
      <c r="G1819" t="s">
        <v>2676</v>
      </c>
      <c r="H1819" t="s">
        <v>2664</v>
      </c>
      <c r="I1819">
        <v>12950.706727000001</v>
      </c>
      <c r="J1819">
        <v>13493.899876449999</v>
      </c>
      <c r="K1819">
        <v>14208.9507455</v>
      </c>
      <c r="L1819">
        <v>15065.170455650001</v>
      </c>
      <c r="N1819" t="s">
        <v>988</v>
      </c>
    </row>
    <row r="1820" spans="1:14" hidden="1" x14ac:dyDescent="0.3">
      <c r="A1820">
        <v>1143</v>
      </c>
      <c r="B1820" t="s">
        <v>1575</v>
      </c>
      <c r="C1820" t="s">
        <v>2670</v>
      </c>
      <c r="D1820" t="s">
        <v>1203</v>
      </c>
      <c r="E1820" t="s">
        <v>1204</v>
      </c>
      <c r="F1820">
        <v>5903</v>
      </c>
      <c r="G1820" t="s">
        <v>2675</v>
      </c>
      <c r="H1820" t="s">
        <v>2664</v>
      </c>
      <c r="I1820">
        <v>11136.994007650001</v>
      </c>
      <c r="J1820">
        <v>11606.533848700001</v>
      </c>
      <c r="K1820">
        <v>12211.10475515</v>
      </c>
      <c r="L1820">
        <v>12972.18894195</v>
      </c>
      <c r="N1820" t="s">
        <v>988</v>
      </c>
    </row>
    <row r="1821" spans="1:14" hidden="1" x14ac:dyDescent="0.3">
      <c r="A1821">
        <v>1143</v>
      </c>
      <c r="B1821" t="s">
        <v>1575</v>
      </c>
      <c r="C1821" t="s">
        <v>2670</v>
      </c>
      <c r="D1821" t="s">
        <v>1203</v>
      </c>
      <c r="E1821" t="s">
        <v>1204</v>
      </c>
      <c r="F1821">
        <v>5903</v>
      </c>
      <c r="G1821" t="s">
        <v>2675</v>
      </c>
      <c r="H1821" t="s">
        <v>2665</v>
      </c>
      <c r="I1821">
        <v>20141.110959549998</v>
      </c>
      <c r="J1821">
        <v>21058.708426699999</v>
      </c>
      <c r="K1821">
        <v>22240.23024895</v>
      </c>
      <c r="L1821">
        <v>23541.43869735</v>
      </c>
      <c r="N1821" t="s">
        <v>988</v>
      </c>
    </row>
    <row r="1822" spans="1:14" hidden="1" x14ac:dyDescent="0.3">
      <c r="A1822">
        <v>1143</v>
      </c>
      <c r="B1822" t="s">
        <v>1575</v>
      </c>
      <c r="C1822" t="s">
        <v>2670</v>
      </c>
      <c r="D1822" t="s">
        <v>1203</v>
      </c>
      <c r="E1822" t="s">
        <v>1204</v>
      </c>
      <c r="F1822">
        <v>5903</v>
      </c>
      <c r="G1822" t="s">
        <v>2674</v>
      </c>
      <c r="H1822" t="s">
        <v>2664</v>
      </c>
      <c r="I1822">
        <v>11136.994007650001</v>
      </c>
      <c r="J1822">
        <v>11606.533848700001</v>
      </c>
      <c r="K1822">
        <v>12211.10475515</v>
      </c>
      <c r="L1822">
        <v>12972.18894195</v>
      </c>
      <c r="N1822" t="s">
        <v>988</v>
      </c>
    </row>
    <row r="1823" spans="1:14" hidden="1" x14ac:dyDescent="0.3">
      <c r="A1823">
        <v>1143</v>
      </c>
      <c r="B1823" t="s">
        <v>1575</v>
      </c>
      <c r="C1823" t="s">
        <v>2670</v>
      </c>
      <c r="D1823" t="s">
        <v>1203</v>
      </c>
      <c r="E1823" t="s">
        <v>1204</v>
      </c>
      <c r="F1823">
        <v>5903</v>
      </c>
      <c r="G1823" t="s">
        <v>2674</v>
      </c>
      <c r="H1823" t="s">
        <v>2665</v>
      </c>
      <c r="I1823">
        <v>20141.110959549998</v>
      </c>
      <c r="J1823">
        <v>21058.708426699999</v>
      </c>
      <c r="K1823">
        <v>22240.23024895</v>
      </c>
      <c r="L1823">
        <v>23541.43869735</v>
      </c>
      <c r="N1823" t="s">
        <v>988</v>
      </c>
    </row>
    <row r="1824" spans="1:14" hidden="1" x14ac:dyDescent="0.3">
      <c r="A1824">
        <v>1143</v>
      </c>
      <c r="B1824" t="s">
        <v>1575</v>
      </c>
      <c r="C1824" t="s">
        <v>2670</v>
      </c>
      <c r="D1824" t="s">
        <v>1203</v>
      </c>
      <c r="E1824" t="s">
        <v>1204</v>
      </c>
      <c r="F1824">
        <v>5903</v>
      </c>
      <c r="G1824" t="s">
        <v>2673</v>
      </c>
      <c r="H1824" t="s">
        <v>2664</v>
      </c>
      <c r="I1824">
        <v>11136.994007650001</v>
      </c>
      <c r="J1824">
        <v>11606.533848700001</v>
      </c>
      <c r="K1824">
        <v>12211.10475515</v>
      </c>
      <c r="L1824">
        <v>11486.847222550001</v>
      </c>
      <c r="N1824" t="s">
        <v>988</v>
      </c>
    </row>
    <row r="1825" spans="1:14" hidden="1" x14ac:dyDescent="0.3">
      <c r="A1825">
        <v>1143</v>
      </c>
      <c r="B1825" t="s">
        <v>1575</v>
      </c>
      <c r="C1825" t="s">
        <v>2670</v>
      </c>
      <c r="D1825" t="s">
        <v>1203</v>
      </c>
      <c r="E1825" t="s">
        <v>1204</v>
      </c>
      <c r="F1825">
        <v>5903</v>
      </c>
      <c r="G1825" t="s">
        <v>2676</v>
      </c>
      <c r="H1825" t="s">
        <v>2665</v>
      </c>
      <c r="I1825">
        <v>20141.110959549998</v>
      </c>
      <c r="J1825">
        <v>21058.708426699999</v>
      </c>
      <c r="K1825">
        <v>22240.23024895</v>
      </c>
      <c r="L1825">
        <v>23541.43869735</v>
      </c>
      <c r="N1825" t="s">
        <v>988</v>
      </c>
    </row>
    <row r="1826" spans="1:14" hidden="1" x14ac:dyDescent="0.3">
      <c r="A1826">
        <v>1144</v>
      </c>
      <c r="B1826" t="s">
        <v>1581</v>
      </c>
      <c r="C1826" t="s">
        <v>2670</v>
      </c>
      <c r="D1826" t="s">
        <v>1203</v>
      </c>
      <c r="E1826" t="s">
        <v>1204</v>
      </c>
      <c r="F1826">
        <v>6619</v>
      </c>
      <c r="G1826" t="s">
        <v>2672</v>
      </c>
      <c r="H1826" t="s">
        <v>2665</v>
      </c>
      <c r="N1826" t="s">
        <v>988</v>
      </c>
    </row>
    <row r="1827" spans="1:14" hidden="1" x14ac:dyDescent="0.3">
      <c r="A1827">
        <v>1144</v>
      </c>
      <c r="B1827" t="s">
        <v>1581</v>
      </c>
      <c r="C1827" t="s">
        <v>2670</v>
      </c>
      <c r="D1827" t="s">
        <v>1203</v>
      </c>
      <c r="E1827" t="s">
        <v>1204</v>
      </c>
      <c r="F1827">
        <v>6619</v>
      </c>
      <c r="G1827" t="s">
        <v>2672</v>
      </c>
      <c r="H1827" t="s">
        <v>2664</v>
      </c>
      <c r="N1827" t="s">
        <v>988</v>
      </c>
    </row>
    <row r="1828" spans="1:14" hidden="1" x14ac:dyDescent="0.3">
      <c r="A1828">
        <v>1144</v>
      </c>
      <c r="B1828" t="s">
        <v>1581</v>
      </c>
      <c r="C1828" t="s">
        <v>2670</v>
      </c>
      <c r="D1828" t="s">
        <v>1203</v>
      </c>
      <c r="E1828" t="s">
        <v>1204</v>
      </c>
      <c r="F1828">
        <v>6619</v>
      </c>
      <c r="G1828" t="s">
        <v>2671</v>
      </c>
      <c r="H1828" t="s">
        <v>2665</v>
      </c>
      <c r="I1828">
        <v>2212.66813985</v>
      </c>
      <c r="J1828">
        <v>2608.5546724999999</v>
      </c>
      <c r="K1828">
        <v>2737.4479621999999</v>
      </c>
      <c r="L1828">
        <v>2869.4101397499999</v>
      </c>
      <c r="M1828">
        <v>3010.5789808499999</v>
      </c>
      <c r="N1828" t="s">
        <v>988</v>
      </c>
    </row>
    <row r="1829" spans="1:14" hidden="1" x14ac:dyDescent="0.3">
      <c r="A1829">
        <v>1144</v>
      </c>
      <c r="B1829" t="s">
        <v>1581</v>
      </c>
      <c r="C1829" t="s">
        <v>2670</v>
      </c>
      <c r="D1829" t="s">
        <v>1203</v>
      </c>
      <c r="E1829" t="s">
        <v>1204</v>
      </c>
      <c r="F1829">
        <v>6619</v>
      </c>
      <c r="G1829" t="s">
        <v>2671</v>
      </c>
      <c r="H1829" t="s">
        <v>2664</v>
      </c>
      <c r="I1829">
        <v>2172.7725977999999</v>
      </c>
      <c r="J1829">
        <v>2657.6568781000001</v>
      </c>
      <c r="K1829">
        <v>2657.6568781000001</v>
      </c>
      <c r="L1829">
        <v>2657.6568781000001</v>
      </c>
      <c r="M1829">
        <v>2657.6568781000001</v>
      </c>
      <c r="N1829" t="s">
        <v>988</v>
      </c>
    </row>
    <row r="1830" spans="1:14" hidden="1" x14ac:dyDescent="0.3">
      <c r="A1830">
        <v>1144</v>
      </c>
      <c r="B1830" t="s">
        <v>1581</v>
      </c>
      <c r="C1830" t="s">
        <v>2670</v>
      </c>
      <c r="D1830" t="s">
        <v>1203</v>
      </c>
      <c r="E1830" t="s">
        <v>1204</v>
      </c>
      <c r="F1830">
        <v>6619</v>
      </c>
      <c r="G1830" t="s">
        <v>2673</v>
      </c>
      <c r="H1830" t="s">
        <v>2665</v>
      </c>
      <c r="I1830">
        <v>2212.66813985</v>
      </c>
      <c r="J1830">
        <v>2608.5546724999999</v>
      </c>
      <c r="K1830">
        <v>2737.4479621999999</v>
      </c>
      <c r="L1830">
        <v>2869.4101397499999</v>
      </c>
      <c r="M1830">
        <v>3010.5789808499999</v>
      </c>
      <c r="N1830" t="s">
        <v>988</v>
      </c>
    </row>
    <row r="1831" spans="1:14" hidden="1" x14ac:dyDescent="0.3">
      <c r="A1831">
        <v>1144</v>
      </c>
      <c r="B1831" t="s">
        <v>1581</v>
      </c>
      <c r="C1831" t="s">
        <v>2670</v>
      </c>
      <c r="D1831" t="s">
        <v>1203</v>
      </c>
      <c r="E1831" t="s">
        <v>1204</v>
      </c>
      <c r="F1831">
        <v>6619</v>
      </c>
      <c r="G1831" t="s">
        <v>2676</v>
      </c>
      <c r="H1831" t="s">
        <v>2664</v>
      </c>
      <c r="I1831">
        <v>2172.7725977999999</v>
      </c>
      <c r="J1831">
        <v>2657.6568781000001</v>
      </c>
      <c r="K1831">
        <v>2657.6568781000001</v>
      </c>
      <c r="L1831">
        <v>2657.6568781000001</v>
      </c>
      <c r="M1831">
        <v>2657.6568781000001</v>
      </c>
      <c r="N1831" t="s">
        <v>988</v>
      </c>
    </row>
    <row r="1832" spans="1:14" hidden="1" x14ac:dyDescent="0.3">
      <c r="A1832">
        <v>1144</v>
      </c>
      <c r="B1832" t="s">
        <v>1581</v>
      </c>
      <c r="C1832" t="s">
        <v>2670</v>
      </c>
      <c r="D1832" t="s">
        <v>1203</v>
      </c>
      <c r="E1832" t="s">
        <v>1204</v>
      </c>
      <c r="F1832">
        <v>6619</v>
      </c>
      <c r="G1832" t="s">
        <v>2674</v>
      </c>
      <c r="H1832" t="s">
        <v>2665</v>
      </c>
      <c r="I1832">
        <v>2212.66813985</v>
      </c>
      <c r="J1832">
        <v>2608.5546724999999</v>
      </c>
      <c r="K1832">
        <v>2737.4479621999999</v>
      </c>
      <c r="L1832">
        <v>2869.4101397499999</v>
      </c>
      <c r="M1832">
        <v>3010.5789808499999</v>
      </c>
      <c r="N1832" t="s">
        <v>988</v>
      </c>
    </row>
    <row r="1833" spans="1:14" hidden="1" x14ac:dyDescent="0.3">
      <c r="A1833">
        <v>1144</v>
      </c>
      <c r="B1833" t="s">
        <v>1581</v>
      </c>
      <c r="C1833" t="s">
        <v>2670</v>
      </c>
      <c r="D1833" t="s">
        <v>1203</v>
      </c>
      <c r="E1833" t="s">
        <v>1204</v>
      </c>
      <c r="F1833">
        <v>6619</v>
      </c>
      <c r="G1833" t="s">
        <v>2674</v>
      </c>
      <c r="H1833" t="s">
        <v>2664</v>
      </c>
      <c r="I1833">
        <v>2172.7725977999999</v>
      </c>
      <c r="J1833">
        <v>2657.6568781000001</v>
      </c>
      <c r="K1833">
        <v>2657.6568781000001</v>
      </c>
      <c r="L1833">
        <v>2657.6568781000001</v>
      </c>
      <c r="M1833">
        <v>2657.6568781000001</v>
      </c>
      <c r="N1833" t="s">
        <v>988</v>
      </c>
    </row>
    <row r="1834" spans="1:14" hidden="1" x14ac:dyDescent="0.3">
      <c r="A1834">
        <v>1144</v>
      </c>
      <c r="B1834" t="s">
        <v>1581</v>
      </c>
      <c r="C1834" t="s">
        <v>2670</v>
      </c>
      <c r="D1834" t="s">
        <v>1203</v>
      </c>
      <c r="E1834" t="s">
        <v>1204</v>
      </c>
      <c r="F1834">
        <v>6619</v>
      </c>
      <c r="G1834" t="s">
        <v>2675</v>
      </c>
      <c r="H1834" t="s">
        <v>2665</v>
      </c>
      <c r="I1834">
        <v>2212.66813985</v>
      </c>
      <c r="J1834">
        <v>2608.5546724999999</v>
      </c>
      <c r="K1834">
        <v>2737.4479621999999</v>
      </c>
      <c r="L1834">
        <v>2869.4101397499999</v>
      </c>
      <c r="M1834">
        <v>3010.5789808499999</v>
      </c>
      <c r="N1834" t="s">
        <v>988</v>
      </c>
    </row>
    <row r="1835" spans="1:14" hidden="1" x14ac:dyDescent="0.3">
      <c r="A1835">
        <v>1144</v>
      </c>
      <c r="B1835" t="s">
        <v>1581</v>
      </c>
      <c r="C1835" t="s">
        <v>2670</v>
      </c>
      <c r="D1835" t="s">
        <v>1203</v>
      </c>
      <c r="E1835" t="s">
        <v>1204</v>
      </c>
      <c r="F1835">
        <v>6619</v>
      </c>
      <c r="G1835" t="s">
        <v>2675</v>
      </c>
      <c r="H1835" t="s">
        <v>2664</v>
      </c>
      <c r="I1835">
        <v>2172.7725977999999</v>
      </c>
      <c r="J1835">
        <v>2657.6568781000001</v>
      </c>
      <c r="K1835">
        <v>2657.6568781000001</v>
      </c>
      <c r="L1835">
        <v>2657.6568781000001</v>
      </c>
      <c r="M1835">
        <v>2657.6568781000001</v>
      </c>
      <c r="N1835" t="s">
        <v>988</v>
      </c>
    </row>
    <row r="1836" spans="1:14" hidden="1" x14ac:dyDescent="0.3">
      <c r="A1836">
        <v>1144</v>
      </c>
      <c r="B1836" t="s">
        <v>1581</v>
      </c>
      <c r="C1836" t="s">
        <v>2670</v>
      </c>
      <c r="D1836" t="s">
        <v>1203</v>
      </c>
      <c r="E1836" t="s">
        <v>1204</v>
      </c>
      <c r="F1836">
        <v>6619</v>
      </c>
      <c r="G1836" t="s">
        <v>2676</v>
      </c>
      <c r="H1836" t="s">
        <v>2665</v>
      </c>
      <c r="I1836">
        <v>2212.66813985</v>
      </c>
      <c r="J1836">
        <v>2608.5546724999999</v>
      </c>
      <c r="K1836">
        <v>2737.4479621999999</v>
      </c>
      <c r="L1836">
        <v>2869.4101397499999</v>
      </c>
      <c r="M1836">
        <v>3010.5789808499999</v>
      </c>
      <c r="N1836" t="s">
        <v>988</v>
      </c>
    </row>
    <row r="1837" spans="1:14" hidden="1" x14ac:dyDescent="0.3">
      <c r="A1837">
        <v>1144</v>
      </c>
      <c r="B1837" t="s">
        <v>1581</v>
      </c>
      <c r="C1837" t="s">
        <v>2670</v>
      </c>
      <c r="D1837" t="s">
        <v>1203</v>
      </c>
      <c r="E1837" t="s">
        <v>1204</v>
      </c>
      <c r="F1837">
        <v>6619</v>
      </c>
      <c r="G1837" t="s">
        <v>2673</v>
      </c>
      <c r="H1837" t="s">
        <v>2664</v>
      </c>
      <c r="I1837">
        <v>2172.7725977999999</v>
      </c>
      <c r="J1837">
        <v>2657.6568781000001</v>
      </c>
      <c r="K1837">
        <v>2657.6568781000001</v>
      </c>
      <c r="L1837">
        <v>2657.6568781000001</v>
      </c>
      <c r="M1837">
        <v>2657.6568781000001</v>
      </c>
      <c r="N1837" t="s">
        <v>988</v>
      </c>
    </row>
    <row r="1838" spans="1:14" hidden="1" x14ac:dyDescent="0.3">
      <c r="A1838">
        <v>1154</v>
      </c>
      <c r="B1838" t="s">
        <v>1586</v>
      </c>
      <c r="C1838" t="s">
        <v>2670</v>
      </c>
      <c r="D1838" t="s">
        <v>159</v>
      </c>
      <c r="E1838" t="s">
        <v>159</v>
      </c>
      <c r="F1838">
        <v>7784</v>
      </c>
      <c r="G1838" t="s">
        <v>2676</v>
      </c>
      <c r="H1838" t="s">
        <v>2665</v>
      </c>
      <c r="I1838">
        <v>34869</v>
      </c>
      <c r="J1838">
        <v>35218</v>
      </c>
      <c r="K1838">
        <v>35570</v>
      </c>
      <c r="L1838">
        <v>35926</v>
      </c>
      <c r="M1838">
        <v>36285</v>
      </c>
      <c r="N1838" t="s">
        <v>988</v>
      </c>
    </row>
    <row r="1839" spans="1:14" hidden="1" x14ac:dyDescent="0.3">
      <c r="A1839">
        <v>1154</v>
      </c>
      <c r="B1839" t="s">
        <v>1586</v>
      </c>
      <c r="C1839" t="s">
        <v>2670</v>
      </c>
      <c r="D1839" t="s">
        <v>159</v>
      </c>
      <c r="E1839" t="s">
        <v>159</v>
      </c>
      <c r="F1839">
        <v>7784</v>
      </c>
      <c r="G1839" t="s">
        <v>2675</v>
      </c>
      <c r="H1839" t="s">
        <v>2664</v>
      </c>
      <c r="I1839">
        <v>48820</v>
      </c>
      <c r="J1839">
        <v>47302</v>
      </c>
      <c r="K1839">
        <v>46974</v>
      </c>
      <c r="L1839">
        <v>47841</v>
      </c>
      <c r="M1839">
        <v>47657</v>
      </c>
      <c r="N1839" t="s">
        <v>988</v>
      </c>
    </row>
    <row r="1840" spans="1:14" hidden="1" x14ac:dyDescent="0.3">
      <c r="A1840">
        <v>1154</v>
      </c>
      <c r="B1840" t="s">
        <v>1586</v>
      </c>
      <c r="C1840" t="s">
        <v>2670</v>
      </c>
      <c r="D1840" t="s">
        <v>159</v>
      </c>
      <c r="E1840" t="s">
        <v>159</v>
      </c>
      <c r="F1840">
        <v>7784</v>
      </c>
      <c r="G1840" t="s">
        <v>2675</v>
      </c>
      <c r="H1840" t="s">
        <v>2665</v>
      </c>
      <c r="I1840">
        <v>36209</v>
      </c>
      <c r="J1840">
        <v>36571</v>
      </c>
      <c r="K1840">
        <v>36937</v>
      </c>
      <c r="L1840">
        <v>37306</v>
      </c>
      <c r="M1840">
        <v>37679</v>
      </c>
      <c r="N1840" t="s">
        <v>988</v>
      </c>
    </row>
    <row r="1841" spans="1:14" hidden="1" x14ac:dyDescent="0.3">
      <c r="A1841">
        <v>1154</v>
      </c>
      <c r="B1841" t="s">
        <v>1586</v>
      </c>
      <c r="C1841" t="s">
        <v>2670</v>
      </c>
      <c r="D1841" t="s">
        <v>159</v>
      </c>
      <c r="E1841" t="s">
        <v>159</v>
      </c>
      <c r="F1841">
        <v>7784</v>
      </c>
      <c r="G1841" t="s">
        <v>2674</v>
      </c>
      <c r="H1841" t="s">
        <v>2664</v>
      </c>
      <c r="I1841">
        <v>48846</v>
      </c>
      <c r="J1841">
        <v>47326</v>
      </c>
      <c r="K1841">
        <v>46998</v>
      </c>
      <c r="L1841">
        <v>47865</v>
      </c>
      <c r="M1841">
        <v>47681</v>
      </c>
      <c r="N1841" t="s">
        <v>988</v>
      </c>
    </row>
    <row r="1842" spans="1:14" hidden="1" x14ac:dyDescent="0.3">
      <c r="A1842">
        <v>1154</v>
      </c>
      <c r="B1842" t="s">
        <v>1586</v>
      </c>
      <c r="C1842" t="s">
        <v>2670</v>
      </c>
      <c r="D1842" t="s">
        <v>159</v>
      </c>
      <c r="E1842" t="s">
        <v>159</v>
      </c>
      <c r="F1842">
        <v>7784</v>
      </c>
      <c r="G1842" t="s">
        <v>2674</v>
      </c>
      <c r="H1842" t="s">
        <v>2665</v>
      </c>
      <c r="I1842">
        <v>37538</v>
      </c>
      <c r="J1842">
        <v>37914</v>
      </c>
      <c r="K1842">
        <v>38293</v>
      </c>
      <c r="L1842">
        <v>38676</v>
      </c>
      <c r="M1842">
        <v>39063</v>
      </c>
      <c r="N1842" t="s">
        <v>988</v>
      </c>
    </row>
    <row r="1843" spans="1:14" hidden="1" x14ac:dyDescent="0.3">
      <c r="A1843">
        <v>1154</v>
      </c>
      <c r="B1843" t="s">
        <v>1586</v>
      </c>
      <c r="C1843" t="s">
        <v>2670</v>
      </c>
      <c r="D1843" t="s">
        <v>159</v>
      </c>
      <c r="E1843" t="s">
        <v>159</v>
      </c>
      <c r="F1843">
        <v>7784</v>
      </c>
      <c r="G1843" t="s">
        <v>2673</v>
      </c>
      <c r="H1843" t="s">
        <v>2664</v>
      </c>
      <c r="I1843">
        <v>48873</v>
      </c>
      <c r="J1843">
        <v>47351</v>
      </c>
      <c r="K1843">
        <v>47023</v>
      </c>
      <c r="L1843">
        <v>47890</v>
      </c>
      <c r="M1843">
        <v>47706</v>
      </c>
      <c r="N1843" t="s">
        <v>988</v>
      </c>
    </row>
    <row r="1844" spans="1:14" hidden="1" x14ac:dyDescent="0.3">
      <c r="A1844">
        <v>1154</v>
      </c>
      <c r="B1844" t="s">
        <v>1586</v>
      </c>
      <c r="C1844" t="s">
        <v>2670</v>
      </c>
      <c r="D1844" t="s">
        <v>159</v>
      </c>
      <c r="E1844" t="s">
        <v>159</v>
      </c>
      <c r="F1844">
        <v>7784</v>
      </c>
      <c r="G1844" t="s">
        <v>2673</v>
      </c>
      <c r="H1844" t="s">
        <v>2665</v>
      </c>
      <c r="I1844">
        <v>38778</v>
      </c>
      <c r="J1844">
        <v>39165</v>
      </c>
      <c r="K1844">
        <v>39557</v>
      </c>
      <c r="L1844">
        <v>39953</v>
      </c>
      <c r="M1844">
        <v>40352</v>
      </c>
      <c r="N1844" t="s">
        <v>988</v>
      </c>
    </row>
    <row r="1845" spans="1:14" hidden="1" x14ac:dyDescent="0.3">
      <c r="A1845">
        <v>1154</v>
      </c>
      <c r="B1845" t="s">
        <v>1586</v>
      </c>
      <c r="C1845" t="s">
        <v>2670</v>
      </c>
      <c r="D1845" t="s">
        <v>159</v>
      </c>
      <c r="E1845" t="s">
        <v>159</v>
      </c>
      <c r="F1845">
        <v>7784</v>
      </c>
      <c r="G1845" t="s">
        <v>2671</v>
      </c>
      <c r="H1845" t="s">
        <v>2664</v>
      </c>
      <c r="I1845">
        <v>48899</v>
      </c>
      <c r="J1845">
        <v>47376</v>
      </c>
      <c r="K1845">
        <v>47047</v>
      </c>
      <c r="L1845">
        <v>47914</v>
      </c>
      <c r="M1845">
        <v>47730</v>
      </c>
      <c r="N1845" t="s">
        <v>988</v>
      </c>
    </row>
    <row r="1846" spans="1:14" hidden="1" x14ac:dyDescent="0.3">
      <c r="A1846">
        <v>1154</v>
      </c>
      <c r="B1846" t="s">
        <v>1586</v>
      </c>
      <c r="C1846" t="s">
        <v>2670</v>
      </c>
      <c r="D1846" t="s">
        <v>159</v>
      </c>
      <c r="E1846" t="s">
        <v>159</v>
      </c>
      <c r="F1846">
        <v>7784</v>
      </c>
      <c r="G1846" t="s">
        <v>2671</v>
      </c>
      <c r="H1846" t="s">
        <v>2665</v>
      </c>
      <c r="I1846">
        <v>39733</v>
      </c>
      <c r="J1846">
        <v>40130</v>
      </c>
      <c r="K1846">
        <v>40531</v>
      </c>
      <c r="L1846">
        <v>40937</v>
      </c>
      <c r="M1846">
        <v>41346</v>
      </c>
      <c r="N1846" t="s">
        <v>988</v>
      </c>
    </row>
    <row r="1847" spans="1:14" hidden="1" x14ac:dyDescent="0.3">
      <c r="A1847">
        <v>1154</v>
      </c>
      <c r="B1847" t="s">
        <v>1586</v>
      </c>
      <c r="C1847" t="s">
        <v>2670</v>
      </c>
      <c r="D1847" t="s">
        <v>159</v>
      </c>
      <c r="E1847" t="s">
        <v>159</v>
      </c>
      <c r="F1847">
        <v>7784</v>
      </c>
      <c r="G1847" t="s">
        <v>2672</v>
      </c>
      <c r="H1847" t="s">
        <v>2664</v>
      </c>
      <c r="N1847" t="s">
        <v>988</v>
      </c>
    </row>
    <row r="1848" spans="1:14" hidden="1" x14ac:dyDescent="0.3">
      <c r="A1848">
        <v>1154</v>
      </c>
      <c r="B1848" t="s">
        <v>1586</v>
      </c>
      <c r="C1848" t="s">
        <v>2670</v>
      </c>
      <c r="D1848" t="s">
        <v>159</v>
      </c>
      <c r="E1848" t="s">
        <v>159</v>
      </c>
      <c r="F1848">
        <v>7784</v>
      </c>
      <c r="G1848" t="s">
        <v>2672</v>
      </c>
      <c r="H1848" t="s">
        <v>2665</v>
      </c>
      <c r="N1848" t="s">
        <v>988</v>
      </c>
    </row>
    <row r="1849" spans="1:14" hidden="1" x14ac:dyDescent="0.3">
      <c r="A1849">
        <v>1154</v>
      </c>
      <c r="B1849" t="s">
        <v>1586</v>
      </c>
      <c r="C1849" t="s">
        <v>2670</v>
      </c>
      <c r="D1849" t="s">
        <v>159</v>
      </c>
      <c r="E1849" t="s">
        <v>159</v>
      </c>
      <c r="F1849">
        <v>7784</v>
      </c>
      <c r="G1849" t="s">
        <v>2676</v>
      </c>
      <c r="H1849" t="s">
        <v>2664</v>
      </c>
      <c r="I1849">
        <v>48793</v>
      </c>
      <c r="J1849">
        <v>47277</v>
      </c>
      <c r="K1849">
        <v>46949</v>
      </c>
      <c r="L1849">
        <v>47816</v>
      </c>
      <c r="M1849">
        <v>47632</v>
      </c>
      <c r="N1849" t="s">
        <v>988</v>
      </c>
    </row>
    <row r="1850" spans="1:14" hidden="1" x14ac:dyDescent="0.3">
      <c r="A1850">
        <v>1157</v>
      </c>
      <c r="B1850" t="s">
        <v>1587</v>
      </c>
      <c r="C1850" t="s">
        <v>2670</v>
      </c>
      <c r="D1850" t="s">
        <v>1203</v>
      </c>
      <c r="E1850" t="s">
        <v>1204</v>
      </c>
      <c r="F1850">
        <v>5829</v>
      </c>
      <c r="G1850" t="s">
        <v>2676</v>
      </c>
      <c r="H1850" t="s">
        <v>2665</v>
      </c>
      <c r="I1850">
        <v>4632</v>
      </c>
      <c r="J1850">
        <v>4719</v>
      </c>
      <c r="K1850">
        <v>4807</v>
      </c>
      <c r="L1850">
        <v>4897</v>
      </c>
      <c r="M1850">
        <v>4988</v>
      </c>
      <c r="N1850" t="s">
        <v>988</v>
      </c>
    </row>
    <row r="1851" spans="1:14" hidden="1" x14ac:dyDescent="0.3">
      <c r="A1851">
        <v>1157</v>
      </c>
      <c r="B1851" t="s">
        <v>1587</v>
      </c>
      <c r="C1851" t="s">
        <v>2670</v>
      </c>
      <c r="D1851" t="s">
        <v>1203</v>
      </c>
      <c r="E1851" t="s">
        <v>1204</v>
      </c>
      <c r="F1851">
        <v>5829</v>
      </c>
      <c r="G1851" t="s">
        <v>2675</v>
      </c>
      <c r="H1851" t="s">
        <v>2664</v>
      </c>
      <c r="I1851">
        <v>4815</v>
      </c>
      <c r="J1851">
        <v>4905</v>
      </c>
      <c r="K1851">
        <v>4996</v>
      </c>
      <c r="L1851">
        <v>5090</v>
      </c>
      <c r="M1851">
        <v>5185</v>
      </c>
      <c r="N1851" t="s">
        <v>988</v>
      </c>
    </row>
    <row r="1852" spans="1:14" hidden="1" x14ac:dyDescent="0.3">
      <c r="A1852">
        <v>1157</v>
      </c>
      <c r="B1852" t="s">
        <v>1587</v>
      </c>
      <c r="C1852" t="s">
        <v>2670</v>
      </c>
      <c r="D1852" t="s">
        <v>1203</v>
      </c>
      <c r="E1852" t="s">
        <v>1204</v>
      </c>
      <c r="F1852">
        <v>5829</v>
      </c>
      <c r="G1852" t="s">
        <v>2675</v>
      </c>
      <c r="H1852" t="s">
        <v>2665</v>
      </c>
      <c r="I1852">
        <v>4815</v>
      </c>
      <c r="J1852">
        <v>4905</v>
      </c>
      <c r="K1852">
        <v>4996</v>
      </c>
      <c r="L1852">
        <v>5090</v>
      </c>
      <c r="M1852">
        <v>5185</v>
      </c>
      <c r="N1852" t="s">
        <v>988</v>
      </c>
    </row>
    <row r="1853" spans="1:14" hidden="1" x14ac:dyDescent="0.3">
      <c r="A1853">
        <v>1157</v>
      </c>
      <c r="B1853" t="s">
        <v>1587</v>
      </c>
      <c r="C1853" t="s">
        <v>2670</v>
      </c>
      <c r="D1853" t="s">
        <v>1203</v>
      </c>
      <c r="E1853" t="s">
        <v>1204</v>
      </c>
      <c r="F1853">
        <v>5829</v>
      </c>
      <c r="G1853" t="s">
        <v>2674</v>
      </c>
      <c r="H1853" t="s">
        <v>2664</v>
      </c>
      <c r="I1853">
        <v>4862</v>
      </c>
      <c r="J1853">
        <v>4953</v>
      </c>
      <c r="K1853">
        <v>5045</v>
      </c>
      <c r="L1853">
        <v>5140</v>
      </c>
      <c r="M1853">
        <v>5236</v>
      </c>
      <c r="N1853" t="s">
        <v>988</v>
      </c>
    </row>
    <row r="1854" spans="1:14" hidden="1" x14ac:dyDescent="0.3">
      <c r="A1854">
        <v>1157</v>
      </c>
      <c r="B1854" t="s">
        <v>1587</v>
      </c>
      <c r="C1854" t="s">
        <v>2670</v>
      </c>
      <c r="D1854" t="s">
        <v>1203</v>
      </c>
      <c r="E1854" t="s">
        <v>1204</v>
      </c>
      <c r="F1854">
        <v>5829</v>
      </c>
      <c r="G1854" t="s">
        <v>2674</v>
      </c>
      <c r="H1854" t="s">
        <v>2665</v>
      </c>
      <c r="I1854">
        <v>4862</v>
      </c>
      <c r="J1854">
        <v>4953</v>
      </c>
      <c r="K1854">
        <v>5045</v>
      </c>
      <c r="L1854">
        <v>5140</v>
      </c>
      <c r="M1854">
        <v>5236</v>
      </c>
      <c r="N1854" t="s">
        <v>988</v>
      </c>
    </row>
    <row r="1855" spans="1:14" hidden="1" x14ac:dyDescent="0.3">
      <c r="A1855">
        <v>1157</v>
      </c>
      <c r="B1855" t="s">
        <v>1587</v>
      </c>
      <c r="C1855" t="s">
        <v>2670</v>
      </c>
      <c r="D1855" t="s">
        <v>1203</v>
      </c>
      <c r="E1855" t="s">
        <v>1204</v>
      </c>
      <c r="F1855">
        <v>5829</v>
      </c>
      <c r="G1855" t="s">
        <v>2673</v>
      </c>
      <c r="H1855" t="s">
        <v>2664</v>
      </c>
      <c r="I1855">
        <v>4774</v>
      </c>
      <c r="J1855">
        <v>4864</v>
      </c>
      <c r="K1855">
        <v>4954</v>
      </c>
      <c r="L1855">
        <v>5047</v>
      </c>
      <c r="M1855">
        <v>5141</v>
      </c>
      <c r="N1855" t="s">
        <v>988</v>
      </c>
    </row>
    <row r="1856" spans="1:14" hidden="1" x14ac:dyDescent="0.3">
      <c r="A1856">
        <v>1157</v>
      </c>
      <c r="B1856" t="s">
        <v>1587</v>
      </c>
      <c r="C1856" t="s">
        <v>2670</v>
      </c>
      <c r="D1856" t="s">
        <v>1203</v>
      </c>
      <c r="E1856" t="s">
        <v>1204</v>
      </c>
      <c r="F1856">
        <v>5829</v>
      </c>
      <c r="G1856" t="s">
        <v>2673</v>
      </c>
      <c r="H1856" t="s">
        <v>2665</v>
      </c>
      <c r="I1856">
        <v>4774</v>
      </c>
      <c r="J1856">
        <v>4864</v>
      </c>
      <c r="K1856">
        <v>4954</v>
      </c>
      <c r="L1856">
        <v>5047</v>
      </c>
      <c r="M1856">
        <v>5141</v>
      </c>
      <c r="N1856" t="s">
        <v>988</v>
      </c>
    </row>
    <row r="1857" spans="1:14" hidden="1" x14ac:dyDescent="0.3">
      <c r="A1857">
        <v>1157</v>
      </c>
      <c r="B1857" t="s">
        <v>1587</v>
      </c>
      <c r="C1857" t="s">
        <v>2670</v>
      </c>
      <c r="D1857" t="s">
        <v>1203</v>
      </c>
      <c r="E1857" t="s">
        <v>1204</v>
      </c>
      <c r="F1857">
        <v>5829</v>
      </c>
      <c r="G1857" t="s">
        <v>2671</v>
      </c>
      <c r="H1857" t="s">
        <v>2664</v>
      </c>
      <c r="I1857">
        <v>4017</v>
      </c>
      <c r="J1857">
        <v>4092</v>
      </c>
      <c r="K1857">
        <v>4168</v>
      </c>
      <c r="L1857">
        <v>4246</v>
      </c>
      <c r="M1857">
        <v>4326</v>
      </c>
      <c r="N1857" t="s">
        <v>988</v>
      </c>
    </row>
    <row r="1858" spans="1:14" hidden="1" x14ac:dyDescent="0.3">
      <c r="A1858">
        <v>1157</v>
      </c>
      <c r="B1858" t="s">
        <v>1587</v>
      </c>
      <c r="C1858" t="s">
        <v>2670</v>
      </c>
      <c r="D1858" t="s">
        <v>1203</v>
      </c>
      <c r="E1858" t="s">
        <v>1204</v>
      </c>
      <c r="F1858">
        <v>5829</v>
      </c>
      <c r="G1858" t="s">
        <v>2671</v>
      </c>
      <c r="H1858" t="s">
        <v>2665</v>
      </c>
      <c r="I1858">
        <v>4017</v>
      </c>
      <c r="J1858">
        <v>4092</v>
      </c>
      <c r="K1858">
        <v>4168</v>
      </c>
      <c r="L1858">
        <v>4246</v>
      </c>
      <c r="M1858">
        <v>4326</v>
      </c>
      <c r="N1858" t="s">
        <v>988</v>
      </c>
    </row>
    <row r="1859" spans="1:14" hidden="1" x14ac:dyDescent="0.3">
      <c r="A1859">
        <v>1157</v>
      </c>
      <c r="B1859" t="s">
        <v>1587</v>
      </c>
      <c r="C1859" t="s">
        <v>2670</v>
      </c>
      <c r="D1859" t="s">
        <v>1203</v>
      </c>
      <c r="E1859" t="s">
        <v>1204</v>
      </c>
      <c r="F1859">
        <v>5829</v>
      </c>
      <c r="G1859" t="s">
        <v>2672</v>
      </c>
      <c r="H1859" t="s">
        <v>2664</v>
      </c>
      <c r="N1859" t="s">
        <v>988</v>
      </c>
    </row>
    <row r="1860" spans="1:14" hidden="1" x14ac:dyDescent="0.3">
      <c r="A1860">
        <v>1157</v>
      </c>
      <c r="B1860" t="s">
        <v>1587</v>
      </c>
      <c r="C1860" t="s">
        <v>2670</v>
      </c>
      <c r="D1860" t="s">
        <v>1203</v>
      </c>
      <c r="E1860" t="s">
        <v>1204</v>
      </c>
      <c r="F1860">
        <v>5829</v>
      </c>
      <c r="G1860" t="s">
        <v>2672</v>
      </c>
      <c r="H1860" t="s">
        <v>2665</v>
      </c>
      <c r="N1860" t="s">
        <v>988</v>
      </c>
    </row>
    <row r="1861" spans="1:14" hidden="1" x14ac:dyDescent="0.3">
      <c r="A1861">
        <v>1157</v>
      </c>
      <c r="B1861" t="s">
        <v>1587</v>
      </c>
      <c r="C1861" t="s">
        <v>2670</v>
      </c>
      <c r="D1861" t="s">
        <v>1203</v>
      </c>
      <c r="E1861" t="s">
        <v>1204</v>
      </c>
      <c r="F1861">
        <v>5829</v>
      </c>
      <c r="G1861" t="s">
        <v>2676</v>
      </c>
      <c r="H1861" t="s">
        <v>2664</v>
      </c>
      <c r="I1861">
        <v>4632</v>
      </c>
      <c r="J1861">
        <v>4719</v>
      </c>
      <c r="K1861">
        <v>4807</v>
      </c>
      <c r="L1861">
        <v>4897</v>
      </c>
      <c r="M1861">
        <v>4988</v>
      </c>
      <c r="N1861" t="s">
        <v>988</v>
      </c>
    </row>
    <row r="1862" spans="1:14" hidden="1" x14ac:dyDescent="0.3">
      <c r="A1862">
        <v>1166</v>
      </c>
      <c r="B1862" t="s">
        <v>1589</v>
      </c>
      <c r="C1862" t="s">
        <v>2670</v>
      </c>
      <c r="D1862" t="s">
        <v>1203</v>
      </c>
      <c r="E1862" t="s">
        <v>1204</v>
      </c>
      <c r="F1862">
        <v>5919</v>
      </c>
      <c r="G1862" t="s">
        <v>2672</v>
      </c>
      <c r="H1862" t="s">
        <v>2665</v>
      </c>
      <c r="N1862" t="s">
        <v>988</v>
      </c>
    </row>
    <row r="1863" spans="1:14" hidden="1" x14ac:dyDescent="0.3">
      <c r="A1863">
        <v>1166</v>
      </c>
      <c r="B1863" t="s">
        <v>1589</v>
      </c>
      <c r="C1863" t="s">
        <v>2670</v>
      </c>
      <c r="D1863" t="s">
        <v>1203</v>
      </c>
      <c r="E1863" t="s">
        <v>1204</v>
      </c>
      <c r="F1863">
        <v>5919</v>
      </c>
      <c r="G1863" t="s">
        <v>2672</v>
      </c>
      <c r="H1863" t="s">
        <v>2664</v>
      </c>
      <c r="N1863" t="s">
        <v>988</v>
      </c>
    </row>
    <row r="1864" spans="1:14" hidden="1" x14ac:dyDescent="0.3">
      <c r="A1864">
        <v>1166</v>
      </c>
      <c r="B1864" t="s">
        <v>1589</v>
      </c>
      <c r="C1864" t="s">
        <v>2670</v>
      </c>
      <c r="D1864" t="s">
        <v>1203</v>
      </c>
      <c r="E1864" t="s">
        <v>1204</v>
      </c>
      <c r="F1864">
        <v>5919</v>
      </c>
      <c r="G1864" t="s">
        <v>2671</v>
      </c>
      <c r="H1864" t="s">
        <v>2665</v>
      </c>
      <c r="I1864">
        <v>16090</v>
      </c>
      <c r="J1864">
        <v>16850</v>
      </c>
      <c r="K1864">
        <v>17590</v>
      </c>
      <c r="L1864">
        <v>18300</v>
      </c>
      <c r="M1864">
        <v>18900</v>
      </c>
      <c r="N1864" t="s">
        <v>988</v>
      </c>
    </row>
    <row r="1865" spans="1:14" hidden="1" x14ac:dyDescent="0.3">
      <c r="A1865">
        <v>1166</v>
      </c>
      <c r="B1865" t="s">
        <v>1589</v>
      </c>
      <c r="C1865" t="s">
        <v>2670</v>
      </c>
      <c r="D1865" t="s">
        <v>1203</v>
      </c>
      <c r="E1865" t="s">
        <v>1204</v>
      </c>
      <c r="F1865">
        <v>5919</v>
      </c>
      <c r="G1865" t="s">
        <v>2671</v>
      </c>
      <c r="H1865" t="s">
        <v>2664</v>
      </c>
      <c r="I1865">
        <v>16090</v>
      </c>
      <c r="J1865">
        <v>16850</v>
      </c>
      <c r="K1865">
        <v>17590</v>
      </c>
      <c r="L1865">
        <v>18300</v>
      </c>
      <c r="M1865">
        <v>18900</v>
      </c>
      <c r="N1865" t="s">
        <v>988</v>
      </c>
    </row>
    <row r="1866" spans="1:14" hidden="1" x14ac:dyDescent="0.3">
      <c r="A1866">
        <v>1166</v>
      </c>
      <c r="B1866" t="s">
        <v>1589</v>
      </c>
      <c r="C1866" t="s">
        <v>2670</v>
      </c>
      <c r="D1866" t="s">
        <v>1203</v>
      </c>
      <c r="E1866" t="s">
        <v>1204</v>
      </c>
      <c r="F1866">
        <v>5919</v>
      </c>
      <c r="G1866" t="s">
        <v>2673</v>
      </c>
      <c r="H1866" t="s">
        <v>2665</v>
      </c>
      <c r="I1866">
        <v>15880</v>
      </c>
      <c r="J1866">
        <v>16710</v>
      </c>
      <c r="K1866">
        <v>17440</v>
      </c>
      <c r="L1866">
        <v>18160</v>
      </c>
      <c r="M1866">
        <v>18780</v>
      </c>
      <c r="N1866" t="s">
        <v>988</v>
      </c>
    </row>
    <row r="1867" spans="1:14" hidden="1" x14ac:dyDescent="0.3">
      <c r="A1867">
        <v>1166</v>
      </c>
      <c r="B1867" t="s">
        <v>1589</v>
      </c>
      <c r="C1867" t="s">
        <v>2670</v>
      </c>
      <c r="D1867" t="s">
        <v>1203</v>
      </c>
      <c r="E1867" t="s">
        <v>1204</v>
      </c>
      <c r="F1867">
        <v>5919</v>
      </c>
      <c r="G1867" t="s">
        <v>2676</v>
      </c>
      <c r="H1867" t="s">
        <v>2665</v>
      </c>
      <c r="I1867">
        <v>15250</v>
      </c>
      <c r="J1867">
        <v>16290</v>
      </c>
      <c r="K1867">
        <v>16990</v>
      </c>
      <c r="L1867">
        <v>17740</v>
      </c>
      <c r="M1867">
        <v>18420</v>
      </c>
      <c r="N1867" t="s">
        <v>988</v>
      </c>
    </row>
    <row r="1868" spans="1:14" hidden="1" x14ac:dyDescent="0.3">
      <c r="A1868">
        <v>1166</v>
      </c>
      <c r="B1868" t="s">
        <v>1589</v>
      </c>
      <c r="C1868" t="s">
        <v>2670</v>
      </c>
      <c r="D1868" t="s">
        <v>1203</v>
      </c>
      <c r="E1868" t="s">
        <v>1204</v>
      </c>
      <c r="F1868">
        <v>5919</v>
      </c>
      <c r="G1868" t="s">
        <v>2674</v>
      </c>
      <c r="H1868" t="s">
        <v>2665</v>
      </c>
      <c r="I1868">
        <v>15670</v>
      </c>
      <c r="J1868">
        <v>16570</v>
      </c>
      <c r="K1868">
        <v>17290</v>
      </c>
      <c r="L1868">
        <v>18020</v>
      </c>
      <c r="M1868">
        <v>18660</v>
      </c>
      <c r="N1868" t="s">
        <v>988</v>
      </c>
    </row>
    <row r="1869" spans="1:14" hidden="1" x14ac:dyDescent="0.3">
      <c r="A1869">
        <v>1166</v>
      </c>
      <c r="B1869" t="s">
        <v>1589</v>
      </c>
      <c r="C1869" t="s">
        <v>2670</v>
      </c>
      <c r="D1869" t="s">
        <v>1203</v>
      </c>
      <c r="E1869" t="s">
        <v>1204</v>
      </c>
      <c r="F1869">
        <v>5919</v>
      </c>
      <c r="G1869" t="s">
        <v>2674</v>
      </c>
      <c r="H1869" t="s">
        <v>2664</v>
      </c>
      <c r="I1869">
        <v>15670</v>
      </c>
      <c r="J1869">
        <v>16570</v>
      </c>
      <c r="K1869">
        <v>17290</v>
      </c>
      <c r="L1869">
        <v>18020</v>
      </c>
      <c r="M1869">
        <v>18660</v>
      </c>
      <c r="N1869" t="s">
        <v>988</v>
      </c>
    </row>
    <row r="1870" spans="1:14" hidden="1" x14ac:dyDescent="0.3">
      <c r="A1870">
        <v>1166</v>
      </c>
      <c r="B1870" t="s">
        <v>1589</v>
      </c>
      <c r="C1870" t="s">
        <v>2670</v>
      </c>
      <c r="D1870" t="s">
        <v>1203</v>
      </c>
      <c r="E1870" t="s">
        <v>1204</v>
      </c>
      <c r="F1870">
        <v>5919</v>
      </c>
      <c r="G1870" t="s">
        <v>2675</v>
      </c>
      <c r="H1870" t="s">
        <v>2665</v>
      </c>
      <c r="I1870">
        <v>15460</v>
      </c>
      <c r="J1870">
        <v>16430</v>
      </c>
      <c r="K1870">
        <v>17140</v>
      </c>
      <c r="L1870">
        <v>17880</v>
      </c>
      <c r="M1870">
        <v>18540</v>
      </c>
      <c r="N1870" t="s">
        <v>988</v>
      </c>
    </row>
    <row r="1871" spans="1:14" hidden="1" x14ac:dyDescent="0.3">
      <c r="A1871">
        <v>1166</v>
      </c>
      <c r="B1871" t="s">
        <v>1589</v>
      </c>
      <c r="C1871" t="s">
        <v>2670</v>
      </c>
      <c r="D1871" t="s">
        <v>1203</v>
      </c>
      <c r="E1871" t="s">
        <v>1204</v>
      </c>
      <c r="F1871">
        <v>5919</v>
      </c>
      <c r="G1871" t="s">
        <v>2676</v>
      </c>
      <c r="H1871" t="s">
        <v>2664</v>
      </c>
      <c r="I1871">
        <v>15250</v>
      </c>
      <c r="J1871">
        <v>16290</v>
      </c>
      <c r="K1871">
        <v>16990</v>
      </c>
      <c r="L1871">
        <v>17740</v>
      </c>
      <c r="M1871">
        <v>18420</v>
      </c>
      <c r="N1871" t="s">
        <v>988</v>
      </c>
    </row>
    <row r="1872" spans="1:14" hidden="1" x14ac:dyDescent="0.3">
      <c r="A1872">
        <v>1166</v>
      </c>
      <c r="B1872" t="s">
        <v>1589</v>
      </c>
      <c r="C1872" t="s">
        <v>2670</v>
      </c>
      <c r="D1872" t="s">
        <v>1203</v>
      </c>
      <c r="E1872" t="s">
        <v>1204</v>
      </c>
      <c r="F1872">
        <v>5919</v>
      </c>
      <c r="G1872" t="s">
        <v>2675</v>
      </c>
      <c r="H1872" t="s">
        <v>2664</v>
      </c>
      <c r="I1872">
        <v>15460</v>
      </c>
      <c r="J1872">
        <v>16430</v>
      </c>
      <c r="K1872">
        <v>17140</v>
      </c>
      <c r="L1872">
        <v>17880</v>
      </c>
      <c r="M1872">
        <v>18540</v>
      </c>
      <c r="N1872" t="s">
        <v>988</v>
      </c>
    </row>
    <row r="1873" spans="1:14" hidden="1" x14ac:dyDescent="0.3">
      <c r="A1873">
        <v>1166</v>
      </c>
      <c r="B1873" t="s">
        <v>1589</v>
      </c>
      <c r="C1873" t="s">
        <v>2670</v>
      </c>
      <c r="D1873" t="s">
        <v>1203</v>
      </c>
      <c r="E1873" t="s">
        <v>1204</v>
      </c>
      <c r="F1873">
        <v>5919</v>
      </c>
      <c r="G1873" t="s">
        <v>2673</v>
      </c>
      <c r="H1873" t="s">
        <v>2664</v>
      </c>
      <c r="I1873">
        <v>15880</v>
      </c>
      <c r="J1873">
        <v>16710</v>
      </c>
      <c r="K1873">
        <v>17440</v>
      </c>
      <c r="L1873">
        <v>18160</v>
      </c>
      <c r="M1873">
        <v>18780</v>
      </c>
      <c r="N1873" t="s">
        <v>988</v>
      </c>
    </row>
    <row r="1874" spans="1:14" hidden="1" x14ac:dyDescent="0.3">
      <c r="A1874">
        <v>1167</v>
      </c>
      <c r="B1874" t="s">
        <v>1590</v>
      </c>
      <c r="C1874" t="s">
        <v>2670</v>
      </c>
      <c r="D1874" t="s">
        <v>1203</v>
      </c>
      <c r="E1874" t="s">
        <v>1204</v>
      </c>
      <c r="F1874">
        <v>5831</v>
      </c>
      <c r="G1874" t="s">
        <v>2672</v>
      </c>
      <c r="H1874" t="s">
        <v>2665</v>
      </c>
      <c r="N1874" t="s">
        <v>988</v>
      </c>
    </row>
    <row r="1875" spans="1:14" hidden="1" x14ac:dyDescent="0.3">
      <c r="A1875">
        <v>1167</v>
      </c>
      <c r="B1875" t="s">
        <v>1590</v>
      </c>
      <c r="C1875" t="s">
        <v>2670</v>
      </c>
      <c r="D1875" t="s">
        <v>1203</v>
      </c>
      <c r="E1875" t="s">
        <v>1204</v>
      </c>
      <c r="F1875">
        <v>5831</v>
      </c>
      <c r="G1875" t="s">
        <v>2672</v>
      </c>
      <c r="H1875" t="s">
        <v>2664</v>
      </c>
      <c r="N1875" t="s">
        <v>988</v>
      </c>
    </row>
    <row r="1876" spans="1:14" hidden="1" x14ac:dyDescent="0.3">
      <c r="A1876">
        <v>1167</v>
      </c>
      <c r="B1876" t="s">
        <v>1590</v>
      </c>
      <c r="C1876" t="s">
        <v>2670</v>
      </c>
      <c r="D1876" t="s">
        <v>1203</v>
      </c>
      <c r="E1876" t="s">
        <v>1204</v>
      </c>
      <c r="F1876">
        <v>5831</v>
      </c>
      <c r="G1876" t="s">
        <v>2671</v>
      </c>
      <c r="H1876" t="s">
        <v>2665</v>
      </c>
      <c r="I1876">
        <v>3130</v>
      </c>
      <c r="J1876">
        <v>3207</v>
      </c>
      <c r="K1876">
        <v>3278</v>
      </c>
      <c r="L1876">
        <v>3341</v>
      </c>
      <c r="M1876">
        <v>3397</v>
      </c>
      <c r="N1876" t="s">
        <v>988</v>
      </c>
    </row>
    <row r="1877" spans="1:14" hidden="1" x14ac:dyDescent="0.3">
      <c r="A1877">
        <v>1167</v>
      </c>
      <c r="B1877" t="s">
        <v>1590</v>
      </c>
      <c r="C1877" t="s">
        <v>2670</v>
      </c>
      <c r="D1877" t="s">
        <v>1203</v>
      </c>
      <c r="E1877" t="s">
        <v>1204</v>
      </c>
      <c r="F1877">
        <v>5831</v>
      </c>
      <c r="G1877" t="s">
        <v>2671</v>
      </c>
      <c r="H1877" t="s">
        <v>2664</v>
      </c>
      <c r="I1877">
        <v>3130</v>
      </c>
      <c r="J1877">
        <v>3207</v>
      </c>
      <c r="K1877">
        <v>3278</v>
      </c>
      <c r="L1877">
        <v>3341</v>
      </c>
      <c r="M1877">
        <v>3397</v>
      </c>
      <c r="N1877" t="s">
        <v>988</v>
      </c>
    </row>
    <row r="1878" spans="1:14" hidden="1" x14ac:dyDescent="0.3">
      <c r="A1878">
        <v>1167</v>
      </c>
      <c r="B1878" t="s">
        <v>1590</v>
      </c>
      <c r="C1878" t="s">
        <v>2670</v>
      </c>
      <c r="D1878" t="s">
        <v>1203</v>
      </c>
      <c r="E1878" t="s">
        <v>1204</v>
      </c>
      <c r="F1878">
        <v>5831</v>
      </c>
      <c r="G1878" t="s">
        <v>2673</v>
      </c>
      <c r="H1878" t="s">
        <v>2665</v>
      </c>
      <c r="I1878">
        <v>3112</v>
      </c>
      <c r="J1878">
        <v>3193</v>
      </c>
      <c r="K1878">
        <v>3264</v>
      </c>
      <c r="L1878">
        <v>3329</v>
      </c>
      <c r="M1878">
        <v>3386</v>
      </c>
      <c r="N1878" t="s">
        <v>988</v>
      </c>
    </row>
    <row r="1879" spans="1:14" hidden="1" x14ac:dyDescent="0.3">
      <c r="A1879">
        <v>1167</v>
      </c>
      <c r="B1879" t="s">
        <v>1590</v>
      </c>
      <c r="C1879" t="s">
        <v>2670</v>
      </c>
      <c r="D1879" t="s">
        <v>1203</v>
      </c>
      <c r="E1879" t="s">
        <v>1204</v>
      </c>
      <c r="F1879">
        <v>5831</v>
      </c>
      <c r="G1879" t="s">
        <v>2676</v>
      </c>
      <c r="H1879" t="s">
        <v>2664</v>
      </c>
      <c r="I1879">
        <v>3056</v>
      </c>
      <c r="J1879">
        <v>3149</v>
      </c>
      <c r="K1879">
        <v>3222</v>
      </c>
      <c r="L1879">
        <v>3292</v>
      </c>
      <c r="M1879">
        <v>3354</v>
      </c>
      <c r="N1879" t="s">
        <v>988</v>
      </c>
    </row>
    <row r="1880" spans="1:14" hidden="1" x14ac:dyDescent="0.3">
      <c r="A1880">
        <v>1167</v>
      </c>
      <c r="B1880" t="s">
        <v>1590</v>
      </c>
      <c r="C1880" t="s">
        <v>2670</v>
      </c>
      <c r="D1880" t="s">
        <v>1203</v>
      </c>
      <c r="E1880" t="s">
        <v>1204</v>
      </c>
      <c r="F1880">
        <v>5831</v>
      </c>
      <c r="G1880" t="s">
        <v>2674</v>
      </c>
      <c r="H1880" t="s">
        <v>2665</v>
      </c>
      <c r="I1880">
        <v>3093</v>
      </c>
      <c r="J1880">
        <v>3178</v>
      </c>
      <c r="K1880">
        <v>3250</v>
      </c>
      <c r="L1880">
        <v>3317</v>
      </c>
      <c r="M1880">
        <v>3375</v>
      </c>
      <c r="N1880" t="s">
        <v>988</v>
      </c>
    </row>
    <row r="1881" spans="1:14" hidden="1" x14ac:dyDescent="0.3">
      <c r="A1881">
        <v>1167</v>
      </c>
      <c r="B1881" t="s">
        <v>1590</v>
      </c>
      <c r="C1881" t="s">
        <v>2670</v>
      </c>
      <c r="D1881" t="s">
        <v>1203</v>
      </c>
      <c r="E1881" t="s">
        <v>1204</v>
      </c>
      <c r="F1881">
        <v>5831</v>
      </c>
      <c r="G1881" t="s">
        <v>2674</v>
      </c>
      <c r="H1881" t="s">
        <v>2664</v>
      </c>
      <c r="I1881">
        <v>3093</v>
      </c>
      <c r="J1881">
        <v>3178</v>
      </c>
      <c r="K1881">
        <v>3250</v>
      </c>
      <c r="L1881">
        <v>3317</v>
      </c>
      <c r="M1881">
        <v>3375</v>
      </c>
      <c r="N1881" t="s">
        <v>988</v>
      </c>
    </row>
    <row r="1882" spans="1:14" hidden="1" x14ac:dyDescent="0.3">
      <c r="A1882">
        <v>1167</v>
      </c>
      <c r="B1882" t="s">
        <v>1590</v>
      </c>
      <c r="C1882" t="s">
        <v>2670</v>
      </c>
      <c r="D1882" t="s">
        <v>1203</v>
      </c>
      <c r="E1882" t="s">
        <v>1204</v>
      </c>
      <c r="F1882">
        <v>5831</v>
      </c>
      <c r="G1882" t="s">
        <v>2675</v>
      </c>
      <c r="H1882" t="s">
        <v>2665</v>
      </c>
      <c r="I1882">
        <v>3074</v>
      </c>
      <c r="J1882">
        <v>3164</v>
      </c>
      <c r="K1882">
        <v>3236</v>
      </c>
      <c r="L1882">
        <v>3304</v>
      </c>
      <c r="M1882">
        <v>3365</v>
      </c>
      <c r="N1882" t="s">
        <v>988</v>
      </c>
    </row>
    <row r="1883" spans="1:14" hidden="1" x14ac:dyDescent="0.3">
      <c r="A1883">
        <v>1167</v>
      </c>
      <c r="B1883" t="s">
        <v>1590</v>
      </c>
      <c r="C1883" t="s">
        <v>2670</v>
      </c>
      <c r="D1883" t="s">
        <v>1203</v>
      </c>
      <c r="E1883" t="s">
        <v>1204</v>
      </c>
      <c r="F1883">
        <v>5831</v>
      </c>
      <c r="G1883" t="s">
        <v>2675</v>
      </c>
      <c r="H1883" t="s">
        <v>2664</v>
      </c>
      <c r="I1883">
        <v>3074</v>
      </c>
      <c r="J1883">
        <v>3164</v>
      </c>
      <c r="K1883">
        <v>3236</v>
      </c>
      <c r="L1883">
        <v>3304</v>
      </c>
      <c r="M1883">
        <v>3365</v>
      </c>
      <c r="N1883" t="s">
        <v>988</v>
      </c>
    </row>
    <row r="1884" spans="1:14" hidden="1" x14ac:dyDescent="0.3">
      <c r="A1884">
        <v>1167</v>
      </c>
      <c r="B1884" t="s">
        <v>1590</v>
      </c>
      <c r="C1884" t="s">
        <v>2670</v>
      </c>
      <c r="D1884" t="s">
        <v>1203</v>
      </c>
      <c r="E1884" t="s">
        <v>1204</v>
      </c>
      <c r="F1884">
        <v>5831</v>
      </c>
      <c r="G1884" t="s">
        <v>2676</v>
      </c>
      <c r="H1884" t="s">
        <v>2665</v>
      </c>
      <c r="I1884">
        <v>3056</v>
      </c>
      <c r="J1884">
        <v>3149</v>
      </c>
      <c r="K1884">
        <v>3222</v>
      </c>
      <c r="L1884">
        <v>3292</v>
      </c>
      <c r="M1884">
        <v>3354</v>
      </c>
      <c r="N1884" t="s">
        <v>988</v>
      </c>
    </row>
    <row r="1885" spans="1:14" hidden="1" x14ac:dyDescent="0.3">
      <c r="A1885">
        <v>1167</v>
      </c>
      <c r="B1885" t="s">
        <v>1590</v>
      </c>
      <c r="C1885" t="s">
        <v>2670</v>
      </c>
      <c r="D1885" t="s">
        <v>1203</v>
      </c>
      <c r="E1885" t="s">
        <v>1204</v>
      </c>
      <c r="F1885">
        <v>5831</v>
      </c>
      <c r="G1885" t="s">
        <v>2673</v>
      </c>
      <c r="H1885" t="s">
        <v>2664</v>
      </c>
      <c r="I1885">
        <v>3112</v>
      </c>
      <c r="J1885">
        <v>3193</v>
      </c>
      <c r="K1885">
        <v>3264</v>
      </c>
      <c r="L1885">
        <v>3329</v>
      </c>
      <c r="M1885">
        <v>3386</v>
      </c>
      <c r="N1885" t="s">
        <v>988</v>
      </c>
    </row>
    <row r="1886" spans="1:14" hidden="1" x14ac:dyDescent="0.3">
      <c r="A1886">
        <v>1181</v>
      </c>
      <c r="B1886" t="s">
        <v>1592</v>
      </c>
      <c r="C1886" t="s">
        <v>2670</v>
      </c>
      <c r="D1886" t="s">
        <v>1203</v>
      </c>
      <c r="E1886" t="s">
        <v>1204</v>
      </c>
      <c r="F1886">
        <v>5959</v>
      </c>
      <c r="G1886" t="s">
        <v>2673</v>
      </c>
      <c r="H1886" t="s">
        <v>2665</v>
      </c>
      <c r="I1886">
        <v>3564</v>
      </c>
      <c r="J1886">
        <v>3738</v>
      </c>
      <c r="K1886">
        <v>3715</v>
      </c>
      <c r="L1886">
        <v>3689</v>
      </c>
      <c r="M1886">
        <v>3669</v>
      </c>
      <c r="N1886" t="s">
        <v>988</v>
      </c>
    </row>
    <row r="1887" spans="1:14" hidden="1" x14ac:dyDescent="0.3">
      <c r="A1887">
        <v>1181</v>
      </c>
      <c r="B1887" t="s">
        <v>1592</v>
      </c>
      <c r="C1887" t="s">
        <v>2670</v>
      </c>
      <c r="D1887" t="s">
        <v>1203</v>
      </c>
      <c r="E1887" t="s">
        <v>1204</v>
      </c>
      <c r="F1887">
        <v>5959</v>
      </c>
      <c r="G1887" t="s">
        <v>2673</v>
      </c>
      <c r="H1887" t="s">
        <v>2664</v>
      </c>
      <c r="I1887">
        <v>2005</v>
      </c>
      <c r="J1887">
        <v>1994</v>
      </c>
      <c r="K1887">
        <v>1994</v>
      </c>
      <c r="L1887">
        <v>1759</v>
      </c>
      <c r="M1887">
        <v>1691</v>
      </c>
      <c r="N1887" t="s">
        <v>988</v>
      </c>
    </row>
    <row r="1888" spans="1:14" hidden="1" x14ac:dyDescent="0.3">
      <c r="A1888">
        <v>1181</v>
      </c>
      <c r="B1888" t="s">
        <v>1592</v>
      </c>
      <c r="C1888" t="s">
        <v>2670</v>
      </c>
      <c r="D1888" t="s">
        <v>1203</v>
      </c>
      <c r="E1888" t="s">
        <v>1204</v>
      </c>
      <c r="F1888">
        <v>5959</v>
      </c>
      <c r="G1888" t="s">
        <v>2674</v>
      </c>
      <c r="H1888" t="s">
        <v>2665</v>
      </c>
      <c r="I1888">
        <v>3564</v>
      </c>
      <c r="J1888">
        <v>3738</v>
      </c>
      <c r="K1888">
        <v>3715</v>
      </c>
      <c r="L1888">
        <v>3689</v>
      </c>
      <c r="M1888">
        <v>3669</v>
      </c>
      <c r="N1888" t="s">
        <v>988</v>
      </c>
    </row>
    <row r="1889" spans="1:14" hidden="1" x14ac:dyDescent="0.3">
      <c r="A1889">
        <v>1181</v>
      </c>
      <c r="B1889" t="s">
        <v>1592</v>
      </c>
      <c r="C1889" t="s">
        <v>2670</v>
      </c>
      <c r="D1889" t="s">
        <v>1203</v>
      </c>
      <c r="E1889" t="s">
        <v>1204</v>
      </c>
      <c r="F1889">
        <v>5959</v>
      </c>
      <c r="G1889" t="s">
        <v>2674</v>
      </c>
      <c r="H1889" t="s">
        <v>2664</v>
      </c>
      <c r="I1889">
        <v>2005</v>
      </c>
      <c r="J1889">
        <v>1994</v>
      </c>
      <c r="K1889">
        <v>1994</v>
      </c>
      <c r="L1889">
        <v>1994</v>
      </c>
      <c r="M1889">
        <v>1994</v>
      </c>
      <c r="N1889" t="s">
        <v>988</v>
      </c>
    </row>
    <row r="1890" spans="1:14" hidden="1" x14ac:dyDescent="0.3">
      <c r="A1890">
        <v>1181</v>
      </c>
      <c r="B1890" t="s">
        <v>1592</v>
      </c>
      <c r="C1890" t="s">
        <v>2670</v>
      </c>
      <c r="D1890" t="s">
        <v>1203</v>
      </c>
      <c r="E1890" t="s">
        <v>1204</v>
      </c>
      <c r="F1890">
        <v>5959</v>
      </c>
      <c r="G1890" t="s">
        <v>2675</v>
      </c>
      <c r="H1890" t="s">
        <v>2665</v>
      </c>
      <c r="I1890">
        <v>3564</v>
      </c>
      <c r="J1890">
        <v>3738</v>
      </c>
      <c r="K1890">
        <v>3715</v>
      </c>
      <c r="L1890">
        <v>3689</v>
      </c>
      <c r="M1890">
        <v>3669</v>
      </c>
      <c r="N1890" t="s">
        <v>988</v>
      </c>
    </row>
    <row r="1891" spans="1:14" hidden="1" x14ac:dyDescent="0.3">
      <c r="A1891">
        <v>1181</v>
      </c>
      <c r="B1891" t="s">
        <v>1592</v>
      </c>
      <c r="C1891" t="s">
        <v>2670</v>
      </c>
      <c r="D1891" t="s">
        <v>1203</v>
      </c>
      <c r="E1891" t="s">
        <v>1204</v>
      </c>
      <c r="F1891">
        <v>5959</v>
      </c>
      <c r="G1891" t="s">
        <v>2675</v>
      </c>
      <c r="H1891" t="s">
        <v>2664</v>
      </c>
      <c r="I1891">
        <v>2005</v>
      </c>
      <c r="J1891">
        <v>1994</v>
      </c>
      <c r="K1891">
        <v>1994</v>
      </c>
      <c r="L1891">
        <v>1994</v>
      </c>
      <c r="M1891">
        <v>1994</v>
      </c>
      <c r="N1891" t="s">
        <v>988</v>
      </c>
    </row>
    <row r="1892" spans="1:14" hidden="1" x14ac:dyDescent="0.3">
      <c r="A1892">
        <v>1181</v>
      </c>
      <c r="B1892" t="s">
        <v>1592</v>
      </c>
      <c r="C1892" t="s">
        <v>2670</v>
      </c>
      <c r="D1892" t="s">
        <v>1203</v>
      </c>
      <c r="E1892" t="s">
        <v>1204</v>
      </c>
      <c r="F1892">
        <v>5959</v>
      </c>
      <c r="G1892" t="s">
        <v>2676</v>
      </c>
      <c r="H1892" t="s">
        <v>2665</v>
      </c>
      <c r="I1892">
        <v>3564</v>
      </c>
      <c r="J1892">
        <v>3738</v>
      </c>
      <c r="K1892">
        <v>3715</v>
      </c>
      <c r="L1892">
        <v>3689</v>
      </c>
      <c r="M1892">
        <v>3669</v>
      </c>
      <c r="N1892" t="s">
        <v>988</v>
      </c>
    </row>
    <row r="1893" spans="1:14" hidden="1" x14ac:dyDescent="0.3">
      <c r="A1893">
        <v>1181</v>
      </c>
      <c r="B1893" t="s">
        <v>1592</v>
      </c>
      <c r="C1893" t="s">
        <v>2670</v>
      </c>
      <c r="D1893" t="s">
        <v>1203</v>
      </c>
      <c r="E1893" t="s">
        <v>1204</v>
      </c>
      <c r="F1893">
        <v>5959</v>
      </c>
      <c r="G1893" t="s">
        <v>2676</v>
      </c>
      <c r="H1893" t="s">
        <v>2664</v>
      </c>
      <c r="I1893">
        <v>2330</v>
      </c>
      <c r="J1893">
        <v>2319</v>
      </c>
      <c r="K1893">
        <v>2319</v>
      </c>
      <c r="L1893">
        <v>2319</v>
      </c>
      <c r="M1893">
        <v>1994</v>
      </c>
      <c r="N1893" t="s">
        <v>988</v>
      </c>
    </row>
    <row r="1894" spans="1:14" hidden="1" x14ac:dyDescent="0.3">
      <c r="A1894">
        <v>1181</v>
      </c>
      <c r="B1894" t="s">
        <v>1592</v>
      </c>
      <c r="C1894" t="s">
        <v>2670</v>
      </c>
      <c r="D1894" t="s">
        <v>1203</v>
      </c>
      <c r="E1894" t="s">
        <v>1204</v>
      </c>
      <c r="F1894">
        <v>5959</v>
      </c>
      <c r="G1894" t="s">
        <v>2672</v>
      </c>
      <c r="H1894" t="s">
        <v>2665</v>
      </c>
      <c r="N1894" t="s">
        <v>988</v>
      </c>
    </row>
    <row r="1895" spans="1:14" hidden="1" x14ac:dyDescent="0.3">
      <c r="A1895">
        <v>1181</v>
      </c>
      <c r="B1895" t="s">
        <v>1592</v>
      </c>
      <c r="C1895" t="s">
        <v>2670</v>
      </c>
      <c r="D1895" t="s">
        <v>1203</v>
      </c>
      <c r="E1895" t="s">
        <v>1204</v>
      </c>
      <c r="F1895">
        <v>5959</v>
      </c>
      <c r="G1895" t="s">
        <v>2672</v>
      </c>
      <c r="H1895" t="s">
        <v>2664</v>
      </c>
      <c r="N1895" t="s">
        <v>988</v>
      </c>
    </row>
    <row r="1896" spans="1:14" hidden="1" x14ac:dyDescent="0.3">
      <c r="A1896">
        <v>1181</v>
      </c>
      <c r="B1896" t="s">
        <v>1592</v>
      </c>
      <c r="C1896" t="s">
        <v>2670</v>
      </c>
      <c r="D1896" t="s">
        <v>1203</v>
      </c>
      <c r="E1896" t="s">
        <v>1204</v>
      </c>
      <c r="F1896">
        <v>5959</v>
      </c>
      <c r="G1896" t="s">
        <v>2671</v>
      </c>
      <c r="H1896" t="s">
        <v>2665</v>
      </c>
      <c r="I1896">
        <v>3564</v>
      </c>
      <c r="J1896">
        <v>3738</v>
      </c>
      <c r="K1896">
        <v>3715</v>
      </c>
      <c r="L1896">
        <v>3689</v>
      </c>
      <c r="M1896">
        <v>3669</v>
      </c>
      <c r="N1896" t="s">
        <v>988</v>
      </c>
    </row>
    <row r="1897" spans="1:14" hidden="1" x14ac:dyDescent="0.3">
      <c r="A1897">
        <v>1181</v>
      </c>
      <c r="B1897" t="s">
        <v>1592</v>
      </c>
      <c r="C1897" t="s">
        <v>2670</v>
      </c>
      <c r="D1897" t="s">
        <v>1203</v>
      </c>
      <c r="E1897" t="s">
        <v>1204</v>
      </c>
      <c r="F1897">
        <v>5959</v>
      </c>
      <c r="G1897" t="s">
        <v>2671</v>
      </c>
      <c r="H1897" t="s">
        <v>2664</v>
      </c>
      <c r="I1897">
        <v>2005</v>
      </c>
      <c r="J1897">
        <v>1994</v>
      </c>
      <c r="K1897">
        <v>1826</v>
      </c>
      <c r="L1897">
        <v>1759</v>
      </c>
      <c r="M1897">
        <v>1691</v>
      </c>
      <c r="N1897" t="s">
        <v>988</v>
      </c>
    </row>
    <row r="1898" spans="1:14" hidden="1" x14ac:dyDescent="0.3">
      <c r="A1898">
        <v>1188</v>
      </c>
      <c r="B1898" t="s">
        <v>1593</v>
      </c>
      <c r="C1898" t="s">
        <v>2670</v>
      </c>
      <c r="D1898" t="s">
        <v>1203</v>
      </c>
      <c r="E1898" t="s">
        <v>1204</v>
      </c>
      <c r="F1898">
        <v>7794</v>
      </c>
      <c r="G1898" t="s">
        <v>2673</v>
      </c>
      <c r="H1898" t="s">
        <v>2664</v>
      </c>
      <c r="I1898">
        <v>6271</v>
      </c>
      <c r="J1898">
        <v>7334</v>
      </c>
      <c r="K1898">
        <v>8536</v>
      </c>
      <c r="L1898">
        <v>9771</v>
      </c>
      <c r="N1898" t="s">
        <v>988</v>
      </c>
    </row>
    <row r="1899" spans="1:14" hidden="1" x14ac:dyDescent="0.3">
      <c r="A1899">
        <v>1188</v>
      </c>
      <c r="B1899" t="s">
        <v>1593</v>
      </c>
      <c r="C1899" t="s">
        <v>2670</v>
      </c>
      <c r="D1899" t="s">
        <v>1203</v>
      </c>
      <c r="E1899" t="s">
        <v>1204</v>
      </c>
      <c r="F1899">
        <v>7794</v>
      </c>
      <c r="G1899" t="s">
        <v>2673</v>
      </c>
      <c r="H1899" t="s">
        <v>2665</v>
      </c>
      <c r="I1899">
        <v>6271</v>
      </c>
      <c r="J1899">
        <v>7334</v>
      </c>
      <c r="K1899">
        <v>8536</v>
      </c>
      <c r="L1899">
        <v>9771</v>
      </c>
      <c r="N1899" t="s">
        <v>988</v>
      </c>
    </row>
    <row r="1900" spans="1:14" hidden="1" x14ac:dyDescent="0.3">
      <c r="A1900">
        <v>1188</v>
      </c>
      <c r="B1900" t="s">
        <v>1593</v>
      </c>
      <c r="C1900" t="s">
        <v>2670</v>
      </c>
      <c r="D1900" t="s">
        <v>1203</v>
      </c>
      <c r="E1900" t="s">
        <v>1204</v>
      </c>
      <c r="F1900">
        <v>7794</v>
      </c>
      <c r="G1900" t="s">
        <v>2671</v>
      </c>
      <c r="H1900" t="s">
        <v>2664</v>
      </c>
      <c r="I1900">
        <v>6271</v>
      </c>
      <c r="J1900">
        <v>7334</v>
      </c>
      <c r="K1900">
        <v>8536</v>
      </c>
      <c r="L1900">
        <v>9771</v>
      </c>
      <c r="N1900" t="s">
        <v>988</v>
      </c>
    </row>
    <row r="1901" spans="1:14" hidden="1" x14ac:dyDescent="0.3">
      <c r="A1901">
        <v>1188</v>
      </c>
      <c r="B1901" t="s">
        <v>1593</v>
      </c>
      <c r="C1901" t="s">
        <v>2670</v>
      </c>
      <c r="D1901" t="s">
        <v>1203</v>
      </c>
      <c r="E1901" t="s">
        <v>1204</v>
      </c>
      <c r="F1901">
        <v>7794</v>
      </c>
      <c r="G1901" t="s">
        <v>2671</v>
      </c>
      <c r="H1901" t="s">
        <v>2665</v>
      </c>
      <c r="I1901">
        <v>6271</v>
      </c>
      <c r="J1901">
        <v>7334</v>
      </c>
      <c r="K1901">
        <v>8536</v>
      </c>
      <c r="L1901">
        <v>9771</v>
      </c>
      <c r="N1901" t="s">
        <v>988</v>
      </c>
    </row>
    <row r="1902" spans="1:14" hidden="1" x14ac:dyDescent="0.3">
      <c r="A1902">
        <v>1188</v>
      </c>
      <c r="B1902" t="s">
        <v>1593</v>
      </c>
      <c r="C1902" t="s">
        <v>2670</v>
      </c>
      <c r="D1902" t="s">
        <v>1203</v>
      </c>
      <c r="E1902" t="s">
        <v>1204</v>
      </c>
      <c r="F1902">
        <v>7794</v>
      </c>
      <c r="G1902" t="s">
        <v>2672</v>
      </c>
      <c r="H1902" t="s">
        <v>2664</v>
      </c>
      <c r="N1902" t="s">
        <v>988</v>
      </c>
    </row>
    <row r="1903" spans="1:14" hidden="1" x14ac:dyDescent="0.3">
      <c r="A1903">
        <v>1188</v>
      </c>
      <c r="B1903" t="s">
        <v>1593</v>
      </c>
      <c r="C1903" t="s">
        <v>2670</v>
      </c>
      <c r="D1903" t="s">
        <v>1203</v>
      </c>
      <c r="E1903" t="s">
        <v>1204</v>
      </c>
      <c r="F1903">
        <v>7794</v>
      </c>
      <c r="G1903" t="s">
        <v>2674</v>
      </c>
      <c r="H1903" t="s">
        <v>2664</v>
      </c>
      <c r="I1903">
        <v>6271</v>
      </c>
      <c r="J1903">
        <v>7334</v>
      </c>
      <c r="K1903">
        <v>8536</v>
      </c>
      <c r="L1903">
        <v>9771</v>
      </c>
      <c r="N1903" t="s">
        <v>988</v>
      </c>
    </row>
    <row r="1904" spans="1:14" hidden="1" x14ac:dyDescent="0.3">
      <c r="A1904">
        <v>1188</v>
      </c>
      <c r="B1904" t="s">
        <v>1593</v>
      </c>
      <c r="C1904" t="s">
        <v>2670</v>
      </c>
      <c r="D1904" t="s">
        <v>1203</v>
      </c>
      <c r="E1904" t="s">
        <v>1204</v>
      </c>
      <c r="F1904">
        <v>7794</v>
      </c>
      <c r="G1904" t="s">
        <v>2674</v>
      </c>
      <c r="H1904" t="s">
        <v>2665</v>
      </c>
      <c r="I1904">
        <v>6271</v>
      </c>
      <c r="J1904">
        <v>7334</v>
      </c>
      <c r="K1904">
        <v>8536</v>
      </c>
      <c r="L1904">
        <v>9771</v>
      </c>
      <c r="N1904" t="s">
        <v>988</v>
      </c>
    </row>
    <row r="1905" spans="1:14" hidden="1" x14ac:dyDescent="0.3">
      <c r="A1905">
        <v>1188</v>
      </c>
      <c r="B1905" t="s">
        <v>1593</v>
      </c>
      <c r="C1905" t="s">
        <v>2670</v>
      </c>
      <c r="D1905" t="s">
        <v>1203</v>
      </c>
      <c r="E1905" t="s">
        <v>1204</v>
      </c>
      <c r="F1905">
        <v>7794</v>
      </c>
      <c r="G1905" t="s">
        <v>2676</v>
      </c>
      <c r="H1905" t="s">
        <v>2664</v>
      </c>
      <c r="I1905">
        <v>6271</v>
      </c>
      <c r="J1905">
        <v>7334</v>
      </c>
      <c r="K1905">
        <v>8536</v>
      </c>
      <c r="L1905">
        <v>9771</v>
      </c>
      <c r="N1905" t="s">
        <v>988</v>
      </c>
    </row>
    <row r="1906" spans="1:14" hidden="1" x14ac:dyDescent="0.3">
      <c r="A1906">
        <v>1188</v>
      </c>
      <c r="B1906" t="s">
        <v>1593</v>
      </c>
      <c r="C1906" t="s">
        <v>2670</v>
      </c>
      <c r="D1906" t="s">
        <v>1203</v>
      </c>
      <c r="E1906" t="s">
        <v>1204</v>
      </c>
      <c r="F1906">
        <v>7794</v>
      </c>
      <c r="G1906" t="s">
        <v>2676</v>
      </c>
      <c r="H1906" t="s">
        <v>2665</v>
      </c>
      <c r="I1906">
        <v>6271</v>
      </c>
      <c r="J1906">
        <v>7334</v>
      </c>
      <c r="K1906">
        <v>8536</v>
      </c>
      <c r="L1906">
        <v>9771</v>
      </c>
      <c r="N1906" t="s">
        <v>988</v>
      </c>
    </row>
    <row r="1907" spans="1:14" hidden="1" x14ac:dyDescent="0.3">
      <c r="A1907">
        <v>1188</v>
      </c>
      <c r="B1907" t="s">
        <v>1593</v>
      </c>
      <c r="C1907" t="s">
        <v>2670</v>
      </c>
      <c r="D1907" t="s">
        <v>1203</v>
      </c>
      <c r="E1907" t="s">
        <v>1204</v>
      </c>
      <c r="F1907">
        <v>7794</v>
      </c>
      <c r="G1907" t="s">
        <v>2675</v>
      </c>
      <c r="H1907" t="s">
        <v>2664</v>
      </c>
      <c r="I1907">
        <v>6271</v>
      </c>
      <c r="J1907">
        <v>7334</v>
      </c>
      <c r="K1907">
        <v>8536</v>
      </c>
      <c r="L1907">
        <v>9771</v>
      </c>
      <c r="N1907" t="s">
        <v>988</v>
      </c>
    </row>
    <row r="1908" spans="1:14" hidden="1" x14ac:dyDescent="0.3">
      <c r="A1908">
        <v>1188</v>
      </c>
      <c r="B1908" t="s">
        <v>1593</v>
      </c>
      <c r="C1908" t="s">
        <v>2670</v>
      </c>
      <c r="D1908" t="s">
        <v>1203</v>
      </c>
      <c r="E1908" t="s">
        <v>1204</v>
      </c>
      <c r="F1908">
        <v>7794</v>
      </c>
      <c r="G1908" t="s">
        <v>2675</v>
      </c>
      <c r="H1908" t="s">
        <v>2665</v>
      </c>
      <c r="I1908">
        <v>6271</v>
      </c>
      <c r="J1908">
        <v>7334</v>
      </c>
      <c r="K1908">
        <v>8536</v>
      </c>
      <c r="L1908">
        <v>9771</v>
      </c>
      <c r="N1908" t="s">
        <v>988</v>
      </c>
    </row>
    <row r="1909" spans="1:14" hidden="1" x14ac:dyDescent="0.3">
      <c r="A1909">
        <v>1188</v>
      </c>
      <c r="B1909" t="s">
        <v>1593</v>
      </c>
      <c r="C1909" t="s">
        <v>2670</v>
      </c>
      <c r="D1909" t="s">
        <v>1203</v>
      </c>
      <c r="E1909" t="s">
        <v>1204</v>
      </c>
      <c r="F1909">
        <v>7794</v>
      </c>
      <c r="G1909" t="s">
        <v>2672</v>
      </c>
      <c r="H1909" t="s">
        <v>2665</v>
      </c>
      <c r="N1909" t="s">
        <v>988</v>
      </c>
    </row>
    <row r="1910" spans="1:14" hidden="1" x14ac:dyDescent="0.3">
      <c r="A1910">
        <v>1210</v>
      </c>
      <c r="B1910" t="s">
        <v>1595</v>
      </c>
      <c r="C1910" t="s">
        <v>2670</v>
      </c>
      <c r="D1910" t="s">
        <v>159</v>
      </c>
      <c r="E1910" t="s">
        <v>159</v>
      </c>
      <c r="F1910">
        <v>7824</v>
      </c>
      <c r="G1910" t="s">
        <v>2676</v>
      </c>
      <c r="H1910" t="s">
        <v>2664</v>
      </c>
      <c r="I1910">
        <v>3790.0764947500002</v>
      </c>
      <c r="J1910">
        <v>3790.0764947500002</v>
      </c>
      <c r="K1910">
        <v>3790.0764947500002</v>
      </c>
      <c r="L1910">
        <v>3790.0764947500002</v>
      </c>
      <c r="M1910">
        <v>3790.0764947500002</v>
      </c>
      <c r="N1910" t="s">
        <v>988</v>
      </c>
    </row>
    <row r="1911" spans="1:14" hidden="1" x14ac:dyDescent="0.3">
      <c r="A1911">
        <v>1210</v>
      </c>
      <c r="B1911" t="s">
        <v>1595</v>
      </c>
      <c r="C1911" t="s">
        <v>2670</v>
      </c>
      <c r="D1911" t="s">
        <v>159</v>
      </c>
      <c r="E1911" t="s">
        <v>159</v>
      </c>
      <c r="F1911">
        <v>7824</v>
      </c>
      <c r="G1911" t="s">
        <v>2672</v>
      </c>
      <c r="H1911" t="s">
        <v>2665</v>
      </c>
      <c r="N1911" t="s">
        <v>988</v>
      </c>
    </row>
    <row r="1912" spans="1:14" hidden="1" x14ac:dyDescent="0.3">
      <c r="A1912">
        <v>1210</v>
      </c>
      <c r="B1912" t="s">
        <v>1595</v>
      </c>
      <c r="C1912" t="s">
        <v>2670</v>
      </c>
      <c r="D1912" t="s">
        <v>159</v>
      </c>
      <c r="E1912" t="s">
        <v>159</v>
      </c>
      <c r="F1912">
        <v>7824</v>
      </c>
      <c r="G1912" t="s">
        <v>2672</v>
      </c>
      <c r="H1912" t="s">
        <v>2664</v>
      </c>
      <c r="N1912" t="s">
        <v>988</v>
      </c>
    </row>
    <row r="1913" spans="1:14" hidden="1" x14ac:dyDescent="0.3">
      <c r="A1913">
        <v>1210</v>
      </c>
      <c r="B1913" t="s">
        <v>1595</v>
      </c>
      <c r="C1913" t="s">
        <v>2670</v>
      </c>
      <c r="D1913" t="s">
        <v>159</v>
      </c>
      <c r="E1913" t="s">
        <v>159</v>
      </c>
      <c r="F1913">
        <v>7824</v>
      </c>
      <c r="G1913" t="s">
        <v>2671</v>
      </c>
      <c r="H1913" t="s">
        <v>2665</v>
      </c>
      <c r="I1913">
        <v>2240.2881305000001</v>
      </c>
      <c r="J1913">
        <v>2301.6658874999998</v>
      </c>
      <c r="K1913">
        <v>2372.2503080500001</v>
      </c>
      <c r="L1913">
        <v>2442.8347285999998</v>
      </c>
      <c r="M1913">
        <v>2507.28137345</v>
      </c>
      <c r="N1913" t="s">
        <v>988</v>
      </c>
    </row>
    <row r="1914" spans="1:14" hidden="1" x14ac:dyDescent="0.3">
      <c r="A1914">
        <v>1210</v>
      </c>
      <c r="B1914" t="s">
        <v>1595</v>
      </c>
      <c r="C1914" t="s">
        <v>2670</v>
      </c>
      <c r="D1914" t="s">
        <v>159</v>
      </c>
      <c r="E1914" t="s">
        <v>159</v>
      </c>
      <c r="F1914">
        <v>7824</v>
      </c>
      <c r="G1914" t="s">
        <v>2671</v>
      </c>
      <c r="H1914" t="s">
        <v>2664</v>
      </c>
      <c r="I1914">
        <v>3790.0764947500002</v>
      </c>
      <c r="J1914">
        <v>3790.0764947500002</v>
      </c>
      <c r="K1914">
        <v>3790.0764947500002</v>
      </c>
      <c r="L1914">
        <v>3790.0764947500002</v>
      </c>
      <c r="M1914">
        <v>3790.0764947500002</v>
      </c>
      <c r="N1914" t="s">
        <v>988</v>
      </c>
    </row>
    <row r="1915" spans="1:14" hidden="1" x14ac:dyDescent="0.3">
      <c r="A1915">
        <v>1210</v>
      </c>
      <c r="B1915" t="s">
        <v>1595</v>
      </c>
      <c r="C1915" t="s">
        <v>2670</v>
      </c>
      <c r="D1915" t="s">
        <v>159</v>
      </c>
      <c r="E1915" t="s">
        <v>159</v>
      </c>
      <c r="F1915">
        <v>7824</v>
      </c>
      <c r="G1915" t="s">
        <v>2673</v>
      </c>
      <c r="H1915" t="s">
        <v>2665</v>
      </c>
      <c r="I1915">
        <v>2240.2881305000001</v>
      </c>
      <c r="J1915">
        <v>2301.6658874999998</v>
      </c>
      <c r="K1915">
        <v>2372.2503080500001</v>
      </c>
      <c r="L1915">
        <v>2442.8347285999998</v>
      </c>
      <c r="M1915">
        <v>2507.28137345</v>
      </c>
      <c r="N1915" t="s">
        <v>988</v>
      </c>
    </row>
    <row r="1916" spans="1:14" hidden="1" x14ac:dyDescent="0.3">
      <c r="A1916">
        <v>1210</v>
      </c>
      <c r="B1916" t="s">
        <v>1595</v>
      </c>
      <c r="C1916" t="s">
        <v>2670</v>
      </c>
      <c r="D1916" t="s">
        <v>159</v>
      </c>
      <c r="E1916" t="s">
        <v>159</v>
      </c>
      <c r="F1916">
        <v>7824</v>
      </c>
      <c r="G1916" t="s">
        <v>2673</v>
      </c>
      <c r="H1916" t="s">
        <v>2664</v>
      </c>
      <c r="I1916">
        <v>3790.0764947500002</v>
      </c>
      <c r="J1916">
        <v>3790.0764947500002</v>
      </c>
      <c r="K1916">
        <v>3790.0764947500002</v>
      </c>
      <c r="L1916">
        <v>3790.0764947500002</v>
      </c>
      <c r="M1916">
        <v>3790.0764947500002</v>
      </c>
      <c r="N1916" t="s">
        <v>988</v>
      </c>
    </row>
    <row r="1917" spans="1:14" hidden="1" x14ac:dyDescent="0.3">
      <c r="A1917">
        <v>1210</v>
      </c>
      <c r="B1917" t="s">
        <v>1595</v>
      </c>
      <c r="C1917" t="s">
        <v>2670</v>
      </c>
      <c r="D1917" t="s">
        <v>159</v>
      </c>
      <c r="E1917" t="s">
        <v>159</v>
      </c>
      <c r="F1917">
        <v>7824</v>
      </c>
      <c r="G1917" t="s">
        <v>2674</v>
      </c>
      <c r="H1917" t="s">
        <v>2665</v>
      </c>
      <c r="I1917">
        <v>2240.2881305000001</v>
      </c>
      <c r="J1917">
        <v>2301.6658874999998</v>
      </c>
      <c r="K1917">
        <v>2372.2503080500001</v>
      </c>
      <c r="L1917">
        <v>2442.8347285999998</v>
      </c>
      <c r="M1917">
        <v>2507.28137345</v>
      </c>
      <c r="N1917" t="s">
        <v>988</v>
      </c>
    </row>
    <row r="1918" spans="1:14" hidden="1" x14ac:dyDescent="0.3">
      <c r="A1918">
        <v>1210</v>
      </c>
      <c r="B1918" t="s">
        <v>1595</v>
      </c>
      <c r="C1918" t="s">
        <v>2670</v>
      </c>
      <c r="D1918" t="s">
        <v>159</v>
      </c>
      <c r="E1918" t="s">
        <v>159</v>
      </c>
      <c r="F1918">
        <v>7824</v>
      </c>
      <c r="G1918" t="s">
        <v>2674</v>
      </c>
      <c r="H1918" t="s">
        <v>2664</v>
      </c>
      <c r="I1918">
        <v>3790.0764947500002</v>
      </c>
      <c r="J1918">
        <v>3790.0764947500002</v>
      </c>
      <c r="K1918">
        <v>3790.0764947500002</v>
      </c>
      <c r="L1918">
        <v>3790.0764947500002</v>
      </c>
      <c r="M1918">
        <v>3790.0764947500002</v>
      </c>
      <c r="N1918" t="s">
        <v>988</v>
      </c>
    </row>
    <row r="1919" spans="1:14" hidden="1" x14ac:dyDescent="0.3">
      <c r="A1919">
        <v>1210</v>
      </c>
      <c r="B1919" t="s">
        <v>1595</v>
      </c>
      <c r="C1919" t="s">
        <v>2670</v>
      </c>
      <c r="D1919" t="s">
        <v>159</v>
      </c>
      <c r="E1919" t="s">
        <v>159</v>
      </c>
      <c r="F1919">
        <v>7824</v>
      </c>
      <c r="G1919" t="s">
        <v>2675</v>
      </c>
      <c r="H1919" t="s">
        <v>2665</v>
      </c>
      <c r="I1919">
        <v>2240.2881305000001</v>
      </c>
      <c r="J1919">
        <v>2301.6658874999998</v>
      </c>
      <c r="K1919">
        <v>2372.2503080500001</v>
      </c>
      <c r="L1919">
        <v>2442.8347285999998</v>
      </c>
      <c r="M1919">
        <v>2507.28137345</v>
      </c>
      <c r="N1919" t="s">
        <v>988</v>
      </c>
    </row>
    <row r="1920" spans="1:14" hidden="1" x14ac:dyDescent="0.3">
      <c r="A1920">
        <v>1210</v>
      </c>
      <c r="B1920" t="s">
        <v>1595</v>
      </c>
      <c r="C1920" t="s">
        <v>2670</v>
      </c>
      <c r="D1920" t="s">
        <v>159</v>
      </c>
      <c r="E1920" t="s">
        <v>159</v>
      </c>
      <c r="F1920">
        <v>7824</v>
      </c>
      <c r="G1920" t="s">
        <v>2676</v>
      </c>
      <c r="H1920" t="s">
        <v>2665</v>
      </c>
      <c r="I1920">
        <v>2240.2881305000001</v>
      </c>
      <c r="J1920">
        <v>2301.6658874999998</v>
      </c>
      <c r="K1920">
        <v>2372.2503080500001</v>
      </c>
      <c r="L1920">
        <v>2442.8347285999998</v>
      </c>
      <c r="M1920">
        <v>2507.28137345</v>
      </c>
      <c r="N1920" t="s">
        <v>988</v>
      </c>
    </row>
    <row r="1921" spans="1:14" hidden="1" x14ac:dyDescent="0.3">
      <c r="A1921">
        <v>1210</v>
      </c>
      <c r="B1921" t="s">
        <v>1595</v>
      </c>
      <c r="C1921" t="s">
        <v>2670</v>
      </c>
      <c r="D1921" t="s">
        <v>159</v>
      </c>
      <c r="E1921" t="s">
        <v>159</v>
      </c>
      <c r="F1921">
        <v>7824</v>
      </c>
      <c r="G1921" t="s">
        <v>2675</v>
      </c>
      <c r="H1921" t="s">
        <v>2664</v>
      </c>
      <c r="I1921">
        <v>3790.0764947500002</v>
      </c>
      <c r="J1921">
        <v>3790.0764947500002</v>
      </c>
      <c r="K1921">
        <v>3790.0764947500002</v>
      </c>
      <c r="L1921">
        <v>3790.0764947500002</v>
      </c>
      <c r="M1921">
        <v>3790.0764947500002</v>
      </c>
      <c r="N1921" t="s">
        <v>988</v>
      </c>
    </row>
    <row r="1922" spans="1:14" hidden="1" x14ac:dyDescent="0.3">
      <c r="A1922">
        <v>1215</v>
      </c>
      <c r="B1922" t="s">
        <v>1596</v>
      </c>
      <c r="C1922" t="s">
        <v>2670</v>
      </c>
      <c r="D1922" t="s">
        <v>1203</v>
      </c>
      <c r="E1922" t="s">
        <v>1204</v>
      </c>
      <c r="F1922">
        <v>5592</v>
      </c>
      <c r="G1922" t="s">
        <v>2672</v>
      </c>
      <c r="H1922" t="s">
        <v>2665</v>
      </c>
      <c r="N1922" t="s">
        <v>988</v>
      </c>
    </row>
    <row r="1923" spans="1:14" hidden="1" x14ac:dyDescent="0.3">
      <c r="A1923">
        <v>1215</v>
      </c>
      <c r="B1923" t="s">
        <v>1596</v>
      </c>
      <c r="C1923" t="s">
        <v>2670</v>
      </c>
      <c r="D1923" t="s">
        <v>1203</v>
      </c>
      <c r="E1923" t="s">
        <v>1204</v>
      </c>
      <c r="F1923">
        <v>5592</v>
      </c>
      <c r="G1923" t="s">
        <v>2672</v>
      </c>
      <c r="H1923" t="s">
        <v>2664</v>
      </c>
      <c r="N1923" t="s">
        <v>988</v>
      </c>
    </row>
    <row r="1924" spans="1:14" hidden="1" x14ac:dyDescent="0.3">
      <c r="A1924">
        <v>1215</v>
      </c>
      <c r="B1924" t="s">
        <v>1596</v>
      </c>
      <c r="C1924" t="s">
        <v>2670</v>
      </c>
      <c r="D1924" t="s">
        <v>1203</v>
      </c>
      <c r="E1924" t="s">
        <v>1204</v>
      </c>
      <c r="F1924">
        <v>5592</v>
      </c>
      <c r="G1924" t="s">
        <v>2671</v>
      </c>
      <c r="H1924" t="s">
        <v>2665</v>
      </c>
      <c r="I1924">
        <v>27983</v>
      </c>
      <c r="J1924">
        <v>28115</v>
      </c>
      <c r="K1924">
        <v>27919</v>
      </c>
      <c r="L1924">
        <v>27658</v>
      </c>
      <c r="M1924">
        <v>27617</v>
      </c>
      <c r="N1924" t="s">
        <v>988</v>
      </c>
    </row>
    <row r="1925" spans="1:14" hidden="1" x14ac:dyDescent="0.3">
      <c r="A1925">
        <v>1215</v>
      </c>
      <c r="B1925" t="s">
        <v>1596</v>
      </c>
      <c r="C1925" t="s">
        <v>2670</v>
      </c>
      <c r="D1925" t="s">
        <v>1203</v>
      </c>
      <c r="E1925" t="s">
        <v>1204</v>
      </c>
      <c r="F1925">
        <v>5592</v>
      </c>
      <c r="G1925" t="s">
        <v>2671</v>
      </c>
      <c r="H1925" t="s">
        <v>2664</v>
      </c>
      <c r="I1925">
        <v>27983</v>
      </c>
      <c r="J1925">
        <v>28115</v>
      </c>
      <c r="K1925">
        <v>27919</v>
      </c>
      <c r="L1925">
        <v>27658</v>
      </c>
      <c r="M1925">
        <v>27617</v>
      </c>
      <c r="N1925" t="s">
        <v>988</v>
      </c>
    </row>
    <row r="1926" spans="1:14" hidden="1" x14ac:dyDescent="0.3">
      <c r="A1926">
        <v>1215</v>
      </c>
      <c r="B1926" t="s">
        <v>1596</v>
      </c>
      <c r="C1926" t="s">
        <v>2670</v>
      </c>
      <c r="D1926" t="s">
        <v>1203</v>
      </c>
      <c r="E1926" t="s">
        <v>1204</v>
      </c>
      <c r="F1926">
        <v>5592</v>
      </c>
      <c r="G1926" t="s">
        <v>2673</v>
      </c>
      <c r="H1926" t="s">
        <v>2665</v>
      </c>
      <c r="I1926">
        <v>27891</v>
      </c>
      <c r="J1926">
        <v>28089</v>
      </c>
      <c r="K1926">
        <v>27958</v>
      </c>
      <c r="L1926">
        <v>27710</v>
      </c>
      <c r="M1926">
        <v>27625</v>
      </c>
      <c r="N1926" t="s">
        <v>988</v>
      </c>
    </row>
    <row r="1927" spans="1:14" hidden="1" x14ac:dyDescent="0.3">
      <c r="A1927">
        <v>1215</v>
      </c>
      <c r="B1927" t="s">
        <v>1596</v>
      </c>
      <c r="C1927" t="s">
        <v>2670</v>
      </c>
      <c r="D1927" t="s">
        <v>1203</v>
      </c>
      <c r="E1927" t="s">
        <v>1204</v>
      </c>
      <c r="F1927">
        <v>5592</v>
      </c>
      <c r="G1927" t="s">
        <v>2676</v>
      </c>
      <c r="H1927" t="s">
        <v>2664</v>
      </c>
      <c r="I1927">
        <v>27616</v>
      </c>
      <c r="J1927">
        <v>28009</v>
      </c>
      <c r="K1927">
        <v>28076</v>
      </c>
      <c r="L1927">
        <v>27867</v>
      </c>
      <c r="M1927">
        <v>27650</v>
      </c>
      <c r="N1927" t="s">
        <v>988</v>
      </c>
    </row>
    <row r="1928" spans="1:14" hidden="1" x14ac:dyDescent="0.3">
      <c r="A1928">
        <v>1215</v>
      </c>
      <c r="B1928" t="s">
        <v>1596</v>
      </c>
      <c r="C1928" t="s">
        <v>2670</v>
      </c>
      <c r="D1928" t="s">
        <v>1203</v>
      </c>
      <c r="E1928" t="s">
        <v>1204</v>
      </c>
      <c r="F1928">
        <v>5592</v>
      </c>
      <c r="G1928" t="s">
        <v>2674</v>
      </c>
      <c r="H1928" t="s">
        <v>2665</v>
      </c>
      <c r="I1928">
        <v>27799</v>
      </c>
      <c r="J1928">
        <v>28062</v>
      </c>
      <c r="K1928">
        <v>27998</v>
      </c>
      <c r="L1928">
        <v>27763</v>
      </c>
      <c r="M1928">
        <v>27634</v>
      </c>
      <c r="N1928" t="s">
        <v>988</v>
      </c>
    </row>
    <row r="1929" spans="1:14" hidden="1" x14ac:dyDescent="0.3">
      <c r="A1929">
        <v>1215</v>
      </c>
      <c r="B1929" t="s">
        <v>1596</v>
      </c>
      <c r="C1929" t="s">
        <v>2670</v>
      </c>
      <c r="D1929" t="s">
        <v>1203</v>
      </c>
      <c r="E1929" t="s">
        <v>1204</v>
      </c>
      <c r="F1929">
        <v>5592</v>
      </c>
      <c r="G1929" t="s">
        <v>2674</v>
      </c>
      <c r="H1929" t="s">
        <v>2664</v>
      </c>
      <c r="I1929">
        <v>27799</v>
      </c>
      <c r="J1929">
        <v>28062</v>
      </c>
      <c r="K1929">
        <v>27998</v>
      </c>
      <c r="L1929">
        <v>27763</v>
      </c>
      <c r="M1929">
        <v>27634</v>
      </c>
      <c r="N1929" t="s">
        <v>988</v>
      </c>
    </row>
    <row r="1930" spans="1:14" hidden="1" x14ac:dyDescent="0.3">
      <c r="A1930">
        <v>1215</v>
      </c>
      <c r="B1930" t="s">
        <v>1596</v>
      </c>
      <c r="C1930" t="s">
        <v>2670</v>
      </c>
      <c r="D1930" t="s">
        <v>1203</v>
      </c>
      <c r="E1930" t="s">
        <v>1204</v>
      </c>
      <c r="F1930">
        <v>5592</v>
      </c>
      <c r="G1930" t="s">
        <v>2675</v>
      </c>
      <c r="H1930" t="s">
        <v>2665</v>
      </c>
      <c r="I1930">
        <v>27708</v>
      </c>
      <c r="J1930">
        <v>28036</v>
      </c>
      <c r="K1930">
        <v>28037</v>
      </c>
      <c r="L1930">
        <v>27815</v>
      </c>
      <c r="M1930">
        <v>27642</v>
      </c>
      <c r="N1930" t="s">
        <v>988</v>
      </c>
    </row>
    <row r="1931" spans="1:14" hidden="1" x14ac:dyDescent="0.3">
      <c r="A1931">
        <v>1215</v>
      </c>
      <c r="B1931" t="s">
        <v>1596</v>
      </c>
      <c r="C1931" t="s">
        <v>2670</v>
      </c>
      <c r="D1931" t="s">
        <v>1203</v>
      </c>
      <c r="E1931" t="s">
        <v>1204</v>
      </c>
      <c r="F1931">
        <v>5592</v>
      </c>
      <c r="G1931" t="s">
        <v>2675</v>
      </c>
      <c r="H1931" t="s">
        <v>2664</v>
      </c>
      <c r="I1931">
        <v>27708</v>
      </c>
      <c r="J1931">
        <v>28036</v>
      </c>
      <c r="K1931">
        <v>28037</v>
      </c>
      <c r="L1931">
        <v>27815</v>
      </c>
      <c r="M1931">
        <v>27642</v>
      </c>
      <c r="N1931" t="s">
        <v>988</v>
      </c>
    </row>
    <row r="1932" spans="1:14" hidden="1" x14ac:dyDescent="0.3">
      <c r="A1932">
        <v>1215</v>
      </c>
      <c r="B1932" t="s">
        <v>1596</v>
      </c>
      <c r="C1932" t="s">
        <v>2670</v>
      </c>
      <c r="D1932" t="s">
        <v>1203</v>
      </c>
      <c r="E1932" t="s">
        <v>1204</v>
      </c>
      <c r="F1932">
        <v>5592</v>
      </c>
      <c r="G1932" t="s">
        <v>2676</v>
      </c>
      <c r="H1932" t="s">
        <v>2665</v>
      </c>
      <c r="I1932">
        <v>27616</v>
      </c>
      <c r="J1932">
        <v>28009</v>
      </c>
      <c r="K1932">
        <v>28076</v>
      </c>
      <c r="L1932">
        <v>27867</v>
      </c>
      <c r="M1932">
        <v>27650</v>
      </c>
      <c r="N1932" t="s">
        <v>988</v>
      </c>
    </row>
    <row r="1933" spans="1:14" hidden="1" x14ac:dyDescent="0.3">
      <c r="A1933">
        <v>1215</v>
      </c>
      <c r="B1933" t="s">
        <v>1596</v>
      </c>
      <c r="C1933" t="s">
        <v>2670</v>
      </c>
      <c r="D1933" t="s">
        <v>1203</v>
      </c>
      <c r="E1933" t="s">
        <v>1204</v>
      </c>
      <c r="F1933">
        <v>5592</v>
      </c>
      <c r="G1933" t="s">
        <v>2673</v>
      </c>
      <c r="H1933" t="s">
        <v>2664</v>
      </c>
      <c r="I1933">
        <v>27891</v>
      </c>
      <c r="J1933">
        <v>28089</v>
      </c>
      <c r="K1933">
        <v>27958</v>
      </c>
      <c r="L1933">
        <v>27710</v>
      </c>
      <c r="M1933">
        <v>27625</v>
      </c>
      <c r="N1933" t="s">
        <v>988</v>
      </c>
    </row>
    <row r="1934" spans="1:14" hidden="1" x14ac:dyDescent="0.3">
      <c r="A1934">
        <v>1217</v>
      </c>
      <c r="B1934" t="s">
        <v>1598</v>
      </c>
      <c r="C1934" t="s">
        <v>2670</v>
      </c>
      <c r="D1934" t="s">
        <v>1203</v>
      </c>
      <c r="E1934" t="s">
        <v>1204</v>
      </c>
      <c r="F1934">
        <v>5609</v>
      </c>
      <c r="G1934" t="s">
        <v>2674</v>
      </c>
      <c r="H1934" t="s">
        <v>2664</v>
      </c>
      <c r="I1934">
        <v>5100</v>
      </c>
      <c r="J1934">
        <v>5100</v>
      </c>
      <c r="K1934">
        <v>5100</v>
      </c>
      <c r="L1934">
        <v>5100</v>
      </c>
      <c r="M1934">
        <v>5100</v>
      </c>
      <c r="N1934" t="s">
        <v>988</v>
      </c>
    </row>
    <row r="1935" spans="1:14" hidden="1" x14ac:dyDescent="0.3">
      <c r="A1935">
        <v>1217</v>
      </c>
      <c r="B1935" t="s">
        <v>1598</v>
      </c>
      <c r="C1935" t="s">
        <v>2670</v>
      </c>
      <c r="D1935" t="s">
        <v>1203</v>
      </c>
      <c r="E1935" t="s">
        <v>1204</v>
      </c>
      <c r="F1935">
        <v>5609</v>
      </c>
      <c r="G1935" t="s">
        <v>2674</v>
      </c>
      <c r="H1935" t="s">
        <v>2665</v>
      </c>
      <c r="I1935">
        <v>4510</v>
      </c>
      <c r="J1935">
        <v>4451</v>
      </c>
      <c r="K1935">
        <v>4392</v>
      </c>
      <c r="L1935">
        <v>4332</v>
      </c>
      <c r="M1935">
        <v>4292</v>
      </c>
      <c r="N1935" t="s">
        <v>988</v>
      </c>
    </row>
    <row r="1936" spans="1:14" hidden="1" x14ac:dyDescent="0.3">
      <c r="A1936">
        <v>1217</v>
      </c>
      <c r="B1936" t="s">
        <v>1598</v>
      </c>
      <c r="C1936" t="s">
        <v>2670</v>
      </c>
      <c r="D1936" t="s">
        <v>1203</v>
      </c>
      <c r="E1936" t="s">
        <v>1204</v>
      </c>
      <c r="F1936">
        <v>5609</v>
      </c>
      <c r="G1936" t="s">
        <v>2673</v>
      </c>
      <c r="H1936" t="s">
        <v>2664</v>
      </c>
      <c r="I1936">
        <v>5100</v>
      </c>
      <c r="J1936">
        <v>5100</v>
      </c>
      <c r="K1936">
        <v>5100</v>
      </c>
      <c r="L1936">
        <v>5100</v>
      </c>
      <c r="M1936">
        <v>5100</v>
      </c>
      <c r="N1936" t="s">
        <v>988</v>
      </c>
    </row>
    <row r="1937" spans="1:14" hidden="1" x14ac:dyDescent="0.3">
      <c r="A1937">
        <v>1217</v>
      </c>
      <c r="B1937" t="s">
        <v>1598</v>
      </c>
      <c r="C1937" t="s">
        <v>2670</v>
      </c>
      <c r="D1937" t="s">
        <v>1203</v>
      </c>
      <c r="E1937" t="s">
        <v>1204</v>
      </c>
      <c r="F1937">
        <v>5609</v>
      </c>
      <c r="G1937" t="s">
        <v>2673</v>
      </c>
      <c r="H1937" t="s">
        <v>2665</v>
      </c>
      <c r="I1937">
        <v>4499</v>
      </c>
      <c r="J1937">
        <v>4440</v>
      </c>
      <c r="K1937">
        <v>4381</v>
      </c>
      <c r="L1937">
        <v>4331</v>
      </c>
      <c r="M1937">
        <v>4282</v>
      </c>
      <c r="N1937" t="s">
        <v>988</v>
      </c>
    </row>
    <row r="1938" spans="1:14" hidden="1" x14ac:dyDescent="0.3">
      <c r="A1938">
        <v>1217</v>
      </c>
      <c r="B1938" t="s">
        <v>1598</v>
      </c>
      <c r="C1938" t="s">
        <v>2670</v>
      </c>
      <c r="D1938" t="s">
        <v>1203</v>
      </c>
      <c r="E1938" t="s">
        <v>1204</v>
      </c>
      <c r="F1938">
        <v>5609</v>
      </c>
      <c r="G1938" t="s">
        <v>2671</v>
      </c>
      <c r="H1938" t="s">
        <v>2664</v>
      </c>
      <c r="I1938">
        <v>5100</v>
      </c>
      <c r="J1938">
        <v>5100</v>
      </c>
      <c r="K1938">
        <v>5100</v>
      </c>
      <c r="L1938">
        <v>5100</v>
      </c>
      <c r="M1938">
        <v>5100</v>
      </c>
      <c r="N1938" t="s">
        <v>988</v>
      </c>
    </row>
    <row r="1939" spans="1:14" hidden="1" x14ac:dyDescent="0.3">
      <c r="A1939">
        <v>1217</v>
      </c>
      <c r="B1939" t="s">
        <v>1598</v>
      </c>
      <c r="C1939" t="s">
        <v>2670</v>
      </c>
      <c r="D1939" t="s">
        <v>1203</v>
      </c>
      <c r="E1939" t="s">
        <v>1204</v>
      </c>
      <c r="F1939">
        <v>5609</v>
      </c>
      <c r="G1939" t="s">
        <v>2671</v>
      </c>
      <c r="H1939" t="s">
        <v>2665</v>
      </c>
      <c r="I1939">
        <v>4477</v>
      </c>
      <c r="J1939">
        <v>4431</v>
      </c>
      <c r="K1939">
        <v>4382</v>
      </c>
      <c r="L1939">
        <v>4330</v>
      </c>
      <c r="M1939">
        <v>4277</v>
      </c>
      <c r="N1939" t="s">
        <v>988</v>
      </c>
    </row>
    <row r="1940" spans="1:14" hidden="1" x14ac:dyDescent="0.3">
      <c r="A1940">
        <v>1217</v>
      </c>
      <c r="B1940" t="s">
        <v>1598</v>
      </c>
      <c r="C1940" t="s">
        <v>2670</v>
      </c>
      <c r="D1940" t="s">
        <v>1203</v>
      </c>
      <c r="E1940" t="s">
        <v>1204</v>
      </c>
      <c r="F1940">
        <v>5609</v>
      </c>
      <c r="G1940" t="s">
        <v>2672</v>
      </c>
      <c r="H1940" t="s">
        <v>2664</v>
      </c>
      <c r="N1940" t="s">
        <v>988</v>
      </c>
    </row>
    <row r="1941" spans="1:14" hidden="1" x14ac:dyDescent="0.3">
      <c r="A1941">
        <v>1217</v>
      </c>
      <c r="B1941" t="s">
        <v>1598</v>
      </c>
      <c r="C1941" t="s">
        <v>2670</v>
      </c>
      <c r="D1941" t="s">
        <v>1203</v>
      </c>
      <c r="E1941" t="s">
        <v>1204</v>
      </c>
      <c r="F1941">
        <v>5609</v>
      </c>
      <c r="G1941" t="s">
        <v>2672</v>
      </c>
      <c r="H1941" t="s">
        <v>2665</v>
      </c>
      <c r="N1941" t="s">
        <v>988</v>
      </c>
    </row>
    <row r="1942" spans="1:14" hidden="1" x14ac:dyDescent="0.3">
      <c r="A1942">
        <v>1217</v>
      </c>
      <c r="B1942" t="s">
        <v>1598</v>
      </c>
      <c r="C1942" t="s">
        <v>2670</v>
      </c>
      <c r="D1942" t="s">
        <v>1203</v>
      </c>
      <c r="E1942" t="s">
        <v>1204</v>
      </c>
      <c r="F1942">
        <v>5609</v>
      </c>
      <c r="G1942" t="s">
        <v>2676</v>
      </c>
      <c r="H1942" t="s">
        <v>2664</v>
      </c>
      <c r="I1942">
        <v>5100</v>
      </c>
      <c r="J1942">
        <v>5100</v>
      </c>
      <c r="K1942">
        <v>5100</v>
      </c>
      <c r="L1942">
        <v>5100</v>
      </c>
      <c r="M1942">
        <v>5100</v>
      </c>
      <c r="N1942" t="s">
        <v>988</v>
      </c>
    </row>
    <row r="1943" spans="1:14" hidden="1" x14ac:dyDescent="0.3">
      <c r="A1943">
        <v>1217</v>
      </c>
      <c r="B1943" t="s">
        <v>1598</v>
      </c>
      <c r="C1943" t="s">
        <v>2670</v>
      </c>
      <c r="D1943" t="s">
        <v>1203</v>
      </c>
      <c r="E1943" t="s">
        <v>1204</v>
      </c>
      <c r="F1943">
        <v>5609</v>
      </c>
      <c r="G1943" t="s">
        <v>2676</v>
      </c>
      <c r="H1943" t="s">
        <v>2665</v>
      </c>
      <c r="I1943">
        <v>4667</v>
      </c>
      <c r="J1943">
        <v>4605</v>
      </c>
      <c r="K1943">
        <v>4544</v>
      </c>
      <c r="L1943">
        <v>4482</v>
      </c>
      <c r="M1943">
        <v>4441</v>
      </c>
      <c r="N1943" t="s">
        <v>988</v>
      </c>
    </row>
    <row r="1944" spans="1:14" hidden="1" x14ac:dyDescent="0.3">
      <c r="A1944">
        <v>1217</v>
      </c>
      <c r="B1944" t="s">
        <v>1598</v>
      </c>
      <c r="C1944" t="s">
        <v>2670</v>
      </c>
      <c r="D1944" t="s">
        <v>1203</v>
      </c>
      <c r="E1944" t="s">
        <v>1204</v>
      </c>
      <c r="F1944">
        <v>5609</v>
      </c>
      <c r="G1944" t="s">
        <v>2675</v>
      </c>
      <c r="H1944" t="s">
        <v>2665</v>
      </c>
      <c r="I1944">
        <v>4788</v>
      </c>
      <c r="J1944">
        <v>4725</v>
      </c>
      <c r="K1944">
        <v>4662</v>
      </c>
      <c r="L1944">
        <v>4599</v>
      </c>
      <c r="M1944">
        <v>4556</v>
      </c>
      <c r="N1944" t="s">
        <v>988</v>
      </c>
    </row>
    <row r="1945" spans="1:14" hidden="1" x14ac:dyDescent="0.3">
      <c r="A1945">
        <v>1217</v>
      </c>
      <c r="B1945" t="s">
        <v>1598</v>
      </c>
      <c r="C1945" t="s">
        <v>2670</v>
      </c>
      <c r="D1945" t="s">
        <v>1203</v>
      </c>
      <c r="E1945" t="s">
        <v>1204</v>
      </c>
      <c r="F1945">
        <v>5609</v>
      </c>
      <c r="G1945" t="s">
        <v>2675</v>
      </c>
      <c r="H1945" t="s">
        <v>2664</v>
      </c>
      <c r="I1945">
        <v>5100</v>
      </c>
      <c r="J1945">
        <v>5100</v>
      </c>
      <c r="K1945">
        <v>5100</v>
      </c>
      <c r="L1945">
        <v>5100</v>
      </c>
      <c r="M1945">
        <v>5100</v>
      </c>
      <c r="N1945" t="s">
        <v>988</v>
      </c>
    </row>
    <row r="1946" spans="1:14" hidden="1" x14ac:dyDescent="0.3">
      <c r="A1946">
        <v>1225</v>
      </c>
      <c r="B1946" t="s">
        <v>1599</v>
      </c>
      <c r="C1946" t="s">
        <v>2670</v>
      </c>
      <c r="D1946" t="s">
        <v>1203</v>
      </c>
      <c r="E1946" t="s">
        <v>1204</v>
      </c>
      <c r="F1946">
        <v>7664</v>
      </c>
      <c r="G1946" t="s">
        <v>2674</v>
      </c>
      <c r="H1946" t="s">
        <v>2665</v>
      </c>
      <c r="I1946">
        <v>3283.7099994999999</v>
      </c>
      <c r="J1946">
        <v>3587.52989665</v>
      </c>
      <c r="K1946">
        <v>3876.00535455</v>
      </c>
      <c r="L1946">
        <v>4146.0674853500004</v>
      </c>
      <c r="M1946">
        <v>4400.7851768999999</v>
      </c>
      <c r="N1946" t="s">
        <v>988</v>
      </c>
    </row>
    <row r="1947" spans="1:14" hidden="1" x14ac:dyDescent="0.3">
      <c r="A1947">
        <v>1225</v>
      </c>
      <c r="B1947" t="s">
        <v>1599</v>
      </c>
      <c r="C1947" t="s">
        <v>2670</v>
      </c>
      <c r="D1947" t="s">
        <v>1203</v>
      </c>
      <c r="E1947" t="s">
        <v>1204</v>
      </c>
      <c r="F1947">
        <v>7664</v>
      </c>
      <c r="G1947" t="s">
        <v>2674</v>
      </c>
      <c r="H1947" t="s">
        <v>2664</v>
      </c>
      <c r="I1947">
        <v>3283.7099994999999</v>
      </c>
      <c r="J1947">
        <v>3587.52989665</v>
      </c>
      <c r="K1947">
        <v>3876.00535455</v>
      </c>
      <c r="L1947">
        <v>4146.0674853500004</v>
      </c>
      <c r="M1947">
        <v>4400.7851768999999</v>
      </c>
      <c r="N1947" t="s">
        <v>988</v>
      </c>
    </row>
    <row r="1948" spans="1:14" hidden="1" x14ac:dyDescent="0.3">
      <c r="A1948">
        <v>1225</v>
      </c>
      <c r="B1948" t="s">
        <v>1599</v>
      </c>
      <c r="C1948" t="s">
        <v>2670</v>
      </c>
      <c r="D1948" t="s">
        <v>1203</v>
      </c>
      <c r="E1948" t="s">
        <v>1204</v>
      </c>
      <c r="F1948">
        <v>7664</v>
      </c>
      <c r="G1948" t="s">
        <v>2675</v>
      </c>
      <c r="H1948" t="s">
        <v>2665</v>
      </c>
      <c r="I1948">
        <v>3470.91215835</v>
      </c>
      <c r="J1948">
        <v>3805.4209340000002</v>
      </c>
      <c r="K1948">
        <v>4118.4474946999999</v>
      </c>
      <c r="L1948">
        <v>4416.1296161500004</v>
      </c>
      <c r="M1948">
        <v>4692.3295226500004</v>
      </c>
      <c r="N1948" t="s">
        <v>988</v>
      </c>
    </row>
    <row r="1949" spans="1:14" hidden="1" x14ac:dyDescent="0.3">
      <c r="A1949">
        <v>1225</v>
      </c>
      <c r="B1949" t="s">
        <v>1599</v>
      </c>
      <c r="C1949" t="s">
        <v>2670</v>
      </c>
      <c r="D1949" t="s">
        <v>1203</v>
      </c>
      <c r="E1949" t="s">
        <v>1204</v>
      </c>
      <c r="F1949">
        <v>7664</v>
      </c>
      <c r="G1949" t="s">
        <v>2675</v>
      </c>
      <c r="H1949" t="s">
        <v>2664</v>
      </c>
      <c r="I1949">
        <v>3470.91215835</v>
      </c>
      <c r="J1949">
        <v>3805.4209340000002</v>
      </c>
      <c r="K1949">
        <v>4118.4474946999999</v>
      </c>
      <c r="L1949">
        <v>4416.1296161500004</v>
      </c>
      <c r="M1949">
        <v>4692.3295226500004</v>
      </c>
      <c r="N1949" t="s">
        <v>988</v>
      </c>
    </row>
    <row r="1950" spans="1:14" hidden="1" x14ac:dyDescent="0.3">
      <c r="A1950">
        <v>1225</v>
      </c>
      <c r="B1950" t="s">
        <v>1599</v>
      </c>
      <c r="C1950" t="s">
        <v>2670</v>
      </c>
      <c r="D1950" t="s">
        <v>1203</v>
      </c>
      <c r="E1950" t="s">
        <v>1204</v>
      </c>
      <c r="F1950">
        <v>7664</v>
      </c>
      <c r="G1950" t="s">
        <v>2676</v>
      </c>
      <c r="H1950" t="s">
        <v>2665</v>
      </c>
      <c r="I1950">
        <v>3249.9522331500002</v>
      </c>
      <c r="J1950">
        <v>3569.1165695499999</v>
      </c>
      <c r="K1950">
        <v>3872.9364667</v>
      </c>
      <c r="L1950">
        <v>4158.3430367499996</v>
      </c>
      <c r="M1950">
        <v>4428.4051675500004</v>
      </c>
      <c r="N1950" t="s">
        <v>988</v>
      </c>
    </row>
    <row r="1951" spans="1:14" hidden="1" x14ac:dyDescent="0.3">
      <c r="A1951">
        <v>1225</v>
      </c>
      <c r="B1951" t="s">
        <v>1599</v>
      </c>
      <c r="C1951" t="s">
        <v>2670</v>
      </c>
      <c r="D1951" t="s">
        <v>1203</v>
      </c>
      <c r="E1951" t="s">
        <v>1204</v>
      </c>
      <c r="F1951">
        <v>7664</v>
      </c>
      <c r="G1951" t="s">
        <v>2676</v>
      </c>
      <c r="H1951" t="s">
        <v>2664</v>
      </c>
      <c r="I1951">
        <v>3249.9522331500002</v>
      </c>
      <c r="J1951">
        <v>3569.1165695499999</v>
      </c>
      <c r="K1951">
        <v>3872.9364667</v>
      </c>
      <c r="L1951">
        <v>4158.3430367499996</v>
      </c>
      <c r="M1951">
        <v>4428.4051675500004</v>
      </c>
      <c r="N1951" t="s">
        <v>988</v>
      </c>
    </row>
    <row r="1952" spans="1:14" hidden="1" x14ac:dyDescent="0.3">
      <c r="A1952">
        <v>1225</v>
      </c>
      <c r="B1952" t="s">
        <v>1599</v>
      </c>
      <c r="C1952" t="s">
        <v>2670</v>
      </c>
      <c r="D1952" t="s">
        <v>1203</v>
      </c>
      <c r="E1952" t="s">
        <v>1204</v>
      </c>
      <c r="F1952">
        <v>7664</v>
      </c>
      <c r="G1952" t="s">
        <v>2673</v>
      </c>
      <c r="H1952" t="s">
        <v>2665</v>
      </c>
      <c r="I1952">
        <v>3345.0877565000001</v>
      </c>
      <c r="J1952">
        <v>3645.8387658000001</v>
      </c>
      <c r="K1952">
        <v>3931.2453358500002</v>
      </c>
      <c r="L1952">
        <v>4198.2385788000001</v>
      </c>
      <c r="M1952">
        <v>4452.9562703499996</v>
      </c>
      <c r="N1952" t="s">
        <v>988</v>
      </c>
    </row>
    <row r="1953" spans="1:14" hidden="1" x14ac:dyDescent="0.3">
      <c r="A1953">
        <v>1225</v>
      </c>
      <c r="B1953" t="s">
        <v>1599</v>
      </c>
      <c r="C1953" t="s">
        <v>2670</v>
      </c>
      <c r="D1953" t="s">
        <v>1203</v>
      </c>
      <c r="E1953" t="s">
        <v>1204</v>
      </c>
      <c r="F1953">
        <v>7664</v>
      </c>
      <c r="G1953" t="s">
        <v>2671</v>
      </c>
      <c r="H1953" t="s">
        <v>2664</v>
      </c>
      <c r="I1953">
        <v>3406.4655134999998</v>
      </c>
      <c r="J1953">
        <v>3704.1476349499999</v>
      </c>
      <c r="K1953">
        <v>3986.4853171499999</v>
      </c>
      <c r="L1953">
        <v>4250.4096722499999</v>
      </c>
      <c r="M1953">
        <v>4498.9895881000002</v>
      </c>
      <c r="N1953" t="s">
        <v>988</v>
      </c>
    </row>
    <row r="1954" spans="1:14" hidden="1" x14ac:dyDescent="0.3">
      <c r="A1954">
        <v>1225</v>
      </c>
      <c r="B1954" t="s">
        <v>1599</v>
      </c>
      <c r="C1954" t="s">
        <v>2670</v>
      </c>
      <c r="D1954" t="s">
        <v>1203</v>
      </c>
      <c r="E1954" t="s">
        <v>1204</v>
      </c>
      <c r="F1954">
        <v>7664</v>
      </c>
      <c r="G1954" t="s">
        <v>2671</v>
      </c>
      <c r="H1954" t="s">
        <v>2665</v>
      </c>
      <c r="I1954">
        <v>3406.4655134999998</v>
      </c>
      <c r="J1954">
        <v>3704.1476349499999</v>
      </c>
      <c r="K1954">
        <v>3986.4853171499999</v>
      </c>
      <c r="L1954">
        <v>4250.4096722499999</v>
      </c>
      <c r="M1954">
        <v>4498.9895881000002</v>
      </c>
      <c r="N1954" t="s">
        <v>988</v>
      </c>
    </row>
    <row r="1955" spans="1:14" hidden="1" x14ac:dyDescent="0.3">
      <c r="A1955">
        <v>1225</v>
      </c>
      <c r="B1955" t="s">
        <v>1599</v>
      </c>
      <c r="C1955" t="s">
        <v>2670</v>
      </c>
      <c r="D1955" t="s">
        <v>1203</v>
      </c>
      <c r="E1955" t="s">
        <v>1204</v>
      </c>
      <c r="F1955">
        <v>7664</v>
      </c>
      <c r="G1955" t="s">
        <v>2672</v>
      </c>
      <c r="H1955" t="s">
        <v>2664</v>
      </c>
      <c r="N1955" t="s">
        <v>988</v>
      </c>
    </row>
    <row r="1956" spans="1:14" hidden="1" x14ac:dyDescent="0.3">
      <c r="A1956">
        <v>1225</v>
      </c>
      <c r="B1956" t="s">
        <v>1599</v>
      </c>
      <c r="C1956" t="s">
        <v>2670</v>
      </c>
      <c r="D1956" t="s">
        <v>1203</v>
      </c>
      <c r="E1956" t="s">
        <v>1204</v>
      </c>
      <c r="F1956">
        <v>7664</v>
      </c>
      <c r="G1956" t="s">
        <v>2672</v>
      </c>
      <c r="H1956" t="s">
        <v>2665</v>
      </c>
      <c r="N1956" t="s">
        <v>988</v>
      </c>
    </row>
    <row r="1957" spans="1:14" hidden="1" x14ac:dyDescent="0.3">
      <c r="A1957">
        <v>1225</v>
      </c>
      <c r="B1957" t="s">
        <v>1599</v>
      </c>
      <c r="C1957" t="s">
        <v>2670</v>
      </c>
      <c r="D1957" t="s">
        <v>1203</v>
      </c>
      <c r="E1957" t="s">
        <v>1204</v>
      </c>
      <c r="F1957">
        <v>7664</v>
      </c>
      <c r="G1957" t="s">
        <v>2673</v>
      </c>
      <c r="H1957" t="s">
        <v>2664</v>
      </c>
      <c r="I1957">
        <v>3345.0877565000001</v>
      </c>
      <c r="J1957">
        <v>3645.8387658000001</v>
      </c>
      <c r="K1957">
        <v>3931.2453358500002</v>
      </c>
      <c r="L1957">
        <v>4198.2385788000001</v>
      </c>
      <c r="M1957">
        <v>4452.9562703499996</v>
      </c>
      <c r="N1957" t="s">
        <v>988</v>
      </c>
    </row>
    <row r="1958" spans="1:14" hidden="1" x14ac:dyDescent="0.3">
      <c r="A1958">
        <v>1234</v>
      </c>
      <c r="B1958" t="s">
        <v>1600</v>
      </c>
      <c r="C1958" t="s">
        <v>2670</v>
      </c>
      <c r="D1958" t="s">
        <v>1203</v>
      </c>
      <c r="E1958" t="s">
        <v>1204</v>
      </c>
      <c r="F1958">
        <v>5993</v>
      </c>
      <c r="G1958" t="s">
        <v>2671</v>
      </c>
      <c r="H1958" t="s">
        <v>2664</v>
      </c>
      <c r="I1958">
        <v>20000</v>
      </c>
      <c r="J1958">
        <v>20000</v>
      </c>
      <c r="K1958">
        <v>20000</v>
      </c>
      <c r="L1958">
        <v>20000</v>
      </c>
      <c r="M1958">
        <v>20000</v>
      </c>
      <c r="N1958" t="s">
        <v>988</v>
      </c>
    </row>
    <row r="1959" spans="1:14" hidden="1" x14ac:dyDescent="0.3">
      <c r="A1959">
        <v>1234</v>
      </c>
      <c r="B1959" t="s">
        <v>1600</v>
      </c>
      <c r="C1959" t="s">
        <v>2670</v>
      </c>
      <c r="D1959" t="s">
        <v>1203</v>
      </c>
      <c r="E1959" t="s">
        <v>1204</v>
      </c>
      <c r="F1959">
        <v>5993</v>
      </c>
      <c r="G1959" t="s">
        <v>2671</v>
      </c>
      <c r="H1959" t="s">
        <v>2665</v>
      </c>
      <c r="I1959">
        <v>6930</v>
      </c>
      <c r="J1959">
        <v>7130</v>
      </c>
      <c r="K1959">
        <v>7690</v>
      </c>
      <c r="L1959">
        <v>7830</v>
      </c>
      <c r="M1959">
        <v>8050</v>
      </c>
      <c r="N1959" t="s">
        <v>988</v>
      </c>
    </row>
    <row r="1960" spans="1:14" hidden="1" x14ac:dyDescent="0.3">
      <c r="A1960">
        <v>1234</v>
      </c>
      <c r="B1960" t="s">
        <v>1600</v>
      </c>
      <c r="C1960" t="s">
        <v>2670</v>
      </c>
      <c r="D1960" t="s">
        <v>1203</v>
      </c>
      <c r="E1960" t="s">
        <v>1204</v>
      </c>
      <c r="F1960">
        <v>5993</v>
      </c>
      <c r="G1960" t="s">
        <v>2672</v>
      </c>
      <c r="H1960" t="s">
        <v>2664</v>
      </c>
      <c r="N1960" t="s">
        <v>988</v>
      </c>
    </row>
    <row r="1961" spans="1:14" hidden="1" x14ac:dyDescent="0.3">
      <c r="A1961">
        <v>1234</v>
      </c>
      <c r="B1961" t="s">
        <v>1600</v>
      </c>
      <c r="C1961" t="s">
        <v>2670</v>
      </c>
      <c r="D1961" t="s">
        <v>1203</v>
      </c>
      <c r="E1961" t="s">
        <v>1204</v>
      </c>
      <c r="F1961">
        <v>5993</v>
      </c>
      <c r="G1961" t="s">
        <v>2672</v>
      </c>
      <c r="H1961" t="s">
        <v>2665</v>
      </c>
      <c r="N1961" t="s">
        <v>988</v>
      </c>
    </row>
    <row r="1962" spans="1:14" hidden="1" x14ac:dyDescent="0.3">
      <c r="A1962">
        <v>1234</v>
      </c>
      <c r="B1962" t="s">
        <v>1600</v>
      </c>
      <c r="C1962" t="s">
        <v>2670</v>
      </c>
      <c r="D1962" t="s">
        <v>1203</v>
      </c>
      <c r="E1962" t="s">
        <v>1204</v>
      </c>
      <c r="F1962">
        <v>5993</v>
      </c>
      <c r="G1962" t="s">
        <v>2676</v>
      </c>
      <c r="H1962" t="s">
        <v>2664</v>
      </c>
      <c r="I1962">
        <v>20000</v>
      </c>
      <c r="J1962">
        <v>20000</v>
      </c>
      <c r="K1962">
        <v>20000</v>
      </c>
      <c r="L1962">
        <v>20000</v>
      </c>
      <c r="M1962">
        <v>20000</v>
      </c>
      <c r="N1962" t="s">
        <v>988</v>
      </c>
    </row>
    <row r="1963" spans="1:14" hidden="1" x14ac:dyDescent="0.3">
      <c r="A1963">
        <v>1234</v>
      </c>
      <c r="B1963" t="s">
        <v>1600</v>
      </c>
      <c r="C1963" t="s">
        <v>2670</v>
      </c>
      <c r="D1963" t="s">
        <v>1203</v>
      </c>
      <c r="E1963" t="s">
        <v>1204</v>
      </c>
      <c r="F1963">
        <v>5993</v>
      </c>
      <c r="G1963" t="s">
        <v>2673</v>
      </c>
      <c r="H1963" t="s">
        <v>2665</v>
      </c>
      <c r="I1963">
        <v>6930</v>
      </c>
      <c r="J1963">
        <v>7130</v>
      </c>
      <c r="K1963">
        <v>7690</v>
      </c>
      <c r="L1963">
        <v>7830</v>
      </c>
      <c r="M1963">
        <v>8050</v>
      </c>
      <c r="N1963" t="s">
        <v>988</v>
      </c>
    </row>
    <row r="1964" spans="1:14" hidden="1" x14ac:dyDescent="0.3">
      <c r="A1964">
        <v>1234</v>
      </c>
      <c r="B1964" t="s">
        <v>1600</v>
      </c>
      <c r="C1964" t="s">
        <v>2670</v>
      </c>
      <c r="D1964" t="s">
        <v>1203</v>
      </c>
      <c r="E1964" t="s">
        <v>1204</v>
      </c>
      <c r="F1964">
        <v>5993</v>
      </c>
      <c r="G1964" t="s">
        <v>2676</v>
      </c>
      <c r="H1964" t="s">
        <v>2665</v>
      </c>
      <c r="I1964">
        <v>6930</v>
      </c>
      <c r="J1964">
        <v>7130</v>
      </c>
      <c r="K1964">
        <v>7690</v>
      </c>
      <c r="L1964">
        <v>7830</v>
      </c>
      <c r="M1964">
        <v>8050</v>
      </c>
      <c r="N1964" t="s">
        <v>988</v>
      </c>
    </row>
    <row r="1965" spans="1:14" hidden="1" x14ac:dyDescent="0.3">
      <c r="A1965">
        <v>1234</v>
      </c>
      <c r="B1965" t="s">
        <v>1600</v>
      </c>
      <c r="C1965" t="s">
        <v>2670</v>
      </c>
      <c r="D1965" t="s">
        <v>1203</v>
      </c>
      <c r="E1965" t="s">
        <v>1204</v>
      </c>
      <c r="F1965">
        <v>5993</v>
      </c>
      <c r="G1965" t="s">
        <v>2675</v>
      </c>
      <c r="H1965" t="s">
        <v>2664</v>
      </c>
      <c r="I1965">
        <v>20000</v>
      </c>
      <c r="J1965">
        <v>20000</v>
      </c>
      <c r="K1965">
        <v>20000</v>
      </c>
      <c r="L1965">
        <v>20000</v>
      </c>
      <c r="M1965">
        <v>20000</v>
      </c>
      <c r="N1965" t="s">
        <v>988</v>
      </c>
    </row>
    <row r="1966" spans="1:14" hidden="1" x14ac:dyDescent="0.3">
      <c r="A1966">
        <v>1234</v>
      </c>
      <c r="B1966" t="s">
        <v>1600</v>
      </c>
      <c r="C1966" t="s">
        <v>2670</v>
      </c>
      <c r="D1966" t="s">
        <v>1203</v>
      </c>
      <c r="E1966" t="s">
        <v>1204</v>
      </c>
      <c r="F1966">
        <v>5993</v>
      </c>
      <c r="G1966" t="s">
        <v>2675</v>
      </c>
      <c r="H1966" t="s">
        <v>2665</v>
      </c>
      <c r="I1966">
        <v>6930</v>
      </c>
      <c r="J1966">
        <v>7130</v>
      </c>
      <c r="K1966">
        <v>7690</v>
      </c>
      <c r="L1966">
        <v>7830</v>
      </c>
      <c r="M1966">
        <v>8050</v>
      </c>
      <c r="N1966" t="s">
        <v>988</v>
      </c>
    </row>
    <row r="1967" spans="1:14" hidden="1" x14ac:dyDescent="0.3">
      <c r="A1967">
        <v>1234</v>
      </c>
      <c r="B1967" t="s">
        <v>1600</v>
      </c>
      <c r="C1967" t="s">
        <v>2670</v>
      </c>
      <c r="D1967" t="s">
        <v>1203</v>
      </c>
      <c r="E1967" t="s">
        <v>1204</v>
      </c>
      <c r="F1967">
        <v>5993</v>
      </c>
      <c r="G1967" t="s">
        <v>2674</v>
      </c>
      <c r="H1967" t="s">
        <v>2664</v>
      </c>
      <c r="I1967">
        <v>20000</v>
      </c>
      <c r="J1967">
        <v>20000</v>
      </c>
      <c r="K1967">
        <v>20000</v>
      </c>
      <c r="L1967">
        <v>20000</v>
      </c>
      <c r="M1967">
        <v>20000</v>
      </c>
      <c r="N1967" t="s">
        <v>988</v>
      </c>
    </row>
    <row r="1968" spans="1:14" hidden="1" x14ac:dyDescent="0.3">
      <c r="A1968">
        <v>1234</v>
      </c>
      <c r="B1968" t="s">
        <v>1600</v>
      </c>
      <c r="C1968" t="s">
        <v>2670</v>
      </c>
      <c r="D1968" t="s">
        <v>1203</v>
      </c>
      <c r="E1968" t="s">
        <v>1204</v>
      </c>
      <c r="F1968">
        <v>5993</v>
      </c>
      <c r="G1968" t="s">
        <v>2674</v>
      </c>
      <c r="H1968" t="s">
        <v>2665</v>
      </c>
      <c r="I1968">
        <v>6930</v>
      </c>
      <c r="J1968">
        <v>7130</v>
      </c>
      <c r="K1968">
        <v>7690</v>
      </c>
      <c r="L1968">
        <v>7830</v>
      </c>
      <c r="M1968">
        <v>8050</v>
      </c>
      <c r="N1968" t="s">
        <v>988</v>
      </c>
    </row>
    <row r="1969" spans="1:14" hidden="1" x14ac:dyDescent="0.3">
      <c r="A1969">
        <v>1234</v>
      </c>
      <c r="B1969" t="s">
        <v>1600</v>
      </c>
      <c r="C1969" t="s">
        <v>2670</v>
      </c>
      <c r="D1969" t="s">
        <v>1203</v>
      </c>
      <c r="E1969" t="s">
        <v>1204</v>
      </c>
      <c r="F1969">
        <v>5993</v>
      </c>
      <c r="G1969" t="s">
        <v>2673</v>
      </c>
      <c r="H1969" t="s">
        <v>2664</v>
      </c>
      <c r="I1969">
        <v>20000</v>
      </c>
      <c r="J1969">
        <v>20000</v>
      </c>
      <c r="K1969">
        <v>20000</v>
      </c>
      <c r="L1969">
        <v>20000</v>
      </c>
      <c r="M1969">
        <v>20000</v>
      </c>
      <c r="N1969" t="s">
        <v>988</v>
      </c>
    </row>
    <row r="1970" spans="1:14" hidden="1" x14ac:dyDescent="0.3">
      <c r="A1970">
        <v>1236</v>
      </c>
      <c r="B1970" t="s">
        <v>1603</v>
      </c>
      <c r="C1970" t="s">
        <v>2670</v>
      </c>
      <c r="D1970" t="s">
        <v>1203</v>
      </c>
      <c r="E1970" t="s">
        <v>1204</v>
      </c>
      <c r="F1970">
        <v>5698</v>
      </c>
      <c r="G1970" t="s">
        <v>2672</v>
      </c>
      <c r="H1970" t="s">
        <v>2665</v>
      </c>
      <c r="N1970" t="s">
        <v>988</v>
      </c>
    </row>
    <row r="1971" spans="1:14" hidden="1" x14ac:dyDescent="0.3">
      <c r="A1971">
        <v>1236</v>
      </c>
      <c r="B1971" t="s">
        <v>1603</v>
      </c>
      <c r="C1971" t="s">
        <v>2670</v>
      </c>
      <c r="D1971" t="s">
        <v>1203</v>
      </c>
      <c r="E1971" t="s">
        <v>1204</v>
      </c>
      <c r="F1971">
        <v>5698</v>
      </c>
      <c r="G1971" t="s">
        <v>2672</v>
      </c>
      <c r="H1971" t="s">
        <v>2664</v>
      </c>
      <c r="N1971" t="s">
        <v>988</v>
      </c>
    </row>
    <row r="1972" spans="1:14" hidden="1" x14ac:dyDescent="0.3">
      <c r="A1972">
        <v>1236</v>
      </c>
      <c r="B1972" t="s">
        <v>1603</v>
      </c>
      <c r="C1972" t="s">
        <v>2670</v>
      </c>
      <c r="D1972" t="s">
        <v>1203</v>
      </c>
      <c r="E1972" t="s">
        <v>1204</v>
      </c>
      <c r="F1972">
        <v>5698</v>
      </c>
      <c r="G1972" t="s">
        <v>2671</v>
      </c>
      <c r="H1972" t="s">
        <v>2665</v>
      </c>
      <c r="I1972">
        <v>24792</v>
      </c>
      <c r="J1972">
        <v>31592</v>
      </c>
      <c r="K1972">
        <v>33384</v>
      </c>
      <c r="L1972">
        <v>34738</v>
      </c>
      <c r="M1972">
        <v>35997</v>
      </c>
      <c r="N1972" t="s">
        <v>988</v>
      </c>
    </row>
    <row r="1973" spans="1:14" hidden="1" x14ac:dyDescent="0.3">
      <c r="A1973">
        <v>1236</v>
      </c>
      <c r="B1973" t="s">
        <v>1603</v>
      </c>
      <c r="C1973" t="s">
        <v>2670</v>
      </c>
      <c r="D1973" t="s">
        <v>1203</v>
      </c>
      <c r="E1973" t="s">
        <v>1204</v>
      </c>
      <c r="F1973">
        <v>5698</v>
      </c>
      <c r="G1973" t="s">
        <v>2671</v>
      </c>
      <c r="H1973" t="s">
        <v>2664</v>
      </c>
      <c r="I1973">
        <v>24792</v>
      </c>
      <c r="J1973">
        <v>31592</v>
      </c>
      <c r="K1973">
        <v>33384</v>
      </c>
      <c r="L1973">
        <v>34738</v>
      </c>
      <c r="M1973">
        <v>35997</v>
      </c>
      <c r="N1973" t="s">
        <v>988</v>
      </c>
    </row>
    <row r="1974" spans="1:14" hidden="1" x14ac:dyDescent="0.3">
      <c r="A1974">
        <v>1236</v>
      </c>
      <c r="B1974" t="s">
        <v>1603</v>
      </c>
      <c r="C1974" t="s">
        <v>2670</v>
      </c>
      <c r="D1974" t="s">
        <v>1203</v>
      </c>
      <c r="E1974" t="s">
        <v>1204</v>
      </c>
      <c r="F1974">
        <v>5698</v>
      </c>
      <c r="G1974" t="s">
        <v>2673</v>
      </c>
      <c r="H1974" t="s">
        <v>2665</v>
      </c>
      <c r="I1974">
        <v>24792</v>
      </c>
      <c r="J1974">
        <v>31592</v>
      </c>
      <c r="K1974">
        <v>33384</v>
      </c>
      <c r="L1974">
        <v>34738</v>
      </c>
      <c r="M1974">
        <v>35997</v>
      </c>
      <c r="N1974" t="s">
        <v>988</v>
      </c>
    </row>
    <row r="1975" spans="1:14" hidden="1" x14ac:dyDescent="0.3">
      <c r="A1975">
        <v>1236</v>
      </c>
      <c r="B1975" t="s">
        <v>1603</v>
      </c>
      <c r="C1975" t="s">
        <v>2670</v>
      </c>
      <c r="D1975" t="s">
        <v>1203</v>
      </c>
      <c r="E1975" t="s">
        <v>1204</v>
      </c>
      <c r="F1975">
        <v>5698</v>
      </c>
      <c r="G1975" t="s">
        <v>2676</v>
      </c>
      <c r="H1975" t="s">
        <v>2664</v>
      </c>
      <c r="I1975">
        <v>24792</v>
      </c>
      <c r="J1975">
        <v>31592</v>
      </c>
      <c r="K1975">
        <v>33384</v>
      </c>
      <c r="L1975">
        <v>34738</v>
      </c>
      <c r="M1975">
        <v>35997</v>
      </c>
      <c r="N1975" t="s">
        <v>988</v>
      </c>
    </row>
    <row r="1976" spans="1:14" hidden="1" x14ac:dyDescent="0.3">
      <c r="A1976">
        <v>1236</v>
      </c>
      <c r="B1976" t="s">
        <v>1603</v>
      </c>
      <c r="C1976" t="s">
        <v>2670</v>
      </c>
      <c r="D1976" t="s">
        <v>1203</v>
      </c>
      <c r="E1976" t="s">
        <v>1204</v>
      </c>
      <c r="F1976">
        <v>5698</v>
      </c>
      <c r="G1976" t="s">
        <v>2675</v>
      </c>
      <c r="H1976" t="s">
        <v>2664</v>
      </c>
      <c r="I1976">
        <v>24792</v>
      </c>
      <c r="J1976">
        <v>31592</v>
      </c>
      <c r="K1976">
        <v>33384</v>
      </c>
      <c r="L1976">
        <v>34738</v>
      </c>
      <c r="M1976">
        <v>35997</v>
      </c>
      <c r="N1976" t="s">
        <v>988</v>
      </c>
    </row>
    <row r="1977" spans="1:14" hidden="1" x14ac:dyDescent="0.3">
      <c r="A1977">
        <v>1236</v>
      </c>
      <c r="B1977" t="s">
        <v>1603</v>
      </c>
      <c r="C1977" t="s">
        <v>2670</v>
      </c>
      <c r="D1977" t="s">
        <v>1203</v>
      </c>
      <c r="E1977" t="s">
        <v>1204</v>
      </c>
      <c r="F1977">
        <v>5698</v>
      </c>
      <c r="G1977" t="s">
        <v>2675</v>
      </c>
      <c r="H1977" t="s">
        <v>2665</v>
      </c>
      <c r="I1977">
        <v>24792</v>
      </c>
      <c r="J1977">
        <v>31592</v>
      </c>
      <c r="K1977">
        <v>33384</v>
      </c>
      <c r="L1977">
        <v>34738</v>
      </c>
      <c r="M1977">
        <v>35997</v>
      </c>
      <c r="N1977" t="s">
        <v>988</v>
      </c>
    </row>
    <row r="1978" spans="1:14" hidden="1" x14ac:dyDescent="0.3">
      <c r="A1978">
        <v>1236</v>
      </c>
      <c r="B1978" t="s">
        <v>1603</v>
      </c>
      <c r="C1978" t="s">
        <v>2670</v>
      </c>
      <c r="D1978" t="s">
        <v>1203</v>
      </c>
      <c r="E1978" t="s">
        <v>1204</v>
      </c>
      <c r="F1978">
        <v>5698</v>
      </c>
      <c r="G1978" t="s">
        <v>2674</v>
      </c>
      <c r="H1978" t="s">
        <v>2664</v>
      </c>
      <c r="I1978">
        <v>24792</v>
      </c>
      <c r="J1978">
        <v>31592</v>
      </c>
      <c r="K1978">
        <v>33384</v>
      </c>
      <c r="L1978">
        <v>34738</v>
      </c>
      <c r="M1978">
        <v>35997</v>
      </c>
      <c r="N1978" t="s">
        <v>988</v>
      </c>
    </row>
    <row r="1979" spans="1:14" hidden="1" x14ac:dyDescent="0.3">
      <c r="A1979">
        <v>1236</v>
      </c>
      <c r="B1979" t="s">
        <v>1603</v>
      </c>
      <c r="C1979" t="s">
        <v>2670</v>
      </c>
      <c r="D1979" t="s">
        <v>1203</v>
      </c>
      <c r="E1979" t="s">
        <v>1204</v>
      </c>
      <c r="F1979">
        <v>5698</v>
      </c>
      <c r="G1979" t="s">
        <v>2674</v>
      </c>
      <c r="H1979" t="s">
        <v>2665</v>
      </c>
      <c r="I1979">
        <v>24792</v>
      </c>
      <c r="J1979">
        <v>31592</v>
      </c>
      <c r="K1979">
        <v>33384</v>
      </c>
      <c r="L1979">
        <v>34738</v>
      </c>
      <c r="M1979">
        <v>35997</v>
      </c>
      <c r="N1979" t="s">
        <v>988</v>
      </c>
    </row>
    <row r="1980" spans="1:14" hidden="1" x14ac:dyDescent="0.3">
      <c r="A1980">
        <v>1236</v>
      </c>
      <c r="B1980" t="s">
        <v>1603</v>
      </c>
      <c r="C1980" t="s">
        <v>2670</v>
      </c>
      <c r="D1980" t="s">
        <v>1203</v>
      </c>
      <c r="E1980" t="s">
        <v>1204</v>
      </c>
      <c r="F1980">
        <v>5698</v>
      </c>
      <c r="G1980" t="s">
        <v>2673</v>
      </c>
      <c r="H1980" t="s">
        <v>2664</v>
      </c>
      <c r="I1980">
        <v>24792</v>
      </c>
      <c r="J1980">
        <v>31592</v>
      </c>
      <c r="K1980">
        <v>33384</v>
      </c>
      <c r="L1980">
        <v>34738</v>
      </c>
      <c r="M1980">
        <v>35997</v>
      </c>
      <c r="N1980" t="s">
        <v>988</v>
      </c>
    </row>
    <row r="1981" spans="1:14" hidden="1" x14ac:dyDescent="0.3">
      <c r="A1981">
        <v>1236</v>
      </c>
      <c r="B1981" t="s">
        <v>1603</v>
      </c>
      <c r="C1981" t="s">
        <v>2670</v>
      </c>
      <c r="D1981" t="s">
        <v>1203</v>
      </c>
      <c r="E1981" t="s">
        <v>1204</v>
      </c>
      <c r="F1981">
        <v>5698</v>
      </c>
      <c r="G1981" t="s">
        <v>2676</v>
      </c>
      <c r="H1981" t="s">
        <v>2665</v>
      </c>
      <c r="I1981">
        <v>24792</v>
      </c>
      <c r="J1981">
        <v>31592</v>
      </c>
      <c r="K1981">
        <v>33384</v>
      </c>
      <c r="L1981">
        <v>34738</v>
      </c>
      <c r="M1981">
        <v>35997</v>
      </c>
      <c r="N1981" t="s">
        <v>988</v>
      </c>
    </row>
    <row r="1982" spans="1:14" hidden="1" x14ac:dyDescent="0.3">
      <c r="A1982">
        <v>1238</v>
      </c>
      <c r="B1982" t="s">
        <v>1604</v>
      </c>
      <c r="C1982" t="s">
        <v>2670</v>
      </c>
      <c r="D1982" t="s">
        <v>1203</v>
      </c>
      <c r="E1982" t="s">
        <v>1204</v>
      </c>
      <c r="F1982">
        <v>5920</v>
      </c>
      <c r="G1982" t="s">
        <v>2676</v>
      </c>
      <c r="H1982" t="s">
        <v>2665</v>
      </c>
      <c r="I1982">
        <v>11510</v>
      </c>
      <c r="J1982">
        <v>11593</v>
      </c>
      <c r="K1982">
        <v>11702</v>
      </c>
      <c r="L1982">
        <v>11831</v>
      </c>
      <c r="M1982">
        <v>11975</v>
      </c>
      <c r="N1982" t="s">
        <v>988</v>
      </c>
    </row>
    <row r="1983" spans="1:14" hidden="1" x14ac:dyDescent="0.3">
      <c r="A1983">
        <v>1238</v>
      </c>
      <c r="B1983" t="s">
        <v>1604</v>
      </c>
      <c r="C1983" t="s">
        <v>2670</v>
      </c>
      <c r="D1983" t="s">
        <v>1203</v>
      </c>
      <c r="E1983" t="s">
        <v>1204</v>
      </c>
      <c r="F1983">
        <v>5920</v>
      </c>
      <c r="G1983" t="s">
        <v>2676</v>
      </c>
      <c r="H1983" t="s">
        <v>2664</v>
      </c>
      <c r="I1983">
        <v>12000</v>
      </c>
      <c r="J1983">
        <v>12000</v>
      </c>
      <c r="K1983">
        <v>12000</v>
      </c>
      <c r="L1983">
        <v>12000</v>
      </c>
      <c r="M1983">
        <v>12000</v>
      </c>
      <c r="N1983" t="s">
        <v>988</v>
      </c>
    </row>
    <row r="1984" spans="1:14" hidden="1" x14ac:dyDescent="0.3">
      <c r="A1984">
        <v>1238</v>
      </c>
      <c r="B1984" t="s">
        <v>1604</v>
      </c>
      <c r="C1984" t="s">
        <v>2670</v>
      </c>
      <c r="D1984" t="s">
        <v>1203</v>
      </c>
      <c r="E1984" t="s">
        <v>1204</v>
      </c>
      <c r="F1984">
        <v>5920</v>
      </c>
      <c r="G1984" t="s">
        <v>2675</v>
      </c>
      <c r="H1984" t="s">
        <v>2664</v>
      </c>
      <c r="I1984">
        <v>12000</v>
      </c>
      <c r="J1984">
        <v>12000</v>
      </c>
      <c r="K1984">
        <v>12000</v>
      </c>
      <c r="L1984">
        <v>12000</v>
      </c>
      <c r="M1984">
        <v>12000</v>
      </c>
      <c r="N1984" t="s">
        <v>988</v>
      </c>
    </row>
    <row r="1985" spans="1:14" hidden="1" x14ac:dyDescent="0.3">
      <c r="A1985">
        <v>1238</v>
      </c>
      <c r="B1985" t="s">
        <v>1604</v>
      </c>
      <c r="C1985" t="s">
        <v>2670</v>
      </c>
      <c r="D1985" t="s">
        <v>1203</v>
      </c>
      <c r="E1985" t="s">
        <v>1204</v>
      </c>
      <c r="F1985">
        <v>5920</v>
      </c>
      <c r="G1985" t="s">
        <v>2675</v>
      </c>
      <c r="H1985" t="s">
        <v>2665</v>
      </c>
      <c r="I1985">
        <v>11510</v>
      </c>
      <c r="J1985">
        <v>11593</v>
      </c>
      <c r="K1985">
        <v>11702</v>
      </c>
      <c r="L1985">
        <v>11831</v>
      </c>
      <c r="M1985">
        <v>11975</v>
      </c>
      <c r="N1985" t="s">
        <v>988</v>
      </c>
    </row>
    <row r="1986" spans="1:14" hidden="1" x14ac:dyDescent="0.3">
      <c r="A1986">
        <v>1238</v>
      </c>
      <c r="B1986" t="s">
        <v>1604</v>
      </c>
      <c r="C1986" t="s">
        <v>2670</v>
      </c>
      <c r="D1986" t="s">
        <v>1203</v>
      </c>
      <c r="E1986" t="s">
        <v>1204</v>
      </c>
      <c r="F1986">
        <v>5920</v>
      </c>
      <c r="G1986" t="s">
        <v>2674</v>
      </c>
      <c r="H1986" t="s">
        <v>2664</v>
      </c>
      <c r="I1986">
        <v>12000</v>
      </c>
      <c r="J1986">
        <v>12000</v>
      </c>
      <c r="K1986">
        <v>12000</v>
      </c>
      <c r="L1986">
        <v>12000</v>
      </c>
      <c r="M1986">
        <v>12000</v>
      </c>
      <c r="N1986" t="s">
        <v>988</v>
      </c>
    </row>
    <row r="1987" spans="1:14" hidden="1" x14ac:dyDescent="0.3">
      <c r="A1987">
        <v>1238</v>
      </c>
      <c r="B1987" t="s">
        <v>1604</v>
      </c>
      <c r="C1987" t="s">
        <v>2670</v>
      </c>
      <c r="D1987" t="s">
        <v>1203</v>
      </c>
      <c r="E1987" t="s">
        <v>1204</v>
      </c>
      <c r="F1987">
        <v>5920</v>
      </c>
      <c r="G1987" t="s">
        <v>2674</v>
      </c>
      <c r="H1987" t="s">
        <v>2665</v>
      </c>
      <c r="I1987">
        <v>11510</v>
      </c>
      <c r="J1987">
        <v>11593</v>
      </c>
      <c r="K1987">
        <v>11702</v>
      </c>
      <c r="L1987">
        <v>11831</v>
      </c>
      <c r="M1987">
        <v>11975</v>
      </c>
      <c r="N1987" t="s">
        <v>988</v>
      </c>
    </row>
    <row r="1988" spans="1:14" hidden="1" x14ac:dyDescent="0.3">
      <c r="A1988">
        <v>1238</v>
      </c>
      <c r="B1988" t="s">
        <v>1604</v>
      </c>
      <c r="C1988" t="s">
        <v>2670</v>
      </c>
      <c r="D1988" t="s">
        <v>1203</v>
      </c>
      <c r="E1988" t="s">
        <v>1204</v>
      </c>
      <c r="F1988">
        <v>5920</v>
      </c>
      <c r="G1988" t="s">
        <v>2673</v>
      </c>
      <c r="H1988" t="s">
        <v>2664</v>
      </c>
      <c r="I1988">
        <v>12000</v>
      </c>
      <c r="J1988">
        <v>12000</v>
      </c>
      <c r="K1988">
        <v>12000</v>
      </c>
      <c r="L1988">
        <v>12000</v>
      </c>
      <c r="M1988">
        <v>12000</v>
      </c>
      <c r="N1988" t="s">
        <v>988</v>
      </c>
    </row>
    <row r="1989" spans="1:14" hidden="1" x14ac:dyDescent="0.3">
      <c r="A1989">
        <v>1238</v>
      </c>
      <c r="B1989" t="s">
        <v>1604</v>
      </c>
      <c r="C1989" t="s">
        <v>2670</v>
      </c>
      <c r="D1989" t="s">
        <v>1203</v>
      </c>
      <c r="E1989" t="s">
        <v>1204</v>
      </c>
      <c r="F1989">
        <v>5920</v>
      </c>
      <c r="G1989" t="s">
        <v>2673</v>
      </c>
      <c r="H1989" t="s">
        <v>2665</v>
      </c>
      <c r="I1989">
        <v>11510</v>
      </c>
      <c r="J1989">
        <v>11593</v>
      </c>
      <c r="K1989">
        <v>11702</v>
      </c>
      <c r="L1989">
        <v>11831</v>
      </c>
      <c r="M1989">
        <v>11975</v>
      </c>
      <c r="N1989" t="s">
        <v>988</v>
      </c>
    </row>
    <row r="1990" spans="1:14" hidden="1" x14ac:dyDescent="0.3">
      <c r="A1990">
        <v>1238</v>
      </c>
      <c r="B1990" t="s">
        <v>1604</v>
      </c>
      <c r="C1990" t="s">
        <v>2670</v>
      </c>
      <c r="D1990" t="s">
        <v>1203</v>
      </c>
      <c r="E1990" t="s">
        <v>1204</v>
      </c>
      <c r="F1990">
        <v>5920</v>
      </c>
      <c r="G1990" t="s">
        <v>2671</v>
      </c>
      <c r="H1990" t="s">
        <v>2664</v>
      </c>
      <c r="I1990">
        <v>12000</v>
      </c>
      <c r="J1990">
        <v>12000</v>
      </c>
      <c r="K1990">
        <v>12000</v>
      </c>
      <c r="L1990">
        <v>12000</v>
      </c>
      <c r="M1990">
        <v>12000</v>
      </c>
      <c r="N1990" t="s">
        <v>988</v>
      </c>
    </row>
    <row r="1991" spans="1:14" hidden="1" x14ac:dyDescent="0.3">
      <c r="A1991">
        <v>1238</v>
      </c>
      <c r="B1991" t="s">
        <v>1604</v>
      </c>
      <c r="C1991" t="s">
        <v>2670</v>
      </c>
      <c r="D1991" t="s">
        <v>1203</v>
      </c>
      <c r="E1991" t="s">
        <v>1204</v>
      </c>
      <c r="F1991">
        <v>5920</v>
      </c>
      <c r="G1991" t="s">
        <v>2671</v>
      </c>
      <c r="H1991" t="s">
        <v>2665</v>
      </c>
      <c r="I1991">
        <v>11510</v>
      </c>
      <c r="J1991">
        <v>11593</v>
      </c>
      <c r="K1991">
        <v>11702</v>
      </c>
      <c r="L1991">
        <v>11831</v>
      </c>
      <c r="M1991">
        <v>11975</v>
      </c>
      <c r="N1991" t="s">
        <v>988</v>
      </c>
    </row>
    <row r="1992" spans="1:14" hidden="1" x14ac:dyDescent="0.3">
      <c r="A1992">
        <v>1238</v>
      </c>
      <c r="B1992" t="s">
        <v>1604</v>
      </c>
      <c r="C1992" t="s">
        <v>2670</v>
      </c>
      <c r="D1992" t="s">
        <v>1203</v>
      </c>
      <c r="E1992" t="s">
        <v>1204</v>
      </c>
      <c r="F1992">
        <v>5920</v>
      </c>
      <c r="G1992" t="s">
        <v>2672</v>
      </c>
      <c r="H1992" t="s">
        <v>2664</v>
      </c>
      <c r="N1992" t="s">
        <v>988</v>
      </c>
    </row>
    <row r="1993" spans="1:14" hidden="1" x14ac:dyDescent="0.3">
      <c r="A1993">
        <v>1238</v>
      </c>
      <c r="B1993" t="s">
        <v>1604</v>
      </c>
      <c r="C1993" t="s">
        <v>2670</v>
      </c>
      <c r="D1993" t="s">
        <v>1203</v>
      </c>
      <c r="E1993" t="s">
        <v>1204</v>
      </c>
      <c r="F1993">
        <v>5920</v>
      </c>
      <c r="G1993" t="s">
        <v>2672</v>
      </c>
      <c r="H1993" t="s">
        <v>2665</v>
      </c>
      <c r="N1993" t="s">
        <v>988</v>
      </c>
    </row>
    <row r="1994" spans="1:14" hidden="1" x14ac:dyDescent="0.3">
      <c r="A1994">
        <v>1245</v>
      </c>
      <c r="B1994" t="s">
        <v>1606</v>
      </c>
      <c r="C1994" t="s">
        <v>2670</v>
      </c>
      <c r="D1994" t="s">
        <v>1203</v>
      </c>
      <c r="E1994" t="s">
        <v>1204</v>
      </c>
      <c r="F1994">
        <v>5723</v>
      </c>
      <c r="G1994" t="s">
        <v>2672</v>
      </c>
      <c r="H1994" t="s">
        <v>2665</v>
      </c>
      <c r="N1994" t="s">
        <v>988</v>
      </c>
    </row>
    <row r="1995" spans="1:14" hidden="1" x14ac:dyDescent="0.3">
      <c r="A1995">
        <v>1245</v>
      </c>
      <c r="B1995" t="s">
        <v>1606</v>
      </c>
      <c r="C1995" t="s">
        <v>2670</v>
      </c>
      <c r="D1995" t="s">
        <v>1203</v>
      </c>
      <c r="E1995" t="s">
        <v>1204</v>
      </c>
      <c r="F1995">
        <v>5723</v>
      </c>
      <c r="G1995" t="s">
        <v>2672</v>
      </c>
      <c r="H1995" t="s">
        <v>2664</v>
      </c>
      <c r="N1995" t="s">
        <v>988</v>
      </c>
    </row>
    <row r="1996" spans="1:14" hidden="1" x14ac:dyDescent="0.3">
      <c r="A1996">
        <v>1245</v>
      </c>
      <c r="B1996" t="s">
        <v>1606</v>
      </c>
      <c r="C1996" t="s">
        <v>2670</v>
      </c>
      <c r="D1996" t="s">
        <v>1203</v>
      </c>
      <c r="E1996" t="s">
        <v>1204</v>
      </c>
      <c r="F1996">
        <v>5723</v>
      </c>
      <c r="G1996" t="s">
        <v>2671</v>
      </c>
      <c r="H1996" t="s">
        <v>2665</v>
      </c>
      <c r="I1996">
        <v>88059</v>
      </c>
      <c r="J1996">
        <v>94687</v>
      </c>
      <c r="K1996">
        <v>101315</v>
      </c>
      <c r="L1996">
        <v>108280</v>
      </c>
      <c r="N1996" t="s">
        <v>988</v>
      </c>
    </row>
    <row r="1997" spans="1:14" hidden="1" x14ac:dyDescent="0.3">
      <c r="A1997">
        <v>1245</v>
      </c>
      <c r="B1997" t="s">
        <v>1606</v>
      </c>
      <c r="C1997" t="s">
        <v>2670</v>
      </c>
      <c r="D1997" t="s">
        <v>1203</v>
      </c>
      <c r="E1997" t="s">
        <v>1204</v>
      </c>
      <c r="F1997">
        <v>5723</v>
      </c>
      <c r="G1997" t="s">
        <v>2671</v>
      </c>
      <c r="H1997" t="s">
        <v>2664</v>
      </c>
      <c r="I1997">
        <v>176679</v>
      </c>
      <c r="J1997">
        <v>176679</v>
      </c>
      <c r="K1997">
        <v>176679</v>
      </c>
      <c r="L1997">
        <v>176679</v>
      </c>
      <c r="N1997" t="s">
        <v>988</v>
      </c>
    </row>
    <row r="1998" spans="1:14" hidden="1" x14ac:dyDescent="0.3">
      <c r="A1998">
        <v>1245</v>
      </c>
      <c r="B1998" t="s">
        <v>1606</v>
      </c>
      <c r="C1998" t="s">
        <v>2670</v>
      </c>
      <c r="D1998" t="s">
        <v>1203</v>
      </c>
      <c r="E1998" t="s">
        <v>1204</v>
      </c>
      <c r="F1998">
        <v>5723</v>
      </c>
      <c r="G1998" t="s">
        <v>2673</v>
      </c>
      <c r="H1998" t="s">
        <v>2665</v>
      </c>
      <c r="I1998">
        <v>90782</v>
      </c>
      <c r="J1998">
        <v>97615</v>
      </c>
      <c r="K1998">
        <v>104448</v>
      </c>
      <c r="L1998">
        <v>110907</v>
      </c>
      <c r="N1998" t="s">
        <v>988</v>
      </c>
    </row>
    <row r="1999" spans="1:14" hidden="1" x14ac:dyDescent="0.3">
      <c r="A1999">
        <v>1245</v>
      </c>
      <c r="B1999" t="s">
        <v>1606</v>
      </c>
      <c r="C1999" t="s">
        <v>2670</v>
      </c>
      <c r="D1999" t="s">
        <v>1203</v>
      </c>
      <c r="E1999" t="s">
        <v>1204</v>
      </c>
      <c r="F1999">
        <v>5723</v>
      </c>
      <c r="G1999" t="s">
        <v>2676</v>
      </c>
      <c r="H1999" t="s">
        <v>2664</v>
      </c>
      <c r="I1999">
        <v>176679</v>
      </c>
      <c r="J1999">
        <v>176679</v>
      </c>
      <c r="K1999">
        <v>176679</v>
      </c>
      <c r="L1999">
        <v>176679</v>
      </c>
      <c r="N1999" t="s">
        <v>988</v>
      </c>
    </row>
    <row r="2000" spans="1:14" hidden="1" x14ac:dyDescent="0.3">
      <c r="A2000">
        <v>1245</v>
      </c>
      <c r="B2000" t="s">
        <v>1606</v>
      </c>
      <c r="C2000" t="s">
        <v>2670</v>
      </c>
      <c r="D2000" t="s">
        <v>1203</v>
      </c>
      <c r="E2000" t="s">
        <v>1204</v>
      </c>
      <c r="F2000">
        <v>5723</v>
      </c>
      <c r="G2000" t="s">
        <v>2674</v>
      </c>
      <c r="H2000" t="s">
        <v>2665</v>
      </c>
      <c r="I2000">
        <v>93590</v>
      </c>
      <c r="J2000">
        <v>100634</v>
      </c>
      <c r="K2000">
        <v>107678</v>
      </c>
      <c r="L2000">
        <v>114337</v>
      </c>
      <c r="N2000" t="s">
        <v>988</v>
      </c>
    </row>
    <row r="2001" spans="1:14" hidden="1" x14ac:dyDescent="0.3">
      <c r="A2001">
        <v>1245</v>
      </c>
      <c r="B2001" t="s">
        <v>1606</v>
      </c>
      <c r="C2001" t="s">
        <v>2670</v>
      </c>
      <c r="D2001" t="s">
        <v>1203</v>
      </c>
      <c r="E2001" t="s">
        <v>1204</v>
      </c>
      <c r="F2001">
        <v>5723</v>
      </c>
      <c r="G2001" t="s">
        <v>2674</v>
      </c>
      <c r="H2001" t="s">
        <v>2664</v>
      </c>
      <c r="I2001">
        <v>176679</v>
      </c>
      <c r="J2001">
        <v>176679</v>
      </c>
      <c r="K2001">
        <v>176679</v>
      </c>
      <c r="L2001">
        <v>176679</v>
      </c>
      <c r="N2001" t="s">
        <v>988</v>
      </c>
    </row>
    <row r="2002" spans="1:14" hidden="1" x14ac:dyDescent="0.3">
      <c r="A2002">
        <v>1245</v>
      </c>
      <c r="B2002" t="s">
        <v>1606</v>
      </c>
      <c r="C2002" t="s">
        <v>2670</v>
      </c>
      <c r="D2002" t="s">
        <v>1203</v>
      </c>
      <c r="E2002" t="s">
        <v>1204</v>
      </c>
      <c r="F2002">
        <v>5723</v>
      </c>
      <c r="G2002" t="s">
        <v>2675</v>
      </c>
      <c r="H2002" t="s">
        <v>2665</v>
      </c>
      <c r="I2002">
        <v>96485</v>
      </c>
      <c r="J2002">
        <v>103747</v>
      </c>
      <c r="K2002">
        <v>111008</v>
      </c>
      <c r="L2002">
        <v>117874</v>
      </c>
      <c r="N2002" t="s">
        <v>988</v>
      </c>
    </row>
    <row r="2003" spans="1:14" hidden="1" x14ac:dyDescent="0.3">
      <c r="A2003">
        <v>1245</v>
      </c>
      <c r="B2003" t="s">
        <v>1606</v>
      </c>
      <c r="C2003" t="s">
        <v>2670</v>
      </c>
      <c r="D2003" t="s">
        <v>1203</v>
      </c>
      <c r="E2003" t="s">
        <v>1204</v>
      </c>
      <c r="F2003">
        <v>5723</v>
      </c>
      <c r="G2003" t="s">
        <v>2675</v>
      </c>
      <c r="H2003" t="s">
        <v>2664</v>
      </c>
      <c r="I2003">
        <v>176679</v>
      </c>
      <c r="J2003">
        <v>176679</v>
      </c>
      <c r="K2003">
        <v>176679</v>
      </c>
      <c r="L2003">
        <v>176679</v>
      </c>
      <c r="N2003" t="s">
        <v>988</v>
      </c>
    </row>
    <row r="2004" spans="1:14" hidden="1" x14ac:dyDescent="0.3">
      <c r="A2004">
        <v>1245</v>
      </c>
      <c r="B2004" t="s">
        <v>1606</v>
      </c>
      <c r="C2004" t="s">
        <v>2670</v>
      </c>
      <c r="D2004" t="s">
        <v>1203</v>
      </c>
      <c r="E2004" t="s">
        <v>1204</v>
      </c>
      <c r="F2004">
        <v>5723</v>
      </c>
      <c r="G2004" t="s">
        <v>2676</v>
      </c>
      <c r="H2004" t="s">
        <v>2665</v>
      </c>
      <c r="I2004">
        <v>99469</v>
      </c>
      <c r="J2004">
        <v>106956</v>
      </c>
      <c r="K2004">
        <v>114442</v>
      </c>
      <c r="L2004">
        <v>121519</v>
      </c>
      <c r="N2004" t="s">
        <v>988</v>
      </c>
    </row>
    <row r="2005" spans="1:14" hidden="1" x14ac:dyDescent="0.3">
      <c r="A2005">
        <v>1245</v>
      </c>
      <c r="B2005" t="s">
        <v>1606</v>
      </c>
      <c r="C2005" t="s">
        <v>2670</v>
      </c>
      <c r="D2005" t="s">
        <v>1203</v>
      </c>
      <c r="E2005" t="s">
        <v>1204</v>
      </c>
      <c r="F2005">
        <v>5723</v>
      </c>
      <c r="G2005" t="s">
        <v>2673</v>
      </c>
      <c r="H2005" t="s">
        <v>2664</v>
      </c>
      <c r="I2005">
        <v>176679</v>
      </c>
      <c r="J2005">
        <v>176679</v>
      </c>
      <c r="K2005">
        <v>176679</v>
      </c>
      <c r="L2005">
        <v>176679</v>
      </c>
      <c r="N2005" t="s">
        <v>988</v>
      </c>
    </row>
    <row r="2006" spans="1:14" hidden="1" x14ac:dyDescent="0.3">
      <c r="A2006">
        <v>1273</v>
      </c>
      <c r="B2006" t="s">
        <v>1609</v>
      </c>
      <c r="C2006" t="s">
        <v>2670</v>
      </c>
      <c r="D2006" t="s">
        <v>1203</v>
      </c>
      <c r="E2006" t="s">
        <v>1204</v>
      </c>
      <c r="F2006">
        <v>5684</v>
      </c>
      <c r="G2006" t="s">
        <v>2676</v>
      </c>
      <c r="H2006" t="s">
        <v>2664</v>
      </c>
      <c r="I2006">
        <v>41883</v>
      </c>
      <c r="J2006">
        <v>43608</v>
      </c>
      <c r="K2006">
        <v>43432</v>
      </c>
      <c r="L2006">
        <v>43255</v>
      </c>
      <c r="M2006">
        <v>43079</v>
      </c>
      <c r="N2006" t="s">
        <v>988</v>
      </c>
    </row>
    <row r="2007" spans="1:14" hidden="1" x14ac:dyDescent="0.3">
      <c r="A2007">
        <v>1273</v>
      </c>
      <c r="B2007" t="s">
        <v>1609</v>
      </c>
      <c r="C2007" t="s">
        <v>2670</v>
      </c>
      <c r="D2007" t="s">
        <v>1203</v>
      </c>
      <c r="E2007" t="s">
        <v>1204</v>
      </c>
      <c r="F2007">
        <v>5684</v>
      </c>
      <c r="G2007" t="s">
        <v>2672</v>
      </c>
      <c r="H2007" t="s">
        <v>2665</v>
      </c>
      <c r="N2007" t="s">
        <v>988</v>
      </c>
    </row>
    <row r="2008" spans="1:14" hidden="1" x14ac:dyDescent="0.3">
      <c r="A2008">
        <v>1273</v>
      </c>
      <c r="B2008" t="s">
        <v>1609</v>
      </c>
      <c r="C2008" t="s">
        <v>2670</v>
      </c>
      <c r="D2008" t="s">
        <v>1203</v>
      </c>
      <c r="E2008" t="s">
        <v>1204</v>
      </c>
      <c r="F2008">
        <v>5684</v>
      </c>
      <c r="G2008" t="s">
        <v>2672</v>
      </c>
      <c r="H2008" t="s">
        <v>2664</v>
      </c>
      <c r="N2008" t="s">
        <v>988</v>
      </c>
    </row>
    <row r="2009" spans="1:14" hidden="1" x14ac:dyDescent="0.3">
      <c r="A2009">
        <v>1273</v>
      </c>
      <c r="B2009" t="s">
        <v>1609</v>
      </c>
      <c r="C2009" t="s">
        <v>2670</v>
      </c>
      <c r="D2009" t="s">
        <v>1203</v>
      </c>
      <c r="E2009" t="s">
        <v>1204</v>
      </c>
      <c r="F2009">
        <v>5684</v>
      </c>
      <c r="G2009" t="s">
        <v>2671</v>
      </c>
      <c r="H2009" t="s">
        <v>2665</v>
      </c>
      <c r="I2009">
        <v>18877</v>
      </c>
      <c r="J2009">
        <v>20666</v>
      </c>
      <c r="K2009">
        <v>21882</v>
      </c>
      <c r="L2009">
        <v>23221</v>
      </c>
      <c r="M2009">
        <v>23357</v>
      </c>
      <c r="N2009" t="s">
        <v>988</v>
      </c>
    </row>
    <row r="2010" spans="1:14" hidden="1" x14ac:dyDescent="0.3">
      <c r="A2010">
        <v>1273</v>
      </c>
      <c r="B2010" t="s">
        <v>1609</v>
      </c>
      <c r="C2010" t="s">
        <v>2670</v>
      </c>
      <c r="D2010" t="s">
        <v>1203</v>
      </c>
      <c r="E2010" t="s">
        <v>1204</v>
      </c>
      <c r="F2010">
        <v>5684</v>
      </c>
      <c r="G2010" t="s">
        <v>2671</v>
      </c>
      <c r="H2010" t="s">
        <v>2664</v>
      </c>
      <c r="I2010">
        <v>41883</v>
      </c>
      <c r="J2010">
        <v>43608</v>
      </c>
      <c r="K2010">
        <v>43432</v>
      </c>
      <c r="L2010">
        <v>43255</v>
      </c>
      <c r="M2010">
        <v>43079</v>
      </c>
      <c r="N2010" t="s">
        <v>988</v>
      </c>
    </row>
    <row r="2011" spans="1:14" hidden="1" x14ac:dyDescent="0.3">
      <c r="A2011">
        <v>1273</v>
      </c>
      <c r="B2011" t="s">
        <v>1609</v>
      </c>
      <c r="C2011" t="s">
        <v>2670</v>
      </c>
      <c r="D2011" t="s">
        <v>1203</v>
      </c>
      <c r="E2011" t="s">
        <v>1204</v>
      </c>
      <c r="F2011">
        <v>5684</v>
      </c>
      <c r="G2011" t="s">
        <v>2676</v>
      </c>
      <c r="H2011" t="s">
        <v>2665</v>
      </c>
      <c r="I2011">
        <v>31462</v>
      </c>
      <c r="J2011">
        <v>34443</v>
      </c>
      <c r="K2011">
        <v>36470</v>
      </c>
      <c r="L2011">
        <v>38702</v>
      </c>
      <c r="M2011">
        <v>38928</v>
      </c>
      <c r="N2011" t="s">
        <v>988</v>
      </c>
    </row>
    <row r="2012" spans="1:14" hidden="1" x14ac:dyDescent="0.3">
      <c r="A2012">
        <v>1273</v>
      </c>
      <c r="B2012" t="s">
        <v>1609</v>
      </c>
      <c r="C2012" t="s">
        <v>2670</v>
      </c>
      <c r="D2012" t="s">
        <v>1203</v>
      </c>
      <c r="E2012" t="s">
        <v>1204</v>
      </c>
      <c r="F2012">
        <v>5684</v>
      </c>
      <c r="G2012" t="s">
        <v>2673</v>
      </c>
      <c r="H2012" t="s">
        <v>2664</v>
      </c>
      <c r="I2012">
        <v>41883</v>
      </c>
      <c r="J2012">
        <v>43608</v>
      </c>
      <c r="K2012">
        <v>43432</v>
      </c>
      <c r="L2012">
        <v>43255</v>
      </c>
      <c r="M2012">
        <v>43079</v>
      </c>
      <c r="N2012" t="s">
        <v>988</v>
      </c>
    </row>
    <row r="2013" spans="1:14" hidden="1" x14ac:dyDescent="0.3">
      <c r="A2013">
        <v>1273</v>
      </c>
      <c r="B2013" t="s">
        <v>1609</v>
      </c>
      <c r="C2013" t="s">
        <v>2670</v>
      </c>
      <c r="D2013" t="s">
        <v>1203</v>
      </c>
      <c r="E2013" t="s">
        <v>1204</v>
      </c>
      <c r="F2013">
        <v>5684</v>
      </c>
      <c r="G2013" t="s">
        <v>2674</v>
      </c>
      <c r="H2013" t="s">
        <v>2665</v>
      </c>
      <c r="I2013">
        <v>25170</v>
      </c>
      <c r="J2013">
        <v>27554</v>
      </c>
      <c r="K2013">
        <v>29176</v>
      </c>
      <c r="L2013">
        <v>30961</v>
      </c>
      <c r="M2013">
        <v>31143</v>
      </c>
      <c r="N2013" t="s">
        <v>988</v>
      </c>
    </row>
    <row r="2014" spans="1:14" hidden="1" x14ac:dyDescent="0.3">
      <c r="A2014">
        <v>1273</v>
      </c>
      <c r="B2014" t="s">
        <v>1609</v>
      </c>
      <c r="C2014" t="s">
        <v>2670</v>
      </c>
      <c r="D2014" t="s">
        <v>1203</v>
      </c>
      <c r="E2014" t="s">
        <v>1204</v>
      </c>
      <c r="F2014">
        <v>5684</v>
      </c>
      <c r="G2014" t="s">
        <v>2674</v>
      </c>
      <c r="H2014" t="s">
        <v>2664</v>
      </c>
      <c r="I2014">
        <v>41883</v>
      </c>
      <c r="J2014">
        <v>43608</v>
      </c>
      <c r="K2014">
        <v>43432</v>
      </c>
      <c r="L2014">
        <v>43255</v>
      </c>
      <c r="M2014">
        <v>43079</v>
      </c>
      <c r="N2014" t="s">
        <v>988</v>
      </c>
    </row>
    <row r="2015" spans="1:14" hidden="1" x14ac:dyDescent="0.3">
      <c r="A2015">
        <v>1273</v>
      </c>
      <c r="B2015" t="s">
        <v>1609</v>
      </c>
      <c r="C2015" t="s">
        <v>2670</v>
      </c>
      <c r="D2015" t="s">
        <v>1203</v>
      </c>
      <c r="E2015" t="s">
        <v>1204</v>
      </c>
      <c r="F2015">
        <v>5684</v>
      </c>
      <c r="G2015" t="s">
        <v>2675</v>
      </c>
      <c r="H2015" t="s">
        <v>2665</v>
      </c>
      <c r="I2015">
        <v>28316</v>
      </c>
      <c r="J2015">
        <v>30999</v>
      </c>
      <c r="K2015">
        <v>32823</v>
      </c>
      <c r="L2015">
        <v>34832</v>
      </c>
      <c r="M2015">
        <v>35036</v>
      </c>
      <c r="N2015" t="s">
        <v>988</v>
      </c>
    </row>
    <row r="2016" spans="1:14" hidden="1" x14ac:dyDescent="0.3">
      <c r="A2016">
        <v>1273</v>
      </c>
      <c r="B2016" t="s">
        <v>1609</v>
      </c>
      <c r="C2016" t="s">
        <v>2670</v>
      </c>
      <c r="D2016" t="s">
        <v>1203</v>
      </c>
      <c r="E2016" t="s">
        <v>1204</v>
      </c>
      <c r="F2016">
        <v>5684</v>
      </c>
      <c r="G2016" t="s">
        <v>2675</v>
      </c>
      <c r="H2016" t="s">
        <v>2664</v>
      </c>
      <c r="I2016">
        <v>41883</v>
      </c>
      <c r="J2016">
        <v>43608</v>
      </c>
      <c r="K2016">
        <v>43432</v>
      </c>
      <c r="L2016">
        <v>43255</v>
      </c>
      <c r="M2016">
        <v>43079</v>
      </c>
      <c r="N2016" t="s">
        <v>988</v>
      </c>
    </row>
    <row r="2017" spans="1:14" hidden="1" x14ac:dyDescent="0.3">
      <c r="A2017">
        <v>1273</v>
      </c>
      <c r="B2017" t="s">
        <v>1609</v>
      </c>
      <c r="C2017" t="s">
        <v>2670</v>
      </c>
      <c r="D2017" t="s">
        <v>1203</v>
      </c>
      <c r="E2017" t="s">
        <v>1204</v>
      </c>
      <c r="F2017">
        <v>5684</v>
      </c>
      <c r="G2017" t="s">
        <v>2673</v>
      </c>
      <c r="H2017" t="s">
        <v>2665</v>
      </c>
      <c r="I2017">
        <v>22024</v>
      </c>
      <c r="J2017">
        <v>24110</v>
      </c>
      <c r="K2017">
        <v>25529</v>
      </c>
      <c r="L2017">
        <v>27091</v>
      </c>
      <c r="M2017">
        <v>27250</v>
      </c>
      <c r="N2017" t="s">
        <v>988</v>
      </c>
    </row>
    <row r="2018" spans="1:14" hidden="1" x14ac:dyDescent="0.3">
      <c r="A2018">
        <v>1324</v>
      </c>
      <c r="B2018" t="s">
        <v>1619</v>
      </c>
      <c r="C2018" t="s">
        <v>2670</v>
      </c>
      <c r="D2018" t="s">
        <v>159</v>
      </c>
      <c r="E2018" t="s">
        <v>159</v>
      </c>
      <c r="F2018">
        <v>5633</v>
      </c>
      <c r="G2018" t="s">
        <v>2674</v>
      </c>
      <c r="H2018" t="s">
        <v>2664</v>
      </c>
      <c r="I2018">
        <v>9272</v>
      </c>
      <c r="J2018">
        <v>9356</v>
      </c>
      <c r="K2018">
        <v>9348</v>
      </c>
      <c r="L2018">
        <v>9364</v>
      </c>
      <c r="M2018">
        <v>9386</v>
      </c>
      <c r="N2018" t="s">
        <v>988</v>
      </c>
    </row>
    <row r="2019" spans="1:14" hidden="1" x14ac:dyDescent="0.3">
      <c r="A2019">
        <v>1324</v>
      </c>
      <c r="B2019" t="s">
        <v>1619</v>
      </c>
      <c r="C2019" t="s">
        <v>2670</v>
      </c>
      <c r="D2019" t="s">
        <v>159</v>
      </c>
      <c r="E2019" t="s">
        <v>159</v>
      </c>
      <c r="F2019">
        <v>5633</v>
      </c>
      <c r="G2019" t="s">
        <v>2675</v>
      </c>
      <c r="H2019" t="s">
        <v>2665</v>
      </c>
      <c r="I2019">
        <v>9217</v>
      </c>
      <c r="J2019">
        <v>9365</v>
      </c>
      <c r="K2019">
        <v>9345</v>
      </c>
      <c r="L2019">
        <v>9361</v>
      </c>
      <c r="M2019">
        <v>9381</v>
      </c>
      <c r="N2019" t="s">
        <v>988</v>
      </c>
    </row>
    <row r="2020" spans="1:14" hidden="1" x14ac:dyDescent="0.3">
      <c r="A2020">
        <v>1324</v>
      </c>
      <c r="B2020" t="s">
        <v>1619</v>
      </c>
      <c r="C2020" t="s">
        <v>2670</v>
      </c>
      <c r="D2020" t="s">
        <v>159</v>
      </c>
      <c r="E2020" t="s">
        <v>159</v>
      </c>
      <c r="F2020">
        <v>5633</v>
      </c>
      <c r="G2020" t="s">
        <v>2674</v>
      </c>
      <c r="H2020" t="s">
        <v>2665</v>
      </c>
      <c r="I2020">
        <v>9272</v>
      </c>
      <c r="J2020">
        <v>9356</v>
      </c>
      <c r="K2020">
        <v>9348</v>
      </c>
      <c r="L2020">
        <v>9364</v>
      </c>
      <c r="M2020">
        <v>9386</v>
      </c>
      <c r="N2020" t="s">
        <v>988</v>
      </c>
    </row>
    <row r="2021" spans="1:14" hidden="1" x14ac:dyDescent="0.3">
      <c r="A2021">
        <v>1324</v>
      </c>
      <c r="B2021" t="s">
        <v>1619</v>
      </c>
      <c r="C2021" t="s">
        <v>2670</v>
      </c>
      <c r="D2021" t="s">
        <v>159</v>
      </c>
      <c r="E2021" t="s">
        <v>159</v>
      </c>
      <c r="F2021">
        <v>5633</v>
      </c>
      <c r="G2021" t="s">
        <v>2673</v>
      </c>
      <c r="H2021" t="s">
        <v>2664</v>
      </c>
      <c r="I2021">
        <v>9327</v>
      </c>
      <c r="J2021">
        <v>9347</v>
      </c>
      <c r="K2021">
        <v>9351</v>
      </c>
      <c r="L2021">
        <v>9367</v>
      </c>
      <c r="M2021">
        <v>9392</v>
      </c>
      <c r="N2021" t="s">
        <v>988</v>
      </c>
    </row>
    <row r="2022" spans="1:14" hidden="1" x14ac:dyDescent="0.3">
      <c r="A2022">
        <v>1324</v>
      </c>
      <c r="B2022" t="s">
        <v>1619</v>
      </c>
      <c r="C2022" t="s">
        <v>2670</v>
      </c>
      <c r="D2022" t="s">
        <v>159</v>
      </c>
      <c r="E2022" t="s">
        <v>159</v>
      </c>
      <c r="F2022">
        <v>5633</v>
      </c>
      <c r="G2022" t="s">
        <v>2673</v>
      </c>
      <c r="H2022" t="s">
        <v>2665</v>
      </c>
      <c r="I2022">
        <v>9327</v>
      </c>
      <c r="J2022">
        <v>9347</v>
      </c>
      <c r="K2022">
        <v>9351</v>
      </c>
      <c r="L2022">
        <v>9367</v>
      </c>
      <c r="M2022">
        <v>9392</v>
      </c>
      <c r="N2022" t="s">
        <v>988</v>
      </c>
    </row>
    <row r="2023" spans="1:14" hidden="1" x14ac:dyDescent="0.3">
      <c r="A2023">
        <v>1324</v>
      </c>
      <c r="B2023" t="s">
        <v>1619</v>
      </c>
      <c r="C2023" t="s">
        <v>2670</v>
      </c>
      <c r="D2023" t="s">
        <v>159</v>
      </c>
      <c r="E2023" t="s">
        <v>159</v>
      </c>
      <c r="F2023">
        <v>5633</v>
      </c>
      <c r="G2023" t="s">
        <v>2671</v>
      </c>
      <c r="H2023" t="s">
        <v>2664</v>
      </c>
      <c r="I2023">
        <v>9382</v>
      </c>
      <c r="J2023">
        <v>9339</v>
      </c>
      <c r="K2023">
        <v>9355</v>
      </c>
      <c r="L2023">
        <v>9370</v>
      </c>
      <c r="M2023">
        <v>9397</v>
      </c>
      <c r="N2023" t="s">
        <v>988</v>
      </c>
    </row>
    <row r="2024" spans="1:14" hidden="1" x14ac:dyDescent="0.3">
      <c r="A2024">
        <v>1324</v>
      </c>
      <c r="B2024" t="s">
        <v>1619</v>
      </c>
      <c r="C2024" t="s">
        <v>2670</v>
      </c>
      <c r="D2024" t="s">
        <v>159</v>
      </c>
      <c r="E2024" t="s">
        <v>159</v>
      </c>
      <c r="F2024">
        <v>5633</v>
      </c>
      <c r="G2024" t="s">
        <v>2671</v>
      </c>
      <c r="H2024" t="s">
        <v>2665</v>
      </c>
      <c r="I2024">
        <v>9382</v>
      </c>
      <c r="J2024">
        <v>9339</v>
      </c>
      <c r="K2024">
        <v>9355</v>
      </c>
      <c r="L2024">
        <v>9370</v>
      </c>
      <c r="M2024">
        <v>9397</v>
      </c>
      <c r="N2024" t="s">
        <v>988</v>
      </c>
    </row>
    <row r="2025" spans="1:14" hidden="1" x14ac:dyDescent="0.3">
      <c r="A2025">
        <v>1324</v>
      </c>
      <c r="B2025" t="s">
        <v>1619</v>
      </c>
      <c r="C2025" t="s">
        <v>2670</v>
      </c>
      <c r="D2025" t="s">
        <v>159</v>
      </c>
      <c r="E2025" t="s">
        <v>159</v>
      </c>
      <c r="F2025">
        <v>5633</v>
      </c>
      <c r="G2025" t="s">
        <v>2672</v>
      </c>
      <c r="H2025" t="s">
        <v>2664</v>
      </c>
      <c r="N2025" t="s">
        <v>988</v>
      </c>
    </row>
    <row r="2026" spans="1:14" hidden="1" x14ac:dyDescent="0.3">
      <c r="A2026">
        <v>1324</v>
      </c>
      <c r="B2026" t="s">
        <v>1619</v>
      </c>
      <c r="C2026" t="s">
        <v>2670</v>
      </c>
      <c r="D2026" t="s">
        <v>159</v>
      </c>
      <c r="E2026" t="s">
        <v>159</v>
      </c>
      <c r="F2026">
        <v>5633</v>
      </c>
      <c r="G2026" t="s">
        <v>2672</v>
      </c>
      <c r="H2026" t="s">
        <v>2665</v>
      </c>
      <c r="N2026" t="s">
        <v>988</v>
      </c>
    </row>
    <row r="2027" spans="1:14" hidden="1" x14ac:dyDescent="0.3">
      <c r="A2027">
        <v>1324</v>
      </c>
      <c r="B2027" t="s">
        <v>1619</v>
      </c>
      <c r="C2027" t="s">
        <v>2670</v>
      </c>
      <c r="D2027" t="s">
        <v>159</v>
      </c>
      <c r="E2027" t="s">
        <v>159</v>
      </c>
      <c r="F2027">
        <v>5633</v>
      </c>
      <c r="G2027" t="s">
        <v>2676</v>
      </c>
      <c r="H2027" t="s">
        <v>2664</v>
      </c>
      <c r="I2027">
        <v>9162</v>
      </c>
      <c r="J2027">
        <v>9373</v>
      </c>
      <c r="K2027">
        <v>9342</v>
      </c>
      <c r="L2027">
        <v>9358</v>
      </c>
      <c r="M2027">
        <v>9376</v>
      </c>
      <c r="N2027" t="s">
        <v>988</v>
      </c>
    </row>
    <row r="2028" spans="1:14" hidden="1" x14ac:dyDescent="0.3">
      <c r="A2028">
        <v>1324</v>
      </c>
      <c r="B2028" t="s">
        <v>1619</v>
      </c>
      <c r="C2028" t="s">
        <v>2670</v>
      </c>
      <c r="D2028" t="s">
        <v>159</v>
      </c>
      <c r="E2028" t="s">
        <v>159</v>
      </c>
      <c r="F2028">
        <v>5633</v>
      </c>
      <c r="G2028" t="s">
        <v>2676</v>
      </c>
      <c r="H2028" t="s">
        <v>2665</v>
      </c>
      <c r="I2028">
        <v>9162</v>
      </c>
      <c r="J2028">
        <v>9373</v>
      </c>
      <c r="K2028">
        <v>9342</v>
      </c>
      <c r="L2028">
        <v>9358</v>
      </c>
      <c r="M2028">
        <v>9376</v>
      </c>
      <c r="N2028" t="s">
        <v>988</v>
      </c>
    </row>
    <row r="2029" spans="1:14" hidden="1" x14ac:dyDescent="0.3">
      <c r="A2029">
        <v>1324</v>
      </c>
      <c r="B2029" t="s">
        <v>1619</v>
      </c>
      <c r="C2029" t="s">
        <v>2670</v>
      </c>
      <c r="D2029" t="s">
        <v>159</v>
      </c>
      <c r="E2029" t="s">
        <v>159</v>
      </c>
      <c r="F2029">
        <v>5633</v>
      </c>
      <c r="G2029" t="s">
        <v>2675</v>
      </c>
      <c r="H2029" t="s">
        <v>2664</v>
      </c>
      <c r="I2029">
        <v>9217</v>
      </c>
      <c r="J2029">
        <v>9365</v>
      </c>
      <c r="K2029">
        <v>9345</v>
      </c>
      <c r="L2029">
        <v>9361</v>
      </c>
      <c r="M2029">
        <v>9381</v>
      </c>
      <c r="N2029" t="s">
        <v>988</v>
      </c>
    </row>
    <row r="2030" spans="1:14" hidden="1" x14ac:dyDescent="0.3">
      <c r="A2030">
        <v>1327</v>
      </c>
      <c r="B2030" t="s">
        <v>1620</v>
      </c>
      <c r="C2030" t="s">
        <v>2670</v>
      </c>
      <c r="D2030" t="s">
        <v>1203</v>
      </c>
      <c r="E2030" t="s">
        <v>1204</v>
      </c>
      <c r="F2030">
        <v>5572</v>
      </c>
      <c r="G2030" t="s">
        <v>2672</v>
      </c>
      <c r="H2030" t="s">
        <v>2665</v>
      </c>
      <c r="N2030" t="s">
        <v>988</v>
      </c>
    </row>
    <row r="2031" spans="1:14" hidden="1" x14ac:dyDescent="0.3">
      <c r="A2031">
        <v>1327</v>
      </c>
      <c r="B2031" t="s">
        <v>1620</v>
      </c>
      <c r="C2031" t="s">
        <v>2670</v>
      </c>
      <c r="D2031" t="s">
        <v>1203</v>
      </c>
      <c r="E2031" t="s">
        <v>1204</v>
      </c>
      <c r="F2031">
        <v>5572</v>
      </c>
      <c r="G2031" t="s">
        <v>2671</v>
      </c>
      <c r="H2031" t="s">
        <v>2665</v>
      </c>
      <c r="I2031">
        <v>1984</v>
      </c>
      <c r="J2031">
        <v>2006</v>
      </c>
      <c r="K2031">
        <v>1979</v>
      </c>
      <c r="L2031">
        <v>1949</v>
      </c>
      <c r="M2031">
        <v>1942</v>
      </c>
      <c r="N2031" t="s">
        <v>988</v>
      </c>
    </row>
    <row r="2032" spans="1:14" hidden="1" x14ac:dyDescent="0.3">
      <c r="A2032">
        <v>1327</v>
      </c>
      <c r="B2032" t="s">
        <v>1620</v>
      </c>
      <c r="C2032" t="s">
        <v>2670</v>
      </c>
      <c r="D2032" t="s">
        <v>1203</v>
      </c>
      <c r="E2032" t="s">
        <v>1204</v>
      </c>
      <c r="F2032">
        <v>5572</v>
      </c>
      <c r="G2032" t="s">
        <v>2672</v>
      </c>
      <c r="H2032" t="s">
        <v>2664</v>
      </c>
      <c r="N2032" t="s">
        <v>988</v>
      </c>
    </row>
    <row r="2033" spans="1:14" hidden="1" x14ac:dyDescent="0.3">
      <c r="A2033">
        <v>1327</v>
      </c>
      <c r="B2033" t="s">
        <v>1620</v>
      </c>
      <c r="C2033" t="s">
        <v>2670</v>
      </c>
      <c r="D2033" t="s">
        <v>1203</v>
      </c>
      <c r="E2033" t="s">
        <v>1204</v>
      </c>
      <c r="F2033">
        <v>5572</v>
      </c>
      <c r="G2033" t="s">
        <v>2676</v>
      </c>
      <c r="H2033" t="s">
        <v>2664</v>
      </c>
      <c r="I2033">
        <v>2058</v>
      </c>
      <c r="J2033">
        <v>1989</v>
      </c>
      <c r="K2033">
        <v>2001</v>
      </c>
      <c r="L2033">
        <v>1973</v>
      </c>
      <c r="M2033">
        <v>1947</v>
      </c>
      <c r="N2033" t="s">
        <v>988</v>
      </c>
    </row>
    <row r="2034" spans="1:14" hidden="1" x14ac:dyDescent="0.3">
      <c r="A2034">
        <v>1327</v>
      </c>
      <c r="B2034" t="s">
        <v>1620</v>
      </c>
      <c r="C2034" t="s">
        <v>2670</v>
      </c>
      <c r="D2034" t="s">
        <v>1203</v>
      </c>
      <c r="E2034" t="s">
        <v>1204</v>
      </c>
      <c r="F2034">
        <v>5572</v>
      </c>
      <c r="G2034" t="s">
        <v>2671</v>
      </c>
      <c r="H2034" t="s">
        <v>2664</v>
      </c>
      <c r="I2034">
        <v>1984</v>
      </c>
      <c r="J2034">
        <v>2006</v>
      </c>
      <c r="K2034">
        <v>1979</v>
      </c>
      <c r="L2034">
        <v>1949</v>
      </c>
      <c r="M2034">
        <v>1942</v>
      </c>
      <c r="N2034" t="s">
        <v>988</v>
      </c>
    </row>
    <row r="2035" spans="1:14" hidden="1" x14ac:dyDescent="0.3">
      <c r="A2035">
        <v>1327</v>
      </c>
      <c r="B2035" t="s">
        <v>1620</v>
      </c>
      <c r="C2035" t="s">
        <v>2670</v>
      </c>
      <c r="D2035" t="s">
        <v>1203</v>
      </c>
      <c r="E2035" t="s">
        <v>1204</v>
      </c>
      <c r="F2035">
        <v>5572</v>
      </c>
      <c r="G2035" t="s">
        <v>2676</v>
      </c>
      <c r="H2035" t="s">
        <v>2665</v>
      </c>
      <c r="I2035">
        <v>2058</v>
      </c>
      <c r="J2035">
        <v>1989</v>
      </c>
      <c r="K2035">
        <v>2001</v>
      </c>
      <c r="L2035">
        <v>1973</v>
      </c>
      <c r="M2035">
        <v>1947</v>
      </c>
      <c r="N2035" t="s">
        <v>988</v>
      </c>
    </row>
    <row r="2036" spans="1:14" hidden="1" x14ac:dyDescent="0.3">
      <c r="A2036">
        <v>1327</v>
      </c>
      <c r="B2036" t="s">
        <v>1620</v>
      </c>
      <c r="C2036" t="s">
        <v>2670</v>
      </c>
      <c r="D2036" t="s">
        <v>1203</v>
      </c>
      <c r="E2036" t="s">
        <v>1204</v>
      </c>
      <c r="F2036">
        <v>5572</v>
      </c>
      <c r="G2036" t="s">
        <v>2673</v>
      </c>
      <c r="H2036" t="s">
        <v>2664</v>
      </c>
      <c r="I2036">
        <v>2003</v>
      </c>
      <c r="J2036">
        <v>2002</v>
      </c>
      <c r="K2036">
        <v>1984</v>
      </c>
      <c r="L2036">
        <v>1955</v>
      </c>
      <c r="M2036">
        <v>1943</v>
      </c>
      <c r="N2036" t="s">
        <v>988</v>
      </c>
    </row>
    <row r="2037" spans="1:14" hidden="1" x14ac:dyDescent="0.3">
      <c r="A2037">
        <v>1327</v>
      </c>
      <c r="B2037" t="s">
        <v>1620</v>
      </c>
      <c r="C2037" t="s">
        <v>2670</v>
      </c>
      <c r="D2037" t="s">
        <v>1203</v>
      </c>
      <c r="E2037" t="s">
        <v>1204</v>
      </c>
      <c r="F2037">
        <v>5572</v>
      </c>
      <c r="G2037" t="s">
        <v>2674</v>
      </c>
      <c r="H2037" t="s">
        <v>2665</v>
      </c>
      <c r="I2037">
        <v>2021</v>
      </c>
      <c r="J2037">
        <v>1998</v>
      </c>
      <c r="K2037">
        <v>1990</v>
      </c>
      <c r="L2037">
        <v>1961</v>
      </c>
      <c r="M2037">
        <v>1945</v>
      </c>
      <c r="N2037" t="s">
        <v>988</v>
      </c>
    </row>
    <row r="2038" spans="1:14" hidden="1" x14ac:dyDescent="0.3">
      <c r="A2038">
        <v>1327</v>
      </c>
      <c r="B2038" t="s">
        <v>1620</v>
      </c>
      <c r="C2038" t="s">
        <v>2670</v>
      </c>
      <c r="D2038" t="s">
        <v>1203</v>
      </c>
      <c r="E2038" t="s">
        <v>1204</v>
      </c>
      <c r="F2038">
        <v>5572</v>
      </c>
      <c r="G2038" t="s">
        <v>2674</v>
      </c>
      <c r="H2038" t="s">
        <v>2664</v>
      </c>
      <c r="I2038">
        <v>2021</v>
      </c>
      <c r="J2038">
        <v>1998</v>
      </c>
      <c r="K2038">
        <v>1990</v>
      </c>
      <c r="L2038">
        <v>1961</v>
      </c>
      <c r="M2038">
        <v>1945</v>
      </c>
      <c r="N2038" t="s">
        <v>988</v>
      </c>
    </row>
    <row r="2039" spans="1:14" hidden="1" x14ac:dyDescent="0.3">
      <c r="A2039">
        <v>1327</v>
      </c>
      <c r="B2039" t="s">
        <v>1620</v>
      </c>
      <c r="C2039" t="s">
        <v>2670</v>
      </c>
      <c r="D2039" t="s">
        <v>1203</v>
      </c>
      <c r="E2039" t="s">
        <v>1204</v>
      </c>
      <c r="F2039">
        <v>5572</v>
      </c>
      <c r="G2039" t="s">
        <v>2675</v>
      </c>
      <c r="H2039" t="s">
        <v>2665</v>
      </c>
      <c r="I2039">
        <v>2040</v>
      </c>
      <c r="J2039">
        <v>1993</v>
      </c>
      <c r="K2039">
        <v>1995</v>
      </c>
      <c r="L2039">
        <v>1967</v>
      </c>
      <c r="M2039">
        <v>1946</v>
      </c>
      <c r="N2039" t="s">
        <v>988</v>
      </c>
    </row>
    <row r="2040" spans="1:14" hidden="1" x14ac:dyDescent="0.3">
      <c r="A2040">
        <v>1327</v>
      </c>
      <c r="B2040" t="s">
        <v>1620</v>
      </c>
      <c r="C2040" t="s">
        <v>2670</v>
      </c>
      <c r="D2040" t="s">
        <v>1203</v>
      </c>
      <c r="E2040" t="s">
        <v>1204</v>
      </c>
      <c r="F2040">
        <v>5572</v>
      </c>
      <c r="G2040" t="s">
        <v>2675</v>
      </c>
      <c r="H2040" t="s">
        <v>2664</v>
      </c>
      <c r="I2040">
        <v>2040</v>
      </c>
      <c r="J2040">
        <v>1993</v>
      </c>
      <c r="K2040">
        <v>1995</v>
      </c>
      <c r="L2040">
        <v>1967</v>
      </c>
      <c r="M2040">
        <v>1946</v>
      </c>
      <c r="N2040" t="s">
        <v>988</v>
      </c>
    </row>
    <row r="2041" spans="1:14" hidden="1" x14ac:dyDescent="0.3">
      <c r="A2041">
        <v>1327</v>
      </c>
      <c r="B2041" t="s">
        <v>1620</v>
      </c>
      <c r="C2041" t="s">
        <v>2670</v>
      </c>
      <c r="D2041" t="s">
        <v>1203</v>
      </c>
      <c r="E2041" t="s">
        <v>1204</v>
      </c>
      <c r="F2041">
        <v>5572</v>
      </c>
      <c r="G2041" t="s">
        <v>2673</v>
      </c>
      <c r="H2041" t="s">
        <v>2665</v>
      </c>
      <c r="I2041">
        <v>2003</v>
      </c>
      <c r="J2041">
        <v>2002</v>
      </c>
      <c r="K2041">
        <v>1984</v>
      </c>
      <c r="L2041">
        <v>1955</v>
      </c>
      <c r="M2041">
        <v>1943</v>
      </c>
      <c r="N2041" t="s">
        <v>988</v>
      </c>
    </row>
    <row r="2042" spans="1:14" hidden="1" x14ac:dyDescent="0.3">
      <c r="A2042">
        <v>1333</v>
      </c>
      <c r="B2042" t="s">
        <v>1623</v>
      </c>
      <c r="C2042" t="s">
        <v>2670</v>
      </c>
      <c r="D2042" t="s">
        <v>1203</v>
      </c>
      <c r="E2042" t="s">
        <v>1204</v>
      </c>
      <c r="F2042">
        <v>5662</v>
      </c>
      <c r="G2042" t="s">
        <v>2676</v>
      </c>
      <c r="H2042" t="s">
        <v>2664</v>
      </c>
      <c r="I2042">
        <v>7401</v>
      </c>
      <c r="J2042">
        <v>7401</v>
      </c>
      <c r="K2042">
        <v>7401</v>
      </c>
      <c r="L2042">
        <v>7401</v>
      </c>
      <c r="N2042" t="s">
        <v>988</v>
      </c>
    </row>
    <row r="2043" spans="1:14" hidden="1" x14ac:dyDescent="0.3">
      <c r="A2043">
        <v>1333</v>
      </c>
      <c r="B2043" t="s">
        <v>1623</v>
      </c>
      <c r="C2043" t="s">
        <v>2670</v>
      </c>
      <c r="D2043" t="s">
        <v>1203</v>
      </c>
      <c r="E2043" t="s">
        <v>1204</v>
      </c>
      <c r="F2043">
        <v>5662</v>
      </c>
      <c r="G2043" t="s">
        <v>2676</v>
      </c>
      <c r="H2043" t="s">
        <v>2665</v>
      </c>
      <c r="I2043">
        <v>6143</v>
      </c>
      <c r="J2043">
        <v>6345</v>
      </c>
      <c r="K2043">
        <v>6553</v>
      </c>
      <c r="L2043">
        <v>6728</v>
      </c>
      <c r="N2043" t="s">
        <v>988</v>
      </c>
    </row>
    <row r="2044" spans="1:14" hidden="1" x14ac:dyDescent="0.3">
      <c r="A2044">
        <v>1333</v>
      </c>
      <c r="B2044" t="s">
        <v>1623</v>
      </c>
      <c r="C2044" t="s">
        <v>2670</v>
      </c>
      <c r="D2044" t="s">
        <v>1203</v>
      </c>
      <c r="E2044" t="s">
        <v>1204</v>
      </c>
      <c r="F2044">
        <v>5662</v>
      </c>
      <c r="G2044" t="s">
        <v>2675</v>
      </c>
      <c r="H2044" t="s">
        <v>2665</v>
      </c>
      <c r="I2044">
        <v>5460</v>
      </c>
      <c r="J2044">
        <v>5640</v>
      </c>
      <c r="K2044">
        <v>5825</v>
      </c>
      <c r="L2044">
        <v>5981</v>
      </c>
      <c r="N2044" t="s">
        <v>988</v>
      </c>
    </row>
    <row r="2045" spans="1:14" hidden="1" x14ac:dyDescent="0.3">
      <c r="A2045">
        <v>1333</v>
      </c>
      <c r="B2045" t="s">
        <v>1623</v>
      </c>
      <c r="C2045" t="s">
        <v>2670</v>
      </c>
      <c r="D2045" t="s">
        <v>1203</v>
      </c>
      <c r="E2045" t="s">
        <v>1204</v>
      </c>
      <c r="F2045">
        <v>5662</v>
      </c>
      <c r="G2045" t="s">
        <v>2675</v>
      </c>
      <c r="H2045" t="s">
        <v>2664</v>
      </c>
      <c r="I2045">
        <v>6220</v>
      </c>
      <c r="J2045">
        <v>6220</v>
      </c>
      <c r="K2045">
        <v>6220</v>
      </c>
      <c r="L2045">
        <v>6220</v>
      </c>
      <c r="N2045" t="s">
        <v>988</v>
      </c>
    </row>
    <row r="2046" spans="1:14" hidden="1" x14ac:dyDescent="0.3">
      <c r="A2046">
        <v>1333</v>
      </c>
      <c r="B2046" t="s">
        <v>1623</v>
      </c>
      <c r="C2046" t="s">
        <v>2670</v>
      </c>
      <c r="D2046" t="s">
        <v>1203</v>
      </c>
      <c r="E2046" t="s">
        <v>1204</v>
      </c>
      <c r="F2046">
        <v>5662</v>
      </c>
      <c r="G2046" t="s">
        <v>2672</v>
      </c>
      <c r="H2046" t="s">
        <v>2665</v>
      </c>
      <c r="N2046" t="s">
        <v>988</v>
      </c>
    </row>
    <row r="2047" spans="1:14" hidden="1" x14ac:dyDescent="0.3">
      <c r="A2047">
        <v>1333</v>
      </c>
      <c r="B2047" t="s">
        <v>1623</v>
      </c>
      <c r="C2047" t="s">
        <v>2670</v>
      </c>
      <c r="D2047" t="s">
        <v>1203</v>
      </c>
      <c r="E2047" t="s">
        <v>1204</v>
      </c>
      <c r="F2047">
        <v>5662</v>
      </c>
      <c r="G2047" t="s">
        <v>2672</v>
      </c>
      <c r="H2047" t="s">
        <v>2664</v>
      </c>
      <c r="N2047" t="s">
        <v>988</v>
      </c>
    </row>
    <row r="2048" spans="1:14" hidden="1" x14ac:dyDescent="0.3">
      <c r="A2048">
        <v>1333</v>
      </c>
      <c r="B2048" t="s">
        <v>1623</v>
      </c>
      <c r="C2048" t="s">
        <v>2670</v>
      </c>
      <c r="D2048" t="s">
        <v>1203</v>
      </c>
      <c r="E2048" t="s">
        <v>1204</v>
      </c>
      <c r="F2048">
        <v>5662</v>
      </c>
      <c r="G2048" t="s">
        <v>2671</v>
      </c>
      <c r="H2048" t="s">
        <v>2665</v>
      </c>
      <c r="I2048">
        <v>5460</v>
      </c>
      <c r="J2048">
        <v>5640</v>
      </c>
      <c r="K2048">
        <v>5825</v>
      </c>
      <c r="L2048">
        <v>5981</v>
      </c>
      <c r="N2048" t="s">
        <v>988</v>
      </c>
    </row>
    <row r="2049" spans="1:14" hidden="1" x14ac:dyDescent="0.3">
      <c r="A2049">
        <v>1333</v>
      </c>
      <c r="B2049" t="s">
        <v>1623</v>
      </c>
      <c r="C2049" t="s">
        <v>2670</v>
      </c>
      <c r="D2049" t="s">
        <v>1203</v>
      </c>
      <c r="E2049" t="s">
        <v>1204</v>
      </c>
      <c r="F2049">
        <v>5662</v>
      </c>
      <c r="G2049" t="s">
        <v>2671</v>
      </c>
      <c r="H2049" t="s">
        <v>2664</v>
      </c>
      <c r="I2049">
        <v>6981</v>
      </c>
      <c r="J2049">
        <v>6981</v>
      </c>
      <c r="K2049">
        <v>6981</v>
      </c>
      <c r="L2049">
        <v>6981</v>
      </c>
      <c r="N2049" t="s">
        <v>988</v>
      </c>
    </row>
    <row r="2050" spans="1:14" hidden="1" x14ac:dyDescent="0.3">
      <c r="A2050">
        <v>1333</v>
      </c>
      <c r="B2050" t="s">
        <v>1623</v>
      </c>
      <c r="C2050" t="s">
        <v>2670</v>
      </c>
      <c r="D2050" t="s">
        <v>1203</v>
      </c>
      <c r="E2050" t="s">
        <v>1204</v>
      </c>
      <c r="F2050">
        <v>5662</v>
      </c>
      <c r="G2050" t="s">
        <v>2673</v>
      </c>
      <c r="H2050" t="s">
        <v>2665</v>
      </c>
      <c r="I2050">
        <v>5460</v>
      </c>
      <c r="J2050">
        <v>5640</v>
      </c>
      <c r="K2050">
        <v>5825</v>
      </c>
      <c r="L2050">
        <v>5981</v>
      </c>
      <c r="N2050" t="s">
        <v>988</v>
      </c>
    </row>
    <row r="2051" spans="1:14" hidden="1" x14ac:dyDescent="0.3">
      <c r="A2051">
        <v>1333</v>
      </c>
      <c r="B2051" t="s">
        <v>1623</v>
      </c>
      <c r="C2051" t="s">
        <v>2670</v>
      </c>
      <c r="D2051" t="s">
        <v>1203</v>
      </c>
      <c r="E2051" t="s">
        <v>1204</v>
      </c>
      <c r="F2051">
        <v>5662</v>
      </c>
      <c r="G2051" t="s">
        <v>2673</v>
      </c>
      <c r="H2051" t="s">
        <v>2664</v>
      </c>
      <c r="I2051">
        <v>7532</v>
      </c>
      <c r="J2051">
        <v>7532</v>
      </c>
      <c r="K2051">
        <v>7532</v>
      </c>
      <c r="L2051">
        <v>7532</v>
      </c>
      <c r="N2051" t="s">
        <v>988</v>
      </c>
    </row>
    <row r="2052" spans="1:14" hidden="1" x14ac:dyDescent="0.3">
      <c r="A2052">
        <v>1333</v>
      </c>
      <c r="B2052" t="s">
        <v>1623</v>
      </c>
      <c r="C2052" t="s">
        <v>2670</v>
      </c>
      <c r="D2052" t="s">
        <v>1203</v>
      </c>
      <c r="E2052" t="s">
        <v>1204</v>
      </c>
      <c r="F2052">
        <v>5662</v>
      </c>
      <c r="G2052" t="s">
        <v>2674</v>
      </c>
      <c r="H2052" t="s">
        <v>2665</v>
      </c>
      <c r="I2052">
        <v>5460</v>
      </c>
      <c r="J2052">
        <v>5640</v>
      </c>
      <c r="K2052">
        <v>5825</v>
      </c>
      <c r="L2052">
        <v>5981</v>
      </c>
      <c r="N2052" t="s">
        <v>988</v>
      </c>
    </row>
    <row r="2053" spans="1:14" hidden="1" x14ac:dyDescent="0.3">
      <c r="A2053">
        <v>1333</v>
      </c>
      <c r="B2053" t="s">
        <v>1623</v>
      </c>
      <c r="C2053" t="s">
        <v>2670</v>
      </c>
      <c r="D2053" t="s">
        <v>1203</v>
      </c>
      <c r="E2053" t="s">
        <v>1204</v>
      </c>
      <c r="F2053">
        <v>5662</v>
      </c>
      <c r="G2053" t="s">
        <v>2674</v>
      </c>
      <c r="H2053" t="s">
        <v>2664</v>
      </c>
      <c r="I2053">
        <v>7031</v>
      </c>
      <c r="J2053">
        <v>7031</v>
      </c>
      <c r="K2053">
        <v>7031</v>
      </c>
      <c r="L2053">
        <v>7031</v>
      </c>
      <c r="N2053" t="s">
        <v>988</v>
      </c>
    </row>
    <row r="2054" spans="1:14" hidden="1" x14ac:dyDescent="0.3">
      <c r="A2054">
        <v>1335</v>
      </c>
      <c r="B2054" t="s">
        <v>1625</v>
      </c>
      <c r="C2054" t="s">
        <v>2670</v>
      </c>
      <c r="D2054" t="s">
        <v>1203</v>
      </c>
      <c r="E2054" t="s">
        <v>1204</v>
      </c>
      <c r="F2054">
        <v>5719</v>
      </c>
      <c r="G2054" t="s">
        <v>2672</v>
      </c>
      <c r="H2054" t="s">
        <v>2664</v>
      </c>
      <c r="N2054" t="s">
        <v>988</v>
      </c>
    </row>
    <row r="2055" spans="1:14" hidden="1" x14ac:dyDescent="0.3">
      <c r="A2055">
        <v>1335</v>
      </c>
      <c r="B2055" t="s">
        <v>1625</v>
      </c>
      <c r="C2055" t="s">
        <v>2670</v>
      </c>
      <c r="D2055" t="s">
        <v>1203</v>
      </c>
      <c r="E2055" t="s">
        <v>1204</v>
      </c>
      <c r="F2055">
        <v>5719</v>
      </c>
      <c r="G2055" t="s">
        <v>2672</v>
      </c>
      <c r="H2055" t="s">
        <v>2665</v>
      </c>
      <c r="N2055" t="s">
        <v>988</v>
      </c>
    </row>
    <row r="2056" spans="1:14" hidden="1" x14ac:dyDescent="0.3">
      <c r="A2056">
        <v>1335</v>
      </c>
      <c r="B2056" t="s">
        <v>1625</v>
      </c>
      <c r="C2056" t="s">
        <v>2670</v>
      </c>
      <c r="D2056" t="s">
        <v>1203</v>
      </c>
      <c r="E2056" t="s">
        <v>1204</v>
      </c>
      <c r="F2056">
        <v>5719</v>
      </c>
      <c r="G2056" t="s">
        <v>2676</v>
      </c>
      <c r="H2056" t="s">
        <v>2664</v>
      </c>
      <c r="I2056">
        <v>3953</v>
      </c>
      <c r="J2056">
        <v>4010</v>
      </c>
      <c r="K2056">
        <v>3981</v>
      </c>
      <c r="L2056">
        <v>3964</v>
      </c>
      <c r="M2056">
        <v>3938</v>
      </c>
      <c r="N2056" t="s">
        <v>988</v>
      </c>
    </row>
    <row r="2057" spans="1:14" hidden="1" x14ac:dyDescent="0.3">
      <c r="A2057">
        <v>1335</v>
      </c>
      <c r="B2057" t="s">
        <v>1625</v>
      </c>
      <c r="C2057" t="s">
        <v>2670</v>
      </c>
      <c r="D2057" t="s">
        <v>1203</v>
      </c>
      <c r="E2057" t="s">
        <v>1204</v>
      </c>
      <c r="F2057">
        <v>5719</v>
      </c>
      <c r="G2057" t="s">
        <v>2676</v>
      </c>
      <c r="H2057" t="s">
        <v>2665</v>
      </c>
      <c r="I2057">
        <v>3953</v>
      </c>
      <c r="J2057">
        <v>4010</v>
      </c>
      <c r="K2057">
        <v>3981</v>
      </c>
      <c r="L2057">
        <v>3964</v>
      </c>
      <c r="M2057">
        <v>3938</v>
      </c>
      <c r="N2057" t="s">
        <v>988</v>
      </c>
    </row>
    <row r="2058" spans="1:14" hidden="1" x14ac:dyDescent="0.3">
      <c r="A2058">
        <v>1335</v>
      </c>
      <c r="B2058" t="s">
        <v>1625</v>
      </c>
      <c r="C2058" t="s">
        <v>2670</v>
      </c>
      <c r="D2058" t="s">
        <v>1203</v>
      </c>
      <c r="E2058" t="s">
        <v>1204</v>
      </c>
      <c r="F2058">
        <v>5719</v>
      </c>
      <c r="G2058" t="s">
        <v>2675</v>
      </c>
      <c r="H2058" t="s">
        <v>2664</v>
      </c>
      <c r="I2058">
        <v>3767</v>
      </c>
      <c r="J2058">
        <v>3804</v>
      </c>
      <c r="K2058">
        <v>3779</v>
      </c>
      <c r="L2058">
        <v>3761</v>
      </c>
      <c r="M2058">
        <v>3742</v>
      </c>
      <c r="N2058" t="s">
        <v>988</v>
      </c>
    </row>
    <row r="2059" spans="1:14" hidden="1" x14ac:dyDescent="0.3">
      <c r="A2059">
        <v>1335</v>
      </c>
      <c r="B2059" t="s">
        <v>1625</v>
      </c>
      <c r="C2059" t="s">
        <v>2670</v>
      </c>
      <c r="D2059" t="s">
        <v>1203</v>
      </c>
      <c r="E2059" t="s">
        <v>1204</v>
      </c>
      <c r="F2059">
        <v>5719</v>
      </c>
      <c r="G2059" t="s">
        <v>2671</v>
      </c>
      <c r="H2059" t="s">
        <v>2665</v>
      </c>
      <c r="I2059">
        <v>3719</v>
      </c>
      <c r="J2059">
        <v>3708</v>
      </c>
      <c r="K2059">
        <v>3690</v>
      </c>
      <c r="L2059">
        <v>3668</v>
      </c>
      <c r="M2059">
        <v>3664</v>
      </c>
      <c r="N2059" t="s">
        <v>988</v>
      </c>
    </row>
    <row r="2060" spans="1:14" hidden="1" x14ac:dyDescent="0.3">
      <c r="A2060">
        <v>1335</v>
      </c>
      <c r="B2060" t="s">
        <v>1625</v>
      </c>
      <c r="C2060" t="s">
        <v>2670</v>
      </c>
      <c r="D2060" t="s">
        <v>1203</v>
      </c>
      <c r="E2060" t="s">
        <v>1204</v>
      </c>
      <c r="F2060">
        <v>5719</v>
      </c>
      <c r="G2060" t="s">
        <v>2674</v>
      </c>
      <c r="H2060" t="s">
        <v>2664</v>
      </c>
      <c r="I2060">
        <v>3698</v>
      </c>
      <c r="J2060">
        <v>3719</v>
      </c>
      <c r="K2060">
        <v>3697</v>
      </c>
      <c r="L2060">
        <v>3678</v>
      </c>
      <c r="M2060">
        <v>3664</v>
      </c>
      <c r="N2060" t="s">
        <v>988</v>
      </c>
    </row>
    <row r="2061" spans="1:14" hidden="1" x14ac:dyDescent="0.3">
      <c r="A2061">
        <v>1335</v>
      </c>
      <c r="B2061" t="s">
        <v>1625</v>
      </c>
      <c r="C2061" t="s">
        <v>2670</v>
      </c>
      <c r="D2061" t="s">
        <v>1203</v>
      </c>
      <c r="E2061" t="s">
        <v>1204</v>
      </c>
      <c r="F2061">
        <v>5719</v>
      </c>
      <c r="G2061" t="s">
        <v>2674</v>
      </c>
      <c r="H2061" t="s">
        <v>2665</v>
      </c>
      <c r="I2061">
        <v>3698</v>
      </c>
      <c r="J2061">
        <v>3719</v>
      </c>
      <c r="K2061">
        <v>3697</v>
      </c>
      <c r="L2061">
        <v>3678</v>
      </c>
      <c r="M2061">
        <v>3664</v>
      </c>
      <c r="N2061" t="s">
        <v>988</v>
      </c>
    </row>
    <row r="2062" spans="1:14" hidden="1" x14ac:dyDescent="0.3">
      <c r="A2062">
        <v>1335</v>
      </c>
      <c r="B2062" t="s">
        <v>1625</v>
      </c>
      <c r="C2062" t="s">
        <v>2670</v>
      </c>
      <c r="D2062" t="s">
        <v>1203</v>
      </c>
      <c r="E2062" t="s">
        <v>1204</v>
      </c>
      <c r="F2062">
        <v>5719</v>
      </c>
      <c r="G2062" t="s">
        <v>2673</v>
      </c>
      <c r="H2062" t="s">
        <v>2664</v>
      </c>
      <c r="I2062">
        <v>3709</v>
      </c>
      <c r="J2062">
        <v>3714</v>
      </c>
      <c r="K2062">
        <v>3694</v>
      </c>
      <c r="L2062">
        <v>3673</v>
      </c>
      <c r="M2062">
        <v>3664</v>
      </c>
      <c r="N2062" t="s">
        <v>988</v>
      </c>
    </row>
    <row r="2063" spans="1:14" hidden="1" x14ac:dyDescent="0.3">
      <c r="A2063">
        <v>1335</v>
      </c>
      <c r="B2063" t="s">
        <v>1625</v>
      </c>
      <c r="C2063" t="s">
        <v>2670</v>
      </c>
      <c r="D2063" t="s">
        <v>1203</v>
      </c>
      <c r="E2063" t="s">
        <v>1204</v>
      </c>
      <c r="F2063">
        <v>5719</v>
      </c>
      <c r="G2063" t="s">
        <v>2673</v>
      </c>
      <c r="H2063" t="s">
        <v>2665</v>
      </c>
      <c r="I2063">
        <v>3709</v>
      </c>
      <c r="J2063">
        <v>3714</v>
      </c>
      <c r="K2063">
        <v>3694</v>
      </c>
      <c r="L2063">
        <v>3673</v>
      </c>
      <c r="M2063">
        <v>3664</v>
      </c>
      <c r="N2063" t="s">
        <v>988</v>
      </c>
    </row>
    <row r="2064" spans="1:14" hidden="1" x14ac:dyDescent="0.3">
      <c r="A2064">
        <v>1335</v>
      </c>
      <c r="B2064" t="s">
        <v>1625</v>
      </c>
      <c r="C2064" t="s">
        <v>2670</v>
      </c>
      <c r="D2064" t="s">
        <v>1203</v>
      </c>
      <c r="E2064" t="s">
        <v>1204</v>
      </c>
      <c r="F2064">
        <v>5719</v>
      </c>
      <c r="G2064" t="s">
        <v>2671</v>
      </c>
      <c r="H2064" t="s">
        <v>2664</v>
      </c>
      <c r="I2064">
        <v>3719</v>
      </c>
      <c r="J2064">
        <v>3708</v>
      </c>
      <c r="K2064">
        <v>3690</v>
      </c>
      <c r="L2064">
        <v>3668</v>
      </c>
      <c r="M2064">
        <v>3664</v>
      </c>
      <c r="N2064" t="s">
        <v>988</v>
      </c>
    </row>
    <row r="2065" spans="1:14" hidden="1" x14ac:dyDescent="0.3">
      <c r="A2065">
        <v>1335</v>
      </c>
      <c r="B2065" t="s">
        <v>1625</v>
      </c>
      <c r="C2065" t="s">
        <v>2670</v>
      </c>
      <c r="D2065" t="s">
        <v>1203</v>
      </c>
      <c r="E2065" t="s">
        <v>1204</v>
      </c>
      <c r="F2065">
        <v>5719</v>
      </c>
      <c r="G2065" t="s">
        <v>2675</v>
      </c>
      <c r="H2065" t="s">
        <v>2665</v>
      </c>
      <c r="I2065">
        <v>3767</v>
      </c>
      <c r="J2065">
        <v>3804</v>
      </c>
      <c r="K2065">
        <v>3779</v>
      </c>
      <c r="L2065">
        <v>3761</v>
      </c>
      <c r="M2065">
        <v>3742</v>
      </c>
      <c r="N2065" t="s">
        <v>988</v>
      </c>
    </row>
    <row r="2066" spans="1:14" hidden="1" x14ac:dyDescent="0.3">
      <c r="A2066">
        <v>1343</v>
      </c>
      <c r="B2066" t="s">
        <v>1626</v>
      </c>
      <c r="C2066" t="s">
        <v>2670</v>
      </c>
      <c r="D2066" t="s">
        <v>1203</v>
      </c>
      <c r="E2066" t="s">
        <v>1204</v>
      </c>
      <c r="F2066">
        <v>5845</v>
      </c>
      <c r="G2066" t="s">
        <v>2676</v>
      </c>
      <c r="H2066" t="s">
        <v>2664</v>
      </c>
      <c r="I2066">
        <v>2945.7</v>
      </c>
      <c r="J2066">
        <v>2975.7</v>
      </c>
      <c r="K2066">
        <v>3036</v>
      </c>
      <c r="L2066">
        <v>3065.7</v>
      </c>
      <c r="M2066">
        <v>3095.7</v>
      </c>
      <c r="N2066" t="s">
        <v>988</v>
      </c>
    </row>
    <row r="2067" spans="1:14" hidden="1" x14ac:dyDescent="0.3">
      <c r="A2067">
        <v>1343</v>
      </c>
      <c r="B2067" t="s">
        <v>1626</v>
      </c>
      <c r="C2067" t="s">
        <v>2670</v>
      </c>
      <c r="D2067" t="s">
        <v>1203</v>
      </c>
      <c r="E2067" t="s">
        <v>1204</v>
      </c>
      <c r="F2067">
        <v>5845</v>
      </c>
      <c r="G2067" t="s">
        <v>2672</v>
      </c>
      <c r="H2067" t="s">
        <v>2665</v>
      </c>
      <c r="N2067" t="s">
        <v>988</v>
      </c>
    </row>
    <row r="2068" spans="1:14" hidden="1" x14ac:dyDescent="0.3">
      <c r="A2068">
        <v>1343</v>
      </c>
      <c r="B2068" t="s">
        <v>1626</v>
      </c>
      <c r="C2068" t="s">
        <v>2670</v>
      </c>
      <c r="D2068" t="s">
        <v>1203</v>
      </c>
      <c r="E2068" t="s">
        <v>1204</v>
      </c>
      <c r="F2068">
        <v>5845</v>
      </c>
      <c r="G2068" t="s">
        <v>2672</v>
      </c>
      <c r="H2068" t="s">
        <v>2664</v>
      </c>
      <c r="N2068" t="s">
        <v>988</v>
      </c>
    </row>
    <row r="2069" spans="1:14" hidden="1" x14ac:dyDescent="0.3">
      <c r="A2069">
        <v>1343</v>
      </c>
      <c r="B2069" t="s">
        <v>1626</v>
      </c>
      <c r="C2069" t="s">
        <v>2670</v>
      </c>
      <c r="D2069" t="s">
        <v>1203</v>
      </c>
      <c r="E2069" t="s">
        <v>1204</v>
      </c>
      <c r="F2069">
        <v>5845</v>
      </c>
      <c r="G2069" t="s">
        <v>2671</v>
      </c>
      <c r="H2069" t="s">
        <v>2665</v>
      </c>
      <c r="I2069">
        <v>1358.4</v>
      </c>
      <c r="J2069">
        <v>1381.3</v>
      </c>
      <c r="K2069">
        <v>1397.5</v>
      </c>
      <c r="L2069">
        <v>1416</v>
      </c>
      <c r="M2069">
        <v>1434</v>
      </c>
      <c r="N2069" t="s">
        <v>988</v>
      </c>
    </row>
    <row r="2070" spans="1:14" hidden="1" x14ac:dyDescent="0.3">
      <c r="A2070">
        <v>1343</v>
      </c>
      <c r="B2070" t="s">
        <v>1626</v>
      </c>
      <c r="C2070" t="s">
        <v>2670</v>
      </c>
      <c r="D2070" t="s">
        <v>1203</v>
      </c>
      <c r="E2070" t="s">
        <v>1204</v>
      </c>
      <c r="F2070">
        <v>5845</v>
      </c>
      <c r="G2070" t="s">
        <v>2671</v>
      </c>
      <c r="H2070" t="s">
        <v>2664</v>
      </c>
      <c r="I2070">
        <v>2283.6</v>
      </c>
      <c r="J2070">
        <v>2301.6</v>
      </c>
      <c r="K2070">
        <v>2337.6</v>
      </c>
      <c r="L2070">
        <v>2356</v>
      </c>
      <c r="M2070">
        <v>2374</v>
      </c>
      <c r="N2070" t="s">
        <v>988</v>
      </c>
    </row>
    <row r="2071" spans="1:14" hidden="1" x14ac:dyDescent="0.3">
      <c r="A2071">
        <v>1343</v>
      </c>
      <c r="B2071" t="s">
        <v>1626</v>
      </c>
      <c r="C2071" t="s">
        <v>2670</v>
      </c>
      <c r="D2071" t="s">
        <v>1203</v>
      </c>
      <c r="E2071" t="s">
        <v>1204</v>
      </c>
      <c r="F2071">
        <v>5845</v>
      </c>
      <c r="G2071" t="s">
        <v>2673</v>
      </c>
      <c r="H2071" t="s">
        <v>2665</v>
      </c>
      <c r="I2071">
        <v>1344</v>
      </c>
      <c r="J2071">
        <v>1367</v>
      </c>
      <c r="K2071">
        <v>1384.2</v>
      </c>
      <c r="L2071">
        <v>1402</v>
      </c>
      <c r="M2071">
        <v>1420</v>
      </c>
      <c r="N2071" t="s">
        <v>988</v>
      </c>
    </row>
    <row r="2072" spans="1:14" hidden="1" x14ac:dyDescent="0.3">
      <c r="A2072">
        <v>1343</v>
      </c>
      <c r="B2072" t="s">
        <v>1626</v>
      </c>
      <c r="C2072" t="s">
        <v>2670</v>
      </c>
      <c r="D2072" t="s">
        <v>1203</v>
      </c>
      <c r="E2072" t="s">
        <v>1204</v>
      </c>
      <c r="F2072">
        <v>5845</v>
      </c>
      <c r="G2072" t="s">
        <v>2673</v>
      </c>
      <c r="H2072" t="s">
        <v>2664</v>
      </c>
      <c r="I2072">
        <v>2469</v>
      </c>
      <c r="J2072">
        <v>2490</v>
      </c>
      <c r="K2072">
        <v>2531.6999999999998</v>
      </c>
      <c r="L2072">
        <v>2553</v>
      </c>
      <c r="M2072">
        <v>2574</v>
      </c>
      <c r="N2072" t="s">
        <v>988</v>
      </c>
    </row>
    <row r="2073" spans="1:14" hidden="1" x14ac:dyDescent="0.3">
      <c r="A2073">
        <v>1343</v>
      </c>
      <c r="B2073" t="s">
        <v>1626</v>
      </c>
      <c r="C2073" t="s">
        <v>2670</v>
      </c>
      <c r="D2073" t="s">
        <v>1203</v>
      </c>
      <c r="E2073" t="s">
        <v>1204</v>
      </c>
      <c r="F2073">
        <v>5845</v>
      </c>
      <c r="G2073" t="s">
        <v>2674</v>
      </c>
      <c r="H2073" t="s">
        <v>2665</v>
      </c>
      <c r="I2073">
        <v>1402.1</v>
      </c>
      <c r="J2073">
        <v>1421</v>
      </c>
      <c r="K2073">
        <v>1441.4</v>
      </c>
      <c r="L2073">
        <v>1460.4</v>
      </c>
      <c r="M2073">
        <v>1479.4</v>
      </c>
      <c r="N2073" t="s">
        <v>988</v>
      </c>
    </row>
    <row r="2074" spans="1:14" hidden="1" x14ac:dyDescent="0.3">
      <c r="A2074">
        <v>1343</v>
      </c>
      <c r="B2074" t="s">
        <v>1626</v>
      </c>
      <c r="C2074" t="s">
        <v>2670</v>
      </c>
      <c r="D2074" t="s">
        <v>1203</v>
      </c>
      <c r="E2074" t="s">
        <v>1204</v>
      </c>
      <c r="F2074">
        <v>5845</v>
      </c>
      <c r="G2074" t="s">
        <v>2674</v>
      </c>
      <c r="H2074" t="s">
        <v>2664</v>
      </c>
      <c r="I2074">
        <v>2575.5</v>
      </c>
      <c r="J2074">
        <v>2600</v>
      </c>
      <c r="K2074">
        <v>2647.5</v>
      </c>
      <c r="L2074">
        <v>2671.5</v>
      </c>
      <c r="M2074">
        <v>2695.5</v>
      </c>
      <c r="N2074" t="s">
        <v>988</v>
      </c>
    </row>
    <row r="2075" spans="1:14" hidden="1" x14ac:dyDescent="0.3">
      <c r="A2075">
        <v>1343</v>
      </c>
      <c r="B2075" t="s">
        <v>1626</v>
      </c>
      <c r="C2075" t="s">
        <v>2670</v>
      </c>
      <c r="D2075" t="s">
        <v>1203</v>
      </c>
      <c r="E2075" t="s">
        <v>1204</v>
      </c>
      <c r="F2075">
        <v>5845</v>
      </c>
      <c r="G2075" t="s">
        <v>2675</v>
      </c>
      <c r="H2075" t="s">
        <v>2665</v>
      </c>
      <c r="I2075">
        <v>1523</v>
      </c>
      <c r="J2075">
        <v>1542</v>
      </c>
      <c r="K2075">
        <v>1565.7</v>
      </c>
      <c r="L2075">
        <v>1585</v>
      </c>
      <c r="M2075">
        <v>1605</v>
      </c>
      <c r="N2075" t="s">
        <v>988</v>
      </c>
    </row>
    <row r="2076" spans="1:14" hidden="1" x14ac:dyDescent="0.3">
      <c r="A2076">
        <v>1343</v>
      </c>
      <c r="B2076" t="s">
        <v>1626</v>
      </c>
      <c r="C2076" t="s">
        <v>2670</v>
      </c>
      <c r="D2076" t="s">
        <v>1203</v>
      </c>
      <c r="E2076" t="s">
        <v>1204</v>
      </c>
      <c r="F2076">
        <v>5845</v>
      </c>
      <c r="G2076" t="s">
        <v>2675</v>
      </c>
      <c r="H2076" t="s">
        <v>2664</v>
      </c>
      <c r="I2076">
        <v>2682</v>
      </c>
      <c r="J2076">
        <v>2709</v>
      </c>
      <c r="K2076">
        <v>2763.3</v>
      </c>
      <c r="L2076">
        <v>2790</v>
      </c>
      <c r="M2076">
        <v>2817</v>
      </c>
      <c r="N2076" t="s">
        <v>988</v>
      </c>
    </row>
    <row r="2077" spans="1:14" hidden="1" x14ac:dyDescent="0.3">
      <c r="A2077">
        <v>1343</v>
      </c>
      <c r="B2077" t="s">
        <v>1626</v>
      </c>
      <c r="C2077" t="s">
        <v>2670</v>
      </c>
      <c r="D2077" t="s">
        <v>1203</v>
      </c>
      <c r="E2077" t="s">
        <v>1204</v>
      </c>
      <c r="F2077">
        <v>5845</v>
      </c>
      <c r="G2077" t="s">
        <v>2676</v>
      </c>
      <c r="H2077" t="s">
        <v>2665</v>
      </c>
      <c r="I2077">
        <v>1518.3</v>
      </c>
      <c r="J2077">
        <v>1537.2</v>
      </c>
      <c r="K2077">
        <v>1562</v>
      </c>
      <c r="L2077">
        <v>1581.3</v>
      </c>
      <c r="M2077">
        <v>1601.3</v>
      </c>
      <c r="N2077" t="s">
        <v>988</v>
      </c>
    </row>
    <row r="2078" spans="1:14" hidden="1" x14ac:dyDescent="0.3">
      <c r="A2078">
        <v>1352</v>
      </c>
      <c r="B2078" t="s">
        <v>1631</v>
      </c>
      <c r="C2078" t="s">
        <v>2670</v>
      </c>
      <c r="D2078" t="s">
        <v>1203</v>
      </c>
      <c r="E2078" t="s">
        <v>1204</v>
      </c>
      <c r="F2078">
        <v>6941</v>
      </c>
      <c r="G2078" t="s">
        <v>2671</v>
      </c>
      <c r="H2078" t="s">
        <v>2665</v>
      </c>
      <c r="I2078">
        <v>15482</v>
      </c>
      <c r="J2078">
        <v>15954</v>
      </c>
      <c r="K2078">
        <v>16455</v>
      </c>
      <c r="L2078">
        <v>16985</v>
      </c>
      <c r="N2078" t="s">
        <v>988</v>
      </c>
    </row>
    <row r="2079" spans="1:14" hidden="1" x14ac:dyDescent="0.3">
      <c r="A2079">
        <v>1352</v>
      </c>
      <c r="B2079" t="s">
        <v>1631</v>
      </c>
      <c r="C2079" t="s">
        <v>2670</v>
      </c>
      <c r="D2079" t="s">
        <v>1203</v>
      </c>
      <c r="E2079" t="s">
        <v>1204</v>
      </c>
      <c r="F2079">
        <v>6941</v>
      </c>
      <c r="G2079" t="s">
        <v>2672</v>
      </c>
      <c r="H2079" t="s">
        <v>2664</v>
      </c>
      <c r="N2079" t="s">
        <v>988</v>
      </c>
    </row>
    <row r="2080" spans="1:14" hidden="1" x14ac:dyDescent="0.3">
      <c r="A2080">
        <v>1352</v>
      </c>
      <c r="B2080" t="s">
        <v>1631</v>
      </c>
      <c r="C2080" t="s">
        <v>2670</v>
      </c>
      <c r="D2080" t="s">
        <v>1203</v>
      </c>
      <c r="E2080" t="s">
        <v>1204</v>
      </c>
      <c r="F2080">
        <v>6941</v>
      </c>
      <c r="G2080" t="s">
        <v>2676</v>
      </c>
      <c r="H2080" t="s">
        <v>2664</v>
      </c>
      <c r="I2080">
        <v>18320</v>
      </c>
      <c r="J2080">
        <v>18880</v>
      </c>
      <c r="K2080">
        <v>19410</v>
      </c>
      <c r="L2080">
        <v>19910</v>
      </c>
      <c r="N2080" t="s">
        <v>988</v>
      </c>
    </row>
    <row r="2081" spans="1:14" hidden="1" x14ac:dyDescent="0.3">
      <c r="A2081">
        <v>1352</v>
      </c>
      <c r="B2081" t="s">
        <v>1631</v>
      </c>
      <c r="C2081" t="s">
        <v>2670</v>
      </c>
      <c r="D2081" t="s">
        <v>1203</v>
      </c>
      <c r="E2081" t="s">
        <v>1204</v>
      </c>
      <c r="F2081">
        <v>6941</v>
      </c>
      <c r="G2081" t="s">
        <v>2676</v>
      </c>
      <c r="H2081" t="s">
        <v>2665</v>
      </c>
      <c r="I2081">
        <v>16969</v>
      </c>
      <c r="J2081">
        <v>17486</v>
      </c>
      <c r="K2081">
        <v>18035</v>
      </c>
      <c r="L2081">
        <v>18616</v>
      </c>
      <c r="N2081" t="s">
        <v>988</v>
      </c>
    </row>
    <row r="2082" spans="1:14" hidden="1" x14ac:dyDescent="0.3">
      <c r="A2082">
        <v>1352</v>
      </c>
      <c r="B2082" t="s">
        <v>1631</v>
      </c>
      <c r="C2082" t="s">
        <v>2670</v>
      </c>
      <c r="D2082" t="s">
        <v>1203</v>
      </c>
      <c r="E2082" t="s">
        <v>1204</v>
      </c>
      <c r="F2082">
        <v>6941</v>
      </c>
      <c r="G2082" t="s">
        <v>2675</v>
      </c>
      <c r="H2082" t="s">
        <v>2664</v>
      </c>
      <c r="I2082">
        <v>17770</v>
      </c>
      <c r="J2082">
        <v>18314</v>
      </c>
      <c r="K2082">
        <v>18828</v>
      </c>
      <c r="L2082">
        <v>19313</v>
      </c>
      <c r="N2082" t="s">
        <v>988</v>
      </c>
    </row>
    <row r="2083" spans="1:14" hidden="1" x14ac:dyDescent="0.3">
      <c r="A2083">
        <v>1352</v>
      </c>
      <c r="B2083" t="s">
        <v>1631</v>
      </c>
      <c r="C2083" t="s">
        <v>2670</v>
      </c>
      <c r="D2083" t="s">
        <v>1203</v>
      </c>
      <c r="E2083" t="s">
        <v>1204</v>
      </c>
      <c r="F2083">
        <v>6941</v>
      </c>
      <c r="G2083" t="s">
        <v>2675</v>
      </c>
      <c r="H2083" t="s">
        <v>2665</v>
      </c>
      <c r="I2083">
        <v>16630</v>
      </c>
      <c r="J2083">
        <v>17136</v>
      </c>
      <c r="K2083">
        <v>17674</v>
      </c>
      <c r="L2083">
        <v>18244</v>
      </c>
      <c r="N2083" t="s">
        <v>988</v>
      </c>
    </row>
    <row r="2084" spans="1:14" hidden="1" x14ac:dyDescent="0.3">
      <c r="A2084">
        <v>1352</v>
      </c>
      <c r="B2084" t="s">
        <v>1631</v>
      </c>
      <c r="C2084" t="s">
        <v>2670</v>
      </c>
      <c r="D2084" t="s">
        <v>1203</v>
      </c>
      <c r="E2084" t="s">
        <v>1204</v>
      </c>
      <c r="F2084">
        <v>6941</v>
      </c>
      <c r="G2084" t="s">
        <v>2674</v>
      </c>
      <c r="H2084" t="s">
        <v>2664</v>
      </c>
      <c r="I2084">
        <v>17237</v>
      </c>
      <c r="J2084">
        <v>17764</v>
      </c>
      <c r="K2084">
        <v>18263</v>
      </c>
      <c r="L2084">
        <v>18733</v>
      </c>
      <c r="N2084" t="s">
        <v>988</v>
      </c>
    </row>
    <row r="2085" spans="1:14" hidden="1" x14ac:dyDescent="0.3">
      <c r="A2085">
        <v>1352</v>
      </c>
      <c r="B2085" t="s">
        <v>1631</v>
      </c>
      <c r="C2085" t="s">
        <v>2670</v>
      </c>
      <c r="D2085" t="s">
        <v>1203</v>
      </c>
      <c r="E2085" t="s">
        <v>1204</v>
      </c>
      <c r="F2085">
        <v>6941</v>
      </c>
      <c r="G2085" t="s">
        <v>2674</v>
      </c>
      <c r="H2085" t="s">
        <v>2665</v>
      </c>
      <c r="I2085">
        <v>16297</v>
      </c>
      <c r="J2085">
        <v>16794</v>
      </c>
      <c r="K2085">
        <v>17321</v>
      </c>
      <c r="L2085">
        <v>17879</v>
      </c>
      <c r="N2085" t="s">
        <v>988</v>
      </c>
    </row>
    <row r="2086" spans="1:14" hidden="1" x14ac:dyDescent="0.3">
      <c r="A2086">
        <v>1352</v>
      </c>
      <c r="B2086" t="s">
        <v>1631</v>
      </c>
      <c r="C2086" t="s">
        <v>2670</v>
      </c>
      <c r="D2086" t="s">
        <v>1203</v>
      </c>
      <c r="E2086" t="s">
        <v>1204</v>
      </c>
      <c r="F2086">
        <v>6941</v>
      </c>
      <c r="G2086" t="s">
        <v>2673</v>
      </c>
      <c r="H2086" t="s">
        <v>2664</v>
      </c>
      <c r="I2086">
        <v>16720</v>
      </c>
      <c r="J2086">
        <v>17231</v>
      </c>
      <c r="K2086">
        <v>17715</v>
      </c>
      <c r="L2086">
        <v>18171</v>
      </c>
      <c r="N2086" t="s">
        <v>988</v>
      </c>
    </row>
    <row r="2087" spans="1:14" hidden="1" x14ac:dyDescent="0.3">
      <c r="A2087">
        <v>1352</v>
      </c>
      <c r="B2087" t="s">
        <v>1631</v>
      </c>
      <c r="C2087" t="s">
        <v>2670</v>
      </c>
      <c r="D2087" t="s">
        <v>1203</v>
      </c>
      <c r="E2087" t="s">
        <v>1204</v>
      </c>
      <c r="F2087">
        <v>6941</v>
      </c>
      <c r="G2087" t="s">
        <v>2673</v>
      </c>
      <c r="H2087" t="s">
        <v>2665</v>
      </c>
      <c r="I2087">
        <v>15482</v>
      </c>
      <c r="J2087">
        <v>15954</v>
      </c>
      <c r="K2087">
        <v>16455</v>
      </c>
      <c r="L2087">
        <v>16985</v>
      </c>
      <c r="N2087" t="s">
        <v>988</v>
      </c>
    </row>
    <row r="2088" spans="1:14" hidden="1" x14ac:dyDescent="0.3">
      <c r="A2088">
        <v>1352</v>
      </c>
      <c r="B2088" t="s">
        <v>1631</v>
      </c>
      <c r="C2088" t="s">
        <v>2670</v>
      </c>
      <c r="D2088" t="s">
        <v>1203</v>
      </c>
      <c r="E2088" t="s">
        <v>1204</v>
      </c>
      <c r="F2088">
        <v>6941</v>
      </c>
      <c r="G2088" t="s">
        <v>2671</v>
      </c>
      <c r="H2088" t="s">
        <v>2664</v>
      </c>
      <c r="I2088">
        <v>16219</v>
      </c>
      <c r="J2088">
        <v>16714</v>
      </c>
      <c r="K2088">
        <v>17184</v>
      </c>
      <c r="L2088">
        <v>17626</v>
      </c>
      <c r="N2088" t="s">
        <v>988</v>
      </c>
    </row>
    <row r="2089" spans="1:14" hidden="1" x14ac:dyDescent="0.3">
      <c r="A2089">
        <v>1352</v>
      </c>
      <c r="B2089" t="s">
        <v>1631</v>
      </c>
      <c r="C2089" t="s">
        <v>2670</v>
      </c>
      <c r="D2089" t="s">
        <v>1203</v>
      </c>
      <c r="E2089" t="s">
        <v>1204</v>
      </c>
      <c r="F2089">
        <v>6941</v>
      </c>
      <c r="G2089" t="s">
        <v>2672</v>
      </c>
      <c r="H2089" t="s">
        <v>2665</v>
      </c>
      <c r="N2089" t="s">
        <v>988</v>
      </c>
    </row>
    <row r="2090" spans="1:14" hidden="1" x14ac:dyDescent="0.3">
      <c r="A2090">
        <v>1368</v>
      </c>
      <c r="B2090" t="s">
        <v>1632</v>
      </c>
      <c r="C2090" t="s">
        <v>2670</v>
      </c>
      <c r="D2090" t="s">
        <v>1203</v>
      </c>
      <c r="E2090" t="s">
        <v>1204</v>
      </c>
      <c r="F2090">
        <v>5455</v>
      </c>
      <c r="G2090" t="s">
        <v>2672</v>
      </c>
      <c r="H2090" t="s">
        <v>2664</v>
      </c>
      <c r="N2090" t="s">
        <v>988</v>
      </c>
    </row>
    <row r="2091" spans="1:14" hidden="1" x14ac:dyDescent="0.3">
      <c r="A2091">
        <v>1368</v>
      </c>
      <c r="B2091" t="s">
        <v>1632</v>
      </c>
      <c r="C2091" t="s">
        <v>2670</v>
      </c>
      <c r="D2091" t="s">
        <v>1203</v>
      </c>
      <c r="E2091" t="s">
        <v>1204</v>
      </c>
      <c r="F2091">
        <v>5455</v>
      </c>
      <c r="G2091" t="s">
        <v>2672</v>
      </c>
      <c r="H2091" t="s">
        <v>2665</v>
      </c>
      <c r="N2091" t="s">
        <v>988</v>
      </c>
    </row>
    <row r="2092" spans="1:14" hidden="1" x14ac:dyDescent="0.3">
      <c r="A2092">
        <v>1368</v>
      </c>
      <c r="B2092" t="s">
        <v>1632</v>
      </c>
      <c r="C2092" t="s">
        <v>2670</v>
      </c>
      <c r="D2092" t="s">
        <v>1203</v>
      </c>
      <c r="E2092" t="s">
        <v>1204</v>
      </c>
      <c r="F2092">
        <v>5455</v>
      </c>
      <c r="G2092" t="s">
        <v>2673</v>
      </c>
      <c r="H2092" t="s">
        <v>2665</v>
      </c>
      <c r="I2092">
        <v>4610</v>
      </c>
      <c r="J2092">
        <v>4785</v>
      </c>
      <c r="K2092">
        <v>4819</v>
      </c>
      <c r="L2092">
        <v>4922</v>
      </c>
      <c r="M2092">
        <v>5017</v>
      </c>
      <c r="N2092" t="s">
        <v>988</v>
      </c>
    </row>
    <row r="2093" spans="1:14" hidden="1" x14ac:dyDescent="0.3">
      <c r="A2093">
        <v>1368</v>
      </c>
      <c r="B2093" t="s">
        <v>1632</v>
      </c>
      <c r="C2093" t="s">
        <v>2670</v>
      </c>
      <c r="D2093" t="s">
        <v>1203</v>
      </c>
      <c r="E2093" t="s">
        <v>1204</v>
      </c>
      <c r="F2093">
        <v>5455</v>
      </c>
      <c r="G2093" t="s">
        <v>2673</v>
      </c>
      <c r="H2093" t="s">
        <v>2664</v>
      </c>
      <c r="I2093">
        <v>4656</v>
      </c>
      <c r="J2093">
        <v>4840</v>
      </c>
      <c r="K2093">
        <v>4875</v>
      </c>
      <c r="L2093">
        <v>4978</v>
      </c>
      <c r="M2093">
        <v>5073</v>
      </c>
      <c r="N2093" t="s">
        <v>988</v>
      </c>
    </row>
    <row r="2094" spans="1:14" hidden="1" x14ac:dyDescent="0.3">
      <c r="A2094">
        <v>1368</v>
      </c>
      <c r="B2094" t="s">
        <v>1632</v>
      </c>
      <c r="C2094" t="s">
        <v>2670</v>
      </c>
      <c r="D2094" t="s">
        <v>1203</v>
      </c>
      <c r="E2094" t="s">
        <v>1204</v>
      </c>
      <c r="F2094">
        <v>5455</v>
      </c>
      <c r="G2094" t="s">
        <v>2674</v>
      </c>
      <c r="H2094" t="s">
        <v>2665</v>
      </c>
      <c r="I2094">
        <v>4567</v>
      </c>
      <c r="J2094">
        <v>4740</v>
      </c>
      <c r="K2094">
        <v>4774</v>
      </c>
      <c r="L2094">
        <v>4876</v>
      </c>
      <c r="M2094">
        <v>4970</v>
      </c>
      <c r="N2094" t="s">
        <v>988</v>
      </c>
    </row>
    <row r="2095" spans="1:14" hidden="1" x14ac:dyDescent="0.3">
      <c r="A2095">
        <v>1368</v>
      </c>
      <c r="B2095" t="s">
        <v>1632</v>
      </c>
      <c r="C2095" t="s">
        <v>2670</v>
      </c>
      <c r="D2095" t="s">
        <v>1203</v>
      </c>
      <c r="E2095" t="s">
        <v>1204</v>
      </c>
      <c r="F2095">
        <v>5455</v>
      </c>
      <c r="G2095" t="s">
        <v>2671</v>
      </c>
      <c r="H2095" t="s">
        <v>2664</v>
      </c>
      <c r="I2095">
        <v>4702</v>
      </c>
      <c r="J2095">
        <v>4889</v>
      </c>
      <c r="K2095">
        <v>4924</v>
      </c>
      <c r="L2095">
        <v>5028</v>
      </c>
      <c r="M2095">
        <v>5124</v>
      </c>
      <c r="N2095" t="s">
        <v>988</v>
      </c>
    </row>
    <row r="2096" spans="1:14" hidden="1" x14ac:dyDescent="0.3">
      <c r="A2096">
        <v>1368</v>
      </c>
      <c r="B2096" t="s">
        <v>1632</v>
      </c>
      <c r="C2096" t="s">
        <v>2670</v>
      </c>
      <c r="D2096" t="s">
        <v>1203</v>
      </c>
      <c r="E2096" t="s">
        <v>1204</v>
      </c>
      <c r="F2096">
        <v>5455</v>
      </c>
      <c r="G2096" t="s">
        <v>2675</v>
      </c>
      <c r="H2096" t="s">
        <v>2665</v>
      </c>
      <c r="I2096">
        <v>4524</v>
      </c>
      <c r="J2096">
        <v>4695</v>
      </c>
      <c r="K2096">
        <v>4729</v>
      </c>
      <c r="L2096">
        <v>4830</v>
      </c>
      <c r="M2096">
        <v>4923</v>
      </c>
      <c r="N2096" t="s">
        <v>988</v>
      </c>
    </row>
    <row r="2097" spans="1:14" hidden="1" x14ac:dyDescent="0.3">
      <c r="A2097">
        <v>1368</v>
      </c>
      <c r="B2097" t="s">
        <v>1632</v>
      </c>
      <c r="C2097" t="s">
        <v>2670</v>
      </c>
      <c r="D2097" t="s">
        <v>1203</v>
      </c>
      <c r="E2097" t="s">
        <v>1204</v>
      </c>
      <c r="F2097">
        <v>5455</v>
      </c>
      <c r="G2097" t="s">
        <v>2675</v>
      </c>
      <c r="H2097" t="s">
        <v>2664</v>
      </c>
      <c r="I2097">
        <v>4564</v>
      </c>
      <c r="J2097">
        <v>4745</v>
      </c>
      <c r="K2097">
        <v>4779</v>
      </c>
      <c r="L2097">
        <v>4880</v>
      </c>
      <c r="M2097">
        <v>4973</v>
      </c>
      <c r="N2097" t="s">
        <v>988</v>
      </c>
    </row>
    <row r="2098" spans="1:14" hidden="1" x14ac:dyDescent="0.3">
      <c r="A2098">
        <v>1368</v>
      </c>
      <c r="B2098" t="s">
        <v>1632</v>
      </c>
      <c r="C2098" t="s">
        <v>2670</v>
      </c>
      <c r="D2098" t="s">
        <v>1203</v>
      </c>
      <c r="E2098" t="s">
        <v>1204</v>
      </c>
      <c r="F2098">
        <v>5455</v>
      </c>
      <c r="G2098" t="s">
        <v>2676</v>
      </c>
      <c r="H2098" t="s">
        <v>2665</v>
      </c>
      <c r="I2098">
        <v>4494</v>
      </c>
      <c r="J2098">
        <v>4655</v>
      </c>
      <c r="K2098">
        <v>4699</v>
      </c>
      <c r="L2098">
        <v>4810</v>
      </c>
      <c r="M2098">
        <v>4903</v>
      </c>
      <c r="N2098" t="s">
        <v>988</v>
      </c>
    </row>
    <row r="2099" spans="1:14" hidden="1" x14ac:dyDescent="0.3">
      <c r="A2099">
        <v>1368</v>
      </c>
      <c r="B2099" t="s">
        <v>1632</v>
      </c>
      <c r="C2099" t="s">
        <v>2670</v>
      </c>
      <c r="D2099" t="s">
        <v>1203</v>
      </c>
      <c r="E2099" t="s">
        <v>1204</v>
      </c>
      <c r="F2099">
        <v>5455</v>
      </c>
      <c r="G2099" t="s">
        <v>2676</v>
      </c>
      <c r="H2099" t="s">
        <v>2664</v>
      </c>
      <c r="I2099">
        <v>4564</v>
      </c>
      <c r="J2099">
        <v>4745</v>
      </c>
      <c r="K2099">
        <v>4779</v>
      </c>
      <c r="L2099">
        <v>4880</v>
      </c>
      <c r="M2099">
        <v>4973</v>
      </c>
      <c r="N2099" t="s">
        <v>988</v>
      </c>
    </row>
    <row r="2100" spans="1:14" hidden="1" x14ac:dyDescent="0.3">
      <c r="A2100">
        <v>1368</v>
      </c>
      <c r="B2100" t="s">
        <v>1632</v>
      </c>
      <c r="C2100" t="s">
        <v>2670</v>
      </c>
      <c r="D2100" t="s">
        <v>1203</v>
      </c>
      <c r="E2100" t="s">
        <v>1204</v>
      </c>
      <c r="F2100">
        <v>5455</v>
      </c>
      <c r="G2100" t="s">
        <v>2671</v>
      </c>
      <c r="H2100" t="s">
        <v>2665</v>
      </c>
      <c r="I2100">
        <v>4654</v>
      </c>
      <c r="J2100">
        <v>4830</v>
      </c>
      <c r="K2100">
        <v>4865</v>
      </c>
      <c r="L2100">
        <v>4969</v>
      </c>
      <c r="M2100">
        <v>5065</v>
      </c>
      <c r="N2100" t="s">
        <v>988</v>
      </c>
    </row>
    <row r="2101" spans="1:14" hidden="1" x14ac:dyDescent="0.3">
      <c r="A2101">
        <v>1368</v>
      </c>
      <c r="B2101" t="s">
        <v>1632</v>
      </c>
      <c r="C2101" t="s">
        <v>2670</v>
      </c>
      <c r="D2101" t="s">
        <v>1203</v>
      </c>
      <c r="E2101" t="s">
        <v>1204</v>
      </c>
      <c r="F2101">
        <v>5455</v>
      </c>
      <c r="G2101" t="s">
        <v>2674</v>
      </c>
      <c r="H2101" t="s">
        <v>2664</v>
      </c>
      <c r="I2101">
        <v>4610</v>
      </c>
      <c r="J2101">
        <v>4792</v>
      </c>
      <c r="K2101">
        <v>4827</v>
      </c>
      <c r="L2101">
        <v>4929</v>
      </c>
      <c r="M2101">
        <v>5023</v>
      </c>
      <c r="N2101" t="s">
        <v>988</v>
      </c>
    </row>
    <row r="2102" spans="1:14" hidden="1" x14ac:dyDescent="0.3">
      <c r="A2102">
        <v>1370</v>
      </c>
      <c r="B2102" t="s">
        <v>1633</v>
      </c>
      <c r="C2102" t="s">
        <v>2670</v>
      </c>
      <c r="D2102" t="s">
        <v>1203</v>
      </c>
      <c r="E2102" t="s">
        <v>1204</v>
      </c>
      <c r="F2102">
        <v>5811</v>
      </c>
      <c r="G2102" t="s">
        <v>2671</v>
      </c>
      <c r="H2102" t="s">
        <v>2665</v>
      </c>
      <c r="I2102">
        <v>6810</v>
      </c>
      <c r="J2102">
        <v>6746</v>
      </c>
      <c r="K2102">
        <v>6683</v>
      </c>
      <c r="L2102">
        <v>6621</v>
      </c>
      <c r="N2102" t="s">
        <v>988</v>
      </c>
    </row>
    <row r="2103" spans="1:14" hidden="1" x14ac:dyDescent="0.3">
      <c r="A2103">
        <v>1370</v>
      </c>
      <c r="B2103" t="s">
        <v>1633</v>
      </c>
      <c r="C2103" t="s">
        <v>2670</v>
      </c>
      <c r="D2103" t="s">
        <v>1203</v>
      </c>
      <c r="E2103" t="s">
        <v>1204</v>
      </c>
      <c r="F2103">
        <v>5811</v>
      </c>
      <c r="G2103" t="s">
        <v>2672</v>
      </c>
      <c r="H2103" t="s">
        <v>2664</v>
      </c>
      <c r="N2103" t="s">
        <v>988</v>
      </c>
    </row>
    <row r="2104" spans="1:14" hidden="1" x14ac:dyDescent="0.3">
      <c r="A2104">
        <v>1370</v>
      </c>
      <c r="B2104" t="s">
        <v>1633</v>
      </c>
      <c r="C2104" t="s">
        <v>2670</v>
      </c>
      <c r="D2104" t="s">
        <v>1203</v>
      </c>
      <c r="E2104" t="s">
        <v>1204</v>
      </c>
      <c r="F2104">
        <v>5811</v>
      </c>
      <c r="G2104" t="s">
        <v>2672</v>
      </c>
      <c r="H2104" t="s">
        <v>2665</v>
      </c>
      <c r="N2104" t="s">
        <v>988</v>
      </c>
    </row>
    <row r="2105" spans="1:14" hidden="1" x14ac:dyDescent="0.3">
      <c r="A2105">
        <v>1370</v>
      </c>
      <c r="B2105" t="s">
        <v>1633</v>
      </c>
      <c r="C2105" t="s">
        <v>2670</v>
      </c>
      <c r="D2105" t="s">
        <v>1203</v>
      </c>
      <c r="E2105" t="s">
        <v>1204</v>
      </c>
      <c r="F2105">
        <v>5811</v>
      </c>
      <c r="G2105" t="s">
        <v>2676</v>
      </c>
      <c r="H2105" t="s">
        <v>2664</v>
      </c>
      <c r="I2105">
        <v>9882</v>
      </c>
      <c r="J2105">
        <v>9882</v>
      </c>
      <c r="K2105">
        <v>9882</v>
      </c>
      <c r="L2105">
        <v>9882</v>
      </c>
      <c r="N2105" t="s">
        <v>988</v>
      </c>
    </row>
    <row r="2106" spans="1:14" hidden="1" x14ac:dyDescent="0.3">
      <c r="A2106">
        <v>1370</v>
      </c>
      <c r="B2106" t="s">
        <v>1633</v>
      </c>
      <c r="C2106" t="s">
        <v>2670</v>
      </c>
      <c r="D2106" t="s">
        <v>1203</v>
      </c>
      <c r="E2106" t="s">
        <v>1204</v>
      </c>
      <c r="F2106">
        <v>5811</v>
      </c>
      <c r="G2106" t="s">
        <v>2676</v>
      </c>
      <c r="H2106" t="s">
        <v>2665</v>
      </c>
      <c r="I2106">
        <v>7071</v>
      </c>
      <c r="J2106">
        <v>7005</v>
      </c>
      <c r="K2106">
        <v>6939</v>
      </c>
      <c r="L2106">
        <v>6874</v>
      </c>
      <c r="N2106" t="s">
        <v>988</v>
      </c>
    </row>
    <row r="2107" spans="1:14" hidden="1" x14ac:dyDescent="0.3">
      <c r="A2107">
        <v>1370</v>
      </c>
      <c r="B2107" t="s">
        <v>1633</v>
      </c>
      <c r="C2107" t="s">
        <v>2670</v>
      </c>
      <c r="D2107" t="s">
        <v>1203</v>
      </c>
      <c r="E2107" t="s">
        <v>1204</v>
      </c>
      <c r="F2107">
        <v>5811</v>
      </c>
      <c r="G2107" t="s">
        <v>2675</v>
      </c>
      <c r="H2107" t="s">
        <v>2664</v>
      </c>
      <c r="I2107">
        <v>9882</v>
      </c>
      <c r="J2107">
        <v>9882</v>
      </c>
      <c r="K2107">
        <v>9882</v>
      </c>
      <c r="L2107">
        <v>9882</v>
      </c>
      <c r="N2107" t="s">
        <v>988</v>
      </c>
    </row>
    <row r="2108" spans="1:14" hidden="1" x14ac:dyDescent="0.3">
      <c r="A2108">
        <v>1370</v>
      </c>
      <c r="B2108" t="s">
        <v>1633</v>
      </c>
      <c r="C2108" t="s">
        <v>2670</v>
      </c>
      <c r="D2108" t="s">
        <v>1203</v>
      </c>
      <c r="E2108" t="s">
        <v>1204</v>
      </c>
      <c r="F2108">
        <v>5811</v>
      </c>
      <c r="G2108" t="s">
        <v>2675</v>
      </c>
      <c r="H2108" t="s">
        <v>2665</v>
      </c>
      <c r="I2108">
        <v>7005</v>
      </c>
      <c r="J2108">
        <v>6939</v>
      </c>
      <c r="K2108">
        <v>6874</v>
      </c>
      <c r="L2108">
        <v>6810</v>
      </c>
      <c r="N2108" t="s">
        <v>988</v>
      </c>
    </row>
    <row r="2109" spans="1:14" hidden="1" x14ac:dyDescent="0.3">
      <c r="A2109">
        <v>1370</v>
      </c>
      <c r="B2109" t="s">
        <v>1633</v>
      </c>
      <c r="C2109" t="s">
        <v>2670</v>
      </c>
      <c r="D2109" t="s">
        <v>1203</v>
      </c>
      <c r="E2109" t="s">
        <v>1204</v>
      </c>
      <c r="F2109">
        <v>5811</v>
      </c>
      <c r="G2109" t="s">
        <v>2674</v>
      </c>
      <c r="H2109" t="s">
        <v>2664</v>
      </c>
      <c r="I2109">
        <v>9882</v>
      </c>
      <c r="J2109">
        <v>9882</v>
      </c>
      <c r="K2109">
        <v>9882</v>
      </c>
      <c r="L2109">
        <v>9882</v>
      </c>
      <c r="N2109" t="s">
        <v>988</v>
      </c>
    </row>
    <row r="2110" spans="1:14" hidden="1" x14ac:dyDescent="0.3">
      <c r="A2110">
        <v>1370</v>
      </c>
      <c r="B2110" t="s">
        <v>1633</v>
      </c>
      <c r="C2110" t="s">
        <v>2670</v>
      </c>
      <c r="D2110" t="s">
        <v>1203</v>
      </c>
      <c r="E2110" t="s">
        <v>1204</v>
      </c>
      <c r="F2110">
        <v>5811</v>
      </c>
      <c r="G2110" t="s">
        <v>2674</v>
      </c>
      <c r="H2110" t="s">
        <v>2665</v>
      </c>
      <c r="I2110">
        <v>6939</v>
      </c>
      <c r="J2110">
        <v>6874</v>
      </c>
      <c r="K2110">
        <v>6810</v>
      </c>
      <c r="L2110">
        <v>6746</v>
      </c>
      <c r="N2110" t="s">
        <v>988</v>
      </c>
    </row>
    <row r="2111" spans="1:14" hidden="1" x14ac:dyDescent="0.3">
      <c r="A2111">
        <v>1370</v>
      </c>
      <c r="B2111" t="s">
        <v>1633</v>
      </c>
      <c r="C2111" t="s">
        <v>2670</v>
      </c>
      <c r="D2111" t="s">
        <v>1203</v>
      </c>
      <c r="E2111" t="s">
        <v>1204</v>
      </c>
      <c r="F2111">
        <v>5811</v>
      </c>
      <c r="G2111" t="s">
        <v>2671</v>
      </c>
      <c r="H2111" t="s">
        <v>2664</v>
      </c>
      <c r="I2111">
        <v>9882</v>
      </c>
      <c r="J2111">
        <v>9882</v>
      </c>
      <c r="K2111">
        <v>9882</v>
      </c>
      <c r="L2111">
        <v>9882</v>
      </c>
      <c r="N2111" t="s">
        <v>988</v>
      </c>
    </row>
    <row r="2112" spans="1:14" hidden="1" x14ac:dyDescent="0.3">
      <c r="A2112">
        <v>1370</v>
      </c>
      <c r="B2112" t="s">
        <v>1633</v>
      </c>
      <c r="C2112" t="s">
        <v>2670</v>
      </c>
      <c r="D2112" t="s">
        <v>1203</v>
      </c>
      <c r="E2112" t="s">
        <v>1204</v>
      </c>
      <c r="F2112">
        <v>5811</v>
      </c>
      <c r="G2112" t="s">
        <v>2673</v>
      </c>
      <c r="H2112" t="s">
        <v>2665</v>
      </c>
      <c r="I2112">
        <v>6874</v>
      </c>
      <c r="J2112">
        <v>6810</v>
      </c>
      <c r="K2112">
        <v>6746</v>
      </c>
      <c r="L2112">
        <v>6683</v>
      </c>
      <c r="N2112" t="s">
        <v>988</v>
      </c>
    </row>
    <row r="2113" spans="1:14" hidden="1" x14ac:dyDescent="0.3">
      <c r="A2113">
        <v>1370</v>
      </c>
      <c r="B2113" t="s">
        <v>1633</v>
      </c>
      <c r="C2113" t="s">
        <v>2670</v>
      </c>
      <c r="D2113" t="s">
        <v>1203</v>
      </c>
      <c r="E2113" t="s">
        <v>1204</v>
      </c>
      <c r="F2113">
        <v>5811</v>
      </c>
      <c r="G2113" t="s">
        <v>2673</v>
      </c>
      <c r="H2113" t="s">
        <v>2664</v>
      </c>
      <c r="I2113">
        <v>9882</v>
      </c>
      <c r="J2113">
        <v>9882</v>
      </c>
      <c r="K2113">
        <v>9882</v>
      </c>
      <c r="L2113">
        <v>9882</v>
      </c>
      <c r="N2113" t="s">
        <v>988</v>
      </c>
    </row>
    <row r="2114" spans="1:14" hidden="1" x14ac:dyDescent="0.3">
      <c r="A2114">
        <v>1371</v>
      </c>
      <c r="B2114" t="s">
        <v>1635</v>
      </c>
      <c r="C2114" t="s">
        <v>2670</v>
      </c>
      <c r="D2114" t="s">
        <v>1203</v>
      </c>
      <c r="E2114" t="s">
        <v>1204</v>
      </c>
      <c r="F2114">
        <v>7512</v>
      </c>
      <c r="G2114" t="s">
        <v>2672</v>
      </c>
      <c r="H2114" t="s">
        <v>2665</v>
      </c>
      <c r="N2114" t="s">
        <v>988</v>
      </c>
    </row>
    <row r="2115" spans="1:14" hidden="1" x14ac:dyDescent="0.3">
      <c r="A2115">
        <v>1371</v>
      </c>
      <c r="B2115" t="s">
        <v>1635</v>
      </c>
      <c r="C2115" t="s">
        <v>2670</v>
      </c>
      <c r="D2115" t="s">
        <v>1203</v>
      </c>
      <c r="E2115" t="s">
        <v>1204</v>
      </c>
      <c r="F2115">
        <v>7512</v>
      </c>
      <c r="G2115" t="s">
        <v>2672</v>
      </c>
      <c r="H2115" t="s">
        <v>2664</v>
      </c>
      <c r="N2115" t="s">
        <v>988</v>
      </c>
    </row>
    <row r="2116" spans="1:14" hidden="1" x14ac:dyDescent="0.3">
      <c r="A2116">
        <v>1371</v>
      </c>
      <c r="B2116" t="s">
        <v>1635</v>
      </c>
      <c r="C2116" t="s">
        <v>2670</v>
      </c>
      <c r="D2116" t="s">
        <v>1203</v>
      </c>
      <c r="E2116" t="s">
        <v>1204</v>
      </c>
      <c r="F2116">
        <v>7512</v>
      </c>
      <c r="G2116" t="s">
        <v>2671</v>
      </c>
      <c r="H2116" t="s">
        <v>2665</v>
      </c>
      <c r="I2116">
        <v>4133.7919339500004</v>
      </c>
      <c r="J2116">
        <v>4308.7185413999996</v>
      </c>
      <c r="K2116">
        <v>4489.7829245499997</v>
      </c>
      <c r="L2116">
        <v>4676.9850833999999</v>
      </c>
      <c r="N2116" t="s">
        <v>988</v>
      </c>
    </row>
    <row r="2117" spans="1:14" hidden="1" x14ac:dyDescent="0.3">
      <c r="A2117">
        <v>1371</v>
      </c>
      <c r="B2117" t="s">
        <v>1635</v>
      </c>
      <c r="C2117" t="s">
        <v>2670</v>
      </c>
      <c r="D2117" t="s">
        <v>1203</v>
      </c>
      <c r="E2117" t="s">
        <v>1204</v>
      </c>
      <c r="F2117">
        <v>7512</v>
      </c>
      <c r="G2117" t="s">
        <v>2671</v>
      </c>
      <c r="H2117" t="s">
        <v>2664</v>
      </c>
      <c r="I2117">
        <v>8025.1417277500004</v>
      </c>
      <c r="J2117">
        <v>8025.1417277500004</v>
      </c>
      <c r="K2117">
        <v>8025.1417277500004</v>
      </c>
      <c r="L2117">
        <v>8025.1417277500004</v>
      </c>
      <c r="N2117" t="s">
        <v>988</v>
      </c>
    </row>
    <row r="2118" spans="1:14" hidden="1" x14ac:dyDescent="0.3">
      <c r="A2118">
        <v>1371</v>
      </c>
      <c r="B2118" t="s">
        <v>1635</v>
      </c>
      <c r="C2118" t="s">
        <v>2670</v>
      </c>
      <c r="D2118" t="s">
        <v>1203</v>
      </c>
      <c r="E2118" t="s">
        <v>1204</v>
      </c>
      <c r="F2118">
        <v>7512</v>
      </c>
      <c r="G2118" t="s">
        <v>2673</v>
      </c>
      <c r="H2118" t="s">
        <v>2665</v>
      </c>
      <c r="I2118">
        <v>4100.0341675999998</v>
      </c>
      <c r="J2118">
        <v>4271.8918872000004</v>
      </c>
      <c r="K2118">
        <v>4449.8873825000001</v>
      </c>
      <c r="L2118">
        <v>4640.1584291999998</v>
      </c>
      <c r="N2118" t="s">
        <v>988</v>
      </c>
    </row>
    <row r="2119" spans="1:14" hidden="1" x14ac:dyDescent="0.3">
      <c r="A2119">
        <v>1371</v>
      </c>
      <c r="B2119" t="s">
        <v>1635</v>
      </c>
      <c r="C2119" t="s">
        <v>2670</v>
      </c>
      <c r="D2119" t="s">
        <v>1203</v>
      </c>
      <c r="E2119" t="s">
        <v>1204</v>
      </c>
      <c r="F2119">
        <v>7512</v>
      </c>
      <c r="G2119" t="s">
        <v>2676</v>
      </c>
      <c r="H2119" t="s">
        <v>2664</v>
      </c>
      <c r="I2119">
        <v>8025.1417277500004</v>
      </c>
      <c r="J2119">
        <v>8025.1417277500004</v>
      </c>
      <c r="K2119">
        <v>8025.1417277500004</v>
      </c>
      <c r="L2119">
        <v>8025.1417277500004</v>
      </c>
      <c r="N2119" t="s">
        <v>988</v>
      </c>
    </row>
    <row r="2120" spans="1:14" hidden="1" x14ac:dyDescent="0.3">
      <c r="A2120">
        <v>1371</v>
      </c>
      <c r="B2120" t="s">
        <v>1635</v>
      </c>
      <c r="C2120" t="s">
        <v>2670</v>
      </c>
      <c r="D2120" t="s">
        <v>1203</v>
      </c>
      <c r="E2120" t="s">
        <v>1204</v>
      </c>
      <c r="F2120">
        <v>7512</v>
      </c>
      <c r="G2120" t="s">
        <v>2674</v>
      </c>
      <c r="H2120" t="s">
        <v>2665</v>
      </c>
      <c r="I2120">
        <v>4066.2764012500002</v>
      </c>
      <c r="J2120">
        <v>4238.1341208499998</v>
      </c>
      <c r="K2120">
        <v>4416.1296161500004</v>
      </c>
      <c r="L2120">
        <v>4600.2628871500001</v>
      </c>
      <c r="N2120" t="s">
        <v>988</v>
      </c>
    </row>
    <row r="2121" spans="1:14" hidden="1" x14ac:dyDescent="0.3">
      <c r="A2121">
        <v>1371</v>
      </c>
      <c r="B2121" t="s">
        <v>1635</v>
      </c>
      <c r="C2121" t="s">
        <v>2670</v>
      </c>
      <c r="D2121" t="s">
        <v>1203</v>
      </c>
      <c r="E2121" t="s">
        <v>1204</v>
      </c>
      <c r="F2121">
        <v>7512</v>
      </c>
      <c r="G2121" t="s">
        <v>2674</v>
      </c>
      <c r="H2121" t="s">
        <v>2664</v>
      </c>
      <c r="I2121">
        <v>8025.1417277500004</v>
      </c>
      <c r="J2121">
        <v>8025.1417277500004</v>
      </c>
      <c r="K2121">
        <v>8025.1417277500004</v>
      </c>
      <c r="L2121">
        <v>8025.1417277500004</v>
      </c>
      <c r="N2121" t="s">
        <v>988</v>
      </c>
    </row>
    <row r="2122" spans="1:14" hidden="1" x14ac:dyDescent="0.3">
      <c r="A2122">
        <v>1371</v>
      </c>
      <c r="B2122" t="s">
        <v>1635</v>
      </c>
      <c r="C2122" t="s">
        <v>2670</v>
      </c>
      <c r="D2122" t="s">
        <v>1203</v>
      </c>
      <c r="E2122" t="s">
        <v>1204</v>
      </c>
      <c r="F2122">
        <v>7512</v>
      </c>
      <c r="G2122" t="s">
        <v>2675</v>
      </c>
      <c r="H2122" t="s">
        <v>2665</v>
      </c>
      <c r="I2122">
        <v>4032.5186349000001</v>
      </c>
      <c r="J2122">
        <v>4201.3074666499997</v>
      </c>
      <c r="K2122">
        <v>4379.3029619500003</v>
      </c>
      <c r="L2122">
        <v>4563.43623295</v>
      </c>
      <c r="N2122" t="s">
        <v>988</v>
      </c>
    </row>
    <row r="2123" spans="1:14" hidden="1" x14ac:dyDescent="0.3">
      <c r="A2123">
        <v>1371</v>
      </c>
      <c r="B2123" t="s">
        <v>1635</v>
      </c>
      <c r="C2123" t="s">
        <v>2670</v>
      </c>
      <c r="D2123" t="s">
        <v>1203</v>
      </c>
      <c r="E2123" t="s">
        <v>1204</v>
      </c>
      <c r="F2123">
        <v>7512</v>
      </c>
      <c r="G2123" t="s">
        <v>2675</v>
      </c>
      <c r="H2123" t="s">
        <v>2664</v>
      </c>
      <c r="I2123">
        <v>8025.1417277500004</v>
      </c>
      <c r="J2123">
        <v>8025.1417277500004</v>
      </c>
      <c r="K2123">
        <v>8025.1417277500004</v>
      </c>
      <c r="L2123">
        <v>8025.1417277500004</v>
      </c>
      <c r="N2123" t="s">
        <v>988</v>
      </c>
    </row>
    <row r="2124" spans="1:14" hidden="1" x14ac:dyDescent="0.3">
      <c r="A2124">
        <v>1371</v>
      </c>
      <c r="B2124" t="s">
        <v>1635</v>
      </c>
      <c r="C2124" t="s">
        <v>2670</v>
      </c>
      <c r="D2124" t="s">
        <v>1203</v>
      </c>
      <c r="E2124" t="s">
        <v>1204</v>
      </c>
      <c r="F2124">
        <v>7512</v>
      </c>
      <c r="G2124" t="s">
        <v>2676</v>
      </c>
      <c r="H2124" t="s">
        <v>2665</v>
      </c>
      <c r="I2124">
        <v>4198.2385788000001</v>
      </c>
      <c r="J2124">
        <v>4376.2340740999998</v>
      </c>
      <c r="K2124">
        <v>4560.3673451000004</v>
      </c>
      <c r="L2124">
        <v>4750.6383918000001</v>
      </c>
      <c r="N2124" t="s">
        <v>988</v>
      </c>
    </row>
    <row r="2125" spans="1:14" hidden="1" x14ac:dyDescent="0.3">
      <c r="A2125">
        <v>1371</v>
      </c>
      <c r="B2125" t="s">
        <v>1635</v>
      </c>
      <c r="C2125" t="s">
        <v>2670</v>
      </c>
      <c r="D2125" t="s">
        <v>1203</v>
      </c>
      <c r="E2125" t="s">
        <v>1204</v>
      </c>
      <c r="F2125">
        <v>7512</v>
      </c>
      <c r="G2125" t="s">
        <v>2673</v>
      </c>
      <c r="H2125" t="s">
        <v>2664</v>
      </c>
      <c r="I2125">
        <v>8025.1417277500004</v>
      </c>
      <c r="J2125">
        <v>8025.1417277500004</v>
      </c>
      <c r="K2125">
        <v>8025.1417277500004</v>
      </c>
      <c r="L2125">
        <v>8025.1417277500004</v>
      </c>
      <c r="N2125" t="s">
        <v>988</v>
      </c>
    </row>
    <row r="2126" spans="1:14" hidden="1" x14ac:dyDescent="0.3">
      <c r="A2126">
        <v>1384</v>
      </c>
      <c r="B2126" t="s">
        <v>1637</v>
      </c>
      <c r="C2126" t="s">
        <v>2670</v>
      </c>
      <c r="D2126" t="s">
        <v>1203</v>
      </c>
      <c r="E2126" t="s">
        <v>1204</v>
      </c>
      <c r="F2126">
        <v>5709</v>
      </c>
      <c r="G2126" t="s">
        <v>2673</v>
      </c>
      <c r="H2126" t="s">
        <v>2665</v>
      </c>
      <c r="I2126">
        <v>25680</v>
      </c>
      <c r="J2126">
        <v>26470</v>
      </c>
      <c r="K2126">
        <v>27732</v>
      </c>
      <c r="L2126">
        <v>29066</v>
      </c>
      <c r="M2126">
        <v>30477</v>
      </c>
      <c r="N2126" t="s">
        <v>988</v>
      </c>
    </row>
    <row r="2127" spans="1:14" hidden="1" x14ac:dyDescent="0.3">
      <c r="A2127">
        <v>1384</v>
      </c>
      <c r="B2127" t="s">
        <v>1637</v>
      </c>
      <c r="C2127" t="s">
        <v>2670</v>
      </c>
      <c r="D2127" t="s">
        <v>1203</v>
      </c>
      <c r="E2127" t="s">
        <v>1204</v>
      </c>
      <c r="F2127">
        <v>5709</v>
      </c>
      <c r="G2127" t="s">
        <v>2673</v>
      </c>
      <c r="H2127" t="s">
        <v>2664</v>
      </c>
      <c r="I2127">
        <v>25680</v>
      </c>
      <c r="J2127">
        <v>26470</v>
      </c>
      <c r="K2127">
        <v>27732</v>
      </c>
      <c r="L2127">
        <v>29066</v>
      </c>
      <c r="M2127">
        <v>30477</v>
      </c>
      <c r="N2127" t="s">
        <v>988</v>
      </c>
    </row>
    <row r="2128" spans="1:14" hidden="1" x14ac:dyDescent="0.3">
      <c r="A2128">
        <v>1384</v>
      </c>
      <c r="B2128" t="s">
        <v>1637</v>
      </c>
      <c r="C2128" t="s">
        <v>2670</v>
      </c>
      <c r="D2128" t="s">
        <v>1203</v>
      </c>
      <c r="E2128" t="s">
        <v>1204</v>
      </c>
      <c r="F2128">
        <v>5709</v>
      </c>
      <c r="G2128" t="s">
        <v>2674</v>
      </c>
      <c r="H2128" t="s">
        <v>2665</v>
      </c>
      <c r="I2128">
        <v>25680</v>
      </c>
      <c r="J2128">
        <v>26470</v>
      </c>
      <c r="K2128">
        <v>27732</v>
      </c>
      <c r="L2128">
        <v>29066</v>
      </c>
      <c r="M2128">
        <v>30477</v>
      </c>
      <c r="N2128" t="s">
        <v>988</v>
      </c>
    </row>
    <row r="2129" spans="1:14" hidden="1" x14ac:dyDescent="0.3">
      <c r="A2129">
        <v>1384</v>
      </c>
      <c r="B2129" t="s">
        <v>1637</v>
      </c>
      <c r="C2129" t="s">
        <v>2670</v>
      </c>
      <c r="D2129" t="s">
        <v>1203</v>
      </c>
      <c r="E2129" t="s">
        <v>1204</v>
      </c>
      <c r="F2129">
        <v>5709</v>
      </c>
      <c r="G2129" t="s">
        <v>2674</v>
      </c>
      <c r="H2129" t="s">
        <v>2664</v>
      </c>
      <c r="I2129">
        <v>25680</v>
      </c>
      <c r="J2129">
        <v>26470</v>
      </c>
      <c r="K2129">
        <v>27732</v>
      </c>
      <c r="L2129">
        <v>29066</v>
      </c>
      <c r="M2129">
        <v>30477</v>
      </c>
      <c r="N2129" t="s">
        <v>988</v>
      </c>
    </row>
    <row r="2130" spans="1:14" hidden="1" x14ac:dyDescent="0.3">
      <c r="A2130">
        <v>1384</v>
      </c>
      <c r="B2130" t="s">
        <v>1637</v>
      </c>
      <c r="C2130" t="s">
        <v>2670</v>
      </c>
      <c r="D2130" t="s">
        <v>1203</v>
      </c>
      <c r="E2130" t="s">
        <v>1204</v>
      </c>
      <c r="F2130">
        <v>5709</v>
      </c>
      <c r="G2130" t="s">
        <v>2675</v>
      </c>
      <c r="H2130" t="s">
        <v>2665</v>
      </c>
      <c r="I2130">
        <v>25488</v>
      </c>
      <c r="J2130">
        <v>26298</v>
      </c>
      <c r="K2130">
        <v>27549</v>
      </c>
      <c r="L2130">
        <v>28872</v>
      </c>
      <c r="M2130">
        <v>30270</v>
      </c>
      <c r="N2130" t="s">
        <v>988</v>
      </c>
    </row>
    <row r="2131" spans="1:14" hidden="1" x14ac:dyDescent="0.3">
      <c r="A2131">
        <v>1384</v>
      </c>
      <c r="B2131" t="s">
        <v>1637</v>
      </c>
      <c r="C2131" t="s">
        <v>2670</v>
      </c>
      <c r="D2131" t="s">
        <v>1203</v>
      </c>
      <c r="E2131" t="s">
        <v>1204</v>
      </c>
      <c r="F2131">
        <v>5709</v>
      </c>
      <c r="G2131" t="s">
        <v>2671</v>
      </c>
      <c r="H2131" t="s">
        <v>2664</v>
      </c>
      <c r="I2131">
        <v>25872</v>
      </c>
      <c r="J2131">
        <v>26642</v>
      </c>
      <c r="K2131">
        <v>27915</v>
      </c>
      <c r="L2131">
        <v>29261</v>
      </c>
      <c r="M2131">
        <v>30684</v>
      </c>
      <c r="N2131" t="s">
        <v>988</v>
      </c>
    </row>
    <row r="2132" spans="1:14" hidden="1" x14ac:dyDescent="0.3">
      <c r="A2132">
        <v>1384</v>
      </c>
      <c r="B2132" t="s">
        <v>1637</v>
      </c>
      <c r="C2132" t="s">
        <v>2670</v>
      </c>
      <c r="D2132" t="s">
        <v>1203</v>
      </c>
      <c r="E2132" t="s">
        <v>1204</v>
      </c>
      <c r="F2132">
        <v>5709</v>
      </c>
      <c r="G2132" t="s">
        <v>2676</v>
      </c>
      <c r="H2132" t="s">
        <v>2665</v>
      </c>
      <c r="I2132">
        <v>25488</v>
      </c>
      <c r="J2132">
        <v>26298</v>
      </c>
      <c r="K2132">
        <v>27549</v>
      </c>
      <c r="L2132">
        <v>28872</v>
      </c>
      <c r="M2132">
        <v>30270</v>
      </c>
      <c r="N2132" t="s">
        <v>988</v>
      </c>
    </row>
    <row r="2133" spans="1:14" hidden="1" x14ac:dyDescent="0.3">
      <c r="A2133">
        <v>1384</v>
      </c>
      <c r="B2133" t="s">
        <v>1637</v>
      </c>
      <c r="C2133" t="s">
        <v>2670</v>
      </c>
      <c r="D2133" t="s">
        <v>1203</v>
      </c>
      <c r="E2133" t="s">
        <v>1204</v>
      </c>
      <c r="F2133">
        <v>5709</v>
      </c>
      <c r="G2133" t="s">
        <v>2676</v>
      </c>
      <c r="H2133" t="s">
        <v>2664</v>
      </c>
      <c r="I2133">
        <v>25488</v>
      </c>
      <c r="J2133">
        <v>26298</v>
      </c>
      <c r="K2133">
        <v>27549</v>
      </c>
      <c r="L2133">
        <v>28872</v>
      </c>
      <c r="M2133">
        <v>30270</v>
      </c>
      <c r="N2133" t="s">
        <v>988</v>
      </c>
    </row>
    <row r="2134" spans="1:14" hidden="1" x14ac:dyDescent="0.3">
      <c r="A2134">
        <v>1384</v>
      </c>
      <c r="B2134" t="s">
        <v>1637</v>
      </c>
      <c r="C2134" t="s">
        <v>2670</v>
      </c>
      <c r="D2134" t="s">
        <v>1203</v>
      </c>
      <c r="E2134" t="s">
        <v>1204</v>
      </c>
      <c r="F2134">
        <v>5709</v>
      </c>
      <c r="G2134" t="s">
        <v>2672</v>
      </c>
      <c r="H2134" t="s">
        <v>2665</v>
      </c>
      <c r="N2134" t="s">
        <v>988</v>
      </c>
    </row>
    <row r="2135" spans="1:14" hidden="1" x14ac:dyDescent="0.3">
      <c r="A2135">
        <v>1384</v>
      </c>
      <c r="B2135" t="s">
        <v>1637</v>
      </c>
      <c r="C2135" t="s">
        <v>2670</v>
      </c>
      <c r="D2135" t="s">
        <v>1203</v>
      </c>
      <c r="E2135" t="s">
        <v>1204</v>
      </c>
      <c r="F2135">
        <v>5709</v>
      </c>
      <c r="G2135" t="s">
        <v>2672</v>
      </c>
      <c r="H2135" t="s">
        <v>2664</v>
      </c>
      <c r="N2135" t="s">
        <v>988</v>
      </c>
    </row>
    <row r="2136" spans="1:14" hidden="1" x14ac:dyDescent="0.3">
      <c r="A2136">
        <v>1384</v>
      </c>
      <c r="B2136" t="s">
        <v>1637</v>
      </c>
      <c r="C2136" t="s">
        <v>2670</v>
      </c>
      <c r="D2136" t="s">
        <v>1203</v>
      </c>
      <c r="E2136" t="s">
        <v>1204</v>
      </c>
      <c r="F2136">
        <v>5709</v>
      </c>
      <c r="G2136" t="s">
        <v>2671</v>
      </c>
      <c r="H2136" t="s">
        <v>2665</v>
      </c>
      <c r="I2136">
        <v>25872</v>
      </c>
      <c r="J2136">
        <v>26642</v>
      </c>
      <c r="K2136">
        <v>27915</v>
      </c>
      <c r="L2136">
        <v>29261</v>
      </c>
      <c r="M2136">
        <v>30684</v>
      </c>
      <c r="N2136" t="s">
        <v>988</v>
      </c>
    </row>
    <row r="2137" spans="1:14" hidden="1" x14ac:dyDescent="0.3">
      <c r="A2137">
        <v>1384</v>
      </c>
      <c r="B2137" t="s">
        <v>1637</v>
      </c>
      <c r="C2137" t="s">
        <v>2670</v>
      </c>
      <c r="D2137" t="s">
        <v>1203</v>
      </c>
      <c r="E2137" t="s">
        <v>1204</v>
      </c>
      <c r="F2137">
        <v>5709</v>
      </c>
      <c r="G2137" t="s">
        <v>2675</v>
      </c>
      <c r="H2137" t="s">
        <v>2664</v>
      </c>
      <c r="I2137">
        <v>25488</v>
      </c>
      <c r="J2137">
        <v>26298</v>
      </c>
      <c r="K2137">
        <v>27549</v>
      </c>
      <c r="L2137">
        <v>28872</v>
      </c>
      <c r="M2137">
        <v>30270</v>
      </c>
      <c r="N2137" t="s">
        <v>988</v>
      </c>
    </row>
    <row r="2138" spans="1:14" hidden="1" x14ac:dyDescent="0.3">
      <c r="A2138">
        <v>1388</v>
      </c>
      <c r="B2138" t="s">
        <v>1640</v>
      </c>
      <c r="C2138" t="s">
        <v>2670</v>
      </c>
      <c r="D2138" t="s">
        <v>159</v>
      </c>
      <c r="E2138" t="s">
        <v>159</v>
      </c>
      <c r="F2138">
        <v>5503</v>
      </c>
      <c r="G2138" t="s">
        <v>2672</v>
      </c>
      <c r="H2138" t="s">
        <v>2665</v>
      </c>
      <c r="N2138" t="s">
        <v>988</v>
      </c>
    </row>
    <row r="2139" spans="1:14" hidden="1" x14ac:dyDescent="0.3">
      <c r="A2139">
        <v>1388</v>
      </c>
      <c r="B2139" t="s">
        <v>1640</v>
      </c>
      <c r="C2139" t="s">
        <v>2670</v>
      </c>
      <c r="D2139" t="s">
        <v>159</v>
      </c>
      <c r="E2139" t="s">
        <v>159</v>
      </c>
      <c r="F2139">
        <v>5503</v>
      </c>
      <c r="G2139" t="s">
        <v>2672</v>
      </c>
      <c r="H2139" t="s">
        <v>2664</v>
      </c>
      <c r="N2139" t="s">
        <v>988</v>
      </c>
    </row>
    <row r="2140" spans="1:14" hidden="1" x14ac:dyDescent="0.3">
      <c r="A2140">
        <v>1388</v>
      </c>
      <c r="B2140" t="s">
        <v>1640</v>
      </c>
      <c r="C2140" t="s">
        <v>2670</v>
      </c>
      <c r="D2140" t="s">
        <v>159</v>
      </c>
      <c r="E2140" t="s">
        <v>159</v>
      </c>
      <c r="F2140">
        <v>5503</v>
      </c>
      <c r="G2140" t="s">
        <v>2671</v>
      </c>
      <c r="H2140" t="s">
        <v>2665</v>
      </c>
      <c r="I2140">
        <v>8678.6039999999994</v>
      </c>
      <c r="J2140">
        <v>10690.696</v>
      </c>
      <c r="K2140">
        <v>12262.505300000001</v>
      </c>
      <c r="L2140">
        <v>14187.6723</v>
      </c>
      <c r="M2140">
        <v>16684.0357</v>
      </c>
      <c r="N2140" t="s">
        <v>988</v>
      </c>
    </row>
    <row r="2141" spans="1:14" hidden="1" x14ac:dyDescent="0.3">
      <c r="A2141">
        <v>1388</v>
      </c>
      <c r="B2141" t="s">
        <v>1640</v>
      </c>
      <c r="C2141" t="s">
        <v>2670</v>
      </c>
      <c r="D2141" t="s">
        <v>159</v>
      </c>
      <c r="E2141" t="s">
        <v>159</v>
      </c>
      <c r="F2141">
        <v>5503</v>
      </c>
      <c r="G2141" t="s">
        <v>2671</v>
      </c>
      <c r="H2141" t="s">
        <v>2664</v>
      </c>
      <c r="I2141">
        <v>12603.561299999999</v>
      </c>
      <c r="J2141">
        <v>13150.158600000001</v>
      </c>
      <c r="K2141">
        <v>13616.564700000001</v>
      </c>
      <c r="L2141">
        <v>17862.6957</v>
      </c>
      <c r="M2141">
        <v>18001.2068</v>
      </c>
      <c r="N2141" t="s">
        <v>988</v>
      </c>
    </row>
    <row r="2142" spans="1:14" hidden="1" x14ac:dyDescent="0.3">
      <c r="A2142">
        <v>1388</v>
      </c>
      <c r="B2142" t="s">
        <v>1640</v>
      </c>
      <c r="C2142" t="s">
        <v>2670</v>
      </c>
      <c r="D2142" t="s">
        <v>159</v>
      </c>
      <c r="E2142" t="s">
        <v>159</v>
      </c>
      <c r="F2142">
        <v>5503</v>
      </c>
      <c r="G2142" t="s">
        <v>2673</v>
      </c>
      <c r="H2142" t="s">
        <v>2665</v>
      </c>
      <c r="I2142">
        <v>8678.6039999999994</v>
      </c>
      <c r="J2142">
        <v>10690.696</v>
      </c>
      <c r="K2142">
        <v>12262.505300000001</v>
      </c>
      <c r="L2142">
        <v>14187.6723</v>
      </c>
      <c r="M2142">
        <v>16684.0357</v>
      </c>
      <c r="N2142" t="s">
        <v>988</v>
      </c>
    </row>
    <row r="2143" spans="1:14" hidden="1" x14ac:dyDescent="0.3">
      <c r="A2143">
        <v>1388</v>
      </c>
      <c r="B2143" t="s">
        <v>1640</v>
      </c>
      <c r="C2143" t="s">
        <v>2670</v>
      </c>
      <c r="D2143" t="s">
        <v>159</v>
      </c>
      <c r="E2143" t="s">
        <v>159</v>
      </c>
      <c r="F2143">
        <v>5503</v>
      </c>
      <c r="G2143" t="s">
        <v>2676</v>
      </c>
      <c r="H2143" t="s">
        <v>2664</v>
      </c>
      <c r="I2143">
        <v>12603.561299999999</v>
      </c>
      <c r="J2143">
        <v>13150.158600000001</v>
      </c>
      <c r="K2143">
        <v>13616.564700000001</v>
      </c>
      <c r="L2143">
        <v>17862.6957</v>
      </c>
      <c r="M2143">
        <v>18001.2068</v>
      </c>
      <c r="N2143" t="s">
        <v>988</v>
      </c>
    </row>
    <row r="2144" spans="1:14" hidden="1" x14ac:dyDescent="0.3">
      <c r="A2144">
        <v>1388</v>
      </c>
      <c r="B2144" t="s">
        <v>1640</v>
      </c>
      <c r="C2144" t="s">
        <v>2670</v>
      </c>
      <c r="D2144" t="s">
        <v>159</v>
      </c>
      <c r="E2144" t="s">
        <v>159</v>
      </c>
      <c r="F2144">
        <v>5503</v>
      </c>
      <c r="G2144" t="s">
        <v>2674</v>
      </c>
      <c r="H2144" t="s">
        <v>2665</v>
      </c>
      <c r="I2144">
        <v>8678.6039999999994</v>
      </c>
      <c r="J2144">
        <v>10690.696</v>
      </c>
      <c r="K2144">
        <v>12262.505300000001</v>
      </c>
      <c r="L2144">
        <v>14187.6723</v>
      </c>
      <c r="M2144">
        <v>16684.0357</v>
      </c>
      <c r="N2144" t="s">
        <v>988</v>
      </c>
    </row>
    <row r="2145" spans="1:14" hidden="1" x14ac:dyDescent="0.3">
      <c r="A2145">
        <v>1388</v>
      </c>
      <c r="B2145" t="s">
        <v>1640</v>
      </c>
      <c r="C2145" t="s">
        <v>2670</v>
      </c>
      <c r="D2145" t="s">
        <v>159</v>
      </c>
      <c r="E2145" t="s">
        <v>159</v>
      </c>
      <c r="F2145">
        <v>5503</v>
      </c>
      <c r="G2145" t="s">
        <v>2674</v>
      </c>
      <c r="H2145" t="s">
        <v>2664</v>
      </c>
      <c r="I2145">
        <v>11495.036599999999</v>
      </c>
      <c r="J2145">
        <v>12590.7346</v>
      </c>
      <c r="K2145">
        <v>13606.241400000001</v>
      </c>
      <c r="L2145">
        <v>15608.6358</v>
      </c>
      <c r="M2145">
        <v>16369.5393</v>
      </c>
      <c r="N2145" t="s">
        <v>988</v>
      </c>
    </row>
    <row r="2146" spans="1:14" hidden="1" x14ac:dyDescent="0.3">
      <c r="A2146">
        <v>1388</v>
      </c>
      <c r="B2146" t="s">
        <v>1640</v>
      </c>
      <c r="C2146" t="s">
        <v>2670</v>
      </c>
      <c r="D2146" t="s">
        <v>159</v>
      </c>
      <c r="E2146" t="s">
        <v>159</v>
      </c>
      <c r="F2146">
        <v>5503</v>
      </c>
      <c r="G2146" t="s">
        <v>2675</v>
      </c>
      <c r="H2146" t="s">
        <v>2665</v>
      </c>
      <c r="I2146">
        <v>8678.6039999999994</v>
      </c>
      <c r="J2146">
        <v>10690.696</v>
      </c>
      <c r="K2146">
        <v>12262.505300000001</v>
      </c>
      <c r="L2146">
        <v>14187.6723</v>
      </c>
      <c r="M2146">
        <v>16684.0357</v>
      </c>
      <c r="N2146" t="s">
        <v>988</v>
      </c>
    </row>
    <row r="2147" spans="1:14" hidden="1" x14ac:dyDescent="0.3">
      <c r="A2147">
        <v>1388</v>
      </c>
      <c r="B2147" t="s">
        <v>1640</v>
      </c>
      <c r="C2147" t="s">
        <v>2670</v>
      </c>
      <c r="D2147" t="s">
        <v>159</v>
      </c>
      <c r="E2147" t="s">
        <v>159</v>
      </c>
      <c r="F2147">
        <v>5503</v>
      </c>
      <c r="G2147" t="s">
        <v>2675</v>
      </c>
      <c r="H2147" t="s">
        <v>2664</v>
      </c>
      <c r="I2147">
        <v>12603.561299999999</v>
      </c>
      <c r="J2147">
        <v>13150.158600000001</v>
      </c>
      <c r="K2147">
        <v>13616.564700000001</v>
      </c>
      <c r="L2147">
        <v>17862.6957</v>
      </c>
      <c r="M2147">
        <v>18001.2068</v>
      </c>
      <c r="N2147" t="s">
        <v>988</v>
      </c>
    </row>
    <row r="2148" spans="1:14" hidden="1" x14ac:dyDescent="0.3">
      <c r="A2148">
        <v>1388</v>
      </c>
      <c r="B2148" t="s">
        <v>1640</v>
      </c>
      <c r="C2148" t="s">
        <v>2670</v>
      </c>
      <c r="D2148" t="s">
        <v>159</v>
      </c>
      <c r="E2148" t="s">
        <v>159</v>
      </c>
      <c r="F2148">
        <v>5503</v>
      </c>
      <c r="G2148" t="s">
        <v>2676</v>
      </c>
      <c r="H2148" t="s">
        <v>2665</v>
      </c>
      <c r="I2148">
        <v>8678.6039999999994</v>
      </c>
      <c r="J2148">
        <v>10690.696</v>
      </c>
      <c r="K2148">
        <v>12262.505300000001</v>
      </c>
      <c r="L2148">
        <v>14187.6723</v>
      </c>
      <c r="M2148">
        <v>16684.0357</v>
      </c>
      <c r="N2148" t="s">
        <v>988</v>
      </c>
    </row>
    <row r="2149" spans="1:14" hidden="1" x14ac:dyDescent="0.3">
      <c r="A2149">
        <v>1388</v>
      </c>
      <c r="B2149" t="s">
        <v>1640</v>
      </c>
      <c r="C2149" t="s">
        <v>2670</v>
      </c>
      <c r="D2149" t="s">
        <v>159</v>
      </c>
      <c r="E2149" t="s">
        <v>159</v>
      </c>
      <c r="F2149">
        <v>5503</v>
      </c>
      <c r="G2149" t="s">
        <v>2673</v>
      </c>
      <c r="H2149" t="s">
        <v>2664</v>
      </c>
      <c r="I2149">
        <v>11495.036599999999</v>
      </c>
      <c r="J2149">
        <v>12590.7346</v>
      </c>
      <c r="K2149">
        <v>13606.241400000001</v>
      </c>
      <c r="L2149">
        <v>15608.6358</v>
      </c>
      <c r="M2149">
        <v>16369.5393</v>
      </c>
      <c r="N2149" t="s">
        <v>988</v>
      </c>
    </row>
    <row r="2150" spans="1:14" hidden="1" x14ac:dyDescent="0.3">
      <c r="A2150">
        <v>1869</v>
      </c>
      <c r="B2150" t="s">
        <v>1643</v>
      </c>
      <c r="C2150" t="s">
        <v>2670</v>
      </c>
      <c r="D2150" t="s">
        <v>1203</v>
      </c>
      <c r="E2150" t="s">
        <v>1204</v>
      </c>
      <c r="F2150">
        <v>5551</v>
      </c>
      <c r="G2150" t="s">
        <v>2672</v>
      </c>
      <c r="H2150" t="s">
        <v>2665</v>
      </c>
      <c r="N2150" t="s">
        <v>988</v>
      </c>
    </row>
    <row r="2151" spans="1:14" hidden="1" x14ac:dyDescent="0.3">
      <c r="A2151">
        <v>1869</v>
      </c>
      <c r="B2151" t="s">
        <v>1643</v>
      </c>
      <c r="C2151" t="s">
        <v>2670</v>
      </c>
      <c r="D2151" t="s">
        <v>1203</v>
      </c>
      <c r="E2151" t="s">
        <v>1204</v>
      </c>
      <c r="F2151">
        <v>5551</v>
      </c>
      <c r="G2151" t="s">
        <v>2672</v>
      </c>
      <c r="H2151" t="s">
        <v>2664</v>
      </c>
      <c r="N2151" t="s">
        <v>988</v>
      </c>
    </row>
    <row r="2152" spans="1:14" hidden="1" x14ac:dyDescent="0.3">
      <c r="A2152">
        <v>1869</v>
      </c>
      <c r="B2152" t="s">
        <v>1643</v>
      </c>
      <c r="C2152" t="s">
        <v>2670</v>
      </c>
      <c r="D2152" t="s">
        <v>1203</v>
      </c>
      <c r="E2152" t="s">
        <v>1204</v>
      </c>
      <c r="F2152">
        <v>5551</v>
      </c>
      <c r="G2152" t="s">
        <v>2671</v>
      </c>
      <c r="H2152" t="s">
        <v>2665</v>
      </c>
      <c r="I2152">
        <v>10230</v>
      </c>
      <c r="J2152">
        <v>10284</v>
      </c>
      <c r="K2152">
        <v>10338</v>
      </c>
      <c r="L2152">
        <v>10393</v>
      </c>
      <c r="M2152">
        <v>10448</v>
      </c>
      <c r="N2152" t="s">
        <v>988</v>
      </c>
    </row>
    <row r="2153" spans="1:14" hidden="1" x14ac:dyDescent="0.3">
      <c r="A2153">
        <v>1869</v>
      </c>
      <c r="B2153" t="s">
        <v>1643</v>
      </c>
      <c r="C2153" t="s">
        <v>2670</v>
      </c>
      <c r="D2153" t="s">
        <v>1203</v>
      </c>
      <c r="E2153" t="s">
        <v>1204</v>
      </c>
      <c r="F2153">
        <v>5551</v>
      </c>
      <c r="G2153" t="s">
        <v>2671</v>
      </c>
      <c r="H2153" t="s">
        <v>2664</v>
      </c>
      <c r="I2153">
        <v>10230</v>
      </c>
      <c r="J2153">
        <v>10284</v>
      </c>
      <c r="K2153">
        <v>10338</v>
      </c>
      <c r="L2153">
        <v>10393</v>
      </c>
      <c r="M2153">
        <v>10448</v>
      </c>
      <c r="N2153" t="s">
        <v>988</v>
      </c>
    </row>
    <row r="2154" spans="1:14" hidden="1" x14ac:dyDescent="0.3">
      <c r="A2154">
        <v>1869</v>
      </c>
      <c r="B2154" t="s">
        <v>1643</v>
      </c>
      <c r="C2154" t="s">
        <v>2670</v>
      </c>
      <c r="D2154" t="s">
        <v>1203</v>
      </c>
      <c r="E2154" t="s">
        <v>1204</v>
      </c>
      <c r="F2154">
        <v>5551</v>
      </c>
      <c r="G2154" t="s">
        <v>2673</v>
      </c>
      <c r="H2154" t="s">
        <v>2665</v>
      </c>
      <c r="I2154">
        <v>10424</v>
      </c>
      <c r="J2154">
        <v>10479</v>
      </c>
      <c r="K2154">
        <v>10534</v>
      </c>
      <c r="L2154">
        <v>10590</v>
      </c>
      <c r="M2154">
        <v>10646</v>
      </c>
      <c r="N2154" t="s">
        <v>988</v>
      </c>
    </row>
    <row r="2155" spans="1:14" hidden="1" x14ac:dyDescent="0.3">
      <c r="A2155">
        <v>1869</v>
      </c>
      <c r="B2155" t="s">
        <v>1643</v>
      </c>
      <c r="C2155" t="s">
        <v>2670</v>
      </c>
      <c r="D2155" t="s">
        <v>1203</v>
      </c>
      <c r="E2155" t="s">
        <v>1204</v>
      </c>
      <c r="F2155">
        <v>5551</v>
      </c>
      <c r="G2155" t="s">
        <v>2673</v>
      </c>
      <c r="H2155" t="s">
        <v>2664</v>
      </c>
      <c r="I2155">
        <v>10424</v>
      </c>
      <c r="J2155">
        <v>10479</v>
      </c>
      <c r="K2155">
        <v>10534</v>
      </c>
      <c r="L2155">
        <v>10590</v>
      </c>
      <c r="M2155">
        <v>10646</v>
      </c>
      <c r="N2155" t="s">
        <v>988</v>
      </c>
    </row>
    <row r="2156" spans="1:14" hidden="1" x14ac:dyDescent="0.3">
      <c r="A2156">
        <v>1869</v>
      </c>
      <c r="B2156" t="s">
        <v>1643</v>
      </c>
      <c r="C2156" t="s">
        <v>2670</v>
      </c>
      <c r="D2156" t="s">
        <v>1203</v>
      </c>
      <c r="E2156" t="s">
        <v>1204</v>
      </c>
      <c r="F2156">
        <v>5551</v>
      </c>
      <c r="G2156" t="s">
        <v>2674</v>
      </c>
      <c r="H2156" t="s">
        <v>2665</v>
      </c>
      <c r="I2156">
        <v>11881</v>
      </c>
      <c r="J2156">
        <v>11944</v>
      </c>
      <c r="K2156">
        <v>12007</v>
      </c>
      <c r="L2156">
        <v>12070</v>
      </c>
      <c r="M2156">
        <v>12134</v>
      </c>
      <c r="N2156" t="s">
        <v>988</v>
      </c>
    </row>
    <row r="2157" spans="1:14" hidden="1" x14ac:dyDescent="0.3">
      <c r="A2157">
        <v>1869</v>
      </c>
      <c r="B2157" t="s">
        <v>1643</v>
      </c>
      <c r="C2157" t="s">
        <v>2670</v>
      </c>
      <c r="D2157" t="s">
        <v>1203</v>
      </c>
      <c r="E2157" t="s">
        <v>1204</v>
      </c>
      <c r="F2157">
        <v>5551</v>
      </c>
      <c r="G2157" t="s">
        <v>2674</v>
      </c>
      <c r="H2157" t="s">
        <v>2664</v>
      </c>
      <c r="I2157">
        <v>11881</v>
      </c>
      <c r="J2157">
        <v>11944</v>
      </c>
      <c r="K2157">
        <v>12007</v>
      </c>
      <c r="L2157">
        <v>12070</v>
      </c>
      <c r="M2157">
        <v>12134</v>
      </c>
      <c r="N2157" t="s">
        <v>988</v>
      </c>
    </row>
    <row r="2158" spans="1:14" hidden="1" x14ac:dyDescent="0.3">
      <c r="A2158">
        <v>1869</v>
      </c>
      <c r="B2158" t="s">
        <v>1643</v>
      </c>
      <c r="C2158" t="s">
        <v>2670</v>
      </c>
      <c r="D2158" t="s">
        <v>1203</v>
      </c>
      <c r="E2158" t="s">
        <v>1204</v>
      </c>
      <c r="F2158">
        <v>5551</v>
      </c>
      <c r="G2158" t="s">
        <v>2675</v>
      </c>
      <c r="H2158" t="s">
        <v>2665</v>
      </c>
      <c r="I2158">
        <v>12598</v>
      </c>
      <c r="J2158">
        <v>12664</v>
      </c>
      <c r="K2158">
        <v>12731</v>
      </c>
      <c r="L2158">
        <v>12798</v>
      </c>
      <c r="M2158">
        <v>12866</v>
      </c>
      <c r="N2158" t="s">
        <v>988</v>
      </c>
    </row>
    <row r="2159" spans="1:14" hidden="1" x14ac:dyDescent="0.3">
      <c r="A2159">
        <v>1869</v>
      </c>
      <c r="B2159" t="s">
        <v>1643</v>
      </c>
      <c r="C2159" t="s">
        <v>2670</v>
      </c>
      <c r="D2159" t="s">
        <v>1203</v>
      </c>
      <c r="E2159" t="s">
        <v>1204</v>
      </c>
      <c r="F2159">
        <v>5551</v>
      </c>
      <c r="G2159" t="s">
        <v>2675</v>
      </c>
      <c r="H2159" t="s">
        <v>2664</v>
      </c>
      <c r="I2159">
        <v>12598</v>
      </c>
      <c r="J2159">
        <v>12664</v>
      </c>
      <c r="K2159">
        <v>12731</v>
      </c>
      <c r="L2159">
        <v>12798</v>
      </c>
      <c r="M2159">
        <v>12866</v>
      </c>
      <c r="N2159" t="s">
        <v>988</v>
      </c>
    </row>
    <row r="2160" spans="1:14" hidden="1" x14ac:dyDescent="0.3">
      <c r="A2160">
        <v>1869</v>
      </c>
      <c r="B2160" t="s">
        <v>1643</v>
      </c>
      <c r="C2160" t="s">
        <v>2670</v>
      </c>
      <c r="D2160" t="s">
        <v>1203</v>
      </c>
      <c r="E2160" t="s">
        <v>1204</v>
      </c>
      <c r="F2160">
        <v>5551</v>
      </c>
      <c r="G2160" t="s">
        <v>2676</v>
      </c>
      <c r="H2160" t="s">
        <v>2665</v>
      </c>
      <c r="I2160">
        <v>12608</v>
      </c>
      <c r="J2160">
        <v>12674</v>
      </c>
      <c r="K2160">
        <v>12741</v>
      </c>
      <c r="L2160">
        <v>12808</v>
      </c>
      <c r="M2160">
        <v>12876</v>
      </c>
      <c r="N2160" t="s">
        <v>988</v>
      </c>
    </row>
    <row r="2161" spans="1:14" hidden="1" x14ac:dyDescent="0.3">
      <c r="A2161">
        <v>1869</v>
      </c>
      <c r="B2161" t="s">
        <v>1643</v>
      </c>
      <c r="C2161" t="s">
        <v>2670</v>
      </c>
      <c r="D2161" t="s">
        <v>1203</v>
      </c>
      <c r="E2161" t="s">
        <v>1204</v>
      </c>
      <c r="F2161">
        <v>5551</v>
      </c>
      <c r="G2161" t="s">
        <v>2676</v>
      </c>
      <c r="H2161" t="s">
        <v>2664</v>
      </c>
      <c r="I2161">
        <v>12608</v>
      </c>
      <c r="J2161">
        <v>12674</v>
      </c>
      <c r="K2161">
        <v>12741</v>
      </c>
      <c r="L2161">
        <v>12808</v>
      </c>
      <c r="M2161">
        <v>12876</v>
      </c>
      <c r="N2161" t="s">
        <v>988</v>
      </c>
    </row>
    <row r="2162" spans="1:14" hidden="1" x14ac:dyDescent="0.3">
      <c r="A2162">
        <v>1424</v>
      </c>
      <c r="B2162" t="s">
        <v>1644</v>
      </c>
      <c r="C2162" t="s">
        <v>2670</v>
      </c>
      <c r="D2162" t="s">
        <v>159</v>
      </c>
      <c r="E2162" t="s">
        <v>159</v>
      </c>
      <c r="F2162">
        <v>5558</v>
      </c>
      <c r="G2162" t="s">
        <v>2676</v>
      </c>
      <c r="H2162" t="s">
        <v>2664</v>
      </c>
      <c r="I2162">
        <v>14870</v>
      </c>
      <c r="J2162">
        <v>15980</v>
      </c>
      <c r="K2162">
        <v>17930</v>
      </c>
      <c r="L2162">
        <v>19860</v>
      </c>
      <c r="M2162">
        <v>21810</v>
      </c>
      <c r="N2162" t="s">
        <v>988</v>
      </c>
    </row>
    <row r="2163" spans="1:14" hidden="1" x14ac:dyDescent="0.3">
      <c r="A2163">
        <v>1424</v>
      </c>
      <c r="B2163" t="s">
        <v>1644</v>
      </c>
      <c r="C2163" t="s">
        <v>2670</v>
      </c>
      <c r="D2163" t="s">
        <v>159</v>
      </c>
      <c r="E2163" t="s">
        <v>159</v>
      </c>
      <c r="F2163">
        <v>5558</v>
      </c>
      <c r="G2163" t="s">
        <v>2672</v>
      </c>
      <c r="H2163" t="s">
        <v>2665</v>
      </c>
      <c r="I2163">
        <v>14870</v>
      </c>
      <c r="J2163">
        <v>15980</v>
      </c>
      <c r="K2163">
        <v>17930</v>
      </c>
      <c r="L2163">
        <v>19860</v>
      </c>
      <c r="M2163">
        <v>21810</v>
      </c>
      <c r="N2163" t="s">
        <v>988</v>
      </c>
    </row>
    <row r="2164" spans="1:14" hidden="1" x14ac:dyDescent="0.3">
      <c r="A2164">
        <v>1424</v>
      </c>
      <c r="B2164" t="s">
        <v>1644</v>
      </c>
      <c r="C2164" t="s">
        <v>2670</v>
      </c>
      <c r="D2164" t="s">
        <v>159</v>
      </c>
      <c r="E2164" t="s">
        <v>159</v>
      </c>
      <c r="F2164">
        <v>5558</v>
      </c>
      <c r="G2164" t="s">
        <v>2672</v>
      </c>
      <c r="H2164" t="s">
        <v>2664</v>
      </c>
      <c r="I2164">
        <v>14870</v>
      </c>
      <c r="J2164">
        <v>15980</v>
      </c>
      <c r="K2164">
        <v>17930</v>
      </c>
      <c r="L2164">
        <v>19860</v>
      </c>
      <c r="M2164">
        <v>21810</v>
      </c>
      <c r="N2164" t="s">
        <v>988</v>
      </c>
    </row>
    <row r="2165" spans="1:14" hidden="1" x14ac:dyDescent="0.3">
      <c r="A2165">
        <v>1424</v>
      </c>
      <c r="B2165" t="s">
        <v>1644</v>
      </c>
      <c r="C2165" t="s">
        <v>2670</v>
      </c>
      <c r="D2165" t="s">
        <v>159</v>
      </c>
      <c r="E2165" t="s">
        <v>159</v>
      </c>
      <c r="F2165">
        <v>5558</v>
      </c>
      <c r="G2165" t="s">
        <v>2671</v>
      </c>
      <c r="H2165" t="s">
        <v>2665</v>
      </c>
      <c r="I2165">
        <v>14870</v>
      </c>
      <c r="J2165">
        <v>15980</v>
      </c>
      <c r="K2165">
        <v>17930</v>
      </c>
      <c r="L2165">
        <v>19860</v>
      </c>
      <c r="M2165">
        <v>21810</v>
      </c>
      <c r="N2165" t="s">
        <v>988</v>
      </c>
    </row>
    <row r="2166" spans="1:14" hidden="1" x14ac:dyDescent="0.3">
      <c r="A2166">
        <v>1424</v>
      </c>
      <c r="B2166" t="s">
        <v>1644</v>
      </c>
      <c r="C2166" t="s">
        <v>2670</v>
      </c>
      <c r="D2166" t="s">
        <v>159</v>
      </c>
      <c r="E2166" t="s">
        <v>159</v>
      </c>
      <c r="F2166">
        <v>5558</v>
      </c>
      <c r="G2166" t="s">
        <v>2671</v>
      </c>
      <c r="H2166" t="s">
        <v>2664</v>
      </c>
      <c r="I2166">
        <v>14870</v>
      </c>
      <c r="J2166">
        <v>15980</v>
      </c>
      <c r="K2166">
        <v>17930</v>
      </c>
      <c r="L2166">
        <v>19860</v>
      </c>
      <c r="M2166">
        <v>21810</v>
      </c>
      <c r="N2166" t="s">
        <v>988</v>
      </c>
    </row>
    <row r="2167" spans="1:14" hidden="1" x14ac:dyDescent="0.3">
      <c r="A2167">
        <v>1424</v>
      </c>
      <c r="B2167" t="s">
        <v>1644</v>
      </c>
      <c r="C2167" t="s">
        <v>2670</v>
      </c>
      <c r="D2167" t="s">
        <v>159</v>
      </c>
      <c r="E2167" t="s">
        <v>159</v>
      </c>
      <c r="F2167">
        <v>5558</v>
      </c>
      <c r="G2167" t="s">
        <v>2673</v>
      </c>
      <c r="H2167" t="s">
        <v>2665</v>
      </c>
      <c r="I2167">
        <v>14870</v>
      </c>
      <c r="J2167">
        <v>15980</v>
      </c>
      <c r="K2167">
        <v>17930</v>
      </c>
      <c r="L2167">
        <v>19860</v>
      </c>
      <c r="M2167">
        <v>21810</v>
      </c>
      <c r="N2167" t="s">
        <v>988</v>
      </c>
    </row>
    <row r="2168" spans="1:14" hidden="1" x14ac:dyDescent="0.3">
      <c r="A2168">
        <v>1424</v>
      </c>
      <c r="B2168" t="s">
        <v>1644</v>
      </c>
      <c r="C2168" t="s">
        <v>2670</v>
      </c>
      <c r="D2168" t="s">
        <v>159</v>
      </c>
      <c r="E2168" t="s">
        <v>159</v>
      </c>
      <c r="F2168">
        <v>5558</v>
      </c>
      <c r="G2168" t="s">
        <v>2673</v>
      </c>
      <c r="H2168" t="s">
        <v>2664</v>
      </c>
      <c r="I2168">
        <v>14870</v>
      </c>
      <c r="J2168">
        <v>15980</v>
      </c>
      <c r="K2168">
        <v>17930</v>
      </c>
      <c r="L2168">
        <v>19860</v>
      </c>
      <c r="M2168">
        <v>21810</v>
      </c>
      <c r="N2168" t="s">
        <v>988</v>
      </c>
    </row>
    <row r="2169" spans="1:14" hidden="1" x14ac:dyDescent="0.3">
      <c r="A2169">
        <v>1424</v>
      </c>
      <c r="B2169" t="s">
        <v>1644</v>
      </c>
      <c r="C2169" t="s">
        <v>2670</v>
      </c>
      <c r="D2169" t="s">
        <v>159</v>
      </c>
      <c r="E2169" t="s">
        <v>159</v>
      </c>
      <c r="F2169">
        <v>5558</v>
      </c>
      <c r="G2169" t="s">
        <v>2674</v>
      </c>
      <c r="H2169" t="s">
        <v>2665</v>
      </c>
      <c r="I2169">
        <v>14870</v>
      </c>
      <c r="J2169">
        <v>15980</v>
      </c>
      <c r="K2169">
        <v>17930</v>
      </c>
      <c r="L2169">
        <v>19860</v>
      </c>
      <c r="M2169">
        <v>21810</v>
      </c>
      <c r="N2169" t="s">
        <v>988</v>
      </c>
    </row>
    <row r="2170" spans="1:14" hidden="1" x14ac:dyDescent="0.3">
      <c r="A2170">
        <v>1424</v>
      </c>
      <c r="B2170" t="s">
        <v>1644</v>
      </c>
      <c r="C2170" t="s">
        <v>2670</v>
      </c>
      <c r="D2170" t="s">
        <v>159</v>
      </c>
      <c r="E2170" t="s">
        <v>159</v>
      </c>
      <c r="F2170">
        <v>5558</v>
      </c>
      <c r="G2170" t="s">
        <v>2674</v>
      </c>
      <c r="H2170" t="s">
        <v>2664</v>
      </c>
      <c r="I2170">
        <v>14870</v>
      </c>
      <c r="J2170">
        <v>15980</v>
      </c>
      <c r="K2170">
        <v>17930</v>
      </c>
      <c r="L2170">
        <v>19860</v>
      </c>
      <c r="M2170">
        <v>21810</v>
      </c>
      <c r="N2170" t="s">
        <v>988</v>
      </c>
    </row>
    <row r="2171" spans="1:14" hidden="1" x14ac:dyDescent="0.3">
      <c r="A2171">
        <v>1424</v>
      </c>
      <c r="B2171" t="s">
        <v>1644</v>
      </c>
      <c r="C2171" t="s">
        <v>2670</v>
      </c>
      <c r="D2171" t="s">
        <v>159</v>
      </c>
      <c r="E2171" t="s">
        <v>159</v>
      </c>
      <c r="F2171">
        <v>5558</v>
      </c>
      <c r="G2171" t="s">
        <v>2675</v>
      </c>
      <c r="H2171" t="s">
        <v>2665</v>
      </c>
      <c r="I2171">
        <v>14870</v>
      </c>
      <c r="J2171">
        <v>15980</v>
      </c>
      <c r="K2171">
        <v>17930</v>
      </c>
      <c r="L2171">
        <v>19860</v>
      </c>
      <c r="M2171">
        <v>21810</v>
      </c>
      <c r="N2171" t="s">
        <v>988</v>
      </c>
    </row>
    <row r="2172" spans="1:14" hidden="1" x14ac:dyDescent="0.3">
      <c r="A2172">
        <v>1424</v>
      </c>
      <c r="B2172" t="s">
        <v>1644</v>
      </c>
      <c r="C2172" t="s">
        <v>2670</v>
      </c>
      <c r="D2172" t="s">
        <v>159</v>
      </c>
      <c r="E2172" t="s">
        <v>159</v>
      </c>
      <c r="F2172">
        <v>5558</v>
      </c>
      <c r="G2172" t="s">
        <v>2675</v>
      </c>
      <c r="H2172" t="s">
        <v>2664</v>
      </c>
      <c r="I2172">
        <v>14870</v>
      </c>
      <c r="J2172">
        <v>15980</v>
      </c>
      <c r="K2172">
        <v>17930</v>
      </c>
      <c r="L2172">
        <v>19860</v>
      </c>
      <c r="M2172">
        <v>21810</v>
      </c>
      <c r="N2172" t="s">
        <v>988</v>
      </c>
    </row>
    <row r="2173" spans="1:14" hidden="1" x14ac:dyDescent="0.3">
      <c r="A2173">
        <v>1424</v>
      </c>
      <c r="B2173" t="s">
        <v>1644</v>
      </c>
      <c r="C2173" t="s">
        <v>2670</v>
      </c>
      <c r="D2173" t="s">
        <v>159</v>
      </c>
      <c r="E2173" t="s">
        <v>159</v>
      </c>
      <c r="F2173">
        <v>5558</v>
      </c>
      <c r="G2173" t="s">
        <v>2676</v>
      </c>
      <c r="H2173" t="s">
        <v>2665</v>
      </c>
      <c r="I2173">
        <v>14870</v>
      </c>
      <c r="J2173">
        <v>15980</v>
      </c>
      <c r="K2173">
        <v>17930</v>
      </c>
      <c r="L2173">
        <v>19860</v>
      </c>
      <c r="M2173">
        <v>21810</v>
      </c>
      <c r="N2173" t="s">
        <v>988</v>
      </c>
    </row>
    <row r="2174" spans="1:14" hidden="1" x14ac:dyDescent="0.3">
      <c r="A2174">
        <v>1425</v>
      </c>
      <c r="B2174" t="s">
        <v>1647</v>
      </c>
      <c r="C2174" t="s">
        <v>2670</v>
      </c>
      <c r="D2174" t="s">
        <v>159</v>
      </c>
      <c r="E2174" t="s">
        <v>159</v>
      </c>
      <c r="F2174">
        <v>7826</v>
      </c>
      <c r="G2174" t="s">
        <v>2676</v>
      </c>
      <c r="H2174" t="s">
        <v>2664</v>
      </c>
      <c r="I2174">
        <v>3632.5</v>
      </c>
      <c r="J2174">
        <v>3632.5</v>
      </c>
      <c r="K2174">
        <v>3632.5</v>
      </c>
      <c r="L2174">
        <v>3632.5</v>
      </c>
      <c r="M2174">
        <v>3632.5</v>
      </c>
      <c r="N2174" t="s">
        <v>988</v>
      </c>
    </row>
    <row r="2175" spans="1:14" hidden="1" x14ac:dyDescent="0.3">
      <c r="A2175">
        <v>1425</v>
      </c>
      <c r="B2175" t="s">
        <v>1647</v>
      </c>
      <c r="C2175" t="s">
        <v>2670</v>
      </c>
      <c r="D2175" t="s">
        <v>159</v>
      </c>
      <c r="E2175" t="s">
        <v>159</v>
      </c>
      <c r="F2175">
        <v>7826</v>
      </c>
      <c r="G2175" t="s">
        <v>2675</v>
      </c>
      <c r="H2175" t="s">
        <v>2665</v>
      </c>
      <c r="I2175">
        <v>2294.9</v>
      </c>
      <c r="J2175">
        <v>2331.1</v>
      </c>
      <c r="K2175">
        <v>2367.8000000000002</v>
      </c>
      <c r="L2175">
        <v>2405.1999999999998</v>
      </c>
      <c r="M2175">
        <v>2443.1</v>
      </c>
      <c r="N2175" t="s">
        <v>988</v>
      </c>
    </row>
    <row r="2176" spans="1:14" hidden="1" x14ac:dyDescent="0.3">
      <c r="A2176">
        <v>1425</v>
      </c>
      <c r="B2176" t="s">
        <v>1647</v>
      </c>
      <c r="C2176" t="s">
        <v>2670</v>
      </c>
      <c r="D2176" t="s">
        <v>159</v>
      </c>
      <c r="E2176" t="s">
        <v>159</v>
      </c>
      <c r="F2176">
        <v>7826</v>
      </c>
      <c r="G2176" t="s">
        <v>2672</v>
      </c>
      <c r="H2176" t="s">
        <v>2665</v>
      </c>
      <c r="N2176" t="s">
        <v>988</v>
      </c>
    </row>
    <row r="2177" spans="1:14" hidden="1" x14ac:dyDescent="0.3">
      <c r="A2177">
        <v>1425</v>
      </c>
      <c r="B2177" t="s">
        <v>1647</v>
      </c>
      <c r="C2177" t="s">
        <v>2670</v>
      </c>
      <c r="D2177" t="s">
        <v>159</v>
      </c>
      <c r="E2177" t="s">
        <v>159</v>
      </c>
      <c r="F2177">
        <v>7826</v>
      </c>
      <c r="G2177" t="s">
        <v>2672</v>
      </c>
      <c r="H2177" t="s">
        <v>2664</v>
      </c>
      <c r="N2177" t="s">
        <v>988</v>
      </c>
    </row>
    <row r="2178" spans="1:14" hidden="1" x14ac:dyDescent="0.3">
      <c r="A2178">
        <v>1425</v>
      </c>
      <c r="B2178" t="s">
        <v>1647</v>
      </c>
      <c r="C2178" t="s">
        <v>2670</v>
      </c>
      <c r="D2178" t="s">
        <v>159</v>
      </c>
      <c r="E2178" t="s">
        <v>159</v>
      </c>
      <c r="F2178">
        <v>7826</v>
      </c>
      <c r="G2178" t="s">
        <v>2671</v>
      </c>
      <c r="H2178" t="s">
        <v>2665</v>
      </c>
      <c r="I2178">
        <v>1848.4</v>
      </c>
      <c r="J2178">
        <v>1877.6</v>
      </c>
      <c r="K2178">
        <v>1907.2</v>
      </c>
      <c r="L2178">
        <v>1937.3</v>
      </c>
      <c r="M2178">
        <v>1967.8</v>
      </c>
      <c r="N2178" t="s">
        <v>988</v>
      </c>
    </row>
    <row r="2179" spans="1:14" hidden="1" x14ac:dyDescent="0.3">
      <c r="A2179">
        <v>1425</v>
      </c>
      <c r="B2179" t="s">
        <v>1647</v>
      </c>
      <c r="C2179" t="s">
        <v>2670</v>
      </c>
      <c r="D2179" t="s">
        <v>159</v>
      </c>
      <c r="E2179" t="s">
        <v>159</v>
      </c>
      <c r="F2179">
        <v>7826</v>
      </c>
      <c r="G2179" t="s">
        <v>2676</v>
      </c>
      <c r="H2179" t="s">
        <v>2665</v>
      </c>
      <c r="I2179">
        <v>2078.6</v>
      </c>
      <c r="J2179">
        <v>2111.4</v>
      </c>
      <c r="K2179">
        <v>2144.6999999999998</v>
      </c>
      <c r="L2179">
        <v>2178.5</v>
      </c>
      <c r="M2179">
        <v>2212.8000000000002</v>
      </c>
      <c r="N2179" t="s">
        <v>988</v>
      </c>
    </row>
    <row r="2180" spans="1:14" hidden="1" x14ac:dyDescent="0.3">
      <c r="A2180">
        <v>1425</v>
      </c>
      <c r="B2180" t="s">
        <v>1647</v>
      </c>
      <c r="C2180" t="s">
        <v>2670</v>
      </c>
      <c r="D2180" t="s">
        <v>159</v>
      </c>
      <c r="E2180" t="s">
        <v>159</v>
      </c>
      <c r="F2180">
        <v>7826</v>
      </c>
      <c r="G2180" t="s">
        <v>2673</v>
      </c>
      <c r="H2180" t="s">
        <v>2665</v>
      </c>
      <c r="I2180">
        <v>2325.3000000000002</v>
      </c>
      <c r="J2180">
        <v>2362</v>
      </c>
      <c r="K2180">
        <v>2399.1999999999998</v>
      </c>
      <c r="L2180">
        <v>2437</v>
      </c>
      <c r="M2180">
        <v>2475.5</v>
      </c>
      <c r="N2180" t="s">
        <v>988</v>
      </c>
    </row>
    <row r="2181" spans="1:14" hidden="1" x14ac:dyDescent="0.3">
      <c r="A2181">
        <v>1425</v>
      </c>
      <c r="B2181" t="s">
        <v>1647</v>
      </c>
      <c r="C2181" t="s">
        <v>2670</v>
      </c>
      <c r="D2181" t="s">
        <v>159</v>
      </c>
      <c r="E2181" t="s">
        <v>159</v>
      </c>
      <c r="F2181">
        <v>7826</v>
      </c>
      <c r="G2181" t="s">
        <v>2673</v>
      </c>
      <c r="H2181" t="s">
        <v>2664</v>
      </c>
      <c r="I2181">
        <v>3632.5</v>
      </c>
      <c r="J2181">
        <v>3632.5</v>
      </c>
      <c r="K2181">
        <v>3632.5</v>
      </c>
      <c r="L2181">
        <v>3632.5</v>
      </c>
      <c r="M2181">
        <v>3632.5</v>
      </c>
      <c r="N2181" t="s">
        <v>988</v>
      </c>
    </row>
    <row r="2182" spans="1:14" hidden="1" x14ac:dyDescent="0.3">
      <c r="A2182">
        <v>1425</v>
      </c>
      <c r="B2182" t="s">
        <v>1647</v>
      </c>
      <c r="C2182" t="s">
        <v>2670</v>
      </c>
      <c r="D2182" t="s">
        <v>159</v>
      </c>
      <c r="E2182" t="s">
        <v>159</v>
      </c>
      <c r="F2182">
        <v>7826</v>
      </c>
      <c r="G2182" t="s">
        <v>2674</v>
      </c>
      <c r="H2182" t="s">
        <v>2665</v>
      </c>
      <c r="I2182">
        <v>2488.6999999999998</v>
      </c>
      <c r="J2182">
        <v>2528</v>
      </c>
      <c r="K2182">
        <v>2567.8000000000002</v>
      </c>
      <c r="L2182">
        <v>2608.3000000000002</v>
      </c>
      <c r="M2182">
        <v>2649.4</v>
      </c>
      <c r="N2182" t="s">
        <v>988</v>
      </c>
    </row>
    <row r="2183" spans="1:14" hidden="1" x14ac:dyDescent="0.3">
      <c r="A2183">
        <v>1425</v>
      </c>
      <c r="B2183" t="s">
        <v>1647</v>
      </c>
      <c r="C2183" t="s">
        <v>2670</v>
      </c>
      <c r="D2183" t="s">
        <v>159</v>
      </c>
      <c r="E2183" t="s">
        <v>159</v>
      </c>
      <c r="F2183">
        <v>7826</v>
      </c>
      <c r="G2183" t="s">
        <v>2674</v>
      </c>
      <c r="H2183" t="s">
        <v>2664</v>
      </c>
      <c r="I2183">
        <v>3632.5</v>
      </c>
      <c r="J2183">
        <v>3632.5</v>
      </c>
      <c r="K2183">
        <v>3632.5</v>
      </c>
      <c r="L2183">
        <v>3632.5</v>
      </c>
      <c r="M2183">
        <v>3632.5</v>
      </c>
      <c r="N2183" t="s">
        <v>988</v>
      </c>
    </row>
    <row r="2184" spans="1:14" hidden="1" x14ac:dyDescent="0.3">
      <c r="A2184">
        <v>1425</v>
      </c>
      <c r="B2184" t="s">
        <v>1647</v>
      </c>
      <c r="C2184" t="s">
        <v>2670</v>
      </c>
      <c r="D2184" t="s">
        <v>159</v>
      </c>
      <c r="E2184" t="s">
        <v>159</v>
      </c>
      <c r="F2184">
        <v>7826</v>
      </c>
      <c r="G2184" t="s">
        <v>2675</v>
      </c>
      <c r="H2184" t="s">
        <v>2664</v>
      </c>
      <c r="I2184">
        <v>3632.5</v>
      </c>
      <c r="J2184">
        <v>3632.5</v>
      </c>
      <c r="K2184">
        <v>3632.5</v>
      </c>
      <c r="L2184">
        <v>3632.5</v>
      </c>
      <c r="M2184">
        <v>3632.5</v>
      </c>
      <c r="N2184" t="s">
        <v>988</v>
      </c>
    </row>
    <row r="2185" spans="1:14" hidden="1" x14ac:dyDescent="0.3">
      <c r="A2185">
        <v>1425</v>
      </c>
      <c r="B2185" t="s">
        <v>1647</v>
      </c>
      <c r="C2185" t="s">
        <v>2670</v>
      </c>
      <c r="D2185" t="s">
        <v>159</v>
      </c>
      <c r="E2185" t="s">
        <v>159</v>
      </c>
      <c r="F2185">
        <v>7826</v>
      </c>
      <c r="G2185" t="s">
        <v>2671</v>
      </c>
      <c r="H2185" t="s">
        <v>2664</v>
      </c>
      <c r="I2185">
        <v>3632.5</v>
      </c>
      <c r="J2185">
        <v>3632.5</v>
      </c>
      <c r="K2185">
        <v>3632.5</v>
      </c>
      <c r="L2185">
        <v>3632.5</v>
      </c>
      <c r="M2185">
        <v>3632.5</v>
      </c>
      <c r="N2185" t="s">
        <v>988</v>
      </c>
    </row>
    <row r="2186" spans="1:14" hidden="1" x14ac:dyDescent="0.3">
      <c r="A2186">
        <v>1427</v>
      </c>
      <c r="B2186" t="s">
        <v>1650</v>
      </c>
      <c r="C2186" t="s">
        <v>2670</v>
      </c>
      <c r="D2186" t="s">
        <v>159</v>
      </c>
      <c r="E2186" t="s">
        <v>159</v>
      </c>
      <c r="F2186">
        <v>6005</v>
      </c>
      <c r="G2186" t="s">
        <v>2676</v>
      </c>
      <c r="H2186" t="s">
        <v>2664</v>
      </c>
      <c r="I2186">
        <v>4653</v>
      </c>
      <c r="J2186">
        <v>5131</v>
      </c>
      <c r="K2186">
        <v>5610</v>
      </c>
      <c r="L2186">
        <v>6088</v>
      </c>
      <c r="M2186">
        <v>6566</v>
      </c>
      <c r="N2186" t="s">
        <v>988</v>
      </c>
    </row>
    <row r="2187" spans="1:14" hidden="1" x14ac:dyDescent="0.3">
      <c r="A2187">
        <v>1427</v>
      </c>
      <c r="B2187" t="s">
        <v>1650</v>
      </c>
      <c r="C2187" t="s">
        <v>2670</v>
      </c>
      <c r="D2187" t="s">
        <v>159</v>
      </c>
      <c r="E2187" t="s">
        <v>159</v>
      </c>
      <c r="F2187">
        <v>6005</v>
      </c>
      <c r="G2187" t="s">
        <v>2676</v>
      </c>
      <c r="H2187" t="s">
        <v>2665</v>
      </c>
      <c r="I2187">
        <v>4046</v>
      </c>
      <c r="J2187">
        <v>4462</v>
      </c>
      <c r="K2187">
        <v>4878</v>
      </c>
      <c r="L2187">
        <v>5294</v>
      </c>
      <c r="M2187">
        <v>5709</v>
      </c>
      <c r="N2187" t="s">
        <v>988</v>
      </c>
    </row>
    <row r="2188" spans="1:14" hidden="1" x14ac:dyDescent="0.3">
      <c r="A2188">
        <v>1427</v>
      </c>
      <c r="B2188" t="s">
        <v>1650</v>
      </c>
      <c r="C2188" t="s">
        <v>2670</v>
      </c>
      <c r="D2188" t="s">
        <v>159</v>
      </c>
      <c r="E2188" t="s">
        <v>159</v>
      </c>
      <c r="F2188">
        <v>6005</v>
      </c>
      <c r="G2188" t="s">
        <v>2675</v>
      </c>
      <c r="H2188" t="s">
        <v>2664</v>
      </c>
      <c r="I2188">
        <v>4653</v>
      </c>
      <c r="J2188">
        <v>5131</v>
      </c>
      <c r="K2188">
        <v>5610</v>
      </c>
      <c r="L2188">
        <v>6088</v>
      </c>
      <c r="M2188">
        <v>6566</v>
      </c>
      <c r="N2188" t="s">
        <v>988</v>
      </c>
    </row>
    <row r="2189" spans="1:14" hidden="1" x14ac:dyDescent="0.3">
      <c r="A2189">
        <v>1427</v>
      </c>
      <c r="B2189" t="s">
        <v>1650</v>
      </c>
      <c r="C2189" t="s">
        <v>2670</v>
      </c>
      <c r="D2189" t="s">
        <v>159</v>
      </c>
      <c r="E2189" t="s">
        <v>159</v>
      </c>
      <c r="F2189">
        <v>6005</v>
      </c>
      <c r="G2189" t="s">
        <v>2675</v>
      </c>
      <c r="H2189" t="s">
        <v>2665</v>
      </c>
      <c r="I2189">
        <v>4046</v>
      </c>
      <c r="J2189">
        <v>4462</v>
      </c>
      <c r="K2189">
        <v>4878</v>
      </c>
      <c r="L2189">
        <v>5294</v>
      </c>
      <c r="M2189">
        <v>5709</v>
      </c>
      <c r="N2189" t="s">
        <v>988</v>
      </c>
    </row>
    <row r="2190" spans="1:14" hidden="1" x14ac:dyDescent="0.3">
      <c r="A2190">
        <v>1427</v>
      </c>
      <c r="B2190" t="s">
        <v>1650</v>
      </c>
      <c r="C2190" t="s">
        <v>2670</v>
      </c>
      <c r="D2190" t="s">
        <v>159</v>
      </c>
      <c r="E2190" t="s">
        <v>159</v>
      </c>
      <c r="F2190">
        <v>6005</v>
      </c>
      <c r="G2190" t="s">
        <v>2674</v>
      </c>
      <c r="H2190" t="s">
        <v>2664</v>
      </c>
      <c r="I2190">
        <v>4653</v>
      </c>
      <c r="J2190">
        <v>5131</v>
      </c>
      <c r="K2190">
        <v>5610</v>
      </c>
      <c r="L2190">
        <v>6088</v>
      </c>
      <c r="M2190">
        <v>6566</v>
      </c>
      <c r="N2190" t="s">
        <v>988</v>
      </c>
    </row>
    <row r="2191" spans="1:14" hidden="1" x14ac:dyDescent="0.3">
      <c r="A2191">
        <v>1427</v>
      </c>
      <c r="B2191" t="s">
        <v>1650</v>
      </c>
      <c r="C2191" t="s">
        <v>2670</v>
      </c>
      <c r="D2191" t="s">
        <v>159</v>
      </c>
      <c r="E2191" t="s">
        <v>159</v>
      </c>
      <c r="F2191">
        <v>6005</v>
      </c>
      <c r="G2191" t="s">
        <v>2674</v>
      </c>
      <c r="H2191" t="s">
        <v>2665</v>
      </c>
      <c r="I2191">
        <v>4046</v>
      </c>
      <c r="J2191">
        <v>4462</v>
      </c>
      <c r="K2191">
        <v>4878</v>
      </c>
      <c r="L2191">
        <v>5294</v>
      </c>
      <c r="M2191">
        <v>5709</v>
      </c>
      <c r="N2191" t="s">
        <v>988</v>
      </c>
    </row>
    <row r="2192" spans="1:14" hidden="1" x14ac:dyDescent="0.3">
      <c r="A2192">
        <v>1427</v>
      </c>
      <c r="B2192" t="s">
        <v>1650</v>
      </c>
      <c r="C2192" t="s">
        <v>2670</v>
      </c>
      <c r="D2192" t="s">
        <v>159</v>
      </c>
      <c r="E2192" t="s">
        <v>159</v>
      </c>
      <c r="F2192">
        <v>6005</v>
      </c>
      <c r="G2192" t="s">
        <v>2673</v>
      </c>
      <c r="H2192" t="s">
        <v>2664</v>
      </c>
      <c r="I2192">
        <v>4653</v>
      </c>
      <c r="J2192">
        <v>5131</v>
      </c>
      <c r="K2192">
        <v>5610</v>
      </c>
      <c r="L2192">
        <v>6088</v>
      </c>
      <c r="M2192">
        <v>6566</v>
      </c>
      <c r="N2192" t="s">
        <v>988</v>
      </c>
    </row>
    <row r="2193" spans="1:14" hidden="1" x14ac:dyDescent="0.3">
      <c r="A2193">
        <v>1427</v>
      </c>
      <c r="B2193" t="s">
        <v>1650</v>
      </c>
      <c r="C2193" t="s">
        <v>2670</v>
      </c>
      <c r="D2193" t="s">
        <v>159</v>
      </c>
      <c r="E2193" t="s">
        <v>159</v>
      </c>
      <c r="F2193">
        <v>6005</v>
      </c>
      <c r="G2193" t="s">
        <v>2673</v>
      </c>
      <c r="H2193" t="s">
        <v>2665</v>
      </c>
      <c r="I2193">
        <v>4046</v>
      </c>
      <c r="J2193">
        <v>4462</v>
      </c>
      <c r="K2193">
        <v>4878</v>
      </c>
      <c r="L2193">
        <v>5294</v>
      </c>
      <c r="M2193">
        <v>5709</v>
      </c>
      <c r="N2193" t="s">
        <v>988</v>
      </c>
    </row>
    <row r="2194" spans="1:14" hidden="1" x14ac:dyDescent="0.3">
      <c r="A2194">
        <v>1427</v>
      </c>
      <c r="B2194" t="s">
        <v>1650</v>
      </c>
      <c r="C2194" t="s">
        <v>2670</v>
      </c>
      <c r="D2194" t="s">
        <v>159</v>
      </c>
      <c r="E2194" t="s">
        <v>159</v>
      </c>
      <c r="F2194">
        <v>6005</v>
      </c>
      <c r="G2194" t="s">
        <v>2671</v>
      </c>
      <c r="H2194" t="s">
        <v>2665</v>
      </c>
      <c r="I2194">
        <v>4046</v>
      </c>
      <c r="J2194">
        <v>4462</v>
      </c>
      <c r="K2194">
        <v>4878</v>
      </c>
      <c r="L2194">
        <v>5294</v>
      </c>
      <c r="M2194">
        <v>5709</v>
      </c>
      <c r="N2194" t="s">
        <v>988</v>
      </c>
    </row>
    <row r="2195" spans="1:14" hidden="1" x14ac:dyDescent="0.3">
      <c r="A2195">
        <v>1427</v>
      </c>
      <c r="B2195" t="s">
        <v>1650</v>
      </c>
      <c r="C2195" t="s">
        <v>2670</v>
      </c>
      <c r="D2195" t="s">
        <v>159</v>
      </c>
      <c r="E2195" t="s">
        <v>159</v>
      </c>
      <c r="F2195">
        <v>6005</v>
      </c>
      <c r="G2195" t="s">
        <v>2672</v>
      </c>
      <c r="H2195" t="s">
        <v>2664</v>
      </c>
      <c r="N2195" t="s">
        <v>988</v>
      </c>
    </row>
    <row r="2196" spans="1:14" hidden="1" x14ac:dyDescent="0.3">
      <c r="A2196">
        <v>1427</v>
      </c>
      <c r="B2196" t="s">
        <v>1650</v>
      </c>
      <c r="C2196" t="s">
        <v>2670</v>
      </c>
      <c r="D2196" t="s">
        <v>159</v>
      </c>
      <c r="E2196" t="s">
        <v>159</v>
      </c>
      <c r="F2196">
        <v>6005</v>
      </c>
      <c r="G2196" t="s">
        <v>2671</v>
      </c>
      <c r="H2196" t="s">
        <v>2664</v>
      </c>
      <c r="I2196">
        <v>4653</v>
      </c>
      <c r="J2196">
        <v>5131</v>
      </c>
      <c r="K2196">
        <v>5610</v>
      </c>
      <c r="L2196">
        <v>6088</v>
      </c>
      <c r="M2196">
        <v>6566</v>
      </c>
      <c r="N2196" t="s">
        <v>988</v>
      </c>
    </row>
    <row r="2197" spans="1:14" hidden="1" x14ac:dyDescent="0.3">
      <c r="A2197">
        <v>1427</v>
      </c>
      <c r="B2197" t="s">
        <v>1650</v>
      </c>
      <c r="C2197" t="s">
        <v>2670</v>
      </c>
      <c r="D2197" t="s">
        <v>159</v>
      </c>
      <c r="E2197" t="s">
        <v>159</v>
      </c>
      <c r="F2197">
        <v>6005</v>
      </c>
      <c r="G2197" t="s">
        <v>2672</v>
      </c>
      <c r="H2197" t="s">
        <v>2665</v>
      </c>
      <c r="N2197" t="s">
        <v>988</v>
      </c>
    </row>
    <row r="2198" spans="1:14" hidden="1" x14ac:dyDescent="0.3">
      <c r="A2198">
        <v>1443</v>
      </c>
      <c r="B2198" t="s">
        <v>1651</v>
      </c>
      <c r="C2198" t="s">
        <v>2670</v>
      </c>
      <c r="D2198" t="s">
        <v>1203</v>
      </c>
      <c r="E2198" t="s">
        <v>1204</v>
      </c>
      <c r="F2198">
        <v>5580</v>
      </c>
      <c r="G2198" t="s">
        <v>2676</v>
      </c>
      <c r="H2198" t="s">
        <v>2665</v>
      </c>
      <c r="I2198">
        <v>8338.1682884500005</v>
      </c>
      <c r="J2198">
        <v>8559.1282136499995</v>
      </c>
      <c r="K2198">
        <v>8780.0881388500002</v>
      </c>
      <c r="L2198">
        <v>9004.1169518999995</v>
      </c>
      <c r="M2198">
        <v>9004.1169518999995</v>
      </c>
      <c r="N2198" t="s">
        <v>988</v>
      </c>
    </row>
    <row r="2199" spans="1:14" hidden="1" x14ac:dyDescent="0.3">
      <c r="A2199">
        <v>1443</v>
      </c>
      <c r="B2199" t="s">
        <v>1651</v>
      </c>
      <c r="C2199" t="s">
        <v>2670</v>
      </c>
      <c r="D2199" t="s">
        <v>1203</v>
      </c>
      <c r="E2199" t="s">
        <v>1204</v>
      </c>
      <c r="F2199">
        <v>5580</v>
      </c>
      <c r="G2199" t="s">
        <v>2675</v>
      </c>
      <c r="H2199" t="s">
        <v>2664</v>
      </c>
      <c r="I2199">
        <v>8381.1327183499998</v>
      </c>
      <c r="J2199">
        <v>8605.1615313999991</v>
      </c>
      <c r="K2199">
        <v>8826.1214565999999</v>
      </c>
      <c r="L2199">
        <v>9004.1169518999995</v>
      </c>
      <c r="M2199">
        <v>9004.1169518999995</v>
      </c>
      <c r="N2199" t="s">
        <v>988</v>
      </c>
    </row>
    <row r="2200" spans="1:14" hidden="1" x14ac:dyDescent="0.3">
      <c r="A2200">
        <v>1443</v>
      </c>
      <c r="B2200" t="s">
        <v>1651</v>
      </c>
      <c r="C2200" t="s">
        <v>2670</v>
      </c>
      <c r="D2200" t="s">
        <v>1203</v>
      </c>
      <c r="E2200" t="s">
        <v>1204</v>
      </c>
      <c r="F2200">
        <v>5580</v>
      </c>
      <c r="G2200" t="s">
        <v>2675</v>
      </c>
      <c r="H2200" t="s">
        <v>2665</v>
      </c>
      <c r="I2200">
        <v>8381.1327183499998</v>
      </c>
      <c r="J2200">
        <v>8605.1615313999991</v>
      </c>
      <c r="K2200">
        <v>8826.1214565999999</v>
      </c>
      <c r="L2200">
        <v>9004.1169518999995</v>
      </c>
      <c r="M2200">
        <v>9004.1169518999995</v>
      </c>
      <c r="N2200" t="s">
        <v>988</v>
      </c>
    </row>
    <row r="2201" spans="1:14" hidden="1" x14ac:dyDescent="0.3">
      <c r="A2201">
        <v>1443</v>
      </c>
      <c r="B2201" t="s">
        <v>1651</v>
      </c>
      <c r="C2201" t="s">
        <v>2670</v>
      </c>
      <c r="D2201" t="s">
        <v>1203</v>
      </c>
      <c r="E2201" t="s">
        <v>1204</v>
      </c>
      <c r="F2201">
        <v>5580</v>
      </c>
      <c r="G2201" t="s">
        <v>2674</v>
      </c>
      <c r="H2201" t="s">
        <v>2664</v>
      </c>
      <c r="I2201">
        <v>8427.1660360999995</v>
      </c>
      <c r="J2201">
        <v>8648.1259613000002</v>
      </c>
      <c r="K2201">
        <v>8869.0858864999991</v>
      </c>
      <c r="L2201">
        <v>9004.1169518999995</v>
      </c>
      <c r="M2201">
        <v>9004.1169518999995</v>
      </c>
      <c r="N2201" t="s">
        <v>988</v>
      </c>
    </row>
    <row r="2202" spans="1:14" hidden="1" x14ac:dyDescent="0.3">
      <c r="A2202">
        <v>1443</v>
      </c>
      <c r="B2202" t="s">
        <v>1651</v>
      </c>
      <c r="C2202" t="s">
        <v>2670</v>
      </c>
      <c r="D2202" t="s">
        <v>1203</v>
      </c>
      <c r="E2202" t="s">
        <v>1204</v>
      </c>
      <c r="F2202">
        <v>5580</v>
      </c>
      <c r="G2202" t="s">
        <v>2674</v>
      </c>
      <c r="H2202" t="s">
        <v>2665</v>
      </c>
      <c r="I2202">
        <v>8427.1660360999995</v>
      </c>
      <c r="J2202">
        <v>8648.1259613000002</v>
      </c>
      <c r="K2202">
        <v>8869.0858864999991</v>
      </c>
      <c r="L2202">
        <v>9004.1169518999995</v>
      </c>
      <c r="M2202">
        <v>9004.1169518999995</v>
      </c>
      <c r="N2202" t="s">
        <v>988</v>
      </c>
    </row>
    <row r="2203" spans="1:14" hidden="1" x14ac:dyDescent="0.3">
      <c r="A2203">
        <v>1443</v>
      </c>
      <c r="B2203" t="s">
        <v>1651</v>
      </c>
      <c r="C2203" t="s">
        <v>2670</v>
      </c>
      <c r="D2203" t="s">
        <v>1203</v>
      </c>
      <c r="E2203" t="s">
        <v>1204</v>
      </c>
      <c r="F2203">
        <v>5580</v>
      </c>
      <c r="G2203" t="s">
        <v>2676</v>
      </c>
      <c r="H2203" t="s">
        <v>2664</v>
      </c>
      <c r="I2203">
        <v>8338.1682884500005</v>
      </c>
      <c r="J2203">
        <v>8559.1282136499995</v>
      </c>
      <c r="K2203">
        <v>8780.0881388500002</v>
      </c>
      <c r="L2203">
        <v>9004.1169518999995</v>
      </c>
      <c r="M2203">
        <v>9004.1169518999995</v>
      </c>
      <c r="N2203" t="s">
        <v>988</v>
      </c>
    </row>
    <row r="2204" spans="1:14" hidden="1" x14ac:dyDescent="0.3">
      <c r="A2204">
        <v>1443</v>
      </c>
      <c r="B2204" t="s">
        <v>1651</v>
      </c>
      <c r="C2204" t="s">
        <v>2670</v>
      </c>
      <c r="D2204" t="s">
        <v>1203</v>
      </c>
      <c r="E2204" t="s">
        <v>1204</v>
      </c>
      <c r="F2204">
        <v>5580</v>
      </c>
      <c r="G2204" t="s">
        <v>2673</v>
      </c>
      <c r="H2204" t="s">
        <v>2665</v>
      </c>
      <c r="I2204">
        <v>8470.1304660000005</v>
      </c>
      <c r="J2204">
        <v>8691.0903911999994</v>
      </c>
      <c r="K2204">
        <v>8915.1192042500006</v>
      </c>
      <c r="L2204">
        <v>9004.1169518999995</v>
      </c>
      <c r="M2204">
        <v>9004.1169518999995</v>
      </c>
      <c r="N2204" t="s">
        <v>988</v>
      </c>
    </row>
    <row r="2205" spans="1:14" hidden="1" x14ac:dyDescent="0.3">
      <c r="A2205">
        <v>1443</v>
      </c>
      <c r="B2205" t="s">
        <v>1651</v>
      </c>
      <c r="C2205" t="s">
        <v>2670</v>
      </c>
      <c r="D2205" t="s">
        <v>1203</v>
      </c>
      <c r="E2205" t="s">
        <v>1204</v>
      </c>
      <c r="F2205">
        <v>5580</v>
      </c>
      <c r="G2205" t="s">
        <v>2671</v>
      </c>
      <c r="H2205" t="s">
        <v>2664</v>
      </c>
      <c r="I2205">
        <v>8516.1637837500002</v>
      </c>
      <c r="J2205">
        <v>8737.1237089499991</v>
      </c>
      <c r="K2205">
        <v>8958.0836341499999</v>
      </c>
      <c r="L2205">
        <v>9004.1169518999995</v>
      </c>
      <c r="M2205">
        <v>9004.1169518999995</v>
      </c>
      <c r="N2205" t="s">
        <v>988</v>
      </c>
    </row>
    <row r="2206" spans="1:14" hidden="1" x14ac:dyDescent="0.3">
      <c r="A2206">
        <v>1443</v>
      </c>
      <c r="B2206" t="s">
        <v>1651</v>
      </c>
      <c r="C2206" t="s">
        <v>2670</v>
      </c>
      <c r="D2206" t="s">
        <v>1203</v>
      </c>
      <c r="E2206" t="s">
        <v>1204</v>
      </c>
      <c r="F2206">
        <v>5580</v>
      </c>
      <c r="G2206" t="s">
        <v>2671</v>
      </c>
      <c r="H2206" t="s">
        <v>2665</v>
      </c>
      <c r="I2206">
        <v>8516.1637837500002</v>
      </c>
      <c r="J2206">
        <v>8737.1237089499991</v>
      </c>
      <c r="K2206">
        <v>8958.0836341499999</v>
      </c>
      <c r="L2206">
        <v>9004.1169518999995</v>
      </c>
      <c r="M2206">
        <v>9004.1169518999995</v>
      </c>
      <c r="N2206" t="s">
        <v>988</v>
      </c>
    </row>
    <row r="2207" spans="1:14" hidden="1" x14ac:dyDescent="0.3">
      <c r="A2207">
        <v>1443</v>
      </c>
      <c r="B2207" t="s">
        <v>1651</v>
      </c>
      <c r="C2207" t="s">
        <v>2670</v>
      </c>
      <c r="D2207" t="s">
        <v>1203</v>
      </c>
      <c r="E2207" t="s">
        <v>1204</v>
      </c>
      <c r="F2207">
        <v>5580</v>
      </c>
      <c r="G2207" t="s">
        <v>2672</v>
      </c>
      <c r="H2207" t="s">
        <v>2664</v>
      </c>
      <c r="N2207" t="s">
        <v>988</v>
      </c>
    </row>
    <row r="2208" spans="1:14" hidden="1" x14ac:dyDescent="0.3">
      <c r="A2208">
        <v>1443</v>
      </c>
      <c r="B2208" t="s">
        <v>1651</v>
      </c>
      <c r="C2208" t="s">
        <v>2670</v>
      </c>
      <c r="D2208" t="s">
        <v>1203</v>
      </c>
      <c r="E2208" t="s">
        <v>1204</v>
      </c>
      <c r="F2208">
        <v>5580</v>
      </c>
      <c r="G2208" t="s">
        <v>2672</v>
      </c>
      <c r="H2208" t="s">
        <v>2665</v>
      </c>
      <c r="N2208" t="s">
        <v>988</v>
      </c>
    </row>
    <row r="2209" spans="1:14" hidden="1" x14ac:dyDescent="0.3">
      <c r="A2209">
        <v>1443</v>
      </c>
      <c r="B2209" t="s">
        <v>1651</v>
      </c>
      <c r="C2209" t="s">
        <v>2670</v>
      </c>
      <c r="D2209" t="s">
        <v>1203</v>
      </c>
      <c r="E2209" t="s">
        <v>1204</v>
      </c>
      <c r="F2209">
        <v>5580</v>
      </c>
      <c r="G2209" t="s">
        <v>2673</v>
      </c>
      <c r="H2209" t="s">
        <v>2664</v>
      </c>
      <c r="I2209">
        <v>8470.1304660000005</v>
      </c>
      <c r="J2209">
        <v>8691.0903911999994</v>
      </c>
      <c r="K2209">
        <v>8915.1192042500006</v>
      </c>
      <c r="L2209">
        <v>9004.1169518999995</v>
      </c>
      <c r="M2209">
        <v>9004.1169518999995</v>
      </c>
      <c r="N2209" t="s">
        <v>988</v>
      </c>
    </row>
    <row r="2210" spans="1:14" hidden="1" x14ac:dyDescent="0.3">
      <c r="A2210">
        <v>1450</v>
      </c>
      <c r="B2210" t="s">
        <v>1660</v>
      </c>
      <c r="C2210" t="s">
        <v>2670</v>
      </c>
      <c r="D2210" t="s">
        <v>1203</v>
      </c>
      <c r="E2210" t="s">
        <v>1204</v>
      </c>
      <c r="F2210">
        <v>5914</v>
      </c>
      <c r="G2210" t="s">
        <v>2674</v>
      </c>
      <c r="H2210" t="s">
        <v>2665</v>
      </c>
      <c r="I2210">
        <v>13929</v>
      </c>
      <c r="J2210">
        <v>14736</v>
      </c>
      <c r="K2210">
        <v>15589</v>
      </c>
      <c r="L2210">
        <v>16492</v>
      </c>
      <c r="M2210">
        <v>17447</v>
      </c>
      <c r="N2210" t="s">
        <v>988</v>
      </c>
    </row>
    <row r="2211" spans="1:14" hidden="1" x14ac:dyDescent="0.3">
      <c r="A2211">
        <v>1450</v>
      </c>
      <c r="B2211" t="s">
        <v>1660</v>
      </c>
      <c r="C2211" t="s">
        <v>2670</v>
      </c>
      <c r="D2211" t="s">
        <v>1203</v>
      </c>
      <c r="E2211" t="s">
        <v>1204</v>
      </c>
      <c r="F2211">
        <v>5914</v>
      </c>
      <c r="G2211" t="s">
        <v>2674</v>
      </c>
      <c r="H2211" t="s">
        <v>2664</v>
      </c>
      <c r="I2211">
        <v>16500</v>
      </c>
      <c r="J2211">
        <v>16500</v>
      </c>
      <c r="K2211">
        <v>16500</v>
      </c>
      <c r="L2211">
        <v>16500</v>
      </c>
      <c r="M2211">
        <v>16500</v>
      </c>
      <c r="N2211" t="s">
        <v>988</v>
      </c>
    </row>
    <row r="2212" spans="1:14" hidden="1" x14ac:dyDescent="0.3">
      <c r="A2212">
        <v>1450</v>
      </c>
      <c r="B2212" t="s">
        <v>1660</v>
      </c>
      <c r="C2212" t="s">
        <v>2670</v>
      </c>
      <c r="D2212" t="s">
        <v>1203</v>
      </c>
      <c r="E2212" t="s">
        <v>1204</v>
      </c>
      <c r="F2212">
        <v>5914</v>
      </c>
      <c r="G2212" t="s">
        <v>2675</v>
      </c>
      <c r="H2212" t="s">
        <v>2665</v>
      </c>
      <c r="I2212">
        <v>14296</v>
      </c>
      <c r="J2212">
        <v>15124</v>
      </c>
      <c r="K2212">
        <v>15999</v>
      </c>
      <c r="L2212">
        <v>16926</v>
      </c>
      <c r="M2212">
        <v>17906</v>
      </c>
      <c r="N2212" t="s">
        <v>988</v>
      </c>
    </row>
    <row r="2213" spans="1:14" hidden="1" x14ac:dyDescent="0.3">
      <c r="A2213">
        <v>1450</v>
      </c>
      <c r="B2213" t="s">
        <v>1660</v>
      </c>
      <c r="C2213" t="s">
        <v>2670</v>
      </c>
      <c r="D2213" t="s">
        <v>1203</v>
      </c>
      <c r="E2213" t="s">
        <v>1204</v>
      </c>
      <c r="F2213">
        <v>5914</v>
      </c>
      <c r="G2213" t="s">
        <v>2675</v>
      </c>
      <c r="H2213" t="s">
        <v>2664</v>
      </c>
      <c r="I2213">
        <v>17250</v>
      </c>
      <c r="J2213">
        <v>17250</v>
      </c>
      <c r="K2213">
        <v>17250</v>
      </c>
      <c r="L2213">
        <v>17250</v>
      </c>
      <c r="M2213">
        <v>17250</v>
      </c>
      <c r="N2213" t="s">
        <v>988</v>
      </c>
    </row>
    <row r="2214" spans="1:14" hidden="1" x14ac:dyDescent="0.3">
      <c r="A2214">
        <v>1450</v>
      </c>
      <c r="B2214" t="s">
        <v>1660</v>
      </c>
      <c r="C2214" t="s">
        <v>2670</v>
      </c>
      <c r="D2214" t="s">
        <v>1203</v>
      </c>
      <c r="E2214" t="s">
        <v>1204</v>
      </c>
      <c r="F2214">
        <v>5914</v>
      </c>
      <c r="G2214" t="s">
        <v>2676</v>
      </c>
      <c r="H2214" t="s">
        <v>2665</v>
      </c>
      <c r="I2214">
        <v>14663</v>
      </c>
      <c r="J2214">
        <v>15512</v>
      </c>
      <c r="K2214">
        <v>16410</v>
      </c>
      <c r="L2214">
        <v>17360</v>
      </c>
      <c r="M2214">
        <v>18365</v>
      </c>
      <c r="N2214" t="s">
        <v>988</v>
      </c>
    </row>
    <row r="2215" spans="1:14" hidden="1" x14ac:dyDescent="0.3">
      <c r="A2215">
        <v>1450</v>
      </c>
      <c r="B2215" t="s">
        <v>1660</v>
      </c>
      <c r="C2215" t="s">
        <v>2670</v>
      </c>
      <c r="D2215" t="s">
        <v>1203</v>
      </c>
      <c r="E2215" t="s">
        <v>1204</v>
      </c>
      <c r="F2215">
        <v>5914</v>
      </c>
      <c r="G2215" t="s">
        <v>2676</v>
      </c>
      <c r="H2215" t="s">
        <v>2664</v>
      </c>
      <c r="I2215">
        <v>18000</v>
      </c>
      <c r="J2215">
        <v>18000</v>
      </c>
      <c r="K2215">
        <v>18000</v>
      </c>
      <c r="L2215">
        <v>18000</v>
      </c>
      <c r="M2215">
        <v>18000</v>
      </c>
      <c r="N2215" t="s">
        <v>988</v>
      </c>
    </row>
    <row r="2216" spans="1:14" hidden="1" x14ac:dyDescent="0.3">
      <c r="A2216">
        <v>1450</v>
      </c>
      <c r="B2216" t="s">
        <v>1660</v>
      </c>
      <c r="C2216" t="s">
        <v>2670</v>
      </c>
      <c r="D2216" t="s">
        <v>1203</v>
      </c>
      <c r="E2216" t="s">
        <v>1204</v>
      </c>
      <c r="F2216">
        <v>5914</v>
      </c>
      <c r="G2216" t="s">
        <v>2673</v>
      </c>
      <c r="H2216" t="s">
        <v>2665</v>
      </c>
      <c r="I2216">
        <v>13563</v>
      </c>
      <c r="J2216">
        <v>14348</v>
      </c>
      <c r="K2216">
        <v>15179</v>
      </c>
      <c r="L2216">
        <v>16058</v>
      </c>
      <c r="M2216">
        <v>16987</v>
      </c>
      <c r="N2216" t="s">
        <v>988</v>
      </c>
    </row>
    <row r="2217" spans="1:14" hidden="1" x14ac:dyDescent="0.3">
      <c r="A2217">
        <v>1450</v>
      </c>
      <c r="B2217" t="s">
        <v>1660</v>
      </c>
      <c r="C2217" t="s">
        <v>2670</v>
      </c>
      <c r="D2217" t="s">
        <v>1203</v>
      </c>
      <c r="E2217" t="s">
        <v>1204</v>
      </c>
      <c r="F2217">
        <v>5914</v>
      </c>
      <c r="G2217" t="s">
        <v>2671</v>
      </c>
      <c r="H2217" t="s">
        <v>2664</v>
      </c>
      <c r="I2217">
        <v>15000</v>
      </c>
      <c r="J2217">
        <v>15000</v>
      </c>
      <c r="K2217">
        <v>15000</v>
      </c>
      <c r="L2217">
        <v>15000</v>
      </c>
      <c r="M2217">
        <v>15000</v>
      </c>
      <c r="N2217" t="s">
        <v>988</v>
      </c>
    </row>
    <row r="2218" spans="1:14" hidden="1" x14ac:dyDescent="0.3">
      <c r="A2218">
        <v>1450</v>
      </c>
      <c r="B2218" t="s">
        <v>1660</v>
      </c>
      <c r="C2218" t="s">
        <v>2670</v>
      </c>
      <c r="D2218" t="s">
        <v>1203</v>
      </c>
      <c r="E2218" t="s">
        <v>1204</v>
      </c>
      <c r="F2218">
        <v>5914</v>
      </c>
      <c r="G2218" t="s">
        <v>2671</v>
      </c>
      <c r="H2218" t="s">
        <v>2665</v>
      </c>
      <c r="I2218">
        <v>13196</v>
      </c>
      <c r="J2218">
        <v>13960</v>
      </c>
      <c r="K2218">
        <v>14769</v>
      </c>
      <c r="L2218">
        <v>15624</v>
      </c>
      <c r="M2218">
        <v>16528</v>
      </c>
      <c r="N2218" t="s">
        <v>988</v>
      </c>
    </row>
    <row r="2219" spans="1:14" hidden="1" x14ac:dyDescent="0.3">
      <c r="A2219">
        <v>1450</v>
      </c>
      <c r="B2219" t="s">
        <v>1660</v>
      </c>
      <c r="C2219" t="s">
        <v>2670</v>
      </c>
      <c r="D2219" t="s">
        <v>1203</v>
      </c>
      <c r="E2219" t="s">
        <v>1204</v>
      </c>
      <c r="F2219">
        <v>5914</v>
      </c>
      <c r="G2219" t="s">
        <v>2672</v>
      </c>
      <c r="H2219" t="s">
        <v>2664</v>
      </c>
      <c r="N2219" t="s">
        <v>988</v>
      </c>
    </row>
    <row r="2220" spans="1:14" hidden="1" x14ac:dyDescent="0.3">
      <c r="A2220">
        <v>1450</v>
      </c>
      <c r="B2220" t="s">
        <v>1660</v>
      </c>
      <c r="C2220" t="s">
        <v>2670</v>
      </c>
      <c r="D2220" t="s">
        <v>1203</v>
      </c>
      <c r="E2220" t="s">
        <v>1204</v>
      </c>
      <c r="F2220">
        <v>5914</v>
      </c>
      <c r="G2220" t="s">
        <v>2672</v>
      </c>
      <c r="H2220" t="s">
        <v>2665</v>
      </c>
      <c r="N2220" t="s">
        <v>988</v>
      </c>
    </row>
    <row r="2221" spans="1:14" hidden="1" x14ac:dyDescent="0.3">
      <c r="A2221">
        <v>1450</v>
      </c>
      <c r="B2221" t="s">
        <v>1660</v>
      </c>
      <c r="C2221" t="s">
        <v>2670</v>
      </c>
      <c r="D2221" t="s">
        <v>1203</v>
      </c>
      <c r="E2221" t="s">
        <v>1204</v>
      </c>
      <c r="F2221">
        <v>5914</v>
      </c>
      <c r="G2221" t="s">
        <v>2673</v>
      </c>
      <c r="H2221" t="s">
        <v>2664</v>
      </c>
      <c r="I2221">
        <v>15750</v>
      </c>
      <c r="J2221">
        <v>15750</v>
      </c>
      <c r="K2221">
        <v>15750</v>
      </c>
      <c r="L2221">
        <v>15750</v>
      </c>
      <c r="M2221">
        <v>15750</v>
      </c>
      <c r="N2221" t="s">
        <v>988</v>
      </c>
    </row>
    <row r="2222" spans="1:14" hidden="1" x14ac:dyDescent="0.3">
      <c r="A2222">
        <v>1452</v>
      </c>
      <c r="B2222" t="s">
        <v>1661</v>
      </c>
      <c r="C2222" t="s">
        <v>2670</v>
      </c>
      <c r="D2222" t="s">
        <v>1203</v>
      </c>
      <c r="E2222" t="s">
        <v>1204</v>
      </c>
      <c r="F2222">
        <v>5740</v>
      </c>
      <c r="G2222" t="s">
        <v>2673</v>
      </c>
      <c r="H2222" t="s">
        <v>2665</v>
      </c>
      <c r="I2222">
        <v>6191</v>
      </c>
      <c r="J2222">
        <v>6378</v>
      </c>
      <c r="K2222">
        <v>6564</v>
      </c>
      <c r="L2222">
        <v>6743</v>
      </c>
      <c r="M2222">
        <v>6921</v>
      </c>
      <c r="N2222" t="s">
        <v>988</v>
      </c>
    </row>
    <row r="2223" spans="1:14" hidden="1" x14ac:dyDescent="0.3">
      <c r="A2223">
        <v>1452</v>
      </c>
      <c r="B2223" t="s">
        <v>1661</v>
      </c>
      <c r="C2223" t="s">
        <v>2670</v>
      </c>
      <c r="D2223" t="s">
        <v>1203</v>
      </c>
      <c r="E2223" t="s">
        <v>1204</v>
      </c>
      <c r="F2223">
        <v>5740</v>
      </c>
      <c r="G2223" t="s">
        <v>2671</v>
      </c>
      <c r="H2223" t="s">
        <v>2664</v>
      </c>
      <c r="I2223">
        <v>7120</v>
      </c>
      <c r="J2223">
        <v>7334</v>
      </c>
      <c r="K2223">
        <v>7549</v>
      </c>
      <c r="L2223">
        <v>7754</v>
      </c>
      <c r="M2223">
        <v>7959</v>
      </c>
      <c r="N2223" t="s">
        <v>988</v>
      </c>
    </row>
    <row r="2224" spans="1:14" hidden="1" x14ac:dyDescent="0.3">
      <c r="A2224">
        <v>1452</v>
      </c>
      <c r="B2224" t="s">
        <v>1661</v>
      </c>
      <c r="C2224" t="s">
        <v>2670</v>
      </c>
      <c r="D2224" t="s">
        <v>1203</v>
      </c>
      <c r="E2224" t="s">
        <v>1204</v>
      </c>
      <c r="F2224">
        <v>5740</v>
      </c>
      <c r="G2224" t="s">
        <v>2671</v>
      </c>
      <c r="H2224" t="s">
        <v>2665</v>
      </c>
      <c r="I2224">
        <v>6191</v>
      </c>
      <c r="J2224">
        <v>6378</v>
      </c>
      <c r="K2224">
        <v>6564</v>
      </c>
      <c r="L2224">
        <v>6743</v>
      </c>
      <c r="M2224">
        <v>6921</v>
      </c>
      <c r="N2224" t="s">
        <v>988</v>
      </c>
    </row>
    <row r="2225" spans="1:14" hidden="1" x14ac:dyDescent="0.3">
      <c r="A2225">
        <v>1452</v>
      </c>
      <c r="B2225" t="s">
        <v>1661</v>
      </c>
      <c r="C2225" t="s">
        <v>2670</v>
      </c>
      <c r="D2225" t="s">
        <v>1203</v>
      </c>
      <c r="E2225" t="s">
        <v>1204</v>
      </c>
      <c r="F2225">
        <v>5740</v>
      </c>
      <c r="G2225" t="s">
        <v>2672</v>
      </c>
      <c r="H2225" t="s">
        <v>2664</v>
      </c>
      <c r="I2225">
        <v>7120</v>
      </c>
      <c r="J2225">
        <v>7334</v>
      </c>
      <c r="K2225">
        <v>7549</v>
      </c>
      <c r="L2225">
        <v>7754</v>
      </c>
      <c r="M2225">
        <v>7959</v>
      </c>
      <c r="N2225" t="s">
        <v>988</v>
      </c>
    </row>
    <row r="2226" spans="1:14" hidden="1" x14ac:dyDescent="0.3">
      <c r="A2226">
        <v>1452</v>
      </c>
      <c r="B2226" t="s">
        <v>1661</v>
      </c>
      <c r="C2226" t="s">
        <v>2670</v>
      </c>
      <c r="D2226" t="s">
        <v>1203</v>
      </c>
      <c r="E2226" t="s">
        <v>1204</v>
      </c>
      <c r="F2226">
        <v>5740</v>
      </c>
      <c r="G2226" t="s">
        <v>2672</v>
      </c>
      <c r="H2226" t="s">
        <v>2665</v>
      </c>
      <c r="I2226">
        <v>6191</v>
      </c>
      <c r="J2226">
        <v>6378</v>
      </c>
      <c r="K2226">
        <v>6564</v>
      </c>
      <c r="L2226">
        <v>6743</v>
      </c>
      <c r="M2226">
        <v>6921</v>
      </c>
      <c r="N2226" t="s">
        <v>988</v>
      </c>
    </row>
    <row r="2227" spans="1:14" hidden="1" x14ac:dyDescent="0.3">
      <c r="A2227">
        <v>1452</v>
      </c>
      <c r="B2227" t="s">
        <v>1661</v>
      </c>
      <c r="C2227" t="s">
        <v>2670</v>
      </c>
      <c r="D2227" t="s">
        <v>1203</v>
      </c>
      <c r="E2227" t="s">
        <v>1204</v>
      </c>
      <c r="F2227">
        <v>5740</v>
      </c>
      <c r="G2227" t="s">
        <v>2673</v>
      </c>
      <c r="H2227" t="s">
        <v>2664</v>
      </c>
      <c r="I2227">
        <v>7120</v>
      </c>
      <c r="J2227">
        <v>7334</v>
      </c>
      <c r="K2227">
        <v>7549</v>
      </c>
      <c r="L2227">
        <v>7754</v>
      </c>
      <c r="M2227">
        <v>7959</v>
      </c>
      <c r="N2227" t="s">
        <v>988</v>
      </c>
    </row>
    <row r="2228" spans="1:14" hidden="1" x14ac:dyDescent="0.3">
      <c r="A2228">
        <v>1452</v>
      </c>
      <c r="B2228" t="s">
        <v>1661</v>
      </c>
      <c r="C2228" t="s">
        <v>2670</v>
      </c>
      <c r="D2228" t="s">
        <v>1203</v>
      </c>
      <c r="E2228" t="s">
        <v>1204</v>
      </c>
      <c r="F2228">
        <v>5740</v>
      </c>
      <c r="G2228" t="s">
        <v>2676</v>
      </c>
      <c r="H2228" t="s">
        <v>2664</v>
      </c>
      <c r="I2228">
        <v>7120</v>
      </c>
      <c r="J2228">
        <v>7334</v>
      </c>
      <c r="K2228">
        <v>7549</v>
      </c>
      <c r="L2228">
        <v>7754</v>
      </c>
      <c r="M2228">
        <v>7959</v>
      </c>
      <c r="N2228" t="s">
        <v>988</v>
      </c>
    </row>
    <row r="2229" spans="1:14" hidden="1" x14ac:dyDescent="0.3">
      <c r="A2229">
        <v>1452</v>
      </c>
      <c r="B2229" t="s">
        <v>1661</v>
      </c>
      <c r="C2229" t="s">
        <v>2670</v>
      </c>
      <c r="D2229" t="s">
        <v>1203</v>
      </c>
      <c r="E2229" t="s">
        <v>1204</v>
      </c>
      <c r="F2229">
        <v>5740</v>
      </c>
      <c r="G2229" t="s">
        <v>2676</v>
      </c>
      <c r="H2229" t="s">
        <v>2665</v>
      </c>
      <c r="I2229">
        <v>6191</v>
      </c>
      <c r="J2229">
        <v>6378</v>
      </c>
      <c r="K2229">
        <v>6564</v>
      </c>
      <c r="L2229">
        <v>6743</v>
      </c>
      <c r="M2229">
        <v>6921</v>
      </c>
      <c r="N2229" t="s">
        <v>988</v>
      </c>
    </row>
    <row r="2230" spans="1:14" hidden="1" x14ac:dyDescent="0.3">
      <c r="A2230">
        <v>1452</v>
      </c>
      <c r="B2230" t="s">
        <v>1661</v>
      </c>
      <c r="C2230" t="s">
        <v>2670</v>
      </c>
      <c r="D2230" t="s">
        <v>1203</v>
      </c>
      <c r="E2230" t="s">
        <v>1204</v>
      </c>
      <c r="F2230">
        <v>5740</v>
      </c>
      <c r="G2230" t="s">
        <v>2675</v>
      </c>
      <c r="H2230" t="s">
        <v>2664</v>
      </c>
      <c r="I2230">
        <v>7120</v>
      </c>
      <c r="J2230">
        <v>7334</v>
      </c>
      <c r="K2230">
        <v>7549</v>
      </c>
      <c r="L2230">
        <v>7754</v>
      </c>
      <c r="M2230">
        <v>7959</v>
      </c>
      <c r="N2230" t="s">
        <v>988</v>
      </c>
    </row>
    <row r="2231" spans="1:14" hidden="1" x14ac:dyDescent="0.3">
      <c r="A2231">
        <v>1452</v>
      </c>
      <c r="B2231" t="s">
        <v>1661</v>
      </c>
      <c r="C2231" t="s">
        <v>2670</v>
      </c>
      <c r="D2231" t="s">
        <v>1203</v>
      </c>
      <c r="E2231" t="s">
        <v>1204</v>
      </c>
      <c r="F2231">
        <v>5740</v>
      </c>
      <c r="G2231" t="s">
        <v>2675</v>
      </c>
      <c r="H2231" t="s">
        <v>2665</v>
      </c>
      <c r="I2231">
        <v>6191</v>
      </c>
      <c r="J2231">
        <v>6378</v>
      </c>
      <c r="K2231">
        <v>6564</v>
      </c>
      <c r="L2231">
        <v>6743</v>
      </c>
      <c r="M2231">
        <v>6921</v>
      </c>
      <c r="N2231" t="s">
        <v>988</v>
      </c>
    </row>
    <row r="2232" spans="1:14" hidden="1" x14ac:dyDescent="0.3">
      <c r="A2232">
        <v>1452</v>
      </c>
      <c r="B2232" t="s">
        <v>1661</v>
      </c>
      <c r="C2232" t="s">
        <v>2670</v>
      </c>
      <c r="D2232" t="s">
        <v>1203</v>
      </c>
      <c r="E2232" t="s">
        <v>1204</v>
      </c>
      <c r="F2232">
        <v>5740</v>
      </c>
      <c r="G2232" t="s">
        <v>2674</v>
      </c>
      <c r="H2232" t="s">
        <v>2664</v>
      </c>
      <c r="I2232">
        <v>7120</v>
      </c>
      <c r="J2232">
        <v>7334</v>
      </c>
      <c r="K2232">
        <v>7549</v>
      </c>
      <c r="L2232">
        <v>7754</v>
      </c>
      <c r="M2232">
        <v>7959</v>
      </c>
      <c r="N2232" t="s">
        <v>988</v>
      </c>
    </row>
    <row r="2233" spans="1:14" hidden="1" x14ac:dyDescent="0.3">
      <c r="A2233">
        <v>1452</v>
      </c>
      <c r="B2233" t="s">
        <v>1661</v>
      </c>
      <c r="C2233" t="s">
        <v>2670</v>
      </c>
      <c r="D2233" t="s">
        <v>1203</v>
      </c>
      <c r="E2233" t="s">
        <v>1204</v>
      </c>
      <c r="F2233">
        <v>5740</v>
      </c>
      <c r="G2233" t="s">
        <v>2674</v>
      </c>
      <c r="H2233" t="s">
        <v>2665</v>
      </c>
      <c r="I2233">
        <v>6191</v>
      </c>
      <c r="J2233">
        <v>6378</v>
      </c>
      <c r="K2233">
        <v>6564</v>
      </c>
      <c r="L2233">
        <v>6743</v>
      </c>
      <c r="M2233">
        <v>6921</v>
      </c>
      <c r="N2233" t="s">
        <v>988</v>
      </c>
    </row>
    <row r="2234" spans="1:14" hidden="1" x14ac:dyDescent="0.3">
      <c r="A2234">
        <v>1456</v>
      </c>
      <c r="B2234" t="s">
        <v>1664</v>
      </c>
      <c r="C2234" t="s">
        <v>2670</v>
      </c>
      <c r="D2234" t="s">
        <v>159</v>
      </c>
      <c r="E2234" t="s">
        <v>159</v>
      </c>
      <c r="F2234">
        <v>7786</v>
      </c>
      <c r="G2234" t="s">
        <v>2675</v>
      </c>
      <c r="H2234" t="s">
        <v>2664</v>
      </c>
      <c r="I2234">
        <v>4000</v>
      </c>
      <c r="J2234">
        <v>4000</v>
      </c>
      <c r="K2234">
        <v>4000</v>
      </c>
      <c r="L2234">
        <v>4000</v>
      </c>
      <c r="M2234">
        <v>4000</v>
      </c>
      <c r="N2234" t="s">
        <v>988</v>
      </c>
    </row>
    <row r="2235" spans="1:14" hidden="1" x14ac:dyDescent="0.3">
      <c r="A2235">
        <v>1456</v>
      </c>
      <c r="B2235" t="s">
        <v>1664</v>
      </c>
      <c r="C2235" t="s">
        <v>2670</v>
      </c>
      <c r="D2235" t="s">
        <v>159</v>
      </c>
      <c r="E2235" t="s">
        <v>159</v>
      </c>
      <c r="F2235">
        <v>7786</v>
      </c>
      <c r="G2235" t="s">
        <v>2675</v>
      </c>
      <c r="H2235" t="s">
        <v>2665</v>
      </c>
      <c r="I2235">
        <v>2345</v>
      </c>
      <c r="J2235">
        <v>2394</v>
      </c>
      <c r="K2235">
        <v>2394</v>
      </c>
      <c r="L2235">
        <v>2392</v>
      </c>
      <c r="M2235">
        <v>2390</v>
      </c>
      <c r="N2235" t="s">
        <v>988</v>
      </c>
    </row>
    <row r="2236" spans="1:14" hidden="1" x14ac:dyDescent="0.3">
      <c r="A2236">
        <v>1456</v>
      </c>
      <c r="B2236" t="s">
        <v>1664</v>
      </c>
      <c r="C2236" t="s">
        <v>2670</v>
      </c>
      <c r="D2236" t="s">
        <v>159</v>
      </c>
      <c r="E2236" t="s">
        <v>159</v>
      </c>
      <c r="F2236">
        <v>7786</v>
      </c>
      <c r="G2236" t="s">
        <v>2674</v>
      </c>
      <c r="H2236" t="s">
        <v>2664</v>
      </c>
      <c r="I2236">
        <v>4000</v>
      </c>
      <c r="J2236">
        <v>4000</v>
      </c>
      <c r="K2236">
        <v>4000</v>
      </c>
      <c r="L2236">
        <v>4000</v>
      </c>
      <c r="M2236">
        <v>4000</v>
      </c>
      <c r="N2236" t="s">
        <v>988</v>
      </c>
    </row>
    <row r="2237" spans="1:14" hidden="1" x14ac:dyDescent="0.3">
      <c r="A2237">
        <v>1456</v>
      </c>
      <c r="B2237" t="s">
        <v>1664</v>
      </c>
      <c r="C2237" t="s">
        <v>2670</v>
      </c>
      <c r="D2237" t="s">
        <v>159</v>
      </c>
      <c r="E2237" t="s">
        <v>159</v>
      </c>
      <c r="F2237">
        <v>7786</v>
      </c>
      <c r="G2237" t="s">
        <v>2674</v>
      </c>
      <c r="H2237" t="s">
        <v>2665</v>
      </c>
      <c r="I2237">
        <v>2206</v>
      </c>
      <c r="J2237">
        <v>2262</v>
      </c>
      <c r="K2237">
        <v>2261</v>
      </c>
      <c r="L2237">
        <v>2259</v>
      </c>
      <c r="M2237">
        <v>2257</v>
      </c>
      <c r="N2237" t="s">
        <v>988</v>
      </c>
    </row>
    <row r="2238" spans="1:14" hidden="1" x14ac:dyDescent="0.3">
      <c r="A2238">
        <v>1456</v>
      </c>
      <c r="B2238" t="s">
        <v>1664</v>
      </c>
      <c r="C2238" t="s">
        <v>2670</v>
      </c>
      <c r="D2238" t="s">
        <v>159</v>
      </c>
      <c r="E2238" t="s">
        <v>159</v>
      </c>
      <c r="F2238">
        <v>7786</v>
      </c>
      <c r="G2238" t="s">
        <v>2673</v>
      </c>
      <c r="H2238" t="s">
        <v>2664</v>
      </c>
      <c r="I2238">
        <v>4000</v>
      </c>
      <c r="J2238">
        <v>4000</v>
      </c>
      <c r="K2238">
        <v>4000</v>
      </c>
      <c r="L2238">
        <v>4000</v>
      </c>
      <c r="M2238">
        <v>4000</v>
      </c>
      <c r="N2238" t="s">
        <v>988</v>
      </c>
    </row>
    <row r="2239" spans="1:14" hidden="1" x14ac:dyDescent="0.3">
      <c r="A2239">
        <v>1456</v>
      </c>
      <c r="B2239" t="s">
        <v>1664</v>
      </c>
      <c r="C2239" t="s">
        <v>2670</v>
      </c>
      <c r="D2239" t="s">
        <v>159</v>
      </c>
      <c r="E2239" t="s">
        <v>159</v>
      </c>
      <c r="F2239">
        <v>7786</v>
      </c>
      <c r="G2239" t="s">
        <v>2676</v>
      </c>
      <c r="H2239" t="s">
        <v>2665</v>
      </c>
      <c r="I2239">
        <v>2288</v>
      </c>
      <c r="J2239">
        <v>2328</v>
      </c>
      <c r="K2239">
        <v>2327</v>
      </c>
      <c r="L2239">
        <v>2326</v>
      </c>
      <c r="M2239">
        <v>2324</v>
      </c>
      <c r="N2239" t="s">
        <v>988</v>
      </c>
    </row>
    <row r="2240" spans="1:14" hidden="1" x14ac:dyDescent="0.3">
      <c r="A2240">
        <v>1456</v>
      </c>
      <c r="B2240" t="s">
        <v>1664</v>
      </c>
      <c r="C2240" t="s">
        <v>2670</v>
      </c>
      <c r="D2240" t="s">
        <v>159</v>
      </c>
      <c r="E2240" t="s">
        <v>159</v>
      </c>
      <c r="F2240">
        <v>7786</v>
      </c>
      <c r="G2240" t="s">
        <v>2672</v>
      </c>
      <c r="H2240" t="s">
        <v>2665</v>
      </c>
      <c r="N2240" t="s">
        <v>988</v>
      </c>
    </row>
    <row r="2241" spans="1:14" hidden="1" x14ac:dyDescent="0.3">
      <c r="A2241">
        <v>1456</v>
      </c>
      <c r="B2241" t="s">
        <v>1664</v>
      </c>
      <c r="C2241" t="s">
        <v>2670</v>
      </c>
      <c r="D2241" t="s">
        <v>159</v>
      </c>
      <c r="E2241" t="s">
        <v>159</v>
      </c>
      <c r="F2241">
        <v>7786</v>
      </c>
      <c r="G2241" t="s">
        <v>2672</v>
      </c>
      <c r="H2241" t="s">
        <v>2664</v>
      </c>
      <c r="N2241" t="s">
        <v>988</v>
      </c>
    </row>
    <row r="2242" spans="1:14" hidden="1" x14ac:dyDescent="0.3">
      <c r="A2242">
        <v>1456</v>
      </c>
      <c r="B2242" t="s">
        <v>1664</v>
      </c>
      <c r="C2242" t="s">
        <v>2670</v>
      </c>
      <c r="D2242" t="s">
        <v>159</v>
      </c>
      <c r="E2242" t="s">
        <v>159</v>
      </c>
      <c r="F2242">
        <v>7786</v>
      </c>
      <c r="G2242" t="s">
        <v>2671</v>
      </c>
      <c r="H2242" t="s">
        <v>2665</v>
      </c>
      <c r="I2242">
        <v>2261</v>
      </c>
      <c r="J2242">
        <v>2261</v>
      </c>
      <c r="K2242">
        <v>2260</v>
      </c>
      <c r="L2242">
        <v>2258</v>
      </c>
      <c r="M2242">
        <v>2256</v>
      </c>
      <c r="N2242" t="s">
        <v>988</v>
      </c>
    </row>
    <row r="2243" spans="1:14" hidden="1" x14ac:dyDescent="0.3">
      <c r="A2243">
        <v>1456</v>
      </c>
      <c r="B2243" t="s">
        <v>1664</v>
      </c>
      <c r="C2243" t="s">
        <v>2670</v>
      </c>
      <c r="D2243" t="s">
        <v>159</v>
      </c>
      <c r="E2243" t="s">
        <v>159</v>
      </c>
      <c r="F2243">
        <v>7786</v>
      </c>
      <c r="G2243" t="s">
        <v>2671</v>
      </c>
      <c r="H2243" t="s">
        <v>2664</v>
      </c>
      <c r="I2243">
        <v>4000</v>
      </c>
      <c r="J2243">
        <v>4000</v>
      </c>
      <c r="K2243">
        <v>4000</v>
      </c>
      <c r="L2243">
        <v>4000</v>
      </c>
      <c r="M2243">
        <v>4000</v>
      </c>
      <c r="N2243" t="s">
        <v>988</v>
      </c>
    </row>
    <row r="2244" spans="1:14" hidden="1" x14ac:dyDescent="0.3">
      <c r="A2244">
        <v>1456</v>
      </c>
      <c r="B2244" t="s">
        <v>1664</v>
      </c>
      <c r="C2244" t="s">
        <v>2670</v>
      </c>
      <c r="D2244" t="s">
        <v>159</v>
      </c>
      <c r="E2244" t="s">
        <v>159</v>
      </c>
      <c r="F2244">
        <v>7786</v>
      </c>
      <c r="G2244" t="s">
        <v>2673</v>
      </c>
      <c r="H2244" t="s">
        <v>2665</v>
      </c>
      <c r="I2244">
        <v>2269</v>
      </c>
      <c r="J2244">
        <v>2262</v>
      </c>
      <c r="K2244">
        <v>2261</v>
      </c>
      <c r="L2244">
        <v>2259</v>
      </c>
      <c r="M2244">
        <v>2257</v>
      </c>
      <c r="N2244" t="s">
        <v>988</v>
      </c>
    </row>
    <row r="2245" spans="1:14" hidden="1" x14ac:dyDescent="0.3">
      <c r="A2245">
        <v>1456</v>
      </c>
      <c r="B2245" t="s">
        <v>1664</v>
      </c>
      <c r="C2245" t="s">
        <v>2670</v>
      </c>
      <c r="D2245" t="s">
        <v>159</v>
      </c>
      <c r="E2245" t="s">
        <v>159</v>
      </c>
      <c r="F2245">
        <v>7786</v>
      </c>
      <c r="G2245" t="s">
        <v>2676</v>
      </c>
      <c r="H2245" t="s">
        <v>2664</v>
      </c>
      <c r="I2245">
        <v>4000</v>
      </c>
      <c r="J2245">
        <v>4000</v>
      </c>
      <c r="K2245">
        <v>4000</v>
      </c>
      <c r="L2245">
        <v>4000</v>
      </c>
      <c r="M2245">
        <v>4000</v>
      </c>
      <c r="N2245" t="s">
        <v>988</v>
      </c>
    </row>
    <row r="2246" spans="1:14" hidden="1" x14ac:dyDescent="0.3">
      <c r="A2246">
        <v>1459</v>
      </c>
      <c r="B2246" t="s">
        <v>1665</v>
      </c>
      <c r="C2246" t="s">
        <v>2670</v>
      </c>
      <c r="D2246" t="s">
        <v>1203</v>
      </c>
      <c r="E2246" t="s">
        <v>1204</v>
      </c>
      <c r="F2246">
        <v>5681</v>
      </c>
      <c r="G2246" t="s">
        <v>2673</v>
      </c>
      <c r="H2246" t="s">
        <v>2665</v>
      </c>
      <c r="I2246">
        <v>5114</v>
      </c>
      <c r="J2246">
        <v>5160</v>
      </c>
      <c r="K2246">
        <v>5206</v>
      </c>
      <c r="L2246">
        <v>5253</v>
      </c>
      <c r="N2246" t="s">
        <v>988</v>
      </c>
    </row>
    <row r="2247" spans="1:14" hidden="1" x14ac:dyDescent="0.3">
      <c r="A2247">
        <v>1459</v>
      </c>
      <c r="B2247" t="s">
        <v>1665</v>
      </c>
      <c r="C2247" t="s">
        <v>2670</v>
      </c>
      <c r="D2247" t="s">
        <v>1203</v>
      </c>
      <c r="E2247" t="s">
        <v>1204</v>
      </c>
      <c r="F2247">
        <v>5681</v>
      </c>
      <c r="G2247" t="s">
        <v>2673</v>
      </c>
      <c r="H2247" t="s">
        <v>2664</v>
      </c>
      <c r="I2247">
        <v>8811</v>
      </c>
      <c r="J2247">
        <v>8811</v>
      </c>
      <c r="K2247">
        <v>8811</v>
      </c>
      <c r="L2247">
        <v>8811</v>
      </c>
      <c r="N2247" t="s">
        <v>988</v>
      </c>
    </row>
    <row r="2248" spans="1:14" hidden="1" x14ac:dyDescent="0.3">
      <c r="A2248">
        <v>1459</v>
      </c>
      <c r="B2248" t="s">
        <v>1665</v>
      </c>
      <c r="C2248" t="s">
        <v>2670</v>
      </c>
      <c r="D2248" t="s">
        <v>1203</v>
      </c>
      <c r="E2248" t="s">
        <v>1204</v>
      </c>
      <c r="F2248">
        <v>5681</v>
      </c>
      <c r="G2248" t="s">
        <v>2674</v>
      </c>
      <c r="H2248" t="s">
        <v>2665</v>
      </c>
      <c r="I2248">
        <v>5276</v>
      </c>
      <c r="J2248">
        <v>5323</v>
      </c>
      <c r="K2248">
        <v>5371</v>
      </c>
      <c r="L2248">
        <v>5419</v>
      </c>
      <c r="N2248" t="s">
        <v>988</v>
      </c>
    </row>
    <row r="2249" spans="1:14" hidden="1" x14ac:dyDescent="0.3">
      <c r="A2249">
        <v>1459</v>
      </c>
      <c r="B2249" t="s">
        <v>1665</v>
      </c>
      <c r="C2249" t="s">
        <v>2670</v>
      </c>
      <c r="D2249" t="s">
        <v>1203</v>
      </c>
      <c r="E2249" t="s">
        <v>1204</v>
      </c>
      <c r="F2249">
        <v>5681</v>
      </c>
      <c r="G2249" t="s">
        <v>2674</v>
      </c>
      <c r="H2249" t="s">
        <v>2664</v>
      </c>
      <c r="I2249">
        <v>10795</v>
      </c>
      <c r="J2249">
        <v>10795</v>
      </c>
      <c r="K2249">
        <v>10795</v>
      </c>
      <c r="L2249">
        <v>10795</v>
      </c>
      <c r="N2249" t="s">
        <v>988</v>
      </c>
    </row>
    <row r="2250" spans="1:14" hidden="1" x14ac:dyDescent="0.3">
      <c r="A2250">
        <v>1459</v>
      </c>
      <c r="B2250" t="s">
        <v>1665</v>
      </c>
      <c r="C2250" t="s">
        <v>2670</v>
      </c>
      <c r="D2250" t="s">
        <v>1203</v>
      </c>
      <c r="E2250" t="s">
        <v>1204</v>
      </c>
      <c r="F2250">
        <v>5681</v>
      </c>
      <c r="G2250" t="s">
        <v>2675</v>
      </c>
      <c r="H2250" t="s">
        <v>2665</v>
      </c>
      <c r="I2250">
        <v>5964</v>
      </c>
      <c r="J2250">
        <v>6017</v>
      </c>
      <c r="K2250">
        <v>6071</v>
      </c>
      <c r="L2250">
        <v>6126</v>
      </c>
      <c r="N2250" t="s">
        <v>988</v>
      </c>
    </row>
    <row r="2251" spans="1:14" hidden="1" x14ac:dyDescent="0.3">
      <c r="A2251">
        <v>1459</v>
      </c>
      <c r="B2251" t="s">
        <v>1665</v>
      </c>
      <c r="C2251" t="s">
        <v>2670</v>
      </c>
      <c r="D2251" t="s">
        <v>1203</v>
      </c>
      <c r="E2251" t="s">
        <v>1204</v>
      </c>
      <c r="F2251">
        <v>5681</v>
      </c>
      <c r="G2251" t="s">
        <v>2675</v>
      </c>
      <c r="H2251" t="s">
        <v>2664</v>
      </c>
      <c r="I2251">
        <v>12230</v>
      </c>
      <c r="J2251">
        <v>12230</v>
      </c>
      <c r="K2251">
        <v>12230</v>
      </c>
      <c r="L2251">
        <v>12230</v>
      </c>
      <c r="N2251" t="s">
        <v>988</v>
      </c>
    </row>
    <row r="2252" spans="1:14" hidden="1" x14ac:dyDescent="0.3">
      <c r="A2252">
        <v>1459</v>
      </c>
      <c r="B2252" t="s">
        <v>1665</v>
      </c>
      <c r="C2252" t="s">
        <v>2670</v>
      </c>
      <c r="D2252" t="s">
        <v>1203</v>
      </c>
      <c r="E2252" t="s">
        <v>1204</v>
      </c>
      <c r="F2252">
        <v>5681</v>
      </c>
      <c r="G2252" t="s">
        <v>2676</v>
      </c>
      <c r="H2252" t="s">
        <v>2665</v>
      </c>
      <c r="I2252">
        <v>6216</v>
      </c>
      <c r="J2252">
        <v>6271</v>
      </c>
      <c r="K2252">
        <v>6327</v>
      </c>
      <c r="L2252">
        <v>6384</v>
      </c>
      <c r="M2252">
        <v>6442</v>
      </c>
      <c r="N2252" t="s">
        <v>988</v>
      </c>
    </row>
    <row r="2253" spans="1:14" hidden="1" x14ac:dyDescent="0.3">
      <c r="A2253">
        <v>1459</v>
      </c>
      <c r="B2253" t="s">
        <v>1665</v>
      </c>
      <c r="C2253" t="s">
        <v>2670</v>
      </c>
      <c r="D2253" t="s">
        <v>1203</v>
      </c>
      <c r="E2253" t="s">
        <v>1204</v>
      </c>
      <c r="F2253">
        <v>5681</v>
      </c>
      <c r="G2253" t="s">
        <v>2676</v>
      </c>
      <c r="H2253" t="s">
        <v>2664</v>
      </c>
      <c r="I2253">
        <v>12454</v>
      </c>
      <c r="J2253">
        <v>12454</v>
      </c>
      <c r="K2253">
        <v>12454</v>
      </c>
      <c r="L2253">
        <v>12454</v>
      </c>
      <c r="M2253">
        <v>12454</v>
      </c>
      <c r="N2253" t="s">
        <v>988</v>
      </c>
    </row>
    <row r="2254" spans="1:14" hidden="1" x14ac:dyDescent="0.3">
      <c r="A2254">
        <v>1459</v>
      </c>
      <c r="B2254" t="s">
        <v>1665</v>
      </c>
      <c r="C2254" t="s">
        <v>2670</v>
      </c>
      <c r="D2254" t="s">
        <v>1203</v>
      </c>
      <c r="E2254" t="s">
        <v>1204</v>
      </c>
      <c r="F2254">
        <v>5681</v>
      </c>
      <c r="G2254" t="s">
        <v>2672</v>
      </c>
      <c r="H2254" t="s">
        <v>2665</v>
      </c>
      <c r="N2254" t="s">
        <v>988</v>
      </c>
    </row>
    <row r="2255" spans="1:14" hidden="1" x14ac:dyDescent="0.3">
      <c r="A2255">
        <v>1459</v>
      </c>
      <c r="B2255" t="s">
        <v>1665</v>
      </c>
      <c r="C2255" t="s">
        <v>2670</v>
      </c>
      <c r="D2255" t="s">
        <v>1203</v>
      </c>
      <c r="E2255" t="s">
        <v>1204</v>
      </c>
      <c r="F2255">
        <v>5681</v>
      </c>
      <c r="G2255" t="s">
        <v>2672</v>
      </c>
      <c r="H2255" t="s">
        <v>2664</v>
      </c>
      <c r="N2255" t="s">
        <v>988</v>
      </c>
    </row>
    <row r="2256" spans="1:14" hidden="1" x14ac:dyDescent="0.3">
      <c r="A2256">
        <v>1459</v>
      </c>
      <c r="B2256" t="s">
        <v>1665</v>
      </c>
      <c r="C2256" t="s">
        <v>2670</v>
      </c>
      <c r="D2256" t="s">
        <v>1203</v>
      </c>
      <c r="E2256" t="s">
        <v>1204</v>
      </c>
      <c r="F2256">
        <v>5681</v>
      </c>
      <c r="G2256" t="s">
        <v>2671</v>
      </c>
      <c r="H2256" t="s">
        <v>2665</v>
      </c>
      <c r="I2256">
        <v>5238</v>
      </c>
      <c r="J2256">
        <v>5285</v>
      </c>
      <c r="K2256">
        <v>5333</v>
      </c>
      <c r="L2256">
        <v>5381</v>
      </c>
      <c r="N2256" t="s">
        <v>988</v>
      </c>
    </row>
    <row r="2257" spans="1:14" hidden="1" x14ac:dyDescent="0.3">
      <c r="A2257">
        <v>1459</v>
      </c>
      <c r="B2257" t="s">
        <v>1665</v>
      </c>
      <c r="C2257" t="s">
        <v>2670</v>
      </c>
      <c r="D2257" t="s">
        <v>1203</v>
      </c>
      <c r="E2257" t="s">
        <v>1204</v>
      </c>
      <c r="F2257">
        <v>5681</v>
      </c>
      <c r="G2257" t="s">
        <v>2671</v>
      </c>
      <c r="H2257" t="s">
        <v>2664</v>
      </c>
      <c r="I2257">
        <v>5784</v>
      </c>
      <c r="J2257">
        <v>5784</v>
      </c>
      <c r="K2257">
        <v>5784</v>
      </c>
      <c r="L2257">
        <v>5784</v>
      </c>
      <c r="N2257" t="s">
        <v>988</v>
      </c>
    </row>
    <row r="2258" spans="1:14" hidden="1" x14ac:dyDescent="0.3">
      <c r="A2258">
        <v>1464</v>
      </c>
      <c r="B2258" t="s">
        <v>1667</v>
      </c>
      <c r="C2258" t="s">
        <v>2670</v>
      </c>
      <c r="D2258" t="s">
        <v>1203</v>
      </c>
      <c r="E2258" t="s">
        <v>1204</v>
      </c>
      <c r="F2258">
        <v>7899</v>
      </c>
      <c r="G2258" t="s">
        <v>2672</v>
      </c>
      <c r="H2258" t="s">
        <v>2665</v>
      </c>
      <c r="I2258">
        <v>53964</v>
      </c>
      <c r="J2258">
        <v>51861</v>
      </c>
      <c r="K2258">
        <v>51691</v>
      </c>
      <c r="L2258">
        <v>51042</v>
      </c>
      <c r="M2258">
        <v>51653</v>
      </c>
      <c r="N2258" t="s">
        <v>988</v>
      </c>
    </row>
    <row r="2259" spans="1:14" hidden="1" x14ac:dyDescent="0.3">
      <c r="A2259">
        <v>1464</v>
      </c>
      <c r="B2259" t="s">
        <v>1667</v>
      </c>
      <c r="C2259" t="s">
        <v>2670</v>
      </c>
      <c r="D2259" t="s">
        <v>1203</v>
      </c>
      <c r="E2259" t="s">
        <v>1204</v>
      </c>
      <c r="F2259">
        <v>7899</v>
      </c>
      <c r="G2259" t="s">
        <v>2672</v>
      </c>
      <c r="H2259" t="s">
        <v>2664</v>
      </c>
      <c r="I2259">
        <v>84752</v>
      </c>
      <c r="J2259">
        <v>84752</v>
      </c>
      <c r="K2259">
        <v>88752</v>
      </c>
      <c r="L2259">
        <v>88752</v>
      </c>
      <c r="M2259">
        <v>88752</v>
      </c>
      <c r="N2259" t="s">
        <v>988</v>
      </c>
    </row>
    <row r="2260" spans="1:14" hidden="1" x14ac:dyDescent="0.3">
      <c r="A2260">
        <v>1464</v>
      </c>
      <c r="B2260" t="s">
        <v>1667</v>
      </c>
      <c r="C2260" t="s">
        <v>2670</v>
      </c>
      <c r="D2260" t="s">
        <v>1203</v>
      </c>
      <c r="E2260" t="s">
        <v>1204</v>
      </c>
      <c r="F2260">
        <v>7899</v>
      </c>
      <c r="G2260" t="s">
        <v>2671</v>
      </c>
      <c r="H2260" t="s">
        <v>2665</v>
      </c>
      <c r="I2260">
        <v>53964</v>
      </c>
      <c r="J2260">
        <v>51861</v>
      </c>
      <c r="K2260">
        <v>51691</v>
      </c>
      <c r="L2260">
        <v>51042</v>
      </c>
      <c r="M2260">
        <v>51653</v>
      </c>
      <c r="N2260" t="s">
        <v>988</v>
      </c>
    </row>
    <row r="2261" spans="1:14" hidden="1" x14ac:dyDescent="0.3">
      <c r="A2261">
        <v>1464</v>
      </c>
      <c r="B2261" t="s">
        <v>1667</v>
      </c>
      <c r="C2261" t="s">
        <v>2670</v>
      </c>
      <c r="D2261" t="s">
        <v>1203</v>
      </c>
      <c r="E2261" t="s">
        <v>1204</v>
      </c>
      <c r="F2261">
        <v>7899</v>
      </c>
      <c r="G2261" t="s">
        <v>2671</v>
      </c>
      <c r="H2261" t="s">
        <v>2664</v>
      </c>
      <c r="I2261">
        <v>84752</v>
      </c>
      <c r="J2261">
        <v>84752</v>
      </c>
      <c r="K2261">
        <v>88752</v>
      </c>
      <c r="L2261">
        <v>88752</v>
      </c>
      <c r="M2261">
        <v>88752</v>
      </c>
      <c r="N2261" t="s">
        <v>988</v>
      </c>
    </row>
    <row r="2262" spans="1:14" hidden="1" x14ac:dyDescent="0.3">
      <c r="A2262">
        <v>1464</v>
      </c>
      <c r="B2262" t="s">
        <v>1667</v>
      </c>
      <c r="C2262" t="s">
        <v>2670</v>
      </c>
      <c r="D2262" t="s">
        <v>1203</v>
      </c>
      <c r="E2262" t="s">
        <v>1204</v>
      </c>
      <c r="F2262">
        <v>7899</v>
      </c>
      <c r="G2262" t="s">
        <v>2673</v>
      </c>
      <c r="H2262" t="s">
        <v>2665</v>
      </c>
      <c r="I2262">
        <v>53964</v>
      </c>
      <c r="J2262">
        <v>51861</v>
      </c>
      <c r="K2262">
        <v>51691</v>
      </c>
      <c r="L2262">
        <v>51042</v>
      </c>
      <c r="M2262">
        <v>51653</v>
      </c>
      <c r="N2262" t="s">
        <v>988</v>
      </c>
    </row>
    <row r="2263" spans="1:14" hidden="1" x14ac:dyDescent="0.3">
      <c r="A2263">
        <v>1464</v>
      </c>
      <c r="B2263" t="s">
        <v>1667</v>
      </c>
      <c r="C2263" t="s">
        <v>2670</v>
      </c>
      <c r="D2263" t="s">
        <v>1203</v>
      </c>
      <c r="E2263" t="s">
        <v>1204</v>
      </c>
      <c r="F2263">
        <v>7899</v>
      </c>
      <c r="G2263" t="s">
        <v>2675</v>
      </c>
      <c r="H2263" t="s">
        <v>2665</v>
      </c>
      <c r="I2263">
        <v>53964</v>
      </c>
      <c r="J2263">
        <v>51861</v>
      </c>
      <c r="K2263">
        <v>51691</v>
      </c>
      <c r="L2263">
        <v>51042</v>
      </c>
      <c r="M2263">
        <v>51653</v>
      </c>
      <c r="N2263" t="s">
        <v>988</v>
      </c>
    </row>
    <row r="2264" spans="1:14" hidden="1" x14ac:dyDescent="0.3">
      <c r="A2264">
        <v>1464</v>
      </c>
      <c r="B2264" t="s">
        <v>1667</v>
      </c>
      <c r="C2264" t="s">
        <v>2670</v>
      </c>
      <c r="D2264" t="s">
        <v>1203</v>
      </c>
      <c r="E2264" t="s">
        <v>1204</v>
      </c>
      <c r="F2264">
        <v>7899</v>
      </c>
      <c r="G2264" t="s">
        <v>2674</v>
      </c>
      <c r="H2264" t="s">
        <v>2665</v>
      </c>
      <c r="I2264">
        <v>53964</v>
      </c>
      <c r="J2264">
        <v>51861</v>
      </c>
      <c r="K2264">
        <v>51691</v>
      </c>
      <c r="L2264">
        <v>51042</v>
      </c>
      <c r="M2264">
        <v>51653</v>
      </c>
      <c r="N2264" t="s">
        <v>988</v>
      </c>
    </row>
    <row r="2265" spans="1:14" hidden="1" x14ac:dyDescent="0.3">
      <c r="A2265">
        <v>1464</v>
      </c>
      <c r="B2265" t="s">
        <v>1667</v>
      </c>
      <c r="C2265" t="s">
        <v>2670</v>
      </c>
      <c r="D2265" t="s">
        <v>1203</v>
      </c>
      <c r="E2265" t="s">
        <v>1204</v>
      </c>
      <c r="F2265">
        <v>7899</v>
      </c>
      <c r="G2265" t="s">
        <v>2674</v>
      </c>
      <c r="H2265" t="s">
        <v>2664</v>
      </c>
      <c r="I2265">
        <v>84752</v>
      </c>
      <c r="J2265">
        <v>84752</v>
      </c>
      <c r="K2265">
        <v>88752</v>
      </c>
      <c r="L2265">
        <v>88752</v>
      </c>
      <c r="M2265">
        <v>88752</v>
      </c>
      <c r="N2265" t="s">
        <v>988</v>
      </c>
    </row>
    <row r="2266" spans="1:14" hidden="1" x14ac:dyDescent="0.3">
      <c r="A2266">
        <v>1464</v>
      </c>
      <c r="B2266" t="s">
        <v>1667</v>
      </c>
      <c r="C2266" t="s">
        <v>2670</v>
      </c>
      <c r="D2266" t="s">
        <v>1203</v>
      </c>
      <c r="E2266" t="s">
        <v>1204</v>
      </c>
      <c r="F2266">
        <v>7899</v>
      </c>
      <c r="G2266" t="s">
        <v>2676</v>
      </c>
      <c r="H2266" t="s">
        <v>2664</v>
      </c>
      <c r="I2266">
        <v>84752</v>
      </c>
      <c r="J2266">
        <v>84752</v>
      </c>
      <c r="K2266">
        <v>88752</v>
      </c>
      <c r="L2266">
        <v>88752</v>
      </c>
      <c r="M2266">
        <v>88752</v>
      </c>
      <c r="N2266" t="s">
        <v>988</v>
      </c>
    </row>
    <row r="2267" spans="1:14" hidden="1" x14ac:dyDescent="0.3">
      <c r="A2267">
        <v>1464</v>
      </c>
      <c r="B2267" t="s">
        <v>1667</v>
      </c>
      <c r="C2267" t="s">
        <v>2670</v>
      </c>
      <c r="D2267" t="s">
        <v>1203</v>
      </c>
      <c r="E2267" t="s">
        <v>1204</v>
      </c>
      <c r="F2267">
        <v>7899</v>
      </c>
      <c r="G2267" t="s">
        <v>2676</v>
      </c>
      <c r="H2267" t="s">
        <v>2665</v>
      </c>
      <c r="I2267">
        <v>53964</v>
      </c>
      <c r="J2267">
        <v>51861</v>
      </c>
      <c r="K2267">
        <v>51691</v>
      </c>
      <c r="L2267">
        <v>51042</v>
      </c>
      <c r="M2267">
        <v>51653</v>
      </c>
      <c r="N2267" t="s">
        <v>988</v>
      </c>
    </row>
    <row r="2268" spans="1:14" hidden="1" x14ac:dyDescent="0.3">
      <c r="A2268">
        <v>1464</v>
      </c>
      <c r="B2268" t="s">
        <v>1667</v>
      </c>
      <c r="C2268" t="s">
        <v>2670</v>
      </c>
      <c r="D2268" t="s">
        <v>1203</v>
      </c>
      <c r="E2268" t="s">
        <v>1204</v>
      </c>
      <c r="F2268">
        <v>7899</v>
      </c>
      <c r="G2268" t="s">
        <v>2675</v>
      </c>
      <c r="H2268" t="s">
        <v>2664</v>
      </c>
      <c r="I2268">
        <v>84752</v>
      </c>
      <c r="J2268">
        <v>84752</v>
      </c>
      <c r="K2268">
        <v>88752</v>
      </c>
      <c r="L2268">
        <v>88752</v>
      </c>
      <c r="M2268">
        <v>88752</v>
      </c>
      <c r="N2268" t="s">
        <v>988</v>
      </c>
    </row>
    <row r="2269" spans="1:14" hidden="1" x14ac:dyDescent="0.3">
      <c r="A2269">
        <v>1464</v>
      </c>
      <c r="B2269" t="s">
        <v>1667</v>
      </c>
      <c r="C2269" t="s">
        <v>2670</v>
      </c>
      <c r="D2269" t="s">
        <v>1203</v>
      </c>
      <c r="E2269" t="s">
        <v>1204</v>
      </c>
      <c r="F2269">
        <v>7899</v>
      </c>
      <c r="G2269" t="s">
        <v>2673</v>
      </c>
      <c r="H2269" t="s">
        <v>2664</v>
      </c>
      <c r="I2269">
        <v>84752</v>
      </c>
      <c r="J2269">
        <v>84752</v>
      </c>
      <c r="K2269">
        <v>88752</v>
      </c>
      <c r="L2269">
        <v>88752</v>
      </c>
      <c r="M2269">
        <v>88752</v>
      </c>
      <c r="N2269" t="s">
        <v>988</v>
      </c>
    </row>
    <row r="2270" spans="1:14" hidden="1" x14ac:dyDescent="0.3">
      <c r="A2270">
        <v>1473</v>
      </c>
      <c r="B2270" t="s">
        <v>1669</v>
      </c>
      <c r="C2270" t="s">
        <v>2670</v>
      </c>
      <c r="D2270" t="s">
        <v>159</v>
      </c>
      <c r="E2270" t="s">
        <v>159</v>
      </c>
      <c r="F2270">
        <v>6646</v>
      </c>
      <c r="G2270" t="s">
        <v>2673</v>
      </c>
      <c r="H2270" t="s">
        <v>2664</v>
      </c>
      <c r="I2270">
        <v>661600</v>
      </c>
      <c r="J2270">
        <v>679600</v>
      </c>
      <c r="K2270">
        <v>698900</v>
      </c>
      <c r="L2270">
        <v>718400</v>
      </c>
      <c r="M2270">
        <v>731500</v>
      </c>
      <c r="N2270" t="s">
        <v>988</v>
      </c>
    </row>
    <row r="2271" spans="1:14" hidden="1" x14ac:dyDescent="0.3">
      <c r="A2271">
        <v>1473</v>
      </c>
      <c r="B2271" t="s">
        <v>1669</v>
      </c>
      <c r="C2271" t="s">
        <v>2670</v>
      </c>
      <c r="D2271" t="s">
        <v>159</v>
      </c>
      <c r="E2271" t="s">
        <v>159</v>
      </c>
      <c r="F2271">
        <v>6646</v>
      </c>
      <c r="G2271" t="s">
        <v>2676</v>
      </c>
      <c r="H2271" t="s">
        <v>2664</v>
      </c>
      <c r="I2271">
        <v>657900</v>
      </c>
      <c r="J2271">
        <v>675800</v>
      </c>
      <c r="K2271">
        <v>694900</v>
      </c>
      <c r="L2271">
        <v>714700</v>
      </c>
      <c r="M2271">
        <v>727400</v>
      </c>
      <c r="N2271" t="s">
        <v>988</v>
      </c>
    </row>
    <row r="2272" spans="1:14" hidden="1" x14ac:dyDescent="0.3">
      <c r="A2272">
        <v>1473</v>
      </c>
      <c r="B2272" t="s">
        <v>1669</v>
      </c>
      <c r="C2272" t="s">
        <v>2670</v>
      </c>
      <c r="D2272" t="s">
        <v>159</v>
      </c>
      <c r="E2272" t="s">
        <v>159</v>
      </c>
      <c r="F2272">
        <v>6646</v>
      </c>
      <c r="G2272" t="s">
        <v>2676</v>
      </c>
      <c r="H2272" t="s">
        <v>2665</v>
      </c>
      <c r="I2272">
        <v>657900</v>
      </c>
      <c r="J2272">
        <v>675800</v>
      </c>
      <c r="K2272">
        <v>694900</v>
      </c>
      <c r="L2272">
        <v>714700</v>
      </c>
      <c r="M2272">
        <v>727400</v>
      </c>
      <c r="N2272" t="s">
        <v>988</v>
      </c>
    </row>
    <row r="2273" spans="1:14" hidden="1" x14ac:dyDescent="0.3">
      <c r="A2273">
        <v>1473</v>
      </c>
      <c r="B2273" t="s">
        <v>1669</v>
      </c>
      <c r="C2273" t="s">
        <v>2670</v>
      </c>
      <c r="D2273" t="s">
        <v>159</v>
      </c>
      <c r="E2273" t="s">
        <v>159</v>
      </c>
      <c r="F2273">
        <v>6646</v>
      </c>
      <c r="G2273" t="s">
        <v>2675</v>
      </c>
      <c r="H2273" t="s">
        <v>2664</v>
      </c>
      <c r="I2273">
        <v>661700</v>
      </c>
      <c r="J2273">
        <v>679700</v>
      </c>
      <c r="K2273">
        <v>698900</v>
      </c>
      <c r="L2273">
        <v>718500</v>
      </c>
      <c r="M2273">
        <v>731500</v>
      </c>
      <c r="N2273" t="s">
        <v>988</v>
      </c>
    </row>
    <row r="2274" spans="1:14" hidden="1" x14ac:dyDescent="0.3">
      <c r="A2274">
        <v>1473</v>
      </c>
      <c r="B2274" t="s">
        <v>1669</v>
      </c>
      <c r="C2274" t="s">
        <v>2670</v>
      </c>
      <c r="D2274" t="s">
        <v>159</v>
      </c>
      <c r="E2274" t="s">
        <v>159</v>
      </c>
      <c r="F2274">
        <v>6646</v>
      </c>
      <c r="G2274" t="s">
        <v>2675</v>
      </c>
      <c r="H2274" t="s">
        <v>2665</v>
      </c>
      <c r="I2274">
        <v>661700</v>
      </c>
      <c r="J2274">
        <v>679700</v>
      </c>
      <c r="K2274">
        <v>698900</v>
      </c>
      <c r="L2274">
        <v>718500</v>
      </c>
      <c r="M2274">
        <v>731500</v>
      </c>
      <c r="N2274" t="s">
        <v>988</v>
      </c>
    </row>
    <row r="2275" spans="1:14" hidden="1" x14ac:dyDescent="0.3">
      <c r="A2275">
        <v>1473</v>
      </c>
      <c r="B2275" t="s">
        <v>1669</v>
      </c>
      <c r="C2275" t="s">
        <v>2670</v>
      </c>
      <c r="D2275" t="s">
        <v>159</v>
      </c>
      <c r="E2275" t="s">
        <v>159</v>
      </c>
      <c r="F2275">
        <v>6646</v>
      </c>
      <c r="G2275" t="s">
        <v>2674</v>
      </c>
      <c r="H2275" t="s">
        <v>2664</v>
      </c>
      <c r="I2275">
        <v>674800</v>
      </c>
      <c r="J2275">
        <v>693200</v>
      </c>
      <c r="K2275">
        <v>712800</v>
      </c>
      <c r="L2275">
        <v>732700</v>
      </c>
      <c r="M2275">
        <v>746000</v>
      </c>
      <c r="N2275" t="s">
        <v>988</v>
      </c>
    </row>
    <row r="2276" spans="1:14" hidden="1" x14ac:dyDescent="0.3">
      <c r="A2276">
        <v>1473</v>
      </c>
      <c r="B2276" t="s">
        <v>1669</v>
      </c>
      <c r="C2276" t="s">
        <v>2670</v>
      </c>
      <c r="D2276" t="s">
        <v>159</v>
      </c>
      <c r="E2276" t="s">
        <v>159</v>
      </c>
      <c r="F2276">
        <v>6646</v>
      </c>
      <c r="G2276" t="s">
        <v>2674</v>
      </c>
      <c r="H2276" t="s">
        <v>2665</v>
      </c>
      <c r="I2276">
        <v>674800</v>
      </c>
      <c r="J2276">
        <v>693200</v>
      </c>
      <c r="K2276">
        <v>712800</v>
      </c>
      <c r="L2276">
        <v>732700</v>
      </c>
      <c r="M2276">
        <v>746000</v>
      </c>
      <c r="N2276" t="s">
        <v>988</v>
      </c>
    </row>
    <row r="2277" spans="1:14" hidden="1" x14ac:dyDescent="0.3">
      <c r="A2277">
        <v>1473</v>
      </c>
      <c r="B2277" t="s">
        <v>1669</v>
      </c>
      <c r="C2277" t="s">
        <v>2670</v>
      </c>
      <c r="D2277" t="s">
        <v>159</v>
      </c>
      <c r="E2277" t="s">
        <v>159</v>
      </c>
      <c r="F2277">
        <v>6646</v>
      </c>
      <c r="G2277" t="s">
        <v>2673</v>
      </c>
      <c r="H2277" t="s">
        <v>2665</v>
      </c>
      <c r="I2277">
        <v>661600</v>
      </c>
      <c r="J2277">
        <v>679600</v>
      </c>
      <c r="K2277">
        <v>698900</v>
      </c>
      <c r="L2277">
        <v>718400</v>
      </c>
      <c r="M2277">
        <v>731500</v>
      </c>
      <c r="N2277" t="s">
        <v>988</v>
      </c>
    </row>
    <row r="2278" spans="1:14" hidden="1" x14ac:dyDescent="0.3">
      <c r="A2278">
        <v>1473</v>
      </c>
      <c r="B2278" t="s">
        <v>1669</v>
      </c>
      <c r="C2278" t="s">
        <v>2670</v>
      </c>
      <c r="D2278" t="s">
        <v>159</v>
      </c>
      <c r="E2278" t="s">
        <v>159</v>
      </c>
      <c r="F2278">
        <v>6646</v>
      </c>
      <c r="G2278" t="s">
        <v>2671</v>
      </c>
      <c r="H2278" t="s">
        <v>2664</v>
      </c>
      <c r="I2278">
        <v>655700</v>
      </c>
      <c r="J2278">
        <v>673600</v>
      </c>
      <c r="K2278">
        <v>692600</v>
      </c>
      <c r="L2278">
        <v>712000</v>
      </c>
      <c r="M2278">
        <v>724900</v>
      </c>
      <c r="N2278" t="s">
        <v>988</v>
      </c>
    </row>
    <row r="2279" spans="1:14" hidden="1" x14ac:dyDescent="0.3">
      <c r="A2279">
        <v>1473</v>
      </c>
      <c r="B2279" t="s">
        <v>1669</v>
      </c>
      <c r="C2279" t="s">
        <v>2670</v>
      </c>
      <c r="D2279" t="s">
        <v>159</v>
      </c>
      <c r="E2279" t="s">
        <v>159</v>
      </c>
      <c r="F2279">
        <v>6646</v>
      </c>
      <c r="G2279" t="s">
        <v>2671</v>
      </c>
      <c r="H2279" t="s">
        <v>2665</v>
      </c>
      <c r="I2279">
        <v>655700</v>
      </c>
      <c r="J2279">
        <v>673600</v>
      </c>
      <c r="K2279">
        <v>692600</v>
      </c>
      <c r="L2279">
        <v>712000</v>
      </c>
      <c r="M2279">
        <v>724900</v>
      </c>
      <c r="N2279" t="s">
        <v>988</v>
      </c>
    </row>
    <row r="2280" spans="1:14" hidden="1" x14ac:dyDescent="0.3">
      <c r="A2280">
        <v>1473</v>
      </c>
      <c r="B2280" t="s">
        <v>1669</v>
      </c>
      <c r="C2280" t="s">
        <v>2670</v>
      </c>
      <c r="D2280" t="s">
        <v>159</v>
      </c>
      <c r="E2280" t="s">
        <v>159</v>
      </c>
      <c r="F2280">
        <v>6646</v>
      </c>
      <c r="G2280" t="s">
        <v>2672</v>
      </c>
      <c r="H2280" t="s">
        <v>2664</v>
      </c>
      <c r="N2280" t="s">
        <v>988</v>
      </c>
    </row>
    <row r="2281" spans="1:14" hidden="1" x14ac:dyDescent="0.3">
      <c r="A2281">
        <v>1473</v>
      </c>
      <c r="B2281" t="s">
        <v>1669</v>
      </c>
      <c r="C2281" t="s">
        <v>2670</v>
      </c>
      <c r="D2281" t="s">
        <v>159</v>
      </c>
      <c r="E2281" t="s">
        <v>159</v>
      </c>
      <c r="F2281">
        <v>6646</v>
      </c>
      <c r="G2281" t="s">
        <v>2672</v>
      </c>
      <c r="H2281" t="s">
        <v>2665</v>
      </c>
      <c r="N2281" t="s">
        <v>988</v>
      </c>
    </row>
    <row r="2282" spans="1:14" hidden="1" x14ac:dyDescent="0.3">
      <c r="A2282">
        <v>1481</v>
      </c>
      <c r="B2282" t="s">
        <v>1670</v>
      </c>
      <c r="C2282" t="s">
        <v>2670</v>
      </c>
      <c r="D2282" t="s">
        <v>1203</v>
      </c>
      <c r="E2282" t="s">
        <v>1204</v>
      </c>
      <c r="F2282">
        <v>6739</v>
      </c>
      <c r="G2282" t="s">
        <v>2675</v>
      </c>
      <c r="H2282" t="s">
        <v>2664</v>
      </c>
      <c r="I2282">
        <v>9071</v>
      </c>
      <c r="J2282">
        <v>9308</v>
      </c>
      <c r="K2282">
        <v>9484</v>
      </c>
      <c r="L2282">
        <v>9663</v>
      </c>
      <c r="N2282" t="s">
        <v>988</v>
      </c>
    </row>
    <row r="2283" spans="1:14" hidden="1" x14ac:dyDescent="0.3">
      <c r="A2283">
        <v>1481</v>
      </c>
      <c r="B2283" t="s">
        <v>1670</v>
      </c>
      <c r="C2283" t="s">
        <v>2670</v>
      </c>
      <c r="D2283" t="s">
        <v>1203</v>
      </c>
      <c r="E2283" t="s">
        <v>1204</v>
      </c>
      <c r="F2283">
        <v>6739</v>
      </c>
      <c r="G2283" t="s">
        <v>2674</v>
      </c>
      <c r="H2283" t="s">
        <v>2664</v>
      </c>
      <c r="I2283">
        <v>9071</v>
      </c>
      <c r="J2283">
        <v>9308</v>
      </c>
      <c r="K2283">
        <v>9484</v>
      </c>
      <c r="L2283">
        <v>9663</v>
      </c>
      <c r="N2283" t="s">
        <v>988</v>
      </c>
    </row>
    <row r="2284" spans="1:14" hidden="1" x14ac:dyDescent="0.3">
      <c r="A2284">
        <v>1481</v>
      </c>
      <c r="B2284" t="s">
        <v>1670</v>
      </c>
      <c r="C2284" t="s">
        <v>2670</v>
      </c>
      <c r="D2284" t="s">
        <v>1203</v>
      </c>
      <c r="E2284" t="s">
        <v>1204</v>
      </c>
      <c r="F2284">
        <v>6739</v>
      </c>
      <c r="G2284" t="s">
        <v>2674</v>
      </c>
      <c r="H2284" t="s">
        <v>2665</v>
      </c>
      <c r="I2284">
        <v>9071</v>
      </c>
      <c r="J2284">
        <v>9308</v>
      </c>
      <c r="K2284">
        <v>9484</v>
      </c>
      <c r="L2284">
        <v>9663</v>
      </c>
      <c r="N2284" t="s">
        <v>988</v>
      </c>
    </row>
    <row r="2285" spans="1:14" hidden="1" x14ac:dyDescent="0.3">
      <c r="A2285">
        <v>1481</v>
      </c>
      <c r="B2285" t="s">
        <v>1670</v>
      </c>
      <c r="C2285" t="s">
        <v>2670</v>
      </c>
      <c r="D2285" t="s">
        <v>1203</v>
      </c>
      <c r="E2285" t="s">
        <v>1204</v>
      </c>
      <c r="F2285">
        <v>6739</v>
      </c>
      <c r="G2285" t="s">
        <v>2673</v>
      </c>
      <c r="H2285" t="s">
        <v>2664</v>
      </c>
      <c r="I2285">
        <v>9071</v>
      </c>
      <c r="J2285">
        <v>9308</v>
      </c>
      <c r="K2285">
        <v>9484</v>
      </c>
      <c r="L2285">
        <v>9663</v>
      </c>
      <c r="N2285" t="s">
        <v>988</v>
      </c>
    </row>
    <row r="2286" spans="1:14" hidden="1" x14ac:dyDescent="0.3">
      <c r="A2286">
        <v>1481</v>
      </c>
      <c r="B2286" t="s">
        <v>1670</v>
      </c>
      <c r="C2286" t="s">
        <v>2670</v>
      </c>
      <c r="D2286" t="s">
        <v>1203</v>
      </c>
      <c r="E2286" t="s">
        <v>1204</v>
      </c>
      <c r="F2286">
        <v>6739</v>
      </c>
      <c r="G2286" t="s">
        <v>2673</v>
      </c>
      <c r="H2286" t="s">
        <v>2665</v>
      </c>
      <c r="I2286">
        <v>9071</v>
      </c>
      <c r="J2286">
        <v>9308</v>
      </c>
      <c r="K2286">
        <v>9484</v>
      </c>
      <c r="L2286">
        <v>9663</v>
      </c>
      <c r="N2286" t="s">
        <v>988</v>
      </c>
    </row>
    <row r="2287" spans="1:14" hidden="1" x14ac:dyDescent="0.3">
      <c r="A2287">
        <v>1481</v>
      </c>
      <c r="B2287" t="s">
        <v>1670</v>
      </c>
      <c r="C2287" t="s">
        <v>2670</v>
      </c>
      <c r="D2287" t="s">
        <v>1203</v>
      </c>
      <c r="E2287" t="s">
        <v>1204</v>
      </c>
      <c r="F2287">
        <v>6739</v>
      </c>
      <c r="G2287" t="s">
        <v>2676</v>
      </c>
      <c r="H2287" t="s">
        <v>2665</v>
      </c>
      <c r="I2287">
        <v>9071</v>
      </c>
      <c r="J2287">
        <v>9308</v>
      </c>
      <c r="K2287">
        <v>9484</v>
      </c>
      <c r="L2287">
        <v>9663</v>
      </c>
      <c r="N2287" t="s">
        <v>988</v>
      </c>
    </row>
    <row r="2288" spans="1:14" hidden="1" x14ac:dyDescent="0.3">
      <c r="A2288">
        <v>1481</v>
      </c>
      <c r="B2288" t="s">
        <v>1670</v>
      </c>
      <c r="C2288" t="s">
        <v>2670</v>
      </c>
      <c r="D2288" t="s">
        <v>1203</v>
      </c>
      <c r="E2288" t="s">
        <v>1204</v>
      </c>
      <c r="F2288">
        <v>6739</v>
      </c>
      <c r="G2288" t="s">
        <v>2671</v>
      </c>
      <c r="H2288" t="s">
        <v>2664</v>
      </c>
      <c r="I2288">
        <v>9071</v>
      </c>
      <c r="J2288">
        <v>9308</v>
      </c>
      <c r="K2288">
        <v>9484</v>
      </c>
      <c r="L2288">
        <v>9663</v>
      </c>
      <c r="N2288" t="s">
        <v>988</v>
      </c>
    </row>
    <row r="2289" spans="1:14" hidden="1" x14ac:dyDescent="0.3">
      <c r="A2289">
        <v>1481</v>
      </c>
      <c r="B2289" t="s">
        <v>1670</v>
      </c>
      <c r="C2289" t="s">
        <v>2670</v>
      </c>
      <c r="D2289" t="s">
        <v>1203</v>
      </c>
      <c r="E2289" t="s">
        <v>1204</v>
      </c>
      <c r="F2289">
        <v>6739</v>
      </c>
      <c r="G2289" t="s">
        <v>2676</v>
      </c>
      <c r="H2289" t="s">
        <v>2664</v>
      </c>
      <c r="I2289">
        <v>9071</v>
      </c>
      <c r="J2289">
        <v>9308</v>
      </c>
      <c r="K2289">
        <v>9484</v>
      </c>
      <c r="L2289">
        <v>9663</v>
      </c>
      <c r="N2289" t="s">
        <v>988</v>
      </c>
    </row>
    <row r="2290" spans="1:14" hidden="1" x14ac:dyDescent="0.3">
      <c r="A2290">
        <v>1481</v>
      </c>
      <c r="B2290" t="s">
        <v>1670</v>
      </c>
      <c r="C2290" t="s">
        <v>2670</v>
      </c>
      <c r="D2290" t="s">
        <v>1203</v>
      </c>
      <c r="E2290" t="s">
        <v>1204</v>
      </c>
      <c r="F2290">
        <v>6739</v>
      </c>
      <c r="G2290" t="s">
        <v>2672</v>
      </c>
      <c r="H2290" t="s">
        <v>2665</v>
      </c>
      <c r="N2290" t="s">
        <v>988</v>
      </c>
    </row>
    <row r="2291" spans="1:14" hidden="1" x14ac:dyDescent="0.3">
      <c r="A2291">
        <v>1481</v>
      </c>
      <c r="B2291" t="s">
        <v>1670</v>
      </c>
      <c r="C2291" t="s">
        <v>2670</v>
      </c>
      <c r="D2291" t="s">
        <v>1203</v>
      </c>
      <c r="E2291" t="s">
        <v>1204</v>
      </c>
      <c r="F2291">
        <v>6739</v>
      </c>
      <c r="G2291" t="s">
        <v>2672</v>
      </c>
      <c r="H2291" t="s">
        <v>2664</v>
      </c>
      <c r="N2291" t="s">
        <v>988</v>
      </c>
    </row>
    <row r="2292" spans="1:14" hidden="1" x14ac:dyDescent="0.3">
      <c r="A2292">
        <v>1481</v>
      </c>
      <c r="B2292" t="s">
        <v>1670</v>
      </c>
      <c r="C2292" t="s">
        <v>2670</v>
      </c>
      <c r="D2292" t="s">
        <v>1203</v>
      </c>
      <c r="E2292" t="s">
        <v>1204</v>
      </c>
      <c r="F2292">
        <v>6739</v>
      </c>
      <c r="G2292" t="s">
        <v>2671</v>
      </c>
      <c r="H2292" t="s">
        <v>2665</v>
      </c>
      <c r="I2292">
        <v>9071</v>
      </c>
      <c r="J2292">
        <v>9308</v>
      </c>
      <c r="K2292">
        <v>9484</v>
      </c>
      <c r="L2292">
        <v>9663</v>
      </c>
      <c r="N2292" t="s">
        <v>988</v>
      </c>
    </row>
    <row r="2293" spans="1:14" hidden="1" x14ac:dyDescent="0.3">
      <c r="A2293">
        <v>1481</v>
      </c>
      <c r="B2293" t="s">
        <v>1670</v>
      </c>
      <c r="C2293" t="s">
        <v>2670</v>
      </c>
      <c r="D2293" t="s">
        <v>1203</v>
      </c>
      <c r="E2293" t="s">
        <v>1204</v>
      </c>
      <c r="F2293">
        <v>6739</v>
      </c>
      <c r="G2293" t="s">
        <v>2675</v>
      </c>
      <c r="H2293" t="s">
        <v>2665</v>
      </c>
      <c r="I2293">
        <v>9071</v>
      </c>
      <c r="J2293">
        <v>9308</v>
      </c>
      <c r="K2293">
        <v>9484</v>
      </c>
      <c r="L2293">
        <v>9663</v>
      </c>
      <c r="N2293" t="s">
        <v>988</v>
      </c>
    </row>
    <row r="2294" spans="1:14" hidden="1" x14ac:dyDescent="0.3">
      <c r="A2294">
        <v>1484</v>
      </c>
      <c r="B2294" t="s">
        <v>1674</v>
      </c>
      <c r="C2294" t="s">
        <v>2670</v>
      </c>
      <c r="D2294" t="s">
        <v>1203</v>
      </c>
      <c r="E2294" t="s">
        <v>1204</v>
      </c>
      <c r="F2294">
        <v>6741</v>
      </c>
      <c r="G2294" t="s">
        <v>2672</v>
      </c>
      <c r="H2294" t="s">
        <v>2665</v>
      </c>
      <c r="N2294" t="s">
        <v>988</v>
      </c>
    </row>
    <row r="2295" spans="1:14" hidden="1" x14ac:dyDescent="0.3">
      <c r="A2295">
        <v>1484</v>
      </c>
      <c r="B2295" t="s">
        <v>1674</v>
      </c>
      <c r="C2295" t="s">
        <v>2670</v>
      </c>
      <c r="D2295" t="s">
        <v>1203</v>
      </c>
      <c r="E2295" t="s">
        <v>1204</v>
      </c>
      <c r="F2295">
        <v>6741</v>
      </c>
      <c r="G2295" t="s">
        <v>2676</v>
      </c>
      <c r="H2295" t="s">
        <v>2664</v>
      </c>
      <c r="I2295">
        <v>55164</v>
      </c>
      <c r="J2295">
        <v>58002</v>
      </c>
      <c r="K2295">
        <v>61111</v>
      </c>
      <c r="L2295">
        <v>64402</v>
      </c>
      <c r="M2295">
        <v>67602</v>
      </c>
      <c r="N2295" t="s">
        <v>988</v>
      </c>
    </row>
    <row r="2296" spans="1:14" hidden="1" x14ac:dyDescent="0.3">
      <c r="A2296">
        <v>1484</v>
      </c>
      <c r="B2296" t="s">
        <v>1674</v>
      </c>
      <c r="C2296" t="s">
        <v>2670</v>
      </c>
      <c r="D2296" t="s">
        <v>1203</v>
      </c>
      <c r="E2296" t="s">
        <v>1204</v>
      </c>
      <c r="F2296">
        <v>6741</v>
      </c>
      <c r="G2296" t="s">
        <v>2676</v>
      </c>
      <c r="H2296" t="s">
        <v>2665</v>
      </c>
      <c r="I2296">
        <v>55164</v>
      </c>
      <c r="J2296">
        <v>58002</v>
      </c>
      <c r="K2296">
        <v>61102</v>
      </c>
      <c r="L2296">
        <v>64402</v>
      </c>
      <c r="M2296">
        <v>67602</v>
      </c>
      <c r="N2296" t="s">
        <v>988</v>
      </c>
    </row>
    <row r="2297" spans="1:14" hidden="1" x14ac:dyDescent="0.3">
      <c r="A2297">
        <v>1484</v>
      </c>
      <c r="B2297" t="s">
        <v>1674</v>
      </c>
      <c r="C2297" t="s">
        <v>2670</v>
      </c>
      <c r="D2297" t="s">
        <v>1203</v>
      </c>
      <c r="E2297" t="s">
        <v>1204</v>
      </c>
      <c r="F2297">
        <v>6741</v>
      </c>
      <c r="G2297" t="s">
        <v>2675</v>
      </c>
      <c r="H2297" t="s">
        <v>2664</v>
      </c>
      <c r="I2297">
        <v>58486</v>
      </c>
      <c r="J2297">
        <v>58624</v>
      </c>
      <c r="K2297">
        <v>61102</v>
      </c>
      <c r="L2297">
        <v>64402</v>
      </c>
      <c r="M2297">
        <v>67602</v>
      </c>
      <c r="N2297" t="s">
        <v>988</v>
      </c>
    </row>
    <row r="2298" spans="1:14" hidden="1" x14ac:dyDescent="0.3">
      <c r="A2298">
        <v>1484</v>
      </c>
      <c r="B2298" t="s">
        <v>1674</v>
      </c>
      <c r="C2298" t="s">
        <v>2670</v>
      </c>
      <c r="D2298" t="s">
        <v>1203</v>
      </c>
      <c r="E2298" t="s">
        <v>1204</v>
      </c>
      <c r="F2298">
        <v>6741</v>
      </c>
      <c r="G2298" t="s">
        <v>2675</v>
      </c>
      <c r="H2298" t="s">
        <v>2665</v>
      </c>
      <c r="I2298">
        <v>55164</v>
      </c>
      <c r="J2298">
        <v>58002</v>
      </c>
      <c r="K2298">
        <v>61102</v>
      </c>
      <c r="L2298">
        <v>64402</v>
      </c>
      <c r="M2298">
        <v>67602</v>
      </c>
      <c r="N2298" t="s">
        <v>988</v>
      </c>
    </row>
    <row r="2299" spans="1:14" hidden="1" x14ac:dyDescent="0.3">
      <c r="A2299">
        <v>1484</v>
      </c>
      <c r="B2299" t="s">
        <v>1674</v>
      </c>
      <c r="C2299" t="s">
        <v>2670</v>
      </c>
      <c r="D2299" t="s">
        <v>1203</v>
      </c>
      <c r="E2299" t="s">
        <v>1204</v>
      </c>
      <c r="F2299">
        <v>6741</v>
      </c>
      <c r="G2299" t="s">
        <v>2672</v>
      </c>
      <c r="H2299" t="s">
        <v>2664</v>
      </c>
      <c r="N2299" t="s">
        <v>988</v>
      </c>
    </row>
    <row r="2300" spans="1:14" hidden="1" x14ac:dyDescent="0.3">
      <c r="A2300">
        <v>1484</v>
      </c>
      <c r="B2300" t="s">
        <v>1674</v>
      </c>
      <c r="C2300" t="s">
        <v>2670</v>
      </c>
      <c r="D2300" t="s">
        <v>1203</v>
      </c>
      <c r="E2300" t="s">
        <v>1204</v>
      </c>
      <c r="F2300">
        <v>6741</v>
      </c>
      <c r="G2300" t="s">
        <v>2674</v>
      </c>
      <c r="H2300" t="s">
        <v>2665</v>
      </c>
      <c r="I2300">
        <v>55164</v>
      </c>
      <c r="J2300">
        <v>58002</v>
      </c>
      <c r="K2300">
        <v>61102</v>
      </c>
      <c r="L2300">
        <v>64402</v>
      </c>
      <c r="M2300">
        <v>67602</v>
      </c>
      <c r="N2300" t="s">
        <v>988</v>
      </c>
    </row>
    <row r="2301" spans="1:14" hidden="1" x14ac:dyDescent="0.3">
      <c r="A2301">
        <v>1484</v>
      </c>
      <c r="B2301" t="s">
        <v>1674</v>
      </c>
      <c r="C2301" t="s">
        <v>2670</v>
      </c>
      <c r="D2301" t="s">
        <v>1203</v>
      </c>
      <c r="E2301" t="s">
        <v>1204</v>
      </c>
      <c r="F2301">
        <v>6741</v>
      </c>
      <c r="G2301" t="s">
        <v>2673</v>
      </c>
      <c r="H2301" t="s">
        <v>2664</v>
      </c>
      <c r="I2301">
        <v>55164</v>
      </c>
      <c r="J2301">
        <v>58002</v>
      </c>
      <c r="K2301">
        <v>61102</v>
      </c>
      <c r="L2301">
        <v>64402</v>
      </c>
      <c r="M2301">
        <v>67602</v>
      </c>
      <c r="N2301" t="s">
        <v>988</v>
      </c>
    </row>
    <row r="2302" spans="1:14" hidden="1" x14ac:dyDescent="0.3">
      <c r="A2302">
        <v>1484</v>
      </c>
      <c r="B2302" t="s">
        <v>1674</v>
      </c>
      <c r="C2302" t="s">
        <v>2670</v>
      </c>
      <c r="D2302" t="s">
        <v>1203</v>
      </c>
      <c r="E2302" t="s">
        <v>1204</v>
      </c>
      <c r="F2302">
        <v>6741</v>
      </c>
      <c r="G2302" t="s">
        <v>2673</v>
      </c>
      <c r="H2302" t="s">
        <v>2665</v>
      </c>
      <c r="I2302">
        <v>55164</v>
      </c>
      <c r="J2302">
        <v>58002</v>
      </c>
      <c r="K2302">
        <v>61102</v>
      </c>
      <c r="L2302">
        <v>64402</v>
      </c>
      <c r="M2302">
        <v>67602</v>
      </c>
      <c r="N2302" t="s">
        <v>988</v>
      </c>
    </row>
    <row r="2303" spans="1:14" hidden="1" x14ac:dyDescent="0.3">
      <c r="A2303">
        <v>1484</v>
      </c>
      <c r="B2303" t="s">
        <v>1674</v>
      </c>
      <c r="C2303" t="s">
        <v>2670</v>
      </c>
      <c r="D2303" t="s">
        <v>1203</v>
      </c>
      <c r="E2303" t="s">
        <v>1204</v>
      </c>
      <c r="F2303">
        <v>6741</v>
      </c>
      <c r="G2303" t="s">
        <v>2671</v>
      </c>
      <c r="H2303" t="s">
        <v>2664</v>
      </c>
      <c r="I2303">
        <v>55164</v>
      </c>
      <c r="J2303">
        <v>58002</v>
      </c>
      <c r="K2303">
        <v>61102</v>
      </c>
      <c r="L2303">
        <v>64402</v>
      </c>
      <c r="M2303">
        <v>67602</v>
      </c>
      <c r="N2303" t="s">
        <v>988</v>
      </c>
    </row>
    <row r="2304" spans="1:14" hidden="1" x14ac:dyDescent="0.3">
      <c r="A2304">
        <v>1484</v>
      </c>
      <c r="B2304" t="s">
        <v>1674</v>
      </c>
      <c r="C2304" t="s">
        <v>2670</v>
      </c>
      <c r="D2304" t="s">
        <v>1203</v>
      </c>
      <c r="E2304" t="s">
        <v>1204</v>
      </c>
      <c r="F2304">
        <v>6741</v>
      </c>
      <c r="G2304" t="s">
        <v>2671</v>
      </c>
      <c r="H2304" t="s">
        <v>2665</v>
      </c>
      <c r="I2304">
        <v>55164</v>
      </c>
      <c r="J2304">
        <v>58002</v>
      </c>
      <c r="K2304">
        <v>61102</v>
      </c>
      <c r="L2304">
        <v>64402</v>
      </c>
      <c r="M2304">
        <v>67602</v>
      </c>
      <c r="N2304" t="s">
        <v>988</v>
      </c>
    </row>
    <row r="2305" spans="1:14" hidden="1" x14ac:dyDescent="0.3">
      <c r="A2305">
        <v>1484</v>
      </c>
      <c r="B2305" t="s">
        <v>1674</v>
      </c>
      <c r="C2305" t="s">
        <v>2670</v>
      </c>
      <c r="D2305" t="s">
        <v>1203</v>
      </c>
      <c r="E2305" t="s">
        <v>1204</v>
      </c>
      <c r="F2305">
        <v>6741</v>
      </c>
      <c r="G2305" t="s">
        <v>2674</v>
      </c>
      <c r="H2305" t="s">
        <v>2664</v>
      </c>
      <c r="I2305">
        <v>55164</v>
      </c>
      <c r="J2305">
        <v>58002</v>
      </c>
      <c r="K2305">
        <v>61102</v>
      </c>
      <c r="L2305">
        <v>64402</v>
      </c>
      <c r="M2305">
        <v>67602</v>
      </c>
      <c r="N2305" t="s">
        <v>988</v>
      </c>
    </row>
    <row r="2306" spans="1:14" hidden="1" x14ac:dyDescent="0.3">
      <c r="A2306">
        <v>1487</v>
      </c>
      <c r="B2306" t="s">
        <v>1677</v>
      </c>
      <c r="C2306" t="s">
        <v>2670</v>
      </c>
      <c r="D2306" t="s">
        <v>1203</v>
      </c>
      <c r="E2306" t="s">
        <v>1204</v>
      </c>
      <c r="F2306">
        <v>5663</v>
      </c>
      <c r="G2306" t="s">
        <v>2674</v>
      </c>
      <c r="H2306" t="s">
        <v>2664</v>
      </c>
      <c r="I2306">
        <v>8340</v>
      </c>
      <c r="J2306">
        <v>8985</v>
      </c>
      <c r="K2306">
        <v>9679</v>
      </c>
      <c r="L2306">
        <v>10427</v>
      </c>
      <c r="M2306">
        <v>11233</v>
      </c>
      <c r="N2306" t="s">
        <v>988</v>
      </c>
    </row>
    <row r="2307" spans="1:14" hidden="1" x14ac:dyDescent="0.3">
      <c r="A2307">
        <v>1487</v>
      </c>
      <c r="B2307" t="s">
        <v>1677</v>
      </c>
      <c r="C2307" t="s">
        <v>2670</v>
      </c>
      <c r="D2307" t="s">
        <v>1203</v>
      </c>
      <c r="E2307" t="s">
        <v>1204</v>
      </c>
      <c r="F2307">
        <v>5663</v>
      </c>
      <c r="G2307" t="s">
        <v>2674</v>
      </c>
      <c r="H2307" t="s">
        <v>2665</v>
      </c>
      <c r="I2307">
        <v>8340</v>
      </c>
      <c r="J2307">
        <v>8985</v>
      </c>
      <c r="K2307">
        <v>9679</v>
      </c>
      <c r="L2307">
        <v>10427</v>
      </c>
      <c r="M2307">
        <v>11233</v>
      </c>
      <c r="N2307" t="s">
        <v>988</v>
      </c>
    </row>
    <row r="2308" spans="1:14" hidden="1" x14ac:dyDescent="0.3">
      <c r="A2308">
        <v>1487</v>
      </c>
      <c r="B2308" t="s">
        <v>1677</v>
      </c>
      <c r="C2308" t="s">
        <v>2670</v>
      </c>
      <c r="D2308" t="s">
        <v>1203</v>
      </c>
      <c r="E2308" t="s">
        <v>1204</v>
      </c>
      <c r="F2308">
        <v>5663</v>
      </c>
      <c r="G2308" t="s">
        <v>2673</v>
      </c>
      <c r="H2308" t="s">
        <v>2664</v>
      </c>
      <c r="I2308">
        <v>8340</v>
      </c>
      <c r="J2308">
        <v>8985</v>
      </c>
      <c r="K2308">
        <v>9679</v>
      </c>
      <c r="L2308">
        <v>10427</v>
      </c>
      <c r="M2308">
        <v>11233</v>
      </c>
      <c r="N2308" t="s">
        <v>988</v>
      </c>
    </row>
    <row r="2309" spans="1:14" hidden="1" x14ac:dyDescent="0.3">
      <c r="A2309">
        <v>1487</v>
      </c>
      <c r="B2309" t="s">
        <v>1677</v>
      </c>
      <c r="C2309" t="s">
        <v>2670</v>
      </c>
      <c r="D2309" t="s">
        <v>1203</v>
      </c>
      <c r="E2309" t="s">
        <v>1204</v>
      </c>
      <c r="F2309">
        <v>5663</v>
      </c>
      <c r="G2309" t="s">
        <v>2673</v>
      </c>
      <c r="H2309" t="s">
        <v>2665</v>
      </c>
      <c r="I2309">
        <v>8340</v>
      </c>
      <c r="J2309">
        <v>8985</v>
      </c>
      <c r="K2309">
        <v>9679</v>
      </c>
      <c r="L2309">
        <v>10427</v>
      </c>
      <c r="M2309">
        <v>11233</v>
      </c>
      <c r="N2309" t="s">
        <v>988</v>
      </c>
    </row>
    <row r="2310" spans="1:14" hidden="1" x14ac:dyDescent="0.3">
      <c r="A2310">
        <v>1487</v>
      </c>
      <c r="B2310" t="s">
        <v>1677</v>
      </c>
      <c r="C2310" t="s">
        <v>2670</v>
      </c>
      <c r="D2310" t="s">
        <v>1203</v>
      </c>
      <c r="E2310" t="s">
        <v>1204</v>
      </c>
      <c r="F2310">
        <v>5663</v>
      </c>
      <c r="G2310" t="s">
        <v>2671</v>
      </c>
      <c r="H2310" t="s">
        <v>2664</v>
      </c>
      <c r="I2310">
        <v>8340</v>
      </c>
      <c r="J2310">
        <v>8985</v>
      </c>
      <c r="K2310">
        <v>9679</v>
      </c>
      <c r="L2310">
        <v>10427</v>
      </c>
      <c r="M2310">
        <v>11233</v>
      </c>
      <c r="N2310" t="s">
        <v>988</v>
      </c>
    </row>
    <row r="2311" spans="1:14" hidden="1" x14ac:dyDescent="0.3">
      <c r="A2311">
        <v>1487</v>
      </c>
      <c r="B2311" t="s">
        <v>1677</v>
      </c>
      <c r="C2311" t="s">
        <v>2670</v>
      </c>
      <c r="D2311" t="s">
        <v>1203</v>
      </c>
      <c r="E2311" t="s">
        <v>1204</v>
      </c>
      <c r="F2311">
        <v>5663</v>
      </c>
      <c r="G2311" t="s">
        <v>2671</v>
      </c>
      <c r="H2311" t="s">
        <v>2665</v>
      </c>
      <c r="I2311">
        <v>8340</v>
      </c>
      <c r="J2311">
        <v>8985</v>
      </c>
      <c r="K2311">
        <v>9679</v>
      </c>
      <c r="L2311">
        <v>10427</v>
      </c>
      <c r="M2311">
        <v>11233</v>
      </c>
      <c r="N2311" t="s">
        <v>988</v>
      </c>
    </row>
    <row r="2312" spans="1:14" hidden="1" x14ac:dyDescent="0.3">
      <c r="A2312">
        <v>1487</v>
      </c>
      <c r="B2312" t="s">
        <v>1677</v>
      </c>
      <c r="C2312" t="s">
        <v>2670</v>
      </c>
      <c r="D2312" t="s">
        <v>1203</v>
      </c>
      <c r="E2312" t="s">
        <v>1204</v>
      </c>
      <c r="F2312">
        <v>5663</v>
      </c>
      <c r="G2312" t="s">
        <v>2672</v>
      </c>
      <c r="H2312" t="s">
        <v>2664</v>
      </c>
      <c r="N2312" t="s">
        <v>988</v>
      </c>
    </row>
    <row r="2313" spans="1:14" hidden="1" x14ac:dyDescent="0.3">
      <c r="A2313">
        <v>1487</v>
      </c>
      <c r="B2313" t="s">
        <v>1677</v>
      </c>
      <c r="C2313" t="s">
        <v>2670</v>
      </c>
      <c r="D2313" t="s">
        <v>1203</v>
      </c>
      <c r="E2313" t="s">
        <v>1204</v>
      </c>
      <c r="F2313">
        <v>5663</v>
      </c>
      <c r="G2313" t="s">
        <v>2672</v>
      </c>
      <c r="H2313" t="s">
        <v>2665</v>
      </c>
      <c r="N2313" t="s">
        <v>988</v>
      </c>
    </row>
    <row r="2314" spans="1:14" hidden="1" x14ac:dyDescent="0.3">
      <c r="A2314">
        <v>1487</v>
      </c>
      <c r="B2314" t="s">
        <v>1677</v>
      </c>
      <c r="C2314" t="s">
        <v>2670</v>
      </c>
      <c r="D2314" t="s">
        <v>1203</v>
      </c>
      <c r="E2314" t="s">
        <v>1204</v>
      </c>
      <c r="F2314">
        <v>5663</v>
      </c>
      <c r="G2314" t="s">
        <v>2676</v>
      </c>
      <c r="H2314" t="s">
        <v>2664</v>
      </c>
      <c r="I2314">
        <v>8340</v>
      </c>
      <c r="J2314">
        <v>8985</v>
      </c>
      <c r="K2314">
        <v>9679</v>
      </c>
      <c r="L2314">
        <v>10427</v>
      </c>
      <c r="M2314">
        <v>11233</v>
      </c>
      <c r="N2314" t="s">
        <v>988</v>
      </c>
    </row>
    <row r="2315" spans="1:14" hidden="1" x14ac:dyDescent="0.3">
      <c r="A2315">
        <v>1487</v>
      </c>
      <c r="B2315" t="s">
        <v>1677</v>
      </c>
      <c r="C2315" t="s">
        <v>2670</v>
      </c>
      <c r="D2315" t="s">
        <v>1203</v>
      </c>
      <c r="E2315" t="s">
        <v>1204</v>
      </c>
      <c r="F2315">
        <v>5663</v>
      </c>
      <c r="G2315" t="s">
        <v>2676</v>
      </c>
      <c r="H2315" t="s">
        <v>2665</v>
      </c>
      <c r="I2315">
        <v>8340</v>
      </c>
      <c r="J2315">
        <v>8985</v>
      </c>
      <c r="K2315">
        <v>9679</v>
      </c>
      <c r="L2315">
        <v>10427</v>
      </c>
      <c r="M2315">
        <v>11233</v>
      </c>
      <c r="N2315" t="s">
        <v>988</v>
      </c>
    </row>
    <row r="2316" spans="1:14" hidden="1" x14ac:dyDescent="0.3">
      <c r="A2316">
        <v>1487</v>
      </c>
      <c r="B2316" t="s">
        <v>1677</v>
      </c>
      <c r="C2316" t="s">
        <v>2670</v>
      </c>
      <c r="D2316" t="s">
        <v>1203</v>
      </c>
      <c r="E2316" t="s">
        <v>1204</v>
      </c>
      <c r="F2316">
        <v>5663</v>
      </c>
      <c r="G2316" t="s">
        <v>2675</v>
      </c>
      <c r="H2316" t="s">
        <v>2665</v>
      </c>
      <c r="I2316">
        <v>8340</v>
      </c>
      <c r="J2316">
        <v>8985</v>
      </c>
      <c r="K2316">
        <v>9679</v>
      </c>
      <c r="L2316">
        <v>10427</v>
      </c>
      <c r="M2316">
        <v>11233</v>
      </c>
      <c r="N2316" t="s">
        <v>988</v>
      </c>
    </row>
    <row r="2317" spans="1:14" hidden="1" x14ac:dyDescent="0.3">
      <c r="A2317">
        <v>1487</v>
      </c>
      <c r="B2317" t="s">
        <v>1677</v>
      </c>
      <c r="C2317" t="s">
        <v>2670</v>
      </c>
      <c r="D2317" t="s">
        <v>1203</v>
      </c>
      <c r="E2317" t="s">
        <v>1204</v>
      </c>
      <c r="F2317">
        <v>5663</v>
      </c>
      <c r="G2317" t="s">
        <v>2675</v>
      </c>
      <c r="H2317" t="s">
        <v>2664</v>
      </c>
      <c r="I2317">
        <v>8340</v>
      </c>
      <c r="J2317">
        <v>8985</v>
      </c>
      <c r="K2317">
        <v>9679</v>
      </c>
      <c r="L2317">
        <v>10427</v>
      </c>
      <c r="M2317">
        <v>11233</v>
      </c>
      <c r="N2317" t="s">
        <v>988</v>
      </c>
    </row>
    <row r="2318" spans="1:14" hidden="1" x14ac:dyDescent="0.3">
      <c r="A2318">
        <v>1506</v>
      </c>
      <c r="B2318" t="s">
        <v>1678</v>
      </c>
      <c r="C2318" t="s">
        <v>2670</v>
      </c>
      <c r="D2318" t="s">
        <v>159</v>
      </c>
      <c r="E2318" t="s">
        <v>159</v>
      </c>
      <c r="F2318">
        <v>7862</v>
      </c>
      <c r="G2318" t="s">
        <v>2676</v>
      </c>
      <c r="H2318" t="s">
        <v>2664</v>
      </c>
      <c r="I2318">
        <v>7942</v>
      </c>
      <c r="J2318">
        <v>7943</v>
      </c>
      <c r="K2318">
        <v>7944</v>
      </c>
      <c r="L2318">
        <v>7945</v>
      </c>
      <c r="M2318">
        <v>7946</v>
      </c>
      <c r="N2318" t="s">
        <v>988</v>
      </c>
    </row>
    <row r="2319" spans="1:14" hidden="1" x14ac:dyDescent="0.3">
      <c r="A2319">
        <v>1506</v>
      </c>
      <c r="B2319" t="s">
        <v>1678</v>
      </c>
      <c r="C2319" t="s">
        <v>2670</v>
      </c>
      <c r="D2319" t="s">
        <v>159</v>
      </c>
      <c r="E2319" t="s">
        <v>159</v>
      </c>
      <c r="F2319">
        <v>7862</v>
      </c>
      <c r="G2319" t="s">
        <v>2672</v>
      </c>
      <c r="H2319" t="s">
        <v>2665</v>
      </c>
      <c r="I2319">
        <v>6203</v>
      </c>
      <c r="J2319">
        <v>6266</v>
      </c>
      <c r="K2319">
        <v>6330</v>
      </c>
      <c r="L2319">
        <v>6394</v>
      </c>
      <c r="M2319">
        <v>6459</v>
      </c>
      <c r="N2319" t="s">
        <v>988</v>
      </c>
    </row>
    <row r="2320" spans="1:14" hidden="1" x14ac:dyDescent="0.3">
      <c r="A2320">
        <v>1506</v>
      </c>
      <c r="B2320" t="s">
        <v>1678</v>
      </c>
      <c r="C2320" t="s">
        <v>2670</v>
      </c>
      <c r="D2320" t="s">
        <v>159</v>
      </c>
      <c r="E2320" t="s">
        <v>159</v>
      </c>
      <c r="F2320">
        <v>7862</v>
      </c>
      <c r="G2320" t="s">
        <v>2672</v>
      </c>
      <c r="H2320" t="s">
        <v>2664</v>
      </c>
      <c r="I2320">
        <v>7942</v>
      </c>
      <c r="J2320">
        <v>7943</v>
      </c>
      <c r="K2320">
        <v>7944</v>
      </c>
      <c r="L2320">
        <v>7945</v>
      </c>
      <c r="M2320">
        <v>7946</v>
      </c>
      <c r="N2320" t="s">
        <v>988</v>
      </c>
    </row>
    <row r="2321" spans="1:14" hidden="1" x14ac:dyDescent="0.3">
      <c r="A2321">
        <v>1506</v>
      </c>
      <c r="B2321" t="s">
        <v>1678</v>
      </c>
      <c r="C2321" t="s">
        <v>2670</v>
      </c>
      <c r="D2321" t="s">
        <v>159</v>
      </c>
      <c r="E2321" t="s">
        <v>159</v>
      </c>
      <c r="F2321">
        <v>7862</v>
      </c>
      <c r="G2321" t="s">
        <v>2671</v>
      </c>
      <c r="H2321" t="s">
        <v>2665</v>
      </c>
      <c r="I2321">
        <v>6203</v>
      </c>
      <c r="J2321">
        <v>6266</v>
      </c>
      <c r="K2321">
        <v>6330</v>
      </c>
      <c r="L2321">
        <v>6394</v>
      </c>
      <c r="M2321">
        <v>6459</v>
      </c>
      <c r="N2321" t="s">
        <v>988</v>
      </c>
    </row>
    <row r="2322" spans="1:14" hidden="1" x14ac:dyDescent="0.3">
      <c r="A2322">
        <v>1506</v>
      </c>
      <c r="B2322" t="s">
        <v>1678</v>
      </c>
      <c r="C2322" t="s">
        <v>2670</v>
      </c>
      <c r="D2322" t="s">
        <v>159</v>
      </c>
      <c r="E2322" t="s">
        <v>159</v>
      </c>
      <c r="F2322">
        <v>7862</v>
      </c>
      <c r="G2322" t="s">
        <v>2671</v>
      </c>
      <c r="H2322" t="s">
        <v>2664</v>
      </c>
      <c r="I2322">
        <v>7942</v>
      </c>
      <c r="J2322">
        <v>7943</v>
      </c>
      <c r="K2322">
        <v>7944</v>
      </c>
      <c r="L2322">
        <v>7945</v>
      </c>
      <c r="M2322">
        <v>7946</v>
      </c>
      <c r="N2322" t="s">
        <v>988</v>
      </c>
    </row>
    <row r="2323" spans="1:14" hidden="1" x14ac:dyDescent="0.3">
      <c r="A2323">
        <v>1506</v>
      </c>
      <c r="B2323" t="s">
        <v>1678</v>
      </c>
      <c r="C2323" t="s">
        <v>2670</v>
      </c>
      <c r="D2323" t="s">
        <v>159</v>
      </c>
      <c r="E2323" t="s">
        <v>159</v>
      </c>
      <c r="F2323">
        <v>7862</v>
      </c>
      <c r="G2323" t="s">
        <v>2676</v>
      </c>
      <c r="H2323" t="s">
        <v>2665</v>
      </c>
      <c r="I2323">
        <v>6203</v>
      </c>
      <c r="J2323">
        <v>6266</v>
      </c>
      <c r="K2323">
        <v>6330</v>
      </c>
      <c r="L2323">
        <v>6394</v>
      </c>
      <c r="M2323">
        <v>6459</v>
      </c>
      <c r="N2323" t="s">
        <v>988</v>
      </c>
    </row>
    <row r="2324" spans="1:14" hidden="1" x14ac:dyDescent="0.3">
      <c r="A2324">
        <v>1506</v>
      </c>
      <c r="B2324" t="s">
        <v>1678</v>
      </c>
      <c r="C2324" t="s">
        <v>2670</v>
      </c>
      <c r="D2324" t="s">
        <v>159</v>
      </c>
      <c r="E2324" t="s">
        <v>159</v>
      </c>
      <c r="F2324">
        <v>7862</v>
      </c>
      <c r="G2324" t="s">
        <v>2673</v>
      </c>
      <c r="H2324" t="s">
        <v>2664</v>
      </c>
      <c r="I2324">
        <v>7942</v>
      </c>
      <c r="J2324">
        <v>7943</v>
      </c>
      <c r="K2324">
        <v>7944</v>
      </c>
      <c r="L2324">
        <v>7945</v>
      </c>
      <c r="M2324">
        <v>7946</v>
      </c>
      <c r="N2324" t="s">
        <v>988</v>
      </c>
    </row>
    <row r="2325" spans="1:14" hidden="1" x14ac:dyDescent="0.3">
      <c r="A2325">
        <v>1506</v>
      </c>
      <c r="B2325" t="s">
        <v>1678</v>
      </c>
      <c r="C2325" t="s">
        <v>2670</v>
      </c>
      <c r="D2325" t="s">
        <v>159</v>
      </c>
      <c r="E2325" t="s">
        <v>159</v>
      </c>
      <c r="F2325">
        <v>7862</v>
      </c>
      <c r="G2325" t="s">
        <v>2674</v>
      </c>
      <c r="H2325" t="s">
        <v>2665</v>
      </c>
      <c r="I2325">
        <v>6203</v>
      </c>
      <c r="J2325">
        <v>6266</v>
      </c>
      <c r="K2325">
        <v>6330</v>
      </c>
      <c r="L2325">
        <v>6394</v>
      </c>
      <c r="M2325">
        <v>6459</v>
      </c>
      <c r="N2325" t="s">
        <v>988</v>
      </c>
    </row>
    <row r="2326" spans="1:14" hidden="1" x14ac:dyDescent="0.3">
      <c r="A2326">
        <v>1506</v>
      </c>
      <c r="B2326" t="s">
        <v>1678</v>
      </c>
      <c r="C2326" t="s">
        <v>2670</v>
      </c>
      <c r="D2326" t="s">
        <v>159</v>
      </c>
      <c r="E2326" t="s">
        <v>159</v>
      </c>
      <c r="F2326">
        <v>7862</v>
      </c>
      <c r="G2326" t="s">
        <v>2674</v>
      </c>
      <c r="H2326" t="s">
        <v>2664</v>
      </c>
      <c r="I2326">
        <v>7942</v>
      </c>
      <c r="J2326">
        <v>7943</v>
      </c>
      <c r="K2326">
        <v>7944</v>
      </c>
      <c r="L2326">
        <v>7945</v>
      </c>
      <c r="M2326">
        <v>7946</v>
      </c>
      <c r="N2326" t="s">
        <v>988</v>
      </c>
    </row>
    <row r="2327" spans="1:14" hidden="1" x14ac:dyDescent="0.3">
      <c r="A2327">
        <v>1506</v>
      </c>
      <c r="B2327" t="s">
        <v>1678</v>
      </c>
      <c r="C2327" t="s">
        <v>2670</v>
      </c>
      <c r="D2327" t="s">
        <v>159</v>
      </c>
      <c r="E2327" t="s">
        <v>159</v>
      </c>
      <c r="F2327">
        <v>7862</v>
      </c>
      <c r="G2327" t="s">
        <v>2675</v>
      </c>
      <c r="H2327" t="s">
        <v>2665</v>
      </c>
      <c r="I2327">
        <v>6203</v>
      </c>
      <c r="J2327">
        <v>6266</v>
      </c>
      <c r="K2327">
        <v>6330</v>
      </c>
      <c r="L2327">
        <v>6394</v>
      </c>
      <c r="M2327">
        <v>6459</v>
      </c>
      <c r="N2327" t="s">
        <v>988</v>
      </c>
    </row>
    <row r="2328" spans="1:14" hidden="1" x14ac:dyDescent="0.3">
      <c r="A2328">
        <v>1506</v>
      </c>
      <c r="B2328" t="s">
        <v>1678</v>
      </c>
      <c r="C2328" t="s">
        <v>2670</v>
      </c>
      <c r="D2328" t="s">
        <v>159</v>
      </c>
      <c r="E2328" t="s">
        <v>159</v>
      </c>
      <c r="F2328">
        <v>7862</v>
      </c>
      <c r="G2328" t="s">
        <v>2675</v>
      </c>
      <c r="H2328" t="s">
        <v>2664</v>
      </c>
      <c r="I2328">
        <v>7942</v>
      </c>
      <c r="J2328">
        <v>7943</v>
      </c>
      <c r="K2328">
        <v>7944</v>
      </c>
      <c r="L2328">
        <v>7945</v>
      </c>
      <c r="M2328">
        <v>7946</v>
      </c>
      <c r="N2328" t="s">
        <v>988</v>
      </c>
    </row>
    <row r="2329" spans="1:14" hidden="1" x14ac:dyDescent="0.3">
      <c r="A2329">
        <v>1506</v>
      </c>
      <c r="B2329" t="s">
        <v>1678</v>
      </c>
      <c r="C2329" t="s">
        <v>2670</v>
      </c>
      <c r="D2329" t="s">
        <v>159</v>
      </c>
      <c r="E2329" t="s">
        <v>159</v>
      </c>
      <c r="F2329">
        <v>7862</v>
      </c>
      <c r="G2329" t="s">
        <v>2673</v>
      </c>
      <c r="H2329" t="s">
        <v>2665</v>
      </c>
      <c r="I2329">
        <v>6203</v>
      </c>
      <c r="J2329">
        <v>6266</v>
      </c>
      <c r="K2329">
        <v>6330</v>
      </c>
      <c r="L2329">
        <v>6394</v>
      </c>
      <c r="M2329">
        <v>6459</v>
      </c>
      <c r="N2329" t="s">
        <v>988</v>
      </c>
    </row>
    <row r="2330" spans="1:14" hidden="1" x14ac:dyDescent="0.3">
      <c r="A2330">
        <v>1533</v>
      </c>
      <c r="B2330" t="s">
        <v>1679</v>
      </c>
      <c r="C2330" t="s">
        <v>2670</v>
      </c>
      <c r="D2330" t="s">
        <v>1203</v>
      </c>
      <c r="E2330" t="s">
        <v>1204</v>
      </c>
      <c r="F2330">
        <v>5528</v>
      </c>
      <c r="G2330" t="s">
        <v>2675</v>
      </c>
      <c r="H2330" t="s">
        <v>2664</v>
      </c>
      <c r="I2330">
        <v>2563</v>
      </c>
      <c r="J2330">
        <v>3280</v>
      </c>
      <c r="K2330">
        <v>3495</v>
      </c>
      <c r="L2330">
        <v>3764</v>
      </c>
      <c r="N2330" t="s">
        <v>988</v>
      </c>
    </row>
    <row r="2331" spans="1:14" hidden="1" x14ac:dyDescent="0.3">
      <c r="A2331">
        <v>1533</v>
      </c>
      <c r="B2331" t="s">
        <v>1679</v>
      </c>
      <c r="C2331" t="s">
        <v>2670</v>
      </c>
      <c r="D2331" t="s">
        <v>1203</v>
      </c>
      <c r="E2331" t="s">
        <v>1204</v>
      </c>
      <c r="F2331">
        <v>5528</v>
      </c>
      <c r="G2331" t="s">
        <v>2675</v>
      </c>
      <c r="H2331" t="s">
        <v>2665</v>
      </c>
      <c r="I2331">
        <v>2038</v>
      </c>
      <c r="J2331">
        <v>2310</v>
      </c>
      <c r="K2331">
        <v>2607</v>
      </c>
      <c r="L2331">
        <v>2905</v>
      </c>
      <c r="N2331" t="s">
        <v>988</v>
      </c>
    </row>
    <row r="2332" spans="1:14" hidden="1" x14ac:dyDescent="0.3">
      <c r="A2332">
        <v>1533</v>
      </c>
      <c r="B2332" t="s">
        <v>1679</v>
      </c>
      <c r="C2332" t="s">
        <v>2670</v>
      </c>
      <c r="D2332" t="s">
        <v>1203</v>
      </c>
      <c r="E2332" t="s">
        <v>1204</v>
      </c>
      <c r="F2332">
        <v>5528</v>
      </c>
      <c r="G2332" t="s">
        <v>2674</v>
      </c>
      <c r="H2332" t="s">
        <v>2664</v>
      </c>
      <c r="I2332">
        <v>2563</v>
      </c>
      <c r="J2332">
        <v>3280</v>
      </c>
      <c r="K2332">
        <v>3495</v>
      </c>
      <c r="L2332">
        <v>3764</v>
      </c>
      <c r="N2332" t="s">
        <v>988</v>
      </c>
    </row>
    <row r="2333" spans="1:14" hidden="1" x14ac:dyDescent="0.3">
      <c r="A2333">
        <v>1533</v>
      </c>
      <c r="B2333" t="s">
        <v>1679</v>
      </c>
      <c r="C2333" t="s">
        <v>2670</v>
      </c>
      <c r="D2333" t="s">
        <v>1203</v>
      </c>
      <c r="E2333" t="s">
        <v>1204</v>
      </c>
      <c r="F2333">
        <v>5528</v>
      </c>
      <c r="G2333" t="s">
        <v>2674</v>
      </c>
      <c r="H2333" t="s">
        <v>2665</v>
      </c>
      <c r="I2333">
        <v>1784</v>
      </c>
      <c r="J2333">
        <v>2021</v>
      </c>
      <c r="K2333">
        <v>2281</v>
      </c>
      <c r="L2333">
        <v>2542</v>
      </c>
      <c r="N2333" t="s">
        <v>988</v>
      </c>
    </row>
    <row r="2334" spans="1:14" hidden="1" x14ac:dyDescent="0.3">
      <c r="A2334">
        <v>1533</v>
      </c>
      <c r="B2334" t="s">
        <v>1679</v>
      </c>
      <c r="C2334" t="s">
        <v>2670</v>
      </c>
      <c r="D2334" t="s">
        <v>1203</v>
      </c>
      <c r="E2334" t="s">
        <v>1204</v>
      </c>
      <c r="F2334">
        <v>5528</v>
      </c>
      <c r="G2334" t="s">
        <v>2673</v>
      </c>
      <c r="H2334" t="s">
        <v>2664</v>
      </c>
      <c r="I2334">
        <v>2563</v>
      </c>
      <c r="J2334">
        <v>3280</v>
      </c>
      <c r="K2334">
        <v>3495</v>
      </c>
      <c r="L2334">
        <v>3764</v>
      </c>
      <c r="N2334" t="s">
        <v>988</v>
      </c>
    </row>
    <row r="2335" spans="1:14" hidden="1" x14ac:dyDescent="0.3">
      <c r="A2335">
        <v>1533</v>
      </c>
      <c r="B2335" t="s">
        <v>1679</v>
      </c>
      <c r="C2335" t="s">
        <v>2670</v>
      </c>
      <c r="D2335" t="s">
        <v>1203</v>
      </c>
      <c r="E2335" t="s">
        <v>1204</v>
      </c>
      <c r="F2335">
        <v>5528</v>
      </c>
      <c r="G2335" t="s">
        <v>2676</v>
      </c>
      <c r="H2335" t="s">
        <v>2665</v>
      </c>
      <c r="I2335">
        <v>2548</v>
      </c>
      <c r="J2335">
        <v>2884</v>
      </c>
      <c r="K2335">
        <v>3256</v>
      </c>
      <c r="L2335">
        <v>3628</v>
      </c>
      <c r="N2335" t="s">
        <v>988</v>
      </c>
    </row>
    <row r="2336" spans="1:14" hidden="1" x14ac:dyDescent="0.3">
      <c r="A2336">
        <v>1533</v>
      </c>
      <c r="B2336" t="s">
        <v>1679</v>
      </c>
      <c r="C2336" t="s">
        <v>2670</v>
      </c>
      <c r="D2336" t="s">
        <v>1203</v>
      </c>
      <c r="E2336" t="s">
        <v>1204</v>
      </c>
      <c r="F2336">
        <v>5528</v>
      </c>
      <c r="G2336" t="s">
        <v>2671</v>
      </c>
      <c r="H2336" t="s">
        <v>2664</v>
      </c>
      <c r="I2336">
        <v>2563</v>
      </c>
      <c r="J2336">
        <v>3280</v>
      </c>
      <c r="K2336">
        <v>3495</v>
      </c>
      <c r="L2336">
        <v>3764</v>
      </c>
      <c r="N2336" t="s">
        <v>988</v>
      </c>
    </row>
    <row r="2337" spans="1:14" hidden="1" x14ac:dyDescent="0.3">
      <c r="A2337">
        <v>1533</v>
      </c>
      <c r="B2337" t="s">
        <v>1679</v>
      </c>
      <c r="C2337" t="s">
        <v>2670</v>
      </c>
      <c r="D2337" t="s">
        <v>1203</v>
      </c>
      <c r="E2337" t="s">
        <v>1204</v>
      </c>
      <c r="F2337">
        <v>5528</v>
      </c>
      <c r="G2337" t="s">
        <v>2671</v>
      </c>
      <c r="H2337" t="s">
        <v>2665</v>
      </c>
      <c r="I2337">
        <v>1784</v>
      </c>
      <c r="J2337">
        <v>2021</v>
      </c>
      <c r="K2337">
        <v>2281</v>
      </c>
      <c r="L2337">
        <v>2542</v>
      </c>
      <c r="N2337" t="s">
        <v>988</v>
      </c>
    </row>
    <row r="2338" spans="1:14" hidden="1" x14ac:dyDescent="0.3">
      <c r="A2338">
        <v>1533</v>
      </c>
      <c r="B2338" t="s">
        <v>1679</v>
      </c>
      <c r="C2338" t="s">
        <v>2670</v>
      </c>
      <c r="D2338" t="s">
        <v>1203</v>
      </c>
      <c r="E2338" t="s">
        <v>1204</v>
      </c>
      <c r="F2338">
        <v>5528</v>
      </c>
      <c r="G2338" t="s">
        <v>2672</v>
      </c>
      <c r="H2338" t="s">
        <v>2664</v>
      </c>
      <c r="N2338" t="s">
        <v>988</v>
      </c>
    </row>
    <row r="2339" spans="1:14" hidden="1" x14ac:dyDescent="0.3">
      <c r="A2339">
        <v>1533</v>
      </c>
      <c r="B2339" t="s">
        <v>1679</v>
      </c>
      <c r="C2339" t="s">
        <v>2670</v>
      </c>
      <c r="D2339" t="s">
        <v>1203</v>
      </c>
      <c r="E2339" t="s">
        <v>1204</v>
      </c>
      <c r="F2339">
        <v>5528</v>
      </c>
      <c r="G2339" t="s">
        <v>2672</v>
      </c>
      <c r="H2339" t="s">
        <v>2665</v>
      </c>
      <c r="N2339" t="s">
        <v>988</v>
      </c>
    </row>
    <row r="2340" spans="1:14" hidden="1" x14ac:dyDescent="0.3">
      <c r="A2340">
        <v>1533</v>
      </c>
      <c r="B2340" t="s">
        <v>1679</v>
      </c>
      <c r="C2340" t="s">
        <v>2670</v>
      </c>
      <c r="D2340" t="s">
        <v>1203</v>
      </c>
      <c r="E2340" t="s">
        <v>1204</v>
      </c>
      <c r="F2340">
        <v>5528</v>
      </c>
      <c r="G2340" t="s">
        <v>2676</v>
      </c>
      <c r="H2340" t="s">
        <v>2664</v>
      </c>
      <c r="I2340">
        <v>2563</v>
      </c>
      <c r="J2340">
        <v>3280</v>
      </c>
      <c r="K2340">
        <v>3495</v>
      </c>
      <c r="L2340">
        <v>3764</v>
      </c>
      <c r="N2340" t="s">
        <v>988</v>
      </c>
    </row>
    <row r="2341" spans="1:14" hidden="1" x14ac:dyDescent="0.3">
      <c r="A2341">
        <v>1533</v>
      </c>
      <c r="B2341" t="s">
        <v>1679</v>
      </c>
      <c r="C2341" t="s">
        <v>2670</v>
      </c>
      <c r="D2341" t="s">
        <v>1203</v>
      </c>
      <c r="E2341" t="s">
        <v>1204</v>
      </c>
      <c r="F2341">
        <v>5528</v>
      </c>
      <c r="G2341" t="s">
        <v>2673</v>
      </c>
      <c r="H2341" t="s">
        <v>2665</v>
      </c>
      <c r="I2341">
        <v>2038</v>
      </c>
      <c r="J2341">
        <v>2310</v>
      </c>
      <c r="K2341">
        <v>2607</v>
      </c>
      <c r="L2341">
        <v>2905</v>
      </c>
      <c r="N2341" t="s">
        <v>988</v>
      </c>
    </row>
    <row r="2342" spans="1:14" hidden="1" x14ac:dyDescent="0.3">
      <c r="A2342">
        <v>1536</v>
      </c>
      <c r="B2342" t="s">
        <v>1684</v>
      </c>
      <c r="C2342" t="s">
        <v>2670</v>
      </c>
      <c r="D2342" t="s">
        <v>1203</v>
      </c>
      <c r="E2342" t="s">
        <v>1204</v>
      </c>
      <c r="F2342">
        <v>5518</v>
      </c>
      <c r="G2342" t="s">
        <v>2672</v>
      </c>
      <c r="H2342" t="s">
        <v>2665</v>
      </c>
      <c r="N2342" t="s">
        <v>988</v>
      </c>
    </row>
    <row r="2343" spans="1:14" hidden="1" x14ac:dyDescent="0.3">
      <c r="A2343">
        <v>1536</v>
      </c>
      <c r="B2343" t="s">
        <v>1684</v>
      </c>
      <c r="C2343" t="s">
        <v>2670</v>
      </c>
      <c r="D2343" t="s">
        <v>1203</v>
      </c>
      <c r="E2343" t="s">
        <v>1204</v>
      </c>
      <c r="F2343">
        <v>5518</v>
      </c>
      <c r="G2343" t="s">
        <v>2672</v>
      </c>
      <c r="H2343" t="s">
        <v>2664</v>
      </c>
      <c r="N2343" t="s">
        <v>988</v>
      </c>
    </row>
    <row r="2344" spans="1:14" hidden="1" x14ac:dyDescent="0.3">
      <c r="A2344">
        <v>1536</v>
      </c>
      <c r="B2344" t="s">
        <v>1684</v>
      </c>
      <c r="C2344" t="s">
        <v>2670</v>
      </c>
      <c r="D2344" t="s">
        <v>1203</v>
      </c>
      <c r="E2344" t="s">
        <v>1204</v>
      </c>
      <c r="F2344">
        <v>5518</v>
      </c>
      <c r="G2344" t="s">
        <v>2671</v>
      </c>
      <c r="H2344" t="s">
        <v>2665</v>
      </c>
      <c r="I2344">
        <v>5206</v>
      </c>
      <c r="J2344">
        <v>5277</v>
      </c>
      <c r="K2344">
        <v>5349</v>
      </c>
      <c r="L2344">
        <v>5423</v>
      </c>
      <c r="M2344">
        <v>5482</v>
      </c>
      <c r="N2344" t="s">
        <v>988</v>
      </c>
    </row>
    <row r="2345" spans="1:14" hidden="1" x14ac:dyDescent="0.3">
      <c r="A2345">
        <v>1536</v>
      </c>
      <c r="B2345" t="s">
        <v>1684</v>
      </c>
      <c r="C2345" t="s">
        <v>2670</v>
      </c>
      <c r="D2345" t="s">
        <v>1203</v>
      </c>
      <c r="E2345" t="s">
        <v>1204</v>
      </c>
      <c r="F2345">
        <v>5518</v>
      </c>
      <c r="G2345" t="s">
        <v>2671</v>
      </c>
      <c r="H2345" t="s">
        <v>2664</v>
      </c>
      <c r="I2345">
        <v>5206</v>
      </c>
      <c r="J2345">
        <v>5277</v>
      </c>
      <c r="K2345">
        <v>5349</v>
      </c>
      <c r="L2345">
        <v>5423</v>
      </c>
      <c r="M2345">
        <v>5482</v>
      </c>
      <c r="N2345" t="s">
        <v>988</v>
      </c>
    </row>
    <row r="2346" spans="1:14" hidden="1" x14ac:dyDescent="0.3">
      <c r="A2346">
        <v>1536</v>
      </c>
      <c r="B2346" t="s">
        <v>1684</v>
      </c>
      <c r="C2346" t="s">
        <v>2670</v>
      </c>
      <c r="D2346" t="s">
        <v>1203</v>
      </c>
      <c r="E2346" t="s">
        <v>1204</v>
      </c>
      <c r="F2346">
        <v>5518</v>
      </c>
      <c r="G2346" t="s">
        <v>2673</v>
      </c>
      <c r="H2346" t="s">
        <v>2665</v>
      </c>
      <c r="I2346">
        <v>6028</v>
      </c>
      <c r="J2346">
        <v>6111</v>
      </c>
      <c r="K2346">
        <v>6195</v>
      </c>
      <c r="L2346">
        <v>6280</v>
      </c>
      <c r="M2346">
        <v>6349</v>
      </c>
      <c r="N2346" t="s">
        <v>988</v>
      </c>
    </row>
    <row r="2347" spans="1:14" hidden="1" x14ac:dyDescent="0.3">
      <c r="A2347">
        <v>1536</v>
      </c>
      <c r="B2347" t="s">
        <v>1684</v>
      </c>
      <c r="C2347" t="s">
        <v>2670</v>
      </c>
      <c r="D2347" t="s">
        <v>1203</v>
      </c>
      <c r="E2347" t="s">
        <v>1204</v>
      </c>
      <c r="F2347">
        <v>5518</v>
      </c>
      <c r="G2347" t="s">
        <v>2673</v>
      </c>
      <c r="H2347" t="s">
        <v>2664</v>
      </c>
      <c r="I2347">
        <v>6028</v>
      </c>
      <c r="J2347">
        <v>6111</v>
      </c>
      <c r="K2347">
        <v>6195</v>
      </c>
      <c r="L2347">
        <v>6280</v>
      </c>
      <c r="M2347">
        <v>6349</v>
      </c>
      <c r="N2347" t="s">
        <v>988</v>
      </c>
    </row>
    <row r="2348" spans="1:14" hidden="1" x14ac:dyDescent="0.3">
      <c r="A2348">
        <v>1536</v>
      </c>
      <c r="B2348" t="s">
        <v>1684</v>
      </c>
      <c r="C2348" t="s">
        <v>2670</v>
      </c>
      <c r="D2348" t="s">
        <v>1203</v>
      </c>
      <c r="E2348" t="s">
        <v>1204</v>
      </c>
      <c r="F2348">
        <v>5518</v>
      </c>
      <c r="G2348" t="s">
        <v>2674</v>
      </c>
      <c r="H2348" t="s">
        <v>2665</v>
      </c>
      <c r="I2348">
        <v>6079</v>
      </c>
      <c r="J2348">
        <v>6163</v>
      </c>
      <c r="K2348">
        <v>6248</v>
      </c>
      <c r="L2348">
        <v>6333</v>
      </c>
      <c r="M2348">
        <v>6403</v>
      </c>
      <c r="N2348" t="s">
        <v>988</v>
      </c>
    </row>
    <row r="2349" spans="1:14" hidden="1" x14ac:dyDescent="0.3">
      <c r="A2349">
        <v>1536</v>
      </c>
      <c r="B2349" t="s">
        <v>1684</v>
      </c>
      <c r="C2349" t="s">
        <v>2670</v>
      </c>
      <c r="D2349" t="s">
        <v>1203</v>
      </c>
      <c r="E2349" t="s">
        <v>1204</v>
      </c>
      <c r="F2349">
        <v>5518</v>
      </c>
      <c r="G2349" t="s">
        <v>2674</v>
      </c>
      <c r="H2349" t="s">
        <v>2664</v>
      </c>
      <c r="I2349">
        <v>6079</v>
      </c>
      <c r="J2349">
        <v>6163</v>
      </c>
      <c r="K2349">
        <v>6248</v>
      </c>
      <c r="L2349">
        <v>6333</v>
      </c>
      <c r="M2349">
        <v>6403</v>
      </c>
      <c r="N2349" t="s">
        <v>988</v>
      </c>
    </row>
    <row r="2350" spans="1:14" hidden="1" x14ac:dyDescent="0.3">
      <c r="A2350">
        <v>1536</v>
      </c>
      <c r="B2350" t="s">
        <v>1684</v>
      </c>
      <c r="C2350" t="s">
        <v>2670</v>
      </c>
      <c r="D2350" t="s">
        <v>1203</v>
      </c>
      <c r="E2350" t="s">
        <v>1204</v>
      </c>
      <c r="F2350">
        <v>5518</v>
      </c>
      <c r="G2350" t="s">
        <v>2675</v>
      </c>
      <c r="H2350" t="s">
        <v>2665</v>
      </c>
      <c r="I2350">
        <v>6322</v>
      </c>
      <c r="J2350">
        <v>6408</v>
      </c>
      <c r="K2350">
        <v>6496</v>
      </c>
      <c r="L2350">
        <v>6586</v>
      </c>
      <c r="M2350">
        <v>6658</v>
      </c>
      <c r="N2350" t="s">
        <v>988</v>
      </c>
    </row>
    <row r="2351" spans="1:14" hidden="1" x14ac:dyDescent="0.3">
      <c r="A2351">
        <v>1536</v>
      </c>
      <c r="B2351" t="s">
        <v>1684</v>
      </c>
      <c r="C2351" t="s">
        <v>2670</v>
      </c>
      <c r="D2351" t="s">
        <v>1203</v>
      </c>
      <c r="E2351" t="s">
        <v>1204</v>
      </c>
      <c r="F2351">
        <v>5518</v>
      </c>
      <c r="G2351" t="s">
        <v>2676</v>
      </c>
      <c r="H2351" t="s">
        <v>2665</v>
      </c>
      <c r="I2351">
        <v>6218</v>
      </c>
      <c r="J2351">
        <v>6304</v>
      </c>
      <c r="K2351">
        <v>6390</v>
      </c>
      <c r="L2351">
        <v>6478</v>
      </c>
      <c r="M2351">
        <v>6549</v>
      </c>
      <c r="N2351" t="s">
        <v>988</v>
      </c>
    </row>
    <row r="2352" spans="1:14" hidden="1" x14ac:dyDescent="0.3">
      <c r="A2352">
        <v>1536</v>
      </c>
      <c r="B2352" t="s">
        <v>1684</v>
      </c>
      <c r="C2352" t="s">
        <v>2670</v>
      </c>
      <c r="D2352" t="s">
        <v>1203</v>
      </c>
      <c r="E2352" t="s">
        <v>1204</v>
      </c>
      <c r="F2352">
        <v>5518</v>
      </c>
      <c r="G2352" t="s">
        <v>2675</v>
      </c>
      <c r="H2352" t="s">
        <v>2664</v>
      </c>
      <c r="I2352">
        <v>6322</v>
      </c>
      <c r="J2352">
        <v>6408</v>
      </c>
      <c r="K2352">
        <v>6496</v>
      </c>
      <c r="L2352">
        <v>6586</v>
      </c>
      <c r="M2352">
        <v>6658</v>
      </c>
      <c r="N2352" t="s">
        <v>988</v>
      </c>
    </row>
    <row r="2353" spans="1:14" hidden="1" x14ac:dyDescent="0.3">
      <c r="A2353">
        <v>1536</v>
      </c>
      <c r="B2353" t="s">
        <v>1684</v>
      </c>
      <c r="C2353" t="s">
        <v>2670</v>
      </c>
      <c r="D2353" t="s">
        <v>1203</v>
      </c>
      <c r="E2353" t="s">
        <v>1204</v>
      </c>
      <c r="F2353">
        <v>5518</v>
      </c>
      <c r="G2353" t="s">
        <v>2676</v>
      </c>
      <c r="H2353" t="s">
        <v>2664</v>
      </c>
      <c r="I2353">
        <v>6218</v>
      </c>
      <c r="J2353">
        <v>6304</v>
      </c>
      <c r="K2353">
        <v>6390</v>
      </c>
      <c r="L2353">
        <v>6478</v>
      </c>
      <c r="M2353">
        <v>6549</v>
      </c>
      <c r="N2353" t="s">
        <v>988</v>
      </c>
    </row>
    <row r="2354" spans="1:14" hidden="1" x14ac:dyDescent="0.3">
      <c r="A2354">
        <v>1546</v>
      </c>
      <c r="B2354" t="s">
        <v>1686</v>
      </c>
      <c r="C2354" t="s">
        <v>2670</v>
      </c>
      <c r="D2354" t="s">
        <v>1203</v>
      </c>
      <c r="E2354" t="s">
        <v>1204</v>
      </c>
      <c r="F2354">
        <v>5724</v>
      </c>
      <c r="G2354" t="s">
        <v>2676</v>
      </c>
      <c r="H2354" t="s">
        <v>2664</v>
      </c>
      <c r="I2354">
        <v>79556</v>
      </c>
      <c r="J2354">
        <v>79560</v>
      </c>
      <c r="K2354">
        <v>79560</v>
      </c>
      <c r="L2354">
        <v>79562</v>
      </c>
      <c r="M2354">
        <v>79567</v>
      </c>
      <c r="N2354" t="s">
        <v>988</v>
      </c>
    </row>
    <row r="2355" spans="1:14" hidden="1" x14ac:dyDescent="0.3">
      <c r="A2355">
        <v>1546</v>
      </c>
      <c r="B2355" t="s">
        <v>1686</v>
      </c>
      <c r="C2355" t="s">
        <v>2670</v>
      </c>
      <c r="D2355" t="s">
        <v>1203</v>
      </c>
      <c r="E2355" t="s">
        <v>1204</v>
      </c>
      <c r="F2355">
        <v>5724</v>
      </c>
      <c r="G2355" t="s">
        <v>2672</v>
      </c>
      <c r="H2355" t="s">
        <v>2665</v>
      </c>
      <c r="N2355" t="s">
        <v>988</v>
      </c>
    </row>
    <row r="2356" spans="1:14" hidden="1" x14ac:dyDescent="0.3">
      <c r="A2356">
        <v>1546</v>
      </c>
      <c r="B2356" t="s">
        <v>1686</v>
      </c>
      <c r="C2356" t="s">
        <v>2670</v>
      </c>
      <c r="D2356" t="s">
        <v>1203</v>
      </c>
      <c r="E2356" t="s">
        <v>1204</v>
      </c>
      <c r="F2356">
        <v>5724</v>
      </c>
      <c r="G2356" t="s">
        <v>2672</v>
      </c>
      <c r="H2356" t="s">
        <v>2664</v>
      </c>
      <c r="N2356" t="s">
        <v>988</v>
      </c>
    </row>
    <row r="2357" spans="1:14" hidden="1" x14ac:dyDescent="0.3">
      <c r="A2357">
        <v>1546</v>
      </c>
      <c r="B2357" t="s">
        <v>1686</v>
      </c>
      <c r="C2357" t="s">
        <v>2670</v>
      </c>
      <c r="D2357" t="s">
        <v>1203</v>
      </c>
      <c r="E2357" t="s">
        <v>1204</v>
      </c>
      <c r="F2357">
        <v>5724</v>
      </c>
      <c r="G2357" t="s">
        <v>2671</v>
      </c>
      <c r="H2357" t="s">
        <v>2665</v>
      </c>
      <c r="I2357">
        <v>38018.69</v>
      </c>
      <c r="J2357">
        <v>38045.61</v>
      </c>
      <c r="K2357">
        <v>37974.15</v>
      </c>
      <c r="L2357">
        <v>38050.78</v>
      </c>
      <c r="M2357">
        <v>38207.14</v>
      </c>
      <c r="N2357" t="s">
        <v>988</v>
      </c>
    </row>
    <row r="2358" spans="1:14" hidden="1" x14ac:dyDescent="0.3">
      <c r="A2358">
        <v>1546</v>
      </c>
      <c r="B2358" t="s">
        <v>1686</v>
      </c>
      <c r="C2358" t="s">
        <v>2670</v>
      </c>
      <c r="D2358" t="s">
        <v>1203</v>
      </c>
      <c r="E2358" t="s">
        <v>1204</v>
      </c>
      <c r="F2358">
        <v>5724</v>
      </c>
      <c r="G2358" t="s">
        <v>2671</v>
      </c>
      <c r="H2358" t="s">
        <v>2664</v>
      </c>
      <c r="I2358">
        <v>69441</v>
      </c>
      <c r="J2358">
        <v>69432</v>
      </c>
      <c r="K2358">
        <v>69471</v>
      </c>
      <c r="L2358">
        <v>69432</v>
      </c>
      <c r="M2358">
        <v>69328</v>
      </c>
      <c r="N2358" t="s">
        <v>988</v>
      </c>
    </row>
    <row r="2359" spans="1:14" hidden="1" x14ac:dyDescent="0.3">
      <c r="A2359">
        <v>1546</v>
      </c>
      <c r="B2359" t="s">
        <v>1686</v>
      </c>
      <c r="C2359" t="s">
        <v>2670</v>
      </c>
      <c r="D2359" t="s">
        <v>1203</v>
      </c>
      <c r="E2359" t="s">
        <v>1204</v>
      </c>
      <c r="F2359">
        <v>5724</v>
      </c>
      <c r="G2359" t="s">
        <v>2676</v>
      </c>
      <c r="H2359" t="s">
        <v>2665</v>
      </c>
      <c r="I2359">
        <v>38018.69</v>
      </c>
      <c r="J2359">
        <v>38045.61</v>
      </c>
      <c r="K2359">
        <v>37974.15</v>
      </c>
      <c r="L2359">
        <v>38050.78</v>
      </c>
      <c r="M2359">
        <v>38207.14</v>
      </c>
      <c r="N2359" t="s">
        <v>988</v>
      </c>
    </row>
    <row r="2360" spans="1:14" hidden="1" x14ac:dyDescent="0.3">
      <c r="A2360">
        <v>1546</v>
      </c>
      <c r="B2360" t="s">
        <v>1686</v>
      </c>
      <c r="C2360" t="s">
        <v>2670</v>
      </c>
      <c r="D2360" t="s">
        <v>1203</v>
      </c>
      <c r="E2360" t="s">
        <v>1204</v>
      </c>
      <c r="F2360">
        <v>5724</v>
      </c>
      <c r="G2360" t="s">
        <v>2673</v>
      </c>
      <c r="H2360" t="s">
        <v>2665</v>
      </c>
      <c r="I2360">
        <v>38018.69</v>
      </c>
      <c r="J2360">
        <v>38045.61</v>
      </c>
      <c r="K2360">
        <v>37974.15</v>
      </c>
      <c r="L2360">
        <v>38050.78</v>
      </c>
      <c r="M2360">
        <v>38207.14</v>
      </c>
      <c r="N2360" t="s">
        <v>988</v>
      </c>
    </row>
    <row r="2361" spans="1:14" hidden="1" x14ac:dyDescent="0.3">
      <c r="A2361">
        <v>1546</v>
      </c>
      <c r="B2361" t="s">
        <v>1686</v>
      </c>
      <c r="C2361" t="s">
        <v>2670</v>
      </c>
      <c r="D2361" t="s">
        <v>1203</v>
      </c>
      <c r="E2361" t="s">
        <v>1204</v>
      </c>
      <c r="F2361">
        <v>5724</v>
      </c>
      <c r="G2361" t="s">
        <v>2673</v>
      </c>
      <c r="H2361" t="s">
        <v>2664</v>
      </c>
      <c r="I2361">
        <v>72700</v>
      </c>
      <c r="J2361">
        <v>72695</v>
      </c>
      <c r="K2361">
        <v>72728</v>
      </c>
      <c r="L2361">
        <v>72696</v>
      </c>
      <c r="M2361">
        <v>72627</v>
      </c>
      <c r="N2361" t="s">
        <v>988</v>
      </c>
    </row>
    <row r="2362" spans="1:14" hidden="1" x14ac:dyDescent="0.3">
      <c r="A2362">
        <v>1546</v>
      </c>
      <c r="B2362" t="s">
        <v>1686</v>
      </c>
      <c r="C2362" t="s">
        <v>2670</v>
      </c>
      <c r="D2362" t="s">
        <v>1203</v>
      </c>
      <c r="E2362" t="s">
        <v>1204</v>
      </c>
      <c r="F2362">
        <v>5724</v>
      </c>
      <c r="G2362" t="s">
        <v>2674</v>
      </c>
      <c r="H2362" t="s">
        <v>2665</v>
      </c>
      <c r="I2362">
        <v>38018.69</v>
      </c>
      <c r="J2362">
        <v>38045.61</v>
      </c>
      <c r="K2362">
        <v>37974.15</v>
      </c>
      <c r="L2362">
        <v>38050.78</v>
      </c>
      <c r="M2362">
        <v>38207.14</v>
      </c>
      <c r="N2362" t="s">
        <v>988</v>
      </c>
    </row>
    <row r="2363" spans="1:14" hidden="1" x14ac:dyDescent="0.3">
      <c r="A2363">
        <v>1546</v>
      </c>
      <c r="B2363" t="s">
        <v>1686</v>
      </c>
      <c r="C2363" t="s">
        <v>2670</v>
      </c>
      <c r="D2363" t="s">
        <v>1203</v>
      </c>
      <c r="E2363" t="s">
        <v>1204</v>
      </c>
      <c r="F2363">
        <v>5724</v>
      </c>
      <c r="G2363" t="s">
        <v>2674</v>
      </c>
      <c r="H2363" t="s">
        <v>2664</v>
      </c>
      <c r="I2363">
        <v>86430</v>
      </c>
      <c r="J2363">
        <v>86448</v>
      </c>
      <c r="K2363">
        <v>86419</v>
      </c>
      <c r="L2363">
        <v>86453</v>
      </c>
      <c r="M2363">
        <v>86530</v>
      </c>
      <c r="N2363" t="s">
        <v>988</v>
      </c>
    </row>
    <row r="2364" spans="1:14" hidden="1" x14ac:dyDescent="0.3">
      <c r="A2364">
        <v>1546</v>
      </c>
      <c r="B2364" t="s">
        <v>1686</v>
      </c>
      <c r="C2364" t="s">
        <v>2670</v>
      </c>
      <c r="D2364" t="s">
        <v>1203</v>
      </c>
      <c r="E2364" t="s">
        <v>1204</v>
      </c>
      <c r="F2364">
        <v>5724</v>
      </c>
      <c r="G2364" t="s">
        <v>2675</v>
      </c>
      <c r="H2364" t="s">
        <v>2664</v>
      </c>
      <c r="I2364">
        <v>84321</v>
      </c>
      <c r="J2364">
        <v>84313</v>
      </c>
      <c r="K2364">
        <v>84342</v>
      </c>
      <c r="L2364">
        <v>84314</v>
      </c>
      <c r="M2364">
        <v>84262</v>
      </c>
      <c r="N2364" t="s">
        <v>988</v>
      </c>
    </row>
    <row r="2365" spans="1:14" hidden="1" x14ac:dyDescent="0.3">
      <c r="A2365">
        <v>1546</v>
      </c>
      <c r="B2365" t="s">
        <v>1686</v>
      </c>
      <c r="C2365" t="s">
        <v>2670</v>
      </c>
      <c r="D2365" t="s">
        <v>1203</v>
      </c>
      <c r="E2365" t="s">
        <v>1204</v>
      </c>
      <c r="F2365">
        <v>5724</v>
      </c>
      <c r="G2365" t="s">
        <v>2675</v>
      </c>
      <c r="H2365" t="s">
        <v>2665</v>
      </c>
      <c r="I2365">
        <v>38018.69</v>
      </c>
      <c r="J2365">
        <v>38045.61</v>
      </c>
      <c r="K2365">
        <v>37974.15</v>
      </c>
      <c r="L2365">
        <v>38050.78</v>
      </c>
      <c r="M2365">
        <v>38207.14</v>
      </c>
      <c r="N2365" t="s">
        <v>988</v>
      </c>
    </row>
    <row r="2366" spans="1:14" hidden="1" x14ac:dyDescent="0.3">
      <c r="A2366">
        <v>1547</v>
      </c>
      <c r="B2366" t="s">
        <v>1693</v>
      </c>
      <c r="C2366" t="s">
        <v>2670</v>
      </c>
      <c r="D2366" t="s">
        <v>1203</v>
      </c>
      <c r="E2366" t="s">
        <v>1204</v>
      </c>
      <c r="F2366">
        <v>5782</v>
      </c>
      <c r="G2366" t="s">
        <v>2676</v>
      </c>
      <c r="H2366" t="s">
        <v>2664</v>
      </c>
      <c r="I2366">
        <v>10900</v>
      </c>
      <c r="J2366">
        <v>10900</v>
      </c>
      <c r="K2366">
        <v>10900</v>
      </c>
      <c r="L2366">
        <v>10900</v>
      </c>
      <c r="N2366" t="s">
        <v>988</v>
      </c>
    </row>
    <row r="2367" spans="1:14" hidden="1" x14ac:dyDescent="0.3">
      <c r="A2367">
        <v>1547</v>
      </c>
      <c r="B2367" t="s">
        <v>1693</v>
      </c>
      <c r="C2367" t="s">
        <v>2670</v>
      </c>
      <c r="D2367" t="s">
        <v>1203</v>
      </c>
      <c r="E2367" t="s">
        <v>1204</v>
      </c>
      <c r="F2367">
        <v>5782</v>
      </c>
      <c r="G2367" t="s">
        <v>2676</v>
      </c>
      <c r="H2367" t="s">
        <v>2665</v>
      </c>
      <c r="I2367">
        <v>6121</v>
      </c>
      <c r="J2367">
        <v>7958</v>
      </c>
      <c r="K2367">
        <v>9056</v>
      </c>
      <c r="L2367">
        <v>9775</v>
      </c>
      <c r="N2367" t="s">
        <v>988</v>
      </c>
    </row>
    <row r="2368" spans="1:14" hidden="1" x14ac:dyDescent="0.3">
      <c r="A2368">
        <v>1547</v>
      </c>
      <c r="B2368" t="s">
        <v>1693</v>
      </c>
      <c r="C2368" t="s">
        <v>2670</v>
      </c>
      <c r="D2368" t="s">
        <v>1203</v>
      </c>
      <c r="E2368" t="s">
        <v>1204</v>
      </c>
      <c r="F2368">
        <v>5782</v>
      </c>
      <c r="G2368" t="s">
        <v>2675</v>
      </c>
      <c r="H2368" t="s">
        <v>2664</v>
      </c>
      <c r="I2368">
        <v>10900</v>
      </c>
      <c r="J2368">
        <v>10900</v>
      </c>
      <c r="K2368">
        <v>10900</v>
      </c>
      <c r="L2368">
        <v>10900</v>
      </c>
      <c r="N2368" t="s">
        <v>988</v>
      </c>
    </row>
    <row r="2369" spans="1:14" hidden="1" x14ac:dyDescent="0.3">
      <c r="A2369">
        <v>1547</v>
      </c>
      <c r="B2369" t="s">
        <v>1693</v>
      </c>
      <c r="C2369" t="s">
        <v>2670</v>
      </c>
      <c r="D2369" t="s">
        <v>1203</v>
      </c>
      <c r="E2369" t="s">
        <v>1204</v>
      </c>
      <c r="F2369">
        <v>5782</v>
      </c>
      <c r="G2369" t="s">
        <v>2675</v>
      </c>
      <c r="H2369" t="s">
        <v>2665</v>
      </c>
      <c r="I2369">
        <v>5401</v>
      </c>
      <c r="J2369">
        <v>7022</v>
      </c>
      <c r="K2369">
        <v>7991</v>
      </c>
      <c r="L2369">
        <v>8625</v>
      </c>
      <c r="N2369" t="s">
        <v>988</v>
      </c>
    </row>
    <row r="2370" spans="1:14" hidden="1" x14ac:dyDescent="0.3">
      <c r="A2370">
        <v>1547</v>
      </c>
      <c r="B2370" t="s">
        <v>1693</v>
      </c>
      <c r="C2370" t="s">
        <v>2670</v>
      </c>
      <c r="D2370" t="s">
        <v>1203</v>
      </c>
      <c r="E2370" t="s">
        <v>1204</v>
      </c>
      <c r="F2370">
        <v>5782</v>
      </c>
      <c r="G2370" t="s">
        <v>2674</v>
      </c>
      <c r="H2370" t="s">
        <v>2664</v>
      </c>
      <c r="I2370">
        <v>10900</v>
      </c>
      <c r="J2370">
        <v>10900</v>
      </c>
      <c r="K2370">
        <v>10900</v>
      </c>
      <c r="L2370">
        <v>10900</v>
      </c>
      <c r="N2370" t="s">
        <v>988</v>
      </c>
    </row>
    <row r="2371" spans="1:14" hidden="1" x14ac:dyDescent="0.3">
      <c r="A2371">
        <v>1547</v>
      </c>
      <c r="B2371" t="s">
        <v>1693</v>
      </c>
      <c r="C2371" t="s">
        <v>2670</v>
      </c>
      <c r="D2371" t="s">
        <v>1203</v>
      </c>
      <c r="E2371" t="s">
        <v>1204</v>
      </c>
      <c r="F2371">
        <v>5782</v>
      </c>
      <c r="G2371" t="s">
        <v>2674</v>
      </c>
      <c r="H2371" t="s">
        <v>2665</v>
      </c>
      <c r="I2371">
        <v>4741</v>
      </c>
      <c r="J2371">
        <v>6164</v>
      </c>
      <c r="K2371">
        <v>7014</v>
      </c>
      <c r="L2371">
        <v>7571</v>
      </c>
      <c r="N2371" t="s">
        <v>988</v>
      </c>
    </row>
    <row r="2372" spans="1:14" hidden="1" x14ac:dyDescent="0.3">
      <c r="A2372">
        <v>1547</v>
      </c>
      <c r="B2372" t="s">
        <v>1693</v>
      </c>
      <c r="C2372" t="s">
        <v>2670</v>
      </c>
      <c r="D2372" t="s">
        <v>1203</v>
      </c>
      <c r="E2372" t="s">
        <v>1204</v>
      </c>
      <c r="F2372">
        <v>5782</v>
      </c>
      <c r="G2372" t="s">
        <v>2673</v>
      </c>
      <c r="H2372" t="s">
        <v>2665</v>
      </c>
      <c r="I2372">
        <v>4621</v>
      </c>
      <c r="J2372">
        <v>6008</v>
      </c>
      <c r="K2372">
        <v>6837</v>
      </c>
      <c r="L2372">
        <v>7379</v>
      </c>
      <c r="N2372" t="s">
        <v>988</v>
      </c>
    </row>
    <row r="2373" spans="1:14" hidden="1" x14ac:dyDescent="0.3">
      <c r="A2373">
        <v>1547</v>
      </c>
      <c r="B2373" t="s">
        <v>1693</v>
      </c>
      <c r="C2373" t="s">
        <v>2670</v>
      </c>
      <c r="D2373" t="s">
        <v>1203</v>
      </c>
      <c r="E2373" t="s">
        <v>1204</v>
      </c>
      <c r="F2373">
        <v>5782</v>
      </c>
      <c r="G2373" t="s">
        <v>2671</v>
      </c>
      <c r="H2373" t="s">
        <v>2664</v>
      </c>
      <c r="I2373">
        <v>10900</v>
      </c>
      <c r="J2373">
        <v>10900</v>
      </c>
      <c r="K2373">
        <v>10900</v>
      </c>
      <c r="L2373">
        <v>10900</v>
      </c>
      <c r="N2373" t="s">
        <v>988</v>
      </c>
    </row>
    <row r="2374" spans="1:14" hidden="1" x14ac:dyDescent="0.3">
      <c r="A2374">
        <v>1547</v>
      </c>
      <c r="B2374" t="s">
        <v>1693</v>
      </c>
      <c r="C2374" t="s">
        <v>2670</v>
      </c>
      <c r="D2374" t="s">
        <v>1203</v>
      </c>
      <c r="E2374" t="s">
        <v>1204</v>
      </c>
      <c r="F2374">
        <v>5782</v>
      </c>
      <c r="G2374" t="s">
        <v>2671</v>
      </c>
      <c r="H2374" t="s">
        <v>2665</v>
      </c>
      <c r="I2374">
        <v>4621</v>
      </c>
      <c r="J2374">
        <v>6008</v>
      </c>
      <c r="K2374">
        <v>6837</v>
      </c>
      <c r="L2374">
        <v>7379</v>
      </c>
      <c r="N2374" t="s">
        <v>988</v>
      </c>
    </row>
    <row r="2375" spans="1:14" hidden="1" x14ac:dyDescent="0.3">
      <c r="A2375">
        <v>1547</v>
      </c>
      <c r="B2375" t="s">
        <v>1693</v>
      </c>
      <c r="C2375" t="s">
        <v>2670</v>
      </c>
      <c r="D2375" t="s">
        <v>1203</v>
      </c>
      <c r="E2375" t="s">
        <v>1204</v>
      </c>
      <c r="F2375">
        <v>5782</v>
      </c>
      <c r="G2375" t="s">
        <v>2672</v>
      </c>
      <c r="H2375" t="s">
        <v>2664</v>
      </c>
      <c r="N2375" t="s">
        <v>988</v>
      </c>
    </row>
    <row r="2376" spans="1:14" hidden="1" x14ac:dyDescent="0.3">
      <c r="A2376">
        <v>1547</v>
      </c>
      <c r="B2376" t="s">
        <v>1693</v>
      </c>
      <c r="C2376" t="s">
        <v>2670</v>
      </c>
      <c r="D2376" t="s">
        <v>1203</v>
      </c>
      <c r="E2376" t="s">
        <v>1204</v>
      </c>
      <c r="F2376">
        <v>5782</v>
      </c>
      <c r="G2376" t="s">
        <v>2672</v>
      </c>
      <c r="H2376" t="s">
        <v>2665</v>
      </c>
      <c r="N2376" t="s">
        <v>988</v>
      </c>
    </row>
    <row r="2377" spans="1:14" hidden="1" x14ac:dyDescent="0.3">
      <c r="A2377">
        <v>1547</v>
      </c>
      <c r="B2377" t="s">
        <v>1693</v>
      </c>
      <c r="C2377" t="s">
        <v>2670</v>
      </c>
      <c r="D2377" t="s">
        <v>1203</v>
      </c>
      <c r="E2377" t="s">
        <v>1204</v>
      </c>
      <c r="F2377">
        <v>5782</v>
      </c>
      <c r="G2377" t="s">
        <v>2673</v>
      </c>
      <c r="H2377" t="s">
        <v>2664</v>
      </c>
      <c r="I2377">
        <v>10900</v>
      </c>
      <c r="J2377">
        <v>10900</v>
      </c>
      <c r="K2377">
        <v>10900</v>
      </c>
      <c r="L2377">
        <v>10900</v>
      </c>
      <c r="N2377" t="s">
        <v>988</v>
      </c>
    </row>
    <row r="2378" spans="1:14" hidden="1" x14ac:dyDescent="0.3">
      <c r="A2378">
        <v>1554</v>
      </c>
      <c r="B2378" t="s">
        <v>1694</v>
      </c>
      <c r="C2378" t="s">
        <v>2670</v>
      </c>
      <c r="D2378" t="s">
        <v>1203</v>
      </c>
      <c r="E2378" t="s">
        <v>1204</v>
      </c>
      <c r="F2378">
        <v>5469</v>
      </c>
      <c r="G2378" t="s">
        <v>2676</v>
      </c>
      <c r="H2378" t="s">
        <v>2664</v>
      </c>
      <c r="I2378">
        <v>4460</v>
      </c>
      <c r="J2378">
        <v>4266</v>
      </c>
      <c r="K2378">
        <v>4070</v>
      </c>
      <c r="L2378">
        <v>3918</v>
      </c>
      <c r="M2378">
        <v>3984</v>
      </c>
      <c r="N2378" t="s">
        <v>988</v>
      </c>
    </row>
    <row r="2379" spans="1:14" hidden="1" x14ac:dyDescent="0.3">
      <c r="A2379">
        <v>1554</v>
      </c>
      <c r="B2379" t="s">
        <v>1694</v>
      </c>
      <c r="C2379" t="s">
        <v>2670</v>
      </c>
      <c r="D2379" t="s">
        <v>1203</v>
      </c>
      <c r="E2379" t="s">
        <v>1204</v>
      </c>
      <c r="F2379">
        <v>5469</v>
      </c>
      <c r="G2379" t="s">
        <v>2672</v>
      </c>
      <c r="H2379" t="s">
        <v>2665</v>
      </c>
      <c r="N2379" t="s">
        <v>988</v>
      </c>
    </row>
    <row r="2380" spans="1:14" hidden="1" x14ac:dyDescent="0.3">
      <c r="A2380">
        <v>1554</v>
      </c>
      <c r="B2380" t="s">
        <v>1694</v>
      </c>
      <c r="C2380" t="s">
        <v>2670</v>
      </c>
      <c r="D2380" t="s">
        <v>1203</v>
      </c>
      <c r="E2380" t="s">
        <v>1204</v>
      </c>
      <c r="F2380">
        <v>5469</v>
      </c>
      <c r="G2380" t="s">
        <v>2672</v>
      </c>
      <c r="H2380" t="s">
        <v>2664</v>
      </c>
      <c r="N2380" t="s">
        <v>988</v>
      </c>
    </row>
    <row r="2381" spans="1:14" hidden="1" x14ac:dyDescent="0.3">
      <c r="A2381">
        <v>1554</v>
      </c>
      <c r="B2381" t="s">
        <v>1694</v>
      </c>
      <c r="C2381" t="s">
        <v>2670</v>
      </c>
      <c r="D2381" t="s">
        <v>1203</v>
      </c>
      <c r="E2381" t="s">
        <v>1204</v>
      </c>
      <c r="F2381">
        <v>5469</v>
      </c>
      <c r="G2381" t="s">
        <v>2671</v>
      </c>
      <c r="H2381" t="s">
        <v>2665</v>
      </c>
      <c r="I2381">
        <v>3791</v>
      </c>
      <c r="J2381">
        <v>3626</v>
      </c>
      <c r="K2381">
        <v>3460</v>
      </c>
      <c r="L2381">
        <v>3330</v>
      </c>
      <c r="M2381">
        <v>3386</v>
      </c>
      <c r="N2381" t="s">
        <v>988</v>
      </c>
    </row>
    <row r="2382" spans="1:14" hidden="1" x14ac:dyDescent="0.3">
      <c r="A2382">
        <v>1554</v>
      </c>
      <c r="B2382" t="s">
        <v>1694</v>
      </c>
      <c r="C2382" t="s">
        <v>2670</v>
      </c>
      <c r="D2382" t="s">
        <v>1203</v>
      </c>
      <c r="E2382" t="s">
        <v>1204</v>
      </c>
      <c r="F2382">
        <v>5469</v>
      </c>
      <c r="G2382" t="s">
        <v>2671</v>
      </c>
      <c r="H2382" t="s">
        <v>2664</v>
      </c>
      <c r="I2382">
        <v>3791</v>
      </c>
      <c r="J2382">
        <v>3626</v>
      </c>
      <c r="K2382">
        <v>3460</v>
      </c>
      <c r="L2382">
        <v>3330</v>
      </c>
      <c r="M2382">
        <v>3386</v>
      </c>
      <c r="N2382" t="s">
        <v>988</v>
      </c>
    </row>
    <row r="2383" spans="1:14" hidden="1" x14ac:dyDescent="0.3">
      <c r="A2383">
        <v>1554</v>
      </c>
      <c r="B2383" t="s">
        <v>1694</v>
      </c>
      <c r="C2383" t="s">
        <v>2670</v>
      </c>
      <c r="D2383" t="s">
        <v>1203</v>
      </c>
      <c r="E2383" t="s">
        <v>1204</v>
      </c>
      <c r="F2383">
        <v>5469</v>
      </c>
      <c r="G2383" t="s">
        <v>2676</v>
      </c>
      <c r="H2383" t="s">
        <v>2665</v>
      </c>
      <c r="I2383">
        <v>4460</v>
      </c>
      <c r="J2383">
        <v>4266</v>
      </c>
      <c r="K2383">
        <v>4070</v>
      </c>
      <c r="L2383">
        <v>3918</v>
      </c>
      <c r="M2383">
        <v>3984</v>
      </c>
      <c r="N2383" t="s">
        <v>988</v>
      </c>
    </row>
    <row r="2384" spans="1:14" hidden="1" x14ac:dyDescent="0.3">
      <c r="A2384">
        <v>1554</v>
      </c>
      <c r="B2384" t="s">
        <v>1694</v>
      </c>
      <c r="C2384" t="s">
        <v>2670</v>
      </c>
      <c r="D2384" t="s">
        <v>1203</v>
      </c>
      <c r="E2384" t="s">
        <v>1204</v>
      </c>
      <c r="F2384">
        <v>5469</v>
      </c>
      <c r="G2384" t="s">
        <v>2673</v>
      </c>
      <c r="H2384" t="s">
        <v>2664</v>
      </c>
      <c r="I2384">
        <v>4014</v>
      </c>
      <c r="J2384">
        <v>3839</v>
      </c>
      <c r="K2384">
        <v>3663</v>
      </c>
      <c r="L2384">
        <v>3330</v>
      </c>
      <c r="M2384">
        <v>3386</v>
      </c>
      <c r="N2384" t="s">
        <v>988</v>
      </c>
    </row>
    <row r="2385" spans="1:14" hidden="1" x14ac:dyDescent="0.3">
      <c r="A2385">
        <v>1554</v>
      </c>
      <c r="B2385" t="s">
        <v>1694</v>
      </c>
      <c r="C2385" t="s">
        <v>2670</v>
      </c>
      <c r="D2385" t="s">
        <v>1203</v>
      </c>
      <c r="E2385" t="s">
        <v>1204</v>
      </c>
      <c r="F2385">
        <v>5469</v>
      </c>
      <c r="G2385" t="s">
        <v>2674</v>
      </c>
      <c r="H2385" t="s">
        <v>2665</v>
      </c>
      <c r="I2385">
        <v>4237</v>
      </c>
      <c r="J2385">
        <v>4053</v>
      </c>
      <c r="K2385">
        <v>3867</v>
      </c>
      <c r="L2385">
        <v>3526</v>
      </c>
      <c r="M2385">
        <v>3586</v>
      </c>
      <c r="N2385" t="s">
        <v>988</v>
      </c>
    </row>
    <row r="2386" spans="1:14" hidden="1" x14ac:dyDescent="0.3">
      <c r="A2386">
        <v>1554</v>
      </c>
      <c r="B2386" t="s">
        <v>1694</v>
      </c>
      <c r="C2386" t="s">
        <v>2670</v>
      </c>
      <c r="D2386" t="s">
        <v>1203</v>
      </c>
      <c r="E2386" t="s">
        <v>1204</v>
      </c>
      <c r="F2386">
        <v>5469</v>
      </c>
      <c r="G2386" t="s">
        <v>2674</v>
      </c>
      <c r="H2386" t="s">
        <v>2664</v>
      </c>
      <c r="I2386">
        <v>4237</v>
      </c>
      <c r="J2386">
        <v>4053</v>
      </c>
      <c r="K2386">
        <v>3867</v>
      </c>
      <c r="L2386">
        <v>3526</v>
      </c>
      <c r="M2386">
        <v>3586</v>
      </c>
      <c r="N2386" t="s">
        <v>988</v>
      </c>
    </row>
    <row r="2387" spans="1:14" hidden="1" x14ac:dyDescent="0.3">
      <c r="A2387">
        <v>1554</v>
      </c>
      <c r="B2387" t="s">
        <v>1694</v>
      </c>
      <c r="C2387" t="s">
        <v>2670</v>
      </c>
      <c r="D2387" t="s">
        <v>1203</v>
      </c>
      <c r="E2387" t="s">
        <v>1204</v>
      </c>
      <c r="F2387">
        <v>5469</v>
      </c>
      <c r="G2387" t="s">
        <v>2675</v>
      </c>
      <c r="H2387" t="s">
        <v>2665</v>
      </c>
      <c r="I2387">
        <v>4460</v>
      </c>
      <c r="J2387">
        <v>4266</v>
      </c>
      <c r="K2387">
        <v>4070</v>
      </c>
      <c r="L2387">
        <v>3918</v>
      </c>
      <c r="M2387">
        <v>3984</v>
      </c>
      <c r="N2387" t="s">
        <v>988</v>
      </c>
    </row>
    <row r="2388" spans="1:14" hidden="1" x14ac:dyDescent="0.3">
      <c r="A2388">
        <v>1554</v>
      </c>
      <c r="B2388" t="s">
        <v>1694</v>
      </c>
      <c r="C2388" t="s">
        <v>2670</v>
      </c>
      <c r="D2388" t="s">
        <v>1203</v>
      </c>
      <c r="E2388" t="s">
        <v>1204</v>
      </c>
      <c r="F2388">
        <v>5469</v>
      </c>
      <c r="G2388" t="s">
        <v>2675</v>
      </c>
      <c r="H2388" t="s">
        <v>2664</v>
      </c>
      <c r="I2388">
        <v>4460</v>
      </c>
      <c r="J2388">
        <v>4266</v>
      </c>
      <c r="K2388">
        <v>4070</v>
      </c>
      <c r="L2388">
        <v>3918</v>
      </c>
      <c r="M2388">
        <v>3984</v>
      </c>
      <c r="N2388" t="s">
        <v>988</v>
      </c>
    </row>
    <row r="2389" spans="1:14" hidden="1" x14ac:dyDescent="0.3">
      <c r="A2389">
        <v>1554</v>
      </c>
      <c r="B2389" t="s">
        <v>1694</v>
      </c>
      <c r="C2389" t="s">
        <v>2670</v>
      </c>
      <c r="D2389" t="s">
        <v>1203</v>
      </c>
      <c r="E2389" t="s">
        <v>1204</v>
      </c>
      <c r="F2389">
        <v>5469</v>
      </c>
      <c r="G2389" t="s">
        <v>2673</v>
      </c>
      <c r="H2389" t="s">
        <v>2665</v>
      </c>
      <c r="I2389">
        <v>4014</v>
      </c>
      <c r="J2389">
        <v>3839</v>
      </c>
      <c r="K2389">
        <v>3663</v>
      </c>
      <c r="L2389">
        <v>3330</v>
      </c>
      <c r="M2389">
        <v>3386</v>
      </c>
      <c r="N2389" t="s">
        <v>988</v>
      </c>
    </row>
    <row r="2390" spans="1:14" hidden="1" x14ac:dyDescent="0.3">
      <c r="A2390">
        <v>1570</v>
      </c>
      <c r="B2390" t="s">
        <v>1697</v>
      </c>
      <c r="C2390" t="s">
        <v>2670</v>
      </c>
      <c r="D2390" t="s">
        <v>159</v>
      </c>
      <c r="E2390" t="s">
        <v>159</v>
      </c>
      <c r="F2390">
        <v>6877</v>
      </c>
      <c r="G2390" t="s">
        <v>2672</v>
      </c>
      <c r="H2390" t="s">
        <v>2665</v>
      </c>
      <c r="I2390">
        <v>2040.8104202500001</v>
      </c>
      <c r="J2390">
        <v>2142.0837193000002</v>
      </c>
      <c r="K2390">
        <v>2255.6325697500001</v>
      </c>
      <c r="L2390">
        <v>2369.1814202</v>
      </c>
      <c r="N2390" t="s">
        <v>988</v>
      </c>
    </row>
    <row r="2391" spans="1:14" hidden="1" x14ac:dyDescent="0.3">
      <c r="A2391">
        <v>1570</v>
      </c>
      <c r="B2391" t="s">
        <v>1697</v>
      </c>
      <c r="C2391" t="s">
        <v>2670</v>
      </c>
      <c r="D2391" t="s">
        <v>159</v>
      </c>
      <c r="E2391" t="s">
        <v>159</v>
      </c>
      <c r="F2391">
        <v>6877</v>
      </c>
      <c r="G2391" t="s">
        <v>2672</v>
      </c>
      <c r="H2391" t="s">
        <v>2664</v>
      </c>
      <c r="I2391">
        <v>2912.37456965</v>
      </c>
      <c r="J2391">
        <v>2912.37456965</v>
      </c>
      <c r="K2391">
        <v>2912.37456965</v>
      </c>
      <c r="L2391">
        <v>2912.37456965</v>
      </c>
      <c r="N2391" t="s">
        <v>988</v>
      </c>
    </row>
    <row r="2392" spans="1:14" hidden="1" x14ac:dyDescent="0.3">
      <c r="A2392">
        <v>1570</v>
      </c>
      <c r="B2392" t="s">
        <v>1697</v>
      </c>
      <c r="C2392" t="s">
        <v>2670</v>
      </c>
      <c r="D2392" t="s">
        <v>159</v>
      </c>
      <c r="E2392" t="s">
        <v>159</v>
      </c>
      <c r="F2392">
        <v>6877</v>
      </c>
      <c r="G2392" t="s">
        <v>2671</v>
      </c>
      <c r="H2392" t="s">
        <v>2665</v>
      </c>
      <c r="I2392">
        <v>2040.8104202500001</v>
      </c>
      <c r="J2392">
        <v>2142.0837193000002</v>
      </c>
      <c r="K2392">
        <v>2255.6325697500001</v>
      </c>
      <c r="L2392">
        <v>2369.1814202</v>
      </c>
      <c r="N2392" t="s">
        <v>988</v>
      </c>
    </row>
    <row r="2393" spans="1:14" hidden="1" x14ac:dyDescent="0.3">
      <c r="A2393">
        <v>1570</v>
      </c>
      <c r="B2393" t="s">
        <v>1697</v>
      </c>
      <c r="C2393" t="s">
        <v>2670</v>
      </c>
      <c r="D2393" t="s">
        <v>159</v>
      </c>
      <c r="E2393" t="s">
        <v>159</v>
      </c>
      <c r="F2393">
        <v>6877</v>
      </c>
      <c r="G2393" t="s">
        <v>2671</v>
      </c>
      <c r="H2393" t="s">
        <v>2664</v>
      </c>
      <c r="I2393">
        <v>2912.37456965</v>
      </c>
      <c r="J2393">
        <v>2912.37456965</v>
      </c>
      <c r="K2393">
        <v>2912.37456965</v>
      </c>
      <c r="L2393">
        <v>2912.37456965</v>
      </c>
      <c r="N2393" t="s">
        <v>988</v>
      </c>
    </row>
    <row r="2394" spans="1:14" hidden="1" x14ac:dyDescent="0.3">
      <c r="A2394">
        <v>1570</v>
      </c>
      <c r="B2394" t="s">
        <v>1697</v>
      </c>
      <c r="C2394" t="s">
        <v>2670</v>
      </c>
      <c r="D2394" t="s">
        <v>159</v>
      </c>
      <c r="E2394" t="s">
        <v>159</v>
      </c>
      <c r="F2394">
        <v>6877</v>
      </c>
      <c r="G2394" t="s">
        <v>2673</v>
      </c>
      <c r="H2394" t="s">
        <v>2665</v>
      </c>
      <c r="I2394">
        <v>2040.8104202500001</v>
      </c>
      <c r="J2394">
        <v>2142.0837193000002</v>
      </c>
      <c r="K2394">
        <v>2255.6325697500001</v>
      </c>
      <c r="L2394">
        <v>2369.1814202</v>
      </c>
      <c r="N2394" t="s">
        <v>988</v>
      </c>
    </row>
    <row r="2395" spans="1:14" hidden="1" x14ac:dyDescent="0.3">
      <c r="A2395">
        <v>1570</v>
      </c>
      <c r="B2395" t="s">
        <v>1697</v>
      </c>
      <c r="C2395" t="s">
        <v>2670</v>
      </c>
      <c r="D2395" t="s">
        <v>159</v>
      </c>
      <c r="E2395" t="s">
        <v>159</v>
      </c>
      <c r="F2395">
        <v>6877</v>
      </c>
      <c r="G2395" t="s">
        <v>2676</v>
      </c>
      <c r="H2395" t="s">
        <v>2664</v>
      </c>
      <c r="I2395">
        <v>2912.37456965</v>
      </c>
      <c r="J2395">
        <v>2912.37456965</v>
      </c>
      <c r="K2395">
        <v>2912.37456965</v>
      </c>
      <c r="L2395">
        <v>2912.37456965</v>
      </c>
      <c r="N2395" t="s">
        <v>988</v>
      </c>
    </row>
    <row r="2396" spans="1:14" hidden="1" x14ac:dyDescent="0.3">
      <c r="A2396">
        <v>1570</v>
      </c>
      <c r="B2396" t="s">
        <v>1697</v>
      </c>
      <c r="C2396" t="s">
        <v>2670</v>
      </c>
      <c r="D2396" t="s">
        <v>159</v>
      </c>
      <c r="E2396" t="s">
        <v>159</v>
      </c>
      <c r="F2396">
        <v>6877</v>
      </c>
      <c r="G2396" t="s">
        <v>2674</v>
      </c>
      <c r="H2396" t="s">
        <v>2665</v>
      </c>
      <c r="I2396">
        <v>2040.8104202500001</v>
      </c>
      <c r="J2396">
        <v>2142.0837193000002</v>
      </c>
      <c r="K2396">
        <v>2255.6325697500001</v>
      </c>
      <c r="L2396">
        <v>2369.1814202</v>
      </c>
      <c r="N2396" t="s">
        <v>988</v>
      </c>
    </row>
    <row r="2397" spans="1:14" hidden="1" x14ac:dyDescent="0.3">
      <c r="A2397">
        <v>1570</v>
      </c>
      <c r="B2397" t="s">
        <v>1697</v>
      </c>
      <c r="C2397" t="s">
        <v>2670</v>
      </c>
      <c r="D2397" t="s">
        <v>159</v>
      </c>
      <c r="E2397" t="s">
        <v>159</v>
      </c>
      <c r="F2397">
        <v>6877</v>
      </c>
      <c r="G2397" t="s">
        <v>2674</v>
      </c>
      <c r="H2397" t="s">
        <v>2664</v>
      </c>
      <c r="I2397">
        <v>2912.37456965</v>
      </c>
      <c r="J2397">
        <v>2912.37456965</v>
      </c>
      <c r="K2397">
        <v>2912.37456965</v>
      </c>
      <c r="L2397">
        <v>2912.37456965</v>
      </c>
      <c r="N2397" t="s">
        <v>988</v>
      </c>
    </row>
    <row r="2398" spans="1:14" hidden="1" x14ac:dyDescent="0.3">
      <c r="A2398">
        <v>1570</v>
      </c>
      <c r="B2398" t="s">
        <v>1697</v>
      </c>
      <c r="C2398" t="s">
        <v>2670</v>
      </c>
      <c r="D2398" t="s">
        <v>159</v>
      </c>
      <c r="E2398" t="s">
        <v>159</v>
      </c>
      <c r="F2398">
        <v>6877</v>
      </c>
      <c r="G2398" t="s">
        <v>2675</v>
      </c>
      <c r="H2398" t="s">
        <v>2665</v>
      </c>
      <c r="I2398">
        <v>2040.8104202500001</v>
      </c>
      <c r="J2398">
        <v>2142.0837193000002</v>
      </c>
      <c r="K2398">
        <v>2255.6325697500001</v>
      </c>
      <c r="L2398">
        <v>2369.1814202</v>
      </c>
      <c r="N2398" t="s">
        <v>988</v>
      </c>
    </row>
    <row r="2399" spans="1:14" hidden="1" x14ac:dyDescent="0.3">
      <c r="A2399">
        <v>1570</v>
      </c>
      <c r="B2399" t="s">
        <v>1697</v>
      </c>
      <c r="C2399" t="s">
        <v>2670</v>
      </c>
      <c r="D2399" t="s">
        <v>159</v>
      </c>
      <c r="E2399" t="s">
        <v>159</v>
      </c>
      <c r="F2399">
        <v>6877</v>
      </c>
      <c r="G2399" t="s">
        <v>2675</v>
      </c>
      <c r="H2399" t="s">
        <v>2664</v>
      </c>
      <c r="I2399">
        <v>2912.37456965</v>
      </c>
      <c r="J2399">
        <v>2912.37456965</v>
      </c>
      <c r="K2399">
        <v>2912.37456965</v>
      </c>
      <c r="L2399">
        <v>2912.37456965</v>
      </c>
      <c r="N2399" t="s">
        <v>988</v>
      </c>
    </row>
    <row r="2400" spans="1:14" hidden="1" x14ac:dyDescent="0.3">
      <c r="A2400">
        <v>1570</v>
      </c>
      <c r="B2400" t="s">
        <v>1697</v>
      </c>
      <c r="C2400" t="s">
        <v>2670</v>
      </c>
      <c r="D2400" t="s">
        <v>159</v>
      </c>
      <c r="E2400" t="s">
        <v>159</v>
      </c>
      <c r="F2400">
        <v>6877</v>
      </c>
      <c r="G2400" t="s">
        <v>2676</v>
      </c>
      <c r="H2400" t="s">
        <v>2665</v>
      </c>
      <c r="I2400">
        <v>2040.8104202500001</v>
      </c>
      <c r="J2400">
        <v>2142.0837193000002</v>
      </c>
      <c r="K2400">
        <v>2255.6325697500001</v>
      </c>
      <c r="L2400">
        <v>2369.1814202</v>
      </c>
      <c r="N2400" t="s">
        <v>988</v>
      </c>
    </row>
    <row r="2401" spans="1:14" hidden="1" x14ac:dyDescent="0.3">
      <c r="A2401">
        <v>1570</v>
      </c>
      <c r="B2401" t="s">
        <v>1697</v>
      </c>
      <c r="C2401" t="s">
        <v>2670</v>
      </c>
      <c r="D2401" t="s">
        <v>159</v>
      </c>
      <c r="E2401" t="s">
        <v>159</v>
      </c>
      <c r="F2401">
        <v>6877</v>
      </c>
      <c r="G2401" t="s">
        <v>2673</v>
      </c>
      <c r="H2401" t="s">
        <v>2664</v>
      </c>
      <c r="I2401">
        <v>2912.37456965</v>
      </c>
      <c r="J2401">
        <v>2912.37456965</v>
      </c>
      <c r="K2401">
        <v>2912.37456965</v>
      </c>
      <c r="L2401">
        <v>2912.37456965</v>
      </c>
      <c r="N2401" t="s">
        <v>988</v>
      </c>
    </row>
    <row r="2402" spans="1:14" hidden="1" x14ac:dyDescent="0.3">
      <c r="A2402">
        <v>1587</v>
      </c>
      <c r="B2402" t="s">
        <v>1699</v>
      </c>
      <c r="C2402" t="s">
        <v>2670</v>
      </c>
      <c r="D2402" t="s">
        <v>159</v>
      </c>
      <c r="E2402" t="s">
        <v>159</v>
      </c>
      <c r="F2402">
        <v>7799</v>
      </c>
      <c r="G2402" t="s">
        <v>2673</v>
      </c>
      <c r="H2402" t="s">
        <v>2665</v>
      </c>
      <c r="I2402">
        <v>3977.2786535999999</v>
      </c>
      <c r="J2402">
        <v>4127.6541582500004</v>
      </c>
      <c r="K2402">
        <v>4327.1318684999997</v>
      </c>
      <c r="L2402">
        <v>4552.0291768115503</v>
      </c>
      <c r="N2402" t="s">
        <v>988</v>
      </c>
    </row>
    <row r="2403" spans="1:14" hidden="1" x14ac:dyDescent="0.3">
      <c r="A2403">
        <v>1587</v>
      </c>
      <c r="B2403" t="s">
        <v>1699</v>
      </c>
      <c r="C2403" t="s">
        <v>2670</v>
      </c>
      <c r="D2403" t="s">
        <v>159</v>
      </c>
      <c r="E2403" t="s">
        <v>159</v>
      </c>
      <c r="F2403">
        <v>7799</v>
      </c>
      <c r="G2403" t="s">
        <v>2673</v>
      </c>
      <c r="H2403" t="s">
        <v>2664</v>
      </c>
      <c r="I2403">
        <v>2332.3547659999999</v>
      </c>
      <c r="J2403">
        <v>2620.8302239</v>
      </c>
      <c r="K2403">
        <v>2722.1035229499998</v>
      </c>
      <c r="L2403">
        <v>2552.5474692375001</v>
      </c>
      <c r="N2403" t="s">
        <v>988</v>
      </c>
    </row>
    <row r="2404" spans="1:14" hidden="1" x14ac:dyDescent="0.3">
      <c r="A2404">
        <v>1587</v>
      </c>
      <c r="B2404" t="s">
        <v>1699</v>
      </c>
      <c r="C2404" t="s">
        <v>2670</v>
      </c>
      <c r="D2404" t="s">
        <v>159</v>
      </c>
      <c r="E2404" t="s">
        <v>159</v>
      </c>
      <c r="F2404">
        <v>7799</v>
      </c>
      <c r="G2404" t="s">
        <v>2674</v>
      </c>
      <c r="H2404" t="s">
        <v>2665</v>
      </c>
      <c r="I2404">
        <v>3977.2786535999999</v>
      </c>
      <c r="J2404">
        <v>4127.6541582500004</v>
      </c>
      <c r="K2404">
        <v>4327.1318684999997</v>
      </c>
      <c r="L2404">
        <v>4552.0813479050003</v>
      </c>
      <c r="N2404" t="s">
        <v>988</v>
      </c>
    </row>
    <row r="2405" spans="1:14" hidden="1" x14ac:dyDescent="0.3">
      <c r="A2405">
        <v>1587</v>
      </c>
      <c r="B2405" t="s">
        <v>1699</v>
      </c>
      <c r="C2405" t="s">
        <v>2670</v>
      </c>
      <c r="D2405" t="s">
        <v>159</v>
      </c>
      <c r="E2405" t="s">
        <v>159</v>
      </c>
      <c r="F2405">
        <v>7799</v>
      </c>
      <c r="G2405" t="s">
        <v>2674</v>
      </c>
      <c r="H2405" t="s">
        <v>2664</v>
      </c>
      <c r="I2405">
        <v>2332.3547659999999</v>
      </c>
      <c r="J2405">
        <v>2620.8302239</v>
      </c>
      <c r="K2405">
        <v>2722.1035229499998</v>
      </c>
      <c r="L2405">
        <v>2843.9383705949999</v>
      </c>
      <c r="N2405" t="s">
        <v>988</v>
      </c>
    </row>
    <row r="2406" spans="1:14" hidden="1" x14ac:dyDescent="0.3">
      <c r="A2406">
        <v>1587</v>
      </c>
      <c r="B2406" t="s">
        <v>1699</v>
      </c>
      <c r="C2406" t="s">
        <v>2670</v>
      </c>
      <c r="D2406" t="s">
        <v>159</v>
      </c>
      <c r="E2406" t="s">
        <v>159</v>
      </c>
      <c r="F2406">
        <v>7799</v>
      </c>
      <c r="G2406" t="s">
        <v>2675</v>
      </c>
      <c r="H2406" t="s">
        <v>2665</v>
      </c>
      <c r="I2406">
        <v>3977.2786535999999</v>
      </c>
      <c r="J2406">
        <v>4127.6541582500004</v>
      </c>
      <c r="K2406">
        <v>4327.1318684999997</v>
      </c>
      <c r="L2406">
        <v>4552.0813479050003</v>
      </c>
      <c r="N2406" t="s">
        <v>988</v>
      </c>
    </row>
    <row r="2407" spans="1:14" hidden="1" x14ac:dyDescent="0.3">
      <c r="A2407">
        <v>1587</v>
      </c>
      <c r="B2407" t="s">
        <v>1699</v>
      </c>
      <c r="C2407" t="s">
        <v>2670</v>
      </c>
      <c r="D2407" t="s">
        <v>159</v>
      </c>
      <c r="E2407" t="s">
        <v>159</v>
      </c>
      <c r="F2407">
        <v>7799</v>
      </c>
      <c r="G2407" t="s">
        <v>2671</v>
      </c>
      <c r="H2407" t="s">
        <v>2665</v>
      </c>
      <c r="I2407">
        <v>3975.8362763105001</v>
      </c>
      <c r="J2407">
        <v>4126.8562474090004</v>
      </c>
      <c r="K2407">
        <v>4325.9656911169996</v>
      </c>
      <c r="L2407">
        <v>4552.0199701479996</v>
      </c>
      <c r="N2407" t="s">
        <v>988</v>
      </c>
    </row>
    <row r="2408" spans="1:14" hidden="1" x14ac:dyDescent="0.3">
      <c r="A2408">
        <v>1587</v>
      </c>
      <c r="B2408" t="s">
        <v>1699</v>
      </c>
      <c r="C2408" t="s">
        <v>2670</v>
      </c>
      <c r="D2408" t="s">
        <v>159</v>
      </c>
      <c r="E2408" t="s">
        <v>159</v>
      </c>
      <c r="F2408">
        <v>7799</v>
      </c>
      <c r="G2408" t="s">
        <v>2675</v>
      </c>
      <c r="H2408" t="s">
        <v>2664</v>
      </c>
      <c r="I2408">
        <v>2332.3547659999999</v>
      </c>
      <c r="J2408">
        <v>2620.8302239</v>
      </c>
      <c r="K2408">
        <v>2722.1035229499998</v>
      </c>
      <c r="L2408">
        <v>2843.9383705949999</v>
      </c>
      <c r="N2408" t="s">
        <v>988</v>
      </c>
    </row>
    <row r="2409" spans="1:14" hidden="1" x14ac:dyDescent="0.3">
      <c r="A2409">
        <v>1587</v>
      </c>
      <c r="B2409" t="s">
        <v>1699</v>
      </c>
      <c r="C2409" t="s">
        <v>2670</v>
      </c>
      <c r="D2409" t="s">
        <v>159</v>
      </c>
      <c r="E2409" t="s">
        <v>159</v>
      </c>
      <c r="F2409">
        <v>7799</v>
      </c>
      <c r="G2409" t="s">
        <v>2676</v>
      </c>
      <c r="H2409" t="s">
        <v>2665</v>
      </c>
      <c r="I2409">
        <v>3977.2786535999999</v>
      </c>
      <c r="J2409">
        <v>4127.6541582500004</v>
      </c>
      <c r="K2409">
        <v>4327.1318684999997</v>
      </c>
      <c r="L2409">
        <v>4552.0813479050003</v>
      </c>
      <c r="N2409" t="s">
        <v>988</v>
      </c>
    </row>
    <row r="2410" spans="1:14" hidden="1" x14ac:dyDescent="0.3">
      <c r="A2410">
        <v>1587</v>
      </c>
      <c r="B2410" t="s">
        <v>1699</v>
      </c>
      <c r="C2410" t="s">
        <v>2670</v>
      </c>
      <c r="D2410" t="s">
        <v>159</v>
      </c>
      <c r="E2410" t="s">
        <v>159</v>
      </c>
      <c r="F2410">
        <v>7799</v>
      </c>
      <c r="G2410" t="s">
        <v>2676</v>
      </c>
      <c r="H2410" t="s">
        <v>2664</v>
      </c>
      <c r="I2410">
        <v>2691.4146444500002</v>
      </c>
      <c r="J2410">
        <v>3001.3723172999998</v>
      </c>
      <c r="K2410">
        <v>3124.1278312999998</v>
      </c>
      <c r="L2410">
        <v>3258.2382303449999</v>
      </c>
      <c r="N2410" t="s">
        <v>988</v>
      </c>
    </row>
    <row r="2411" spans="1:14" hidden="1" x14ac:dyDescent="0.3">
      <c r="A2411">
        <v>1587</v>
      </c>
      <c r="B2411" t="s">
        <v>1699</v>
      </c>
      <c r="C2411" t="s">
        <v>2670</v>
      </c>
      <c r="D2411" t="s">
        <v>159</v>
      </c>
      <c r="E2411" t="s">
        <v>159</v>
      </c>
      <c r="F2411">
        <v>7799</v>
      </c>
      <c r="G2411" t="s">
        <v>2672</v>
      </c>
      <c r="H2411" t="s">
        <v>2665</v>
      </c>
      <c r="N2411" t="s">
        <v>988</v>
      </c>
    </row>
    <row r="2412" spans="1:14" hidden="1" x14ac:dyDescent="0.3">
      <c r="A2412">
        <v>1587</v>
      </c>
      <c r="B2412" t="s">
        <v>1699</v>
      </c>
      <c r="C2412" t="s">
        <v>2670</v>
      </c>
      <c r="D2412" t="s">
        <v>159</v>
      </c>
      <c r="E2412" t="s">
        <v>159</v>
      </c>
      <c r="F2412">
        <v>7799</v>
      </c>
      <c r="G2412" t="s">
        <v>2672</v>
      </c>
      <c r="H2412" t="s">
        <v>2664</v>
      </c>
      <c r="N2412" t="s">
        <v>988</v>
      </c>
    </row>
    <row r="2413" spans="1:14" hidden="1" x14ac:dyDescent="0.3">
      <c r="A2413">
        <v>1587</v>
      </c>
      <c r="B2413" t="s">
        <v>1699</v>
      </c>
      <c r="C2413" t="s">
        <v>2670</v>
      </c>
      <c r="D2413" t="s">
        <v>159</v>
      </c>
      <c r="E2413" t="s">
        <v>159</v>
      </c>
      <c r="F2413">
        <v>7799</v>
      </c>
      <c r="G2413" t="s">
        <v>2671</v>
      </c>
      <c r="H2413" t="s">
        <v>2664</v>
      </c>
      <c r="I2413">
        <v>2331.5875440374998</v>
      </c>
      <c r="J2413">
        <v>2619.7561131524999</v>
      </c>
      <c r="K2413">
        <v>2530.1445879325001</v>
      </c>
      <c r="L2413">
        <v>2552.5474692375001</v>
      </c>
      <c r="N2413" t="s">
        <v>988</v>
      </c>
    </row>
    <row r="2414" spans="1:14" hidden="1" x14ac:dyDescent="0.3">
      <c r="A2414">
        <v>1589</v>
      </c>
      <c r="B2414" t="s">
        <v>1703</v>
      </c>
      <c r="C2414" t="s">
        <v>2670</v>
      </c>
      <c r="D2414" t="s">
        <v>1203</v>
      </c>
      <c r="E2414" t="s">
        <v>1204</v>
      </c>
      <c r="F2414">
        <v>5456</v>
      </c>
      <c r="G2414" t="s">
        <v>2676</v>
      </c>
      <c r="H2414" t="s">
        <v>2665</v>
      </c>
      <c r="I2414">
        <v>26860</v>
      </c>
      <c r="J2414">
        <v>29426</v>
      </c>
      <c r="K2414">
        <v>31895</v>
      </c>
      <c r="L2414">
        <v>35008</v>
      </c>
      <c r="N2414" t="s">
        <v>988</v>
      </c>
    </row>
    <row r="2415" spans="1:14" hidden="1" x14ac:dyDescent="0.3">
      <c r="A2415">
        <v>1589</v>
      </c>
      <c r="B2415" t="s">
        <v>1703</v>
      </c>
      <c r="C2415" t="s">
        <v>2670</v>
      </c>
      <c r="D2415" t="s">
        <v>1203</v>
      </c>
      <c r="E2415" t="s">
        <v>1204</v>
      </c>
      <c r="F2415">
        <v>5456</v>
      </c>
      <c r="G2415" t="s">
        <v>2676</v>
      </c>
      <c r="H2415" t="s">
        <v>2664</v>
      </c>
      <c r="I2415">
        <v>26860</v>
      </c>
      <c r="J2415">
        <v>29426</v>
      </c>
      <c r="K2415">
        <v>31895</v>
      </c>
      <c r="L2415">
        <v>35008</v>
      </c>
      <c r="N2415" t="s">
        <v>988</v>
      </c>
    </row>
    <row r="2416" spans="1:14" hidden="1" x14ac:dyDescent="0.3">
      <c r="A2416">
        <v>1589</v>
      </c>
      <c r="B2416" t="s">
        <v>1703</v>
      </c>
      <c r="C2416" t="s">
        <v>2670</v>
      </c>
      <c r="D2416" t="s">
        <v>1203</v>
      </c>
      <c r="E2416" t="s">
        <v>1204</v>
      </c>
      <c r="F2416">
        <v>5456</v>
      </c>
      <c r="G2416" t="s">
        <v>2675</v>
      </c>
      <c r="H2416" t="s">
        <v>2664</v>
      </c>
      <c r="I2416">
        <v>29301</v>
      </c>
      <c r="J2416">
        <v>32101</v>
      </c>
      <c r="K2416">
        <v>34794</v>
      </c>
      <c r="L2416">
        <v>38190</v>
      </c>
      <c r="N2416" t="s">
        <v>988</v>
      </c>
    </row>
    <row r="2417" spans="1:14" hidden="1" x14ac:dyDescent="0.3">
      <c r="A2417">
        <v>1589</v>
      </c>
      <c r="B2417" t="s">
        <v>1703</v>
      </c>
      <c r="C2417" t="s">
        <v>2670</v>
      </c>
      <c r="D2417" t="s">
        <v>1203</v>
      </c>
      <c r="E2417" t="s">
        <v>1204</v>
      </c>
      <c r="F2417">
        <v>5456</v>
      </c>
      <c r="G2417" t="s">
        <v>2675</v>
      </c>
      <c r="H2417" t="s">
        <v>2665</v>
      </c>
      <c r="I2417">
        <v>29301</v>
      </c>
      <c r="J2417">
        <v>32101</v>
      </c>
      <c r="K2417">
        <v>34794</v>
      </c>
      <c r="L2417">
        <v>38190</v>
      </c>
      <c r="N2417" t="s">
        <v>988</v>
      </c>
    </row>
    <row r="2418" spans="1:14" hidden="1" x14ac:dyDescent="0.3">
      <c r="A2418">
        <v>1589</v>
      </c>
      <c r="B2418" t="s">
        <v>1703</v>
      </c>
      <c r="C2418" t="s">
        <v>2670</v>
      </c>
      <c r="D2418" t="s">
        <v>1203</v>
      </c>
      <c r="E2418" t="s">
        <v>1204</v>
      </c>
      <c r="F2418">
        <v>5456</v>
      </c>
      <c r="G2418" t="s">
        <v>2674</v>
      </c>
      <c r="H2418" t="s">
        <v>2664</v>
      </c>
      <c r="I2418">
        <v>26860</v>
      </c>
      <c r="J2418">
        <v>29426</v>
      </c>
      <c r="K2418">
        <v>31895</v>
      </c>
      <c r="L2418">
        <v>35008</v>
      </c>
      <c r="N2418" t="s">
        <v>988</v>
      </c>
    </row>
    <row r="2419" spans="1:14" hidden="1" x14ac:dyDescent="0.3">
      <c r="A2419">
        <v>1589</v>
      </c>
      <c r="B2419" t="s">
        <v>1703</v>
      </c>
      <c r="C2419" t="s">
        <v>2670</v>
      </c>
      <c r="D2419" t="s">
        <v>1203</v>
      </c>
      <c r="E2419" t="s">
        <v>1204</v>
      </c>
      <c r="F2419">
        <v>5456</v>
      </c>
      <c r="G2419" t="s">
        <v>2674</v>
      </c>
      <c r="H2419" t="s">
        <v>2665</v>
      </c>
      <c r="I2419">
        <v>26860</v>
      </c>
      <c r="J2419">
        <v>29426</v>
      </c>
      <c r="K2419">
        <v>31895</v>
      </c>
      <c r="L2419">
        <v>35008</v>
      </c>
      <c r="N2419" t="s">
        <v>988</v>
      </c>
    </row>
    <row r="2420" spans="1:14" hidden="1" x14ac:dyDescent="0.3">
      <c r="A2420">
        <v>1589</v>
      </c>
      <c r="B2420" t="s">
        <v>1703</v>
      </c>
      <c r="C2420" t="s">
        <v>2670</v>
      </c>
      <c r="D2420" t="s">
        <v>1203</v>
      </c>
      <c r="E2420" t="s">
        <v>1204</v>
      </c>
      <c r="F2420">
        <v>5456</v>
      </c>
      <c r="G2420" t="s">
        <v>2673</v>
      </c>
      <c r="H2420" t="s">
        <v>2664</v>
      </c>
      <c r="I2420">
        <v>19534</v>
      </c>
      <c r="J2420">
        <v>21401</v>
      </c>
      <c r="K2420">
        <v>23196</v>
      </c>
      <c r="L2420">
        <v>25460</v>
      </c>
      <c r="N2420" t="s">
        <v>988</v>
      </c>
    </row>
    <row r="2421" spans="1:14" hidden="1" x14ac:dyDescent="0.3">
      <c r="A2421">
        <v>1589</v>
      </c>
      <c r="B2421" t="s">
        <v>1703</v>
      </c>
      <c r="C2421" t="s">
        <v>2670</v>
      </c>
      <c r="D2421" t="s">
        <v>1203</v>
      </c>
      <c r="E2421" t="s">
        <v>1204</v>
      </c>
      <c r="F2421">
        <v>5456</v>
      </c>
      <c r="G2421" t="s">
        <v>2673</v>
      </c>
      <c r="H2421" t="s">
        <v>2665</v>
      </c>
      <c r="I2421">
        <v>19534</v>
      </c>
      <c r="J2421">
        <v>21401</v>
      </c>
      <c r="K2421">
        <v>23196</v>
      </c>
      <c r="L2421">
        <v>25460</v>
      </c>
      <c r="N2421" t="s">
        <v>988</v>
      </c>
    </row>
    <row r="2422" spans="1:14" hidden="1" x14ac:dyDescent="0.3">
      <c r="A2422">
        <v>1589</v>
      </c>
      <c r="B2422" t="s">
        <v>1703</v>
      </c>
      <c r="C2422" t="s">
        <v>2670</v>
      </c>
      <c r="D2422" t="s">
        <v>1203</v>
      </c>
      <c r="E2422" t="s">
        <v>1204</v>
      </c>
      <c r="F2422">
        <v>5456</v>
      </c>
      <c r="G2422" t="s">
        <v>2671</v>
      </c>
      <c r="H2422" t="s">
        <v>2664</v>
      </c>
      <c r="I2422">
        <v>19534</v>
      </c>
      <c r="J2422">
        <v>21401</v>
      </c>
      <c r="K2422">
        <v>23196</v>
      </c>
      <c r="L2422">
        <v>25460</v>
      </c>
      <c r="N2422" t="s">
        <v>988</v>
      </c>
    </row>
    <row r="2423" spans="1:14" hidden="1" x14ac:dyDescent="0.3">
      <c r="A2423">
        <v>1589</v>
      </c>
      <c r="B2423" t="s">
        <v>1703</v>
      </c>
      <c r="C2423" t="s">
        <v>2670</v>
      </c>
      <c r="D2423" t="s">
        <v>1203</v>
      </c>
      <c r="E2423" t="s">
        <v>1204</v>
      </c>
      <c r="F2423">
        <v>5456</v>
      </c>
      <c r="G2423" t="s">
        <v>2671</v>
      </c>
      <c r="H2423" t="s">
        <v>2665</v>
      </c>
      <c r="I2423">
        <v>19534</v>
      </c>
      <c r="J2423">
        <v>21401</v>
      </c>
      <c r="K2423">
        <v>23196</v>
      </c>
      <c r="L2423">
        <v>25460</v>
      </c>
      <c r="N2423" t="s">
        <v>988</v>
      </c>
    </row>
    <row r="2424" spans="1:14" hidden="1" x14ac:dyDescent="0.3">
      <c r="A2424">
        <v>1589</v>
      </c>
      <c r="B2424" t="s">
        <v>1703</v>
      </c>
      <c r="C2424" t="s">
        <v>2670</v>
      </c>
      <c r="D2424" t="s">
        <v>1203</v>
      </c>
      <c r="E2424" t="s">
        <v>1204</v>
      </c>
      <c r="F2424">
        <v>5456</v>
      </c>
      <c r="G2424" t="s">
        <v>2672</v>
      </c>
      <c r="H2424" t="s">
        <v>2664</v>
      </c>
      <c r="N2424" t="s">
        <v>988</v>
      </c>
    </row>
    <row r="2425" spans="1:14" hidden="1" x14ac:dyDescent="0.3">
      <c r="A2425">
        <v>1589</v>
      </c>
      <c r="B2425" t="s">
        <v>1703</v>
      </c>
      <c r="C2425" t="s">
        <v>2670</v>
      </c>
      <c r="D2425" t="s">
        <v>1203</v>
      </c>
      <c r="E2425" t="s">
        <v>1204</v>
      </c>
      <c r="F2425">
        <v>5456</v>
      </c>
      <c r="G2425" t="s">
        <v>2672</v>
      </c>
      <c r="H2425" t="s">
        <v>2665</v>
      </c>
      <c r="N2425" t="s">
        <v>988</v>
      </c>
    </row>
    <row r="2426" spans="1:14" hidden="1" x14ac:dyDescent="0.3">
      <c r="A2426">
        <v>1596</v>
      </c>
      <c r="B2426" t="s">
        <v>1704</v>
      </c>
      <c r="C2426" t="s">
        <v>2670</v>
      </c>
      <c r="D2426" t="s">
        <v>1203</v>
      </c>
      <c r="E2426" t="s">
        <v>1204</v>
      </c>
      <c r="F2426">
        <v>5615</v>
      </c>
      <c r="G2426" t="s">
        <v>2676</v>
      </c>
      <c r="H2426" t="s">
        <v>2664</v>
      </c>
      <c r="I2426">
        <v>18182</v>
      </c>
      <c r="J2426">
        <v>18852</v>
      </c>
      <c r="K2426">
        <v>20466</v>
      </c>
      <c r="L2426">
        <v>21387</v>
      </c>
      <c r="M2426">
        <v>21784</v>
      </c>
      <c r="N2426" t="s">
        <v>988</v>
      </c>
    </row>
    <row r="2427" spans="1:14" hidden="1" x14ac:dyDescent="0.3">
      <c r="A2427">
        <v>1596</v>
      </c>
      <c r="B2427" t="s">
        <v>1704</v>
      </c>
      <c r="C2427" t="s">
        <v>2670</v>
      </c>
      <c r="D2427" t="s">
        <v>1203</v>
      </c>
      <c r="E2427" t="s">
        <v>1204</v>
      </c>
      <c r="F2427">
        <v>5615</v>
      </c>
      <c r="G2427" t="s">
        <v>2676</v>
      </c>
      <c r="H2427" t="s">
        <v>2665</v>
      </c>
      <c r="I2427">
        <v>18182</v>
      </c>
      <c r="J2427">
        <v>18852</v>
      </c>
      <c r="K2427">
        <v>20466</v>
      </c>
      <c r="L2427">
        <v>21387</v>
      </c>
      <c r="M2427">
        <v>21784</v>
      </c>
      <c r="N2427" t="s">
        <v>988</v>
      </c>
    </row>
    <row r="2428" spans="1:14" hidden="1" x14ac:dyDescent="0.3">
      <c r="A2428">
        <v>1596</v>
      </c>
      <c r="B2428" t="s">
        <v>1704</v>
      </c>
      <c r="C2428" t="s">
        <v>2670</v>
      </c>
      <c r="D2428" t="s">
        <v>1203</v>
      </c>
      <c r="E2428" t="s">
        <v>1204</v>
      </c>
      <c r="F2428">
        <v>5615</v>
      </c>
      <c r="G2428" t="s">
        <v>2675</v>
      </c>
      <c r="H2428" t="s">
        <v>2664</v>
      </c>
      <c r="I2428">
        <v>18261</v>
      </c>
      <c r="J2428">
        <v>19203</v>
      </c>
      <c r="K2428">
        <v>20676</v>
      </c>
      <c r="L2428">
        <v>21466</v>
      </c>
      <c r="M2428">
        <v>21864</v>
      </c>
      <c r="N2428" t="s">
        <v>988</v>
      </c>
    </row>
    <row r="2429" spans="1:14" hidden="1" x14ac:dyDescent="0.3">
      <c r="A2429">
        <v>1596</v>
      </c>
      <c r="B2429" t="s">
        <v>1704</v>
      </c>
      <c r="C2429" t="s">
        <v>2670</v>
      </c>
      <c r="D2429" t="s">
        <v>1203</v>
      </c>
      <c r="E2429" t="s">
        <v>1204</v>
      </c>
      <c r="F2429">
        <v>5615</v>
      </c>
      <c r="G2429" t="s">
        <v>2675</v>
      </c>
      <c r="H2429" t="s">
        <v>2665</v>
      </c>
      <c r="I2429">
        <v>18261</v>
      </c>
      <c r="J2429">
        <v>19203</v>
      </c>
      <c r="K2429">
        <v>20676</v>
      </c>
      <c r="L2429">
        <v>21466</v>
      </c>
      <c r="M2429">
        <v>21864</v>
      </c>
      <c r="N2429" t="s">
        <v>988</v>
      </c>
    </row>
    <row r="2430" spans="1:14" hidden="1" x14ac:dyDescent="0.3">
      <c r="A2430">
        <v>1596</v>
      </c>
      <c r="B2430" t="s">
        <v>1704</v>
      </c>
      <c r="C2430" t="s">
        <v>2670</v>
      </c>
      <c r="D2430" t="s">
        <v>1203</v>
      </c>
      <c r="E2430" t="s">
        <v>1204</v>
      </c>
      <c r="F2430">
        <v>5615</v>
      </c>
      <c r="G2430" t="s">
        <v>2674</v>
      </c>
      <c r="H2430" t="s">
        <v>2664</v>
      </c>
      <c r="I2430">
        <v>18341</v>
      </c>
      <c r="J2430">
        <v>19554</v>
      </c>
      <c r="K2430">
        <v>20886</v>
      </c>
      <c r="L2430">
        <v>21546</v>
      </c>
      <c r="M2430">
        <v>21943</v>
      </c>
      <c r="N2430" t="s">
        <v>988</v>
      </c>
    </row>
    <row r="2431" spans="1:14" hidden="1" x14ac:dyDescent="0.3">
      <c r="A2431">
        <v>1596</v>
      </c>
      <c r="B2431" t="s">
        <v>1704</v>
      </c>
      <c r="C2431" t="s">
        <v>2670</v>
      </c>
      <c r="D2431" t="s">
        <v>1203</v>
      </c>
      <c r="E2431" t="s">
        <v>1204</v>
      </c>
      <c r="F2431">
        <v>5615</v>
      </c>
      <c r="G2431" t="s">
        <v>2672</v>
      </c>
      <c r="H2431" t="s">
        <v>2665</v>
      </c>
      <c r="N2431" t="s">
        <v>988</v>
      </c>
    </row>
    <row r="2432" spans="1:14" hidden="1" x14ac:dyDescent="0.3">
      <c r="A2432">
        <v>1596</v>
      </c>
      <c r="B2432" t="s">
        <v>1704</v>
      </c>
      <c r="C2432" t="s">
        <v>2670</v>
      </c>
      <c r="D2432" t="s">
        <v>1203</v>
      </c>
      <c r="E2432" t="s">
        <v>1204</v>
      </c>
      <c r="F2432">
        <v>5615</v>
      </c>
      <c r="G2432" t="s">
        <v>2673</v>
      </c>
      <c r="H2432" t="s">
        <v>2664</v>
      </c>
      <c r="I2432">
        <v>18421</v>
      </c>
      <c r="J2432">
        <v>19905</v>
      </c>
      <c r="K2432">
        <v>21097</v>
      </c>
      <c r="L2432">
        <v>21625</v>
      </c>
      <c r="M2432">
        <v>22023</v>
      </c>
      <c r="N2432" t="s">
        <v>988</v>
      </c>
    </row>
    <row r="2433" spans="1:14" hidden="1" x14ac:dyDescent="0.3">
      <c r="A2433">
        <v>1596</v>
      </c>
      <c r="B2433" t="s">
        <v>1704</v>
      </c>
      <c r="C2433" t="s">
        <v>2670</v>
      </c>
      <c r="D2433" t="s">
        <v>1203</v>
      </c>
      <c r="E2433" t="s">
        <v>1204</v>
      </c>
      <c r="F2433">
        <v>5615</v>
      </c>
      <c r="G2433" t="s">
        <v>2673</v>
      </c>
      <c r="H2433" t="s">
        <v>2665</v>
      </c>
      <c r="I2433">
        <v>18421</v>
      </c>
      <c r="J2433">
        <v>19905</v>
      </c>
      <c r="K2433">
        <v>21097</v>
      </c>
      <c r="L2433">
        <v>21625</v>
      </c>
      <c r="M2433">
        <v>22023</v>
      </c>
      <c r="N2433" t="s">
        <v>988</v>
      </c>
    </row>
    <row r="2434" spans="1:14" hidden="1" x14ac:dyDescent="0.3">
      <c r="A2434">
        <v>1596</v>
      </c>
      <c r="B2434" t="s">
        <v>1704</v>
      </c>
      <c r="C2434" t="s">
        <v>2670</v>
      </c>
      <c r="D2434" t="s">
        <v>1203</v>
      </c>
      <c r="E2434" t="s">
        <v>1204</v>
      </c>
      <c r="F2434">
        <v>5615</v>
      </c>
      <c r="G2434" t="s">
        <v>2671</v>
      </c>
      <c r="H2434" t="s">
        <v>2664</v>
      </c>
      <c r="I2434">
        <v>18501</v>
      </c>
      <c r="J2434">
        <v>20256</v>
      </c>
      <c r="K2434">
        <v>21307</v>
      </c>
      <c r="L2434">
        <v>21705</v>
      </c>
      <c r="M2434">
        <v>22102</v>
      </c>
      <c r="N2434" t="s">
        <v>988</v>
      </c>
    </row>
    <row r="2435" spans="1:14" hidden="1" x14ac:dyDescent="0.3">
      <c r="A2435">
        <v>1596</v>
      </c>
      <c r="B2435" t="s">
        <v>1704</v>
      </c>
      <c r="C2435" t="s">
        <v>2670</v>
      </c>
      <c r="D2435" t="s">
        <v>1203</v>
      </c>
      <c r="E2435" t="s">
        <v>1204</v>
      </c>
      <c r="F2435">
        <v>5615</v>
      </c>
      <c r="G2435" t="s">
        <v>2671</v>
      </c>
      <c r="H2435" t="s">
        <v>2665</v>
      </c>
      <c r="I2435">
        <v>18501</v>
      </c>
      <c r="J2435">
        <v>20256</v>
      </c>
      <c r="K2435">
        <v>21307</v>
      </c>
      <c r="L2435">
        <v>21705</v>
      </c>
      <c r="M2435">
        <v>22102</v>
      </c>
      <c r="N2435" t="s">
        <v>988</v>
      </c>
    </row>
    <row r="2436" spans="1:14" hidden="1" x14ac:dyDescent="0.3">
      <c r="A2436">
        <v>1596</v>
      </c>
      <c r="B2436" t="s">
        <v>1704</v>
      </c>
      <c r="C2436" t="s">
        <v>2670</v>
      </c>
      <c r="D2436" t="s">
        <v>1203</v>
      </c>
      <c r="E2436" t="s">
        <v>1204</v>
      </c>
      <c r="F2436">
        <v>5615</v>
      </c>
      <c r="G2436" t="s">
        <v>2672</v>
      </c>
      <c r="H2436" t="s">
        <v>2664</v>
      </c>
      <c r="N2436" t="s">
        <v>988</v>
      </c>
    </row>
    <row r="2437" spans="1:14" hidden="1" x14ac:dyDescent="0.3">
      <c r="A2437">
        <v>1596</v>
      </c>
      <c r="B2437" t="s">
        <v>1704</v>
      </c>
      <c r="C2437" t="s">
        <v>2670</v>
      </c>
      <c r="D2437" t="s">
        <v>1203</v>
      </c>
      <c r="E2437" t="s">
        <v>1204</v>
      </c>
      <c r="F2437">
        <v>5615</v>
      </c>
      <c r="G2437" t="s">
        <v>2674</v>
      </c>
      <c r="H2437" t="s">
        <v>2665</v>
      </c>
      <c r="I2437">
        <v>18341</v>
      </c>
      <c r="J2437">
        <v>19554</v>
      </c>
      <c r="K2437">
        <v>20886</v>
      </c>
      <c r="L2437">
        <v>21546</v>
      </c>
      <c r="M2437">
        <v>21943</v>
      </c>
      <c r="N2437" t="s">
        <v>988</v>
      </c>
    </row>
    <row r="2438" spans="1:14" hidden="1" x14ac:dyDescent="0.3">
      <c r="A2438">
        <v>1605</v>
      </c>
      <c r="B2438" t="s">
        <v>1706</v>
      </c>
      <c r="C2438" t="s">
        <v>2670</v>
      </c>
      <c r="D2438" t="s">
        <v>1203</v>
      </c>
      <c r="E2438" t="s">
        <v>1204</v>
      </c>
      <c r="F2438">
        <v>6395</v>
      </c>
      <c r="G2438" t="s">
        <v>2676</v>
      </c>
      <c r="H2438" t="s">
        <v>2664</v>
      </c>
      <c r="I2438">
        <v>2050.0170837999999</v>
      </c>
      <c r="J2438">
        <v>2028.5348688500001</v>
      </c>
      <c r="K2438">
        <v>2050.0170837999999</v>
      </c>
      <c r="L2438">
        <v>2062.2926351999999</v>
      </c>
      <c r="M2438">
        <v>1779.9549529999999</v>
      </c>
      <c r="N2438" t="s">
        <v>988</v>
      </c>
    </row>
    <row r="2439" spans="1:14" hidden="1" x14ac:dyDescent="0.3">
      <c r="A2439">
        <v>1605</v>
      </c>
      <c r="B2439" t="s">
        <v>1706</v>
      </c>
      <c r="C2439" t="s">
        <v>2670</v>
      </c>
      <c r="D2439" t="s">
        <v>1203</v>
      </c>
      <c r="E2439" t="s">
        <v>1204</v>
      </c>
      <c r="F2439">
        <v>6395</v>
      </c>
      <c r="G2439" t="s">
        <v>2672</v>
      </c>
      <c r="H2439" t="s">
        <v>2665</v>
      </c>
      <c r="N2439" t="s">
        <v>988</v>
      </c>
    </row>
    <row r="2440" spans="1:14" hidden="1" x14ac:dyDescent="0.3">
      <c r="A2440">
        <v>1605</v>
      </c>
      <c r="B2440" t="s">
        <v>1706</v>
      </c>
      <c r="C2440" t="s">
        <v>2670</v>
      </c>
      <c r="D2440" t="s">
        <v>1203</v>
      </c>
      <c r="E2440" t="s">
        <v>1204</v>
      </c>
      <c r="F2440">
        <v>6395</v>
      </c>
      <c r="G2440" t="s">
        <v>2672</v>
      </c>
      <c r="H2440" t="s">
        <v>2664</v>
      </c>
      <c r="N2440" t="s">
        <v>988</v>
      </c>
    </row>
    <row r="2441" spans="1:14" hidden="1" x14ac:dyDescent="0.3">
      <c r="A2441">
        <v>1605</v>
      </c>
      <c r="B2441" t="s">
        <v>1706</v>
      </c>
      <c r="C2441" t="s">
        <v>2670</v>
      </c>
      <c r="D2441" t="s">
        <v>1203</v>
      </c>
      <c r="E2441" t="s">
        <v>1204</v>
      </c>
      <c r="F2441">
        <v>6395</v>
      </c>
      <c r="G2441" t="s">
        <v>2671</v>
      </c>
      <c r="H2441" t="s">
        <v>2665</v>
      </c>
      <c r="I2441">
        <v>3203.9189154000001</v>
      </c>
      <c r="J2441">
        <v>3182.43670045</v>
      </c>
      <c r="K2441">
        <v>3225.4011303500001</v>
      </c>
      <c r="L2441">
        <v>3237.6766817500002</v>
      </c>
      <c r="M2441">
        <v>3280.6411116499999</v>
      </c>
      <c r="N2441" t="s">
        <v>988</v>
      </c>
    </row>
    <row r="2442" spans="1:14" hidden="1" x14ac:dyDescent="0.3">
      <c r="A2442">
        <v>1605</v>
      </c>
      <c r="B2442" t="s">
        <v>1706</v>
      </c>
      <c r="C2442" t="s">
        <v>2670</v>
      </c>
      <c r="D2442" t="s">
        <v>1203</v>
      </c>
      <c r="E2442" t="s">
        <v>1204</v>
      </c>
      <c r="F2442">
        <v>6395</v>
      </c>
      <c r="G2442" t="s">
        <v>2671</v>
      </c>
      <c r="H2442" t="s">
        <v>2664</v>
      </c>
      <c r="I2442">
        <v>1758.4727380500001</v>
      </c>
      <c r="J2442">
        <v>1736.9905231</v>
      </c>
      <c r="K2442">
        <v>1614.2350091000001</v>
      </c>
      <c r="L2442">
        <v>1555.9261399500001</v>
      </c>
      <c r="M2442">
        <v>1522.1683736</v>
      </c>
      <c r="N2442" t="s">
        <v>988</v>
      </c>
    </row>
    <row r="2443" spans="1:14" hidden="1" x14ac:dyDescent="0.3">
      <c r="A2443">
        <v>1605</v>
      </c>
      <c r="B2443" t="s">
        <v>1706</v>
      </c>
      <c r="C2443" t="s">
        <v>2670</v>
      </c>
      <c r="D2443" t="s">
        <v>1203</v>
      </c>
      <c r="E2443" t="s">
        <v>1204</v>
      </c>
      <c r="F2443">
        <v>6395</v>
      </c>
      <c r="G2443" t="s">
        <v>2673</v>
      </c>
      <c r="H2443" t="s">
        <v>2665</v>
      </c>
      <c r="I2443">
        <v>3203.9189154000001</v>
      </c>
      <c r="J2443">
        <v>3182.43670045</v>
      </c>
      <c r="K2443">
        <v>3225.4011303500001</v>
      </c>
      <c r="L2443">
        <v>3237.6766817500002</v>
      </c>
      <c r="M2443">
        <v>3280.6411116499999</v>
      </c>
      <c r="N2443" t="s">
        <v>988</v>
      </c>
    </row>
    <row r="2444" spans="1:14" hidden="1" x14ac:dyDescent="0.3">
      <c r="A2444">
        <v>1605</v>
      </c>
      <c r="B2444" t="s">
        <v>1706</v>
      </c>
      <c r="C2444" t="s">
        <v>2670</v>
      </c>
      <c r="D2444" t="s">
        <v>1203</v>
      </c>
      <c r="E2444" t="s">
        <v>1204</v>
      </c>
      <c r="F2444">
        <v>6395</v>
      </c>
      <c r="G2444" t="s">
        <v>2673</v>
      </c>
      <c r="H2444" t="s">
        <v>2664</v>
      </c>
      <c r="I2444">
        <v>1758.4727380500001</v>
      </c>
      <c r="J2444">
        <v>1736.9905231</v>
      </c>
      <c r="K2444">
        <v>1758.4727380500001</v>
      </c>
      <c r="L2444">
        <v>1555.9261399500001</v>
      </c>
      <c r="M2444">
        <v>1522.1683736</v>
      </c>
      <c r="N2444" t="s">
        <v>988</v>
      </c>
    </row>
    <row r="2445" spans="1:14" hidden="1" x14ac:dyDescent="0.3">
      <c r="A2445">
        <v>1605</v>
      </c>
      <c r="B2445" t="s">
        <v>1706</v>
      </c>
      <c r="C2445" t="s">
        <v>2670</v>
      </c>
      <c r="D2445" t="s">
        <v>1203</v>
      </c>
      <c r="E2445" t="s">
        <v>1204</v>
      </c>
      <c r="F2445">
        <v>6395</v>
      </c>
      <c r="G2445" t="s">
        <v>2674</v>
      </c>
      <c r="H2445" t="s">
        <v>2665</v>
      </c>
      <c r="I2445">
        <v>3203.9189154000001</v>
      </c>
      <c r="J2445">
        <v>3182.43670045</v>
      </c>
      <c r="K2445">
        <v>3225.4011303500001</v>
      </c>
      <c r="L2445">
        <v>3237.6766817500002</v>
      </c>
      <c r="M2445">
        <v>3280.6411116499999</v>
      </c>
      <c r="N2445" t="s">
        <v>988</v>
      </c>
    </row>
    <row r="2446" spans="1:14" hidden="1" x14ac:dyDescent="0.3">
      <c r="A2446">
        <v>1605</v>
      </c>
      <c r="B2446" t="s">
        <v>1706</v>
      </c>
      <c r="C2446" t="s">
        <v>2670</v>
      </c>
      <c r="D2446" t="s">
        <v>1203</v>
      </c>
      <c r="E2446" t="s">
        <v>1204</v>
      </c>
      <c r="F2446">
        <v>6395</v>
      </c>
      <c r="G2446" t="s">
        <v>2674</v>
      </c>
      <c r="H2446" t="s">
        <v>2664</v>
      </c>
      <c r="I2446">
        <v>1758.4727380500001</v>
      </c>
      <c r="J2446">
        <v>1736.9905231</v>
      </c>
      <c r="K2446">
        <v>1758.4727380500001</v>
      </c>
      <c r="L2446">
        <v>1770.7482894499999</v>
      </c>
      <c r="M2446">
        <v>1779.9549529999999</v>
      </c>
      <c r="N2446" t="s">
        <v>988</v>
      </c>
    </row>
    <row r="2447" spans="1:14" hidden="1" x14ac:dyDescent="0.3">
      <c r="A2447">
        <v>1605</v>
      </c>
      <c r="B2447" t="s">
        <v>1706</v>
      </c>
      <c r="C2447" t="s">
        <v>2670</v>
      </c>
      <c r="D2447" t="s">
        <v>1203</v>
      </c>
      <c r="E2447" t="s">
        <v>1204</v>
      </c>
      <c r="F2447">
        <v>6395</v>
      </c>
      <c r="G2447" t="s">
        <v>2675</v>
      </c>
      <c r="H2447" t="s">
        <v>2665</v>
      </c>
      <c r="I2447">
        <v>3203.9189154000001</v>
      </c>
      <c r="J2447">
        <v>3182.43670045</v>
      </c>
      <c r="K2447">
        <v>3225.4011303500001</v>
      </c>
      <c r="L2447">
        <v>3237.6766817500002</v>
      </c>
      <c r="M2447">
        <v>3280.6411116499999</v>
      </c>
      <c r="N2447" t="s">
        <v>988</v>
      </c>
    </row>
    <row r="2448" spans="1:14" hidden="1" x14ac:dyDescent="0.3">
      <c r="A2448">
        <v>1605</v>
      </c>
      <c r="B2448" t="s">
        <v>1706</v>
      </c>
      <c r="C2448" t="s">
        <v>2670</v>
      </c>
      <c r="D2448" t="s">
        <v>1203</v>
      </c>
      <c r="E2448" t="s">
        <v>1204</v>
      </c>
      <c r="F2448">
        <v>6395</v>
      </c>
      <c r="G2448" t="s">
        <v>2675</v>
      </c>
      <c r="H2448" t="s">
        <v>2664</v>
      </c>
      <c r="I2448">
        <v>1758.4727380500001</v>
      </c>
      <c r="J2448">
        <v>1736.9905231</v>
      </c>
      <c r="K2448">
        <v>1758.4727380500001</v>
      </c>
      <c r="L2448">
        <v>1770.7482894499999</v>
      </c>
      <c r="M2448">
        <v>1779.9549529999999</v>
      </c>
      <c r="N2448" t="s">
        <v>988</v>
      </c>
    </row>
    <row r="2449" spans="1:14" hidden="1" x14ac:dyDescent="0.3">
      <c r="A2449">
        <v>1605</v>
      </c>
      <c r="B2449" t="s">
        <v>1706</v>
      </c>
      <c r="C2449" t="s">
        <v>2670</v>
      </c>
      <c r="D2449" t="s">
        <v>1203</v>
      </c>
      <c r="E2449" t="s">
        <v>1204</v>
      </c>
      <c r="F2449">
        <v>6395</v>
      </c>
      <c r="G2449" t="s">
        <v>2676</v>
      </c>
      <c r="H2449" t="s">
        <v>2665</v>
      </c>
      <c r="I2449">
        <v>3203.9189154000001</v>
      </c>
      <c r="J2449">
        <v>3182.43670045</v>
      </c>
      <c r="K2449">
        <v>3225.4011303500001</v>
      </c>
      <c r="L2449">
        <v>3237.6766817500002</v>
      </c>
      <c r="M2449">
        <v>3280.6411116499999</v>
      </c>
      <c r="N2449" t="s">
        <v>988</v>
      </c>
    </row>
    <row r="2450" spans="1:14" hidden="1" x14ac:dyDescent="0.3">
      <c r="A2450">
        <v>1613</v>
      </c>
      <c r="B2450" t="s">
        <v>1707</v>
      </c>
      <c r="C2450" t="s">
        <v>2670</v>
      </c>
      <c r="D2450" t="s">
        <v>1203</v>
      </c>
      <c r="E2450" t="s">
        <v>1204</v>
      </c>
      <c r="F2450">
        <v>5704</v>
      </c>
      <c r="G2450" t="s">
        <v>2674</v>
      </c>
      <c r="H2450" t="s">
        <v>2664</v>
      </c>
      <c r="I2450">
        <v>1399.4128596</v>
      </c>
      <c r="J2450">
        <v>1534.443925</v>
      </c>
      <c r="K2450">
        <v>1500.6861586499999</v>
      </c>
      <c r="L2450">
        <v>1712.4394202999999</v>
      </c>
      <c r="M2450">
        <v>1948.74378475</v>
      </c>
      <c r="N2450" t="s">
        <v>988</v>
      </c>
    </row>
    <row r="2451" spans="1:14" hidden="1" x14ac:dyDescent="0.3">
      <c r="A2451">
        <v>1613</v>
      </c>
      <c r="B2451" t="s">
        <v>1707</v>
      </c>
      <c r="C2451" t="s">
        <v>2670</v>
      </c>
      <c r="D2451" t="s">
        <v>1203</v>
      </c>
      <c r="E2451" t="s">
        <v>1204</v>
      </c>
      <c r="F2451">
        <v>5704</v>
      </c>
      <c r="G2451" t="s">
        <v>2675</v>
      </c>
      <c r="H2451" t="s">
        <v>2665</v>
      </c>
      <c r="I2451">
        <v>2562.5213547499998</v>
      </c>
      <c r="J2451">
        <v>2801.8946070500001</v>
      </c>
      <c r="K2451">
        <v>2749.7235135999999</v>
      </c>
      <c r="L2451">
        <v>3157.8855976499999</v>
      </c>
      <c r="M2451">
        <v>3590.5987845</v>
      </c>
      <c r="N2451" t="s">
        <v>988</v>
      </c>
    </row>
    <row r="2452" spans="1:14" hidden="1" x14ac:dyDescent="0.3">
      <c r="A2452">
        <v>1613</v>
      </c>
      <c r="B2452" t="s">
        <v>1707</v>
      </c>
      <c r="C2452" t="s">
        <v>2670</v>
      </c>
      <c r="D2452" t="s">
        <v>1203</v>
      </c>
      <c r="E2452" t="s">
        <v>1204</v>
      </c>
      <c r="F2452">
        <v>5704</v>
      </c>
      <c r="G2452" t="s">
        <v>2675</v>
      </c>
      <c r="H2452" t="s">
        <v>2664</v>
      </c>
      <c r="I2452">
        <v>1399.4128596</v>
      </c>
      <c r="J2452">
        <v>1534.443925</v>
      </c>
      <c r="K2452">
        <v>1500.6861586499999</v>
      </c>
      <c r="L2452">
        <v>1712.4394202999999</v>
      </c>
      <c r="M2452">
        <v>1948.74378475</v>
      </c>
      <c r="N2452" t="s">
        <v>988</v>
      </c>
    </row>
    <row r="2453" spans="1:14" hidden="1" x14ac:dyDescent="0.3">
      <c r="A2453">
        <v>1613</v>
      </c>
      <c r="B2453" t="s">
        <v>1707</v>
      </c>
      <c r="C2453" t="s">
        <v>2670</v>
      </c>
      <c r="D2453" t="s">
        <v>1203</v>
      </c>
      <c r="E2453" t="s">
        <v>1204</v>
      </c>
      <c r="F2453">
        <v>5704</v>
      </c>
      <c r="G2453" t="s">
        <v>2676</v>
      </c>
      <c r="H2453" t="s">
        <v>2665</v>
      </c>
      <c r="I2453">
        <v>2562.5213547499998</v>
      </c>
      <c r="J2453">
        <v>2801.8946070500001</v>
      </c>
      <c r="K2453">
        <v>2749.7235135999999</v>
      </c>
      <c r="L2453">
        <v>3157.8855976499999</v>
      </c>
      <c r="M2453">
        <v>3590.5987845</v>
      </c>
      <c r="N2453" t="s">
        <v>988</v>
      </c>
    </row>
    <row r="2454" spans="1:14" hidden="1" x14ac:dyDescent="0.3">
      <c r="A2454">
        <v>1613</v>
      </c>
      <c r="B2454" t="s">
        <v>1707</v>
      </c>
      <c r="C2454" t="s">
        <v>2670</v>
      </c>
      <c r="D2454" t="s">
        <v>1203</v>
      </c>
      <c r="E2454" t="s">
        <v>1204</v>
      </c>
      <c r="F2454">
        <v>5704</v>
      </c>
      <c r="G2454" t="s">
        <v>2676</v>
      </c>
      <c r="H2454" t="s">
        <v>2664</v>
      </c>
      <c r="I2454">
        <v>1635.7172240499999</v>
      </c>
      <c r="J2454">
        <v>1779.9549529999999</v>
      </c>
      <c r="K2454">
        <v>1746.19718665</v>
      </c>
      <c r="L2454">
        <v>2003.98376605</v>
      </c>
      <c r="M2454">
        <v>1948.74378475</v>
      </c>
      <c r="N2454" t="s">
        <v>988</v>
      </c>
    </row>
    <row r="2455" spans="1:14" hidden="1" x14ac:dyDescent="0.3">
      <c r="A2455">
        <v>1613</v>
      </c>
      <c r="B2455" t="s">
        <v>1707</v>
      </c>
      <c r="C2455" t="s">
        <v>2670</v>
      </c>
      <c r="D2455" t="s">
        <v>1203</v>
      </c>
      <c r="E2455" t="s">
        <v>1204</v>
      </c>
      <c r="F2455">
        <v>5704</v>
      </c>
      <c r="G2455" t="s">
        <v>2674</v>
      </c>
      <c r="H2455" t="s">
        <v>2665</v>
      </c>
      <c r="I2455">
        <v>2562.5213547499998</v>
      </c>
      <c r="J2455">
        <v>2801.8946070500001</v>
      </c>
      <c r="K2455">
        <v>2749.7235135999999</v>
      </c>
      <c r="L2455">
        <v>3157.8855976499999</v>
      </c>
      <c r="M2455">
        <v>3590.5987845</v>
      </c>
      <c r="N2455" t="s">
        <v>988</v>
      </c>
    </row>
    <row r="2456" spans="1:14" hidden="1" x14ac:dyDescent="0.3">
      <c r="A2456">
        <v>1613</v>
      </c>
      <c r="B2456" t="s">
        <v>1707</v>
      </c>
      <c r="C2456" t="s">
        <v>2670</v>
      </c>
      <c r="D2456" t="s">
        <v>1203</v>
      </c>
      <c r="E2456" t="s">
        <v>1204</v>
      </c>
      <c r="F2456">
        <v>5704</v>
      </c>
      <c r="G2456" t="s">
        <v>2672</v>
      </c>
      <c r="H2456" t="s">
        <v>2664</v>
      </c>
      <c r="N2456" t="s">
        <v>988</v>
      </c>
    </row>
    <row r="2457" spans="1:14" hidden="1" x14ac:dyDescent="0.3">
      <c r="A2457">
        <v>1613</v>
      </c>
      <c r="B2457" t="s">
        <v>1707</v>
      </c>
      <c r="C2457" t="s">
        <v>2670</v>
      </c>
      <c r="D2457" t="s">
        <v>1203</v>
      </c>
      <c r="E2457" t="s">
        <v>1204</v>
      </c>
      <c r="F2457">
        <v>5704</v>
      </c>
      <c r="G2457" t="s">
        <v>2671</v>
      </c>
      <c r="H2457" t="s">
        <v>2665</v>
      </c>
      <c r="I2457">
        <v>2562.5213547499998</v>
      </c>
      <c r="J2457">
        <v>2801.8946070500001</v>
      </c>
      <c r="K2457">
        <v>2749.7235135999999</v>
      </c>
      <c r="L2457">
        <v>3157.8855976499999</v>
      </c>
      <c r="M2457">
        <v>3590.5987845</v>
      </c>
      <c r="N2457" t="s">
        <v>988</v>
      </c>
    </row>
    <row r="2458" spans="1:14" hidden="1" x14ac:dyDescent="0.3">
      <c r="A2458">
        <v>1613</v>
      </c>
      <c r="B2458" t="s">
        <v>1707</v>
      </c>
      <c r="C2458" t="s">
        <v>2670</v>
      </c>
      <c r="D2458" t="s">
        <v>1203</v>
      </c>
      <c r="E2458" t="s">
        <v>1204</v>
      </c>
      <c r="F2458">
        <v>5704</v>
      </c>
      <c r="G2458" t="s">
        <v>2671</v>
      </c>
      <c r="H2458" t="s">
        <v>2664</v>
      </c>
      <c r="I2458">
        <v>1399.4128596</v>
      </c>
      <c r="J2458">
        <v>1534.443925</v>
      </c>
      <c r="K2458">
        <v>1365.6550932499999</v>
      </c>
      <c r="L2458">
        <v>1512.96171005</v>
      </c>
      <c r="M2458">
        <v>1657.199439</v>
      </c>
      <c r="N2458" t="s">
        <v>988</v>
      </c>
    </row>
    <row r="2459" spans="1:14" hidden="1" x14ac:dyDescent="0.3">
      <c r="A2459">
        <v>1613</v>
      </c>
      <c r="B2459" t="s">
        <v>1707</v>
      </c>
      <c r="C2459" t="s">
        <v>2670</v>
      </c>
      <c r="D2459" t="s">
        <v>1203</v>
      </c>
      <c r="E2459" t="s">
        <v>1204</v>
      </c>
      <c r="F2459">
        <v>5704</v>
      </c>
      <c r="G2459" t="s">
        <v>2673</v>
      </c>
      <c r="H2459" t="s">
        <v>2665</v>
      </c>
      <c r="I2459">
        <v>2562.5213547499998</v>
      </c>
      <c r="J2459">
        <v>2801.8946070500001</v>
      </c>
      <c r="K2459">
        <v>2749.7235135999999</v>
      </c>
      <c r="L2459">
        <v>3157.8855976499999</v>
      </c>
      <c r="M2459">
        <v>3590.5987845</v>
      </c>
      <c r="N2459" t="s">
        <v>988</v>
      </c>
    </row>
    <row r="2460" spans="1:14" hidden="1" x14ac:dyDescent="0.3">
      <c r="A2460">
        <v>1613</v>
      </c>
      <c r="B2460" t="s">
        <v>1707</v>
      </c>
      <c r="C2460" t="s">
        <v>2670</v>
      </c>
      <c r="D2460" t="s">
        <v>1203</v>
      </c>
      <c r="E2460" t="s">
        <v>1204</v>
      </c>
      <c r="F2460">
        <v>5704</v>
      </c>
      <c r="G2460" t="s">
        <v>2673</v>
      </c>
      <c r="H2460" t="s">
        <v>2664</v>
      </c>
      <c r="I2460">
        <v>1399.4128596</v>
      </c>
      <c r="J2460">
        <v>1534.443925</v>
      </c>
      <c r="K2460">
        <v>1500.6861586499999</v>
      </c>
      <c r="L2460">
        <v>1512.96171005</v>
      </c>
      <c r="M2460">
        <v>1657.199439</v>
      </c>
      <c r="N2460" t="s">
        <v>988</v>
      </c>
    </row>
    <row r="2461" spans="1:14" hidden="1" x14ac:dyDescent="0.3">
      <c r="A2461">
        <v>1613</v>
      </c>
      <c r="B2461" t="s">
        <v>1707</v>
      </c>
      <c r="C2461" t="s">
        <v>2670</v>
      </c>
      <c r="D2461" t="s">
        <v>1203</v>
      </c>
      <c r="E2461" t="s">
        <v>1204</v>
      </c>
      <c r="F2461">
        <v>5704</v>
      </c>
      <c r="G2461" t="s">
        <v>2672</v>
      </c>
      <c r="H2461" t="s">
        <v>2665</v>
      </c>
      <c r="N2461" t="s">
        <v>988</v>
      </c>
    </row>
    <row r="2462" spans="1:14" hidden="1" x14ac:dyDescent="0.3">
      <c r="A2462">
        <v>1619</v>
      </c>
      <c r="B2462" t="s">
        <v>1713</v>
      </c>
      <c r="C2462" t="s">
        <v>2670</v>
      </c>
      <c r="D2462" t="s">
        <v>1203</v>
      </c>
      <c r="E2462" t="s">
        <v>1204</v>
      </c>
      <c r="F2462">
        <v>5467</v>
      </c>
      <c r="G2462" t="s">
        <v>2676</v>
      </c>
      <c r="H2462" t="s">
        <v>2664</v>
      </c>
      <c r="I2462">
        <v>10587.663082499999</v>
      </c>
      <c r="J2462">
        <v>13733.273128749999</v>
      </c>
      <c r="K2462">
        <v>14196.6751941</v>
      </c>
      <c r="L2462">
        <v>14657.008371600001</v>
      </c>
      <c r="M2462">
        <v>15089.721558450001</v>
      </c>
      <c r="N2462" t="s">
        <v>988</v>
      </c>
    </row>
    <row r="2463" spans="1:14" hidden="1" x14ac:dyDescent="0.3">
      <c r="A2463">
        <v>1619</v>
      </c>
      <c r="B2463" t="s">
        <v>1713</v>
      </c>
      <c r="C2463" t="s">
        <v>2670</v>
      </c>
      <c r="D2463" t="s">
        <v>1203</v>
      </c>
      <c r="E2463" t="s">
        <v>1204</v>
      </c>
      <c r="F2463">
        <v>5467</v>
      </c>
      <c r="G2463" t="s">
        <v>2676</v>
      </c>
      <c r="H2463" t="s">
        <v>2665</v>
      </c>
      <c r="I2463">
        <v>13272.93995125</v>
      </c>
      <c r="J2463">
        <v>13733.273128749999</v>
      </c>
      <c r="K2463">
        <v>14196.6751941</v>
      </c>
      <c r="L2463">
        <v>14657.008371600001</v>
      </c>
      <c r="M2463">
        <v>15089.721558450001</v>
      </c>
      <c r="N2463" t="s">
        <v>988</v>
      </c>
    </row>
    <row r="2464" spans="1:14" hidden="1" x14ac:dyDescent="0.3">
      <c r="A2464">
        <v>1619</v>
      </c>
      <c r="B2464" t="s">
        <v>1713</v>
      </c>
      <c r="C2464" t="s">
        <v>2670</v>
      </c>
      <c r="D2464" t="s">
        <v>1203</v>
      </c>
      <c r="E2464" t="s">
        <v>1204</v>
      </c>
      <c r="F2464">
        <v>5467</v>
      </c>
      <c r="G2464" t="s">
        <v>2675</v>
      </c>
      <c r="H2464" t="s">
        <v>2664</v>
      </c>
      <c r="I2464">
        <v>9912.5077555000007</v>
      </c>
      <c r="J2464">
        <v>13733.273128749999</v>
      </c>
      <c r="K2464">
        <v>14196.6751941</v>
      </c>
      <c r="L2464">
        <v>14657.008371600001</v>
      </c>
      <c r="M2464">
        <v>15089.721558450001</v>
      </c>
      <c r="N2464" t="s">
        <v>988</v>
      </c>
    </row>
    <row r="2465" spans="1:14" hidden="1" x14ac:dyDescent="0.3">
      <c r="A2465">
        <v>1619</v>
      </c>
      <c r="B2465" t="s">
        <v>1713</v>
      </c>
      <c r="C2465" t="s">
        <v>2670</v>
      </c>
      <c r="D2465" t="s">
        <v>1203</v>
      </c>
      <c r="E2465" t="s">
        <v>1204</v>
      </c>
      <c r="F2465">
        <v>5467</v>
      </c>
      <c r="G2465" t="s">
        <v>2675</v>
      </c>
      <c r="H2465" t="s">
        <v>2665</v>
      </c>
      <c r="I2465">
        <v>13272.93995125</v>
      </c>
      <c r="J2465">
        <v>13733.273128749999</v>
      </c>
      <c r="K2465">
        <v>14196.6751941</v>
      </c>
      <c r="L2465">
        <v>14657.008371600001</v>
      </c>
      <c r="M2465">
        <v>15089.721558450001</v>
      </c>
      <c r="N2465" t="s">
        <v>988</v>
      </c>
    </row>
    <row r="2466" spans="1:14" hidden="1" x14ac:dyDescent="0.3">
      <c r="A2466">
        <v>1619</v>
      </c>
      <c r="B2466" t="s">
        <v>1713</v>
      </c>
      <c r="C2466" t="s">
        <v>2670</v>
      </c>
      <c r="D2466" t="s">
        <v>1203</v>
      </c>
      <c r="E2466" t="s">
        <v>1204</v>
      </c>
      <c r="F2466">
        <v>5467</v>
      </c>
      <c r="G2466" t="s">
        <v>2674</v>
      </c>
      <c r="H2466" t="s">
        <v>2664</v>
      </c>
      <c r="I2466">
        <v>9022.5302790000005</v>
      </c>
      <c r="J2466">
        <v>13411.039904499999</v>
      </c>
      <c r="K2466">
        <v>14196.6751941</v>
      </c>
      <c r="L2466">
        <v>14657.008371600001</v>
      </c>
      <c r="M2466">
        <v>15089.721558450001</v>
      </c>
      <c r="N2466" t="s">
        <v>988</v>
      </c>
    </row>
    <row r="2467" spans="1:14" hidden="1" x14ac:dyDescent="0.3">
      <c r="A2467">
        <v>1619</v>
      </c>
      <c r="B2467" t="s">
        <v>1713</v>
      </c>
      <c r="C2467" t="s">
        <v>2670</v>
      </c>
      <c r="D2467" t="s">
        <v>1203</v>
      </c>
      <c r="E2467" t="s">
        <v>1204</v>
      </c>
      <c r="F2467">
        <v>5467</v>
      </c>
      <c r="G2467" t="s">
        <v>2674</v>
      </c>
      <c r="H2467" t="s">
        <v>2665</v>
      </c>
      <c r="I2467">
        <v>13272.93995125</v>
      </c>
      <c r="J2467">
        <v>13733.273128749999</v>
      </c>
      <c r="K2467">
        <v>14196.6751941</v>
      </c>
      <c r="L2467">
        <v>14657.008371600001</v>
      </c>
      <c r="M2467">
        <v>15089.721558450001</v>
      </c>
      <c r="N2467" t="s">
        <v>988</v>
      </c>
    </row>
    <row r="2468" spans="1:14" hidden="1" x14ac:dyDescent="0.3">
      <c r="A2468">
        <v>1619</v>
      </c>
      <c r="B2468" t="s">
        <v>1713</v>
      </c>
      <c r="C2468" t="s">
        <v>2670</v>
      </c>
      <c r="D2468" t="s">
        <v>1203</v>
      </c>
      <c r="E2468" t="s">
        <v>1204</v>
      </c>
      <c r="F2468">
        <v>5467</v>
      </c>
      <c r="G2468" t="s">
        <v>2673</v>
      </c>
      <c r="H2468" t="s">
        <v>2664</v>
      </c>
      <c r="I2468">
        <v>9022.5302790000005</v>
      </c>
      <c r="J2468">
        <v>13411.039904499999</v>
      </c>
      <c r="K2468">
        <v>14196.6751941</v>
      </c>
      <c r="L2468">
        <v>14657.008371600001</v>
      </c>
      <c r="M2468">
        <v>14945.483829500001</v>
      </c>
      <c r="N2468" t="s">
        <v>988</v>
      </c>
    </row>
    <row r="2469" spans="1:14" hidden="1" x14ac:dyDescent="0.3">
      <c r="A2469">
        <v>1619</v>
      </c>
      <c r="B2469" t="s">
        <v>1713</v>
      </c>
      <c r="C2469" t="s">
        <v>2670</v>
      </c>
      <c r="D2469" t="s">
        <v>1203</v>
      </c>
      <c r="E2469" t="s">
        <v>1204</v>
      </c>
      <c r="F2469">
        <v>5467</v>
      </c>
      <c r="G2469" t="s">
        <v>2673</v>
      </c>
      <c r="H2469" t="s">
        <v>2665</v>
      </c>
      <c r="I2469">
        <v>13272.93995125</v>
      </c>
      <c r="J2469">
        <v>13733.273128749999</v>
      </c>
      <c r="K2469">
        <v>14196.6751941</v>
      </c>
      <c r="L2469">
        <v>14657.008371600001</v>
      </c>
      <c r="M2469">
        <v>15089.721558450001</v>
      </c>
      <c r="N2469" t="s">
        <v>988</v>
      </c>
    </row>
    <row r="2470" spans="1:14" hidden="1" x14ac:dyDescent="0.3">
      <c r="A2470">
        <v>1619</v>
      </c>
      <c r="B2470" t="s">
        <v>1713</v>
      </c>
      <c r="C2470" t="s">
        <v>2670</v>
      </c>
      <c r="D2470" t="s">
        <v>1203</v>
      </c>
      <c r="E2470" t="s">
        <v>1204</v>
      </c>
      <c r="F2470">
        <v>5467</v>
      </c>
      <c r="G2470" t="s">
        <v>2671</v>
      </c>
      <c r="H2470" t="s">
        <v>2664</v>
      </c>
      <c r="I2470">
        <v>9022.5302790000005</v>
      </c>
      <c r="J2470">
        <v>13411.039904499999</v>
      </c>
      <c r="K2470">
        <v>14196.6751941</v>
      </c>
      <c r="L2470">
        <v>14657.008371600001</v>
      </c>
      <c r="M2470">
        <v>14945.483829500001</v>
      </c>
      <c r="N2470" t="s">
        <v>988</v>
      </c>
    </row>
    <row r="2471" spans="1:14" hidden="1" x14ac:dyDescent="0.3">
      <c r="A2471">
        <v>1619</v>
      </c>
      <c r="B2471" t="s">
        <v>1713</v>
      </c>
      <c r="C2471" t="s">
        <v>2670</v>
      </c>
      <c r="D2471" t="s">
        <v>1203</v>
      </c>
      <c r="E2471" t="s">
        <v>1204</v>
      </c>
      <c r="F2471">
        <v>5467</v>
      </c>
      <c r="G2471" t="s">
        <v>2671</v>
      </c>
      <c r="H2471" t="s">
        <v>2665</v>
      </c>
      <c r="I2471">
        <v>13272.93995125</v>
      </c>
      <c r="J2471">
        <v>13733.273128749999</v>
      </c>
      <c r="K2471">
        <v>14196.6751941</v>
      </c>
      <c r="L2471">
        <v>14657.008371600001</v>
      </c>
      <c r="M2471">
        <v>15089.721558450001</v>
      </c>
      <c r="N2471" t="s">
        <v>988</v>
      </c>
    </row>
    <row r="2472" spans="1:14" hidden="1" x14ac:dyDescent="0.3">
      <c r="A2472">
        <v>1619</v>
      </c>
      <c r="B2472" t="s">
        <v>1713</v>
      </c>
      <c r="C2472" t="s">
        <v>2670</v>
      </c>
      <c r="D2472" t="s">
        <v>1203</v>
      </c>
      <c r="E2472" t="s">
        <v>1204</v>
      </c>
      <c r="F2472">
        <v>5467</v>
      </c>
      <c r="G2472" t="s">
        <v>2672</v>
      </c>
      <c r="H2472" t="s">
        <v>2665</v>
      </c>
      <c r="I2472">
        <v>13272.93995125</v>
      </c>
      <c r="J2472">
        <v>13733.273128749999</v>
      </c>
      <c r="K2472">
        <v>14196.6751941</v>
      </c>
      <c r="L2472">
        <v>14657.008371600001</v>
      </c>
      <c r="M2472">
        <v>15089.721558450001</v>
      </c>
      <c r="N2472" t="s">
        <v>988</v>
      </c>
    </row>
    <row r="2473" spans="1:14" hidden="1" x14ac:dyDescent="0.3">
      <c r="A2473">
        <v>1619</v>
      </c>
      <c r="B2473" t="s">
        <v>1713</v>
      </c>
      <c r="C2473" t="s">
        <v>2670</v>
      </c>
      <c r="D2473" t="s">
        <v>1203</v>
      </c>
      <c r="E2473" t="s">
        <v>1204</v>
      </c>
      <c r="F2473">
        <v>5467</v>
      </c>
      <c r="G2473" t="s">
        <v>2672</v>
      </c>
      <c r="H2473" t="s">
        <v>2664</v>
      </c>
      <c r="I2473">
        <v>10587.663082499999</v>
      </c>
      <c r="J2473">
        <v>13733.273128749999</v>
      </c>
      <c r="K2473">
        <v>14196.6751941</v>
      </c>
      <c r="L2473">
        <v>14657.008371600001</v>
      </c>
      <c r="M2473">
        <v>15089.721558450001</v>
      </c>
      <c r="N2473" t="s">
        <v>988</v>
      </c>
    </row>
    <row r="2474" spans="1:14" hidden="1" x14ac:dyDescent="0.3">
      <c r="A2474">
        <v>1626</v>
      </c>
      <c r="B2474" t="s">
        <v>1716</v>
      </c>
      <c r="C2474" t="s">
        <v>2670</v>
      </c>
      <c r="D2474" t="s">
        <v>1203</v>
      </c>
      <c r="E2474" t="s">
        <v>1204</v>
      </c>
      <c r="F2474">
        <v>5700</v>
      </c>
      <c r="G2474" t="s">
        <v>2676</v>
      </c>
      <c r="H2474" t="s">
        <v>2665</v>
      </c>
      <c r="I2474">
        <v>8996</v>
      </c>
      <c r="J2474">
        <v>10874</v>
      </c>
      <c r="K2474">
        <v>12713</v>
      </c>
      <c r="L2474">
        <v>15104</v>
      </c>
      <c r="M2474">
        <v>17495</v>
      </c>
      <c r="N2474" t="s">
        <v>988</v>
      </c>
    </row>
    <row r="2475" spans="1:14" hidden="1" x14ac:dyDescent="0.3">
      <c r="A2475">
        <v>1626</v>
      </c>
      <c r="B2475" t="s">
        <v>1716</v>
      </c>
      <c r="C2475" t="s">
        <v>2670</v>
      </c>
      <c r="D2475" t="s">
        <v>1203</v>
      </c>
      <c r="E2475" t="s">
        <v>1204</v>
      </c>
      <c r="F2475">
        <v>5700</v>
      </c>
      <c r="G2475" t="s">
        <v>2675</v>
      </c>
      <c r="H2475" t="s">
        <v>2664</v>
      </c>
      <c r="I2475">
        <v>8996</v>
      </c>
      <c r="J2475">
        <v>10874</v>
      </c>
      <c r="K2475">
        <v>12713</v>
      </c>
      <c r="L2475">
        <v>15104</v>
      </c>
      <c r="M2475">
        <v>17495</v>
      </c>
      <c r="N2475" t="s">
        <v>988</v>
      </c>
    </row>
    <row r="2476" spans="1:14" hidden="1" x14ac:dyDescent="0.3">
      <c r="A2476">
        <v>1626</v>
      </c>
      <c r="B2476" t="s">
        <v>1716</v>
      </c>
      <c r="C2476" t="s">
        <v>2670</v>
      </c>
      <c r="D2476" t="s">
        <v>1203</v>
      </c>
      <c r="E2476" t="s">
        <v>1204</v>
      </c>
      <c r="F2476">
        <v>5700</v>
      </c>
      <c r="G2476" t="s">
        <v>2675</v>
      </c>
      <c r="H2476" t="s">
        <v>2665</v>
      </c>
      <c r="I2476">
        <v>8996</v>
      </c>
      <c r="J2476">
        <v>10874</v>
      </c>
      <c r="K2476">
        <v>12713</v>
      </c>
      <c r="L2476">
        <v>15104</v>
      </c>
      <c r="M2476">
        <v>17495</v>
      </c>
      <c r="N2476" t="s">
        <v>988</v>
      </c>
    </row>
    <row r="2477" spans="1:14" hidden="1" x14ac:dyDescent="0.3">
      <c r="A2477">
        <v>1626</v>
      </c>
      <c r="B2477" t="s">
        <v>1716</v>
      </c>
      <c r="C2477" t="s">
        <v>2670</v>
      </c>
      <c r="D2477" t="s">
        <v>1203</v>
      </c>
      <c r="E2477" t="s">
        <v>1204</v>
      </c>
      <c r="F2477">
        <v>5700</v>
      </c>
      <c r="G2477" t="s">
        <v>2674</v>
      </c>
      <c r="H2477" t="s">
        <v>2664</v>
      </c>
      <c r="I2477">
        <v>8996</v>
      </c>
      <c r="J2477">
        <v>10874</v>
      </c>
      <c r="K2477">
        <v>12713</v>
      </c>
      <c r="L2477">
        <v>15104</v>
      </c>
      <c r="M2477">
        <v>17495</v>
      </c>
      <c r="N2477" t="s">
        <v>988</v>
      </c>
    </row>
    <row r="2478" spans="1:14" hidden="1" x14ac:dyDescent="0.3">
      <c r="A2478">
        <v>1626</v>
      </c>
      <c r="B2478" t="s">
        <v>1716</v>
      </c>
      <c r="C2478" t="s">
        <v>2670</v>
      </c>
      <c r="D2478" t="s">
        <v>1203</v>
      </c>
      <c r="E2478" t="s">
        <v>1204</v>
      </c>
      <c r="F2478">
        <v>5700</v>
      </c>
      <c r="G2478" t="s">
        <v>2674</v>
      </c>
      <c r="H2478" t="s">
        <v>2665</v>
      </c>
      <c r="I2478">
        <v>8996</v>
      </c>
      <c r="J2478">
        <v>10874</v>
      </c>
      <c r="K2478">
        <v>12713</v>
      </c>
      <c r="L2478">
        <v>15104</v>
      </c>
      <c r="M2478">
        <v>17495</v>
      </c>
      <c r="N2478" t="s">
        <v>988</v>
      </c>
    </row>
    <row r="2479" spans="1:14" hidden="1" x14ac:dyDescent="0.3">
      <c r="A2479">
        <v>1626</v>
      </c>
      <c r="B2479" t="s">
        <v>1716</v>
      </c>
      <c r="C2479" t="s">
        <v>2670</v>
      </c>
      <c r="D2479" t="s">
        <v>1203</v>
      </c>
      <c r="E2479" t="s">
        <v>1204</v>
      </c>
      <c r="F2479">
        <v>5700</v>
      </c>
      <c r="G2479" t="s">
        <v>2676</v>
      </c>
      <c r="H2479" t="s">
        <v>2664</v>
      </c>
      <c r="I2479">
        <v>8996</v>
      </c>
      <c r="J2479">
        <v>10874</v>
      </c>
      <c r="K2479">
        <v>12713</v>
      </c>
      <c r="L2479">
        <v>15104</v>
      </c>
      <c r="M2479">
        <v>17495</v>
      </c>
      <c r="N2479" t="s">
        <v>988</v>
      </c>
    </row>
    <row r="2480" spans="1:14" hidden="1" x14ac:dyDescent="0.3">
      <c r="A2480">
        <v>1626</v>
      </c>
      <c r="B2480" t="s">
        <v>1716</v>
      </c>
      <c r="C2480" t="s">
        <v>2670</v>
      </c>
      <c r="D2480" t="s">
        <v>1203</v>
      </c>
      <c r="E2480" t="s">
        <v>1204</v>
      </c>
      <c r="F2480">
        <v>5700</v>
      </c>
      <c r="G2480" t="s">
        <v>2673</v>
      </c>
      <c r="H2480" t="s">
        <v>2665</v>
      </c>
      <c r="I2480">
        <v>8996</v>
      </c>
      <c r="J2480">
        <v>10874</v>
      </c>
      <c r="K2480">
        <v>12713</v>
      </c>
      <c r="L2480">
        <v>15104</v>
      </c>
      <c r="M2480">
        <v>17495</v>
      </c>
      <c r="N2480" t="s">
        <v>988</v>
      </c>
    </row>
    <row r="2481" spans="1:14" hidden="1" x14ac:dyDescent="0.3">
      <c r="A2481">
        <v>1626</v>
      </c>
      <c r="B2481" t="s">
        <v>1716</v>
      </c>
      <c r="C2481" t="s">
        <v>2670</v>
      </c>
      <c r="D2481" t="s">
        <v>1203</v>
      </c>
      <c r="E2481" t="s">
        <v>1204</v>
      </c>
      <c r="F2481">
        <v>5700</v>
      </c>
      <c r="G2481" t="s">
        <v>2671</v>
      </c>
      <c r="H2481" t="s">
        <v>2664</v>
      </c>
      <c r="I2481">
        <v>8996</v>
      </c>
      <c r="J2481">
        <v>10874</v>
      </c>
      <c r="K2481">
        <v>12713</v>
      </c>
      <c r="L2481">
        <v>15104</v>
      </c>
      <c r="M2481">
        <v>17495</v>
      </c>
      <c r="N2481" t="s">
        <v>988</v>
      </c>
    </row>
    <row r="2482" spans="1:14" hidden="1" x14ac:dyDescent="0.3">
      <c r="A2482">
        <v>1626</v>
      </c>
      <c r="B2482" t="s">
        <v>1716</v>
      </c>
      <c r="C2482" t="s">
        <v>2670</v>
      </c>
      <c r="D2482" t="s">
        <v>1203</v>
      </c>
      <c r="E2482" t="s">
        <v>1204</v>
      </c>
      <c r="F2482">
        <v>5700</v>
      </c>
      <c r="G2482" t="s">
        <v>2671</v>
      </c>
      <c r="H2482" t="s">
        <v>2665</v>
      </c>
      <c r="I2482">
        <v>8996</v>
      </c>
      <c r="J2482">
        <v>10874</v>
      </c>
      <c r="K2482">
        <v>12713</v>
      </c>
      <c r="L2482">
        <v>15104</v>
      </c>
      <c r="M2482">
        <v>17495</v>
      </c>
      <c r="N2482" t="s">
        <v>988</v>
      </c>
    </row>
    <row r="2483" spans="1:14" hidden="1" x14ac:dyDescent="0.3">
      <c r="A2483">
        <v>1626</v>
      </c>
      <c r="B2483" t="s">
        <v>1716</v>
      </c>
      <c r="C2483" t="s">
        <v>2670</v>
      </c>
      <c r="D2483" t="s">
        <v>1203</v>
      </c>
      <c r="E2483" t="s">
        <v>1204</v>
      </c>
      <c r="F2483">
        <v>5700</v>
      </c>
      <c r="G2483" t="s">
        <v>2672</v>
      </c>
      <c r="H2483" t="s">
        <v>2664</v>
      </c>
      <c r="N2483" t="s">
        <v>988</v>
      </c>
    </row>
    <row r="2484" spans="1:14" hidden="1" x14ac:dyDescent="0.3">
      <c r="A2484">
        <v>1626</v>
      </c>
      <c r="B2484" t="s">
        <v>1716</v>
      </c>
      <c r="C2484" t="s">
        <v>2670</v>
      </c>
      <c r="D2484" t="s">
        <v>1203</v>
      </c>
      <c r="E2484" t="s">
        <v>1204</v>
      </c>
      <c r="F2484">
        <v>5700</v>
      </c>
      <c r="G2484" t="s">
        <v>2672</v>
      </c>
      <c r="H2484" t="s">
        <v>2665</v>
      </c>
      <c r="N2484" t="s">
        <v>988</v>
      </c>
    </row>
    <row r="2485" spans="1:14" hidden="1" x14ac:dyDescent="0.3">
      <c r="A2485">
        <v>1626</v>
      </c>
      <c r="B2485" t="s">
        <v>1716</v>
      </c>
      <c r="C2485" t="s">
        <v>2670</v>
      </c>
      <c r="D2485" t="s">
        <v>1203</v>
      </c>
      <c r="E2485" t="s">
        <v>1204</v>
      </c>
      <c r="F2485">
        <v>5700</v>
      </c>
      <c r="G2485" t="s">
        <v>2673</v>
      </c>
      <c r="H2485" t="s">
        <v>2664</v>
      </c>
      <c r="I2485">
        <v>8996</v>
      </c>
      <c r="J2485">
        <v>10874</v>
      </c>
      <c r="K2485">
        <v>12713</v>
      </c>
      <c r="L2485">
        <v>15104</v>
      </c>
      <c r="M2485">
        <v>17495</v>
      </c>
      <c r="N2485" t="s">
        <v>988</v>
      </c>
    </row>
    <row r="2486" spans="1:14" hidden="1" x14ac:dyDescent="0.3">
      <c r="A2486">
        <v>1631</v>
      </c>
      <c r="B2486" t="s">
        <v>1717</v>
      </c>
      <c r="C2486" t="s">
        <v>2670</v>
      </c>
      <c r="D2486" t="s">
        <v>159</v>
      </c>
      <c r="E2486" t="s">
        <v>159</v>
      </c>
      <c r="F2486">
        <v>6740</v>
      </c>
      <c r="G2486" t="s">
        <v>2675</v>
      </c>
      <c r="H2486" t="s">
        <v>2664</v>
      </c>
      <c r="I2486">
        <v>64591</v>
      </c>
      <c r="J2486">
        <v>69213</v>
      </c>
      <c r="K2486">
        <v>73836</v>
      </c>
      <c r="L2486">
        <v>78458</v>
      </c>
      <c r="M2486">
        <v>83080</v>
      </c>
      <c r="N2486" t="s">
        <v>988</v>
      </c>
    </row>
    <row r="2487" spans="1:14" hidden="1" x14ac:dyDescent="0.3">
      <c r="A2487">
        <v>1631</v>
      </c>
      <c r="B2487" t="s">
        <v>1717</v>
      </c>
      <c r="C2487" t="s">
        <v>2670</v>
      </c>
      <c r="D2487" t="s">
        <v>159</v>
      </c>
      <c r="E2487" t="s">
        <v>159</v>
      </c>
      <c r="F2487">
        <v>6740</v>
      </c>
      <c r="G2487" t="s">
        <v>2675</v>
      </c>
      <c r="H2487" t="s">
        <v>2665</v>
      </c>
      <c r="I2487">
        <v>64591</v>
      </c>
      <c r="J2487">
        <v>69213</v>
      </c>
      <c r="K2487">
        <v>73836</v>
      </c>
      <c r="L2487">
        <v>78458</v>
      </c>
      <c r="M2487">
        <v>83080</v>
      </c>
      <c r="N2487" t="s">
        <v>988</v>
      </c>
    </row>
    <row r="2488" spans="1:14" hidden="1" x14ac:dyDescent="0.3">
      <c r="A2488">
        <v>1631</v>
      </c>
      <c r="B2488" t="s">
        <v>1717</v>
      </c>
      <c r="C2488" t="s">
        <v>2670</v>
      </c>
      <c r="D2488" t="s">
        <v>159</v>
      </c>
      <c r="E2488" t="s">
        <v>159</v>
      </c>
      <c r="F2488">
        <v>6740</v>
      </c>
      <c r="G2488" t="s">
        <v>2674</v>
      </c>
      <c r="H2488" t="s">
        <v>2664</v>
      </c>
      <c r="I2488">
        <v>65515</v>
      </c>
      <c r="J2488">
        <v>70138</v>
      </c>
      <c r="K2488">
        <v>74760</v>
      </c>
      <c r="L2488">
        <v>79382</v>
      </c>
      <c r="M2488">
        <v>84005</v>
      </c>
      <c r="N2488" t="s">
        <v>988</v>
      </c>
    </row>
    <row r="2489" spans="1:14" hidden="1" x14ac:dyDescent="0.3">
      <c r="A2489">
        <v>1631</v>
      </c>
      <c r="B2489" t="s">
        <v>1717</v>
      </c>
      <c r="C2489" t="s">
        <v>2670</v>
      </c>
      <c r="D2489" t="s">
        <v>159</v>
      </c>
      <c r="E2489" t="s">
        <v>159</v>
      </c>
      <c r="F2489">
        <v>6740</v>
      </c>
      <c r="G2489" t="s">
        <v>2674</v>
      </c>
      <c r="H2489" t="s">
        <v>2665</v>
      </c>
      <c r="I2489">
        <v>65515</v>
      </c>
      <c r="J2489">
        <v>70138</v>
      </c>
      <c r="K2489">
        <v>74760</v>
      </c>
      <c r="L2489">
        <v>79382</v>
      </c>
      <c r="M2489">
        <v>84005</v>
      </c>
      <c r="N2489" t="s">
        <v>988</v>
      </c>
    </row>
    <row r="2490" spans="1:14" hidden="1" x14ac:dyDescent="0.3">
      <c r="A2490">
        <v>1631</v>
      </c>
      <c r="B2490" t="s">
        <v>1717</v>
      </c>
      <c r="C2490" t="s">
        <v>2670</v>
      </c>
      <c r="D2490" t="s">
        <v>159</v>
      </c>
      <c r="E2490" t="s">
        <v>159</v>
      </c>
      <c r="F2490">
        <v>6740</v>
      </c>
      <c r="G2490" t="s">
        <v>2673</v>
      </c>
      <c r="H2490" t="s">
        <v>2664</v>
      </c>
      <c r="I2490">
        <v>66440</v>
      </c>
      <c r="J2490">
        <v>71062</v>
      </c>
      <c r="K2490">
        <v>75685</v>
      </c>
      <c r="L2490">
        <v>80307</v>
      </c>
      <c r="M2490">
        <v>84310</v>
      </c>
      <c r="N2490" t="s">
        <v>988</v>
      </c>
    </row>
    <row r="2491" spans="1:14" hidden="1" x14ac:dyDescent="0.3">
      <c r="A2491">
        <v>1631</v>
      </c>
      <c r="B2491" t="s">
        <v>1717</v>
      </c>
      <c r="C2491" t="s">
        <v>2670</v>
      </c>
      <c r="D2491" t="s">
        <v>159</v>
      </c>
      <c r="E2491" t="s">
        <v>159</v>
      </c>
      <c r="F2491">
        <v>6740</v>
      </c>
      <c r="G2491" t="s">
        <v>2676</v>
      </c>
      <c r="H2491" t="s">
        <v>2665</v>
      </c>
      <c r="I2491">
        <v>63666</v>
      </c>
      <c r="J2491">
        <v>68289</v>
      </c>
      <c r="K2491">
        <v>72911</v>
      </c>
      <c r="L2491">
        <v>77533</v>
      </c>
      <c r="M2491">
        <v>82156</v>
      </c>
      <c r="N2491" t="s">
        <v>988</v>
      </c>
    </row>
    <row r="2492" spans="1:14" hidden="1" x14ac:dyDescent="0.3">
      <c r="A2492">
        <v>1631</v>
      </c>
      <c r="B2492" t="s">
        <v>1717</v>
      </c>
      <c r="C2492" t="s">
        <v>2670</v>
      </c>
      <c r="D2492" t="s">
        <v>159</v>
      </c>
      <c r="E2492" t="s">
        <v>159</v>
      </c>
      <c r="F2492">
        <v>6740</v>
      </c>
      <c r="G2492" t="s">
        <v>2671</v>
      </c>
      <c r="H2492" t="s">
        <v>2664</v>
      </c>
      <c r="I2492">
        <v>67364</v>
      </c>
      <c r="J2492">
        <v>70281</v>
      </c>
      <c r="K2492">
        <v>72414</v>
      </c>
      <c r="L2492">
        <v>74548</v>
      </c>
      <c r="M2492">
        <v>76681</v>
      </c>
      <c r="N2492" t="s">
        <v>988</v>
      </c>
    </row>
    <row r="2493" spans="1:14" hidden="1" x14ac:dyDescent="0.3">
      <c r="A2493">
        <v>1631</v>
      </c>
      <c r="B2493" t="s">
        <v>1717</v>
      </c>
      <c r="C2493" t="s">
        <v>2670</v>
      </c>
      <c r="D2493" t="s">
        <v>159</v>
      </c>
      <c r="E2493" t="s">
        <v>159</v>
      </c>
      <c r="F2493">
        <v>6740</v>
      </c>
      <c r="G2493" t="s">
        <v>2671</v>
      </c>
      <c r="H2493" t="s">
        <v>2665</v>
      </c>
      <c r="I2493">
        <v>67364</v>
      </c>
      <c r="J2493">
        <v>70281</v>
      </c>
      <c r="K2493">
        <v>72414</v>
      </c>
      <c r="L2493">
        <v>74548</v>
      </c>
      <c r="M2493">
        <v>76681</v>
      </c>
      <c r="N2493" t="s">
        <v>988</v>
      </c>
    </row>
    <row r="2494" spans="1:14" hidden="1" x14ac:dyDescent="0.3">
      <c r="A2494">
        <v>1631</v>
      </c>
      <c r="B2494" t="s">
        <v>1717</v>
      </c>
      <c r="C2494" t="s">
        <v>2670</v>
      </c>
      <c r="D2494" t="s">
        <v>159</v>
      </c>
      <c r="E2494" t="s">
        <v>159</v>
      </c>
      <c r="F2494">
        <v>6740</v>
      </c>
      <c r="G2494" t="s">
        <v>2672</v>
      </c>
      <c r="H2494" t="s">
        <v>2664</v>
      </c>
      <c r="N2494" t="s">
        <v>988</v>
      </c>
    </row>
    <row r="2495" spans="1:14" hidden="1" x14ac:dyDescent="0.3">
      <c r="A2495">
        <v>1631</v>
      </c>
      <c r="B2495" t="s">
        <v>1717</v>
      </c>
      <c r="C2495" t="s">
        <v>2670</v>
      </c>
      <c r="D2495" t="s">
        <v>159</v>
      </c>
      <c r="E2495" t="s">
        <v>159</v>
      </c>
      <c r="F2495">
        <v>6740</v>
      </c>
      <c r="G2495" t="s">
        <v>2672</v>
      </c>
      <c r="H2495" t="s">
        <v>2665</v>
      </c>
      <c r="N2495" t="s">
        <v>988</v>
      </c>
    </row>
    <row r="2496" spans="1:14" hidden="1" x14ac:dyDescent="0.3">
      <c r="A2496">
        <v>1631</v>
      </c>
      <c r="B2496" t="s">
        <v>1717</v>
      </c>
      <c r="C2496" t="s">
        <v>2670</v>
      </c>
      <c r="D2496" t="s">
        <v>159</v>
      </c>
      <c r="E2496" t="s">
        <v>159</v>
      </c>
      <c r="F2496">
        <v>6740</v>
      </c>
      <c r="G2496" t="s">
        <v>2676</v>
      </c>
      <c r="H2496" t="s">
        <v>2664</v>
      </c>
      <c r="I2496">
        <v>63666</v>
      </c>
      <c r="J2496">
        <v>68289</v>
      </c>
      <c r="K2496">
        <v>72911</v>
      </c>
      <c r="L2496">
        <v>77533</v>
      </c>
      <c r="M2496">
        <v>82156</v>
      </c>
      <c r="N2496" t="s">
        <v>988</v>
      </c>
    </row>
    <row r="2497" spans="1:14" hidden="1" x14ac:dyDescent="0.3">
      <c r="A2497">
        <v>1631</v>
      </c>
      <c r="B2497" t="s">
        <v>1717</v>
      </c>
      <c r="C2497" t="s">
        <v>2670</v>
      </c>
      <c r="D2497" t="s">
        <v>159</v>
      </c>
      <c r="E2497" t="s">
        <v>159</v>
      </c>
      <c r="F2497">
        <v>6740</v>
      </c>
      <c r="G2497" t="s">
        <v>2673</v>
      </c>
      <c r="H2497" t="s">
        <v>2665</v>
      </c>
      <c r="I2497">
        <v>66440</v>
      </c>
      <c r="J2497">
        <v>71062</v>
      </c>
      <c r="K2497">
        <v>75685</v>
      </c>
      <c r="L2497">
        <v>80307</v>
      </c>
      <c r="M2497">
        <v>84310</v>
      </c>
      <c r="N2497" t="s">
        <v>988</v>
      </c>
    </row>
    <row r="2498" spans="1:14" hidden="1" x14ac:dyDescent="0.3">
      <c r="A2498">
        <v>1639</v>
      </c>
      <c r="B2498" t="s">
        <v>1719</v>
      </c>
      <c r="C2498" t="s">
        <v>2670</v>
      </c>
      <c r="D2498" t="s">
        <v>1203</v>
      </c>
      <c r="E2498" t="s">
        <v>1204</v>
      </c>
      <c r="F2498">
        <v>5507</v>
      </c>
      <c r="G2498" t="s">
        <v>2676</v>
      </c>
      <c r="H2498" t="s">
        <v>2664</v>
      </c>
      <c r="I2498">
        <v>7719</v>
      </c>
      <c r="J2498">
        <v>8117</v>
      </c>
      <c r="K2498">
        <v>8262</v>
      </c>
      <c r="L2498">
        <v>8409</v>
      </c>
      <c r="M2498">
        <v>8559</v>
      </c>
      <c r="N2498" t="s">
        <v>988</v>
      </c>
    </row>
    <row r="2499" spans="1:14" hidden="1" x14ac:dyDescent="0.3">
      <c r="A2499">
        <v>1639</v>
      </c>
      <c r="B2499" t="s">
        <v>1719</v>
      </c>
      <c r="C2499" t="s">
        <v>2670</v>
      </c>
      <c r="D2499" t="s">
        <v>1203</v>
      </c>
      <c r="E2499" t="s">
        <v>1204</v>
      </c>
      <c r="F2499">
        <v>5507</v>
      </c>
      <c r="G2499" t="s">
        <v>2676</v>
      </c>
      <c r="H2499" t="s">
        <v>2665</v>
      </c>
      <c r="I2499">
        <v>7719</v>
      </c>
      <c r="J2499">
        <v>8117</v>
      </c>
      <c r="K2499">
        <v>8262</v>
      </c>
      <c r="L2499">
        <v>8409</v>
      </c>
      <c r="M2499">
        <v>8559</v>
      </c>
      <c r="N2499" t="s">
        <v>988</v>
      </c>
    </row>
    <row r="2500" spans="1:14" hidden="1" x14ac:dyDescent="0.3">
      <c r="A2500">
        <v>1639</v>
      </c>
      <c r="B2500" t="s">
        <v>1719</v>
      </c>
      <c r="C2500" t="s">
        <v>2670</v>
      </c>
      <c r="D2500" t="s">
        <v>1203</v>
      </c>
      <c r="E2500" t="s">
        <v>1204</v>
      </c>
      <c r="F2500">
        <v>5507</v>
      </c>
      <c r="G2500" t="s">
        <v>2675</v>
      </c>
      <c r="H2500" t="s">
        <v>2664</v>
      </c>
      <c r="I2500">
        <v>8222</v>
      </c>
      <c r="J2500">
        <v>8646</v>
      </c>
      <c r="K2500">
        <v>8800</v>
      </c>
      <c r="L2500">
        <v>8957</v>
      </c>
      <c r="M2500">
        <v>9117</v>
      </c>
      <c r="N2500" t="s">
        <v>988</v>
      </c>
    </row>
    <row r="2501" spans="1:14" hidden="1" x14ac:dyDescent="0.3">
      <c r="A2501">
        <v>1639</v>
      </c>
      <c r="B2501" t="s">
        <v>1719</v>
      </c>
      <c r="C2501" t="s">
        <v>2670</v>
      </c>
      <c r="D2501" t="s">
        <v>1203</v>
      </c>
      <c r="E2501" t="s">
        <v>1204</v>
      </c>
      <c r="F2501">
        <v>5507</v>
      </c>
      <c r="G2501" t="s">
        <v>2675</v>
      </c>
      <c r="H2501" t="s">
        <v>2665</v>
      </c>
      <c r="I2501">
        <v>8222</v>
      </c>
      <c r="J2501">
        <v>8646</v>
      </c>
      <c r="K2501">
        <v>8800</v>
      </c>
      <c r="L2501">
        <v>8957</v>
      </c>
      <c r="M2501">
        <v>9117</v>
      </c>
      <c r="N2501" t="s">
        <v>988</v>
      </c>
    </row>
    <row r="2502" spans="1:14" hidden="1" x14ac:dyDescent="0.3">
      <c r="A2502">
        <v>1639</v>
      </c>
      <c r="B2502" t="s">
        <v>1719</v>
      </c>
      <c r="C2502" t="s">
        <v>2670</v>
      </c>
      <c r="D2502" t="s">
        <v>1203</v>
      </c>
      <c r="E2502" t="s">
        <v>1204</v>
      </c>
      <c r="F2502">
        <v>5507</v>
      </c>
      <c r="G2502" t="s">
        <v>2674</v>
      </c>
      <c r="H2502" t="s">
        <v>2664</v>
      </c>
      <c r="I2502">
        <v>8490</v>
      </c>
      <c r="J2502">
        <v>8928</v>
      </c>
      <c r="K2502">
        <v>9087</v>
      </c>
      <c r="L2502">
        <v>9249</v>
      </c>
      <c r="M2502">
        <v>9414</v>
      </c>
      <c r="N2502" t="s">
        <v>988</v>
      </c>
    </row>
    <row r="2503" spans="1:14" hidden="1" x14ac:dyDescent="0.3">
      <c r="A2503">
        <v>1639</v>
      </c>
      <c r="B2503" t="s">
        <v>1719</v>
      </c>
      <c r="C2503" t="s">
        <v>2670</v>
      </c>
      <c r="D2503" t="s">
        <v>1203</v>
      </c>
      <c r="E2503" t="s">
        <v>1204</v>
      </c>
      <c r="F2503">
        <v>5507</v>
      </c>
      <c r="G2503" t="s">
        <v>2674</v>
      </c>
      <c r="H2503" t="s">
        <v>2665</v>
      </c>
      <c r="I2503">
        <v>8490</v>
      </c>
      <c r="J2503">
        <v>8928</v>
      </c>
      <c r="K2503">
        <v>9087</v>
      </c>
      <c r="L2503">
        <v>9249</v>
      </c>
      <c r="M2503">
        <v>9414</v>
      </c>
      <c r="N2503" t="s">
        <v>988</v>
      </c>
    </row>
    <row r="2504" spans="1:14" hidden="1" x14ac:dyDescent="0.3">
      <c r="A2504">
        <v>1639</v>
      </c>
      <c r="B2504" t="s">
        <v>1719</v>
      </c>
      <c r="C2504" t="s">
        <v>2670</v>
      </c>
      <c r="D2504" t="s">
        <v>1203</v>
      </c>
      <c r="E2504" t="s">
        <v>1204</v>
      </c>
      <c r="F2504">
        <v>5507</v>
      </c>
      <c r="G2504" t="s">
        <v>2673</v>
      </c>
      <c r="H2504" t="s">
        <v>2664</v>
      </c>
      <c r="I2504">
        <v>8145</v>
      </c>
      <c r="J2504">
        <v>8565</v>
      </c>
      <c r="K2504">
        <v>8718</v>
      </c>
      <c r="L2504">
        <v>8873</v>
      </c>
      <c r="M2504">
        <v>9031</v>
      </c>
      <c r="N2504" t="s">
        <v>988</v>
      </c>
    </row>
    <row r="2505" spans="1:14" hidden="1" x14ac:dyDescent="0.3">
      <c r="A2505">
        <v>1639</v>
      </c>
      <c r="B2505" t="s">
        <v>1719</v>
      </c>
      <c r="C2505" t="s">
        <v>2670</v>
      </c>
      <c r="D2505" t="s">
        <v>1203</v>
      </c>
      <c r="E2505" t="s">
        <v>1204</v>
      </c>
      <c r="F2505">
        <v>5507</v>
      </c>
      <c r="G2505" t="s">
        <v>2673</v>
      </c>
      <c r="H2505" t="s">
        <v>2665</v>
      </c>
      <c r="I2505">
        <v>8145</v>
      </c>
      <c r="J2505">
        <v>8565</v>
      </c>
      <c r="K2505">
        <v>8718</v>
      </c>
      <c r="L2505">
        <v>8873</v>
      </c>
      <c r="M2505">
        <v>9031</v>
      </c>
      <c r="N2505" t="s">
        <v>988</v>
      </c>
    </row>
    <row r="2506" spans="1:14" hidden="1" x14ac:dyDescent="0.3">
      <c r="A2506">
        <v>1639</v>
      </c>
      <c r="B2506" t="s">
        <v>1719</v>
      </c>
      <c r="C2506" t="s">
        <v>2670</v>
      </c>
      <c r="D2506" t="s">
        <v>1203</v>
      </c>
      <c r="E2506" t="s">
        <v>1204</v>
      </c>
      <c r="F2506">
        <v>5507</v>
      </c>
      <c r="G2506" t="s">
        <v>2671</v>
      </c>
      <c r="H2506" t="s">
        <v>2664</v>
      </c>
      <c r="I2506">
        <v>6747</v>
      </c>
      <c r="J2506">
        <v>7095</v>
      </c>
      <c r="K2506">
        <v>7222</v>
      </c>
      <c r="L2506">
        <v>7351</v>
      </c>
      <c r="M2506">
        <v>7482</v>
      </c>
      <c r="N2506" t="s">
        <v>988</v>
      </c>
    </row>
    <row r="2507" spans="1:14" hidden="1" x14ac:dyDescent="0.3">
      <c r="A2507">
        <v>1639</v>
      </c>
      <c r="B2507" t="s">
        <v>1719</v>
      </c>
      <c r="C2507" t="s">
        <v>2670</v>
      </c>
      <c r="D2507" t="s">
        <v>1203</v>
      </c>
      <c r="E2507" t="s">
        <v>1204</v>
      </c>
      <c r="F2507">
        <v>5507</v>
      </c>
      <c r="G2507" t="s">
        <v>2671</v>
      </c>
      <c r="H2507" t="s">
        <v>2665</v>
      </c>
      <c r="I2507">
        <v>6747</v>
      </c>
      <c r="J2507">
        <v>7095</v>
      </c>
      <c r="K2507">
        <v>7222</v>
      </c>
      <c r="L2507">
        <v>7351</v>
      </c>
      <c r="M2507">
        <v>7482</v>
      </c>
      <c r="N2507" t="s">
        <v>988</v>
      </c>
    </row>
    <row r="2508" spans="1:14" hidden="1" x14ac:dyDescent="0.3">
      <c r="A2508">
        <v>1639</v>
      </c>
      <c r="B2508" t="s">
        <v>1719</v>
      </c>
      <c r="C2508" t="s">
        <v>2670</v>
      </c>
      <c r="D2508" t="s">
        <v>1203</v>
      </c>
      <c r="E2508" t="s">
        <v>1204</v>
      </c>
      <c r="F2508">
        <v>5507</v>
      </c>
      <c r="G2508" t="s">
        <v>2672</v>
      </c>
      <c r="H2508" t="s">
        <v>2665</v>
      </c>
      <c r="N2508" t="s">
        <v>988</v>
      </c>
    </row>
    <row r="2509" spans="1:14" hidden="1" x14ac:dyDescent="0.3">
      <c r="A2509">
        <v>1639</v>
      </c>
      <c r="B2509" t="s">
        <v>1719</v>
      </c>
      <c r="C2509" t="s">
        <v>2670</v>
      </c>
      <c r="D2509" t="s">
        <v>1203</v>
      </c>
      <c r="E2509" t="s">
        <v>1204</v>
      </c>
      <c r="F2509">
        <v>5507</v>
      </c>
      <c r="G2509" t="s">
        <v>2672</v>
      </c>
      <c r="H2509" t="s">
        <v>2664</v>
      </c>
      <c r="N2509" t="s">
        <v>988</v>
      </c>
    </row>
    <row r="2510" spans="1:14" hidden="1" x14ac:dyDescent="0.3">
      <c r="A2510">
        <v>1642</v>
      </c>
      <c r="B2510" t="s">
        <v>1720</v>
      </c>
      <c r="C2510" t="s">
        <v>2670</v>
      </c>
      <c r="D2510" t="s">
        <v>1203</v>
      </c>
      <c r="E2510" t="s">
        <v>1204</v>
      </c>
      <c r="F2510">
        <v>5531</v>
      </c>
      <c r="G2510" t="s">
        <v>2672</v>
      </c>
      <c r="H2510" t="s">
        <v>2665</v>
      </c>
      <c r="N2510" t="s">
        <v>988</v>
      </c>
    </row>
    <row r="2511" spans="1:14" hidden="1" x14ac:dyDescent="0.3">
      <c r="A2511">
        <v>1642</v>
      </c>
      <c r="B2511" t="s">
        <v>1720</v>
      </c>
      <c r="C2511" t="s">
        <v>2670</v>
      </c>
      <c r="D2511" t="s">
        <v>1203</v>
      </c>
      <c r="E2511" t="s">
        <v>1204</v>
      </c>
      <c r="F2511">
        <v>5531</v>
      </c>
      <c r="G2511" t="s">
        <v>2672</v>
      </c>
      <c r="H2511" t="s">
        <v>2664</v>
      </c>
      <c r="N2511" t="s">
        <v>988</v>
      </c>
    </row>
    <row r="2512" spans="1:14" hidden="1" x14ac:dyDescent="0.3">
      <c r="A2512">
        <v>1642</v>
      </c>
      <c r="B2512" t="s">
        <v>1720</v>
      </c>
      <c r="C2512" t="s">
        <v>2670</v>
      </c>
      <c r="D2512" t="s">
        <v>1203</v>
      </c>
      <c r="E2512" t="s">
        <v>1204</v>
      </c>
      <c r="F2512">
        <v>5531</v>
      </c>
      <c r="G2512" t="s">
        <v>2671</v>
      </c>
      <c r="H2512" t="s">
        <v>2665</v>
      </c>
      <c r="I2512">
        <v>11138</v>
      </c>
      <c r="J2512">
        <v>11397</v>
      </c>
      <c r="K2512">
        <v>11878</v>
      </c>
      <c r="L2512">
        <v>12083</v>
      </c>
      <c r="M2512">
        <v>12292</v>
      </c>
      <c r="N2512" t="s">
        <v>988</v>
      </c>
    </row>
    <row r="2513" spans="1:14" hidden="1" x14ac:dyDescent="0.3">
      <c r="A2513">
        <v>1642</v>
      </c>
      <c r="B2513" t="s">
        <v>1720</v>
      </c>
      <c r="C2513" t="s">
        <v>2670</v>
      </c>
      <c r="D2513" t="s">
        <v>1203</v>
      </c>
      <c r="E2513" t="s">
        <v>1204</v>
      </c>
      <c r="F2513">
        <v>5531</v>
      </c>
      <c r="G2513" t="s">
        <v>2671</v>
      </c>
      <c r="H2513" t="s">
        <v>2664</v>
      </c>
      <c r="I2513">
        <v>11138</v>
      </c>
      <c r="J2513">
        <v>11397</v>
      </c>
      <c r="K2513">
        <v>11878</v>
      </c>
      <c r="L2513">
        <v>12083</v>
      </c>
      <c r="M2513">
        <v>12292</v>
      </c>
      <c r="N2513" t="s">
        <v>988</v>
      </c>
    </row>
    <row r="2514" spans="1:14" hidden="1" x14ac:dyDescent="0.3">
      <c r="A2514">
        <v>1642</v>
      </c>
      <c r="B2514" t="s">
        <v>1720</v>
      </c>
      <c r="C2514" t="s">
        <v>2670</v>
      </c>
      <c r="D2514" t="s">
        <v>1203</v>
      </c>
      <c r="E2514" t="s">
        <v>1204</v>
      </c>
      <c r="F2514">
        <v>5531</v>
      </c>
      <c r="G2514" t="s">
        <v>2673</v>
      </c>
      <c r="H2514" t="s">
        <v>2665</v>
      </c>
      <c r="I2514">
        <v>12930</v>
      </c>
      <c r="J2514">
        <v>13231</v>
      </c>
      <c r="K2514">
        <v>13788</v>
      </c>
      <c r="L2514">
        <v>14026</v>
      </c>
      <c r="M2514">
        <v>14270</v>
      </c>
      <c r="N2514" t="s">
        <v>988</v>
      </c>
    </row>
    <row r="2515" spans="1:14" hidden="1" x14ac:dyDescent="0.3">
      <c r="A2515">
        <v>1642</v>
      </c>
      <c r="B2515" t="s">
        <v>1720</v>
      </c>
      <c r="C2515" t="s">
        <v>2670</v>
      </c>
      <c r="D2515" t="s">
        <v>1203</v>
      </c>
      <c r="E2515" t="s">
        <v>1204</v>
      </c>
      <c r="F2515">
        <v>5531</v>
      </c>
      <c r="G2515" t="s">
        <v>2673</v>
      </c>
      <c r="H2515" t="s">
        <v>2664</v>
      </c>
      <c r="I2515">
        <v>12930</v>
      </c>
      <c r="J2515">
        <v>13231</v>
      </c>
      <c r="K2515">
        <v>13788</v>
      </c>
      <c r="L2515">
        <v>14026</v>
      </c>
      <c r="M2515">
        <v>14270</v>
      </c>
      <c r="N2515" t="s">
        <v>988</v>
      </c>
    </row>
    <row r="2516" spans="1:14" hidden="1" x14ac:dyDescent="0.3">
      <c r="A2516">
        <v>1642</v>
      </c>
      <c r="B2516" t="s">
        <v>1720</v>
      </c>
      <c r="C2516" t="s">
        <v>2670</v>
      </c>
      <c r="D2516" t="s">
        <v>1203</v>
      </c>
      <c r="E2516" t="s">
        <v>1204</v>
      </c>
      <c r="F2516">
        <v>5531</v>
      </c>
      <c r="G2516" t="s">
        <v>2674</v>
      </c>
      <c r="H2516" t="s">
        <v>2665</v>
      </c>
      <c r="I2516">
        <v>14621</v>
      </c>
      <c r="J2516">
        <v>14962</v>
      </c>
      <c r="K2516">
        <v>15592</v>
      </c>
      <c r="L2516">
        <v>15861</v>
      </c>
      <c r="M2516">
        <v>16136</v>
      </c>
      <c r="N2516" t="s">
        <v>988</v>
      </c>
    </row>
    <row r="2517" spans="1:14" hidden="1" x14ac:dyDescent="0.3">
      <c r="A2517">
        <v>1642</v>
      </c>
      <c r="B2517" t="s">
        <v>1720</v>
      </c>
      <c r="C2517" t="s">
        <v>2670</v>
      </c>
      <c r="D2517" t="s">
        <v>1203</v>
      </c>
      <c r="E2517" t="s">
        <v>1204</v>
      </c>
      <c r="F2517">
        <v>5531</v>
      </c>
      <c r="G2517" t="s">
        <v>2674</v>
      </c>
      <c r="H2517" t="s">
        <v>2664</v>
      </c>
      <c r="I2517">
        <v>14621</v>
      </c>
      <c r="J2517">
        <v>14962</v>
      </c>
      <c r="K2517">
        <v>15592</v>
      </c>
      <c r="L2517">
        <v>15861</v>
      </c>
      <c r="M2517">
        <v>16136</v>
      </c>
      <c r="N2517" t="s">
        <v>988</v>
      </c>
    </row>
    <row r="2518" spans="1:14" hidden="1" x14ac:dyDescent="0.3">
      <c r="A2518">
        <v>1642</v>
      </c>
      <c r="B2518" t="s">
        <v>1720</v>
      </c>
      <c r="C2518" t="s">
        <v>2670</v>
      </c>
      <c r="D2518" t="s">
        <v>1203</v>
      </c>
      <c r="E2518" t="s">
        <v>1204</v>
      </c>
      <c r="F2518">
        <v>5531</v>
      </c>
      <c r="G2518" t="s">
        <v>2675</v>
      </c>
      <c r="H2518" t="s">
        <v>2665</v>
      </c>
      <c r="I2518">
        <v>14155</v>
      </c>
      <c r="J2518">
        <v>14484</v>
      </c>
      <c r="K2518">
        <v>15094</v>
      </c>
      <c r="L2518">
        <v>15355</v>
      </c>
      <c r="M2518">
        <v>15621</v>
      </c>
      <c r="N2518" t="s">
        <v>988</v>
      </c>
    </row>
    <row r="2519" spans="1:14" hidden="1" x14ac:dyDescent="0.3">
      <c r="A2519">
        <v>1642</v>
      </c>
      <c r="B2519" t="s">
        <v>1720</v>
      </c>
      <c r="C2519" t="s">
        <v>2670</v>
      </c>
      <c r="D2519" t="s">
        <v>1203</v>
      </c>
      <c r="E2519" t="s">
        <v>1204</v>
      </c>
      <c r="F2519">
        <v>5531</v>
      </c>
      <c r="G2519" t="s">
        <v>2675</v>
      </c>
      <c r="H2519" t="s">
        <v>2664</v>
      </c>
      <c r="I2519">
        <v>14155</v>
      </c>
      <c r="J2519">
        <v>14484</v>
      </c>
      <c r="K2519">
        <v>15094</v>
      </c>
      <c r="L2519">
        <v>15355</v>
      </c>
      <c r="M2519">
        <v>15621</v>
      </c>
      <c r="N2519" t="s">
        <v>988</v>
      </c>
    </row>
    <row r="2520" spans="1:14" hidden="1" x14ac:dyDescent="0.3">
      <c r="A2520">
        <v>1642</v>
      </c>
      <c r="B2520" t="s">
        <v>1720</v>
      </c>
      <c r="C2520" t="s">
        <v>2670</v>
      </c>
      <c r="D2520" t="s">
        <v>1203</v>
      </c>
      <c r="E2520" t="s">
        <v>1204</v>
      </c>
      <c r="F2520">
        <v>5531</v>
      </c>
      <c r="G2520" t="s">
        <v>2676</v>
      </c>
      <c r="H2520" t="s">
        <v>2665</v>
      </c>
      <c r="I2520">
        <v>12345</v>
      </c>
      <c r="J2520">
        <v>12632</v>
      </c>
      <c r="K2520">
        <v>13164</v>
      </c>
      <c r="L2520">
        <v>13392</v>
      </c>
      <c r="M2520">
        <v>13624</v>
      </c>
      <c r="N2520" t="s">
        <v>988</v>
      </c>
    </row>
    <row r="2521" spans="1:14" hidden="1" x14ac:dyDescent="0.3">
      <c r="A2521">
        <v>1642</v>
      </c>
      <c r="B2521" t="s">
        <v>1720</v>
      </c>
      <c r="C2521" t="s">
        <v>2670</v>
      </c>
      <c r="D2521" t="s">
        <v>1203</v>
      </c>
      <c r="E2521" t="s">
        <v>1204</v>
      </c>
      <c r="F2521">
        <v>5531</v>
      </c>
      <c r="G2521" t="s">
        <v>2676</v>
      </c>
      <c r="H2521" t="s">
        <v>2664</v>
      </c>
      <c r="I2521">
        <v>12345</v>
      </c>
      <c r="J2521">
        <v>12632</v>
      </c>
      <c r="K2521">
        <v>13164</v>
      </c>
      <c r="L2521">
        <v>13392</v>
      </c>
      <c r="M2521">
        <v>13624</v>
      </c>
      <c r="N2521" t="s">
        <v>988</v>
      </c>
    </row>
    <row r="2522" spans="1:14" hidden="1" x14ac:dyDescent="0.3">
      <c r="A2522">
        <v>1644</v>
      </c>
      <c r="B2522" t="s">
        <v>1721</v>
      </c>
      <c r="C2522" t="s">
        <v>2670</v>
      </c>
      <c r="D2522" t="s">
        <v>1203</v>
      </c>
      <c r="E2522" t="s">
        <v>1204</v>
      </c>
      <c r="F2522">
        <v>5943</v>
      </c>
      <c r="G2522" t="s">
        <v>2674</v>
      </c>
      <c r="H2522" t="s">
        <v>2664</v>
      </c>
      <c r="I2522">
        <v>4379</v>
      </c>
      <c r="J2522">
        <v>4379</v>
      </c>
      <c r="K2522">
        <v>4379</v>
      </c>
      <c r="L2522">
        <v>4379</v>
      </c>
      <c r="M2522">
        <v>4379</v>
      </c>
      <c r="N2522" t="s">
        <v>988</v>
      </c>
    </row>
    <row r="2523" spans="1:14" hidden="1" x14ac:dyDescent="0.3">
      <c r="A2523">
        <v>1644</v>
      </c>
      <c r="B2523" t="s">
        <v>1721</v>
      </c>
      <c r="C2523" t="s">
        <v>2670</v>
      </c>
      <c r="D2523" t="s">
        <v>1203</v>
      </c>
      <c r="E2523" t="s">
        <v>1204</v>
      </c>
      <c r="F2523">
        <v>5943</v>
      </c>
      <c r="G2523" t="s">
        <v>2675</v>
      </c>
      <c r="H2523" t="s">
        <v>2665</v>
      </c>
      <c r="I2523">
        <v>3498</v>
      </c>
      <c r="J2523">
        <v>3527</v>
      </c>
      <c r="K2523">
        <v>3557</v>
      </c>
      <c r="L2523">
        <v>3586</v>
      </c>
      <c r="M2523">
        <v>3616</v>
      </c>
      <c r="N2523" t="s">
        <v>988</v>
      </c>
    </row>
    <row r="2524" spans="1:14" hidden="1" x14ac:dyDescent="0.3">
      <c r="A2524">
        <v>1644</v>
      </c>
      <c r="B2524" t="s">
        <v>1721</v>
      </c>
      <c r="C2524" t="s">
        <v>2670</v>
      </c>
      <c r="D2524" t="s">
        <v>1203</v>
      </c>
      <c r="E2524" t="s">
        <v>1204</v>
      </c>
      <c r="F2524">
        <v>5943</v>
      </c>
      <c r="G2524" t="s">
        <v>2675</v>
      </c>
      <c r="H2524" t="s">
        <v>2664</v>
      </c>
      <c r="I2524">
        <v>4379</v>
      </c>
      <c r="J2524">
        <v>4379</v>
      </c>
      <c r="K2524">
        <v>4379</v>
      </c>
      <c r="L2524">
        <v>4379</v>
      </c>
      <c r="M2524">
        <v>4379</v>
      </c>
      <c r="N2524" t="s">
        <v>988</v>
      </c>
    </row>
    <row r="2525" spans="1:14" hidden="1" x14ac:dyDescent="0.3">
      <c r="A2525">
        <v>1644</v>
      </c>
      <c r="B2525" t="s">
        <v>1721</v>
      </c>
      <c r="C2525" t="s">
        <v>2670</v>
      </c>
      <c r="D2525" t="s">
        <v>1203</v>
      </c>
      <c r="E2525" t="s">
        <v>1204</v>
      </c>
      <c r="F2525">
        <v>5943</v>
      </c>
      <c r="G2525" t="s">
        <v>2676</v>
      </c>
      <c r="H2525" t="s">
        <v>2665</v>
      </c>
      <c r="I2525">
        <v>3400</v>
      </c>
      <c r="J2525">
        <v>3429</v>
      </c>
      <c r="K2525">
        <v>3459</v>
      </c>
      <c r="L2525">
        <v>3488</v>
      </c>
      <c r="M2525">
        <v>3518</v>
      </c>
      <c r="N2525" t="s">
        <v>988</v>
      </c>
    </row>
    <row r="2526" spans="1:14" hidden="1" x14ac:dyDescent="0.3">
      <c r="A2526">
        <v>1644</v>
      </c>
      <c r="B2526" t="s">
        <v>1721</v>
      </c>
      <c r="C2526" t="s">
        <v>2670</v>
      </c>
      <c r="D2526" t="s">
        <v>1203</v>
      </c>
      <c r="E2526" t="s">
        <v>1204</v>
      </c>
      <c r="F2526">
        <v>5943</v>
      </c>
      <c r="G2526" t="s">
        <v>2676</v>
      </c>
      <c r="H2526" t="s">
        <v>2664</v>
      </c>
      <c r="I2526">
        <v>4379</v>
      </c>
      <c r="J2526">
        <v>4379</v>
      </c>
      <c r="K2526">
        <v>4379</v>
      </c>
      <c r="L2526">
        <v>4379</v>
      </c>
      <c r="M2526">
        <v>4379</v>
      </c>
      <c r="N2526" t="s">
        <v>988</v>
      </c>
    </row>
    <row r="2527" spans="1:14" hidden="1" x14ac:dyDescent="0.3">
      <c r="A2527">
        <v>1644</v>
      </c>
      <c r="B2527" t="s">
        <v>1721</v>
      </c>
      <c r="C2527" t="s">
        <v>2670</v>
      </c>
      <c r="D2527" t="s">
        <v>1203</v>
      </c>
      <c r="E2527" t="s">
        <v>1204</v>
      </c>
      <c r="F2527">
        <v>5943</v>
      </c>
      <c r="G2527" t="s">
        <v>2672</v>
      </c>
      <c r="H2527" t="s">
        <v>2665</v>
      </c>
      <c r="N2527" t="s">
        <v>988</v>
      </c>
    </row>
    <row r="2528" spans="1:14" hidden="1" x14ac:dyDescent="0.3">
      <c r="A2528">
        <v>1644</v>
      </c>
      <c r="B2528" t="s">
        <v>1721</v>
      </c>
      <c r="C2528" t="s">
        <v>2670</v>
      </c>
      <c r="D2528" t="s">
        <v>1203</v>
      </c>
      <c r="E2528" t="s">
        <v>1204</v>
      </c>
      <c r="F2528">
        <v>5943</v>
      </c>
      <c r="G2528" t="s">
        <v>2672</v>
      </c>
      <c r="H2528" t="s">
        <v>2664</v>
      </c>
      <c r="N2528" t="s">
        <v>988</v>
      </c>
    </row>
    <row r="2529" spans="1:14" hidden="1" x14ac:dyDescent="0.3">
      <c r="A2529">
        <v>1644</v>
      </c>
      <c r="B2529" t="s">
        <v>1721</v>
      </c>
      <c r="C2529" t="s">
        <v>2670</v>
      </c>
      <c r="D2529" t="s">
        <v>1203</v>
      </c>
      <c r="E2529" t="s">
        <v>1204</v>
      </c>
      <c r="F2529">
        <v>5943</v>
      </c>
      <c r="G2529" t="s">
        <v>2671</v>
      </c>
      <c r="H2529" t="s">
        <v>2665</v>
      </c>
      <c r="I2529">
        <v>3355</v>
      </c>
      <c r="J2529">
        <v>3385</v>
      </c>
      <c r="K2529">
        <v>3414</v>
      </c>
      <c r="L2529">
        <v>3444</v>
      </c>
      <c r="M2529">
        <v>3473</v>
      </c>
      <c r="N2529" t="s">
        <v>988</v>
      </c>
    </row>
    <row r="2530" spans="1:14" hidden="1" x14ac:dyDescent="0.3">
      <c r="A2530">
        <v>1644</v>
      </c>
      <c r="B2530" t="s">
        <v>1721</v>
      </c>
      <c r="C2530" t="s">
        <v>2670</v>
      </c>
      <c r="D2530" t="s">
        <v>1203</v>
      </c>
      <c r="E2530" t="s">
        <v>1204</v>
      </c>
      <c r="F2530">
        <v>5943</v>
      </c>
      <c r="G2530" t="s">
        <v>2671</v>
      </c>
      <c r="H2530" t="s">
        <v>2664</v>
      </c>
      <c r="I2530">
        <v>4379</v>
      </c>
      <c r="J2530">
        <v>4379</v>
      </c>
      <c r="K2530">
        <v>4379</v>
      </c>
      <c r="L2530">
        <v>4379</v>
      </c>
      <c r="M2530">
        <v>4379</v>
      </c>
      <c r="N2530" t="s">
        <v>988</v>
      </c>
    </row>
    <row r="2531" spans="1:14" hidden="1" x14ac:dyDescent="0.3">
      <c r="A2531">
        <v>1644</v>
      </c>
      <c r="B2531" t="s">
        <v>1721</v>
      </c>
      <c r="C2531" t="s">
        <v>2670</v>
      </c>
      <c r="D2531" t="s">
        <v>1203</v>
      </c>
      <c r="E2531" t="s">
        <v>1204</v>
      </c>
      <c r="F2531">
        <v>5943</v>
      </c>
      <c r="G2531" t="s">
        <v>2673</v>
      </c>
      <c r="H2531" t="s">
        <v>2665</v>
      </c>
      <c r="I2531">
        <v>3439</v>
      </c>
      <c r="J2531">
        <v>3469</v>
      </c>
      <c r="K2531">
        <v>3498</v>
      </c>
      <c r="L2531">
        <v>3528</v>
      </c>
      <c r="M2531">
        <v>3557</v>
      </c>
      <c r="N2531" t="s">
        <v>988</v>
      </c>
    </row>
    <row r="2532" spans="1:14" hidden="1" x14ac:dyDescent="0.3">
      <c r="A2532">
        <v>1644</v>
      </c>
      <c r="B2532" t="s">
        <v>1721</v>
      </c>
      <c r="C2532" t="s">
        <v>2670</v>
      </c>
      <c r="D2532" t="s">
        <v>1203</v>
      </c>
      <c r="E2532" t="s">
        <v>1204</v>
      </c>
      <c r="F2532">
        <v>5943</v>
      </c>
      <c r="G2532" t="s">
        <v>2673</v>
      </c>
      <c r="H2532" t="s">
        <v>2664</v>
      </c>
      <c r="I2532">
        <v>4379</v>
      </c>
      <c r="J2532">
        <v>4379</v>
      </c>
      <c r="K2532">
        <v>4379</v>
      </c>
      <c r="L2532">
        <v>4379</v>
      </c>
      <c r="M2532">
        <v>4379</v>
      </c>
      <c r="N2532" t="s">
        <v>988</v>
      </c>
    </row>
    <row r="2533" spans="1:14" hidden="1" x14ac:dyDescent="0.3">
      <c r="A2533">
        <v>1644</v>
      </c>
      <c r="B2533" t="s">
        <v>1721</v>
      </c>
      <c r="C2533" t="s">
        <v>2670</v>
      </c>
      <c r="D2533" t="s">
        <v>1203</v>
      </c>
      <c r="E2533" t="s">
        <v>1204</v>
      </c>
      <c r="F2533">
        <v>5943</v>
      </c>
      <c r="G2533" t="s">
        <v>2674</v>
      </c>
      <c r="H2533" t="s">
        <v>2665</v>
      </c>
      <c r="I2533">
        <v>3555</v>
      </c>
      <c r="J2533">
        <v>3584</v>
      </c>
      <c r="K2533">
        <v>3614</v>
      </c>
      <c r="L2533">
        <v>3643</v>
      </c>
      <c r="M2533">
        <v>3673</v>
      </c>
      <c r="N2533" t="s">
        <v>988</v>
      </c>
    </row>
    <row r="2534" spans="1:14" hidden="1" x14ac:dyDescent="0.3">
      <c r="A2534">
        <v>1645</v>
      </c>
      <c r="B2534" t="s">
        <v>1722</v>
      </c>
      <c r="C2534" t="s">
        <v>2670</v>
      </c>
      <c r="D2534" t="s">
        <v>159</v>
      </c>
      <c r="E2534" t="s">
        <v>159</v>
      </c>
      <c r="F2534">
        <v>7917</v>
      </c>
      <c r="G2534" t="s">
        <v>2676</v>
      </c>
      <c r="H2534" t="s">
        <v>2664</v>
      </c>
      <c r="I2534">
        <v>5638</v>
      </c>
      <c r="J2534">
        <v>6138</v>
      </c>
      <c r="K2534">
        <v>6138</v>
      </c>
      <c r="L2534">
        <v>6138</v>
      </c>
      <c r="N2534" t="s">
        <v>988</v>
      </c>
    </row>
    <row r="2535" spans="1:14" hidden="1" x14ac:dyDescent="0.3">
      <c r="A2535">
        <v>1645</v>
      </c>
      <c r="B2535" t="s">
        <v>1722</v>
      </c>
      <c r="C2535" t="s">
        <v>2670</v>
      </c>
      <c r="D2535" t="s">
        <v>159</v>
      </c>
      <c r="E2535" t="s">
        <v>159</v>
      </c>
      <c r="F2535">
        <v>7917</v>
      </c>
      <c r="G2535" t="s">
        <v>2672</v>
      </c>
      <c r="H2535" t="s">
        <v>2665</v>
      </c>
      <c r="N2535" t="s">
        <v>988</v>
      </c>
    </row>
    <row r="2536" spans="1:14" hidden="1" x14ac:dyDescent="0.3">
      <c r="A2536">
        <v>1645</v>
      </c>
      <c r="B2536" t="s">
        <v>1722</v>
      </c>
      <c r="C2536" t="s">
        <v>2670</v>
      </c>
      <c r="D2536" t="s">
        <v>159</v>
      </c>
      <c r="E2536" t="s">
        <v>159</v>
      </c>
      <c r="F2536">
        <v>7917</v>
      </c>
      <c r="G2536" t="s">
        <v>2676</v>
      </c>
      <c r="H2536" t="s">
        <v>2665</v>
      </c>
      <c r="I2536">
        <v>5098</v>
      </c>
      <c r="J2536">
        <v>5241</v>
      </c>
      <c r="K2536">
        <v>5356</v>
      </c>
      <c r="L2536">
        <v>5499</v>
      </c>
      <c r="N2536" t="s">
        <v>988</v>
      </c>
    </row>
    <row r="2537" spans="1:14" hidden="1" x14ac:dyDescent="0.3">
      <c r="A2537">
        <v>1645</v>
      </c>
      <c r="B2537" t="s">
        <v>1722</v>
      </c>
      <c r="C2537" t="s">
        <v>2670</v>
      </c>
      <c r="D2537" t="s">
        <v>159</v>
      </c>
      <c r="E2537" t="s">
        <v>159</v>
      </c>
      <c r="F2537">
        <v>7917</v>
      </c>
      <c r="G2537" t="s">
        <v>2675</v>
      </c>
      <c r="H2537" t="s">
        <v>2664</v>
      </c>
      <c r="I2537">
        <v>5848</v>
      </c>
      <c r="J2537">
        <v>6436</v>
      </c>
      <c r="K2537">
        <v>6524</v>
      </c>
      <c r="L2537">
        <v>6612</v>
      </c>
      <c r="N2537" t="s">
        <v>988</v>
      </c>
    </row>
    <row r="2538" spans="1:14" hidden="1" x14ac:dyDescent="0.3">
      <c r="A2538">
        <v>1645</v>
      </c>
      <c r="B2538" t="s">
        <v>1722</v>
      </c>
      <c r="C2538" t="s">
        <v>2670</v>
      </c>
      <c r="D2538" t="s">
        <v>159</v>
      </c>
      <c r="E2538" t="s">
        <v>159</v>
      </c>
      <c r="F2538">
        <v>7917</v>
      </c>
      <c r="G2538" t="s">
        <v>2675</v>
      </c>
      <c r="H2538" t="s">
        <v>2665</v>
      </c>
      <c r="I2538">
        <v>5126</v>
      </c>
      <c r="J2538">
        <v>5264</v>
      </c>
      <c r="K2538">
        <v>5385</v>
      </c>
      <c r="L2538">
        <v>5527</v>
      </c>
      <c r="N2538" t="s">
        <v>988</v>
      </c>
    </row>
    <row r="2539" spans="1:14" hidden="1" x14ac:dyDescent="0.3">
      <c r="A2539">
        <v>1645</v>
      </c>
      <c r="B2539" t="s">
        <v>1722</v>
      </c>
      <c r="C2539" t="s">
        <v>2670</v>
      </c>
      <c r="D2539" t="s">
        <v>159</v>
      </c>
      <c r="E2539" t="s">
        <v>159</v>
      </c>
      <c r="F2539">
        <v>7917</v>
      </c>
      <c r="G2539" t="s">
        <v>2674</v>
      </c>
      <c r="H2539" t="s">
        <v>2664</v>
      </c>
      <c r="I2539">
        <v>4738</v>
      </c>
      <c r="J2539">
        <v>5138</v>
      </c>
      <c r="K2539">
        <v>5138</v>
      </c>
      <c r="L2539">
        <v>5138</v>
      </c>
      <c r="N2539" t="s">
        <v>988</v>
      </c>
    </row>
    <row r="2540" spans="1:14" hidden="1" x14ac:dyDescent="0.3">
      <c r="A2540">
        <v>1645</v>
      </c>
      <c r="B2540" t="s">
        <v>1722</v>
      </c>
      <c r="C2540" t="s">
        <v>2670</v>
      </c>
      <c r="D2540" t="s">
        <v>159</v>
      </c>
      <c r="E2540" t="s">
        <v>159</v>
      </c>
      <c r="F2540">
        <v>7917</v>
      </c>
      <c r="G2540" t="s">
        <v>2674</v>
      </c>
      <c r="H2540" t="s">
        <v>2665</v>
      </c>
      <c r="I2540">
        <v>5155</v>
      </c>
      <c r="J2540">
        <v>5287</v>
      </c>
      <c r="K2540">
        <v>5413</v>
      </c>
      <c r="L2540">
        <v>5556</v>
      </c>
      <c r="N2540" t="s">
        <v>988</v>
      </c>
    </row>
    <row r="2541" spans="1:14" hidden="1" x14ac:dyDescent="0.3">
      <c r="A2541">
        <v>1645</v>
      </c>
      <c r="B2541" t="s">
        <v>1722</v>
      </c>
      <c r="C2541" t="s">
        <v>2670</v>
      </c>
      <c r="D2541" t="s">
        <v>159</v>
      </c>
      <c r="E2541" t="s">
        <v>159</v>
      </c>
      <c r="F2541">
        <v>7917</v>
      </c>
      <c r="G2541" t="s">
        <v>2673</v>
      </c>
      <c r="H2541" t="s">
        <v>2664</v>
      </c>
      <c r="I2541">
        <v>4299</v>
      </c>
      <c r="J2541">
        <v>4766</v>
      </c>
      <c r="K2541">
        <v>4733</v>
      </c>
      <c r="L2541">
        <v>4800</v>
      </c>
      <c r="N2541" t="s">
        <v>988</v>
      </c>
    </row>
    <row r="2542" spans="1:14" hidden="1" x14ac:dyDescent="0.3">
      <c r="A2542">
        <v>1645</v>
      </c>
      <c r="B2542" t="s">
        <v>1722</v>
      </c>
      <c r="C2542" t="s">
        <v>2670</v>
      </c>
      <c r="D2542" t="s">
        <v>159</v>
      </c>
      <c r="E2542" t="s">
        <v>159</v>
      </c>
      <c r="F2542">
        <v>7917</v>
      </c>
      <c r="G2542" t="s">
        <v>2673</v>
      </c>
      <c r="H2542" t="s">
        <v>2665</v>
      </c>
      <c r="I2542">
        <v>5184</v>
      </c>
      <c r="J2542">
        <v>5310</v>
      </c>
      <c r="K2542">
        <v>5442</v>
      </c>
      <c r="L2542">
        <v>5584</v>
      </c>
      <c r="N2542" t="s">
        <v>988</v>
      </c>
    </row>
    <row r="2543" spans="1:14" hidden="1" x14ac:dyDescent="0.3">
      <c r="A2543">
        <v>1645</v>
      </c>
      <c r="B2543" t="s">
        <v>1722</v>
      </c>
      <c r="C2543" t="s">
        <v>2670</v>
      </c>
      <c r="D2543" t="s">
        <v>159</v>
      </c>
      <c r="E2543" t="s">
        <v>159</v>
      </c>
      <c r="F2543">
        <v>7917</v>
      </c>
      <c r="G2543" t="s">
        <v>2671</v>
      </c>
      <c r="H2543" t="s">
        <v>2664</v>
      </c>
      <c r="I2543">
        <v>4195</v>
      </c>
      <c r="J2543">
        <v>4817</v>
      </c>
      <c r="K2543">
        <v>4839</v>
      </c>
      <c r="L2543">
        <v>4761</v>
      </c>
      <c r="N2543" t="s">
        <v>988</v>
      </c>
    </row>
    <row r="2544" spans="1:14" hidden="1" x14ac:dyDescent="0.3">
      <c r="A2544">
        <v>1645</v>
      </c>
      <c r="B2544" t="s">
        <v>1722</v>
      </c>
      <c r="C2544" t="s">
        <v>2670</v>
      </c>
      <c r="D2544" t="s">
        <v>159</v>
      </c>
      <c r="E2544" t="s">
        <v>159</v>
      </c>
      <c r="F2544">
        <v>7917</v>
      </c>
      <c r="G2544" t="s">
        <v>2671</v>
      </c>
      <c r="H2544" t="s">
        <v>2665</v>
      </c>
      <c r="I2544">
        <v>5212</v>
      </c>
      <c r="J2544">
        <v>5333</v>
      </c>
      <c r="K2544">
        <v>5470</v>
      </c>
      <c r="L2544">
        <v>5613</v>
      </c>
      <c r="N2544" t="s">
        <v>988</v>
      </c>
    </row>
    <row r="2545" spans="1:14" hidden="1" x14ac:dyDescent="0.3">
      <c r="A2545">
        <v>1645</v>
      </c>
      <c r="B2545" t="s">
        <v>1722</v>
      </c>
      <c r="C2545" t="s">
        <v>2670</v>
      </c>
      <c r="D2545" t="s">
        <v>159</v>
      </c>
      <c r="E2545" t="s">
        <v>159</v>
      </c>
      <c r="F2545">
        <v>7917</v>
      </c>
      <c r="G2545" t="s">
        <v>2672</v>
      </c>
      <c r="H2545" t="s">
        <v>2664</v>
      </c>
      <c r="N2545" t="s">
        <v>988</v>
      </c>
    </row>
    <row r="2546" spans="1:14" hidden="1" x14ac:dyDescent="0.3">
      <c r="A2546">
        <v>1650</v>
      </c>
      <c r="B2546" t="s">
        <v>1724</v>
      </c>
      <c r="C2546" t="s">
        <v>2670</v>
      </c>
      <c r="D2546" t="s">
        <v>1203</v>
      </c>
      <c r="E2546" t="s">
        <v>1204</v>
      </c>
      <c r="F2546">
        <v>5505</v>
      </c>
      <c r="G2546" t="s">
        <v>2676</v>
      </c>
      <c r="H2546" t="s">
        <v>2664</v>
      </c>
      <c r="I2546">
        <v>9796</v>
      </c>
      <c r="J2546">
        <v>9905</v>
      </c>
      <c r="K2546">
        <v>10016</v>
      </c>
      <c r="L2546">
        <v>10128</v>
      </c>
      <c r="M2546">
        <v>10242</v>
      </c>
      <c r="N2546" t="s">
        <v>988</v>
      </c>
    </row>
    <row r="2547" spans="1:14" hidden="1" x14ac:dyDescent="0.3">
      <c r="A2547">
        <v>1650</v>
      </c>
      <c r="B2547" t="s">
        <v>1724</v>
      </c>
      <c r="C2547" t="s">
        <v>2670</v>
      </c>
      <c r="D2547" t="s">
        <v>1203</v>
      </c>
      <c r="E2547" t="s">
        <v>1204</v>
      </c>
      <c r="F2547">
        <v>5505</v>
      </c>
      <c r="G2547" t="s">
        <v>2675</v>
      </c>
      <c r="H2547" t="s">
        <v>2664</v>
      </c>
      <c r="I2547">
        <v>9989</v>
      </c>
      <c r="J2547">
        <v>10101</v>
      </c>
      <c r="K2547">
        <v>10214</v>
      </c>
      <c r="L2547">
        <v>10328</v>
      </c>
      <c r="M2547">
        <v>10444</v>
      </c>
      <c r="N2547" t="s">
        <v>988</v>
      </c>
    </row>
    <row r="2548" spans="1:14" hidden="1" x14ac:dyDescent="0.3">
      <c r="A2548">
        <v>1650</v>
      </c>
      <c r="B2548" t="s">
        <v>1724</v>
      </c>
      <c r="C2548" t="s">
        <v>2670</v>
      </c>
      <c r="D2548" t="s">
        <v>1203</v>
      </c>
      <c r="E2548" t="s">
        <v>1204</v>
      </c>
      <c r="F2548">
        <v>5505</v>
      </c>
      <c r="G2548" t="s">
        <v>2675</v>
      </c>
      <c r="H2548" t="s">
        <v>2665</v>
      </c>
      <c r="I2548">
        <v>9989</v>
      </c>
      <c r="J2548">
        <v>10101</v>
      </c>
      <c r="K2548">
        <v>10214</v>
      </c>
      <c r="L2548">
        <v>10328</v>
      </c>
      <c r="M2548">
        <v>10444</v>
      </c>
      <c r="N2548" t="s">
        <v>988</v>
      </c>
    </row>
    <row r="2549" spans="1:14" hidden="1" x14ac:dyDescent="0.3">
      <c r="A2549">
        <v>1650</v>
      </c>
      <c r="B2549" t="s">
        <v>1724</v>
      </c>
      <c r="C2549" t="s">
        <v>2670</v>
      </c>
      <c r="D2549" t="s">
        <v>1203</v>
      </c>
      <c r="E2549" t="s">
        <v>1204</v>
      </c>
      <c r="F2549">
        <v>5505</v>
      </c>
      <c r="G2549" t="s">
        <v>2674</v>
      </c>
      <c r="H2549" t="s">
        <v>2664</v>
      </c>
      <c r="I2549">
        <v>10133</v>
      </c>
      <c r="J2549">
        <v>10246</v>
      </c>
      <c r="K2549">
        <v>10361</v>
      </c>
      <c r="L2549">
        <v>10477</v>
      </c>
      <c r="M2549">
        <v>10594</v>
      </c>
      <c r="N2549" t="s">
        <v>988</v>
      </c>
    </row>
    <row r="2550" spans="1:14" hidden="1" x14ac:dyDescent="0.3">
      <c r="A2550">
        <v>1650</v>
      </c>
      <c r="B2550" t="s">
        <v>1724</v>
      </c>
      <c r="C2550" t="s">
        <v>2670</v>
      </c>
      <c r="D2550" t="s">
        <v>1203</v>
      </c>
      <c r="E2550" t="s">
        <v>1204</v>
      </c>
      <c r="F2550">
        <v>5505</v>
      </c>
      <c r="G2550" t="s">
        <v>2674</v>
      </c>
      <c r="H2550" t="s">
        <v>2665</v>
      </c>
      <c r="I2550">
        <v>10133</v>
      </c>
      <c r="J2550">
        <v>10246</v>
      </c>
      <c r="K2550">
        <v>10361</v>
      </c>
      <c r="L2550">
        <v>10477</v>
      </c>
      <c r="M2550">
        <v>10594</v>
      </c>
      <c r="N2550" t="s">
        <v>988</v>
      </c>
    </row>
    <row r="2551" spans="1:14" hidden="1" x14ac:dyDescent="0.3">
      <c r="A2551">
        <v>1650</v>
      </c>
      <c r="B2551" t="s">
        <v>1724</v>
      </c>
      <c r="C2551" t="s">
        <v>2670</v>
      </c>
      <c r="D2551" t="s">
        <v>1203</v>
      </c>
      <c r="E2551" t="s">
        <v>1204</v>
      </c>
      <c r="F2551">
        <v>5505</v>
      </c>
      <c r="G2551" t="s">
        <v>2676</v>
      </c>
      <c r="H2551" t="s">
        <v>2665</v>
      </c>
      <c r="I2551">
        <v>9796</v>
      </c>
      <c r="J2551">
        <v>9905</v>
      </c>
      <c r="K2551">
        <v>10016</v>
      </c>
      <c r="L2551">
        <v>10128</v>
      </c>
      <c r="M2551">
        <v>10242</v>
      </c>
      <c r="N2551" t="s">
        <v>988</v>
      </c>
    </row>
    <row r="2552" spans="1:14" hidden="1" x14ac:dyDescent="0.3">
      <c r="A2552">
        <v>1650</v>
      </c>
      <c r="B2552" t="s">
        <v>1724</v>
      </c>
      <c r="C2552" t="s">
        <v>2670</v>
      </c>
      <c r="D2552" t="s">
        <v>1203</v>
      </c>
      <c r="E2552" t="s">
        <v>1204</v>
      </c>
      <c r="F2552">
        <v>5505</v>
      </c>
      <c r="G2552" t="s">
        <v>2673</v>
      </c>
      <c r="H2552" t="s">
        <v>2665</v>
      </c>
      <c r="I2552">
        <v>9350</v>
      </c>
      <c r="J2552">
        <v>9454</v>
      </c>
      <c r="K2552">
        <v>9560</v>
      </c>
      <c r="L2552">
        <v>9667</v>
      </c>
      <c r="M2552">
        <v>9775</v>
      </c>
      <c r="N2552" t="s">
        <v>988</v>
      </c>
    </row>
    <row r="2553" spans="1:14" hidden="1" x14ac:dyDescent="0.3">
      <c r="A2553">
        <v>1650</v>
      </c>
      <c r="B2553" t="s">
        <v>1724</v>
      </c>
      <c r="C2553" t="s">
        <v>2670</v>
      </c>
      <c r="D2553" t="s">
        <v>1203</v>
      </c>
      <c r="E2553" t="s">
        <v>1204</v>
      </c>
      <c r="F2553">
        <v>5505</v>
      </c>
      <c r="G2553" t="s">
        <v>2671</v>
      </c>
      <c r="H2553" t="s">
        <v>2664</v>
      </c>
      <c r="I2553">
        <v>8256</v>
      </c>
      <c r="J2553">
        <v>8348</v>
      </c>
      <c r="K2553">
        <v>8441</v>
      </c>
      <c r="L2553">
        <v>8536</v>
      </c>
      <c r="M2553">
        <v>8631</v>
      </c>
      <c r="N2553" t="s">
        <v>988</v>
      </c>
    </row>
    <row r="2554" spans="1:14" hidden="1" x14ac:dyDescent="0.3">
      <c r="A2554">
        <v>1650</v>
      </c>
      <c r="B2554" t="s">
        <v>1724</v>
      </c>
      <c r="C2554" t="s">
        <v>2670</v>
      </c>
      <c r="D2554" t="s">
        <v>1203</v>
      </c>
      <c r="E2554" t="s">
        <v>1204</v>
      </c>
      <c r="F2554">
        <v>5505</v>
      </c>
      <c r="G2554" t="s">
        <v>2671</v>
      </c>
      <c r="H2554" t="s">
        <v>2665</v>
      </c>
      <c r="I2554">
        <v>8256</v>
      </c>
      <c r="J2554">
        <v>8348</v>
      </c>
      <c r="K2554">
        <v>8441</v>
      </c>
      <c r="L2554">
        <v>8536</v>
      </c>
      <c r="M2554">
        <v>8631</v>
      </c>
      <c r="N2554" t="s">
        <v>988</v>
      </c>
    </row>
    <row r="2555" spans="1:14" hidden="1" x14ac:dyDescent="0.3">
      <c r="A2555">
        <v>1650</v>
      </c>
      <c r="B2555" t="s">
        <v>1724</v>
      </c>
      <c r="C2555" t="s">
        <v>2670</v>
      </c>
      <c r="D2555" t="s">
        <v>1203</v>
      </c>
      <c r="E2555" t="s">
        <v>1204</v>
      </c>
      <c r="F2555">
        <v>5505</v>
      </c>
      <c r="G2555" t="s">
        <v>2672</v>
      </c>
      <c r="H2555" t="s">
        <v>2664</v>
      </c>
      <c r="N2555" t="s">
        <v>988</v>
      </c>
    </row>
    <row r="2556" spans="1:14" hidden="1" x14ac:dyDescent="0.3">
      <c r="A2556">
        <v>1650</v>
      </c>
      <c r="B2556" t="s">
        <v>1724</v>
      </c>
      <c r="C2556" t="s">
        <v>2670</v>
      </c>
      <c r="D2556" t="s">
        <v>1203</v>
      </c>
      <c r="E2556" t="s">
        <v>1204</v>
      </c>
      <c r="F2556">
        <v>5505</v>
      </c>
      <c r="G2556" t="s">
        <v>2672</v>
      </c>
      <c r="H2556" t="s">
        <v>2665</v>
      </c>
      <c r="N2556" t="s">
        <v>988</v>
      </c>
    </row>
    <row r="2557" spans="1:14" hidden="1" x14ac:dyDescent="0.3">
      <c r="A2557">
        <v>1650</v>
      </c>
      <c r="B2557" t="s">
        <v>1724</v>
      </c>
      <c r="C2557" t="s">
        <v>2670</v>
      </c>
      <c r="D2557" t="s">
        <v>1203</v>
      </c>
      <c r="E2557" t="s">
        <v>1204</v>
      </c>
      <c r="F2557">
        <v>5505</v>
      </c>
      <c r="G2557" t="s">
        <v>2673</v>
      </c>
      <c r="H2557" t="s">
        <v>2664</v>
      </c>
      <c r="I2557">
        <v>9350</v>
      </c>
      <c r="J2557">
        <v>9454</v>
      </c>
      <c r="K2557">
        <v>9560</v>
      </c>
      <c r="L2557">
        <v>9667</v>
      </c>
      <c r="M2557">
        <v>9775</v>
      </c>
      <c r="N2557" t="s">
        <v>988</v>
      </c>
    </row>
    <row r="2558" spans="1:14" hidden="1" x14ac:dyDescent="0.3">
      <c r="A2558">
        <v>1656</v>
      </c>
      <c r="B2558" t="s">
        <v>1725</v>
      </c>
      <c r="C2558" t="s">
        <v>2670</v>
      </c>
      <c r="D2558" t="s">
        <v>1203</v>
      </c>
      <c r="E2558" t="s">
        <v>1204</v>
      </c>
      <c r="F2558">
        <v>6765</v>
      </c>
      <c r="G2558" t="s">
        <v>2676</v>
      </c>
      <c r="H2558" t="s">
        <v>2665</v>
      </c>
      <c r="I2558">
        <v>8671</v>
      </c>
      <c r="J2558">
        <v>10181</v>
      </c>
      <c r="K2558">
        <v>11623</v>
      </c>
      <c r="L2558">
        <v>13008</v>
      </c>
      <c r="M2558">
        <v>14372</v>
      </c>
      <c r="N2558" t="s">
        <v>988</v>
      </c>
    </row>
    <row r="2559" spans="1:14" hidden="1" x14ac:dyDescent="0.3">
      <c r="A2559">
        <v>1656</v>
      </c>
      <c r="B2559" t="s">
        <v>1725</v>
      </c>
      <c r="C2559" t="s">
        <v>2670</v>
      </c>
      <c r="D2559" t="s">
        <v>1203</v>
      </c>
      <c r="E2559" t="s">
        <v>1204</v>
      </c>
      <c r="F2559">
        <v>6765</v>
      </c>
      <c r="G2559" t="s">
        <v>2675</v>
      </c>
      <c r="H2559" t="s">
        <v>2664</v>
      </c>
      <c r="I2559">
        <v>20584</v>
      </c>
      <c r="J2559">
        <v>21165</v>
      </c>
      <c r="K2559">
        <v>21829</v>
      </c>
      <c r="L2559">
        <v>22410</v>
      </c>
      <c r="M2559">
        <v>22991</v>
      </c>
      <c r="N2559" t="s">
        <v>988</v>
      </c>
    </row>
    <row r="2560" spans="1:14" hidden="1" x14ac:dyDescent="0.3">
      <c r="A2560">
        <v>1656</v>
      </c>
      <c r="B2560" t="s">
        <v>1725</v>
      </c>
      <c r="C2560" t="s">
        <v>2670</v>
      </c>
      <c r="D2560" t="s">
        <v>1203</v>
      </c>
      <c r="E2560" t="s">
        <v>1204</v>
      </c>
      <c r="F2560">
        <v>6765</v>
      </c>
      <c r="G2560" t="s">
        <v>2675</v>
      </c>
      <c r="H2560" t="s">
        <v>2665</v>
      </c>
      <c r="I2560">
        <v>8671</v>
      </c>
      <c r="J2560">
        <v>10181</v>
      </c>
      <c r="K2560">
        <v>11623</v>
      </c>
      <c r="L2560">
        <v>13008</v>
      </c>
      <c r="M2560">
        <v>14372</v>
      </c>
      <c r="N2560" t="s">
        <v>988</v>
      </c>
    </row>
    <row r="2561" spans="1:14" hidden="1" x14ac:dyDescent="0.3">
      <c r="A2561">
        <v>1656</v>
      </c>
      <c r="B2561" t="s">
        <v>1725</v>
      </c>
      <c r="C2561" t="s">
        <v>2670</v>
      </c>
      <c r="D2561" t="s">
        <v>1203</v>
      </c>
      <c r="E2561" t="s">
        <v>1204</v>
      </c>
      <c r="F2561">
        <v>6765</v>
      </c>
      <c r="G2561" t="s">
        <v>2674</v>
      </c>
      <c r="H2561" t="s">
        <v>2664</v>
      </c>
      <c r="I2561">
        <v>19096</v>
      </c>
      <c r="J2561">
        <v>19635</v>
      </c>
      <c r="K2561">
        <v>20251</v>
      </c>
      <c r="L2561">
        <v>20790</v>
      </c>
      <c r="M2561">
        <v>21329</v>
      </c>
      <c r="N2561" t="s">
        <v>988</v>
      </c>
    </row>
    <row r="2562" spans="1:14" hidden="1" x14ac:dyDescent="0.3">
      <c r="A2562">
        <v>1656</v>
      </c>
      <c r="B2562" t="s">
        <v>1725</v>
      </c>
      <c r="C2562" t="s">
        <v>2670</v>
      </c>
      <c r="D2562" t="s">
        <v>1203</v>
      </c>
      <c r="E2562" t="s">
        <v>1204</v>
      </c>
      <c r="F2562">
        <v>6765</v>
      </c>
      <c r="G2562" t="s">
        <v>2674</v>
      </c>
      <c r="H2562" t="s">
        <v>2665</v>
      </c>
      <c r="I2562">
        <v>8671</v>
      </c>
      <c r="J2562">
        <v>10181</v>
      </c>
      <c r="K2562">
        <v>11623</v>
      </c>
      <c r="L2562">
        <v>13008</v>
      </c>
      <c r="M2562">
        <v>14372</v>
      </c>
      <c r="N2562" t="s">
        <v>988</v>
      </c>
    </row>
    <row r="2563" spans="1:14" hidden="1" x14ac:dyDescent="0.3">
      <c r="A2563">
        <v>1656</v>
      </c>
      <c r="B2563" t="s">
        <v>1725</v>
      </c>
      <c r="C2563" t="s">
        <v>2670</v>
      </c>
      <c r="D2563" t="s">
        <v>1203</v>
      </c>
      <c r="E2563" t="s">
        <v>1204</v>
      </c>
      <c r="F2563">
        <v>6765</v>
      </c>
      <c r="G2563" t="s">
        <v>2676</v>
      </c>
      <c r="H2563" t="s">
        <v>2664</v>
      </c>
      <c r="I2563">
        <v>19344</v>
      </c>
      <c r="J2563">
        <v>19890</v>
      </c>
      <c r="K2563">
        <v>20514</v>
      </c>
      <c r="L2563">
        <v>21060</v>
      </c>
      <c r="M2563">
        <v>21606</v>
      </c>
      <c r="N2563" t="s">
        <v>988</v>
      </c>
    </row>
    <row r="2564" spans="1:14" hidden="1" x14ac:dyDescent="0.3">
      <c r="A2564">
        <v>1656</v>
      </c>
      <c r="B2564" t="s">
        <v>1725</v>
      </c>
      <c r="C2564" t="s">
        <v>2670</v>
      </c>
      <c r="D2564" t="s">
        <v>1203</v>
      </c>
      <c r="E2564" t="s">
        <v>1204</v>
      </c>
      <c r="F2564">
        <v>6765</v>
      </c>
      <c r="G2564" t="s">
        <v>2673</v>
      </c>
      <c r="H2564" t="s">
        <v>2665</v>
      </c>
      <c r="I2564">
        <v>8671</v>
      </c>
      <c r="J2564">
        <v>10181</v>
      </c>
      <c r="K2564">
        <v>11623</v>
      </c>
      <c r="L2564">
        <v>13008</v>
      </c>
      <c r="M2564">
        <v>14372</v>
      </c>
      <c r="N2564" t="s">
        <v>988</v>
      </c>
    </row>
    <row r="2565" spans="1:14" hidden="1" x14ac:dyDescent="0.3">
      <c r="A2565">
        <v>1656</v>
      </c>
      <c r="B2565" t="s">
        <v>1725</v>
      </c>
      <c r="C2565" t="s">
        <v>2670</v>
      </c>
      <c r="D2565" t="s">
        <v>1203</v>
      </c>
      <c r="E2565" t="s">
        <v>1204</v>
      </c>
      <c r="F2565">
        <v>6765</v>
      </c>
      <c r="G2565" t="s">
        <v>2671</v>
      </c>
      <c r="H2565" t="s">
        <v>2664</v>
      </c>
      <c r="I2565">
        <v>19096</v>
      </c>
      <c r="J2565">
        <v>19635</v>
      </c>
      <c r="K2565">
        <v>20251</v>
      </c>
      <c r="L2565">
        <v>20790</v>
      </c>
      <c r="M2565">
        <v>21329</v>
      </c>
      <c r="N2565" t="s">
        <v>988</v>
      </c>
    </row>
    <row r="2566" spans="1:14" hidden="1" x14ac:dyDescent="0.3">
      <c r="A2566">
        <v>1656</v>
      </c>
      <c r="B2566" t="s">
        <v>1725</v>
      </c>
      <c r="C2566" t="s">
        <v>2670</v>
      </c>
      <c r="D2566" t="s">
        <v>1203</v>
      </c>
      <c r="E2566" t="s">
        <v>1204</v>
      </c>
      <c r="F2566">
        <v>6765</v>
      </c>
      <c r="G2566" t="s">
        <v>2671</v>
      </c>
      <c r="H2566" t="s">
        <v>2665</v>
      </c>
      <c r="I2566">
        <v>8671</v>
      </c>
      <c r="J2566">
        <v>10181</v>
      </c>
      <c r="K2566">
        <v>11623</v>
      </c>
      <c r="L2566">
        <v>13008</v>
      </c>
      <c r="M2566">
        <v>14372</v>
      </c>
      <c r="N2566" t="s">
        <v>988</v>
      </c>
    </row>
    <row r="2567" spans="1:14" hidden="1" x14ac:dyDescent="0.3">
      <c r="A2567">
        <v>1656</v>
      </c>
      <c r="B2567" t="s">
        <v>1725</v>
      </c>
      <c r="C2567" t="s">
        <v>2670</v>
      </c>
      <c r="D2567" t="s">
        <v>1203</v>
      </c>
      <c r="E2567" t="s">
        <v>1204</v>
      </c>
      <c r="F2567">
        <v>6765</v>
      </c>
      <c r="G2567" t="s">
        <v>2672</v>
      </c>
      <c r="H2567" t="s">
        <v>2664</v>
      </c>
      <c r="N2567" t="s">
        <v>988</v>
      </c>
    </row>
    <row r="2568" spans="1:14" hidden="1" x14ac:dyDescent="0.3">
      <c r="A2568">
        <v>1656</v>
      </c>
      <c r="B2568" t="s">
        <v>1725</v>
      </c>
      <c r="C2568" t="s">
        <v>2670</v>
      </c>
      <c r="D2568" t="s">
        <v>1203</v>
      </c>
      <c r="E2568" t="s">
        <v>1204</v>
      </c>
      <c r="F2568">
        <v>6765</v>
      </c>
      <c r="G2568" t="s">
        <v>2672</v>
      </c>
      <c r="H2568" t="s">
        <v>2665</v>
      </c>
      <c r="N2568" t="s">
        <v>988</v>
      </c>
    </row>
    <row r="2569" spans="1:14" hidden="1" x14ac:dyDescent="0.3">
      <c r="A2569">
        <v>1656</v>
      </c>
      <c r="B2569" t="s">
        <v>1725</v>
      </c>
      <c r="C2569" t="s">
        <v>2670</v>
      </c>
      <c r="D2569" t="s">
        <v>1203</v>
      </c>
      <c r="E2569" t="s">
        <v>1204</v>
      </c>
      <c r="F2569">
        <v>6765</v>
      </c>
      <c r="G2569" t="s">
        <v>2673</v>
      </c>
      <c r="H2569" t="s">
        <v>2664</v>
      </c>
      <c r="I2569">
        <v>19344</v>
      </c>
      <c r="J2569">
        <v>19890</v>
      </c>
      <c r="K2569">
        <v>20514</v>
      </c>
      <c r="L2569">
        <v>21060</v>
      </c>
      <c r="M2569">
        <v>21606</v>
      </c>
      <c r="N2569" t="s">
        <v>988</v>
      </c>
    </row>
    <row r="2570" spans="1:14" hidden="1" x14ac:dyDescent="0.3">
      <c r="A2570">
        <v>1660</v>
      </c>
      <c r="B2570" t="s">
        <v>1727</v>
      </c>
      <c r="C2570" t="s">
        <v>2670</v>
      </c>
      <c r="D2570" t="s">
        <v>1203</v>
      </c>
      <c r="E2570" t="s">
        <v>1204</v>
      </c>
      <c r="F2570">
        <v>5935</v>
      </c>
      <c r="G2570" t="s">
        <v>2676</v>
      </c>
      <c r="H2570" t="s">
        <v>2665</v>
      </c>
      <c r="I2570">
        <v>1333</v>
      </c>
      <c r="J2570">
        <v>1366</v>
      </c>
      <c r="K2570">
        <v>1400</v>
      </c>
      <c r="L2570">
        <v>1445</v>
      </c>
      <c r="M2570">
        <v>1445</v>
      </c>
      <c r="N2570" t="s">
        <v>988</v>
      </c>
    </row>
    <row r="2571" spans="1:14" hidden="1" x14ac:dyDescent="0.3">
      <c r="A2571">
        <v>1660</v>
      </c>
      <c r="B2571" t="s">
        <v>1727</v>
      </c>
      <c r="C2571" t="s">
        <v>2670</v>
      </c>
      <c r="D2571" t="s">
        <v>1203</v>
      </c>
      <c r="E2571" t="s">
        <v>1204</v>
      </c>
      <c r="F2571">
        <v>5935</v>
      </c>
      <c r="G2571" t="s">
        <v>2675</v>
      </c>
      <c r="H2571" t="s">
        <v>2664</v>
      </c>
      <c r="I2571">
        <v>2967</v>
      </c>
      <c r="J2571">
        <v>2967</v>
      </c>
      <c r="K2571">
        <v>2967</v>
      </c>
      <c r="L2571">
        <v>2967</v>
      </c>
      <c r="M2571">
        <v>2967</v>
      </c>
      <c r="N2571" t="s">
        <v>988</v>
      </c>
    </row>
    <row r="2572" spans="1:14" hidden="1" x14ac:dyDescent="0.3">
      <c r="A2572">
        <v>1660</v>
      </c>
      <c r="B2572" t="s">
        <v>1727</v>
      </c>
      <c r="C2572" t="s">
        <v>2670</v>
      </c>
      <c r="D2572" t="s">
        <v>1203</v>
      </c>
      <c r="E2572" t="s">
        <v>1204</v>
      </c>
      <c r="F2572">
        <v>5935</v>
      </c>
      <c r="G2572" t="s">
        <v>2675</v>
      </c>
      <c r="H2572" t="s">
        <v>2665</v>
      </c>
      <c r="I2572">
        <v>1333</v>
      </c>
      <c r="J2572">
        <v>1366</v>
      </c>
      <c r="K2572">
        <v>1400</v>
      </c>
      <c r="L2572">
        <v>1445</v>
      </c>
      <c r="M2572">
        <v>1445</v>
      </c>
      <c r="N2572" t="s">
        <v>988</v>
      </c>
    </row>
    <row r="2573" spans="1:14" hidden="1" x14ac:dyDescent="0.3">
      <c r="A2573">
        <v>1660</v>
      </c>
      <c r="B2573" t="s">
        <v>1727</v>
      </c>
      <c r="C2573" t="s">
        <v>2670</v>
      </c>
      <c r="D2573" t="s">
        <v>1203</v>
      </c>
      <c r="E2573" t="s">
        <v>1204</v>
      </c>
      <c r="F2573">
        <v>5935</v>
      </c>
      <c r="G2573" t="s">
        <v>2674</v>
      </c>
      <c r="H2573" t="s">
        <v>2664</v>
      </c>
      <c r="I2573">
        <v>1702</v>
      </c>
      <c r="J2573">
        <v>1702</v>
      </c>
      <c r="K2573">
        <v>1702</v>
      </c>
      <c r="L2573">
        <v>1702</v>
      </c>
      <c r="M2573">
        <v>1702</v>
      </c>
      <c r="N2573" t="s">
        <v>988</v>
      </c>
    </row>
    <row r="2574" spans="1:14" hidden="1" x14ac:dyDescent="0.3">
      <c r="A2574">
        <v>1660</v>
      </c>
      <c r="B2574" t="s">
        <v>1727</v>
      </c>
      <c r="C2574" t="s">
        <v>2670</v>
      </c>
      <c r="D2574" t="s">
        <v>1203</v>
      </c>
      <c r="E2574" t="s">
        <v>1204</v>
      </c>
      <c r="F2574">
        <v>5935</v>
      </c>
      <c r="G2574" t="s">
        <v>2674</v>
      </c>
      <c r="H2574" t="s">
        <v>2665</v>
      </c>
      <c r="I2574">
        <v>1333</v>
      </c>
      <c r="J2574">
        <v>1366</v>
      </c>
      <c r="K2574">
        <v>1400</v>
      </c>
      <c r="L2574">
        <v>1445</v>
      </c>
      <c r="M2574">
        <v>1445</v>
      </c>
      <c r="N2574" t="s">
        <v>988</v>
      </c>
    </row>
    <row r="2575" spans="1:14" hidden="1" x14ac:dyDescent="0.3">
      <c r="A2575">
        <v>1660</v>
      </c>
      <c r="B2575" t="s">
        <v>1727</v>
      </c>
      <c r="C2575" t="s">
        <v>2670</v>
      </c>
      <c r="D2575" t="s">
        <v>1203</v>
      </c>
      <c r="E2575" t="s">
        <v>1204</v>
      </c>
      <c r="F2575">
        <v>5935</v>
      </c>
      <c r="G2575" t="s">
        <v>2673</v>
      </c>
      <c r="H2575" t="s">
        <v>2664</v>
      </c>
      <c r="I2575">
        <v>1445</v>
      </c>
      <c r="J2575">
        <v>1445</v>
      </c>
      <c r="K2575">
        <v>1445</v>
      </c>
      <c r="L2575">
        <v>1445</v>
      </c>
      <c r="M2575">
        <v>1445</v>
      </c>
      <c r="N2575" t="s">
        <v>988</v>
      </c>
    </row>
    <row r="2576" spans="1:14" hidden="1" x14ac:dyDescent="0.3">
      <c r="A2576">
        <v>1660</v>
      </c>
      <c r="B2576" t="s">
        <v>1727</v>
      </c>
      <c r="C2576" t="s">
        <v>2670</v>
      </c>
      <c r="D2576" t="s">
        <v>1203</v>
      </c>
      <c r="E2576" t="s">
        <v>1204</v>
      </c>
      <c r="F2576">
        <v>5935</v>
      </c>
      <c r="G2576" t="s">
        <v>2673</v>
      </c>
      <c r="H2576" t="s">
        <v>2665</v>
      </c>
      <c r="I2576">
        <v>1333</v>
      </c>
      <c r="J2576">
        <v>1366</v>
      </c>
      <c r="K2576">
        <v>1400</v>
      </c>
      <c r="L2576">
        <v>1445</v>
      </c>
      <c r="M2576">
        <v>1445</v>
      </c>
      <c r="N2576" t="s">
        <v>988</v>
      </c>
    </row>
    <row r="2577" spans="1:14" hidden="1" x14ac:dyDescent="0.3">
      <c r="A2577">
        <v>1660</v>
      </c>
      <c r="B2577" t="s">
        <v>1727</v>
      </c>
      <c r="C2577" t="s">
        <v>2670</v>
      </c>
      <c r="D2577" t="s">
        <v>1203</v>
      </c>
      <c r="E2577" t="s">
        <v>1204</v>
      </c>
      <c r="F2577">
        <v>5935</v>
      </c>
      <c r="G2577" t="s">
        <v>2671</v>
      </c>
      <c r="H2577" t="s">
        <v>2664</v>
      </c>
      <c r="I2577">
        <v>1720</v>
      </c>
      <c r="J2577">
        <v>1720</v>
      </c>
      <c r="K2577">
        <v>1720</v>
      </c>
      <c r="L2577">
        <v>1720</v>
      </c>
      <c r="M2577">
        <v>1720</v>
      </c>
      <c r="N2577" t="s">
        <v>988</v>
      </c>
    </row>
    <row r="2578" spans="1:14" hidden="1" x14ac:dyDescent="0.3">
      <c r="A2578">
        <v>1660</v>
      </c>
      <c r="B2578" t="s">
        <v>1727</v>
      </c>
      <c r="C2578" t="s">
        <v>2670</v>
      </c>
      <c r="D2578" t="s">
        <v>1203</v>
      </c>
      <c r="E2578" t="s">
        <v>1204</v>
      </c>
      <c r="F2578">
        <v>5935</v>
      </c>
      <c r="G2578" t="s">
        <v>2671</v>
      </c>
      <c r="H2578" t="s">
        <v>2665</v>
      </c>
      <c r="I2578">
        <v>1333</v>
      </c>
      <c r="J2578">
        <v>1366</v>
      </c>
      <c r="K2578">
        <v>1400</v>
      </c>
      <c r="L2578">
        <v>1445</v>
      </c>
      <c r="M2578">
        <v>1445</v>
      </c>
      <c r="N2578" t="s">
        <v>988</v>
      </c>
    </row>
    <row r="2579" spans="1:14" hidden="1" x14ac:dyDescent="0.3">
      <c r="A2579">
        <v>1660</v>
      </c>
      <c r="B2579" t="s">
        <v>1727</v>
      </c>
      <c r="C2579" t="s">
        <v>2670</v>
      </c>
      <c r="D2579" t="s">
        <v>1203</v>
      </c>
      <c r="E2579" t="s">
        <v>1204</v>
      </c>
      <c r="F2579">
        <v>5935</v>
      </c>
      <c r="G2579" t="s">
        <v>2672</v>
      </c>
      <c r="H2579" t="s">
        <v>2664</v>
      </c>
      <c r="I2579">
        <v>1720</v>
      </c>
      <c r="J2579">
        <v>1720</v>
      </c>
      <c r="K2579">
        <v>1720</v>
      </c>
      <c r="L2579">
        <v>1720</v>
      </c>
      <c r="M2579">
        <v>1720</v>
      </c>
      <c r="N2579" t="s">
        <v>988</v>
      </c>
    </row>
    <row r="2580" spans="1:14" hidden="1" x14ac:dyDescent="0.3">
      <c r="A2580">
        <v>1660</v>
      </c>
      <c r="B2580" t="s">
        <v>1727</v>
      </c>
      <c r="C2580" t="s">
        <v>2670</v>
      </c>
      <c r="D2580" t="s">
        <v>1203</v>
      </c>
      <c r="E2580" t="s">
        <v>1204</v>
      </c>
      <c r="F2580">
        <v>5935</v>
      </c>
      <c r="G2580" t="s">
        <v>2676</v>
      </c>
      <c r="H2580" t="s">
        <v>2664</v>
      </c>
      <c r="I2580">
        <v>3151</v>
      </c>
      <c r="J2580">
        <v>3151</v>
      </c>
      <c r="K2580">
        <v>3151</v>
      </c>
      <c r="L2580">
        <v>3151</v>
      </c>
      <c r="M2580">
        <v>3151</v>
      </c>
      <c r="N2580" t="s">
        <v>988</v>
      </c>
    </row>
    <row r="2581" spans="1:14" hidden="1" x14ac:dyDescent="0.3">
      <c r="A2581">
        <v>1660</v>
      </c>
      <c r="B2581" t="s">
        <v>1727</v>
      </c>
      <c r="C2581" t="s">
        <v>2670</v>
      </c>
      <c r="D2581" t="s">
        <v>1203</v>
      </c>
      <c r="E2581" t="s">
        <v>1204</v>
      </c>
      <c r="F2581">
        <v>5935</v>
      </c>
      <c r="G2581" t="s">
        <v>2672</v>
      </c>
      <c r="H2581" t="s">
        <v>2665</v>
      </c>
      <c r="I2581">
        <v>1333</v>
      </c>
      <c r="J2581">
        <v>1366</v>
      </c>
      <c r="K2581">
        <v>1400</v>
      </c>
      <c r="L2581">
        <v>1445</v>
      </c>
      <c r="M2581">
        <v>1445</v>
      </c>
      <c r="N2581" t="s">
        <v>988</v>
      </c>
    </row>
    <row r="2582" spans="1:14" hidden="1" x14ac:dyDescent="0.3">
      <c r="A2582">
        <v>1663</v>
      </c>
      <c r="B2582" t="s">
        <v>1728</v>
      </c>
      <c r="C2582" t="s">
        <v>2670</v>
      </c>
      <c r="D2582" t="s">
        <v>159</v>
      </c>
      <c r="E2582" t="s">
        <v>159</v>
      </c>
      <c r="F2582">
        <v>7831</v>
      </c>
      <c r="G2582" t="s">
        <v>2671</v>
      </c>
      <c r="H2582" t="s">
        <v>2665</v>
      </c>
      <c r="I2582">
        <v>31844</v>
      </c>
      <c r="J2582">
        <v>31646</v>
      </c>
      <c r="K2582">
        <v>31501</v>
      </c>
      <c r="L2582">
        <v>31319</v>
      </c>
      <c r="M2582">
        <v>31280</v>
      </c>
      <c r="N2582" t="s">
        <v>988</v>
      </c>
    </row>
    <row r="2583" spans="1:14" hidden="1" x14ac:dyDescent="0.3">
      <c r="A2583">
        <v>1663</v>
      </c>
      <c r="B2583" t="s">
        <v>1728</v>
      </c>
      <c r="C2583" t="s">
        <v>2670</v>
      </c>
      <c r="D2583" t="s">
        <v>159</v>
      </c>
      <c r="E2583" t="s">
        <v>159</v>
      </c>
      <c r="F2583">
        <v>7831</v>
      </c>
      <c r="G2583" t="s">
        <v>2672</v>
      </c>
      <c r="H2583" t="s">
        <v>2664</v>
      </c>
      <c r="N2583" t="s">
        <v>988</v>
      </c>
    </row>
    <row r="2584" spans="1:14" hidden="1" x14ac:dyDescent="0.3">
      <c r="A2584">
        <v>1663</v>
      </c>
      <c r="B2584" t="s">
        <v>1728</v>
      </c>
      <c r="C2584" t="s">
        <v>2670</v>
      </c>
      <c r="D2584" t="s">
        <v>159</v>
      </c>
      <c r="E2584" t="s">
        <v>159</v>
      </c>
      <c r="F2584">
        <v>7831</v>
      </c>
      <c r="G2584" t="s">
        <v>2672</v>
      </c>
      <c r="H2584" t="s">
        <v>2665</v>
      </c>
      <c r="N2584" t="s">
        <v>988</v>
      </c>
    </row>
    <row r="2585" spans="1:14" hidden="1" x14ac:dyDescent="0.3">
      <c r="A2585">
        <v>1663</v>
      </c>
      <c r="B2585" t="s">
        <v>1728</v>
      </c>
      <c r="C2585" t="s">
        <v>2670</v>
      </c>
      <c r="D2585" t="s">
        <v>159</v>
      </c>
      <c r="E2585" t="s">
        <v>159</v>
      </c>
      <c r="F2585">
        <v>7831</v>
      </c>
      <c r="G2585" t="s">
        <v>2676</v>
      </c>
      <c r="H2585" t="s">
        <v>2664</v>
      </c>
      <c r="I2585">
        <v>33435</v>
      </c>
      <c r="J2585">
        <v>33111</v>
      </c>
      <c r="K2585">
        <v>32934</v>
      </c>
      <c r="L2585">
        <v>32970</v>
      </c>
      <c r="M2585">
        <v>32588</v>
      </c>
      <c r="N2585" t="s">
        <v>988</v>
      </c>
    </row>
    <row r="2586" spans="1:14" hidden="1" x14ac:dyDescent="0.3">
      <c r="A2586">
        <v>1663</v>
      </c>
      <c r="B2586" t="s">
        <v>1728</v>
      </c>
      <c r="C2586" t="s">
        <v>2670</v>
      </c>
      <c r="D2586" t="s">
        <v>159</v>
      </c>
      <c r="E2586" t="s">
        <v>159</v>
      </c>
      <c r="F2586">
        <v>7831</v>
      </c>
      <c r="G2586" t="s">
        <v>2676</v>
      </c>
      <c r="H2586" t="s">
        <v>2665</v>
      </c>
      <c r="I2586">
        <v>33435</v>
      </c>
      <c r="J2586">
        <v>33111</v>
      </c>
      <c r="K2586">
        <v>32934</v>
      </c>
      <c r="L2586">
        <v>32970</v>
      </c>
      <c r="M2586">
        <v>32588</v>
      </c>
      <c r="N2586" t="s">
        <v>988</v>
      </c>
    </row>
    <row r="2587" spans="1:14" hidden="1" x14ac:dyDescent="0.3">
      <c r="A2587">
        <v>1663</v>
      </c>
      <c r="B2587" t="s">
        <v>1728</v>
      </c>
      <c r="C2587" t="s">
        <v>2670</v>
      </c>
      <c r="D2587" t="s">
        <v>159</v>
      </c>
      <c r="E2587" t="s">
        <v>159</v>
      </c>
      <c r="F2587">
        <v>7831</v>
      </c>
      <c r="G2587" t="s">
        <v>2671</v>
      </c>
      <c r="H2587" t="s">
        <v>2664</v>
      </c>
      <c r="I2587">
        <v>31844</v>
      </c>
      <c r="J2587">
        <v>31646</v>
      </c>
      <c r="K2587">
        <v>31501</v>
      </c>
      <c r="L2587">
        <v>31319</v>
      </c>
      <c r="M2587">
        <v>31280</v>
      </c>
      <c r="N2587" t="s">
        <v>988</v>
      </c>
    </row>
    <row r="2588" spans="1:14" hidden="1" x14ac:dyDescent="0.3">
      <c r="A2588">
        <v>1663</v>
      </c>
      <c r="B2588" t="s">
        <v>1728</v>
      </c>
      <c r="C2588" t="s">
        <v>2670</v>
      </c>
      <c r="D2588" t="s">
        <v>159</v>
      </c>
      <c r="E2588" t="s">
        <v>159</v>
      </c>
      <c r="F2588">
        <v>7831</v>
      </c>
      <c r="G2588" t="s">
        <v>2675</v>
      </c>
      <c r="H2588" t="s">
        <v>2665</v>
      </c>
      <c r="I2588">
        <v>33419</v>
      </c>
      <c r="J2588">
        <v>33124</v>
      </c>
      <c r="K2588">
        <v>32953</v>
      </c>
      <c r="L2588">
        <v>32797</v>
      </c>
      <c r="M2588">
        <v>32636</v>
      </c>
      <c r="N2588" t="s">
        <v>988</v>
      </c>
    </row>
    <row r="2589" spans="1:14" hidden="1" x14ac:dyDescent="0.3">
      <c r="A2589">
        <v>1663</v>
      </c>
      <c r="B2589" t="s">
        <v>1728</v>
      </c>
      <c r="C2589" t="s">
        <v>2670</v>
      </c>
      <c r="D2589" t="s">
        <v>159</v>
      </c>
      <c r="E2589" t="s">
        <v>159</v>
      </c>
      <c r="F2589">
        <v>7831</v>
      </c>
      <c r="G2589" t="s">
        <v>2674</v>
      </c>
      <c r="H2589" t="s">
        <v>2664</v>
      </c>
      <c r="I2589">
        <v>31969</v>
      </c>
      <c r="J2589">
        <v>31714</v>
      </c>
      <c r="K2589">
        <v>31556</v>
      </c>
      <c r="L2589">
        <v>31396</v>
      </c>
      <c r="M2589">
        <v>31280</v>
      </c>
      <c r="N2589" t="s">
        <v>988</v>
      </c>
    </row>
    <row r="2590" spans="1:14" hidden="1" x14ac:dyDescent="0.3">
      <c r="A2590">
        <v>1663</v>
      </c>
      <c r="B2590" t="s">
        <v>1728</v>
      </c>
      <c r="C2590" t="s">
        <v>2670</v>
      </c>
      <c r="D2590" t="s">
        <v>159</v>
      </c>
      <c r="E2590" t="s">
        <v>159</v>
      </c>
      <c r="F2590">
        <v>7831</v>
      </c>
      <c r="G2590" t="s">
        <v>2674</v>
      </c>
      <c r="H2590" t="s">
        <v>2665</v>
      </c>
      <c r="I2590">
        <v>31969</v>
      </c>
      <c r="J2590">
        <v>31714</v>
      </c>
      <c r="K2590">
        <v>31556</v>
      </c>
      <c r="L2590">
        <v>31396</v>
      </c>
      <c r="M2590">
        <v>31280</v>
      </c>
      <c r="N2590" t="s">
        <v>988</v>
      </c>
    </row>
    <row r="2591" spans="1:14" hidden="1" x14ac:dyDescent="0.3">
      <c r="A2591">
        <v>1663</v>
      </c>
      <c r="B2591" t="s">
        <v>1728</v>
      </c>
      <c r="C2591" t="s">
        <v>2670</v>
      </c>
      <c r="D2591" t="s">
        <v>159</v>
      </c>
      <c r="E2591" t="s">
        <v>159</v>
      </c>
      <c r="F2591">
        <v>7831</v>
      </c>
      <c r="G2591" t="s">
        <v>2673</v>
      </c>
      <c r="H2591" t="s">
        <v>2664</v>
      </c>
      <c r="I2591">
        <v>31906</v>
      </c>
      <c r="J2591">
        <v>31680</v>
      </c>
      <c r="K2591">
        <v>31529</v>
      </c>
      <c r="L2591">
        <v>31357</v>
      </c>
      <c r="M2591">
        <v>31280</v>
      </c>
      <c r="N2591" t="s">
        <v>988</v>
      </c>
    </row>
    <row r="2592" spans="1:14" hidden="1" x14ac:dyDescent="0.3">
      <c r="A2592">
        <v>1663</v>
      </c>
      <c r="B2592" t="s">
        <v>1728</v>
      </c>
      <c r="C2592" t="s">
        <v>2670</v>
      </c>
      <c r="D2592" t="s">
        <v>159</v>
      </c>
      <c r="E2592" t="s">
        <v>159</v>
      </c>
      <c r="F2592">
        <v>7831</v>
      </c>
      <c r="G2592" t="s">
        <v>2673</v>
      </c>
      <c r="H2592" t="s">
        <v>2665</v>
      </c>
      <c r="I2592">
        <v>31906</v>
      </c>
      <c r="J2592">
        <v>31680</v>
      </c>
      <c r="K2592">
        <v>31529</v>
      </c>
      <c r="L2592">
        <v>31357</v>
      </c>
      <c r="M2592">
        <v>31280</v>
      </c>
      <c r="N2592" t="s">
        <v>988</v>
      </c>
    </row>
    <row r="2593" spans="1:14" hidden="1" x14ac:dyDescent="0.3">
      <c r="A2593">
        <v>1663</v>
      </c>
      <c r="B2593" t="s">
        <v>1728</v>
      </c>
      <c r="C2593" t="s">
        <v>2670</v>
      </c>
      <c r="D2593" t="s">
        <v>159</v>
      </c>
      <c r="E2593" t="s">
        <v>159</v>
      </c>
      <c r="F2593">
        <v>7831</v>
      </c>
      <c r="G2593" t="s">
        <v>2675</v>
      </c>
      <c r="H2593" t="s">
        <v>2664</v>
      </c>
      <c r="I2593">
        <v>33419</v>
      </c>
      <c r="J2593">
        <v>33124</v>
      </c>
      <c r="K2593">
        <v>32953</v>
      </c>
      <c r="L2593">
        <v>32797</v>
      </c>
      <c r="M2593">
        <v>32636</v>
      </c>
      <c r="N2593" t="s">
        <v>988</v>
      </c>
    </row>
    <row r="2594" spans="1:14" hidden="1" x14ac:dyDescent="0.3">
      <c r="A2594">
        <v>1671</v>
      </c>
      <c r="B2594" t="s">
        <v>1736</v>
      </c>
      <c r="C2594" t="s">
        <v>2670</v>
      </c>
      <c r="D2594" t="s">
        <v>1203</v>
      </c>
      <c r="E2594" t="s">
        <v>1204</v>
      </c>
      <c r="F2594">
        <v>5775</v>
      </c>
      <c r="G2594" t="s">
        <v>2672</v>
      </c>
      <c r="H2594" t="s">
        <v>2664</v>
      </c>
      <c r="N2594" t="s">
        <v>988</v>
      </c>
    </row>
    <row r="2595" spans="1:14" hidden="1" x14ac:dyDescent="0.3">
      <c r="A2595">
        <v>1671</v>
      </c>
      <c r="B2595" t="s">
        <v>1736</v>
      </c>
      <c r="C2595" t="s">
        <v>2670</v>
      </c>
      <c r="D2595" t="s">
        <v>1203</v>
      </c>
      <c r="E2595" t="s">
        <v>1204</v>
      </c>
      <c r="F2595">
        <v>5775</v>
      </c>
      <c r="G2595" t="s">
        <v>2672</v>
      </c>
      <c r="H2595" t="s">
        <v>2665</v>
      </c>
      <c r="N2595" t="s">
        <v>988</v>
      </c>
    </row>
    <row r="2596" spans="1:14" hidden="1" x14ac:dyDescent="0.3">
      <c r="A2596">
        <v>1671</v>
      </c>
      <c r="B2596" t="s">
        <v>1736</v>
      </c>
      <c r="C2596" t="s">
        <v>2670</v>
      </c>
      <c r="D2596" t="s">
        <v>1203</v>
      </c>
      <c r="E2596" t="s">
        <v>1204</v>
      </c>
      <c r="F2596">
        <v>5775</v>
      </c>
      <c r="G2596" t="s">
        <v>2676</v>
      </c>
      <c r="H2596" t="s">
        <v>2664</v>
      </c>
      <c r="I2596">
        <v>9646</v>
      </c>
      <c r="J2596">
        <v>10038</v>
      </c>
      <c r="K2596">
        <v>10451</v>
      </c>
      <c r="L2596">
        <v>10886</v>
      </c>
      <c r="M2596">
        <v>11330</v>
      </c>
      <c r="N2596" t="s">
        <v>988</v>
      </c>
    </row>
    <row r="2597" spans="1:14" hidden="1" x14ac:dyDescent="0.3">
      <c r="A2597">
        <v>1671</v>
      </c>
      <c r="B2597" t="s">
        <v>1736</v>
      </c>
      <c r="C2597" t="s">
        <v>2670</v>
      </c>
      <c r="D2597" t="s">
        <v>1203</v>
      </c>
      <c r="E2597" t="s">
        <v>1204</v>
      </c>
      <c r="F2597">
        <v>5775</v>
      </c>
      <c r="G2597" t="s">
        <v>2676</v>
      </c>
      <c r="H2597" t="s">
        <v>2665</v>
      </c>
      <c r="I2597">
        <v>12058</v>
      </c>
      <c r="J2597">
        <v>12548</v>
      </c>
      <c r="K2597">
        <v>13064</v>
      </c>
      <c r="L2597">
        <v>13607</v>
      </c>
      <c r="M2597">
        <v>14163</v>
      </c>
      <c r="N2597" t="s">
        <v>988</v>
      </c>
    </row>
    <row r="2598" spans="1:14" hidden="1" x14ac:dyDescent="0.3">
      <c r="A2598">
        <v>1671</v>
      </c>
      <c r="B2598" t="s">
        <v>1736</v>
      </c>
      <c r="C2598" t="s">
        <v>2670</v>
      </c>
      <c r="D2598" t="s">
        <v>1203</v>
      </c>
      <c r="E2598" t="s">
        <v>1204</v>
      </c>
      <c r="F2598">
        <v>5775</v>
      </c>
      <c r="G2598" t="s">
        <v>2675</v>
      </c>
      <c r="H2598" t="s">
        <v>2664</v>
      </c>
      <c r="I2598">
        <v>9198</v>
      </c>
      <c r="J2598">
        <v>10038</v>
      </c>
      <c r="K2598">
        <v>10451</v>
      </c>
      <c r="L2598">
        <v>10886</v>
      </c>
      <c r="M2598">
        <v>11330</v>
      </c>
      <c r="N2598" t="s">
        <v>988</v>
      </c>
    </row>
    <row r="2599" spans="1:14" hidden="1" x14ac:dyDescent="0.3">
      <c r="A2599">
        <v>1671</v>
      </c>
      <c r="B2599" t="s">
        <v>1736</v>
      </c>
      <c r="C2599" t="s">
        <v>2670</v>
      </c>
      <c r="D2599" t="s">
        <v>1203</v>
      </c>
      <c r="E2599" t="s">
        <v>1204</v>
      </c>
      <c r="F2599">
        <v>5775</v>
      </c>
      <c r="G2599" t="s">
        <v>2675</v>
      </c>
      <c r="H2599" t="s">
        <v>2665</v>
      </c>
      <c r="I2599">
        <v>12058</v>
      </c>
      <c r="J2599">
        <v>12548</v>
      </c>
      <c r="K2599">
        <v>13064</v>
      </c>
      <c r="L2599">
        <v>13607</v>
      </c>
      <c r="M2599">
        <v>14163</v>
      </c>
      <c r="N2599" t="s">
        <v>988</v>
      </c>
    </row>
    <row r="2600" spans="1:14" hidden="1" x14ac:dyDescent="0.3">
      <c r="A2600">
        <v>1671</v>
      </c>
      <c r="B2600" t="s">
        <v>1736</v>
      </c>
      <c r="C2600" t="s">
        <v>2670</v>
      </c>
      <c r="D2600" t="s">
        <v>1203</v>
      </c>
      <c r="E2600" t="s">
        <v>1204</v>
      </c>
      <c r="F2600">
        <v>5775</v>
      </c>
      <c r="G2600" t="s">
        <v>2674</v>
      </c>
      <c r="H2600" t="s">
        <v>2664</v>
      </c>
      <c r="I2600">
        <v>9646</v>
      </c>
      <c r="J2600">
        <v>10038</v>
      </c>
      <c r="K2600">
        <v>10451</v>
      </c>
      <c r="L2600">
        <v>10886</v>
      </c>
      <c r="M2600">
        <v>11330</v>
      </c>
      <c r="N2600" t="s">
        <v>988</v>
      </c>
    </row>
    <row r="2601" spans="1:14" hidden="1" x14ac:dyDescent="0.3">
      <c r="A2601">
        <v>1671</v>
      </c>
      <c r="B2601" t="s">
        <v>1736</v>
      </c>
      <c r="C2601" t="s">
        <v>2670</v>
      </c>
      <c r="D2601" t="s">
        <v>1203</v>
      </c>
      <c r="E2601" t="s">
        <v>1204</v>
      </c>
      <c r="F2601">
        <v>5775</v>
      </c>
      <c r="G2601" t="s">
        <v>2674</v>
      </c>
      <c r="H2601" t="s">
        <v>2665</v>
      </c>
      <c r="I2601">
        <v>12058</v>
      </c>
      <c r="J2601">
        <v>12548</v>
      </c>
      <c r="K2601">
        <v>13064</v>
      </c>
      <c r="L2601">
        <v>13607</v>
      </c>
      <c r="M2601">
        <v>14163</v>
      </c>
      <c r="N2601" t="s">
        <v>988</v>
      </c>
    </row>
    <row r="2602" spans="1:14" hidden="1" x14ac:dyDescent="0.3">
      <c r="A2602">
        <v>1671</v>
      </c>
      <c r="B2602" t="s">
        <v>1736</v>
      </c>
      <c r="C2602" t="s">
        <v>2670</v>
      </c>
      <c r="D2602" t="s">
        <v>1203</v>
      </c>
      <c r="E2602" t="s">
        <v>1204</v>
      </c>
      <c r="F2602">
        <v>5775</v>
      </c>
      <c r="G2602" t="s">
        <v>2673</v>
      </c>
      <c r="H2602" t="s">
        <v>2664</v>
      </c>
      <c r="I2602">
        <v>9646</v>
      </c>
      <c r="J2602">
        <v>10038</v>
      </c>
      <c r="K2602">
        <v>10451</v>
      </c>
      <c r="L2602">
        <v>10886</v>
      </c>
      <c r="M2602">
        <v>11330</v>
      </c>
      <c r="N2602" t="s">
        <v>988</v>
      </c>
    </row>
    <row r="2603" spans="1:14" hidden="1" x14ac:dyDescent="0.3">
      <c r="A2603">
        <v>1671</v>
      </c>
      <c r="B2603" t="s">
        <v>1736</v>
      </c>
      <c r="C2603" t="s">
        <v>2670</v>
      </c>
      <c r="D2603" t="s">
        <v>1203</v>
      </c>
      <c r="E2603" t="s">
        <v>1204</v>
      </c>
      <c r="F2603">
        <v>5775</v>
      </c>
      <c r="G2603" t="s">
        <v>2671</v>
      </c>
      <c r="H2603" t="s">
        <v>2665</v>
      </c>
      <c r="I2603">
        <v>12058</v>
      </c>
      <c r="J2603">
        <v>12548</v>
      </c>
      <c r="K2603">
        <v>13064</v>
      </c>
      <c r="L2603">
        <v>13607</v>
      </c>
      <c r="M2603">
        <v>14163</v>
      </c>
      <c r="N2603" t="s">
        <v>988</v>
      </c>
    </row>
    <row r="2604" spans="1:14" hidden="1" x14ac:dyDescent="0.3">
      <c r="A2604">
        <v>1671</v>
      </c>
      <c r="B2604" t="s">
        <v>1736</v>
      </c>
      <c r="C2604" t="s">
        <v>2670</v>
      </c>
      <c r="D2604" t="s">
        <v>1203</v>
      </c>
      <c r="E2604" t="s">
        <v>1204</v>
      </c>
      <c r="F2604">
        <v>5775</v>
      </c>
      <c r="G2604" t="s">
        <v>2671</v>
      </c>
      <c r="H2604" t="s">
        <v>2664</v>
      </c>
      <c r="I2604">
        <v>9646</v>
      </c>
      <c r="J2604">
        <v>10038</v>
      </c>
      <c r="K2604">
        <v>10451</v>
      </c>
      <c r="L2604">
        <v>10886</v>
      </c>
      <c r="M2604">
        <v>11330</v>
      </c>
      <c r="N2604" t="s">
        <v>988</v>
      </c>
    </row>
    <row r="2605" spans="1:14" hidden="1" x14ac:dyDescent="0.3">
      <c r="A2605">
        <v>1671</v>
      </c>
      <c r="B2605" t="s">
        <v>1736</v>
      </c>
      <c r="C2605" t="s">
        <v>2670</v>
      </c>
      <c r="D2605" t="s">
        <v>1203</v>
      </c>
      <c r="E2605" t="s">
        <v>1204</v>
      </c>
      <c r="F2605">
        <v>5775</v>
      </c>
      <c r="G2605" t="s">
        <v>2673</v>
      </c>
      <c r="H2605" t="s">
        <v>2665</v>
      </c>
      <c r="I2605">
        <v>12058</v>
      </c>
      <c r="J2605">
        <v>12548</v>
      </c>
      <c r="K2605">
        <v>13064</v>
      </c>
      <c r="L2605">
        <v>13607</v>
      </c>
      <c r="M2605">
        <v>14163</v>
      </c>
      <c r="N2605" t="s">
        <v>988</v>
      </c>
    </row>
    <row r="2606" spans="1:14" hidden="1" x14ac:dyDescent="0.3">
      <c r="A2606">
        <v>1697</v>
      </c>
      <c r="B2606" t="s">
        <v>1737</v>
      </c>
      <c r="C2606" t="s">
        <v>2670</v>
      </c>
      <c r="D2606" t="s">
        <v>1203</v>
      </c>
      <c r="E2606" t="s">
        <v>1204</v>
      </c>
      <c r="F2606">
        <v>5833</v>
      </c>
      <c r="G2606" t="s">
        <v>2672</v>
      </c>
      <c r="H2606" t="s">
        <v>2665</v>
      </c>
      <c r="N2606" t="s">
        <v>988</v>
      </c>
    </row>
    <row r="2607" spans="1:14" hidden="1" x14ac:dyDescent="0.3">
      <c r="A2607">
        <v>1697</v>
      </c>
      <c r="B2607" t="s">
        <v>1737</v>
      </c>
      <c r="C2607" t="s">
        <v>2670</v>
      </c>
      <c r="D2607" t="s">
        <v>1203</v>
      </c>
      <c r="E2607" t="s">
        <v>1204</v>
      </c>
      <c r="F2607">
        <v>5833</v>
      </c>
      <c r="G2607" t="s">
        <v>2672</v>
      </c>
      <c r="H2607" t="s">
        <v>2664</v>
      </c>
      <c r="N2607" t="s">
        <v>988</v>
      </c>
    </row>
    <row r="2608" spans="1:14" hidden="1" x14ac:dyDescent="0.3">
      <c r="A2608">
        <v>1697</v>
      </c>
      <c r="B2608" t="s">
        <v>1737</v>
      </c>
      <c r="C2608" t="s">
        <v>2670</v>
      </c>
      <c r="D2608" t="s">
        <v>1203</v>
      </c>
      <c r="E2608" t="s">
        <v>1204</v>
      </c>
      <c r="F2608">
        <v>5833</v>
      </c>
      <c r="G2608" t="s">
        <v>2671</v>
      </c>
      <c r="H2608" t="s">
        <v>2665</v>
      </c>
      <c r="I2608">
        <v>4376</v>
      </c>
      <c r="J2608">
        <v>4539</v>
      </c>
      <c r="K2608">
        <v>4702</v>
      </c>
      <c r="L2608">
        <v>4737</v>
      </c>
      <c r="M2608">
        <v>4771</v>
      </c>
      <c r="N2608" t="s">
        <v>988</v>
      </c>
    </row>
    <row r="2609" spans="1:14" hidden="1" x14ac:dyDescent="0.3">
      <c r="A2609">
        <v>1697</v>
      </c>
      <c r="B2609" t="s">
        <v>1737</v>
      </c>
      <c r="C2609" t="s">
        <v>2670</v>
      </c>
      <c r="D2609" t="s">
        <v>1203</v>
      </c>
      <c r="E2609" t="s">
        <v>1204</v>
      </c>
      <c r="F2609">
        <v>5833</v>
      </c>
      <c r="G2609" t="s">
        <v>2671</v>
      </c>
      <c r="H2609" t="s">
        <v>2664</v>
      </c>
      <c r="I2609">
        <v>4376</v>
      </c>
      <c r="J2609">
        <v>4539</v>
      </c>
      <c r="K2609">
        <v>4702</v>
      </c>
      <c r="L2609">
        <v>4737</v>
      </c>
      <c r="M2609">
        <v>4771</v>
      </c>
      <c r="N2609" t="s">
        <v>988</v>
      </c>
    </row>
    <row r="2610" spans="1:14" hidden="1" x14ac:dyDescent="0.3">
      <c r="A2610">
        <v>1697</v>
      </c>
      <c r="B2610" t="s">
        <v>1737</v>
      </c>
      <c r="C2610" t="s">
        <v>2670</v>
      </c>
      <c r="D2610" t="s">
        <v>1203</v>
      </c>
      <c r="E2610" t="s">
        <v>1204</v>
      </c>
      <c r="F2610">
        <v>5833</v>
      </c>
      <c r="G2610" t="s">
        <v>2673</v>
      </c>
      <c r="H2610" t="s">
        <v>2665</v>
      </c>
      <c r="I2610">
        <v>4376</v>
      </c>
      <c r="J2610">
        <v>4539</v>
      </c>
      <c r="K2610">
        <v>4702</v>
      </c>
      <c r="L2610">
        <v>4737</v>
      </c>
      <c r="M2610">
        <v>4771</v>
      </c>
      <c r="N2610" t="s">
        <v>988</v>
      </c>
    </row>
    <row r="2611" spans="1:14" hidden="1" x14ac:dyDescent="0.3">
      <c r="A2611">
        <v>1697</v>
      </c>
      <c r="B2611" t="s">
        <v>1737</v>
      </c>
      <c r="C2611" t="s">
        <v>2670</v>
      </c>
      <c r="D2611" t="s">
        <v>1203</v>
      </c>
      <c r="E2611" t="s">
        <v>1204</v>
      </c>
      <c r="F2611">
        <v>5833</v>
      </c>
      <c r="G2611" t="s">
        <v>2676</v>
      </c>
      <c r="H2611" t="s">
        <v>2664</v>
      </c>
      <c r="I2611">
        <v>4376</v>
      </c>
      <c r="J2611">
        <v>4539</v>
      </c>
      <c r="K2611">
        <v>4702</v>
      </c>
      <c r="L2611">
        <v>4737</v>
      </c>
      <c r="M2611">
        <v>4771</v>
      </c>
      <c r="N2611" t="s">
        <v>988</v>
      </c>
    </row>
    <row r="2612" spans="1:14" hidden="1" x14ac:dyDescent="0.3">
      <c r="A2612">
        <v>1697</v>
      </c>
      <c r="B2612" t="s">
        <v>1737</v>
      </c>
      <c r="C2612" t="s">
        <v>2670</v>
      </c>
      <c r="D2612" t="s">
        <v>1203</v>
      </c>
      <c r="E2612" t="s">
        <v>1204</v>
      </c>
      <c r="F2612">
        <v>5833</v>
      </c>
      <c r="G2612" t="s">
        <v>2674</v>
      </c>
      <c r="H2612" t="s">
        <v>2665</v>
      </c>
      <c r="I2612">
        <v>4376</v>
      </c>
      <c r="J2612">
        <v>4539</v>
      </c>
      <c r="K2612">
        <v>4702</v>
      </c>
      <c r="L2612">
        <v>4737</v>
      </c>
      <c r="M2612">
        <v>4771</v>
      </c>
      <c r="N2612" t="s">
        <v>988</v>
      </c>
    </row>
    <row r="2613" spans="1:14" hidden="1" x14ac:dyDescent="0.3">
      <c r="A2613">
        <v>1697</v>
      </c>
      <c r="B2613" t="s">
        <v>1737</v>
      </c>
      <c r="C2613" t="s">
        <v>2670</v>
      </c>
      <c r="D2613" t="s">
        <v>1203</v>
      </c>
      <c r="E2613" t="s">
        <v>1204</v>
      </c>
      <c r="F2613">
        <v>5833</v>
      </c>
      <c r="G2613" t="s">
        <v>2674</v>
      </c>
      <c r="H2613" t="s">
        <v>2664</v>
      </c>
      <c r="I2613">
        <v>4376</v>
      </c>
      <c r="J2613">
        <v>4539</v>
      </c>
      <c r="K2613">
        <v>4702</v>
      </c>
      <c r="L2613">
        <v>4737</v>
      </c>
      <c r="M2613">
        <v>4771</v>
      </c>
      <c r="N2613" t="s">
        <v>988</v>
      </c>
    </row>
    <row r="2614" spans="1:14" hidden="1" x14ac:dyDescent="0.3">
      <c r="A2614">
        <v>1697</v>
      </c>
      <c r="B2614" t="s">
        <v>1737</v>
      </c>
      <c r="C2614" t="s">
        <v>2670</v>
      </c>
      <c r="D2614" t="s">
        <v>1203</v>
      </c>
      <c r="E2614" t="s">
        <v>1204</v>
      </c>
      <c r="F2614">
        <v>5833</v>
      </c>
      <c r="G2614" t="s">
        <v>2675</v>
      </c>
      <c r="H2614" t="s">
        <v>2665</v>
      </c>
      <c r="I2614">
        <v>4376</v>
      </c>
      <c r="J2614">
        <v>4539</v>
      </c>
      <c r="K2614">
        <v>4702</v>
      </c>
      <c r="L2614">
        <v>4737</v>
      </c>
      <c r="M2614">
        <v>4771</v>
      </c>
      <c r="N2614" t="s">
        <v>988</v>
      </c>
    </row>
    <row r="2615" spans="1:14" hidden="1" x14ac:dyDescent="0.3">
      <c r="A2615">
        <v>1697</v>
      </c>
      <c r="B2615" t="s">
        <v>1737</v>
      </c>
      <c r="C2615" t="s">
        <v>2670</v>
      </c>
      <c r="D2615" t="s">
        <v>1203</v>
      </c>
      <c r="E2615" t="s">
        <v>1204</v>
      </c>
      <c r="F2615">
        <v>5833</v>
      </c>
      <c r="G2615" t="s">
        <v>2675</v>
      </c>
      <c r="H2615" t="s">
        <v>2664</v>
      </c>
      <c r="I2615">
        <v>4376</v>
      </c>
      <c r="J2615">
        <v>4539</v>
      </c>
      <c r="K2615">
        <v>4702</v>
      </c>
      <c r="L2615">
        <v>4737</v>
      </c>
      <c r="M2615">
        <v>4771</v>
      </c>
      <c r="N2615" t="s">
        <v>988</v>
      </c>
    </row>
    <row r="2616" spans="1:14" hidden="1" x14ac:dyDescent="0.3">
      <c r="A2616">
        <v>1697</v>
      </c>
      <c r="B2616" t="s">
        <v>1737</v>
      </c>
      <c r="C2616" t="s">
        <v>2670</v>
      </c>
      <c r="D2616" t="s">
        <v>1203</v>
      </c>
      <c r="E2616" t="s">
        <v>1204</v>
      </c>
      <c r="F2616">
        <v>5833</v>
      </c>
      <c r="G2616" t="s">
        <v>2676</v>
      </c>
      <c r="H2616" t="s">
        <v>2665</v>
      </c>
      <c r="I2616">
        <v>4376</v>
      </c>
      <c r="J2616">
        <v>4539</v>
      </c>
      <c r="K2616">
        <v>4702</v>
      </c>
      <c r="L2616">
        <v>4737</v>
      </c>
      <c r="M2616">
        <v>4771</v>
      </c>
      <c r="N2616" t="s">
        <v>988</v>
      </c>
    </row>
    <row r="2617" spans="1:14" hidden="1" x14ac:dyDescent="0.3">
      <c r="A2617">
        <v>1697</v>
      </c>
      <c r="B2617" t="s">
        <v>1737</v>
      </c>
      <c r="C2617" t="s">
        <v>2670</v>
      </c>
      <c r="D2617" t="s">
        <v>1203</v>
      </c>
      <c r="E2617" t="s">
        <v>1204</v>
      </c>
      <c r="F2617">
        <v>5833</v>
      </c>
      <c r="G2617" t="s">
        <v>2673</v>
      </c>
      <c r="H2617" t="s">
        <v>2664</v>
      </c>
      <c r="I2617">
        <v>4376</v>
      </c>
      <c r="J2617">
        <v>4539</v>
      </c>
      <c r="K2617">
        <v>4702</v>
      </c>
      <c r="L2617">
        <v>4737</v>
      </c>
      <c r="M2617">
        <v>4771</v>
      </c>
      <c r="N2617" t="s">
        <v>988</v>
      </c>
    </row>
    <row r="2618" spans="1:14" hidden="1" x14ac:dyDescent="0.3">
      <c r="A2618">
        <v>1701</v>
      </c>
      <c r="B2618" t="s">
        <v>1739</v>
      </c>
      <c r="C2618" t="s">
        <v>2670</v>
      </c>
      <c r="D2618" t="s">
        <v>1203</v>
      </c>
      <c r="E2618" t="s">
        <v>1204</v>
      </c>
      <c r="F2618">
        <v>5884</v>
      </c>
      <c r="G2618" t="s">
        <v>2673</v>
      </c>
      <c r="H2618" t="s">
        <v>2665</v>
      </c>
      <c r="I2618">
        <v>15065</v>
      </c>
      <c r="J2618">
        <v>15750</v>
      </c>
      <c r="K2618">
        <v>16100</v>
      </c>
      <c r="L2618">
        <v>16425</v>
      </c>
      <c r="M2618">
        <v>16650</v>
      </c>
      <c r="N2618" t="s">
        <v>988</v>
      </c>
    </row>
    <row r="2619" spans="1:14" hidden="1" x14ac:dyDescent="0.3">
      <c r="A2619">
        <v>1701</v>
      </c>
      <c r="B2619" t="s">
        <v>1739</v>
      </c>
      <c r="C2619" t="s">
        <v>2670</v>
      </c>
      <c r="D2619" t="s">
        <v>1203</v>
      </c>
      <c r="E2619" t="s">
        <v>1204</v>
      </c>
      <c r="F2619">
        <v>5884</v>
      </c>
      <c r="G2619" t="s">
        <v>2673</v>
      </c>
      <c r="H2619" t="s">
        <v>2664</v>
      </c>
      <c r="I2619">
        <v>16066</v>
      </c>
      <c r="J2619">
        <v>16326</v>
      </c>
      <c r="K2619">
        <v>14803</v>
      </c>
      <c r="L2619">
        <v>14803</v>
      </c>
      <c r="M2619">
        <v>14803</v>
      </c>
      <c r="N2619" t="s">
        <v>988</v>
      </c>
    </row>
    <row r="2620" spans="1:14" hidden="1" x14ac:dyDescent="0.3">
      <c r="A2620">
        <v>1701</v>
      </c>
      <c r="B2620" t="s">
        <v>1739</v>
      </c>
      <c r="C2620" t="s">
        <v>2670</v>
      </c>
      <c r="D2620" t="s">
        <v>1203</v>
      </c>
      <c r="E2620" t="s">
        <v>1204</v>
      </c>
      <c r="F2620">
        <v>5884</v>
      </c>
      <c r="G2620" t="s">
        <v>2674</v>
      </c>
      <c r="H2620" t="s">
        <v>2665</v>
      </c>
      <c r="I2620">
        <v>15065</v>
      </c>
      <c r="J2620">
        <v>15750</v>
      </c>
      <c r="K2620">
        <v>16100</v>
      </c>
      <c r="L2620">
        <v>16425</v>
      </c>
      <c r="M2620">
        <v>16650</v>
      </c>
      <c r="N2620" t="s">
        <v>988</v>
      </c>
    </row>
    <row r="2621" spans="1:14" hidden="1" x14ac:dyDescent="0.3">
      <c r="A2621">
        <v>1701</v>
      </c>
      <c r="B2621" t="s">
        <v>1739</v>
      </c>
      <c r="C2621" t="s">
        <v>2670</v>
      </c>
      <c r="D2621" t="s">
        <v>1203</v>
      </c>
      <c r="E2621" t="s">
        <v>1204</v>
      </c>
      <c r="F2621">
        <v>5884</v>
      </c>
      <c r="G2621" t="s">
        <v>2674</v>
      </c>
      <c r="H2621" t="s">
        <v>2664</v>
      </c>
      <c r="I2621">
        <v>16066</v>
      </c>
      <c r="J2621">
        <v>16326</v>
      </c>
      <c r="K2621">
        <v>14803</v>
      </c>
      <c r="L2621">
        <v>14803</v>
      </c>
      <c r="M2621">
        <v>14803</v>
      </c>
      <c r="N2621" t="s">
        <v>988</v>
      </c>
    </row>
    <row r="2622" spans="1:14" hidden="1" x14ac:dyDescent="0.3">
      <c r="A2622">
        <v>1701</v>
      </c>
      <c r="B2622" t="s">
        <v>1739</v>
      </c>
      <c r="C2622" t="s">
        <v>2670</v>
      </c>
      <c r="D2622" t="s">
        <v>1203</v>
      </c>
      <c r="E2622" t="s">
        <v>1204</v>
      </c>
      <c r="F2622">
        <v>5884</v>
      </c>
      <c r="G2622" t="s">
        <v>2675</v>
      </c>
      <c r="H2622" t="s">
        <v>2665</v>
      </c>
      <c r="I2622">
        <v>15065</v>
      </c>
      <c r="J2622">
        <v>15750</v>
      </c>
      <c r="K2622">
        <v>16100</v>
      </c>
      <c r="L2622">
        <v>16425</v>
      </c>
      <c r="M2622">
        <v>16650</v>
      </c>
      <c r="N2622" t="s">
        <v>988</v>
      </c>
    </row>
    <row r="2623" spans="1:14" hidden="1" x14ac:dyDescent="0.3">
      <c r="A2623">
        <v>1701</v>
      </c>
      <c r="B2623" t="s">
        <v>1739</v>
      </c>
      <c r="C2623" t="s">
        <v>2670</v>
      </c>
      <c r="D2623" t="s">
        <v>1203</v>
      </c>
      <c r="E2623" t="s">
        <v>1204</v>
      </c>
      <c r="F2623">
        <v>5884</v>
      </c>
      <c r="G2623" t="s">
        <v>2675</v>
      </c>
      <c r="H2623" t="s">
        <v>2664</v>
      </c>
      <c r="I2623">
        <v>16066</v>
      </c>
      <c r="J2623">
        <v>16326</v>
      </c>
      <c r="K2623">
        <v>14803</v>
      </c>
      <c r="L2623">
        <v>14803</v>
      </c>
      <c r="M2623">
        <v>14803</v>
      </c>
      <c r="N2623" t="s">
        <v>988</v>
      </c>
    </row>
    <row r="2624" spans="1:14" hidden="1" x14ac:dyDescent="0.3">
      <c r="A2624">
        <v>1701</v>
      </c>
      <c r="B2624" t="s">
        <v>1739</v>
      </c>
      <c r="C2624" t="s">
        <v>2670</v>
      </c>
      <c r="D2624" t="s">
        <v>1203</v>
      </c>
      <c r="E2624" t="s">
        <v>1204</v>
      </c>
      <c r="F2624">
        <v>5884</v>
      </c>
      <c r="G2624" t="s">
        <v>2676</v>
      </c>
      <c r="H2624" t="s">
        <v>2665</v>
      </c>
      <c r="I2624">
        <v>15065</v>
      </c>
      <c r="J2624">
        <v>15750</v>
      </c>
      <c r="K2624">
        <v>16100</v>
      </c>
      <c r="L2624">
        <v>16425</v>
      </c>
      <c r="M2624">
        <v>16650</v>
      </c>
      <c r="N2624" t="s">
        <v>988</v>
      </c>
    </row>
    <row r="2625" spans="1:14" hidden="1" x14ac:dyDescent="0.3">
      <c r="A2625">
        <v>1701</v>
      </c>
      <c r="B2625" t="s">
        <v>1739</v>
      </c>
      <c r="C2625" t="s">
        <v>2670</v>
      </c>
      <c r="D2625" t="s">
        <v>1203</v>
      </c>
      <c r="E2625" t="s">
        <v>1204</v>
      </c>
      <c r="F2625">
        <v>5884</v>
      </c>
      <c r="G2625" t="s">
        <v>2676</v>
      </c>
      <c r="H2625" t="s">
        <v>2664</v>
      </c>
      <c r="I2625">
        <v>20941</v>
      </c>
      <c r="J2625">
        <v>21201</v>
      </c>
      <c r="K2625">
        <v>19191</v>
      </c>
      <c r="L2625">
        <v>19191</v>
      </c>
      <c r="M2625">
        <v>19191</v>
      </c>
      <c r="N2625" t="s">
        <v>988</v>
      </c>
    </row>
    <row r="2626" spans="1:14" hidden="1" x14ac:dyDescent="0.3">
      <c r="A2626">
        <v>1701</v>
      </c>
      <c r="B2626" t="s">
        <v>1739</v>
      </c>
      <c r="C2626" t="s">
        <v>2670</v>
      </c>
      <c r="D2626" t="s">
        <v>1203</v>
      </c>
      <c r="E2626" t="s">
        <v>1204</v>
      </c>
      <c r="F2626">
        <v>5884</v>
      </c>
      <c r="G2626" t="s">
        <v>2672</v>
      </c>
      <c r="H2626" t="s">
        <v>2665</v>
      </c>
      <c r="N2626" t="s">
        <v>988</v>
      </c>
    </row>
    <row r="2627" spans="1:14" hidden="1" x14ac:dyDescent="0.3">
      <c r="A2627">
        <v>1701</v>
      </c>
      <c r="B2627" t="s">
        <v>1739</v>
      </c>
      <c r="C2627" t="s">
        <v>2670</v>
      </c>
      <c r="D2627" t="s">
        <v>1203</v>
      </c>
      <c r="E2627" t="s">
        <v>1204</v>
      </c>
      <c r="F2627">
        <v>5884</v>
      </c>
      <c r="G2627" t="s">
        <v>2672</v>
      </c>
      <c r="H2627" t="s">
        <v>2664</v>
      </c>
      <c r="N2627" t="s">
        <v>988</v>
      </c>
    </row>
    <row r="2628" spans="1:14" hidden="1" x14ac:dyDescent="0.3">
      <c r="A2628">
        <v>1701</v>
      </c>
      <c r="B2628" t="s">
        <v>1739</v>
      </c>
      <c r="C2628" t="s">
        <v>2670</v>
      </c>
      <c r="D2628" t="s">
        <v>1203</v>
      </c>
      <c r="E2628" t="s">
        <v>1204</v>
      </c>
      <c r="F2628">
        <v>5884</v>
      </c>
      <c r="G2628" t="s">
        <v>2671</v>
      </c>
      <c r="H2628" t="s">
        <v>2665</v>
      </c>
      <c r="I2628">
        <v>15065</v>
      </c>
      <c r="J2628">
        <v>15750</v>
      </c>
      <c r="K2628">
        <v>16100</v>
      </c>
      <c r="L2628">
        <v>16425</v>
      </c>
      <c r="M2628">
        <v>16650</v>
      </c>
      <c r="N2628" t="s">
        <v>988</v>
      </c>
    </row>
    <row r="2629" spans="1:14" hidden="1" x14ac:dyDescent="0.3">
      <c r="A2629">
        <v>1701</v>
      </c>
      <c r="B2629" t="s">
        <v>1739</v>
      </c>
      <c r="C2629" t="s">
        <v>2670</v>
      </c>
      <c r="D2629" t="s">
        <v>1203</v>
      </c>
      <c r="E2629" t="s">
        <v>1204</v>
      </c>
      <c r="F2629">
        <v>5884</v>
      </c>
      <c r="G2629" t="s">
        <v>2671</v>
      </c>
      <c r="H2629" t="s">
        <v>2664</v>
      </c>
      <c r="I2629">
        <v>16066</v>
      </c>
      <c r="J2629">
        <v>16326</v>
      </c>
      <c r="K2629">
        <v>14803</v>
      </c>
      <c r="L2629">
        <v>14803</v>
      </c>
      <c r="M2629">
        <v>14803</v>
      </c>
      <c r="N2629" t="s">
        <v>988</v>
      </c>
    </row>
    <row r="2630" spans="1:14" hidden="1" x14ac:dyDescent="0.3">
      <c r="A2630">
        <v>1718</v>
      </c>
      <c r="B2630" t="s">
        <v>1747</v>
      </c>
      <c r="C2630" t="s">
        <v>2670</v>
      </c>
      <c r="D2630" t="s">
        <v>1203</v>
      </c>
      <c r="E2630" t="s">
        <v>1204</v>
      </c>
      <c r="F2630">
        <v>5882</v>
      </c>
      <c r="G2630" t="s">
        <v>2674</v>
      </c>
      <c r="H2630" t="s">
        <v>2665</v>
      </c>
      <c r="I2630">
        <v>212714</v>
      </c>
      <c r="J2630">
        <v>217001</v>
      </c>
      <c r="K2630">
        <v>221451</v>
      </c>
      <c r="L2630">
        <v>225899</v>
      </c>
      <c r="N2630" t="s">
        <v>988</v>
      </c>
    </row>
    <row r="2631" spans="1:14" hidden="1" x14ac:dyDescent="0.3">
      <c r="A2631">
        <v>1718</v>
      </c>
      <c r="B2631" t="s">
        <v>1747</v>
      </c>
      <c r="C2631" t="s">
        <v>2670</v>
      </c>
      <c r="D2631" t="s">
        <v>1203</v>
      </c>
      <c r="E2631" t="s">
        <v>1204</v>
      </c>
      <c r="F2631">
        <v>5882</v>
      </c>
      <c r="G2631" t="s">
        <v>2674</v>
      </c>
      <c r="H2631" t="s">
        <v>2664</v>
      </c>
      <c r="I2631">
        <v>381346</v>
      </c>
      <c r="J2631">
        <v>381346</v>
      </c>
      <c r="K2631">
        <v>381346</v>
      </c>
      <c r="L2631">
        <v>381346</v>
      </c>
      <c r="N2631" t="s">
        <v>988</v>
      </c>
    </row>
    <row r="2632" spans="1:14" hidden="1" x14ac:dyDescent="0.3">
      <c r="A2632">
        <v>1718</v>
      </c>
      <c r="B2632" t="s">
        <v>1747</v>
      </c>
      <c r="C2632" t="s">
        <v>2670</v>
      </c>
      <c r="D2632" t="s">
        <v>1203</v>
      </c>
      <c r="E2632" t="s">
        <v>1204</v>
      </c>
      <c r="F2632">
        <v>5882</v>
      </c>
      <c r="G2632" t="s">
        <v>2675</v>
      </c>
      <c r="H2632" t="s">
        <v>2665</v>
      </c>
      <c r="I2632">
        <v>183751</v>
      </c>
      <c r="J2632">
        <v>188038</v>
      </c>
      <c r="K2632">
        <v>192488</v>
      </c>
      <c r="L2632">
        <v>196936</v>
      </c>
      <c r="N2632" t="s">
        <v>988</v>
      </c>
    </row>
    <row r="2633" spans="1:14" hidden="1" x14ac:dyDescent="0.3">
      <c r="A2633">
        <v>1718</v>
      </c>
      <c r="B2633" t="s">
        <v>1747</v>
      </c>
      <c r="C2633" t="s">
        <v>2670</v>
      </c>
      <c r="D2633" t="s">
        <v>1203</v>
      </c>
      <c r="E2633" t="s">
        <v>1204</v>
      </c>
      <c r="F2633">
        <v>5882</v>
      </c>
      <c r="G2633" t="s">
        <v>2675</v>
      </c>
      <c r="H2633" t="s">
        <v>2664</v>
      </c>
      <c r="I2633">
        <v>176630</v>
      </c>
      <c r="J2633">
        <v>176630</v>
      </c>
      <c r="K2633">
        <v>176630</v>
      </c>
      <c r="L2633">
        <v>176630</v>
      </c>
      <c r="N2633" t="s">
        <v>988</v>
      </c>
    </row>
    <row r="2634" spans="1:14" hidden="1" x14ac:dyDescent="0.3">
      <c r="A2634">
        <v>1718</v>
      </c>
      <c r="B2634" t="s">
        <v>1747</v>
      </c>
      <c r="C2634" t="s">
        <v>2670</v>
      </c>
      <c r="D2634" t="s">
        <v>1203</v>
      </c>
      <c r="E2634" t="s">
        <v>1204</v>
      </c>
      <c r="F2634">
        <v>5882</v>
      </c>
      <c r="G2634" t="s">
        <v>2676</v>
      </c>
      <c r="H2634" t="s">
        <v>2665</v>
      </c>
      <c r="I2634">
        <v>183751</v>
      </c>
      <c r="J2634">
        <v>188038</v>
      </c>
      <c r="K2634">
        <v>192488</v>
      </c>
      <c r="L2634">
        <v>196936</v>
      </c>
      <c r="N2634" t="s">
        <v>988</v>
      </c>
    </row>
    <row r="2635" spans="1:14" hidden="1" x14ac:dyDescent="0.3">
      <c r="A2635">
        <v>1718</v>
      </c>
      <c r="B2635" t="s">
        <v>1747</v>
      </c>
      <c r="C2635" t="s">
        <v>2670</v>
      </c>
      <c r="D2635" t="s">
        <v>1203</v>
      </c>
      <c r="E2635" t="s">
        <v>1204</v>
      </c>
      <c r="F2635">
        <v>5882</v>
      </c>
      <c r="G2635" t="s">
        <v>2676</v>
      </c>
      <c r="H2635" t="s">
        <v>2664</v>
      </c>
      <c r="I2635">
        <v>179143</v>
      </c>
      <c r="J2635">
        <v>179143</v>
      </c>
      <c r="K2635">
        <v>179143</v>
      </c>
      <c r="L2635">
        <v>179143</v>
      </c>
      <c r="N2635" t="s">
        <v>988</v>
      </c>
    </row>
    <row r="2636" spans="1:14" hidden="1" x14ac:dyDescent="0.3">
      <c r="A2636">
        <v>1718</v>
      </c>
      <c r="B2636" t="s">
        <v>1747</v>
      </c>
      <c r="C2636" t="s">
        <v>2670</v>
      </c>
      <c r="D2636" t="s">
        <v>1203</v>
      </c>
      <c r="E2636" t="s">
        <v>1204</v>
      </c>
      <c r="F2636">
        <v>5882</v>
      </c>
      <c r="G2636" t="s">
        <v>2673</v>
      </c>
      <c r="H2636" t="s">
        <v>2665</v>
      </c>
      <c r="I2636">
        <v>188900</v>
      </c>
      <c r="J2636">
        <v>193187</v>
      </c>
      <c r="K2636">
        <v>197637</v>
      </c>
      <c r="L2636">
        <v>202085</v>
      </c>
      <c r="N2636" t="s">
        <v>988</v>
      </c>
    </row>
    <row r="2637" spans="1:14" hidden="1" x14ac:dyDescent="0.3">
      <c r="A2637">
        <v>1718</v>
      </c>
      <c r="B2637" t="s">
        <v>1747</v>
      </c>
      <c r="C2637" t="s">
        <v>2670</v>
      </c>
      <c r="D2637" t="s">
        <v>1203</v>
      </c>
      <c r="E2637" t="s">
        <v>1204</v>
      </c>
      <c r="F2637">
        <v>5882</v>
      </c>
      <c r="G2637" t="s">
        <v>2671</v>
      </c>
      <c r="H2637" t="s">
        <v>2664</v>
      </c>
      <c r="I2637">
        <v>282920</v>
      </c>
      <c r="J2637">
        <v>282920</v>
      </c>
      <c r="K2637">
        <v>282920</v>
      </c>
      <c r="L2637">
        <v>282920</v>
      </c>
      <c r="N2637" t="s">
        <v>988</v>
      </c>
    </row>
    <row r="2638" spans="1:14" hidden="1" x14ac:dyDescent="0.3">
      <c r="A2638">
        <v>1718</v>
      </c>
      <c r="B2638" t="s">
        <v>1747</v>
      </c>
      <c r="C2638" t="s">
        <v>2670</v>
      </c>
      <c r="D2638" t="s">
        <v>1203</v>
      </c>
      <c r="E2638" t="s">
        <v>1204</v>
      </c>
      <c r="F2638">
        <v>5882</v>
      </c>
      <c r="G2638" t="s">
        <v>2671</v>
      </c>
      <c r="H2638" t="s">
        <v>2665</v>
      </c>
      <c r="I2638">
        <v>188900</v>
      </c>
      <c r="J2638">
        <v>193187</v>
      </c>
      <c r="K2638">
        <v>197637</v>
      </c>
      <c r="L2638">
        <v>202085</v>
      </c>
      <c r="N2638" t="s">
        <v>988</v>
      </c>
    </row>
    <row r="2639" spans="1:14" hidden="1" x14ac:dyDescent="0.3">
      <c r="A2639">
        <v>1718</v>
      </c>
      <c r="B2639" t="s">
        <v>1747</v>
      </c>
      <c r="C2639" t="s">
        <v>2670</v>
      </c>
      <c r="D2639" t="s">
        <v>1203</v>
      </c>
      <c r="E2639" t="s">
        <v>1204</v>
      </c>
      <c r="F2639">
        <v>5882</v>
      </c>
      <c r="G2639" t="s">
        <v>2672</v>
      </c>
      <c r="H2639" t="s">
        <v>2664</v>
      </c>
      <c r="N2639" t="s">
        <v>988</v>
      </c>
    </row>
    <row r="2640" spans="1:14" hidden="1" x14ac:dyDescent="0.3">
      <c r="A2640">
        <v>1718</v>
      </c>
      <c r="B2640" t="s">
        <v>1747</v>
      </c>
      <c r="C2640" t="s">
        <v>2670</v>
      </c>
      <c r="D2640" t="s">
        <v>1203</v>
      </c>
      <c r="E2640" t="s">
        <v>1204</v>
      </c>
      <c r="F2640">
        <v>5882</v>
      </c>
      <c r="G2640" t="s">
        <v>2672</v>
      </c>
      <c r="H2640" t="s">
        <v>2665</v>
      </c>
      <c r="N2640" t="s">
        <v>988</v>
      </c>
    </row>
    <row r="2641" spans="1:14" hidden="1" x14ac:dyDescent="0.3">
      <c r="A2641">
        <v>1718</v>
      </c>
      <c r="B2641" t="s">
        <v>1747</v>
      </c>
      <c r="C2641" t="s">
        <v>2670</v>
      </c>
      <c r="D2641" t="s">
        <v>1203</v>
      </c>
      <c r="E2641" t="s">
        <v>1204</v>
      </c>
      <c r="F2641">
        <v>5882</v>
      </c>
      <c r="G2641" t="s">
        <v>2673</v>
      </c>
      <c r="H2641" t="s">
        <v>2664</v>
      </c>
      <c r="I2641">
        <v>254196</v>
      </c>
      <c r="J2641">
        <v>254196</v>
      </c>
      <c r="K2641">
        <v>254196</v>
      </c>
      <c r="L2641">
        <v>254196</v>
      </c>
      <c r="N2641" t="s">
        <v>988</v>
      </c>
    </row>
    <row r="2642" spans="1:14" hidden="1" x14ac:dyDescent="0.3">
      <c r="A2642">
        <v>1729</v>
      </c>
      <c r="B2642" t="s">
        <v>1751</v>
      </c>
      <c r="C2642" t="s">
        <v>2670</v>
      </c>
      <c r="D2642" t="s">
        <v>1203</v>
      </c>
      <c r="E2642" t="s">
        <v>1204</v>
      </c>
      <c r="F2642">
        <v>6758</v>
      </c>
      <c r="G2642" t="s">
        <v>2673</v>
      </c>
      <c r="H2642" t="s">
        <v>2665</v>
      </c>
      <c r="I2642">
        <v>2433.6280650499998</v>
      </c>
      <c r="J2642">
        <v>2611.6235603499999</v>
      </c>
      <c r="K2642">
        <v>2804.9634949000001</v>
      </c>
      <c r="L2642">
        <v>3016.7167565499999</v>
      </c>
      <c r="M2642">
        <v>3249.9522331500002</v>
      </c>
      <c r="N2642" t="s">
        <v>988</v>
      </c>
    </row>
    <row r="2643" spans="1:14" hidden="1" x14ac:dyDescent="0.3">
      <c r="A2643">
        <v>1729</v>
      </c>
      <c r="B2643" t="s">
        <v>1751</v>
      </c>
      <c r="C2643" t="s">
        <v>2670</v>
      </c>
      <c r="D2643" t="s">
        <v>1203</v>
      </c>
      <c r="E2643" t="s">
        <v>1204</v>
      </c>
      <c r="F2643">
        <v>6758</v>
      </c>
      <c r="G2643" t="s">
        <v>2671</v>
      </c>
      <c r="H2643" t="s">
        <v>2664</v>
      </c>
      <c r="I2643">
        <v>2274.0458968500002</v>
      </c>
      <c r="J2643">
        <v>2439.7658407499998</v>
      </c>
      <c r="K2643">
        <v>2620.8302239</v>
      </c>
      <c r="L2643">
        <v>2820.3079341500002</v>
      </c>
      <c r="M2643">
        <v>3038.1989715</v>
      </c>
      <c r="N2643" t="s">
        <v>988</v>
      </c>
    </row>
    <row r="2644" spans="1:14" hidden="1" x14ac:dyDescent="0.3">
      <c r="A2644">
        <v>1729</v>
      </c>
      <c r="B2644" t="s">
        <v>1751</v>
      </c>
      <c r="C2644" t="s">
        <v>2670</v>
      </c>
      <c r="D2644" t="s">
        <v>1203</v>
      </c>
      <c r="E2644" t="s">
        <v>1204</v>
      </c>
      <c r="F2644">
        <v>6758</v>
      </c>
      <c r="G2644" t="s">
        <v>2671</v>
      </c>
      <c r="H2644" t="s">
        <v>2665</v>
      </c>
      <c r="I2644">
        <v>2274.0458968500002</v>
      </c>
      <c r="J2644">
        <v>2439.7658407499998</v>
      </c>
      <c r="K2644">
        <v>2620.8302239</v>
      </c>
      <c r="L2644">
        <v>2820.3079341500002</v>
      </c>
      <c r="M2644">
        <v>3038.1989715</v>
      </c>
      <c r="N2644" t="s">
        <v>988</v>
      </c>
    </row>
    <row r="2645" spans="1:14" hidden="1" x14ac:dyDescent="0.3">
      <c r="A2645">
        <v>1729</v>
      </c>
      <c r="B2645" t="s">
        <v>1751</v>
      </c>
      <c r="C2645" t="s">
        <v>2670</v>
      </c>
      <c r="D2645" t="s">
        <v>1203</v>
      </c>
      <c r="E2645" t="s">
        <v>1204</v>
      </c>
      <c r="F2645">
        <v>6758</v>
      </c>
      <c r="G2645" t="s">
        <v>2672</v>
      </c>
      <c r="H2645" t="s">
        <v>2664</v>
      </c>
      <c r="N2645" t="s">
        <v>988</v>
      </c>
    </row>
    <row r="2646" spans="1:14" hidden="1" x14ac:dyDescent="0.3">
      <c r="A2646">
        <v>1729</v>
      </c>
      <c r="B2646" t="s">
        <v>1751</v>
      </c>
      <c r="C2646" t="s">
        <v>2670</v>
      </c>
      <c r="D2646" t="s">
        <v>1203</v>
      </c>
      <c r="E2646" t="s">
        <v>1204</v>
      </c>
      <c r="F2646">
        <v>6758</v>
      </c>
      <c r="G2646" t="s">
        <v>2672</v>
      </c>
      <c r="H2646" t="s">
        <v>2665</v>
      </c>
      <c r="N2646" t="s">
        <v>988</v>
      </c>
    </row>
    <row r="2647" spans="1:14" hidden="1" x14ac:dyDescent="0.3">
      <c r="A2647">
        <v>1729</v>
      </c>
      <c r="B2647" t="s">
        <v>1751</v>
      </c>
      <c r="C2647" t="s">
        <v>2670</v>
      </c>
      <c r="D2647" t="s">
        <v>1203</v>
      </c>
      <c r="E2647" t="s">
        <v>1204</v>
      </c>
      <c r="F2647">
        <v>6758</v>
      </c>
      <c r="G2647" t="s">
        <v>2673</v>
      </c>
      <c r="H2647" t="s">
        <v>2664</v>
      </c>
      <c r="I2647">
        <v>2433.6280650499998</v>
      </c>
      <c r="J2647">
        <v>2611.6235603499999</v>
      </c>
      <c r="K2647">
        <v>2804.9634949000001</v>
      </c>
      <c r="L2647">
        <v>3016.7167565499999</v>
      </c>
      <c r="M2647">
        <v>3249.9522331500002</v>
      </c>
      <c r="N2647" t="s">
        <v>988</v>
      </c>
    </row>
    <row r="2648" spans="1:14" hidden="1" x14ac:dyDescent="0.3">
      <c r="A2648">
        <v>1729</v>
      </c>
      <c r="B2648" t="s">
        <v>1751</v>
      </c>
      <c r="C2648" t="s">
        <v>2670</v>
      </c>
      <c r="D2648" t="s">
        <v>1203</v>
      </c>
      <c r="E2648" t="s">
        <v>1204</v>
      </c>
      <c r="F2648">
        <v>6758</v>
      </c>
      <c r="G2648" t="s">
        <v>2676</v>
      </c>
      <c r="H2648" t="s">
        <v>2664</v>
      </c>
      <c r="I2648">
        <v>2986.0278780499998</v>
      </c>
      <c r="J2648">
        <v>3203.9189154000001</v>
      </c>
      <c r="K2648">
        <v>3440.2232798499999</v>
      </c>
      <c r="L2648">
        <v>3701.0787470999999</v>
      </c>
      <c r="M2648">
        <v>3986.4853171499999</v>
      </c>
      <c r="N2648" t="s">
        <v>988</v>
      </c>
    </row>
    <row r="2649" spans="1:14" hidden="1" x14ac:dyDescent="0.3">
      <c r="A2649">
        <v>1729</v>
      </c>
      <c r="B2649" t="s">
        <v>1751</v>
      </c>
      <c r="C2649" t="s">
        <v>2670</v>
      </c>
      <c r="D2649" t="s">
        <v>1203</v>
      </c>
      <c r="E2649" t="s">
        <v>1204</v>
      </c>
      <c r="F2649">
        <v>6758</v>
      </c>
      <c r="G2649" t="s">
        <v>2676</v>
      </c>
      <c r="H2649" t="s">
        <v>2665</v>
      </c>
      <c r="I2649">
        <v>2986.0278780499998</v>
      </c>
      <c r="J2649">
        <v>3203.9189154000001</v>
      </c>
      <c r="K2649">
        <v>3440.2232798499999</v>
      </c>
      <c r="L2649">
        <v>3701.0787470999999</v>
      </c>
      <c r="M2649">
        <v>3986.4853171499999</v>
      </c>
      <c r="N2649" t="s">
        <v>988</v>
      </c>
    </row>
    <row r="2650" spans="1:14" hidden="1" x14ac:dyDescent="0.3">
      <c r="A2650">
        <v>1729</v>
      </c>
      <c r="B2650" t="s">
        <v>1751</v>
      </c>
      <c r="C2650" t="s">
        <v>2670</v>
      </c>
      <c r="D2650" t="s">
        <v>1203</v>
      </c>
      <c r="E2650" t="s">
        <v>1204</v>
      </c>
      <c r="F2650">
        <v>6758</v>
      </c>
      <c r="G2650" t="s">
        <v>2675</v>
      </c>
      <c r="H2650" t="s">
        <v>2664</v>
      </c>
      <c r="I2650">
        <v>2789.6190556500001</v>
      </c>
      <c r="J2650">
        <v>2992.1656537499998</v>
      </c>
      <c r="K2650">
        <v>3213.1255789500001</v>
      </c>
      <c r="L2650">
        <v>3458.63660695</v>
      </c>
      <c r="M2650">
        <v>3725.6298499</v>
      </c>
      <c r="N2650" t="s">
        <v>988</v>
      </c>
    </row>
    <row r="2651" spans="1:14" hidden="1" x14ac:dyDescent="0.3">
      <c r="A2651">
        <v>1729</v>
      </c>
      <c r="B2651" t="s">
        <v>1751</v>
      </c>
      <c r="C2651" t="s">
        <v>2670</v>
      </c>
      <c r="D2651" t="s">
        <v>1203</v>
      </c>
      <c r="E2651" t="s">
        <v>1204</v>
      </c>
      <c r="F2651">
        <v>6758</v>
      </c>
      <c r="G2651" t="s">
        <v>2675</v>
      </c>
      <c r="H2651" t="s">
        <v>2665</v>
      </c>
      <c r="I2651">
        <v>2789.6190556500001</v>
      </c>
      <c r="J2651">
        <v>2992.1656537499998</v>
      </c>
      <c r="K2651">
        <v>3213.1255789500001</v>
      </c>
      <c r="L2651">
        <v>3458.63660695</v>
      </c>
      <c r="M2651">
        <v>3725.6298499</v>
      </c>
      <c r="N2651" t="s">
        <v>988</v>
      </c>
    </row>
    <row r="2652" spans="1:14" hidden="1" x14ac:dyDescent="0.3">
      <c r="A2652">
        <v>1729</v>
      </c>
      <c r="B2652" t="s">
        <v>1751</v>
      </c>
      <c r="C2652" t="s">
        <v>2670</v>
      </c>
      <c r="D2652" t="s">
        <v>1203</v>
      </c>
      <c r="E2652" t="s">
        <v>1204</v>
      </c>
      <c r="F2652">
        <v>6758</v>
      </c>
      <c r="G2652" t="s">
        <v>2674</v>
      </c>
      <c r="H2652" t="s">
        <v>2664</v>
      </c>
      <c r="I2652">
        <v>2605.4857846499999</v>
      </c>
      <c r="J2652">
        <v>2795.7568313500001</v>
      </c>
      <c r="K2652">
        <v>3001.3723172999998</v>
      </c>
      <c r="L2652">
        <v>3228.4700182000001</v>
      </c>
      <c r="M2652">
        <v>3480.1188219000001</v>
      </c>
      <c r="N2652" t="s">
        <v>988</v>
      </c>
    </row>
    <row r="2653" spans="1:14" hidden="1" x14ac:dyDescent="0.3">
      <c r="A2653">
        <v>1729</v>
      </c>
      <c r="B2653" t="s">
        <v>1751</v>
      </c>
      <c r="C2653" t="s">
        <v>2670</v>
      </c>
      <c r="D2653" t="s">
        <v>1203</v>
      </c>
      <c r="E2653" t="s">
        <v>1204</v>
      </c>
      <c r="F2653">
        <v>6758</v>
      </c>
      <c r="G2653" t="s">
        <v>2674</v>
      </c>
      <c r="H2653" t="s">
        <v>2665</v>
      </c>
      <c r="I2653">
        <v>2605.4857846499999</v>
      </c>
      <c r="J2653">
        <v>2795.7568313500001</v>
      </c>
      <c r="K2653">
        <v>3001.3723172999998</v>
      </c>
      <c r="L2653">
        <v>3228.4700182000001</v>
      </c>
      <c r="M2653">
        <v>3480.1188219000001</v>
      </c>
      <c r="N2653" t="s">
        <v>988</v>
      </c>
    </row>
    <row r="2654" spans="1:14" hidden="1" x14ac:dyDescent="0.3">
      <c r="A2654">
        <v>1730</v>
      </c>
      <c r="B2654" t="s">
        <v>1757</v>
      </c>
      <c r="C2654" t="s">
        <v>2670</v>
      </c>
      <c r="D2654" t="s">
        <v>159</v>
      </c>
      <c r="E2654" t="s">
        <v>159</v>
      </c>
      <c r="F2654">
        <v>7710</v>
      </c>
      <c r="G2654" t="s">
        <v>2676</v>
      </c>
      <c r="H2654" t="s">
        <v>2665</v>
      </c>
      <c r="I2654">
        <v>15876</v>
      </c>
      <c r="J2654">
        <v>15865</v>
      </c>
      <c r="K2654">
        <v>16324</v>
      </c>
      <c r="L2654">
        <v>16483</v>
      </c>
      <c r="M2654">
        <v>16615</v>
      </c>
      <c r="N2654" t="s">
        <v>988</v>
      </c>
    </row>
    <row r="2655" spans="1:14" hidden="1" x14ac:dyDescent="0.3">
      <c r="A2655">
        <v>1730</v>
      </c>
      <c r="B2655" t="s">
        <v>1757</v>
      </c>
      <c r="C2655" t="s">
        <v>2670</v>
      </c>
      <c r="D2655" t="s">
        <v>159</v>
      </c>
      <c r="E2655" t="s">
        <v>159</v>
      </c>
      <c r="F2655">
        <v>7710</v>
      </c>
      <c r="G2655" t="s">
        <v>2675</v>
      </c>
      <c r="H2655" t="s">
        <v>2664</v>
      </c>
      <c r="I2655">
        <v>15846</v>
      </c>
      <c r="J2655">
        <v>15972</v>
      </c>
      <c r="K2655">
        <v>16355</v>
      </c>
      <c r="L2655">
        <v>16518</v>
      </c>
      <c r="M2655">
        <v>16607</v>
      </c>
      <c r="N2655" t="s">
        <v>988</v>
      </c>
    </row>
    <row r="2656" spans="1:14" hidden="1" x14ac:dyDescent="0.3">
      <c r="A2656">
        <v>1730</v>
      </c>
      <c r="B2656" t="s">
        <v>1757</v>
      </c>
      <c r="C2656" t="s">
        <v>2670</v>
      </c>
      <c r="D2656" t="s">
        <v>159</v>
      </c>
      <c r="E2656" t="s">
        <v>159</v>
      </c>
      <c r="F2656">
        <v>7710</v>
      </c>
      <c r="G2656" t="s">
        <v>2675</v>
      </c>
      <c r="H2656" t="s">
        <v>2665</v>
      </c>
      <c r="I2656">
        <v>15846</v>
      </c>
      <c r="J2656">
        <v>15972</v>
      </c>
      <c r="K2656">
        <v>16355</v>
      </c>
      <c r="L2656">
        <v>16518</v>
      </c>
      <c r="M2656">
        <v>16607</v>
      </c>
      <c r="N2656" t="s">
        <v>988</v>
      </c>
    </row>
    <row r="2657" spans="1:14" hidden="1" x14ac:dyDescent="0.3">
      <c r="A2657">
        <v>1730</v>
      </c>
      <c r="B2657" t="s">
        <v>1757</v>
      </c>
      <c r="C2657" t="s">
        <v>2670</v>
      </c>
      <c r="D2657" t="s">
        <v>159</v>
      </c>
      <c r="E2657" t="s">
        <v>159</v>
      </c>
      <c r="F2657">
        <v>7710</v>
      </c>
      <c r="G2657" t="s">
        <v>2674</v>
      </c>
      <c r="H2657" t="s">
        <v>2664</v>
      </c>
      <c r="I2657">
        <v>15817</v>
      </c>
      <c r="J2657">
        <v>16079</v>
      </c>
      <c r="K2657">
        <v>16386</v>
      </c>
      <c r="L2657">
        <v>16553</v>
      </c>
      <c r="M2657">
        <v>16599</v>
      </c>
      <c r="N2657" t="s">
        <v>988</v>
      </c>
    </row>
    <row r="2658" spans="1:14" hidden="1" x14ac:dyDescent="0.3">
      <c r="A2658">
        <v>1730</v>
      </c>
      <c r="B2658" t="s">
        <v>1757</v>
      </c>
      <c r="C2658" t="s">
        <v>2670</v>
      </c>
      <c r="D2658" t="s">
        <v>159</v>
      </c>
      <c r="E2658" t="s">
        <v>159</v>
      </c>
      <c r="F2658">
        <v>7710</v>
      </c>
      <c r="G2658" t="s">
        <v>2674</v>
      </c>
      <c r="H2658" t="s">
        <v>2665</v>
      </c>
      <c r="I2658">
        <v>15817</v>
      </c>
      <c r="J2658">
        <v>16079</v>
      </c>
      <c r="K2658">
        <v>16386</v>
      </c>
      <c r="L2658">
        <v>16553</v>
      </c>
      <c r="M2658">
        <v>16599</v>
      </c>
      <c r="N2658" t="s">
        <v>988</v>
      </c>
    </row>
    <row r="2659" spans="1:14" hidden="1" x14ac:dyDescent="0.3">
      <c r="A2659">
        <v>1730</v>
      </c>
      <c r="B2659" t="s">
        <v>1757</v>
      </c>
      <c r="C2659" t="s">
        <v>2670</v>
      </c>
      <c r="D2659" t="s">
        <v>159</v>
      </c>
      <c r="E2659" t="s">
        <v>159</v>
      </c>
      <c r="F2659">
        <v>7710</v>
      </c>
      <c r="G2659" t="s">
        <v>2676</v>
      </c>
      <c r="H2659" t="s">
        <v>2664</v>
      </c>
      <c r="I2659">
        <v>15876</v>
      </c>
      <c r="J2659">
        <v>15865</v>
      </c>
      <c r="K2659">
        <v>16324</v>
      </c>
      <c r="L2659">
        <v>16483</v>
      </c>
      <c r="M2659">
        <v>16615</v>
      </c>
      <c r="N2659" t="s">
        <v>988</v>
      </c>
    </row>
    <row r="2660" spans="1:14" hidden="1" x14ac:dyDescent="0.3">
      <c r="A2660">
        <v>1730</v>
      </c>
      <c r="B2660" t="s">
        <v>1757</v>
      </c>
      <c r="C2660" t="s">
        <v>2670</v>
      </c>
      <c r="D2660" t="s">
        <v>159</v>
      </c>
      <c r="E2660" t="s">
        <v>159</v>
      </c>
      <c r="F2660">
        <v>7710</v>
      </c>
      <c r="G2660" t="s">
        <v>2672</v>
      </c>
      <c r="H2660" t="s">
        <v>2664</v>
      </c>
      <c r="N2660" t="s">
        <v>988</v>
      </c>
    </row>
    <row r="2661" spans="1:14" hidden="1" x14ac:dyDescent="0.3">
      <c r="A2661">
        <v>1730</v>
      </c>
      <c r="B2661" t="s">
        <v>1757</v>
      </c>
      <c r="C2661" t="s">
        <v>2670</v>
      </c>
      <c r="D2661" t="s">
        <v>159</v>
      </c>
      <c r="E2661" t="s">
        <v>159</v>
      </c>
      <c r="F2661">
        <v>7710</v>
      </c>
      <c r="G2661" t="s">
        <v>2671</v>
      </c>
      <c r="H2661" t="s">
        <v>2665</v>
      </c>
      <c r="I2661">
        <v>15758</v>
      </c>
      <c r="J2661">
        <v>16293</v>
      </c>
      <c r="K2661">
        <v>16448</v>
      </c>
      <c r="L2661">
        <v>16623</v>
      </c>
      <c r="M2661">
        <v>16584</v>
      </c>
      <c r="N2661" t="s">
        <v>988</v>
      </c>
    </row>
    <row r="2662" spans="1:14" hidden="1" x14ac:dyDescent="0.3">
      <c r="A2662">
        <v>1730</v>
      </c>
      <c r="B2662" t="s">
        <v>1757</v>
      </c>
      <c r="C2662" t="s">
        <v>2670</v>
      </c>
      <c r="D2662" t="s">
        <v>159</v>
      </c>
      <c r="E2662" t="s">
        <v>159</v>
      </c>
      <c r="F2662">
        <v>7710</v>
      </c>
      <c r="G2662" t="s">
        <v>2671</v>
      </c>
      <c r="H2662" t="s">
        <v>2664</v>
      </c>
      <c r="I2662">
        <v>15758</v>
      </c>
      <c r="J2662">
        <v>16293</v>
      </c>
      <c r="K2662">
        <v>16448</v>
      </c>
      <c r="L2662">
        <v>16623</v>
      </c>
      <c r="M2662">
        <v>16584</v>
      </c>
      <c r="N2662" t="s">
        <v>988</v>
      </c>
    </row>
    <row r="2663" spans="1:14" hidden="1" x14ac:dyDescent="0.3">
      <c r="A2663">
        <v>1730</v>
      </c>
      <c r="B2663" t="s">
        <v>1757</v>
      </c>
      <c r="C2663" t="s">
        <v>2670</v>
      </c>
      <c r="D2663" t="s">
        <v>159</v>
      </c>
      <c r="E2663" t="s">
        <v>159</v>
      </c>
      <c r="F2663">
        <v>7710</v>
      </c>
      <c r="G2663" t="s">
        <v>2673</v>
      </c>
      <c r="H2663" t="s">
        <v>2665</v>
      </c>
      <c r="I2663">
        <v>15787</v>
      </c>
      <c r="J2663">
        <v>16186</v>
      </c>
      <c r="K2663">
        <v>16417</v>
      </c>
      <c r="L2663">
        <v>16588</v>
      </c>
      <c r="M2663">
        <v>16592</v>
      </c>
      <c r="N2663" t="s">
        <v>988</v>
      </c>
    </row>
    <row r="2664" spans="1:14" hidden="1" x14ac:dyDescent="0.3">
      <c r="A2664">
        <v>1730</v>
      </c>
      <c r="B2664" t="s">
        <v>1757</v>
      </c>
      <c r="C2664" t="s">
        <v>2670</v>
      </c>
      <c r="D2664" t="s">
        <v>159</v>
      </c>
      <c r="E2664" t="s">
        <v>159</v>
      </c>
      <c r="F2664">
        <v>7710</v>
      </c>
      <c r="G2664" t="s">
        <v>2673</v>
      </c>
      <c r="H2664" t="s">
        <v>2664</v>
      </c>
      <c r="I2664">
        <v>15787</v>
      </c>
      <c r="J2664">
        <v>16186</v>
      </c>
      <c r="K2664">
        <v>16417</v>
      </c>
      <c r="L2664">
        <v>16588</v>
      </c>
      <c r="M2664">
        <v>16592</v>
      </c>
      <c r="N2664" t="s">
        <v>988</v>
      </c>
    </row>
    <row r="2665" spans="1:14" hidden="1" x14ac:dyDescent="0.3">
      <c r="A2665">
        <v>1730</v>
      </c>
      <c r="B2665" t="s">
        <v>1757</v>
      </c>
      <c r="C2665" t="s">
        <v>2670</v>
      </c>
      <c r="D2665" t="s">
        <v>159</v>
      </c>
      <c r="E2665" t="s">
        <v>159</v>
      </c>
      <c r="F2665">
        <v>7710</v>
      </c>
      <c r="G2665" t="s">
        <v>2672</v>
      </c>
      <c r="H2665" t="s">
        <v>2665</v>
      </c>
      <c r="N2665" t="s">
        <v>988</v>
      </c>
    </row>
    <row r="2666" spans="1:14" hidden="1" x14ac:dyDescent="0.3">
      <c r="A2666">
        <v>1731</v>
      </c>
      <c r="B2666" t="s">
        <v>1758</v>
      </c>
      <c r="C2666" t="s">
        <v>2670</v>
      </c>
      <c r="D2666" t="s">
        <v>1203</v>
      </c>
      <c r="E2666" t="s">
        <v>1204</v>
      </c>
      <c r="F2666">
        <v>6882</v>
      </c>
      <c r="G2666" t="s">
        <v>2672</v>
      </c>
      <c r="H2666" t="s">
        <v>2665</v>
      </c>
      <c r="N2666" t="s">
        <v>988</v>
      </c>
    </row>
    <row r="2667" spans="1:14" hidden="1" x14ac:dyDescent="0.3">
      <c r="A2667">
        <v>1731</v>
      </c>
      <c r="B2667" t="s">
        <v>1758</v>
      </c>
      <c r="C2667" t="s">
        <v>2670</v>
      </c>
      <c r="D2667" t="s">
        <v>1203</v>
      </c>
      <c r="E2667" t="s">
        <v>1204</v>
      </c>
      <c r="F2667">
        <v>6882</v>
      </c>
      <c r="G2667" t="s">
        <v>2672</v>
      </c>
      <c r="H2667" t="s">
        <v>2664</v>
      </c>
      <c r="N2667" t="s">
        <v>988</v>
      </c>
    </row>
    <row r="2668" spans="1:14" hidden="1" x14ac:dyDescent="0.3">
      <c r="A2668">
        <v>1731</v>
      </c>
      <c r="B2668" t="s">
        <v>1758</v>
      </c>
      <c r="C2668" t="s">
        <v>2670</v>
      </c>
      <c r="D2668" t="s">
        <v>1203</v>
      </c>
      <c r="E2668" t="s">
        <v>1204</v>
      </c>
      <c r="F2668">
        <v>6882</v>
      </c>
      <c r="G2668" t="s">
        <v>2671</v>
      </c>
      <c r="H2668" t="s">
        <v>2665</v>
      </c>
      <c r="I2668">
        <v>3128</v>
      </c>
      <c r="J2668">
        <v>3369</v>
      </c>
      <c r="K2668">
        <v>3438</v>
      </c>
      <c r="L2668">
        <v>3505</v>
      </c>
      <c r="M2668">
        <v>3573</v>
      </c>
      <c r="N2668" t="s">
        <v>988</v>
      </c>
    </row>
    <row r="2669" spans="1:14" hidden="1" x14ac:dyDescent="0.3">
      <c r="A2669">
        <v>1731</v>
      </c>
      <c r="B2669" t="s">
        <v>1758</v>
      </c>
      <c r="C2669" t="s">
        <v>2670</v>
      </c>
      <c r="D2669" t="s">
        <v>1203</v>
      </c>
      <c r="E2669" t="s">
        <v>1204</v>
      </c>
      <c r="F2669">
        <v>6882</v>
      </c>
      <c r="G2669" t="s">
        <v>2671</v>
      </c>
      <c r="H2669" t="s">
        <v>2664</v>
      </c>
      <c r="I2669">
        <v>4013</v>
      </c>
      <c r="J2669">
        <v>4013</v>
      </c>
      <c r="K2669">
        <v>4013</v>
      </c>
      <c r="L2669">
        <v>4013</v>
      </c>
      <c r="M2669">
        <v>4013</v>
      </c>
      <c r="N2669" t="s">
        <v>988</v>
      </c>
    </row>
    <row r="2670" spans="1:14" hidden="1" x14ac:dyDescent="0.3">
      <c r="A2670">
        <v>1731</v>
      </c>
      <c r="B2670" t="s">
        <v>1758</v>
      </c>
      <c r="C2670" t="s">
        <v>2670</v>
      </c>
      <c r="D2670" t="s">
        <v>1203</v>
      </c>
      <c r="E2670" t="s">
        <v>1204</v>
      </c>
      <c r="F2670">
        <v>6882</v>
      </c>
      <c r="G2670" t="s">
        <v>2673</v>
      </c>
      <c r="H2670" t="s">
        <v>2665</v>
      </c>
      <c r="I2670">
        <v>3128</v>
      </c>
      <c r="J2670">
        <v>3369</v>
      </c>
      <c r="K2670">
        <v>3438</v>
      </c>
      <c r="L2670">
        <v>3505</v>
      </c>
      <c r="M2670">
        <v>3573</v>
      </c>
      <c r="N2670" t="s">
        <v>988</v>
      </c>
    </row>
    <row r="2671" spans="1:14" hidden="1" x14ac:dyDescent="0.3">
      <c r="A2671">
        <v>1731</v>
      </c>
      <c r="B2671" t="s">
        <v>1758</v>
      </c>
      <c r="C2671" t="s">
        <v>2670</v>
      </c>
      <c r="D2671" t="s">
        <v>1203</v>
      </c>
      <c r="E2671" t="s">
        <v>1204</v>
      </c>
      <c r="F2671">
        <v>6882</v>
      </c>
      <c r="G2671" t="s">
        <v>2676</v>
      </c>
      <c r="H2671" t="s">
        <v>2664</v>
      </c>
      <c r="I2671">
        <v>5027</v>
      </c>
      <c r="J2671">
        <v>5027</v>
      </c>
      <c r="K2671">
        <v>5027</v>
      </c>
      <c r="L2671">
        <v>5027</v>
      </c>
      <c r="M2671">
        <v>5027</v>
      </c>
      <c r="N2671" t="s">
        <v>988</v>
      </c>
    </row>
    <row r="2672" spans="1:14" hidden="1" x14ac:dyDescent="0.3">
      <c r="A2672">
        <v>1731</v>
      </c>
      <c r="B2672" t="s">
        <v>1758</v>
      </c>
      <c r="C2672" t="s">
        <v>2670</v>
      </c>
      <c r="D2672" t="s">
        <v>1203</v>
      </c>
      <c r="E2672" t="s">
        <v>1204</v>
      </c>
      <c r="F2672">
        <v>6882</v>
      </c>
      <c r="G2672" t="s">
        <v>2674</v>
      </c>
      <c r="H2672" t="s">
        <v>2665</v>
      </c>
      <c r="I2672">
        <v>3128</v>
      </c>
      <c r="J2672">
        <v>3369</v>
      </c>
      <c r="K2672">
        <v>3438</v>
      </c>
      <c r="L2672">
        <v>3505</v>
      </c>
      <c r="M2672">
        <v>3573</v>
      </c>
      <c r="N2672" t="s">
        <v>988</v>
      </c>
    </row>
    <row r="2673" spans="1:14" hidden="1" x14ac:dyDescent="0.3">
      <c r="A2673">
        <v>1731</v>
      </c>
      <c r="B2673" t="s">
        <v>1758</v>
      </c>
      <c r="C2673" t="s">
        <v>2670</v>
      </c>
      <c r="D2673" t="s">
        <v>1203</v>
      </c>
      <c r="E2673" t="s">
        <v>1204</v>
      </c>
      <c r="F2673">
        <v>6882</v>
      </c>
      <c r="G2673" t="s">
        <v>2674</v>
      </c>
      <c r="H2673" t="s">
        <v>2664</v>
      </c>
      <c r="I2673">
        <v>4267</v>
      </c>
      <c r="J2673">
        <v>4267</v>
      </c>
      <c r="K2673">
        <v>4267</v>
      </c>
      <c r="L2673">
        <v>4267</v>
      </c>
      <c r="M2673">
        <v>4267</v>
      </c>
      <c r="N2673" t="s">
        <v>988</v>
      </c>
    </row>
    <row r="2674" spans="1:14" hidden="1" x14ac:dyDescent="0.3">
      <c r="A2674">
        <v>1731</v>
      </c>
      <c r="B2674" t="s">
        <v>1758</v>
      </c>
      <c r="C2674" t="s">
        <v>2670</v>
      </c>
      <c r="D2674" t="s">
        <v>1203</v>
      </c>
      <c r="E2674" t="s">
        <v>1204</v>
      </c>
      <c r="F2674">
        <v>6882</v>
      </c>
      <c r="G2674" t="s">
        <v>2675</v>
      </c>
      <c r="H2674" t="s">
        <v>2665</v>
      </c>
      <c r="I2674">
        <v>3128</v>
      </c>
      <c r="J2674">
        <v>3369</v>
      </c>
      <c r="K2674">
        <v>3438</v>
      </c>
      <c r="L2674">
        <v>3505</v>
      </c>
      <c r="M2674">
        <v>3573</v>
      </c>
      <c r="N2674" t="s">
        <v>988</v>
      </c>
    </row>
    <row r="2675" spans="1:14" hidden="1" x14ac:dyDescent="0.3">
      <c r="A2675">
        <v>1731</v>
      </c>
      <c r="B2675" t="s">
        <v>1758</v>
      </c>
      <c r="C2675" t="s">
        <v>2670</v>
      </c>
      <c r="D2675" t="s">
        <v>1203</v>
      </c>
      <c r="E2675" t="s">
        <v>1204</v>
      </c>
      <c r="F2675">
        <v>6882</v>
      </c>
      <c r="G2675" t="s">
        <v>2675</v>
      </c>
      <c r="H2675" t="s">
        <v>2664</v>
      </c>
      <c r="I2675">
        <v>4733</v>
      </c>
      <c r="J2675">
        <v>4733</v>
      </c>
      <c r="K2675">
        <v>4733</v>
      </c>
      <c r="L2675">
        <v>4733</v>
      </c>
      <c r="M2675">
        <v>4733</v>
      </c>
      <c r="N2675" t="s">
        <v>988</v>
      </c>
    </row>
    <row r="2676" spans="1:14" hidden="1" x14ac:dyDescent="0.3">
      <c r="A2676">
        <v>1731</v>
      </c>
      <c r="B2676" t="s">
        <v>1758</v>
      </c>
      <c r="C2676" t="s">
        <v>2670</v>
      </c>
      <c r="D2676" t="s">
        <v>1203</v>
      </c>
      <c r="E2676" t="s">
        <v>1204</v>
      </c>
      <c r="F2676">
        <v>6882</v>
      </c>
      <c r="G2676" t="s">
        <v>2676</v>
      </c>
      <c r="H2676" t="s">
        <v>2665</v>
      </c>
      <c r="I2676">
        <v>3128</v>
      </c>
      <c r="J2676">
        <v>3369</v>
      </c>
      <c r="K2676">
        <v>3438</v>
      </c>
      <c r="L2676">
        <v>3505</v>
      </c>
      <c r="M2676">
        <v>3573</v>
      </c>
      <c r="N2676" t="s">
        <v>988</v>
      </c>
    </row>
    <row r="2677" spans="1:14" hidden="1" x14ac:dyDescent="0.3">
      <c r="A2677">
        <v>1731</v>
      </c>
      <c r="B2677" t="s">
        <v>1758</v>
      </c>
      <c r="C2677" t="s">
        <v>2670</v>
      </c>
      <c r="D2677" t="s">
        <v>1203</v>
      </c>
      <c r="E2677" t="s">
        <v>1204</v>
      </c>
      <c r="F2677">
        <v>6882</v>
      </c>
      <c r="G2677" t="s">
        <v>2673</v>
      </c>
      <c r="H2677" t="s">
        <v>2664</v>
      </c>
      <c r="I2677">
        <v>4013</v>
      </c>
      <c r="J2677">
        <v>4013</v>
      </c>
      <c r="K2677">
        <v>4013</v>
      </c>
      <c r="L2677">
        <v>4013</v>
      </c>
      <c r="M2677">
        <v>4013</v>
      </c>
      <c r="N2677" t="s">
        <v>988</v>
      </c>
    </row>
    <row r="2678" spans="1:14" hidden="1" x14ac:dyDescent="0.3">
      <c r="A2678">
        <v>1732</v>
      </c>
      <c r="B2678" t="s">
        <v>1759</v>
      </c>
      <c r="C2678" t="s">
        <v>2670</v>
      </c>
      <c r="D2678" t="s">
        <v>1203</v>
      </c>
      <c r="E2678" t="s">
        <v>1204</v>
      </c>
      <c r="F2678">
        <v>5722</v>
      </c>
      <c r="G2678" t="s">
        <v>2676</v>
      </c>
      <c r="H2678" t="s">
        <v>2664</v>
      </c>
      <c r="I2678">
        <v>14400</v>
      </c>
      <c r="J2678">
        <v>14400</v>
      </c>
      <c r="K2678">
        <v>14400</v>
      </c>
      <c r="L2678">
        <v>14400</v>
      </c>
      <c r="M2678">
        <v>14400</v>
      </c>
      <c r="N2678" t="s">
        <v>988</v>
      </c>
    </row>
    <row r="2679" spans="1:14" hidden="1" x14ac:dyDescent="0.3">
      <c r="A2679">
        <v>1732</v>
      </c>
      <c r="B2679" t="s">
        <v>1759</v>
      </c>
      <c r="C2679" t="s">
        <v>2670</v>
      </c>
      <c r="D2679" t="s">
        <v>1203</v>
      </c>
      <c r="E2679" t="s">
        <v>1204</v>
      </c>
      <c r="F2679">
        <v>5722</v>
      </c>
      <c r="G2679" t="s">
        <v>2672</v>
      </c>
      <c r="H2679" t="s">
        <v>2665</v>
      </c>
      <c r="I2679">
        <v>6810</v>
      </c>
      <c r="J2679">
        <v>7035</v>
      </c>
      <c r="K2679">
        <v>7310</v>
      </c>
      <c r="L2679">
        <v>7560</v>
      </c>
      <c r="M2679">
        <v>7710</v>
      </c>
      <c r="N2679" t="s">
        <v>988</v>
      </c>
    </row>
    <row r="2680" spans="1:14" hidden="1" x14ac:dyDescent="0.3">
      <c r="A2680">
        <v>1732</v>
      </c>
      <c r="B2680" t="s">
        <v>1759</v>
      </c>
      <c r="C2680" t="s">
        <v>2670</v>
      </c>
      <c r="D2680" t="s">
        <v>1203</v>
      </c>
      <c r="E2680" t="s">
        <v>1204</v>
      </c>
      <c r="F2680">
        <v>5722</v>
      </c>
      <c r="G2680" t="s">
        <v>2672</v>
      </c>
      <c r="H2680" t="s">
        <v>2664</v>
      </c>
      <c r="I2680">
        <v>14400</v>
      </c>
      <c r="J2680">
        <v>14400</v>
      </c>
      <c r="K2680">
        <v>14400</v>
      </c>
      <c r="L2680">
        <v>14400</v>
      </c>
      <c r="M2680">
        <v>14400</v>
      </c>
      <c r="N2680" t="s">
        <v>988</v>
      </c>
    </row>
    <row r="2681" spans="1:14" hidden="1" x14ac:dyDescent="0.3">
      <c r="A2681">
        <v>1732</v>
      </c>
      <c r="B2681" t="s">
        <v>1759</v>
      </c>
      <c r="C2681" t="s">
        <v>2670</v>
      </c>
      <c r="D2681" t="s">
        <v>1203</v>
      </c>
      <c r="E2681" t="s">
        <v>1204</v>
      </c>
      <c r="F2681">
        <v>5722</v>
      </c>
      <c r="G2681" t="s">
        <v>2671</v>
      </c>
      <c r="H2681" t="s">
        <v>2665</v>
      </c>
      <c r="I2681">
        <v>6810</v>
      </c>
      <c r="J2681">
        <v>7035</v>
      </c>
      <c r="K2681">
        <v>7310</v>
      </c>
      <c r="L2681">
        <v>7560</v>
      </c>
      <c r="M2681">
        <v>7710</v>
      </c>
      <c r="N2681" t="s">
        <v>988</v>
      </c>
    </row>
    <row r="2682" spans="1:14" hidden="1" x14ac:dyDescent="0.3">
      <c r="A2682">
        <v>1732</v>
      </c>
      <c r="B2682" t="s">
        <v>1759</v>
      </c>
      <c r="C2682" t="s">
        <v>2670</v>
      </c>
      <c r="D2682" t="s">
        <v>1203</v>
      </c>
      <c r="E2682" t="s">
        <v>1204</v>
      </c>
      <c r="F2682">
        <v>5722</v>
      </c>
      <c r="G2682" t="s">
        <v>2671</v>
      </c>
      <c r="H2682" t="s">
        <v>2664</v>
      </c>
      <c r="I2682">
        <v>14400</v>
      </c>
      <c r="J2682">
        <v>14400</v>
      </c>
      <c r="K2682">
        <v>14400</v>
      </c>
      <c r="L2682">
        <v>14400</v>
      </c>
      <c r="M2682">
        <v>14400</v>
      </c>
      <c r="N2682" t="s">
        <v>988</v>
      </c>
    </row>
    <row r="2683" spans="1:14" hidden="1" x14ac:dyDescent="0.3">
      <c r="A2683">
        <v>1732</v>
      </c>
      <c r="B2683" t="s">
        <v>1759</v>
      </c>
      <c r="C2683" t="s">
        <v>2670</v>
      </c>
      <c r="D2683" t="s">
        <v>1203</v>
      </c>
      <c r="E2683" t="s">
        <v>1204</v>
      </c>
      <c r="F2683">
        <v>5722</v>
      </c>
      <c r="G2683" t="s">
        <v>2673</v>
      </c>
      <c r="H2683" t="s">
        <v>2665</v>
      </c>
      <c r="I2683">
        <v>6810</v>
      </c>
      <c r="J2683">
        <v>7035</v>
      </c>
      <c r="K2683">
        <v>7310</v>
      </c>
      <c r="L2683">
        <v>7560</v>
      </c>
      <c r="M2683">
        <v>7710</v>
      </c>
      <c r="N2683" t="s">
        <v>988</v>
      </c>
    </row>
    <row r="2684" spans="1:14" hidden="1" x14ac:dyDescent="0.3">
      <c r="A2684">
        <v>1732</v>
      </c>
      <c r="B2684" t="s">
        <v>1759</v>
      </c>
      <c r="C2684" t="s">
        <v>2670</v>
      </c>
      <c r="D2684" t="s">
        <v>1203</v>
      </c>
      <c r="E2684" t="s">
        <v>1204</v>
      </c>
      <c r="F2684">
        <v>5722</v>
      </c>
      <c r="G2684" t="s">
        <v>2673</v>
      </c>
      <c r="H2684" t="s">
        <v>2664</v>
      </c>
      <c r="I2684">
        <v>14400</v>
      </c>
      <c r="J2684">
        <v>14400</v>
      </c>
      <c r="K2684">
        <v>14400</v>
      </c>
      <c r="L2684">
        <v>14400</v>
      </c>
      <c r="M2684">
        <v>14400</v>
      </c>
      <c r="N2684" t="s">
        <v>988</v>
      </c>
    </row>
    <row r="2685" spans="1:14" hidden="1" x14ac:dyDescent="0.3">
      <c r="A2685">
        <v>1732</v>
      </c>
      <c r="B2685" t="s">
        <v>1759</v>
      </c>
      <c r="C2685" t="s">
        <v>2670</v>
      </c>
      <c r="D2685" t="s">
        <v>1203</v>
      </c>
      <c r="E2685" t="s">
        <v>1204</v>
      </c>
      <c r="F2685">
        <v>5722</v>
      </c>
      <c r="G2685" t="s">
        <v>2674</v>
      </c>
      <c r="H2685" t="s">
        <v>2665</v>
      </c>
      <c r="I2685">
        <v>6810</v>
      </c>
      <c r="J2685">
        <v>7035</v>
      </c>
      <c r="K2685">
        <v>7310</v>
      </c>
      <c r="L2685">
        <v>7560</v>
      </c>
      <c r="M2685">
        <v>7710</v>
      </c>
      <c r="N2685" t="s">
        <v>988</v>
      </c>
    </row>
    <row r="2686" spans="1:14" hidden="1" x14ac:dyDescent="0.3">
      <c r="A2686">
        <v>1732</v>
      </c>
      <c r="B2686" t="s">
        <v>1759</v>
      </c>
      <c r="C2686" t="s">
        <v>2670</v>
      </c>
      <c r="D2686" t="s">
        <v>1203</v>
      </c>
      <c r="E2686" t="s">
        <v>1204</v>
      </c>
      <c r="F2686">
        <v>5722</v>
      </c>
      <c r="G2686" t="s">
        <v>2674</v>
      </c>
      <c r="H2686" t="s">
        <v>2664</v>
      </c>
      <c r="I2686">
        <v>14400</v>
      </c>
      <c r="J2686">
        <v>14400</v>
      </c>
      <c r="K2686">
        <v>14400</v>
      </c>
      <c r="L2686">
        <v>14400</v>
      </c>
      <c r="M2686">
        <v>14400</v>
      </c>
      <c r="N2686" t="s">
        <v>988</v>
      </c>
    </row>
    <row r="2687" spans="1:14" hidden="1" x14ac:dyDescent="0.3">
      <c r="A2687">
        <v>1732</v>
      </c>
      <c r="B2687" t="s">
        <v>1759</v>
      </c>
      <c r="C2687" t="s">
        <v>2670</v>
      </c>
      <c r="D2687" t="s">
        <v>1203</v>
      </c>
      <c r="E2687" t="s">
        <v>1204</v>
      </c>
      <c r="F2687">
        <v>5722</v>
      </c>
      <c r="G2687" t="s">
        <v>2675</v>
      </c>
      <c r="H2687" t="s">
        <v>2665</v>
      </c>
      <c r="I2687">
        <v>6810</v>
      </c>
      <c r="J2687">
        <v>7035</v>
      </c>
      <c r="K2687">
        <v>7310</v>
      </c>
      <c r="L2687">
        <v>7560</v>
      </c>
      <c r="M2687">
        <v>7710</v>
      </c>
      <c r="N2687" t="s">
        <v>988</v>
      </c>
    </row>
    <row r="2688" spans="1:14" hidden="1" x14ac:dyDescent="0.3">
      <c r="A2688">
        <v>1732</v>
      </c>
      <c r="B2688" t="s">
        <v>1759</v>
      </c>
      <c r="C2688" t="s">
        <v>2670</v>
      </c>
      <c r="D2688" t="s">
        <v>1203</v>
      </c>
      <c r="E2688" t="s">
        <v>1204</v>
      </c>
      <c r="F2688">
        <v>5722</v>
      </c>
      <c r="G2688" t="s">
        <v>2675</v>
      </c>
      <c r="H2688" t="s">
        <v>2664</v>
      </c>
      <c r="I2688">
        <v>14400</v>
      </c>
      <c r="J2688">
        <v>14400</v>
      </c>
      <c r="K2688">
        <v>14400</v>
      </c>
      <c r="L2688">
        <v>14400</v>
      </c>
      <c r="M2688">
        <v>14400</v>
      </c>
      <c r="N2688" t="s">
        <v>988</v>
      </c>
    </row>
    <row r="2689" spans="1:14" hidden="1" x14ac:dyDescent="0.3">
      <c r="A2689">
        <v>1732</v>
      </c>
      <c r="B2689" t="s">
        <v>1759</v>
      </c>
      <c r="C2689" t="s">
        <v>2670</v>
      </c>
      <c r="D2689" t="s">
        <v>1203</v>
      </c>
      <c r="E2689" t="s">
        <v>1204</v>
      </c>
      <c r="F2689">
        <v>5722</v>
      </c>
      <c r="G2689" t="s">
        <v>2676</v>
      </c>
      <c r="H2689" t="s">
        <v>2665</v>
      </c>
      <c r="I2689">
        <v>6810</v>
      </c>
      <c r="J2689">
        <v>7035</v>
      </c>
      <c r="K2689">
        <v>7310</v>
      </c>
      <c r="L2689">
        <v>7560</v>
      </c>
      <c r="M2689">
        <v>7710</v>
      </c>
      <c r="N2689" t="s">
        <v>988</v>
      </c>
    </row>
    <row r="2690" spans="1:14" hidden="1" x14ac:dyDescent="0.3">
      <c r="A2690">
        <v>1739</v>
      </c>
      <c r="B2690" t="s">
        <v>1760</v>
      </c>
      <c r="C2690" t="s">
        <v>2670</v>
      </c>
      <c r="D2690" t="s">
        <v>1203</v>
      </c>
      <c r="E2690" t="s">
        <v>1204</v>
      </c>
      <c r="F2690">
        <v>5806</v>
      </c>
      <c r="G2690" t="s">
        <v>2675</v>
      </c>
      <c r="H2690" t="s">
        <v>2664</v>
      </c>
      <c r="I2690">
        <v>1460.0847723945001</v>
      </c>
      <c r="J2690">
        <v>1448.8833317420001</v>
      </c>
      <c r="K2690">
        <v>1448.8833317420001</v>
      </c>
      <c r="L2690">
        <v>1448.8833317420001</v>
      </c>
      <c r="M2690">
        <v>1460.0847723945001</v>
      </c>
      <c r="N2690" t="s">
        <v>988</v>
      </c>
    </row>
    <row r="2691" spans="1:14" hidden="1" x14ac:dyDescent="0.3">
      <c r="A2691">
        <v>1739</v>
      </c>
      <c r="B2691" t="s">
        <v>1760</v>
      </c>
      <c r="C2691" t="s">
        <v>2670</v>
      </c>
      <c r="D2691" t="s">
        <v>1203</v>
      </c>
      <c r="E2691" t="s">
        <v>1204</v>
      </c>
      <c r="F2691">
        <v>5806</v>
      </c>
      <c r="G2691" t="s">
        <v>2675</v>
      </c>
      <c r="H2691" t="s">
        <v>2665</v>
      </c>
      <c r="I2691">
        <v>2623.9348241023699</v>
      </c>
      <c r="J2691">
        <v>2572.1578431492999</v>
      </c>
      <c r="K2691">
        <v>2536.67175266391</v>
      </c>
      <c r="L2691">
        <v>2534.6550653540098</v>
      </c>
      <c r="M2691">
        <v>2539.7793336534501</v>
      </c>
      <c r="N2691" t="s">
        <v>988</v>
      </c>
    </row>
    <row r="2692" spans="1:14" hidden="1" x14ac:dyDescent="0.3">
      <c r="A2692">
        <v>1739</v>
      </c>
      <c r="B2692" t="s">
        <v>1760</v>
      </c>
      <c r="C2692" t="s">
        <v>2670</v>
      </c>
      <c r="D2692" t="s">
        <v>1203</v>
      </c>
      <c r="E2692" t="s">
        <v>1204</v>
      </c>
      <c r="F2692">
        <v>5806</v>
      </c>
      <c r="G2692" t="s">
        <v>2674</v>
      </c>
      <c r="H2692" t="s">
        <v>2664</v>
      </c>
      <c r="I2692">
        <v>1460.0847723945001</v>
      </c>
      <c r="J2692">
        <v>1448.8833317420001</v>
      </c>
      <c r="K2692">
        <v>1448.8833317420001</v>
      </c>
      <c r="L2692">
        <v>1448.8833317420001</v>
      </c>
      <c r="M2692">
        <v>1460.0847723945001</v>
      </c>
      <c r="N2692" t="s">
        <v>988</v>
      </c>
    </row>
    <row r="2693" spans="1:14" hidden="1" x14ac:dyDescent="0.3">
      <c r="A2693">
        <v>1739</v>
      </c>
      <c r="B2693" t="s">
        <v>1760</v>
      </c>
      <c r="C2693" t="s">
        <v>2670</v>
      </c>
      <c r="D2693" t="s">
        <v>1203</v>
      </c>
      <c r="E2693" t="s">
        <v>1204</v>
      </c>
      <c r="F2693">
        <v>5806</v>
      </c>
      <c r="G2693" t="s">
        <v>2674</v>
      </c>
      <c r="H2693" t="s">
        <v>2665</v>
      </c>
      <c r="I2693">
        <v>2623.9348241023699</v>
      </c>
      <c r="J2693">
        <v>2572.1578431492999</v>
      </c>
      <c r="K2693">
        <v>2536.67175266391</v>
      </c>
      <c r="L2693">
        <v>2534.6550653540098</v>
      </c>
      <c r="M2693">
        <v>2539.7793336534501</v>
      </c>
      <c r="N2693" t="s">
        <v>988</v>
      </c>
    </row>
    <row r="2694" spans="1:14" hidden="1" x14ac:dyDescent="0.3">
      <c r="A2694">
        <v>1739</v>
      </c>
      <c r="B2694" t="s">
        <v>1760</v>
      </c>
      <c r="C2694" t="s">
        <v>2670</v>
      </c>
      <c r="D2694" t="s">
        <v>1203</v>
      </c>
      <c r="E2694" t="s">
        <v>1204</v>
      </c>
      <c r="F2694">
        <v>5806</v>
      </c>
      <c r="G2694" t="s">
        <v>2673</v>
      </c>
      <c r="H2694" t="s">
        <v>2664</v>
      </c>
      <c r="I2694">
        <v>1460.0847723945001</v>
      </c>
      <c r="J2694">
        <v>1448.8833317420001</v>
      </c>
      <c r="K2694">
        <v>1448.8833317420001</v>
      </c>
      <c r="L2694">
        <v>1280.8617219544999</v>
      </c>
      <c r="M2694">
        <v>1247.257399997</v>
      </c>
      <c r="N2694" t="s">
        <v>988</v>
      </c>
    </row>
    <row r="2695" spans="1:14" hidden="1" x14ac:dyDescent="0.3">
      <c r="A2695">
        <v>1739</v>
      </c>
      <c r="B2695" t="s">
        <v>1760</v>
      </c>
      <c r="C2695" t="s">
        <v>2670</v>
      </c>
      <c r="D2695" t="s">
        <v>1203</v>
      </c>
      <c r="E2695" t="s">
        <v>1204</v>
      </c>
      <c r="F2695">
        <v>5806</v>
      </c>
      <c r="G2695" t="s">
        <v>2676</v>
      </c>
      <c r="H2695" t="s">
        <v>2665</v>
      </c>
      <c r="I2695">
        <v>2623.9348241023699</v>
      </c>
      <c r="J2695">
        <v>2572.1578431492999</v>
      </c>
      <c r="K2695">
        <v>2536.67175266391</v>
      </c>
      <c r="L2695">
        <v>2534.6550653540098</v>
      </c>
      <c r="M2695">
        <v>2539.7793336534501</v>
      </c>
      <c r="N2695" t="s">
        <v>988</v>
      </c>
    </row>
    <row r="2696" spans="1:14" hidden="1" x14ac:dyDescent="0.3">
      <c r="A2696">
        <v>1739</v>
      </c>
      <c r="B2696" t="s">
        <v>1760</v>
      </c>
      <c r="C2696" t="s">
        <v>2670</v>
      </c>
      <c r="D2696" t="s">
        <v>1203</v>
      </c>
      <c r="E2696" t="s">
        <v>1204</v>
      </c>
      <c r="F2696">
        <v>5806</v>
      </c>
      <c r="G2696" t="s">
        <v>2671</v>
      </c>
      <c r="H2696" t="s">
        <v>2664</v>
      </c>
      <c r="I2696">
        <v>1460.0847723945001</v>
      </c>
      <c r="J2696">
        <v>1448.8833317420001</v>
      </c>
      <c r="K2696">
        <v>1336.868925217</v>
      </c>
      <c r="L2696">
        <v>1280.8617219544999</v>
      </c>
      <c r="M2696">
        <v>1247.257399997</v>
      </c>
      <c r="N2696" t="s">
        <v>988</v>
      </c>
    </row>
    <row r="2697" spans="1:14" hidden="1" x14ac:dyDescent="0.3">
      <c r="A2697">
        <v>1739</v>
      </c>
      <c r="B2697" t="s">
        <v>1760</v>
      </c>
      <c r="C2697" t="s">
        <v>2670</v>
      </c>
      <c r="D2697" t="s">
        <v>1203</v>
      </c>
      <c r="E2697" t="s">
        <v>1204</v>
      </c>
      <c r="F2697">
        <v>5806</v>
      </c>
      <c r="G2697" t="s">
        <v>2671</v>
      </c>
      <c r="H2697" t="s">
        <v>2665</v>
      </c>
      <c r="I2697">
        <v>2623.9348241023699</v>
      </c>
      <c r="J2697">
        <v>2572.1578431492999</v>
      </c>
      <c r="K2697">
        <v>2536.67175266391</v>
      </c>
      <c r="L2697">
        <v>2534.6550653540098</v>
      </c>
      <c r="M2697">
        <v>2539.7793336534501</v>
      </c>
      <c r="N2697" t="s">
        <v>988</v>
      </c>
    </row>
    <row r="2698" spans="1:14" hidden="1" x14ac:dyDescent="0.3">
      <c r="A2698">
        <v>1739</v>
      </c>
      <c r="B2698" t="s">
        <v>1760</v>
      </c>
      <c r="C2698" t="s">
        <v>2670</v>
      </c>
      <c r="D2698" t="s">
        <v>1203</v>
      </c>
      <c r="E2698" t="s">
        <v>1204</v>
      </c>
      <c r="F2698">
        <v>5806</v>
      </c>
      <c r="G2698" t="s">
        <v>2672</v>
      </c>
      <c r="H2698" t="s">
        <v>2664</v>
      </c>
      <c r="N2698" t="s">
        <v>988</v>
      </c>
    </row>
    <row r="2699" spans="1:14" hidden="1" x14ac:dyDescent="0.3">
      <c r="A2699">
        <v>1739</v>
      </c>
      <c r="B2699" t="s">
        <v>1760</v>
      </c>
      <c r="C2699" t="s">
        <v>2670</v>
      </c>
      <c r="D2699" t="s">
        <v>1203</v>
      </c>
      <c r="E2699" t="s">
        <v>1204</v>
      </c>
      <c r="F2699">
        <v>5806</v>
      </c>
      <c r="G2699" t="s">
        <v>2672</v>
      </c>
      <c r="H2699" t="s">
        <v>2665</v>
      </c>
      <c r="N2699" t="s">
        <v>988</v>
      </c>
    </row>
    <row r="2700" spans="1:14" hidden="1" x14ac:dyDescent="0.3">
      <c r="A2700">
        <v>1739</v>
      </c>
      <c r="B2700" t="s">
        <v>1760</v>
      </c>
      <c r="C2700" t="s">
        <v>2670</v>
      </c>
      <c r="D2700" t="s">
        <v>1203</v>
      </c>
      <c r="E2700" t="s">
        <v>1204</v>
      </c>
      <c r="F2700">
        <v>5806</v>
      </c>
      <c r="G2700" t="s">
        <v>2676</v>
      </c>
      <c r="H2700" t="s">
        <v>2664</v>
      </c>
      <c r="I2700">
        <v>1695.3150260970001</v>
      </c>
      <c r="J2700">
        <v>1684.1135854444999</v>
      </c>
      <c r="K2700">
        <v>1695.3150260970001</v>
      </c>
      <c r="L2700">
        <v>1695.3150260970001</v>
      </c>
      <c r="M2700">
        <v>1460.0847723945001</v>
      </c>
      <c r="N2700" t="s">
        <v>988</v>
      </c>
    </row>
    <row r="2701" spans="1:14" hidden="1" x14ac:dyDescent="0.3">
      <c r="A2701">
        <v>1739</v>
      </c>
      <c r="B2701" t="s">
        <v>1760</v>
      </c>
      <c r="C2701" t="s">
        <v>2670</v>
      </c>
      <c r="D2701" t="s">
        <v>1203</v>
      </c>
      <c r="E2701" t="s">
        <v>1204</v>
      </c>
      <c r="F2701">
        <v>5806</v>
      </c>
      <c r="G2701" t="s">
        <v>2673</v>
      </c>
      <c r="H2701" t="s">
        <v>2665</v>
      </c>
      <c r="I2701">
        <v>2623.9348241023699</v>
      </c>
      <c r="J2701">
        <v>2572.1578431492999</v>
      </c>
      <c r="K2701">
        <v>2536.67175266391</v>
      </c>
      <c r="L2701">
        <v>2534.6550653540098</v>
      </c>
      <c r="M2701">
        <v>2539.7793336534501</v>
      </c>
      <c r="N2701" t="s">
        <v>988</v>
      </c>
    </row>
    <row r="2702" spans="1:14" hidden="1" x14ac:dyDescent="0.3">
      <c r="A2702">
        <v>1748</v>
      </c>
      <c r="B2702" t="s">
        <v>1764</v>
      </c>
      <c r="C2702" t="s">
        <v>2670</v>
      </c>
      <c r="D2702" t="s">
        <v>1203</v>
      </c>
      <c r="E2702" t="s">
        <v>1204</v>
      </c>
      <c r="F2702">
        <v>5739</v>
      </c>
      <c r="G2702" t="s">
        <v>2676</v>
      </c>
      <c r="H2702" t="s">
        <v>2665</v>
      </c>
      <c r="I2702">
        <v>10678.92</v>
      </c>
      <c r="J2702">
        <v>10857.34</v>
      </c>
      <c r="K2702">
        <v>11085.23</v>
      </c>
      <c r="L2702">
        <v>11108.18</v>
      </c>
      <c r="M2702">
        <v>11151.71</v>
      </c>
      <c r="N2702" t="s">
        <v>988</v>
      </c>
    </row>
    <row r="2703" spans="1:14" hidden="1" x14ac:dyDescent="0.3">
      <c r="A2703">
        <v>1748</v>
      </c>
      <c r="B2703" t="s">
        <v>1764</v>
      </c>
      <c r="C2703" t="s">
        <v>2670</v>
      </c>
      <c r="D2703" t="s">
        <v>1203</v>
      </c>
      <c r="E2703" t="s">
        <v>1204</v>
      </c>
      <c r="F2703">
        <v>5739</v>
      </c>
      <c r="G2703" t="s">
        <v>2675</v>
      </c>
      <c r="H2703" t="s">
        <v>2664</v>
      </c>
      <c r="I2703">
        <v>15913</v>
      </c>
      <c r="J2703">
        <v>15926</v>
      </c>
      <c r="K2703">
        <v>15940</v>
      </c>
      <c r="L2703">
        <v>15954</v>
      </c>
      <c r="M2703">
        <v>15968</v>
      </c>
      <c r="N2703" t="s">
        <v>988</v>
      </c>
    </row>
    <row r="2704" spans="1:14" hidden="1" x14ac:dyDescent="0.3">
      <c r="A2704">
        <v>1748</v>
      </c>
      <c r="B2704" t="s">
        <v>1764</v>
      </c>
      <c r="C2704" t="s">
        <v>2670</v>
      </c>
      <c r="D2704" t="s">
        <v>1203</v>
      </c>
      <c r="E2704" t="s">
        <v>1204</v>
      </c>
      <c r="F2704">
        <v>5739</v>
      </c>
      <c r="G2704" t="s">
        <v>2675</v>
      </c>
      <c r="H2704" t="s">
        <v>2665</v>
      </c>
      <c r="I2704">
        <v>10678.92</v>
      </c>
      <c r="J2704">
        <v>10857.34</v>
      </c>
      <c r="K2704">
        <v>11085.23</v>
      </c>
      <c r="L2704">
        <v>11108.18</v>
      </c>
      <c r="M2704">
        <v>11151.71</v>
      </c>
      <c r="N2704" t="s">
        <v>988</v>
      </c>
    </row>
    <row r="2705" spans="1:14" hidden="1" x14ac:dyDescent="0.3">
      <c r="A2705">
        <v>1748</v>
      </c>
      <c r="B2705" t="s">
        <v>1764</v>
      </c>
      <c r="C2705" t="s">
        <v>2670</v>
      </c>
      <c r="D2705" t="s">
        <v>1203</v>
      </c>
      <c r="E2705" t="s">
        <v>1204</v>
      </c>
      <c r="F2705">
        <v>5739</v>
      </c>
      <c r="G2705" t="s">
        <v>2674</v>
      </c>
      <c r="H2705" t="s">
        <v>2664</v>
      </c>
      <c r="I2705">
        <v>15913</v>
      </c>
      <c r="J2705">
        <v>15926</v>
      </c>
      <c r="K2705">
        <v>15940</v>
      </c>
      <c r="L2705">
        <v>15954</v>
      </c>
      <c r="M2705">
        <v>15968</v>
      </c>
      <c r="N2705" t="s">
        <v>988</v>
      </c>
    </row>
    <row r="2706" spans="1:14" hidden="1" x14ac:dyDescent="0.3">
      <c r="A2706">
        <v>1748</v>
      </c>
      <c r="B2706" t="s">
        <v>1764</v>
      </c>
      <c r="C2706" t="s">
        <v>2670</v>
      </c>
      <c r="D2706" t="s">
        <v>1203</v>
      </c>
      <c r="E2706" t="s">
        <v>1204</v>
      </c>
      <c r="F2706">
        <v>5739</v>
      </c>
      <c r="G2706" t="s">
        <v>2674</v>
      </c>
      <c r="H2706" t="s">
        <v>2665</v>
      </c>
      <c r="I2706">
        <v>10678.92</v>
      </c>
      <c r="J2706">
        <v>10857.34</v>
      </c>
      <c r="K2706">
        <v>11085.23</v>
      </c>
      <c r="L2706">
        <v>11108.18</v>
      </c>
      <c r="M2706">
        <v>11151.71</v>
      </c>
      <c r="N2706" t="s">
        <v>988</v>
      </c>
    </row>
    <row r="2707" spans="1:14" hidden="1" x14ac:dyDescent="0.3">
      <c r="A2707">
        <v>1748</v>
      </c>
      <c r="B2707" t="s">
        <v>1764</v>
      </c>
      <c r="C2707" t="s">
        <v>2670</v>
      </c>
      <c r="D2707" t="s">
        <v>1203</v>
      </c>
      <c r="E2707" t="s">
        <v>1204</v>
      </c>
      <c r="F2707">
        <v>5739</v>
      </c>
      <c r="G2707" t="s">
        <v>2673</v>
      </c>
      <c r="H2707" t="s">
        <v>2664</v>
      </c>
      <c r="I2707">
        <v>15913</v>
      </c>
      <c r="J2707">
        <v>15926</v>
      </c>
      <c r="K2707">
        <v>15940</v>
      </c>
      <c r="L2707">
        <v>15954</v>
      </c>
      <c r="M2707">
        <v>15968</v>
      </c>
      <c r="N2707" t="s">
        <v>988</v>
      </c>
    </row>
    <row r="2708" spans="1:14" hidden="1" x14ac:dyDescent="0.3">
      <c r="A2708">
        <v>1748</v>
      </c>
      <c r="B2708" t="s">
        <v>1764</v>
      </c>
      <c r="C2708" t="s">
        <v>2670</v>
      </c>
      <c r="D2708" t="s">
        <v>1203</v>
      </c>
      <c r="E2708" t="s">
        <v>1204</v>
      </c>
      <c r="F2708">
        <v>5739</v>
      </c>
      <c r="G2708" t="s">
        <v>2673</v>
      </c>
      <c r="H2708" t="s">
        <v>2665</v>
      </c>
      <c r="I2708">
        <v>10678.92</v>
      </c>
      <c r="J2708">
        <v>10857.34</v>
      </c>
      <c r="K2708">
        <v>11085.23</v>
      </c>
      <c r="L2708">
        <v>11108.18</v>
      </c>
      <c r="M2708">
        <v>11151.71</v>
      </c>
      <c r="N2708" t="s">
        <v>988</v>
      </c>
    </row>
    <row r="2709" spans="1:14" hidden="1" x14ac:dyDescent="0.3">
      <c r="A2709">
        <v>1748</v>
      </c>
      <c r="B2709" t="s">
        <v>1764</v>
      </c>
      <c r="C2709" t="s">
        <v>2670</v>
      </c>
      <c r="D2709" t="s">
        <v>1203</v>
      </c>
      <c r="E2709" t="s">
        <v>1204</v>
      </c>
      <c r="F2709">
        <v>5739</v>
      </c>
      <c r="G2709" t="s">
        <v>2671</v>
      </c>
      <c r="H2709" t="s">
        <v>2664</v>
      </c>
      <c r="I2709">
        <v>15913</v>
      </c>
      <c r="J2709">
        <v>15926</v>
      </c>
      <c r="K2709">
        <v>15940</v>
      </c>
      <c r="L2709">
        <v>15954</v>
      </c>
      <c r="M2709">
        <v>15968</v>
      </c>
      <c r="N2709" t="s">
        <v>988</v>
      </c>
    </row>
    <row r="2710" spans="1:14" hidden="1" x14ac:dyDescent="0.3">
      <c r="A2710">
        <v>1748</v>
      </c>
      <c r="B2710" t="s">
        <v>1764</v>
      </c>
      <c r="C2710" t="s">
        <v>2670</v>
      </c>
      <c r="D2710" t="s">
        <v>1203</v>
      </c>
      <c r="E2710" t="s">
        <v>1204</v>
      </c>
      <c r="F2710">
        <v>5739</v>
      </c>
      <c r="G2710" t="s">
        <v>2671</v>
      </c>
      <c r="H2710" t="s">
        <v>2665</v>
      </c>
      <c r="I2710">
        <v>10678.92</v>
      </c>
      <c r="J2710">
        <v>10857.34</v>
      </c>
      <c r="K2710">
        <v>11085.23</v>
      </c>
      <c r="L2710">
        <v>11108.18</v>
      </c>
      <c r="M2710">
        <v>11151.71</v>
      </c>
      <c r="N2710" t="s">
        <v>988</v>
      </c>
    </row>
    <row r="2711" spans="1:14" hidden="1" x14ac:dyDescent="0.3">
      <c r="A2711">
        <v>1748</v>
      </c>
      <c r="B2711" t="s">
        <v>1764</v>
      </c>
      <c r="C2711" t="s">
        <v>2670</v>
      </c>
      <c r="D2711" t="s">
        <v>1203</v>
      </c>
      <c r="E2711" t="s">
        <v>1204</v>
      </c>
      <c r="F2711">
        <v>5739</v>
      </c>
      <c r="G2711" t="s">
        <v>2672</v>
      </c>
      <c r="H2711" t="s">
        <v>2664</v>
      </c>
      <c r="N2711" t="s">
        <v>988</v>
      </c>
    </row>
    <row r="2712" spans="1:14" hidden="1" x14ac:dyDescent="0.3">
      <c r="A2712">
        <v>1748</v>
      </c>
      <c r="B2712" t="s">
        <v>1764</v>
      </c>
      <c r="C2712" t="s">
        <v>2670</v>
      </c>
      <c r="D2712" t="s">
        <v>1203</v>
      </c>
      <c r="E2712" t="s">
        <v>1204</v>
      </c>
      <c r="F2712">
        <v>5739</v>
      </c>
      <c r="G2712" t="s">
        <v>2676</v>
      </c>
      <c r="H2712" t="s">
        <v>2664</v>
      </c>
      <c r="I2712">
        <v>15913</v>
      </c>
      <c r="J2712">
        <v>15926</v>
      </c>
      <c r="K2712">
        <v>15940</v>
      </c>
      <c r="L2712">
        <v>15954</v>
      </c>
      <c r="M2712">
        <v>15968</v>
      </c>
      <c r="N2712" t="s">
        <v>988</v>
      </c>
    </row>
    <row r="2713" spans="1:14" hidden="1" x14ac:dyDescent="0.3">
      <c r="A2713">
        <v>1748</v>
      </c>
      <c r="B2713" t="s">
        <v>1764</v>
      </c>
      <c r="C2713" t="s">
        <v>2670</v>
      </c>
      <c r="D2713" t="s">
        <v>1203</v>
      </c>
      <c r="E2713" t="s">
        <v>1204</v>
      </c>
      <c r="F2713">
        <v>5739</v>
      </c>
      <c r="G2713" t="s">
        <v>2672</v>
      </c>
      <c r="H2713" t="s">
        <v>2665</v>
      </c>
      <c r="N2713" t="s">
        <v>988</v>
      </c>
    </row>
    <row r="2714" spans="1:14" hidden="1" x14ac:dyDescent="0.3">
      <c r="A2714">
        <v>1752</v>
      </c>
      <c r="B2714" t="s">
        <v>1769</v>
      </c>
      <c r="C2714" t="s">
        <v>2670</v>
      </c>
      <c r="D2714" t="s">
        <v>1203</v>
      </c>
      <c r="E2714" t="s">
        <v>1204</v>
      </c>
      <c r="F2714">
        <v>5545</v>
      </c>
      <c r="G2714" t="s">
        <v>2672</v>
      </c>
      <c r="H2714" t="s">
        <v>2665</v>
      </c>
      <c r="I2714">
        <v>1163.10849515</v>
      </c>
      <c r="J2714">
        <v>1184.5907101</v>
      </c>
      <c r="K2714">
        <v>1206.0729250500001</v>
      </c>
      <c r="L2714">
        <v>1227.5551399999999</v>
      </c>
      <c r="M2714">
        <v>1258.2440185</v>
      </c>
      <c r="N2714" t="s">
        <v>988</v>
      </c>
    </row>
    <row r="2715" spans="1:14" hidden="1" x14ac:dyDescent="0.3">
      <c r="A2715">
        <v>1752</v>
      </c>
      <c r="B2715" t="s">
        <v>1769</v>
      </c>
      <c r="C2715" t="s">
        <v>2670</v>
      </c>
      <c r="D2715" t="s">
        <v>1203</v>
      </c>
      <c r="E2715" t="s">
        <v>1204</v>
      </c>
      <c r="F2715">
        <v>5545</v>
      </c>
      <c r="G2715" t="s">
        <v>2672</v>
      </c>
      <c r="H2715" t="s">
        <v>2664</v>
      </c>
      <c r="I2715">
        <v>1163.10849515</v>
      </c>
      <c r="J2715">
        <v>1184.5907101</v>
      </c>
      <c r="K2715">
        <v>1206.0729250500001</v>
      </c>
      <c r="L2715">
        <v>1227.5551399999999</v>
      </c>
      <c r="M2715">
        <v>1258.2440185</v>
      </c>
      <c r="N2715" t="s">
        <v>988</v>
      </c>
    </row>
    <row r="2716" spans="1:14" hidden="1" x14ac:dyDescent="0.3">
      <c r="A2716">
        <v>1752</v>
      </c>
      <c r="B2716" t="s">
        <v>1769</v>
      </c>
      <c r="C2716" t="s">
        <v>2670</v>
      </c>
      <c r="D2716" t="s">
        <v>1203</v>
      </c>
      <c r="E2716" t="s">
        <v>1204</v>
      </c>
      <c r="F2716">
        <v>5545</v>
      </c>
      <c r="G2716" t="s">
        <v>2671</v>
      </c>
      <c r="H2716" t="s">
        <v>2665</v>
      </c>
      <c r="I2716">
        <v>1163.10849515</v>
      </c>
      <c r="J2716">
        <v>1184.5907101</v>
      </c>
      <c r="K2716">
        <v>1206.0729250500001</v>
      </c>
      <c r="L2716">
        <v>1227.5551399999999</v>
      </c>
      <c r="M2716">
        <v>1258.2440185</v>
      </c>
      <c r="N2716" t="s">
        <v>988</v>
      </c>
    </row>
    <row r="2717" spans="1:14" hidden="1" x14ac:dyDescent="0.3">
      <c r="A2717">
        <v>1752</v>
      </c>
      <c r="B2717" t="s">
        <v>1769</v>
      </c>
      <c r="C2717" t="s">
        <v>2670</v>
      </c>
      <c r="D2717" t="s">
        <v>1203</v>
      </c>
      <c r="E2717" t="s">
        <v>1204</v>
      </c>
      <c r="F2717">
        <v>5545</v>
      </c>
      <c r="G2717" t="s">
        <v>2671</v>
      </c>
      <c r="H2717" t="s">
        <v>2664</v>
      </c>
      <c r="I2717">
        <v>1163.10849515</v>
      </c>
      <c r="J2717">
        <v>1184.5907101</v>
      </c>
      <c r="K2717">
        <v>1206.0729250500001</v>
      </c>
      <c r="L2717">
        <v>1227.5551399999999</v>
      </c>
      <c r="M2717">
        <v>1258.2440185</v>
      </c>
      <c r="N2717" t="s">
        <v>988</v>
      </c>
    </row>
    <row r="2718" spans="1:14" hidden="1" x14ac:dyDescent="0.3">
      <c r="A2718">
        <v>1752</v>
      </c>
      <c r="B2718" t="s">
        <v>1769</v>
      </c>
      <c r="C2718" t="s">
        <v>2670</v>
      </c>
      <c r="D2718" t="s">
        <v>1203</v>
      </c>
      <c r="E2718" t="s">
        <v>1204</v>
      </c>
      <c r="F2718">
        <v>5545</v>
      </c>
      <c r="G2718" t="s">
        <v>2673</v>
      </c>
      <c r="H2718" t="s">
        <v>2665</v>
      </c>
      <c r="I2718">
        <v>1163.10849515</v>
      </c>
      <c r="J2718">
        <v>1184.5907101</v>
      </c>
      <c r="K2718">
        <v>1206.0729250500001</v>
      </c>
      <c r="L2718">
        <v>1227.5551399999999</v>
      </c>
      <c r="M2718">
        <v>1258.2440185</v>
      </c>
      <c r="N2718" t="s">
        <v>988</v>
      </c>
    </row>
    <row r="2719" spans="1:14" hidden="1" x14ac:dyDescent="0.3">
      <c r="A2719">
        <v>1752</v>
      </c>
      <c r="B2719" t="s">
        <v>1769</v>
      </c>
      <c r="C2719" t="s">
        <v>2670</v>
      </c>
      <c r="D2719" t="s">
        <v>1203</v>
      </c>
      <c r="E2719" t="s">
        <v>1204</v>
      </c>
      <c r="F2719">
        <v>5545</v>
      </c>
      <c r="G2719" t="s">
        <v>2676</v>
      </c>
      <c r="H2719" t="s">
        <v>2664</v>
      </c>
      <c r="I2719">
        <v>1163.10849515</v>
      </c>
      <c r="J2719">
        <v>1184.5907101</v>
      </c>
      <c r="K2719">
        <v>1206.0729250500001</v>
      </c>
      <c r="L2719">
        <v>1227.5551399999999</v>
      </c>
      <c r="M2719">
        <v>1258.2440185</v>
      </c>
      <c r="N2719" t="s">
        <v>988</v>
      </c>
    </row>
    <row r="2720" spans="1:14" hidden="1" x14ac:dyDescent="0.3">
      <c r="A2720">
        <v>1752</v>
      </c>
      <c r="B2720" t="s">
        <v>1769</v>
      </c>
      <c r="C2720" t="s">
        <v>2670</v>
      </c>
      <c r="D2720" t="s">
        <v>1203</v>
      </c>
      <c r="E2720" t="s">
        <v>1204</v>
      </c>
      <c r="F2720">
        <v>5545</v>
      </c>
      <c r="G2720" t="s">
        <v>2674</v>
      </c>
      <c r="H2720" t="s">
        <v>2665</v>
      </c>
      <c r="I2720">
        <v>1163.10849515</v>
      </c>
      <c r="J2720">
        <v>1184.5907101</v>
      </c>
      <c r="K2720">
        <v>1206.0729250500001</v>
      </c>
      <c r="L2720">
        <v>1227.5551399999999</v>
      </c>
      <c r="M2720">
        <v>1258.2440185</v>
      </c>
      <c r="N2720" t="s">
        <v>988</v>
      </c>
    </row>
    <row r="2721" spans="1:14" hidden="1" x14ac:dyDescent="0.3">
      <c r="A2721">
        <v>1752</v>
      </c>
      <c r="B2721" t="s">
        <v>1769</v>
      </c>
      <c r="C2721" t="s">
        <v>2670</v>
      </c>
      <c r="D2721" t="s">
        <v>1203</v>
      </c>
      <c r="E2721" t="s">
        <v>1204</v>
      </c>
      <c r="F2721">
        <v>5545</v>
      </c>
      <c r="G2721" t="s">
        <v>2674</v>
      </c>
      <c r="H2721" t="s">
        <v>2664</v>
      </c>
      <c r="I2721">
        <v>1163.10849515</v>
      </c>
      <c r="J2721">
        <v>1184.5907101</v>
      </c>
      <c r="K2721">
        <v>1206.0729250500001</v>
      </c>
      <c r="L2721">
        <v>1227.5551399999999</v>
      </c>
      <c r="M2721">
        <v>1258.2440185</v>
      </c>
      <c r="N2721" t="s">
        <v>988</v>
      </c>
    </row>
    <row r="2722" spans="1:14" hidden="1" x14ac:dyDescent="0.3">
      <c r="A2722">
        <v>1752</v>
      </c>
      <c r="B2722" t="s">
        <v>1769</v>
      </c>
      <c r="C2722" t="s">
        <v>2670</v>
      </c>
      <c r="D2722" t="s">
        <v>1203</v>
      </c>
      <c r="E2722" t="s">
        <v>1204</v>
      </c>
      <c r="F2722">
        <v>5545</v>
      </c>
      <c r="G2722" t="s">
        <v>2675</v>
      </c>
      <c r="H2722" t="s">
        <v>2665</v>
      </c>
      <c r="I2722">
        <v>1163.10849515</v>
      </c>
      <c r="J2722">
        <v>1184.5907101</v>
      </c>
      <c r="K2722">
        <v>1206.0729250500001</v>
      </c>
      <c r="L2722">
        <v>1227.5551399999999</v>
      </c>
      <c r="M2722">
        <v>1258.2440185</v>
      </c>
      <c r="N2722" t="s">
        <v>988</v>
      </c>
    </row>
    <row r="2723" spans="1:14" hidden="1" x14ac:dyDescent="0.3">
      <c r="A2723">
        <v>1752</v>
      </c>
      <c r="B2723" t="s">
        <v>1769</v>
      </c>
      <c r="C2723" t="s">
        <v>2670</v>
      </c>
      <c r="D2723" t="s">
        <v>1203</v>
      </c>
      <c r="E2723" t="s">
        <v>1204</v>
      </c>
      <c r="F2723">
        <v>5545</v>
      </c>
      <c r="G2723" t="s">
        <v>2675</v>
      </c>
      <c r="H2723" t="s">
        <v>2664</v>
      </c>
      <c r="I2723">
        <v>1163.10849515</v>
      </c>
      <c r="J2723">
        <v>1184.5907101</v>
      </c>
      <c r="K2723">
        <v>1206.0729250500001</v>
      </c>
      <c r="L2723">
        <v>1227.5551399999999</v>
      </c>
      <c r="M2723">
        <v>1258.2440185</v>
      </c>
      <c r="N2723" t="s">
        <v>988</v>
      </c>
    </row>
    <row r="2724" spans="1:14" hidden="1" x14ac:dyDescent="0.3">
      <c r="A2724">
        <v>1752</v>
      </c>
      <c r="B2724" t="s">
        <v>1769</v>
      </c>
      <c r="C2724" t="s">
        <v>2670</v>
      </c>
      <c r="D2724" t="s">
        <v>1203</v>
      </c>
      <c r="E2724" t="s">
        <v>1204</v>
      </c>
      <c r="F2724">
        <v>5545</v>
      </c>
      <c r="G2724" t="s">
        <v>2676</v>
      </c>
      <c r="H2724" t="s">
        <v>2665</v>
      </c>
      <c r="I2724">
        <v>1163.10849515</v>
      </c>
      <c r="J2724">
        <v>1184.5907101</v>
      </c>
      <c r="K2724">
        <v>1206.0729250500001</v>
      </c>
      <c r="L2724">
        <v>1227.5551399999999</v>
      </c>
      <c r="M2724">
        <v>1258.2440185</v>
      </c>
      <c r="N2724" t="s">
        <v>988</v>
      </c>
    </row>
    <row r="2725" spans="1:14" hidden="1" x14ac:dyDescent="0.3">
      <c r="A2725">
        <v>1752</v>
      </c>
      <c r="B2725" t="s">
        <v>1769</v>
      </c>
      <c r="C2725" t="s">
        <v>2670</v>
      </c>
      <c r="D2725" t="s">
        <v>1203</v>
      </c>
      <c r="E2725" t="s">
        <v>1204</v>
      </c>
      <c r="F2725">
        <v>5545</v>
      </c>
      <c r="G2725" t="s">
        <v>2673</v>
      </c>
      <c r="H2725" t="s">
        <v>2664</v>
      </c>
      <c r="I2725">
        <v>1163.10849515</v>
      </c>
      <c r="J2725">
        <v>1184.5907101</v>
      </c>
      <c r="K2725">
        <v>1206.0729250500001</v>
      </c>
      <c r="L2725">
        <v>1227.5551399999999</v>
      </c>
      <c r="M2725">
        <v>1258.2440185</v>
      </c>
      <c r="N2725" t="s">
        <v>988</v>
      </c>
    </row>
    <row r="2726" spans="1:14" hidden="1" x14ac:dyDescent="0.3">
      <c r="A2726">
        <v>1756</v>
      </c>
      <c r="B2726" t="s">
        <v>1771</v>
      </c>
      <c r="C2726" t="s">
        <v>2670</v>
      </c>
      <c r="D2726" t="s">
        <v>1203</v>
      </c>
      <c r="E2726" t="s">
        <v>1204</v>
      </c>
      <c r="F2726">
        <v>5685</v>
      </c>
      <c r="G2726" t="s">
        <v>2672</v>
      </c>
      <c r="H2726" t="s">
        <v>2665</v>
      </c>
      <c r="N2726" t="s">
        <v>988</v>
      </c>
    </row>
    <row r="2727" spans="1:14" hidden="1" x14ac:dyDescent="0.3">
      <c r="A2727">
        <v>1756</v>
      </c>
      <c r="B2727" t="s">
        <v>1771</v>
      </c>
      <c r="C2727" t="s">
        <v>2670</v>
      </c>
      <c r="D2727" t="s">
        <v>1203</v>
      </c>
      <c r="E2727" t="s">
        <v>1204</v>
      </c>
      <c r="F2727">
        <v>5685</v>
      </c>
      <c r="G2727" t="s">
        <v>2672</v>
      </c>
      <c r="H2727" t="s">
        <v>2664</v>
      </c>
      <c r="N2727" t="s">
        <v>988</v>
      </c>
    </row>
    <row r="2728" spans="1:14" hidden="1" x14ac:dyDescent="0.3">
      <c r="A2728">
        <v>1756</v>
      </c>
      <c r="B2728" t="s">
        <v>1771</v>
      </c>
      <c r="C2728" t="s">
        <v>2670</v>
      </c>
      <c r="D2728" t="s">
        <v>1203</v>
      </c>
      <c r="E2728" t="s">
        <v>1204</v>
      </c>
      <c r="F2728">
        <v>5685</v>
      </c>
      <c r="G2728" t="s">
        <v>2671</v>
      </c>
      <c r="H2728" t="s">
        <v>2665</v>
      </c>
      <c r="I2728">
        <v>2172</v>
      </c>
      <c r="J2728">
        <v>2178</v>
      </c>
      <c r="K2728">
        <v>2183</v>
      </c>
      <c r="L2728">
        <v>2189</v>
      </c>
      <c r="M2728">
        <v>2195</v>
      </c>
      <c r="N2728" t="s">
        <v>988</v>
      </c>
    </row>
    <row r="2729" spans="1:14" hidden="1" x14ac:dyDescent="0.3">
      <c r="A2729">
        <v>1756</v>
      </c>
      <c r="B2729" t="s">
        <v>1771</v>
      </c>
      <c r="C2729" t="s">
        <v>2670</v>
      </c>
      <c r="D2729" t="s">
        <v>1203</v>
      </c>
      <c r="E2729" t="s">
        <v>1204</v>
      </c>
      <c r="F2729">
        <v>5685</v>
      </c>
      <c r="G2729" t="s">
        <v>2671</v>
      </c>
      <c r="H2729" t="s">
        <v>2664</v>
      </c>
      <c r="I2729">
        <v>3694</v>
      </c>
      <c r="J2729">
        <v>3694</v>
      </c>
      <c r="K2729">
        <v>3694</v>
      </c>
      <c r="L2729">
        <v>3694</v>
      </c>
      <c r="M2729">
        <v>3694</v>
      </c>
      <c r="N2729" t="s">
        <v>988</v>
      </c>
    </row>
    <row r="2730" spans="1:14" hidden="1" x14ac:dyDescent="0.3">
      <c r="A2730">
        <v>1756</v>
      </c>
      <c r="B2730" t="s">
        <v>1771</v>
      </c>
      <c r="C2730" t="s">
        <v>2670</v>
      </c>
      <c r="D2730" t="s">
        <v>1203</v>
      </c>
      <c r="E2730" t="s">
        <v>1204</v>
      </c>
      <c r="F2730">
        <v>5685</v>
      </c>
      <c r="G2730" t="s">
        <v>2673</v>
      </c>
      <c r="H2730" t="s">
        <v>2665</v>
      </c>
      <c r="I2730">
        <v>2170</v>
      </c>
      <c r="J2730">
        <v>2176</v>
      </c>
      <c r="K2730">
        <v>2182</v>
      </c>
      <c r="L2730">
        <v>2188</v>
      </c>
      <c r="M2730">
        <v>2194</v>
      </c>
      <c r="N2730" t="s">
        <v>988</v>
      </c>
    </row>
    <row r="2731" spans="1:14" hidden="1" x14ac:dyDescent="0.3">
      <c r="A2731">
        <v>1756</v>
      </c>
      <c r="B2731" t="s">
        <v>1771</v>
      </c>
      <c r="C2731" t="s">
        <v>2670</v>
      </c>
      <c r="D2731" t="s">
        <v>1203</v>
      </c>
      <c r="E2731" t="s">
        <v>1204</v>
      </c>
      <c r="F2731">
        <v>5685</v>
      </c>
      <c r="G2731" t="s">
        <v>2673</v>
      </c>
      <c r="H2731" t="s">
        <v>2664</v>
      </c>
      <c r="I2731">
        <v>3694</v>
      </c>
      <c r="J2731">
        <v>3694</v>
      </c>
      <c r="K2731">
        <v>3694</v>
      </c>
      <c r="L2731">
        <v>3694</v>
      </c>
      <c r="M2731">
        <v>3694</v>
      </c>
      <c r="N2731" t="s">
        <v>988</v>
      </c>
    </row>
    <row r="2732" spans="1:14" hidden="1" x14ac:dyDescent="0.3">
      <c r="A2732">
        <v>1756</v>
      </c>
      <c r="B2732" t="s">
        <v>1771</v>
      </c>
      <c r="C2732" t="s">
        <v>2670</v>
      </c>
      <c r="D2732" t="s">
        <v>1203</v>
      </c>
      <c r="E2732" t="s">
        <v>1204</v>
      </c>
      <c r="F2732">
        <v>5685</v>
      </c>
      <c r="G2732" t="s">
        <v>2674</v>
      </c>
      <c r="H2732" t="s">
        <v>2665</v>
      </c>
      <c r="I2732">
        <v>2169</v>
      </c>
      <c r="J2732">
        <v>2175</v>
      </c>
      <c r="K2732">
        <v>2181</v>
      </c>
      <c r="L2732">
        <v>2187</v>
      </c>
      <c r="M2732">
        <v>2193</v>
      </c>
      <c r="N2732" t="s">
        <v>988</v>
      </c>
    </row>
    <row r="2733" spans="1:14" hidden="1" x14ac:dyDescent="0.3">
      <c r="A2733">
        <v>1756</v>
      </c>
      <c r="B2733" t="s">
        <v>1771</v>
      </c>
      <c r="C2733" t="s">
        <v>2670</v>
      </c>
      <c r="D2733" t="s">
        <v>1203</v>
      </c>
      <c r="E2733" t="s">
        <v>1204</v>
      </c>
      <c r="F2733">
        <v>5685</v>
      </c>
      <c r="G2733" t="s">
        <v>2674</v>
      </c>
      <c r="H2733" t="s">
        <v>2664</v>
      </c>
      <c r="I2733">
        <v>3694</v>
      </c>
      <c r="J2733">
        <v>3694</v>
      </c>
      <c r="K2733">
        <v>3694</v>
      </c>
      <c r="L2733">
        <v>3694</v>
      </c>
      <c r="M2733">
        <v>3694</v>
      </c>
      <c r="N2733" t="s">
        <v>988</v>
      </c>
    </row>
    <row r="2734" spans="1:14" hidden="1" x14ac:dyDescent="0.3">
      <c r="A2734">
        <v>1756</v>
      </c>
      <c r="B2734" t="s">
        <v>1771</v>
      </c>
      <c r="C2734" t="s">
        <v>2670</v>
      </c>
      <c r="D2734" t="s">
        <v>1203</v>
      </c>
      <c r="E2734" t="s">
        <v>1204</v>
      </c>
      <c r="F2734">
        <v>5685</v>
      </c>
      <c r="G2734" t="s">
        <v>2675</v>
      </c>
      <c r="H2734" t="s">
        <v>2665</v>
      </c>
      <c r="I2734">
        <v>2168</v>
      </c>
      <c r="J2734">
        <v>2174</v>
      </c>
      <c r="K2734">
        <v>2180</v>
      </c>
      <c r="L2734">
        <v>2186</v>
      </c>
      <c r="M2734">
        <v>2192</v>
      </c>
      <c r="N2734" t="s">
        <v>988</v>
      </c>
    </row>
    <row r="2735" spans="1:14" hidden="1" x14ac:dyDescent="0.3">
      <c r="A2735">
        <v>1756</v>
      </c>
      <c r="B2735" t="s">
        <v>1771</v>
      </c>
      <c r="C2735" t="s">
        <v>2670</v>
      </c>
      <c r="D2735" t="s">
        <v>1203</v>
      </c>
      <c r="E2735" t="s">
        <v>1204</v>
      </c>
      <c r="F2735">
        <v>5685</v>
      </c>
      <c r="G2735" t="s">
        <v>2675</v>
      </c>
      <c r="H2735" t="s">
        <v>2664</v>
      </c>
      <c r="I2735">
        <v>3694</v>
      </c>
      <c r="J2735">
        <v>3694</v>
      </c>
      <c r="K2735">
        <v>3694</v>
      </c>
      <c r="L2735">
        <v>3694</v>
      </c>
      <c r="M2735">
        <v>3694</v>
      </c>
      <c r="N2735" t="s">
        <v>988</v>
      </c>
    </row>
    <row r="2736" spans="1:14" hidden="1" x14ac:dyDescent="0.3">
      <c r="A2736">
        <v>1756</v>
      </c>
      <c r="B2736" t="s">
        <v>1771</v>
      </c>
      <c r="C2736" t="s">
        <v>2670</v>
      </c>
      <c r="D2736" t="s">
        <v>1203</v>
      </c>
      <c r="E2736" t="s">
        <v>1204</v>
      </c>
      <c r="F2736">
        <v>5685</v>
      </c>
      <c r="G2736" t="s">
        <v>2676</v>
      </c>
      <c r="H2736" t="s">
        <v>2665</v>
      </c>
      <c r="I2736">
        <v>2167</v>
      </c>
      <c r="J2736">
        <v>2173</v>
      </c>
      <c r="K2736">
        <v>2179</v>
      </c>
      <c r="L2736">
        <v>2185</v>
      </c>
      <c r="M2736">
        <v>2191</v>
      </c>
      <c r="N2736" t="s">
        <v>988</v>
      </c>
    </row>
    <row r="2737" spans="1:14" hidden="1" x14ac:dyDescent="0.3">
      <c r="A2737">
        <v>1756</v>
      </c>
      <c r="B2737" t="s">
        <v>1771</v>
      </c>
      <c r="C2737" t="s">
        <v>2670</v>
      </c>
      <c r="D2737" t="s">
        <v>1203</v>
      </c>
      <c r="E2737" t="s">
        <v>1204</v>
      </c>
      <c r="F2737">
        <v>5685</v>
      </c>
      <c r="G2737" t="s">
        <v>2676</v>
      </c>
      <c r="H2737" t="s">
        <v>2664</v>
      </c>
      <c r="I2737">
        <v>3694</v>
      </c>
      <c r="J2737">
        <v>3694</v>
      </c>
      <c r="K2737">
        <v>3694</v>
      </c>
      <c r="L2737">
        <v>3694</v>
      </c>
      <c r="M2737">
        <v>3694</v>
      </c>
      <c r="N2737" t="s">
        <v>988</v>
      </c>
    </row>
    <row r="2738" spans="1:14" hidden="1" x14ac:dyDescent="0.3">
      <c r="A2738">
        <v>1765</v>
      </c>
      <c r="B2738" t="s">
        <v>1772</v>
      </c>
      <c r="C2738" t="s">
        <v>2670</v>
      </c>
      <c r="D2738" t="s">
        <v>1203</v>
      </c>
      <c r="E2738" t="s">
        <v>1204</v>
      </c>
      <c r="F2738">
        <v>7136</v>
      </c>
      <c r="G2738" t="s">
        <v>2672</v>
      </c>
      <c r="H2738" t="s">
        <v>2665</v>
      </c>
      <c r="N2738" t="s">
        <v>988</v>
      </c>
    </row>
    <row r="2739" spans="1:14" hidden="1" x14ac:dyDescent="0.3">
      <c r="A2739">
        <v>1765</v>
      </c>
      <c r="B2739" t="s">
        <v>1772</v>
      </c>
      <c r="C2739" t="s">
        <v>2670</v>
      </c>
      <c r="D2739" t="s">
        <v>1203</v>
      </c>
      <c r="E2739" t="s">
        <v>1204</v>
      </c>
      <c r="F2739">
        <v>7136</v>
      </c>
      <c r="G2739" t="s">
        <v>2672</v>
      </c>
      <c r="H2739" t="s">
        <v>2664</v>
      </c>
      <c r="N2739" t="s">
        <v>988</v>
      </c>
    </row>
    <row r="2740" spans="1:14" hidden="1" x14ac:dyDescent="0.3">
      <c r="A2740">
        <v>1765</v>
      </c>
      <c r="B2740" t="s">
        <v>1772</v>
      </c>
      <c r="C2740" t="s">
        <v>2670</v>
      </c>
      <c r="D2740" t="s">
        <v>1203</v>
      </c>
      <c r="E2740" t="s">
        <v>1204</v>
      </c>
      <c r="F2740">
        <v>7136</v>
      </c>
      <c r="G2740" t="s">
        <v>2671</v>
      </c>
      <c r="H2740" t="s">
        <v>2665</v>
      </c>
      <c r="I2740">
        <v>5893</v>
      </c>
      <c r="J2740">
        <v>6197</v>
      </c>
      <c r="K2740">
        <v>6517</v>
      </c>
      <c r="L2740">
        <v>6854</v>
      </c>
      <c r="N2740" t="s">
        <v>988</v>
      </c>
    </row>
    <row r="2741" spans="1:14" hidden="1" x14ac:dyDescent="0.3">
      <c r="A2741">
        <v>1765</v>
      </c>
      <c r="B2741" t="s">
        <v>1772</v>
      </c>
      <c r="C2741" t="s">
        <v>2670</v>
      </c>
      <c r="D2741" t="s">
        <v>1203</v>
      </c>
      <c r="E2741" t="s">
        <v>1204</v>
      </c>
      <c r="F2741">
        <v>7136</v>
      </c>
      <c r="G2741" t="s">
        <v>2671</v>
      </c>
      <c r="H2741" t="s">
        <v>2664</v>
      </c>
      <c r="I2741">
        <v>5893</v>
      </c>
      <c r="J2741">
        <v>6721</v>
      </c>
      <c r="K2741">
        <v>6721</v>
      </c>
      <c r="L2741">
        <v>6854</v>
      </c>
      <c r="N2741" t="s">
        <v>988</v>
      </c>
    </row>
    <row r="2742" spans="1:14" hidden="1" x14ac:dyDescent="0.3">
      <c r="A2742">
        <v>1765</v>
      </c>
      <c r="B2742" t="s">
        <v>1772</v>
      </c>
      <c r="C2742" t="s">
        <v>2670</v>
      </c>
      <c r="D2742" t="s">
        <v>1203</v>
      </c>
      <c r="E2742" t="s">
        <v>1204</v>
      </c>
      <c r="F2742">
        <v>7136</v>
      </c>
      <c r="G2742" t="s">
        <v>2673</v>
      </c>
      <c r="H2742" t="s">
        <v>2665</v>
      </c>
      <c r="I2742">
        <v>7366</v>
      </c>
      <c r="J2742">
        <v>7747</v>
      </c>
      <c r="K2742">
        <v>8147</v>
      </c>
      <c r="L2742">
        <v>8567</v>
      </c>
      <c r="N2742" t="s">
        <v>988</v>
      </c>
    </row>
    <row r="2743" spans="1:14" hidden="1" x14ac:dyDescent="0.3">
      <c r="A2743">
        <v>1765</v>
      </c>
      <c r="B2743" t="s">
        <v>1772</v>
      </c>
      <c r="C2743" t="s">
        <v>2670</v>
      </c>
      <c r="D2743" t="s">
        <v>1203</v>
      </c>
      <c r="E2743" t="s">
        <v>1204</v>
      </c>
      <c r="F2743">
        <v>7136</v>
      </c>
      <c r="G2743" t="s">
        <v>2676</v>
      </c>
      <c r="H2743" t="s">
        <v>2664</v>
      </c>
      <c r="I2743">
        <v>8349</v>
      </c>
      <c r="J2743">
        <v>9522</v>
      </c>
      <c r="K2743">
        <v>9522</v>
      </c>
      <c r="L2743">
        <v>9710</v>
      </c>
      <c r="N2743" t="s">
        <v>988</v>
      </c>
    </row>
    <row r="2744" spans="1:14" hidden="1" x14ac:dyDescent="0.3">
      <c r="A2744">
        <v>1765</v>
      </c>
      <c r="B2744" t="s">
        <v>1772</v>
      </c>
      <c r="C2744" t="s">
        <v>2670</v>
      </c>
      <c r="D2744" t="s">
        <v>1203</v>
      </c>
      <c r="E2744" t="s">
        <v>1204</v>
      </c>
      <c r="F2744">
        <v>7136</v>
      </c>
      <c r="G2744" t="s">
        <v>2674</v>
      </c>
      <c r="H2744" t="s">
        <v>2665</v>
      </c>
      <c r="I2744">
        <v>9331</v>
      </c>
      <c r="J2744">
        <v>9813</v>
      </c>
      <c r="K2744">
        <v>10319</v>
      </c>
      <c r="L2744">
        <v>10852</v>
      </c>
      <c r="N2744" t="s">
        <v>988</v>
      </c>
    </row>
    <row r="2745" spans="1:14" hidden="1" x14ac:dyDescent="0.3">
      <c r="A2745">
        <v>1765</v>
      </c>
      <c r="B2745" t="s">
        <v>1772</v>
      </c>
      <c r="C2745" t="s">
        <v>2670</v>
      </c>
      <c r="D2745" t="s">
        <v>1203</v>
      </c>
      <c r="E2745" t="s">
        <v>1204</v>
      </c>
      <c r="F2745">
        <v>7136</v>
      </c>
      <c r="G2745" t="s">
        <v>2674</v>
      </c>
      <c r="H2745" t="s">
        <v>2664</v>
      </c>
      <c r="I2745">
        <v>9331</v>
      </c>
      <c r="J2745">
        <v>10642</v>
      </c>
      <c r="K2745">
        <v>10642</v>
      </c>
      <c r="L2745">
        <v>10852</v>
      </c>
      <c r="N2745" t="s">
        <v>988</v>
      </c>
    </row>
    <row r="2746" spans="1:14" hidden="1" x14ac:dyDescent="0.3">
      <c r="A2746">
        <v>1765</v>
      </c>
      <c r="B2746" t="s">
        <v>1772</v>
      </c>
      <c r="C2746" t="s">
        <v>2670</v>
      </c>
      <c r="D2746" t="s">
        <v>1203</v>
      </c>
      <c r="E2746" t="s">
        <v>1204</v>
      </c>
      <c r="F2746">
        <v>7136</v>
      </c>
      <c r="G2746" t="s">
        <v>2675</v>
      </c>
      <c r="H2746" t="s">
        <v>2665</v>
      </c>
      <c r="I2746">
        <v>9822</v>
      </c>
      <c r="J2746">
        <v>10329</v>
      </c>
      <c r="K2746">
        <v>10862</v>
      </c>
      <c r="L2746">
        <v>11423</v>
      </c>
      <c r="N2746" t="s">
        <v>988</v>
      </c>
    </row>
    <row r="2747" spans="1:14" hidden="1" x14ac:dyDescent="0.3">
      <c r="A2747">
        <v>1765</v>
      </c>
      <c r="B2747" t="s">
        <v>1772</v>
      </c>
      <c r="C2747" t="s">
        <v>2670</v>
      </c>
      <c r="D2747" t="s">
        <v>1203</v>
      </c>
      <c r="E2747" t="s">
        <v>1204</v>
      </c>
      <c r="F2747">
        <v>7136</v>
      </c>
      <c r="G2747" t="s">
        <v>2675</v>
      </c>
      <c r="H2747" t="s">
        <v>2664</v>
      </c>
      <c r="I2747">
        <v>9822</v>
      </c>
      <c r="J2747">
        <v>11202</v>
      </c>
      <c r="K2747">
        <v>11202</v>
      </c>
      <c r="L2747">
        <v>11423</v>
      </c>
      <c r="N2747" t="s">
        <v>988</v>
      </c>
    </row>
    <row r="2748" spans="1:14" hidden="1" x14ac:dyDescent="0.3">
      <c r="A2748">
        <v>1765</v>
      </c>
      <c r="B2748" t="s">
        <v>1772</v>
      </c>
      <c r="C2748" t="s">
        <v>2670</v>
      </c>
      <c r="D2748" t="s">
        <v>1203</v>
      </c>
      <c r="E2748" t="s">
        <v>1204</v>
      </c>
      <c r="F2748">
        <v>7136</v>
      </c>
      <c r="G2748" t="s">
        <v>2676</v>
      </c>
      <c r="H2748" t="s">
        <v>2665</v>
      </c>
      <c r="I2748">
        <v>8349</v>
      </c>
      <c r="J2748">
        <v>8780</v>
      </c>
      <c r="K2748">
        <v>9233</v>
      </c>
      <c r="L2748">
        <v>9710</v>
      </c>
      <c r="N2748" t="s">
        <v>988</v>
      </c>
    </row>
    <row r="2749" spans="1:14" hidden="1" x14ac:dyDescent="0.3">
      <c r="A2749">
        <v>1765</v>
      </c>
      <c r="B2749" t="s">
        <v>1772</v>
      </c>
      <c r="C2749" t="s">
        <v>2670</v>
      </c>
      <c r="D2749" t="s">
        <v>1203</v>
      </c>
      <c r="E2749" t="s">
        <v>1204</v>
      </c>
      <c r="F2749">
        <v>7136</v>
      </c>
      <c r="G2749" t="s">
        <v>2673</v>
      </c>
      <c r="H2749" t="s">
        <v>2664</v>
      </c>
      <c r="I2749">
        <v>7366</v>
      </c>
      <c r="J2749">
        <v>8402</v>
      </c>
      <c r="K2749">
        <v>8402</v>
      </c>
      <c r="L2749">
        <v>8567</v>
      </c>
      <c r="N2749" t="s">
        <v>988</v>
      </c>
    </row>
    <row r="2750" spans="1:14" hidden="1" x14ac:dyDescent="0.3">
      <c r="A2750">
        <v>1777</v>
      </c>
      <c r="B2750" t="s">
        <v>1773</v>
      </c>
      <c r="C2750" t="s">
        <v>2670</v>
      </c>
      <c r="D2750" t="s">
        <v>1203</v>
      </c>
      <c r="E2750" t="s">
        <v>1204</v>
      </c>
      <c r="F2750">
        <v>5661</v>
      </c>
      <c r="G2750" t="s">
        <v>2672</v>
      </c>
      <c r="H2750" t="s">
        <v>2665</v>
      </c>
      <c r="N2750" t="s">
        <v>988</v>
      </c>
    </row>
    <row r="2751" spans="1:14" hidden="1" x14ac:dyDescent="0.3">
      <c r="A2751">
        <v>1777</v>
      </c>
      <c r="B2751" t="s">
        <v>1773</v>
      </c>
      <c r="C2751" t="s">
        <v>2670</v>
      </c>
      <c r="D2751" t="s">
        <v>1203</v>
      </c>
      <c r="E2751" t="s">
        <v>1204</v>
      </c>
      <c r="F2751">
        <v>5661</v>
      </c>
      <c r="G2751" t="s">
        <v>2672</v>
      </c>
      <c r="H2751" t="s">
        <v>2664</v>
      </c>
      <c r="N2751" t="s">
        <v>988</v>
      </c>
    </row>
    <row r="2752" spans="1:14" hidden="1" x14ac:dyDescent="0.3">
      <c r="A2752">
        <v>1777</v>
      </c>
      <c r="B2752" t="s">
        <v>1773</v>
      </c>
      <c r="C2752" t="s">
        <v>2670</v>
      </c>
      <c r="D2752" t="s">
        <v>1203</v>
      </c>
      <c r="E2752" t="s">
        <v>1204</v>
      </c>
      <c r="F2752">
        <v>5661</v>
      </c>
      <c r="G2752" t="s">
        <v>2671</v>
      </c>
      <c r="H2752" t="s">
        <v>2665</v>
      </c>
      <c r="I2752">
        <v>26109</v>
      </c>
      <c r="J2752">
        <v>26215</v>
      </c>
      <c r="K2752">
        <v>26402</v>
      </c>
      <c r="L2752">
        <v>26465</v>
      </c>
      <c r="M2752">
        <v>26652</v>
      </c>
      <c r="N2752" t="s">
        <v>988</v>
      </c>
    </row>
    <row r="2753" spans="1:14" hidden="1" x14ac:dyDescent="0.3">
      <c r="A2753">
        <v>1777</v>
      </c>
      <c r="B2753" t="s">
        <v>1773</v>
      </c>
      <c r="C2753" t="s">
        <v>2670</v>
      </c>
      <c r="D2753" t="s">
        <v>1203</v>
      </c>
      <c r="E2753" t="s">
        <v>1204</v>
      </c>
      <c r="F2753">
        <v>5661</v>
      </c>
      <c r="G2753" t="s">
        <v>2671</v>
      </c>
      <c r="H2753" t="s">
        <v>2664</v>
      </c>
      <c r="I2753">
        <v>26109</v>
      </c>
      <c r="J2753">
        <v>26215</v>
      </c>
      <c r="K2753">
        <v>26402</v>
      </c>
      <c r="L2753">
        <v>26465</v>
      </c>
      <c r="M2753">
        <v>26652</v>
      </c>
      <c r="N2753" t="s">
        <v>988</v>
      </c>
    </row>
    <row r="2754" spans="1:14" hidden="1" x14ac:dyDescent="0.3">
      <c r="A2754">
        <v>1777</v>
      </c>
      <c r="B2754" t="s">
        <v>1773</v>
      </c>
      <c r="C2754" t="s">
        <v>2670</v>
      </c>
      <c r="D2754" t="s">
        <v>1203</v>
      </c>
      <c r="E2754" t="s">
        <v>1204</v>
      </c>
      <c r="F2754">
        <v>5661</v>
      </c>
      <c r="G2754" t="s">
        <v>2673</v>
      </c>
      <c r="H2754" t="s">
        <v>2665</v>
      </c>
      <c r="I2754">
        <v>26075</v>
      </c>
      <c r="J2754">
        <v>26180</v>
      </c>
      <c r="K2754">
        <v>26366</v>
      </c>
      <c r="L2754">
        <v>26429</v>
      </c>
      <c r="M2754">
        <v>26616</v>
      </c>
      <c r="N2754" t="s">
        <v>988</v>
      </c>
    </row>
    <row r="2755" spans="1:14" hidden="1" x14ac:dyDescent="0.3">
      <c r="A2755">
        <v>1777</v>
      </c>
      <c r="B2755" t="s">
        <v>1773</v>
      </c>
      <c r="C2755" t="s">
        <v>2670</v>
      </c>
      <c r="D2755" t="s">
        <v>1203</v>
      </c>
      <c r="E2755" t="s">
        <v>1204</v>
      </c>
      <c r="F2755">
        <v>5661</v>
      </c>
      <c r="G2755" t="s">
        <v>2676</v>
      </c>
      <c r="H2755" t="s">
        <v>2664</v>
      </c>
      <c r="I2755">
        <v>25791</v>
      </c>
      <c r="J2755">
        <v>25895</v>
      </c>
      <c r="K2755">
        <v>26080</v>
      </c>
      <c r="L2755">
        <v>26142</v>
      </c>
      <c r="M2755">
        <v>26327</v>
      </c>
      <c r="N2755" t="s">
        <v>988</v>
      </c>
    </row>
    <row r="2756" spans="1:14" hidden="1" x14ac:dyDescent="0.3">
      <c r="A2756">
        <v>1777</v>
      </c>
      <c r="B2756" t="s">
        <v>1773</v>
      </c>
      <c r="C2756" t="s">
        <v>2670</v>
      </c>
      <c r="D2756" t="s">
        <v>1203</v>
      </c>
      <c r="E2756" t="s">
        <v>1204</v>
      </c>
      <c r="F2756">
        <v>5661</v>
      </c>
      <c r="G2756" t="s">
        <v>2674</v>
      </c>
      <c r="H2756" t="s">
        <v>2665</v>
      </c>
      <c r="I2756">
        <v>25979</v>
      </c>
      <c r="J2756">
        <v>26084</v>
      </c>
      <c r="K2756">
        <v>26269</v>
      </c>
      <c r="L2756">
        <v>26332</v>
      </c>
      <c r="M2756">
        <v>26518</v>
      </c>
      <c r="N2756" t="s">
        <v>988</v>
      </c>
    </row>
    <row r="2757" spans="1:14" hidden="1" x14ac:dyDescent="0.3">
      <c r="A2757">
        <v>1777</v>
      </c>
      <c r="B2757" t="s">
        <v>1773</v>
      </c>
      <c r="C2757" t="s">
        <v>2670</v>
      </c>
      <c r="D2757" t="s">
        <v>1203</v>
      </c>
      <c r="E2757" t="s">
        <v>1204</v>
      </c>
      <c r="F2757">
        <v>5661</v>
      </c>
      <c r="G2757" t="s">
        <v>2674</v>
      </c>
      <c r="H2757" t="s">
        <v>2664</v>
      </c>
      <c r="I2757">
        <v>25979</v>
      </c>
      <c r="J2757">
        <v>26084</v>
      </c>
      <c r="K2757">
        <v>26269</v>
      </c>
      <c r="L2757">
        <v>26332</v>
      </c>
      <c r="M2757">
        <v>26518</v>
      </c>
      <c r="N2757" t="s">
        <v>988</v>
      </c>
    </row>
    <row r="2758" spans="1:14" hidden="1" x14ac:dyDescent="0.3">
      <c r="A2758">
        <v>1777</v>
      </c>
      <c r="B2758" t="s">
        <v>1773</v>
      </c>
      <c r="C2758" t="s">
        <v>2670</v>
      </c>
      <c r="D2758" t="s">
        <v>1203</v>
      </c>
      <c r="E2758" t="s">
        <v>1204</v>
      </c>
      <c r="F2758">
        <v>5661</v>
      </c>
      <c r="G2758" t="s">
        <v>2675</v>
      </c>
      <c r="H2758" t="s">
        <v>2665</v>
      </c>
      <c r="I2758">
        <v>25884</v>
      </c>
      <c r="J2758">
        <v>25988</v>
      </c>
      <c r="K2758">
        <v>26174</v>
      </c>
      <c r="L2758">
        <v>26236</v>
      </c>
      <c r="M2758">
        <v>26421</v>
      </c>
      <c r="N2758" t="s">
        <v>988</v>
      </c>
    </row>
    <row r="2759" spans="1:14" hidden="1" x14ac:dyDescent="0.3">
      <c r="A2759">
        <v>1777</v>
      </c>
      <c r="B2759" t="s">
        <v>1773</v>
      </c>
      <c r="C2759" t="s">
        <v>2670</v>
      </c>
      <c r="D2759" t="s">
        <v>1203</v>
      </c>
      <c r="E2759" t="s">
        <v>1204</v>
      </c>
      <c r="F2759">
        <v>5661</v>
      </c>
      <c r="G2759" t="s">
        <v>2675</v>
      </c>
      <c r="H2759" t="s">
        <v>2664</v>
      </c>
      <c r="I2759">
        <v>25884</v>
      </c>
      <c r="J2759">
        <v>25988</v>
      </c>
      <c r="K2759">
        <v>26174</v>
      </c>
      <c r="L2759">
        <v>26236</v>
      </c>
      <c r="M2759">
        <v>26421</v>
      </c>
      <c r="N2759" t="s">
        <v>988</v>
      </c>
    </row>
    <row r="2760" spans="1:14" hidden="1" x14ac:dyDescent="0.3">
      <c r="A2760">
        <v>1777</v>
      </c>
      <c r="B2760" t="s">
        <v>1773</v>
      </c>
      <c r="C2760" t="s">
        <v>2670</v>
      </c>
      <c r="D2760" t="s">
        <v>1203</v>
      </c>
      <c r="E2760" t="s">
        <v>1204</v>
      </c>
      <c r="F2760">
        <v>5661</v>
      </c>
      <c r="G2760" t="s">
        <v>2676</v>
      </c>
      <c r="H2760" t="s">
        <v>2665</v>
      </c>
      <c r="I2760">
        <v>25791</v>
      </c>
      <c r="J2760">
        <v>25895</v>
      </c>
      <c r="K2760">
        <v>26080</v>
      </c>
      <c r="L2760">
        <v>26142</v>
      </c>
      <c r="M2760">
        <v>26327</v>
      </c>
      <c r="N2760" t="s">
        <v>988</v>
      </c>
    </row>
    <row r="2761" spans="1:14" hidden="1" x14ac:dyDescent="0.3">
      <c r="A2761">
        <v>1777</v>
      </c>
      <c r="B2761" t="s">
        <v>1773</v>
      </c>
      <c r="C2761" t="s">
        <v>2670</v>
      </c>
      <c r="D2761" t="s">
        <v>1203</v>
      </c>
      <c r="E2761" t="s">
        <v>1204</v>
      </c>
      <c r="F2761">
        <v>5661</v>
      </c>
      <c r="G2761" t="s">
        <v>2673</v>
      </c>
      <c r="H2761" t="s">
        <v>2664</v>
      </c>
      <c r="I2761">
        <v>26075</v>
      </c>
      <c r="J2761">
        <v>26180</v>
      </c>
      <c r="K2761">
        <v>26366</v>
      </c>
      <c r="L2761">
        <v>26429</v>
      </c>
      <c r="M2761">
        <v>26616</v>
      </c>
      <c r="N2761" t="s">
        <v>988</v>
      </c>
    </row>
    <row r="2762" spans="1:14" hidden="1" x14ac:dyDescent="0.3">
      <c r="A2762">
        <v>1792</v>
      </c>
      <c r="B2762" t="s">
        <v>1781</v>
      </c>
      <c r="C2762" t="s">
        <v>2670</v>
      </c>
      <c r="D2762" t="s">
        <v>1203</v>
      </c>
      <c r="E2762" t="s">
        <v>1204</v>
      </c>
      <c r="F2762">
        <v>6604</v>
      </c>
      <c r="G2762" t="s">
        <v>2672</v>
      </c>
      <c r="H2762" t="s">
        <v>2665</v>
      </c>
      <c r="N2762" t="s">
        <v>988</v>
      </c>
    </row>
    <row r="2763" spans="1:14" hidden="1" x14ac:dyDescent="0.3">
      <c r="A2763">
        <v>1792</v>
      </c>
      <c r="B2763" t="s">
        <v>1781</v>
      </c>
      <c r="C2763" t="s">
        <v>2670</v>
      </c>
      <c r="D2763" t="s">
        <v>1203</v>
      </c>
      <c r="E2763" t="s">
        <v>1204</v>
      </c>
      <c r="F2763">
        <v>6604</v>
      </c>
      <c r="G2763" t="s">
        <v>2672</v>
      </c>
      <c r="H2763" t="s">
        <v>2664</v>
      </c>
      <c r="N2763" t="s">
        <v>988</v>
      </c>
    </row>
    <row r="2764" spans="1:14" hidden="1" x14ac:dyDescent="0.3">
      <c r="A2764">
        <v>1792</v>
      </c>
      <c r="B2764" t="s">
        <v>1781</v>
      </c>
      <c r="C2764" t="s">
        <v>2670</v>
      </c>
      <c r="D2764" t="s">
        <v>1203</v>
      </c>
      <c r="E2764" t="s">
        <v>1204</v>
      </c>
      <c r="F2764">
        <v>6604</v>
      </c>
      <c r="G2764" t="s">
        <v>2676</v>
      </c>
      <c r="H2764" t="s">
        <v>2664</v>
      </c>
      <c r="I2764">
        <v>20082.8020904</v>
      </c>
      <c r="J2764">
        <v>20082.8020904</v>
      </c>
      <c r="K2764">
        <v>20082.8020904</v>
      </c>
      <c r="L2764">
        <v>20082.8020904</v>
      </c>
      <c r="M2764">
        <v>20082.8020904</v>
      </c>
      <c r="N2764" t="s">
        <v>988</v>
      </c>
    </row>
    <row r="2765" spans="1:14" hidden="1" x14ac:dyDescent="0.3">
      <c r="A2765">
        <v>1792</v>
      </c>
      <c r="B2765" t="s">
        <v>1781</v>
      </c>
      <c r="C2765" t="s">
        <v>2670</v>
      </c>
      <c r="D2765" t="s">
        <v>1203</v>
      </c>
      <c r="E2765" t="s">
        <v>1204</v>
      </c>
      <c r="F2765">
        <v>6604</v>
      </c>
      <c r="G2765" t="s">
        <v>2676</v>
      </c>
      <c r="H2765" t="s">
        <v>2665</v>
      </c>
      <c r="I2765">
        <v>5382.8292889000004</v>
      </c>
      <c r="J2765">
        <v>6536.7311204999996</v>
      </c>
      <c r="K2765">
        <v>7113.6820362999997</v>
      </c>
      <c r="L2765">
        <v>7690.6329520999998</v>
      </c>
      <c r="M2765">
        <v>8264.5149800500003</v>
      </c>
      <c r="N2765" t="s">
        <v>988</v>
      </c>
    </row>
    <row r="2766" spans="1:14" hidden="1" x14ac:dyDescent="0.3">
      <c r="A2766">
        <v>1792</v>
      </c>
      <c r="B2766" t="s">
        <v>1781</v>
      </c>
      <c r="C2766" t="s">
        <v>2670</v>
      </c>
      <c r="D2766" t="s">
        <v>1203</v>
      </c>
      <c r="E2766" t="s">
        <v>1204</v>
      </c>
      <c r="F2766">
        <v>6604</v>
      </c>
      <c r="G2766" t="s">
        <v>2675</v>
      </c>
      <c r="H2766" t="s">
        <v>2664</v>
      </c>
      <c r="I2766">
        <v>20082.8020904</v>
      </c>
      <c r="J2766">
        <v>20082.8020904</v>
      </c>
      <c r="K2766">
        <v>20082.8020904</v>
      </c>
      <c r="L2766">
        <v>20082.8020904</v>
      </c>
      <c r="M2766">
        <v>20082.8020904</v>
      </c>
      <c r="N2766" t="s">
        <v>988</v>
      </c>
    </row>
    <row r="2767" spans="1:14" hidden="1" x14ac:dyDescent="0.3">
      <c r="A2767">
        <v>1792</v>
      </c>
      <c r="B2767" t="s">
        <v>1781</v>
      </c>
      <c r="C2767" t="s">
        <v>2670</v>
      </c>
      <c r="D2767" t="s">
        <v>1203</v>
      </c>
      <c r="E2767" t="s">
        <v>1204</v>
      </c>
      <c r="F2767">
        <v>6604</v>
      </c>
      <c r="G2767" t="s">
        <v>2675</v>
      </c>
      <c r="H2767" t="s">
        <v>2665</v>
      </c>
      <c r="I2767">
        <v>5382.8292889000004</v>
      </c>
      <c r="J2767">
        <v>6536.7311204999996</v>
      </c>
      <c r="K2767">
        <v>7113.6820362999997</v>
      </c>
      <c r="L2767">
        <v>7690.6329520999998</v>
      </c>
      <c r="M2767">
        <v>8264.5149800500003</v>
      </c>
      <c r="N2767" t="s">
        <v>988</v>
      </c>
    </row>
    <row r="2768" spans="1:14" hidden="1" x14ac:dyDescent="0.3">
      <c r="A2768">
        <v>1792</v>
      </c>
      <c r="B2768" t="s">
        <v>1781</v>
      </c>
      <c r="C2768" t="s">
        <v>2670</v>
      </c>
      <c r="D2768" t="s">
        <v>1203</v>
      </c>
      <c r="E2768" t="s">
        <v>1204</v>
      </c>
      <c r="F2768">
        <v>6604</v>
      </c>
      <c r="G2768" t="s">
        <v>2674</v>
      </c>
      <c r="H2768" t="s">
        <v>2664</v>
      </c>
      <c r="I2768">
        <v>20082.8020904</v>
      </c>
      <c r="J2768">
        <v>20082.8020904</v>
      </c>
      <c r="K2768">
        <v>20082.8020904</v>
      </c>
      <c r="L2768">
        <v>20082.8020904</v>
      </c>
      <c r="M2768">
        <v>20082.8020904</v>
      </c>
      <c r="N2768" t="s">
        <v>988</v>
      </c>
    </row>
    <row r="2769" spans="1:14" hidden="1" x14ac:dyDescent="0.3">
      <c r="A2769">
        <v>1792</v>
      </c>
      <c r="B2769" t="s">
        <v>1781</v>
      </c>
      <c r="C2769" t="s">
        <v>2670</v>
      </c>
      <c r="D2769" t="s">
        <v>1203</v>
      </c>
      <c r="E2769" t="s">
        <v>1204</v>
      </c>
      <c r="F2769">
        <v>6604</v>
      </c>
      <c r="G2769" t="s">
        <v>2674</v>
      </c>
      <c r="H2769" t="s">
        <v>2665</v>
      </c>
      <c r="I2769">
        <v>5382.8292889000004</v>
      </c>
      <c r="J2769">
        <v>6536.7311204999996</v>
      </c>
      <c r="K2769">
        <v>7113.6820362999997</v>
      </c>
      <c r="L2769">
        <v>7690.6329520999998</v>
      </c>
      <c r="M2769">
        <v>8264.5149800500003</v>
      </c>
      <c r="N2769" t="s">
        <v>988</v>
      </c>
    </row>
    <row r="2770" spans="1:14" hidden="1" x14ac:dyDescent="0.3">
      <c r="A2770">
        <v>1792</v>
      </c>
      <c r="B2770" t="s">
        <v>1781</v>
      </c>
      <c r="C2770" t="s">
        <v>2670</v>
      </c>
      <c r="D2770" t="s">
        <v>1203</v>
      </c>
      <c r="E2770" t="s">
        <v>1204</v>
      </c>
      <c r="F2770">
        <v>6604</v>
      </c>
      <c r="G2770" t="s">
        <v>2673</v>
      </c>
      <c r="H2770" t="s">
        <v>2664</v>
      </c>
      <c r="I2770">
        <v>20082.8020904</v>
      </c>
      <c r="J2770">
        <v>20082.8020904</v>
      </c>
      <c r="K2770">
        <v>20082.8020904</v>
      </c>
      <c r="L2770">
        <v>20082.8020904</v>
      </c>
      <c r="M2770">
        <v>20082.8020904</v>
      </c>
      <c r="N2770" t="s">
        <v>988</v>
      </c>
    </row>
    <row r="2771" spans="1:14" hidden="1" x14ac:dyDescent="0.3">
      <c r="A2771">
        <v>1792</v>
      </c>
      <c r="B2771" t="s">
        <v>1781</v>
      </c>
      <c r="C2771" t="s">
        <v>2670</v>
      </c>
      <c r="D2771" t="s">
        <v>1203</v>
      </c>
      <c r="E2771" t="s">
        <v>1204</v>
      </c>
      <c r="F2771">
        <v>6604</v>
      </c>
      <c r="G2771" t="s">
        <v>2673</v>
      </c>
      <c r="H2771" t="s">
        <v>2665</v>
      </c>
      <c r="I2771">
        <v>5382.8292889000004</v>
      </c>
      <c r="J2771">
        <v>6536.7311204999996</v>
      </c>
      <c r="K2771">
        <v>7113.6820362999997</v>
      </c>
      <c r="L2771">
        <v>7690.6329520999998</v>
      </c>
      <c r="M2771">
        <v>8264.5149800500003</v>
      </c>
      <c r="N2771" t="s">
        <v>988</v>
      </c>
    </row>
    <row r="2772" spans="1:14" hidden="1" x14ac:dyDescent="0.3">
      <c r="A2772">
        <v>1792</v>
      </c>
      <c r="B2772" t="s">
        <v>1781</v>
      </c>
      <c r="C2772" t="s">
        <v>2670</v>
      </c>
      <c r="D2772" t="s">
        <v>1203</v>
      </c>
      <c r="E2772" t="s">
        <v>1204</v>
      </c>
      <c r="F2772">
        <v>6604</v>
      </c>
      <c r="G2772" t="s">
        <v>2671</v>
      </c>
      <c r="H2772" t="s">
        <v>2664</v>
      </c>
      <c r="I2772">
        <v>20082.8020904</v>
      </c>
      <c r="J2772">
        <v>20082.8020904</v>
      </c>
      <c r="K2772">
        <v>20082.8020904</v>
      </c>
      <c r="L2772">
        <v>20082.8020904</v>
      </c>
      <c r="M2772">
        <v>20082.8020904</v>
      </c>
      <c r="N2772" t="s">
        <v>988</v>
      </c>
    </row>
    <row r="2773" spans="1:14" hidden="1" x14ac:dyDescent="0.3">
      <c r="A2773">
        <v>1792</v>
      </c>
      <c r="B2773" t="s">
        <v>1781</v>
      </c>
      <c r="C2773" t="s">
        <v>2670</v>
      </c>
      <c r="D2773" t="s">
        <v>1203</v>
      </c>
      <c r="E2773" t="s">
        <v>1204</v>
      </c>
      <c r="F2773">
        <v>6604</v>
      </c>
      <c r="G2773" t="s">
        <v>2671</v>
      </c>
      <c r="H2773" t="s">
        <v>2665</v>
      </c>
      <c r="I2773">
        <v>5382.8292889000004</v>
      </c>
      <c r="J2773">
        <v>6536.7311204999996</v>
      </c>
      <c r="K2773">
        <v>7113.6820362999997</v>
      </c>
      <c r="L2773">
        <v>7690.6329520999998</v>
      </c>
      <c r="M2773">
        <v>8264.5149800500003</v>
      </c>
      <c r="N2773" t="s">
        <v>988</v>
      </c>
    </row>
    <row r="2774" spans="1:14" hidden="1" x14ac:dyDescent="0.3">
      <c r="A2774">
        <v>1793</v>
      </c>
      <c r="B2774" t="s">
        <v>1785</v>
      </c>
      <c r="C2774" t="s">
        <v>2670</v>
      </c>
      <c r="D2774" t="s">
        <v>1203</v>
      </c>
      <c r="E2774" t="s">
        <v>1204</v>
      </c>
      <c r="F2774">
        <v>5763</v>
      </c>
      <c r="G2774" t="s">
        <v>2672</v>
      </c>
      <c r="H2774" t="s">
        <v>2665</v>
      </c>
      <c r="I2774">
        <v>18532</v>
      </c>
      <c r="J2774">
        <v>18079</v>
      </c>
      <c r="K2774">
        <v>17734</v>
      </c>
      <c r="L2774">
        <v>17396</v>
      </c>
      <c r="N2774" t="s">
        <v>988</v>
      </c>
    </row>
    <row r="2775" spans="1:14" hidden="1" x14ac:dyDescent="0.3">
      <c r="A2775">
        <v>1793</v>
      </c>
      <c r="B2775" t="s">
        <v>1785</v>
      </c>
      <c r="C2775" t="s">
        <v>2670</v>
      </c>
      <c r="D2775" t="s">
        <v>1203</v>
      </c>
      <c r="E2775" t="s">
        <v>1204</v>
      </c>
      <c r="F2775">
        <v>5763</v>
      </c>
      <c r="G2775" t="s">
        <v>2676</v>
      </c>
      <c r="H2775" t="s">
        <v>2665</v>
      </c>
      <c r="I2775">
        <v>18532</v>
      </c>
      <c r="J2775">
        <v>18079</v>
      </c>
      <c r="K2775">
        <v>17734</v>
      </c>
      <c r="L2775">
        <v>17396</v>
      </c>
      <c r="N2775" t="s">
        <v>988</v>
      </c>
    </row>
    <row r="2776" spans="1:14" hidden="1" x14ac:dyDescent="0.3">
      <c r="A2776">
        <v>1793</v>
      </c>
      <c r="B2776" t="s">
        <v>1785</v>
      </c>
      <c r="C2776" t="s">
        <v>2670</v>
      </c>
      <c r="D2776" t="s">
        <v>1203</v>
      </c>
      <c r="E2776" t="s">
        <v>1204</v>
      </c>
      <c r="F2776">
        <v>5763</v>
      </c>
      <c r="G2776" t="s">
        <v>2675</v>
      </c>
      <c r="H2776" t="s">
        <v>2664</v>
      </c>
      <c r="I2776">
        <v>18532</v>
      </c>
      <c r="J2776">
        <v>18079</v>
      </c>
      <c r="K2776">
        <v>17734</v>
      </c>
      <c r="L2776">
        <v>17396</v>
      </c>
      <c r="N2776" t="s">
        <v>988</v>
      </c>
    </row>
    <row r="2777" spans="1:14" hidden="1" x14ac:dyDescent="0.3">
      <c r="A2777">
        <v>1793</v>
      </c>
      <c r="B2777" t="s">
        <v>1785</v>
      </c>
      <c r="C2777" t="s">
        <v>2670</v>
      </c>
      <c r="D2777" t="s">
        <v>1203</v>
      </c>
      <c r="E2777" t="s">
        <v>1204</v>
      </c>
      <c r="F2777">
        <v>5763</v>
      </c>
      <c r="G2777" t="s">
        <v>2675</v>
      </c>
      <c r="H2777" t="s">
        <v>2665</v>
      </c>
      <c r="I2777">
        <v>18532</v>
      </c>
      <c r="J2777">
        <v>18079</v>
      </c>
      <c r="K2777">
        <v>17734</v>
      </c>
      <c r="L2777">
        <v>17396</v>
      </c>
      <c r="N2777" t="s">
        <v>988</v>
      </c>
    </row>
    <row r="2778" spans="1:14" hidden="1" x14ac:dyDescent="0.3">
      <c r="A2778">
        <v>1793</v>
      </c>
      <c r="B2778" t="s">
        <v>1785</v>
      </c>
      <c r="C2778" t="s">
        <v>2670</v>
      </c>
      <c r="D2778" t="s">
        <v>1203</v>
      </c>
      <c r="E2778" t="s">
        <v>1204</v>
      </c>
      <c r="F2778">
        <v>5763</v>
      </c>
      <c r="G2778" t="s">
        <v>2674</v>
      </c>
      <c r="H2778" t="s">
        <v>2664</v>
      </c>
      <c r="I2778">
        <v>18532</v>
      </c>
      <c r="J2778">
        <v>18079</v>
      </c>
      <c r="K2778">
        <v>17734</v>
      </c>
      <c r="L2778">
        <v>17396</v>
      </c>
      <c r="N2778" t="s">
        <v>988</v>
      </c>
    </row>
    <row r="2779" spans="1:14" hidden="1" x14ac:dyDescent="0.3">
      <c r="A2779">
        <v>1793</v>
      </c>
      <c r="B2779" t="s">
        <v>1785</v>
      </c>
      <c r="C2779" t="s">
        <v>2670</v>
      </c>
      <c r="D2779" t="s">
        <v>1203</v>
      </c>
      <c r="E2779" t="s">
        <v>1204</v>
      </c>
      <c r="F2779">
        <v>5763</v>
      </c>
      <c r="G2779" t="s">
        <v>2676</v>
      </c>
      <c r="H2779" t="s">
        <v>2664</v>
      </c>
      <c r="I2779">
        <v>18532</v>
      </c>
      <c r="J2779">
        <v>18079</v>
      </c>
      <c r="K2779">
        <v>17734</v>
      </c>
      <c r="L2779">
        <v>17396</v>
      </c>
      <c r="N2779" t="s">
        <v>988</v>
      </c>
    </row>
    <row r="2780" spans="1:14" hidden="1" x14ac:dyDescent="0.3">
      <c r="A2780">
        <v>1793</v>
      </c>
      <c r="B2780" t="s">
        <v>1785</v>
      </c>
      <c r="C2780" t="s">
        <v>2670</v>
      </c>
      <c r="D2780" t="s">
        <v>1203</v>
      </c>
      <c r="E2780" t="s">
        <v>1204</v>
      </c>
      <c r="F2780">
        <v>5763</v>
      </c>
      <c r="G2780" t="s">
        <v>2673</v>
      </c>
      <c r="H2780" t="s">
        <v>2664</v>
      </c>
      <c r="I2780">
        <v>18532</v>
      </c>
      <c r="J2780">
        <v>18079</v>
      </c>
      <c r="K2780">
        <v>17734</v>
      </c>
      <c r="L2780">
        <v>17396</v>
      </c>
      <c r="N2780" t="s">
        <v>988</v>
      </c>
    </row>
    <row r="2781" spans="1:14" hidden="1" x14ac:dyDescent="0.3">
      <c r="A2781">
        <v>1793</v>
      </c>
      <c r="B2781" t="s">
        <v>1785</v>
      </c>
      <c r="C2781" t="s">
        <v>2670</v>
      </c>
      <c r="D2781" t="s">
        <v>1203</v>
      </c>
      <c r="E2781" t="s">
        <v>1204</v>
      </c>
      <c r="F2781">
        <v>5763</v>
      </c>
      <c r="G2781" t="s">
        <v>2673</v>
      </c>
      <c r="H2781" t="s">
        <v>2665</v>
      </c>
      <c r="I2781">
        <v>18532</v>
      </c>
      <c r="J2781">
        <v>18079</v>
      </c>
      <c r="K2781">
        <v>17734</v>
      </c>
      <c r="L2781">
        <v>17396</v>
      </c>
      <c r="N2781" t="s">
        <v>988</v>
      </c>
    </row>
    <row r="2782" spans="1:14" hidden="1" x14ac:dyDescent="0.3">
      <c r="A2782">
        <v>1793</v>
      </c>
      <c r="B2782" t="s">
        <v>1785</v>
      </c>
      <c r="C2782" t="s">
        <v>2670</v>
      </c>
      <c r="D2782" t="s">
        <v>1203</v>
      </c>
      <c r="E2782" t="s">
        <v>1204</v>
      </c>
      <c r="F2782">
        <v>5763</v>
      </c>
      <c r="G2782" t="s">
        <v>2671</v>
      </c>
      <c r="H2782" t="s">
        <v>2664</v>
      </c>
      <c r="I2782">
        <v>18532</v>
      </c>
      <c r="J2782">
        <v>18079</v>
      </c>
      <c r="K2782">
        <v>17734</v>
      </c>
      <c r="L2782">
        <v>17396</v>
      </c>
      <c r="N2782" t="s">
        <v>988</v>
      </c>
    </row>
    <row r="2783" spans="1:14" hidden="1" x14ac:dyDescent="0.3">
      <c r="A2783">
        <v>1793</v>
      </c>
      <c r="B2783" t="s">
        <v>1785</v>
      </c>
      <c r="C2783" t="s">
        <v>2670</v>
      </c>
      <c r="D2783" t="s">
        <v>1203</v>
      </c>
      <c r="E2783" t="s">
        <v>1204</v>
      </c>
      <c r="F2783">
        <v>5763</v>
      </c>
      <c r="G2783" t="s">
        <v>2671</v>
      </c>
      <c r="H2783" t="s">
        <v>2665</v>
      </c>
      <c r="I2783">
        <v>18532</v>
      </c>
      <c r="J2783">
        <v>18079</v>
      </c>
      <c r="K2783">
        <v>17734</v>
      </c>
      <c r="L2783">
        <v>17396</v>
      </c>
      <c r="N2783" t="s">
        <v>988</v>
      </c>
    </row>
    <row r="2784" spans="1:14" hidden="1" x14ac:dyDescent="0.3">
      <c r="A2784">
        <v>1793</v>
      </c>
      <c r="B2784" t="s">
        <v>1785</v>
      </c>
      <c r="C2784" t="s">
        <v>2670</v>
      </c>
      <c r="D2784" t="s">
        <v>1203</v>
      </c>
      <c r="E2784" t="s">
        <v>1204</v>
      </c>
      <c r="F2784">
        <v>5763</v>
      </c>
      <c r="G2784" t="s">
        <v>2672</v>
      </c>
      <c r="H2784" t="s">
        <v>2664</v>
      </c>
      <c r="I2784">
        <v>18532</v>
      </c>
      <c r="J2784">
        <v>18079</v>
      </c>
      <c r="K2784">
        <v>17734</v>
      </c>
      <c r="L2784">
        <v>17396</v>
      </c>
      <c r="N2784" t="s">
        <v>988</v>
      </c>
    </row>
    <row r="2785" spans="1:14" hidden="1" x14ac:dyDescent="0.3">
      <c r="A2785">
        <v>1793</v>
      </c>
      <c r="B2785" t="s">
        <v>1785</v>
      </c>
      <c r="C2785" t="s">
        <v>2670</v>
      </c>
      <c r="D2785" t="s">
        <v>1203</v>
      </c>
      <c r="E2785" t="s">
        <v>1204</v>
      </c>
      <c r="F2785">
        <v>5763</v>
      </c>
      <c r="G2785" t="s">
        <v>2674</v>
      </c>
      <c r="H2785" t="s">
        <v>2665</v>
      </c>
      <c r="I2785">
        <v>18532</v>
      </c>
      <c r="J2785">
        <v>18079</v>
      </c>
      <c r="K2785">
        <v>17734</v>
      </c>
      <c r="L2785">
        <v>17396</v>
      </c>
      <c r="N2785" t="s">
        <v>988</v>
      </c>
    </row>
    <row r="2786" spans="1:14" hidden="1" x14ac:dyDescent="0.3">
      <c r="A2786">
        <v>1795</v>
      </c>
      <c r="B2786" t="s">
        <v>1787</v>
      </c>
      <c r="C2786" t="s">
        <v>2670</v>
      </c>
      <c r="D2786" t="s">
        <v>1203</v>
      </c>
      <c r="E2786" t="s">
        <v>1204</v>
      </c>
      <c r="F2786">
        <v>5536</v>
      </c>
      <c r="G2786" t="s">
        <v>2672</v>
      </c>
      <c r="H2786" t="s">
        <v>2665</v>
      </c>
      <c r="N2786" t="s">
        <v>988</v>
      </c>
    </row>
    <row r="2787" spans="1:14" hidden="1" x14ac:dyDescent="0.3">
      <c r="A2787">
        <v>1795</v>
      </c>
      <c r="B2787" t="s">
        <v>1787</v>
      </c>
      <c r="C2787" t="s">
        <v>2670</v>
      </c>
      <c r="D2787" t="s">
        <v>1203</v>
      </c>
      <c r="E2787" t="s">
        <v>1204</v>
      </c>
      <c r="F2787">
        <v>5536</v>
      </c>
      <c r="G2787" t="s">
        <v>2672</v>
      </c>
      <c r="H2787" t="s">
        <v>2664</v>
      </c>
      <c r="N2787" t="s">
        <v>988</v>
      </c>
    </row>
    <row r="2788" spans="1:14" hidden="1" x14ac:dyDescent="0.3">
      <c r="A2788">
        <v>1795</v>
      </c>
      <c r="B2788" t="s">
        <v>1787</v>
      </c>
      <c r="C2788" t="s">
        <v>2670</v>
      </c>
      <c r="D2788" t="s">
        <v>1203</v>
      </c>
      <c r="E2788" t="s">
        <v>1204</v>
      </c>
      <c r="F2788">
        <v>5536</v>
      </c>
      <c r="G2788" t="s">
        <v>2671</v>
      </c>
      <c r="H2788" t="s">
        <v>2665</v>
      </c>
      <c r="I2788">
        <v>47436</v>
      </c>
      <c r="J2788">
        <v>52820</v>
      </c>
      <c r="K2788">
        <v>57237</v>
      </c>
      <c r="L2788">
        <v>66500</v>
      </c>
      <c r="M2788">
        <v>66500</v>
      </c>
      <c r="N2788" t="s">
        <v>988</v>
      </c>
    </row>
    <row r="2789" spans="1:14" hidden="1" x14ac:dyDescent="0.3">
      <c r="A2789">
        <v>1795</v>
      </c>
      <c r="B2789" t="s">
        <v>1787</v>
      </c>
      <c r="C2789" t="s">
        <v>2670</v>
      </c>
      <c r="D2789" t="s">
        <v>1203</v>
      </c>
      <c r="E2789" t="s">
        <v>1204</v>
      </c>
      <c r="F2789">
        <v>5536</v>
      </c>
      <c r="G2789" t="s">
        <v>2671</v>
      </c>
      <c r="H2789" t="s">
        <v>2664</v>
      </c>
      <c r="I2789">
        <v>47436</v>
      </c>
      <c r="J2789">
        <v>52820</v>
      </c>
      <c r="K2789">
        <v>57237</v>
      </c>
      <c r="L2789">
        <v>66500</v>
      </c>
      <c r="M2789">
        <v>66500</v>
      </c>
      <c r="N2789" t="s">
        <v>988</v>
      </c>
    </row>
    <row r="2790" spans="1:14" hidden="1" x14ac:dyDescent="0.3">
      <c r="A2790">
        <v>1795</v>
      </c>
      <c r="B2790" t="s">
        <v>1787</v>
      </c>
      <c r="C2790" t="s">
        <v>2670</v>
      </c>
      <c r="D2790" t="s">
        <v>1203</v>
      </c>
      <c r="E2790" t="s">
        <v>1204</v>
      </c>
      <c r="F2790">
        <v>5536</v>
      </c>
      <c r="G2790" t="s">
        <v>2673</v>
      </c>
      <c r="H2790" t="s">
        <v>2665</v>
      </c>
      <c r="I2790">
        <v>54268</v>
      </c>
      <c r="J2790">
        <v>60428</v>
      </c>
      <c r="K2790">
        <v>65481</v>
      </c>
      <c r="L2790">
        <v>76078</v>
      </c>
      <c r="M2790">
        <v>76078</v>
      </c>
      <c r="N2790" t="s">
        <v>988</v>
      </c>
    </row>
    <row r="2791" spans="1:14" hidden="1" x14ac:dyDescent="0.3">
      <c r="A2791">
        <v>1795</v>
      </c>
      <c r="B2791" t="s">
        <v>1787</v>
      </c>
      <c r="C2791" t="s">
        <v>2670</v>
      </c>
      <c r="D2791" t="s">
        <v>1203</v>
      </c>
      <c r="E2791" t="s">
        <v>1204</v>
      </c>
      <c r="F2791">
        <v>5536</v>
      </c>
      <c r="G2791" t="s">
        <v>2676</v>
      </c>
      <c r="H2791" t="s">
        <v>2665</v>
      </c>
      <c r="I2791">
        <v>56080</v>
      </c>
      <c r="J2791">
        <v>62445</v>
      </c>
      <c r="K2791">
        <v>67667</v>
      </c>
      <c r="L2791">
        <v>78618</v>
      </c>
      <c r="M2791">
        <v>78618</v>
      </c>
      <c r="N2791" t="s">
        <v>988</v>
      </c>
    </row>
    <row r="2792" spans="1:14" hidden="1" x14ac:dyDescent="0.3">
      <c r="A2792">
        <v>1795</v>
      </c>
      <c r="B2792" t="s">
        <v>1787</v>
      </c>
      <c r="C2792" t="s">
        <v>2670</v>
      </c>
      <c r="D2792" t="s">
        <v>1203</v>
      </c>
      <c r="E2792" t="s">
        <v>1204</v>
      </c>
      <c r="F2792">
        <v>5536</v>
      </c>
      <c r="G2792" t="s">
        <v>2676</v>
      </c>
      <c r="H2792" t="s">
        <v>2664</v>
      </c>
      <c r="I2792">
        <v>56080</v>
      </c>
      <c r="J2792">
        <v>62445</v>
      </c>
      <c r="K2792">
        <v>67667</v>
      </c>
      <c r="L2792">
        <v>78618</v>
      </c>
      <c r="M2792">
        <v>78618</v>
      </c>
      <c r="N2792" t="s">
        <v>988</v>
      </c>
    </row>
    <row r="2793" spans="1:14" hidden="1" x14ac:dyDescent="0.3">
      <c r="A2793">
        <v>1795</v>
      </c>
      <c r="B2793" t="s">
        <v>1787</v>
      </c>
      <c r="C2793" t="s">
        <v>2670</v>
      </c>
      <c r="D2793" t="s">
        <v>1203</v>
      </c>
      <c r="E2793" t="s">
        <v>1204</v>
      </c>
      <c r="F2793">
        <v>5536</v>
      </c>
      <c r="G2793" t="s">
        <v>2674</v>
      </c>
      <c r="H2793" t="s">
        <v>2665</v>
      </c>
      <c r="I2793">
        <v>59493</v>
      </c>
      <c r="J2793">
        <v>66246</v>
      </c>
      <c r="K2793">
        <v>71786</v>
      </c>
      <c r="L2793">
        <v>83403</v>
      </c>
      <c r="M2793">
        <v>83403</v>
      </c>
      <c r="N2793" t="s">
        <v>988</v>
      </c>
    </row>
    <row r="2794" spans="1:14" hidden="1" x14ac:dyDescent="0.3">
      <c r="A2794">
        <v>1795</v>
      </c>
      <c r="B2794" t="s">
        <v>1787</v>
      </c>
      <c r="C2794" t="s">
        <v>2670</v>
      </c>
      <c r="D2794" t="s">
        <v>1203</v>
      </c>
      <c r="E2794" t="s">
        <v>1204</v>
      </c>
      <c r="F2794">
        <v>5536</v>
      </c>
      <c r="G2794" t="s">
        <v>2674</v>
      </c>
      <c r="H2794" t="s">
        <v>2664</v>
      </c>
      <c r="I2794">
        <v>59493</v>
      </c>
      <c r="J2794">
        <v>66246</v>
      </c>
      <c r="K2794">
        <v>71786</v>
      </c>
      <c r="L2794">
        <v>83403</v>
      </c>
      <c r="M2794">
        <v>83403</v>
      </c>
      <c r="N2794" t="s">
        <v>988</v>
      </c>
    </row>
    <row r="2795" spans="1:14" hidden="1" x14ac:dyDescent="0.3">
      <c r="A2795">
        <v>1795</v>
      </c>
      <c r="B2795" t="s">
        <v>1787</v>
      </c>
      <c r="C2795" t="s">
        <v>2670</v>
      </c>
      <c r="D2795" t="s">
        <v>1203</v>
      </c>
      <c r="E2795" t="s">
        <v>1204</v>
      </c>
      <c r="F2795">
        <v>5536</v>
      </c>
      <c r="G2795" t="s">
        <v>2675</v>
      </c>
      <c r="H2795" t="s">
        <v>2665</v>
      </c>
      <c r="I2795">
        <v>56248</v>
      </c>
      <c r="J2795">
        <v>62632</v>
      </c>
      <c r="K2795">
        <v>67870</v>
      </c>
      <c r="L2795">
        <v>78853</v>
      </c>
      <c r="M2795">
        <v>78853</v>
      </c>
      <c r="N2795" t="s">
        <v>988</v>
      </c>
    </row>
    <row r="2796" spans="1:14" hidden="1" x14ac:dyDescent="0.3">
      <c r="A2796">
        <v>1795</v>
      </c>
      <c r="B2796" t="s">
        <v>1787</v>
      </c>
      <c r="C2796" t="s">
        <v>2670</v>
      </c>
      <c r="D2796" t="s">
        <v>1203</v>
      </c>
      <c r="E2796" t="s">
        <v>1204</v>
      </c>
      <c r="F2796">
        <v>5536</v>
      </c>
      <c r="G2796" t="s">
        <v>2675</v>
      </c>
      <c r="H2796" t="s">
        <v>2664</v>
      </c>
      <c r="I2796">
        <v>56248</v>
      </c>
      <c r="J2796">
        <v>62632</v>
      </c>
      <c r="K2796">
        <v>67870</v>
      </c>
      <c r="L2796">
        <v>78853</v>
      </c>
      <c r="M2796">
        <v>78853</v>
      </c>
      <c r="N2796" t="s">
        <v>988</v>
      </c>
    </row>
    <row r="2797" spans="1:14" hidden="1" x14ac:dyDescent="0.3">
      <c r="A2797">
        <v>1795</v>
      </c>
      <c r="B2797" t="s">
        <v>1787</v>
      </c>
      <c r="C2797" t="s">
        <v>2670</v>
      </c>
      <c r="D2797" t="s">
        <v>1203</v>
      </c>
      <c r="E2797" t="s">
        <v>1204</v>
      </c>
      <c r="F2797">
        <v>5536</v>
      </c>
      <c r="G2797" t="s">
        <v>2673</v>
      </c>
      <c r="H2797" t="s">
        <v>2664</v>
      </c>
      <c r="I2797">
        <v>54268</v>
      </c>
      <c r="J2797">
        <v>60428</v>
      </c>
      <c r="K2797">
        <v>65481</v>
      </c>
      <c r="L2797">
        <v>76078</v>
      </c>
      <c r="M2797">
        <v>76078</v>
      </c>
      <c r="N2797" t="s">
        <v>988</v>
      </c>
    </row>
    <row r="2798" spans="1:14" hidden="1" x14ac:dyDescent="0.3">
      <c r="A2798">
        <v>1797</v>
      </c>
      <c r="B2798" t="s">
        <v>1788</v>
      </c>
      <c r="C2798" t="s">
        <v>2670</v>
      </c>
      <c r="D2798" t="s">
        <v>1203</v>
      </c>
      <c r="E2798" t="s">
        <v>1204</v>
      </c>
      <c r="F2798">
        <v>6744</v>
      </c>
      <c r="G2798" t="s">
        <v>2672</v>
      </c>
      <c r="H2798" t="s">
        <v>2665</v>
      </c>
      <c r="N2798" t="s">
        <v>988</v>
      </c>
    </row>
    <row r="2799" spans="1:14" hidden="1" x14ac:dyDescent="0.3">
      <c r="A2799">
        <v>1797</v>
      </c>
      <c r="B2799" t="s">
        <v>1788</v>
      </c>
      <c r="C2799" t="s">
        <v>2670</v>
      </c>
      <c r="D2799" t="s">
        <v>1203</v>
      </c>
      <c r="E2799" t="s">
        <v>1204</v>
      </c>
      <c r="F2799">
        <v>6744</v>
      </c>
      <c r="G2799" t="s">
        <v>2672</v>
      </c>
      <c r="H2799" t="s">
        <v>2664</v>
      </c>
      <c r="N2799" t="s">
        <v>988</v>
      </c>
    </row>
    <row r="2800" spans="1:14" hidden="1" x14ac:dyDescent="0.3">
      <c r="A2800">
        <v>1797</v>
      </c>
      <c r="B2800" t="s">
        <v>1788</v>
      </c>
      <c r="C2800" t="s">
        <v>2670</v>
      </c>
      <c r="D2800" t="s">
        <v>1203</v>
      </c>
      <c r="E2800" t="s">
        <v>1204</v>
      </c>
      <c r="F2800">
        <v>6744</v>
      </c>
      <c r="G2800" t="s">
        <v>2671</v>
      </c>
      <c r="H2800" t="s">
        <v>2665</v>
      </c>
      <c r="I2800">
        <v>28867</v>
      </c>
      <c r="J2800">
        <v>29821</v>
      </c>
      <c r="K2800">
        <v>29840</v>
      </c>
      <c r="L2800">
        <v>29818</v>
      </c>
      <c r="M2800">
        <v>29761</v>
      </c>
      <c r="N2800" t="s">
        <v>988</v>
      </c>
    </row>
    <row r="2801" spans="1:14" hidden="1" x14ac:dyDescent="0.3">
      <c r="A2801">
        <v>1797</v>
      </c>
      <c r="B2801" t="s">
        <v>1788</v>
      </c>
      <c r="C2801" t="s">
        <v>2670</v>
      </c>
      <c r="D2801" t="s">
        <v>1203</v>
      </c>
      <c r="E2801" t="s">
        <v>1204</v>
      </c>
      <c r="F2801">
        <v>6744</v>
      </c>
      <c r="G2801" t="s">
        <v>2671</v>
      </c>
      <c r="H2801" t="s">
        <v>2664</v>
      </c>
      <c r="I2801">
        <v>28867</v>
      </c>
      <c r="J2801">
        <v>29821</v>
      </c>
      <c r="K2801">
        <v>29840</v>
      </c>
      <c r="L2801">
        <v>29818</v>
      </c>
      <c r="M2801">
        <v>29761</v>
      </c>
      <c r="N2801" t="s">
        <v>988</v>
      </c>
    </row>
    <row r="2802" spans="1:14" hidden="1" x14ac:dyDescent="0.3">
      <c r="A2802">
        <v>1797</v>
      </c>
      <c r="B2802" t="s">
        <v>1788</v>
      </c>
      <c r="C2802" t="s">
        <v>2670</v>
      </c>
      <c r="D2802" t="s">
        <v>1203</v>
      </c>
      <c r="E2802" t="s">
        <v>1204</v>
      </c>
      <c r="F2802">
        <v>6744</v>
      </c>
      <c r="G2802" t="s">
        <v>2673</v>
      </c>
      <c r="H2802" t="s">
        <v>2665</v>
      </c>
      <c r="I2802">
        <v>28816</v>
      </c>
      <c r="J2802">
        <v>29630</v>
      </c>
      <c r="K2802">
        <v>29836</v>
      </c>
      <c r="L2802">
        <v>29822</v>
      </c>
      <c r="M2802">
        <v>29773</v>
      </c>
      <c r="N2802" t="s">
        <v>988</v>
      </c>
    </row>
    <row r="2803" spans="1:14" hidden="1" x14ac:dyDescent="0.3">
      <c r="A2803">
        <v>1797</v>
      </c>
      <c r="B2803" t="s">
        <v>1788</v>
      </c>
      <c r="C2803" t="s">
        <v>2670</v>
      </c>
      <c r="D2803" t="s">
        <v>1203</v>
      </c>
      <c r="E2803" t="s">
        <v>1204</v>
      </c>
      <c r="F2803">
        <v>6744</v>
      </c>
      <c r="G2803" t="s">
        <v>2676</v>
      </c>
      <c r="H2803" t="s">
        <v>2664</v>
      </c>
      <c r="I2803">
        <v>28663</v>
      </c>
      <c r="J2803">
        <v>29058</v>
      </c>
      <c r="K2803">
        <v>29825</v>
      </c>
      <c r="L2803">
        <v>29836</v>
      </c>
      <c r="M2803">
        <v>29806</v>
      </c>
      <c r="N2803" t="s">
        <v>988</v>
      </c>
    </row>
    <row r="2804" spans="1:14" hidden="1" x14ac:dyDescent="0.3">
      <c r="A2804">
        <v>1797</v>
      </c>
      <c r="B2804" t="s">
        <v>1788</v>
      </c>
      <c r="C2804" t="s">
        <v>2670</v>
      </c>
      <c r="D2804" t="s">
        <v>1203</v>
      </c>
      <c r="E2804" t="s">
        <v>1204</v>
      </c>
      <c r="F2804">
        <v>6744</v>
      </c>
      <c r="G2804" t="s">
        <v>2674</v>
      </c>
      <c r="H2804" t="s">
        <v>2665</v>
      </c>
      <c r="I2804">
        <v>28765</v>
      </c>
      <c r="J2804">
        <v>29439</v>
      </c>
      <c r="K2804">
        <v>29832</v>
      </c>
      <c r="L2804">
        <v>29827</v>
      </c>
      <c r="M2804">
        <v>29784</v>
      </c>
      <c r="N2804" t="s">
        <v>988</v>
      </c>
    </row>
    <row r="2805" spans="1:14" hidden="1" x14ac:dyDescent="0.3">
      <c r="A2805">
        <v>1797</v>
      </c>
      <c r="B2805" t="s">
        <v>1788</v>
      </c>
      <c r="C2805" t="s">
        <v>2670</v>
      </c>
      <c r="D2805" t="s">
        <v>1203</v>
      </c>
      <c r="E2805" t="s">
        <v>1204</v>
      </c>
      <c r="F2805">
        <v>6744</v>
      </c>
      <c r="G2805" t="s">
        <v>2674</v>
      </c>
      <c r="H2805" t="s">
        <v>2664</v>
      </c>
      <c r="I2805">
        <v>28765</v>
      </c>
      <c r="J2805">
        <v>29439</v>
      </c>
      <c r="K2805">
        <v>29832</v>
      </c>
      <c r="L2805">
        <v>29827</v>
      </c>
      <c r="M2805">
        <v>29784</v>
      </c>
      <c r="N2805" t="s">
        <v>988</v>
      </c>
    </row>
    <row r="2806" spans="1:14" hidden="1" x14ac:dyDescent="0.3">
      <c r="A2806">
        <v>1797</v>
      </c>
      <c r="B2806" t="s">
        <v>1788</v>
      </c>
      <c r="C2806" t="s">
        <v>2670</v>
      </c>
      <c r="D2806" t="s">
        <v>1203</v>
      </c>
      <c r="E2806" t="s">
        <v>1204</v>
      </c>
      <c r="F2806">
        <v>6744</v>
      </c>
      <c r="G2806" t="s">
        <v>2675</v>
      </c>
      <c r="H2806" t="s">
        <v>2665</v>
      </c>
      <c r="I2806">
        <v>28714</v>
      </c>
      <c r="J2806">
        <v>29249</v>
      </c>
      <c r="K2806">
        <v>29829</v>
      </c>
      <c r="L2806">
        <v>29831</v>
      </c>
      <c r="M2806">
        <v>29795</v>
      </c>
      <c r="N2806" t="s">
        <v>988</v>
      </c>
    </row>
    <row r="2807" spans="1:14" hidden="1" x14ac:dyDescent="0.3">
      <c r="A2807">
        <v>1797</v>
      </c>
      <c r="B2807" t="s">
        <v>1788</v>
      </c>
      <c r="C2807" t="s">
        <v>2670</v>
      </c>
      <c r="D2807" t="s">
        <v>1203</v>
      </c>
      <c r="E2807" t="s">
        <v>1204</v>
      </c>
      <c r="F2807">
        <v>6744</v>
      </c>
      <c r="G2807" t="s">
        <v>2675</v>
      </c>
      <c r="H2807" t="s">
        <v>2664</v>
      </c>
      <c r="I2807">
        <v>28714</v>
      </c>
      <c r="J2807">
        <v>29249</v>
      </c>
      <c r="K2807">
        <v>29829</v>
      </c>
      <c r="L2807">
        <v>29831</v>
      </c>
      <c r="M2807">
        <v>29795</v>
      </c>
      <c r="N2807" t="s">
        <v>988</v>
      </c>
    </row>
    <row r="2808" spans="1:14" hidden="1" x14ac:dyDescent="0.3">
      <c r="A2808">
        <v>1797</v>
      </c>
      <c r="B2808" t="s">
        <v>1788</v>
      </c>
      <c r="C2808" t="s">
        <v>2670</v>
      </c>
      <c r="D2808" t="s">
        <v>1203</v>
      </c>
      <c r="E2808" t="s">
        <v>1204</v>
      </c>
      <c r="F2808">
        <v>6744</v>
      </c>
      <c r="G2808" t="s">
        <v>2676</v>
      </c>
      <c r="H2808" t="s">
        <v>2665</v>
      </c>
      <c r="I2808">
        <v>28663</v>
      </c>
      <c r="J2808">
        <v>29058</v>
      </c>
      <c r="K2808">
        <v>29825</v>
      </c>
      <c r="L2808">
        <v>29836</v>
      </c>
      <c r="M2808">
        <v>29806</v>
      </c>
      <c r="N2808" t="s">
        <v>988</v>
      </c>
    </row>
    <row r="2809" spans="1:14" hidden="1" x14ac:dyDescent="0.3">
      <c r="A2809">
        <v>1797</v>
      </c>
      <c r="B2809" t="s">
        <v>1788</v>
      </c>
      <c r="C2809" t="s">
        <v>2670</v>
      </c>
      <c r="D2809" t="s">
        <v>1203</v>
      </c>
      <c r="E2809" t="s">
        <v>1204</v>
      </c>
      <c r="F2809">
        <v>6744</v>
      </c>
      <c r="G2809" t="s">
        <v>2673</v>
      </c>
      <c r="H2809" t="s">
        <v>2664</v>
      </c>
      <c r="I2809">
        <v>28816</v>
      </c>
      <c r="J2809">
        <v>29630</v>
      </c>
      <c r="K2809">
        <v>29836</v>
      </c>
      <c r="L2809">
        <v>29822</v>
      </c>
      <c r="M2809">
        <v>29773</v>
      </c>
      <c r="N2809" t="s">
        <v>988</v>
      </c>
    </row>
    <row r="2810" spans="1:14" hidden="1" x14ac:dyDescent="0.3">
      <c r="A2810">
        <v>1803</v>
      </c>
      <c r="B2810" t="s">
        <v>1789</v>
      </c>
      <c r="C2810" t="s">
        <v>2670</v>
      </c>
      <c r="D2810" t="s">
        <v>1203</v>
      </c>
      <c r="E2810" t="s">
        <v>1204</v>
      </c>
      <c r="F2810">
        <v>5880</v>
      </c>
      <c r="G2810" t="s">
        <v>2676</v>
      </c>
      <c r="H2810" t="s">
        <v>2665</v>
      </c>
      <c r="I2810">
        <v>3885</v>
      </c>
      <c r="J2810">
        <v>4000</v>
      </c>
      <c r="K2810">
        <v>4000</v>
      </c>
      <c r="L2810">
        <v>4000</v>
      </c>
      <c r="M2810">
        <v>4100</v>
      </c>
      <c r="N2810" t="s">
        <v>988</v>
      </c>
    </row>
    <row r="2811" spans="1:14" hidden="1" x14ac:dyDescent="0.3">
      <c r="A2811">
        <v>1803</v>
      </c>
      <c r="B2811" t="s">
        <v>1789</v>
      </c>
      <c r="C2811" t="s">
        <v>2670</v>
      </c>
      <c r="D2811" t="s">
        <v>1203</v>
      </c>
      <c r="E2811" t="s">
        <v>1204</v>
      </c>
      <c r="F2811">
        <v>5880</v>
      </c>
      <c r="G2811" t="s">
        <v>2676</v>
      </c>
      <c r="H2811" t="s">
        <v>2664</v>
      </c>
      <c r="I2811">
        <v>3885</v>
      </c>
      <c r="J2811">
        <v>4000</v>
      </c>
      <c r="K2811">
        <v>4000</v>
      </c>
      <c r="L2811">
        <v>4000</v>
      </c>
      <c r="M2811">
        <v>4100</v>
      </c>
      <c r="N2811" t="s">
        <v>988</v>
      </c>
    </row>
    <row r="2812" spans="1:14" hidden="1" x14ac:dyDescent="0.3">
      <c r="A2812">
        <v>1803</v>
      </c>
      <c r="B2812" t="s">
        <v>1789</v>
      </c>
      <c r="C2812" t="s">
        <v>2670</v>
      </c>
      <c r="D2812" t="s">
        <v>1203</v>
      </c>
      <c r="E2812" t="s">
        <v>1204</v>
      </c>
      <c r="F2812">
        <v>5880</v>
      </c>
      <c r="G2812" t="s">
        <v>2675</v>
      </c>
      <c r="H2812" t="s">
        <v>2664</v>
      </c>
      <c r="I2812">
        <v>3300</v>
      </c>
      <c r="J2812">
        <v>4000</v>
      </c>
      <c r="K2812">
        <v>4000</v>
      </c>
      <c r="L2812">
        <v>4000</v>
      </c>
      <c r="M2812">
        <v>4100</v>
      </c>
      <c r="N2812" t="s">
        <v>988</v>
      </c>
    </row>
    <row r="2813" spans="1:14" hidden="1" x14ac:dyDescent="0.3">
      <c r="A2813">
        <v>1803</v>
      </c>
      <c r="B2813" t="s">
        <v>1789</v>
      </c>
      <c r="C2813" t="s">
        <v>2670</v>
      </c>
      <c r="D2813" t="s">
        <v>1203</v>
      </c>
      <c r="E2813" t="s">
        <v>1204</v>
      </c>
      <c r="F2813">
        <v>5880</v>
      </c>
      <c r="G2813" t="s">
        <v>2675</v>
      </c>
      <c r="H2813" t="s">
        <v>2665</v>
      </c>
      <c r="I2813">
        <v>3300</v>
      </c>
      <c r="J2813">
        <v>4000</v>
      </c>
      <c r="K2813">
        <v>4000</v>
      </c>
      <c r="L2813">
        <v>4000</v>
      </c>
      <c r="M2813">
        <v>4100</v>
      </c>
      <c r="N2813" t="s">
        <v>988</v>
      </c>
    </row>
    <row r="2814" spans="1:14" hidden="1" x14ac:dyDescent="0.3">
      <c r="A2814">
        <v>1803</v>
      </c>
      <c r="B2814" t="s">
        <v>1789</v>
      </c>
      <c r="C2814" t="s">
        <v>2670</v>
      </c>
      <c r="D2814" t="s">
        <v>1203</v>
      </c>
      <c r="E2814" t="s">
        <v>1204</v>
      </c>
      <c r="F2814">
        <v>5880</v>
      </c>
      <c r="G2814" t="s">
        <v>2674</v>
      </c>
      <c r="H2814" t="s">
        <v>2664</v>
      </c>
      <c r="I2814">
        <v>3300</v>
      </c>
      <c r="J2814">
        <v>4000</v>
      </c>
      <c r="K2814">
        <v>4000</v>
      </c>
      <c r="L2814">
        <v>4000</v>
      </c>
      <c r="M2814">
        <v>4100</v>
      </c>
      <c r="N2814" t="s">
        <v>988</v>
      </c>
    </row>
    <row r="2815" spans="1:14" hidden="1" x14ac:dyDescent="0.3">
      <c r="A2815">
        <v>1803</v>
      </c>
      <c r="B2815" t="s">
        <v>1789</v>
      </c>
      <c r="C2815" t="s">
        <v>2670</v>
      </c>
      <c r="D2815" t="s">
        <v>1203</v>
      </c>
      <c r="E2815" t="s">
        <v>1204</v>
      </c>
      <c r="F2815">
        <v>5880</v>
      </c>
      <c r="G2815" t="s">
        <v>2674</v>
      </c>
      <c r="H2815" t="s">
        <v>2665</v>
      </c>
      <c r="I2815">
        <v>3300</v>
      </c>
      <c r="J2815">
        <v>4000</v>
      </c>
      <c r="K2815">
        <v>4000</v>
      </c>
      <c r="L2815">
        <v>4000</v>
      </c>
      <c r="M2815">
        <v>4100</v>
      </c>
      <c r="N2815" t="s">
        <v>988</v>
      </c>
    </row>
    <row r="2816" spans="1:14" hidden="1" x14ac:dyDescent="0.3">
      <c r="A2816">
        <v>1803</v>
      </c>
      <c r="B2816" t="s">
        <v>1789</v>
      </c>
      <c r="C2816" t="s">
        <v>2670</v>
      </c>
      <c r="D2816" t="s">
        <v>1203</v>
      </c>
      <c r="E2816" t="s">
        <v>1204</v>
      </c>
      <c r="F2816">
        <v>5880</v>
      </c>
      <c r="G2816" t="s">
        <v>2673</v>
      </c>
      <c r="H2816" t="s">
        <v>2664</v>
      </c>
      <c r="I2816">
        <v>3300</v>
      </c>
      <c r="J2816">
        <v>4000</v>
      </c>
      <c r="K2816">
        <v>4000</v>
      </c>
      <c r="L2816">
        <v>4000</v>
      </c>
      <c r="M2816">
        <v>4100</v>
      </c>
      <c r="N2816" t="s">
        <v>988</v>
      </c>
    </row>
    <row r="2817" spans="1:14" hidden="1" x14ac:dyDescent="0.3">
      <c r="A2817">
        <v>1803</v>
      </c>
      <c r="B2817" t="s">
        <v>1789</v>
      </c>
      <c r="C2817" t="s">
        <v>2670</v>
      </c>
      <c r="D2817" t="s">
        <v>1203</v>
      </c>
      <c r="E2817" t="s">
        <v>1204</v>
      </c>
      <c r="F2817">
        <v>5880</v>
      </c>
      <c r="G2817" t="s">
        <v>2673</v>
      </c>
      <c r="H2817" t="s">
        <v>2665</v>
      </c>
      <c r="I2817">
        <v>3300</v>
      </c>
      <c r="J2817">
        <v>4000</v>
      </c>
      <c r="K2817">
        <v>4000</v>
      </c>
      <c r="L2817">
        <v>4000</v>
      </c>
      <c r="M2817">
        <v>4100</v>
      </c>
      <c r="N2817" t="s">
        <v>988</v>
      </c>
    </row>
    <row r="2818" spans="1:14" hidden="1" x14ac:dyDescent="0.3">
      <c r="A2818">
        <v>1803</v>
      </c>
      <c r="B2818" t="s">
        <v>1789</v>
      </c>
      <c r="C2818" t="s">
        <v>2670</v>
      </c>
      <c r="D2818" t="s">
        <v>1203</v>
      </c>
      <c r="E2818" t="s">
        <v>1204</v>
      </c>
      <c r="F2818">
        <v>5880</v>
      </c>
      <c r="G2818" t="s">
        <v>2671</v>
      </c>
      <c r="H2818" t="s">
        <v>2664</v>
      </c>
      <c r="I2818">
        <v>3300</v>
      </c>
      <c r="J2818">
        <v>4000</v>
      </c>
      <c r="K2818">
        <v>4000</v>
      </c>
      <c r="L2818">
        <v>4000</v>
      </c>
      <c r="M2818">
        <v>4100</v>
      </c>
      <c r="N2818" t="s">
        <v>988</v>
      </c>
    </row>
    <row r="2819" spans="1:14" hidden="1" x14ac:dyDescent="0.3">
      <c r="A2819">
        <v>1803</v>
      </c>
      <c r="B2819" t="s">
        <v>1789</v>
      </c>
      <c r="C2819" t="s">
        <v>2670</v>
      </c>
      <c r="D2819" t="s">
        <v>1203</v>
      </c>
      <c r="E2819" t="s">
        <v>1204</v>
      </c>
      <c r="F2819">
        <v>5880</v>
      </c>
      <c r="G2819" t="s">
        <v>2671</v>
      </c>
      <c r="H2819" t="s">
        <v>2665</v>
      </c>
      <c r="I2819">
        <v>3300</v>
      </c>
      <c r="J2819">
        <v>4000</v>
      </c>
      <c r="K2819">
        <v>4000</v>
      </c>
      <c r="L2819">
        <v>4000</v>
      </c>
      <c r="M2819">
        <v>4100</v>
      </c>
      <c r="N2819" t="s">
        <v>988</v>
      </c>
    </row>
    <row r="2820" spans="1:14" hidden="1" x14ac:dyDescent="0.3">
      <c r="A2820">
        <v>1803</v>
      </c>
      <c r="B2820" t="s">
        <v>1789</v>
      </c>
      <c r="C2820" t="s">
        <v>2670</v>
      </c>
      <c r="D2820" t="s">
        <v>1203</v>
      </c>
      <c r="E2820" t="s">
        <v>1204</v>
      </c>
      <c r="F2820">
        <v>5880</v>
      </c>
      <c r="G2820" t="s">
        <v>2672</v>
      </c>
      <c r="H2820" t="s">
        <v>2664</v>
      </c>
      <c r="N2820" t="s">
        <v>988</v>
      </c>
    </row>
    <row r="2821" spans="1:14" hidden="1" x14ac:dyDescent="0.3">
      <c r="A2821">
        <v>1803</v>
      </c>
      <c r="B2821" t="s">
        <v>1789</v>
      </c>
      <c r="C2821" t="s">
        <v>2670</v>
      </c>
      <c r="D2821" t="s">
        <v>1203</v>
      </c>
      <c r="E2821" t="s">
        <v>1204</v>
      </c>
      <c r="F2821">
        <v>5880</v>
      </c>
      <c r="G2821" t="s">
        <v>2672</v>
      </c>
      <c r="H2821" t="s">
        <v>2665</v>
      </c>
      <c r="N2821" t="s">
        <v>988</v>
      </c>
    </row>
    <row r="2822" spans="1:14" hidden="1" x14ac:dyDescent="0.3">
      <c r="A2822">
        <v>1804</v>
      </c>
      <c r="B2822" t="s">
        <v>1791</v>
      </c>
      <c r="C2822" t="s">
        <v>2670</v>
      </c>
      <c r="D2822" t="s">
        <v>159</v>
      </c>
      <c r="E2822" t="s">
        <v>159</v>
      </c>
      <c r="F2822">
        <v>7865</v>
      </c>
      <c r="G2822" t="s">
        <v>2676</v>
      </c>
      <c r="H2822" t="s">
        <v>2664</v>
      </c>
      <c r="I2822">
        <v>1967</v>
      </c>
      <c r="J2822">
        <v>1967</v>
      </c>
      <c r="K2822">
        <v>1967</v>
      </c>
      <c r="L2822">
        <v>1967</v>
      </c>
      <c r="N2822" t="s">
        <v>988</v>
      </c>
    </row>
    <row r="2823" spans="1:14" hidden="1" x14ac:dyDescent="0.3">
      <c r="A2823">
        <v>1804</v>
      </c>
      <c r="B2823" t="s">
        <v>1791</v>
      </c>
      <c r="C2823" t="s">
        <v>2670</v>
      </c>
      <c r="D2823" t="s">
        <v>159</v>
      </c>
      <c r="E2823" t="s">
        <v>159</v>
      </c>
      <c r="F2823">
        <v>7865</v>
      </c>
      <c r="G2823" t="s">
        <v>2676</v>
      </c>
      <c r="H2823" t="s">
        <v>2665</v>
      </c>
      <c r="I2823">
        <v>1794</v>
      </c>
      <c r="J2823">
        <v>1815</v>
      </c>
      <c r="K2823">
        <v>1838</v>
      </c>
      <c r="L2823">
        <v>1860</v>
      </c>
      <c r="N2823" t="s">
        <v>988</v>
      </c>
    </row>
    <row r="2824" spans="1:14" hidden="1" x14ac:dyDescent="0.3">
      <c r="A2824">
        <v>1804</v>
      </c>
      <c r="B2824" t="s">
        <v>1791</v>
      </c>
      <c r="C2824" t="s">
        <v>2670</v>
      </c>
      <c r="D2824" t="s">
        <v>159</v>
      </c>
      <c r="E2824" t="s">
        <v>159</v>
      </c>
      <c r="F2824">
        <v>7865</v>
      </c>
      <c r="G2824" t="s">
        <v>2675</v>
      </c>
      <c r="H2824" t="s">
        <v>2664</v>
      </c>
      <c r="I2824">
        <v>2030</v>
      </c>
      <c r="J2824">
        <v>2030</v>
      </c>
      <c r="K2824">
        <v>2030</v>
      </c>
      <c r="L2824">
        <v>2030</v>
      </c>
      <c r="N2824" t="s">
        <v>988</v>
      </c>
    </row>
    <row r="2825" spans="1:14" hidden="1" x14ac:dyDescent="0.3">
      <c r="A2825">
        <v>1804</v>
      </c>
      <c r="B2825" t="s">
        <v>1791</v>
      </c>
      <c r="C2825" t="s">
        <v>2670</v>
      </c>
      <c r="D2825" t="s">
        <v>159</v>
      </c>
      <c r="E2825" t="s">
        <v>159</v>
      </c>
      <c r="F2825">
        <v>7865</v>
      </c>
      <c r="G2825" t="s">
        <v>2675</v>
      </c>
      <c r="H2825" t="s">
        <v>2665</v>
      </c>
      <c r="I2825">
        <v>1794</v>
      </c>
      <c r="J2825">
        <v>1815</v>
      </c>
      <c r="K2825">
        <v>1838</v>
      </c>
      <c r="L2825">
        <v>1860</v>
      </c>
      <c r="N2825" t="s">
        <v>988</v>
      </c>
    </row>
    <row r="2826" spans="1:14" hidden="1" x14ac:dyDescent="0.3">
      <c r="A2826">
        <v>1804</v>
      </c>
      <c r="B2826" t="s">
        <v>1791</v>
      </c>
      <c r="C2826" t="s">
        <v>2670</v>
      </c>
      <c r="D2826" t="s">
        <v>159</v>
      </c>
      <c r="E2826" t="s">
        <v>159</v>
      </c>
      <c r="F2826">
        <v>7865</v>
      </c>
      <c r="G2826" t="s">
        <v>2674</v>
      </c>
      <c r="H2826" t="s">
        <v>2664</v>
      </c>
      <c r="I2826">
        <v>2107</v>
      </c>
      <c r="J2826">
        <v>2107</v>
      </c>
      <c r="K2826">
        <v>2107</v>
      </c>
      <c r="L2826">
        <v>2107</v>
      </c>
      <c r="N2826" t="s">
        <v>988</v>
      </c>
    </row>
    <row r="2827" spans="1:14" hidden="1" x14ac:dyDescent="0.3">
      <c r="A2827">
        <v>1804</v>
      </c>
      <c r="B2827" t="s">
        <v>1791</v>
      </c>
      <c r="C2827" t="s">
        <v>2670</v>
      </c>
      <c r="D2827" t="s">
        <v>159</v>
      </c>
      <c r="E2827" t="s">
        <v>159</v>
      </c>
      <c r="F2827">
        <v>7865</v>
      </c>
      <c r="G2827" t="s">
        <v>2672</v>
      </c>
      <c r="H2827" t="s">
        <v>2665</v>
      </c>
      <c r="N2827" t="s">
        <v>988</v>
      </c>
    </row>
    <row r="2828" spans="1:14" hidden="1" x14ac:dyDescent="0.3">
      <c r="A2828">
        <v>1804</v>
      </c>
      <c r="B2828" t="s">
        <v>1791</v>
      </c>
      <c r="C2828" t="s">
        <v>2670</v>
      </c>
      <c r="D2828" t="s">
        <v>159</v>
      </c>
      <c r="E2828" t="s">
        <v>159</v>
      </c>
      <c r="F2828">
        <v>7865</v>
      </c>
      <c r="G2828" t="s">
        <v>2673</v>
      </c>
      <c r="H2828" t="s">
        <v>2664</v>
      </c>
      <c r="I2828">
        <v>2110</v>
      </c>
      <c r="J2828">
        <v>2110</v>
      </c>
      <c r="K2828">
        <v>2110</v>
      </c>
      <c r="L2828">
        <v>2110</v>
      </c>
      <c r="N2828" t="s">
        <v>988</v>
      </c>
    </row>
    <row r="2829" spans="1:14" hidden="1" x14ac:dyDescent="0.3">
      <c r="A2829">
        <v>1804</v>
      </c>
      <c r="B2829" t="s">
        <v>1791</v>
      </c>
      <c r="C2829" t="s">
        <v>2670</v>
      </c>
      <c r="D2829" t="s">
        <v>159</v>
      </c>
      <c r="E2829" t="s">
        <v>159</v>
      </c>
      <c r="F2829">
        <v>7865</v>
      </c>
      <c r="G2829" t="s">
        <v>2673</v>
      </c>
      <c r="H2829" t="s">
        <v>2665</v>
      </c>
      <c r="I2829">
        <v>1594</v>
      </c>
      <c r="J2829">
        <v>1614</v>
      </c>
      <c r="K2829">
        <v>1634</v>
      </c>
      <c r="L2829">
        <v>1654</v>
      </c>
      <c r="N2829" t="s">
        <v>988</v>
      </c>
    </row>
    <row r="2830" spans="1:14" hidden="1" x14ac:dyDescent="0.3">
      <c r="A2830">
        <v>1804</v>
      </c>
      <c r="B2830" t="s">
        <v>1791</v>
      </c>
      <c r="C2830" t="s">
        <v>2670</v>
      </c>
      <c r="D2830" t="s">
        <v>159</v>
      </c>
      <c r="E2830" t="s">
        <v>159</v>
      </c>
      <c r="F2830">
        <v>7865</v>
      </c>
      <c r="G2830" t="s">
        <v>2671</v>
      </c>
      <c r="H2830" t="s">
        <v>2664</v>
      </c>
      <c r="I2830">
        <v>1821</v>
      </c>
      <c r="J2830">
        <v>1821</v>
      </c>
      <c r="K2830">
        <v>1821</v>
      </c>
      <c r="L2830">
        <v>1821</v>
      </c>
      <c r="N2830" t="s">
        <v>988</v>
      </c>
    </row>
    <row r="2831" spans="1:14" hidden="1" x14ac:dyDescent="0.3">
      <c r="A2831">
        <v>1804</v>
      </c>
      <c r="B2831" t="s">
        <v>1791</v>
      </c>
      <c r="C2831" t="s">
        <v>2670</v>
      </c>
      <c r="D2831" t="s">
        <v>159</v>
      </c>
      <c r="E2831" t="s">
        <v>159</v>
      </c>
      <c r="F2831">
        <v>7865</v>
      </c>
      <c r="G2831" t="s">
        <v>2671</v>
      </c>
      <c r="H2831" t="s">
        <v>2665</v>
      </c>
      <c r="I2831">
        <v>1395</v>
      </c>
      <c r="J2831">
        <v>1412</v>
      </c>
      <c r="K2831">
        <v>1429</v>
      </c>
      <c r="L2831">
        <v>1447</v>
      </c>
      <c r="N2831" t="s">
        <v>988</v>
      </c>
    </row>
    <row r="2832" spans="1:14" hidden="1" x14ac:dyDescent="0.3">
      <c r="A2832">
        <v>1804</v>
      </c>
      <c r="B2832" t="s">
        <v>1791</v>
      </c>
      <c r="C2832" t="s">
        <v>2670</v>
      </c>
      <c r="D2832" t="s">
        <v>159</v>
      </c>
      <c r="E2832" t="s">
        <v>159</v>
      </c>
      <c r="F2832">
        <v>7865</v>
      </c>
      <c r="G2832" t="s">
        <v>2672</v>
      </c>
      <c r="H2832" t="s">
        <v>2664</v>
      </c>
      <c r="N2832" t="s">
        <v>988</v>
      </c>
    </row>
    <row r="2833" spans="1:14" hidden="1" x14ac:dyDescent="0.3">
      <c r="A2833">
        <v>1804</v>
      </c>
      <c r="B2833" t="s">
        <v>1791</v>
      </c>
      <c r="C2833" t="s">
        <v>2670</v>
      </c>
      <c r="D2833" t="s">
        <v>159</v>
      </c>
      <c r="E2833" t="s">
        <v>159</v>
      </c>
      <c r="F2833">
        <v>7865</v>
      </c>
      <c r="G2833" t="s">
        <v>2674</v>
      </c>
      <c r="H2833" t="s">
        <v>2665</v>
      </c>
      <c r="I2833">
        <v>1594</v>
      </c>
      <c r="J2833">
        <v>1614</v>
      </c>
      <c r="K2833">
        <v>1634</v>
      </c>
      <c r="L2833">
        <v>1654</v>
      </c>
      <c r="N2833" t="s">
        <v>988</v>
      </c>
    </row>
    <row r="2834" spans="1:14" hidden="1" x14ac:dyDescent="0.3">
      <c r="A2834">
        <v>1821</v>
      </c>
      <c r="B2834" t="s">
        <v>1792</v>
      </c>
      <c r="C2834" t="s">
        <v>2670</v>
      </c>
      <c r="D2834" t="s">
        <v>1203</v>
      </c>
      <c r="E2834" t="s">
        <v>1204</v>
      </c>
      <c r="F2834">
        <v>5457</v>
      </c>
      <c r="G2834" t="s">
        <v>2673</v>
      </c>
      <c r="H2834" t="s">
        <v>2665</v>
      </c>
      <c r="I2834">
        <v>40866</v>
      </c>
      <c r="J2834">
        <v>43762</v>
      </c>
      <c r="K2834">
        <v>46956</v>
      </c>
      <c r="L2834">
        <v>50869</v>
      </c>
      <c r="M2834">
        <v>54644</v>
      </c>
      <c r="N2834" t="s">
        <v>988</v>
      </c>
    </row>
    <row r="2835" spans="1:14" hidden="1" x14ac:dyDescent="0.3">
      <c r="A2835">
        <v>1821</v>
      </c>
      <c r="B2835" t="s">
        <v>1792</v>
      </c>
      <c r="C2835" t="s">
        <v>2670</v>
      </c>
      <c r="D2835" t="s">
        <v>1203</v>
      </c>
      <c r="E2835" t="s">
        <v>1204</v>
      </c>
      <c r="F2835">
        <v>5457</v>
      </c>
      <c r="G2835" t="s">
        <v>2673</v>
      </c>
      <c r="H2835" t="s">
        <v>2664</v>
      </c>
      <c r="I2835">
        <v>40866</v>
      </c>
      <c r="J2835">
        <v>43762</v>
      </c>
      <c r="K2835">
        <v>46956</v>
      </c>
      <c r="L2835">
        <v>50869</v>
      </c>
      <c r="M2835">
        <v>54644</v>
      </c>
      <c r="N2835" t="s">
        <v>988</v>
      </c>
    </row>
    <row r="2836" spans="1:14" hidden="1" x14ac:dyDescent="0.3">
      <c r="A2836">
        <v>1821</v>
      </c>
      <c r="B2836" t="s">
        <v>1792</v>
      </c>
      <c r="C2836" t="s">
        <v>2670</v>
      </c>
      <c r="D2836" t="s">
        <v>1203</v>
      </c>
      <c r="E2836" t="s">
        <v>1204</v>
      </c>
      <c r="F2836">
        <v>5457</v>
      </c>
      <c r="G2836" t="s">
        <v>2674</v>
      </c>
      <c r="H2836" t="s">
        <v>2665</v>
      </c>
      <c r="I2836">
        <v>40461</v>
      </c>
      <c r="J2836">
        <v>43329</v>
      </c>
      <c r="K2836">
        <v>46491</v>
      </c>
      <c r="L2836">
        <v>50366</v>
      </c>
      <c r="M2836">
        <v>54103</v>
      </c>
      <c r="N2836" t="s">
        <v>988</v>
      </c>
    </row>
    <row r="2837" spans="1:14" hidden="1" x14ac:dyDescent="0.3">
      <c r="A2837">
        <v>1821</v>
      </c>
      <c r="B2837" t="s">
        <v>1792</v>
      </c>
      <c r="C2837" t="s">
        <v>2670</v>
      </c>
      <c r="D2837" t="s">
        <v>1203</v>
      </c>
      <c r="E2837" t="s">
        <v>1204</v>
      </c>
      <c r="F2837">
        <v>5457</v>
      </c>
      <c r="G2837" t="s">
        <v>2674</v>
      </c>
      <c r="H2837" t="s">
        <v>2664</v>
      </c>
      <c r="I2837">
        <v>40461</v>
      </c>
      <c r="J2837">
        <v>43329</v>
      </c>
      <c r="K2837">
        <v>46491</v>
      </c>
      <c r="L2837">
        <v>50366</v>
      </c>
      <c r="M2837">
        <v>54103</v>
      </c>
      <c r="N2837" t="s">
        <v>988</v>
      </c>
    </row>
    <row r="2838" spans="1:14" hidden="1" x14ac:dyDescent="0.3">
      <c r="A2838">
        <v>1821</v>
      </c>
      <c r="B2838" t="s">
        <v>1792</v>
      </c>
      <c r="C2838" t="s">
        <v>2670</v>
      </c>
      <c r="D2838" t="s">
        <v>1203</v>
      </c>
      <c r="E2838" t="s">
        <v>1204</v>
      </c>
      <c r="F2838">
        <v>5457</v>
      </c>
      <c r="G2838" t="s">
        <v>2675</v>
      </c>
      <c r="H2838" t="s">
        <v>2665</v>
      </c>
      <c r="I2838">
        <v>40060</v>
      </c>
      <c r="J2838">
        <v>42900</v>
      </c>
      <c r="K2838">
        <v>46031</v>
      </c>
      <c r="L2838">
        <v>49867</v>
      </c>
      <c r="M2838">
        <v>53567</v>
      </c>
      <c r="N2838" t="s">
        <v>988</v>
      </c>
    </row>
    <row r="2839" spans="1:14" hidden="1" x14ac:dyDescent="0.3">
      <c r="A2839">
        <v>1821</v>
      </c>
      <c r="B2839" t="s">
        <v>1792</v>
      </c>
      <c r="C2839" t="s">
        <v>2670</v>
      </c>
      <c r="D2839" t="s">
        <v>1203</v>
      </c>
      <c r="E2839" t="s">
        <v>1204</v>
      </c>
      <c r="F2839">
        <v>5457</v>
      </c>
      <c r="G2839" t="s">
        <v>2675</v>
      </c>
      <c r="H2839" t="s">
        <v>2664</v>
      </c>
      <c r="I2839">
        <v>40060</v>
      </c>
      <c r="J2839">
        <v>42900</v>
      </c>
      <c r="K2839">
        <v>46031</v>
      </c>
      <c r="L2839">
        <v>49867</v>
      </c>
      <c r="M2839">
        <v>53567</v>
      </c>
      <c r="N2839" t="s">
        <v>988</v>
      </c>
    </row>
    <row r="2840" spans="1:14" hidden="1" x14ac:dyDescent="0.3">
      <c r="A2840">
        <v>1821</v>
      </c>
      <c r="B2840" t="s">
        <v>1792</v>
      </c>
      <c r="C2840" t="s">
        <v>2670</v>
      </c>
      <c r="D2840" t="s">
        <v>1203</v>
      </c>
      <c r="E2840" t="s">
        <v>1204</v>
      </c>
      <c r="F2840">
        <v>5457</v>
      </c>
      <c r="G2840" t="s">
        <v>2676</v>
      </c>
      <c r="H2840" t="s">
        <v>2665</v>
      </c>
      <c r="I2840">
        <v>39664</v>
      </c>
      <c r="J2840">
        <v>42475</v>
      </c>
      <c r="K2840">
        <v>45575</v>
      </c>
      <c r="L2840">
        <v>49373</v>
      </c>
      <c r="M2840">
        <v>53037</v>
      </c>
      <c r="N2840" t="s">
        <v>988</v>
      </c>
    </row>
    <row r="2841" spans="1:14" hidden="1" x14ac:dyDescent="0.3">
      <c r="A2841">
        <v>1821</v>
      </c>
      <c r="B2841" t="s">
        <v>1792</v>
      </c>
      <c r="C2841" t="s">
        <v>2670</v>
      </c>
      <c r="D2841" t="s">
        <v>1203</v>
      </c>
      <c r="E2841" t="s">
        <v>1204</v>
      </c>
      <c r="F2841">
        <v>5457</v>
      </c>
      <c r="G2841" t="s">
        <v>2676</v>
      </c>
      <c r="H2841" t="s">
        <v>2664</v>
      </c>
      <c r="I2841">
        <v>39664</v>
      </c>
      <c r="J2841">
        <v>42475</v>
      </c>
      <c r="K2841">
        <v>45575</v>
      </c>
      <c r="L2841">
        <v>49373</v>
      </c>
      <c r="M2841">
        <v>53037</v>
      </c>
      <c r="N2841" t="s">
        <v>988</v>
      </c>
    </row>
    <row r="2842" spans="1:14" hidden="1" x14ac:dyDescent="0.3">
      <c r="A2842">
        <v>1821</v>
      </c>
      <c r="B2842" t="s">
        <v>1792</v>
      </c>
      <c r="C2842" t="s">
        <v>2670</v>
      </c>
      <c r="D2842" t="s">
        <v>1203</v>
      </c>
      <c r="E2842" t="s">
        <v>1204</v>
      </c>
      <c r="F2842">
        <v>5457</v>
      </c>
      <c r="G2842" t="s">
        <v>2672</v>
      </c>
      <c r="H2842" t="s">
        <v>2665</v>
      </c>
      <c r="N2842" t="s">
        <v>988</v>
      </c>
    </row>
    <row r="2843" spans="1:14" hidden="1" x14ac:dyDescent="0.3">
      <c r="A2843">
        <v>1821</v>
      </c>
      <c r="B2843" t="s">
        <v>1792</v>
      </c>
      <c r="C2843" t="s">
        <v>2670</v>
      </c>
      <c r="D2843" t="s">
        <v>1203</v>
      </c>
      <c r="E2843" t="s">
        <v>1204</v>
      </c>
      <c r="F2843">
        <v>5457</v>
      </c>
      <c r="G2843" t="s">
        <v>2672</v>
      </c>
      <c r="H2843" t="s">
        <v>2664</v>
      </c>
      <c r="N2843" t="s">
        <v>988</v>
      </c>
    </row>
    <row r="2844" spans="1:14" hidden="1" x14ac:dyDescent="0.3">
      <c r="A2844">
        <v>1821</v>
      </c>
      <c r="B2844" t="s">
        <v>1792</v>
      </c>
      <c r="C2844" t="s">
        <v>2670</v>
      </c>
      <c r="D2844" t="s">
        <v>1203</v>
      </c>
      <c r="E2844" t="s">
        <v>1204</v>
      </c>
      <c r="F2844">
        <v>5457</v>
      </c>
      <c r="G2844" t="s">
        <v>2671</v>
      </c>
      <c r="H2844" t="s">
        <v>2665</v>
      </c>
      <c r="I2844">
        <v>41274</v>
      </c>
      <c r="J2844">
        <v>44200</v>
      </c>
      <c r="K2844">
        <v>47426</v>
      </c>
      <c r="L2844">
        <v>51378</v>
      </c>
      <c r="M2844">
        <v>55190</v>
      </c>
      <c r="N2844" t="s">
        <v>988</v>
      </c>
    </row>
    <row r="2845" spans="1:14" hidden="1" x14ac:dyDescent="0.3">
      <c r="A2845">
        <v>1821</v>
      </c>
      <c r="B2845" t="s">
        <v>1792</v>
      </c>
      <c r="C2845" t="s">
        <v>2670</v>
      </c>
      <c r="D2845" t="s">
        <v>1203</v>
      </c>
      <c r="E2845" t="s">
        <v>1204</v>
      </c>
      <c r="F2845">
        <v>5457</v>
      </c>
      <c r="G2845" t="s">
        <v>2671</v>
      </c>
      <c r="H2845" t="s">
        <v>2664</v>
      </c>
      <c r="I2845">
        <v>41274</v>
      </c>
      <c r="J2845">
        <v>44200</v>
      </c>
      <c r="K2845">
        <v>47426</v>
      </c>
      <c r="L2845">
        <v>51378</v>
      </c>
      <c r="M2845">
        <v>55190</v>
      </c>
      <c r="N2845" t="s">
        <v>988</v>
      </c>
    </row>
    <row r="2846" spans="1:14" hidden="1" x14ac:dyDescent="0.3">
      <c r="A2846">
        <v>1827</v>
      </c>
      <c r="B2846" t="s">
        <v>1794</v>
      </c>
      <c r="C2846" t="s">
        <v>2670</v>
      </c>
      <c r="D2846" t="s">
        <v>1203</v>
      </c>
      <c r="E2846" t="s">
        <v>1204</v>
      </c>
      <c r="F2846">
        <v>5837</v>
      </c>
      <c r="G2846" t="s">
        <v>2673</v>
      </c>
      <c r="H2846" t="s">
        <v>2664</v>
      </c>
      <c r="I2846">
        <v>26062</v>
      </c>
      <c r="J2846">
        <v>27204</v>
      </c>
      <c r="K2846">
        <v>28387</v>
      </c>
      <c r="L2846">
        <v>29113</v>
      </c>
      <c r="N2846" t="s">
        <v>988</v>
      </c>
    </row>
    <row r="2847" spans="1:14" hidden="1" x14ac:dyDescent="0.3">
      <c r="A2847">
        <v>1827</v>
      </c>
      <c r="B2847" t="s">
        <v>1794</v>
      </c>
      <c r="C2847" t="s">
        <v>2670</v>
      </c>
      <c r="D2847" t="s">
        <v>1203</v>
      </c>
      <c r="E2847" t="s">
        <v>1204</v>
      </c>
      <c r="F2847">
        <v>5837</v>
      </c>
      <c r="G2847" t="s">
        <v>2672</v>
      </c>
      <c r="H2847" t="s">
        <v>2665</v>
      </c>
      <c r="N2847" t="s">
        <v>988</v>
      </c>
    </row>
    <row r="2848" spans="1:14" hidden="1" x14ac:dyDescent="0.3">
      <c r="A2848">
        <v>1827</v>
      </c>
      <c r="B2848" t="s">
        <v>1794</v>
      </c>
      <c r="C2848" t="s">
        <v>2670</v>
      </c>
      <c r="D2848" t="s">
        <v>1203</v>
      </c>
      <c r="E2848" t="s">
        <v>1204</v>
      </c>
      <c r="F2848">
        <v>5837</v>
      </c>
      <c r="G2848" t="s">
        <v>2672</v>
      </c>
      <c r="H2848" t="s">
        <v>2664</v>
      </c>
      <c r="N2848" t="s">
        <v>988</v>
      </c>
    </row>
    <row r="2849" spans="1:14" hidden="1" x14ac:dyDescent="0.3">
      <c r="A2849">
        <v>1827</v>
      </c>
      <c r="B2849" t="s">
        <v>1794</v>
      </c>
      <c r="C2849" t="s">
        <v>2670</v>
      </c>
      <c r="D2849" t="s">
        <v>1203</v>
      </c>
      <c r="E2849" t="s">
        <v>1204</v>
      </c>
      <c r="F2849">
        <v>5837</v>
      </c>
      <c r="G2849" t="s">
        <v>2671</v>
      </c>
      <c r="H2849" t="s">
        <v>2665</v>
      </c>
      <c r="I2849">
        <v>27150</v>
      </c>
      <c r="J2849">
        <v>28350</v>
      </c>
      <c r="K2849">
        <v>29573</v>
      </c>
      <c r="L2849">
        <v>30165</v>
      </c>
      <c r="N2849" t="s">
        <v>988</v>
      </c>
    </row>
    <row r="2850" spans="1:14" hidden="1" x14ac:dyDescent="0.3">
      <c r="A2850">
        <v>1827</v>
      </c>
      <c r="B2850" t="s">
        <v>1794</v>
      </c>
      <c r="C2850" t="s">
        <v>2670</v>
      </c>
      <c r="D2850" t="s">
        <v>1203</v>
      </c>
      <c r="E2850" t="s">
        <v>1204</v>
      </c>
      <c r="F2850">
        <v>5837</v>
      </c>
      <c r="G2850" t="s">
        <v>2671</v>
      </c>
      <c r="H2850" t="s">
        <v>2664</v>
      </c>
      <c r="I2850">
        <v>27150</v>
      </c>
      <c r="J2850">
        <v>28350</v>
      </c>
      <c r="K2850">
        <v>29573</v>
      </c>
      <c r="L2850">
        <v>30165</v>
      </c>
      <c r="N2850" t="s">
        <v>988</v>
      </c>
    </row>
    <row r="2851" spans="1:14" hidden="1" x14ac:dyDescent="0.3">
      <c r="A2851">
        <v>1827</v>
      </c>
      <c r="B2851" t="s">
        <v>1794</v>
      </c>
      <c r="C2851" t="s">
        <v>2670</v>
      </c>
      <c r="D2851" t="s">
        <v>1203</v>
      </c>
      <c r="E2851" t="s">
        <v>1204</v>
      </c>
      <c r="F2851">
        <v>5837</v>
      </c>
      <c r="G2851" t="s">
        <v>2676</v>
      </c>
      <c r="H2851" t="s">
        <v>2664</v>
      </c>
      <c r="I2851">
        <v>30055</v>
      </c>
      <c r="J2851">
        <v>31475</v>
      </c>
      <c r="K2851">
        <v>32876</v>
      </c>
      <c r="L2851">
        <v>34284</v>
      </c>
      <c r="M2851">
        <v>34779</v>
      </c>
      <c r="N2851" t="s">
        <v>988</v>
      </c>
    </row>
    <row r="2852" spans="1:14" hidden="1" x14ac:dyDescent="0.3">
      <c r="A2852">
        <v>1827</v>
      </c>
      <c r="B2852" t="s">
        <v>1794</v>
      </c>
      <c r="C2852" t="s">
        <v>2670</v>
      </c>
      <c r="D2852" t="s">
        <v>1203</v>
      </c>
      <c r="E2852" t="s">
        <v>1204</v>
      </c>
      <c r="F2852">
        <v>5837</v>
      </c>
      <c r="G2852" t="s">
        <v>2674</v>
      </c>
      <c r="H2852" t="s">
        <v>2665</v>
      </c>
      <c r="I2852">
        <v>25830</v>
      </c>
      <c r="J2852">
        <v>26954</v>
      </c>
      <c r="K2852">
        <v>28135</v>
      </c>
      <c r="L2852">
        <v>29014</v>
      </c>
      <c r="N2852" t="s">
        <v>988</v>
      </c>
    </row>
    <row r="2853" spans="1:14" hidden="1" x14ac:dyDescent="0.3">
      <c r="A2853">
        <v>1827</v>
      </c>
      <c r="B2853" t="s">
        <v>1794</v>
      </c>
      <c r="C2853" t="s">
        <v>2670</v>
      </c>
      <c r="D2853" t="s">
        <v>1203</v>
      </c>
      <c r="E2853" t="s">
        <v>1204</v>
      </c>
      <c r="F2853">
        <v>5837</v>
      </c>
      <c r="G2853" t="s">
        <v>2674</v>
      </c>
      <c r="H2853" t="s">
        <v>2664</v>
      </c>
      <c r="I2853">
        <v>25830</v>
      </c>
      <c r="J2853">
        <v>26954</v>
      </c>
      <c r="K2853">
        <v>28135</v>
      </c>
      <c r="L2853">
        <v>29014</v>
      </c>
      <c r="N2853" t="s">
        <v>988</v>
      </c>
    </row>
    <row r="2854" spans="1:14" hidden="1" x14ac:dyDescent="0.3">
      <c r="A2854">
        <v>1827</v>
      </c>
      <c r="B2854" t="s">
        <v>1794</v>
      </c>
      <c r="C2854" t="s">
        <v>2670</v>
      </c>
      <c r="D2854" t="s">
        <v>1203</v>
      </c>
      <c r="E2854" t="s">
        <v>1204</v>
      </c>
      <c r="F2854">
        <v>5837</v>
      </c>
      <c r="G2854" t="s">
        <v>2675</v>
      </c>
      <c r="H2854" t="s">
        <v>2665</v>
      </c>
      <c r="I2854">
        <v>28311</v>
      </c>
      <c r="J2854">
        <v>29533</v>
      </c>
      <c r="K2854">
        <v>30837</v>
      </c>
      <c r="L2854">
        <v>31978</v>
      </c>
      <c r="N2854" t="s">
        <v>988</v>
      </c>
    </row>
    <row r="2855" spans="1:14" hidden="1" x14ac:dyDescent="0.3">
      <c r="A2855">
        <v>1827</v>
      </c>
      <c r="B2855" t="s">
        <v>1794</v>
      </c>
      <c r="C2855" t="s">
        <v>2670</v>
      </c>
      <c r="D2855" t="s">
        <v>1203</v>
      </c>
      <c r="E2855" t="s">
        <v>1204</v>
      </c>
      <c r="F2855">
        <v>5837</v>
      </c>
      <c r="G2855" t="s">
        <v>2675</v>
      </c>
      <c r="H2855" t="s">
        <v>2664</v>
      </c>
      <c r="I2855">
        <v>28311</v>
      </c>
      <c r="J2855">
        <v>29533</v>
      </c>
      <c r="K2855">
        <v>30837</v>
      </c>
      <c r="L2855">
        <v>31978</v>
      </c>
      <c r="N2855" t="s">
        <v>988</v>
      </c>
    </row>
    <row r="2856" spans="1:14" hidden="1" x14ac:dyDescent="0.3">
      <c r="A2856">
        <v>1827</v>
      </c>
      <c r="B2856" t="s">
        <v>1794</v>
      </c>
      <c r="C2856" t="s">
        <v>2670</v>
      </c>
      <c r="D2856" t="s">
        <v>1203</v>
      </c>
      <c r="E2856" t="s">
        <v>1204</v>
      </c>
      <c r="F2856">
        <v>5837</v>
      </c>
      <c r="G2856" t="s">
        <v>2676</v>
      </c>
      <c r="H2856" t="s">
        <v>2665</v>
      </c>
      <c r="I2856">
        <v>30055</v>
      </c>
      <c r="J2856">
        <v>31475</v>
      </c>
      <c r="K2856">
        <v>32876</v>
      </c>
      <c r="L2856">
        <v>34284</v>
      </c>
      <c r="M2856">
        <v>34779</v>
      </c>
      <c r="N2856" t="s">
        <v>988</v>
      </c>
    </row>
    <row r="2857" spans="1:14" hidden="1" x14ac:dyDescent="0.3">
      <c r="A2857">
        <v>1827</v>
      </c>
      <c r="B2857" t="s">
        <v>1794</v>
      </c>
      <c r="C2857" t="s">
        <v>2670</v>
      </c>
      <c r="D2857" t="s">
        <v>1203</v>
      </c>
      <c r="E2857" t="s">
        <v>1204</v>
      </c>
      <c r="F2857">
        <v>5837</v>
      </c>
      <c r="G2857" t="s">
        <v>2673</v>
      </c>
      <c r="H2857" t="s">
        <v>2665</v>
      </c>
      <c r="I2857">
        <v>26062</v>
      </c>
      <c r="J2857">
        <v>27204</v>
      </c>
      <c r="K2857">
        <v>28387</v>
      </c>
      <c r="L2857">
        <v>29113</v>
      </c>
      <c r="N2857" t="s">
        <v>988</v>
      </c>
    </row>
    <row r="2858" spans="1:14" hidden="1" x14ac:dyDescent="0.3">
      <c r="A2858">
        <v>1838</v>
      </c>
      <c r="B2858" t="s">
        <v>1797</v>
      </c>
      <c r="C2858" t="s">
        <v>2670</v>
      </c>
      <c r="D2858" t="s">
        <v>1203</v>
      </c>
      <c r="E2858" t="s">
        <v>1204</v>
      </c>
      <c r="F2858">
        <v>5805</v>
      </c>
      <c r="G2858" t="s">
        <v>2675</v>
      </c>
      <c r="H2858" t="s">
        <v>2664</v>
      </c>
      <c r="I2858">
        <v>14732</v>
      </c>
      <c r="J2858">
        <v>15909</v>
      </c>
      <c r="K2858">
        <v>16987</v>
      </c>
      <c r="L2858">
        <v>17862</v>
      </c>
      <c r="M2858">
        <v>18329</v>
      </c>
      <c r="N2858" t="s">
        <v>988</v>
      </c>
    </row>
    <row r="2859" spans="1:14" hidden="1" x14ac:dyDescent="0.3">
      <c r="A2859">
        <v>1838</v>
      </c>
      <c r="B2859" t="s">
        <v>1797</v>
      </c>
      <c r="C2859" t="s">
        <v>2670</v>
      </c>
      <c r="D2859" t="s">
        <v>1203</v>
      </c>
      <c r="E2859" t="s">
        <v>1204</v>
      </c>
      <c r="F2859">
        <v>5805</v>
      </c>
      <c r="G2859" t="s">
        <v>2675</v>
      </c>
      <c r="H2859" t="s">
        <v>2665</v>
      </c>
      <c r="I2859">
        <v>14732</v>
      </c>
      <c r="J2859">
        <v>15909</v>
      </c>
      <c r="K2859">
        <v>16987</v>
      </c>
      <c r="L2859">
        <v>17862</v>
      </c>
      <c r="M2859">
        <v>18329</v>
      </c>
      <c r="N2859" t="s">
        <v>988</v>
      </c>
    </row>
    <row r="2860" spans="1:14" hidden="1" x14ac:dyDescent="0.3">
      <c r="A2860">
        <v>1838</v>
      </c>
      <c r="B2860" t="s">
        <v>1797</v>
      </c>
      <c r="C2860" t="s">
        <v>2670</v>
      </c>
      <c r="D2860" t="s">
        <v>1203</v>
      </c>
      <c r="E2860" t="s">
        <v>1204</v>
      </c>
      <c r="F2860">
        <v>5805</v>
      </c>
      <c r="G2860" t="s">
        <v>2674</v>
      </c>
      <c r="H2860" t="s">
        <v>2664</v>
      </c>
      <c r="I2860">
        <v>14879</v>
      </c>
      <c r="J2860">
        <v>16068</v>
      </c>
      <c r="K2860">
        <v>17157</v>
      </c>
      <c r="L2860">
        <v>18040</v>
      </c>
      <c r="M2860">
        <v>18513</v>
      </c>
      <c r="N2860" t="s">
        <v>988</v>
      </c>
    </row>
    <row r="2861" spans="1:14" hidden="1" x14ac:dyDescent="0.3">
      <c r="A2861">
        <v>1838</v>
      </c>
      <c r="B2861" t="s">
        <v>1797</v>
      </c>
      <c r="C2861" t="s">
        <v>2670</v>
      </c>
      <c r="D2861" t="s">
        <v>1203</v>
      </c>
      <c r="E2861" t="s">
        <v>1204</v>
      </c>
      <c r="F2861">
        <v>5805</v>
      </c>
      <c r="G2861" t="s">
        <v>2674</v>
      </c>
      <c r="H2861" t="s">
        <v>2665</v>
      </c>
      <c r="I2861">
        <v>14879</v>
      </c>
      <c r="J2861">
        <v>16068</v>
      </c>
      <c r="K2861">
        <v>17157</v>
      </c>
      <c r="L2861">
        <v>18040</v>
      </c>
      <c r="M2861">
        <v>18513</v>
      </c>
      <c r="N2861" t="s">
        <v>988</v>
      </c>
    </row>
    <row r="2862" spans="1:14" hidden="1" x14ac:dyDescent="0.3">
      <c r="A2862">
        <v>1838</v>
      </c>
      <c r="B2862" t="s">
        <v>1797</v>
      </c>
      <c r="C2862" t="s">
        <v>2670</v>
      </c>
      <c r="D2862" t="s">
        <v>1203</v>
      </c>
      <c r="E2862" t="s">
        <v>1204</v>
      </c>
      <c r="F2862">
        <v>5805</v>
      </c>
      <c r="G2862" t="s">
        <v>2673</v>
      </c>
      <c r="H2862" t="s">
        <v>2664</v>
      </c>
      <c r="I2862">
        <v>15028</v>
      </c>
      <c r="J2862">
        <v>16228</v>
      </c>
      <c r="K2862">
        <v>17329</v>
      </c>
      <c r="L2862">
        <v>18221</v>
      </c>
      <c r="M2862">
        <v>18698</v>
      </c>
      <c r="N2862" t="s">
        <v>988</v>
      </c>
    </row>
    <row r="2863" spans="1:14" hidden="1" x14ac:dyDescent="0.3">
      <c r="A2863">
        <v>1838</v>
      </c>
      <c r="B2863" t="s">
        <v>1797</v>
      </c>
      <c r="C2863" t="s">
        <v>2670</v>
      </c>
      <c r="D2863" t="s">
        <v>1203</v>
      </c>
      <c r="E2863" t="s">
        <v>1204</v>
      </c>
      <c r="F2863">
        <v>5805</v>
      </c>
      <c r="G2863" t="s">
        <v>2676</v>
      </c>
      <c r="H2863" t="s">
        <v>2665</v>
      </c>
      <c r="I2863">
        <v>14586</v>
      </c>
      <c r="J2863">
        <v>15751</v>
      </c>
      <c r="K2863">
        <v>16819</v>
      </c>
      <c r="L2863">
        <v>17685</v>
      </c>
      <c r="M2863">
        <v>18148</v>
      </c>
      <c r="N2863" t="s">
        <v>988</v>
      </c>
    </row>
    <row r="2864" spans="1:14" hidden="1" x14ac:dyDescent="0.3">
      <c r="A2864">
        <v>1838</v>
      </c>
      <c r="B2864" t="s">
        <v>1797</v>
      </c>
      <c r="C2864" t="s">
        <v>2670</v>
      </c>
      <c r="D2864" t="s">
        <v>1203</v>
      </c>
      <c r="E2864" t="s">
        <v>1204</v>
      </c>
      <c r="F2864">
        <v>5805</v>
      </c>
      <c r="G2864" t="s">
        <v>2671</v>
      </c>
      <c r="H2864" t="s">
        <v>2664</v>
      </c>
      <c r="I2864">
        <v>15178</v>
      </c>
      <c r="J2864">
        <v>16391</v>
      </c>
      <c r="K2864">
        <v>17502</v>
      </c>
      <c r="L2864">
        <v>18403</v>
      </c>
      <c r="M2864">
        <v>18885</v>
      </c>
      <c r="N2864" t="s">
        <v>988</v>
      </c>
    </row>
    <row r="2865" spans="1:14" hidden="1" x14ac:dyDescent="0.3">
      <c r="A2865">
        <v>1838</v>
      </c>
      <c r="B2865" t="s">
        <v>1797</v>
      </c>
      <c r="C2865" t="s">
        <v>2670</v>
      </c>
      <c r="D2865" t="s">
        <v>1203</v>
      </c>
      <c r="E2865" t="s">
        <v>1204</v>
      </c>
      <c r="F2865">
        <v>5805</v>
      </c>
      <c r="G2865" t="s">
        <v>2671</v>
      </c>
      <c r="H2865" t="s">
        <v>2665</v>
      </c>
      <c r="I2865">
        <v>15178</v>
      </c>
      <c r="J2865">
        <v>16391</v>
      </c>
      <c r="K2865">
        <v>17502</v>
      </c>
      <c r="L2865">
        <v>18403</v>
      </c>
      <c r="M2865">
        <v>18885</v>
      </c>
      <c r="N2865" t="s">
        <v>988</v>
      </c>
    </row>
    <row r="2866" spans="1:14" hidden="1" x14ac:dyDescent="0.3">
      <c r="A2866">
        <v>1838</v>
      </c>
      <c r="B2866" t="s">
        <v>1797</v>
      </c>
      <c r="C2866" t="s">
        <v>2670</v>
      </c>
      <c r="D2866" t="s">
        <v>1203</v>
      </c>
      <c r="E2866" t="s">
        <v>1204</v>
      </c>
      <c r="F2866">
        <v>5805</v>
      </c>
      <c r="G2866" t="s">
        <v>2672</v>
      </c>
      <c r="H2866" t="s">
        <v>2664</v>
      </c>
      <c r="N2866" t="s">
        <v>988</v>
      </c>
    </row>
    <row r="2867" spans="1:14" hidden="1" x14ac:dyDescent="0.3">
      <c r="A2867">
        <v>1838</v>
      </c>
      <c r="B2867" t="s">
        <v>1797</v>
      </c>
      <c r="C2867" t="s">
        <v>2670</v>
      </c>
      <c r="D2867" t="s">
        <v>1203</v>
      </c>
      <c r="E2867" t="s">
        <v>1204</v>
      </c>
      <c r="F2867">
        <v>5805</v>
      </c>
      <c r="G2867" t="s">
        <v>2672</v>
      </c>
      <c r="H2867" t="s">
        <v>2665</v>
      </c>
      <c r="N2867" t="s">
        <v>988</v>
      </c>
    </row>
    <row r="2868" spans="1:14" hidden="1" x14ac:dyDescent="0.3">
      <c r="A2868">
        <v>1838</v>
      </c>
      <c r="B2868" t="s">
        <v>1797</v>
      </c>
      <c r="C2868" t="s">
        <v>2670</v>
      </c>
      <c r="D2868" t="s">
        <v>1203</v>
      </c>
      <c r="E2868" t="s">
        <v>1204</v>
      </c>
      <c r="F2868">
        <v>5805</v>
      </c>
      <c r="G2868" t="s">
        <v>2676</v>
      </c>
      <c r="H2868" t="s">
        <v>2664</v>
      </c>
      <c r="I2868">
        <v>14586</v>
      </c>
      <c r="J2868">
        <v>15751</v>
      </c>
      <c r="K2868">
        <v>16819</v>
      </c>
      <c r="L2868">
        <v>17685</v>
      </c>
      <c r="M2868">
        <v>18148</v>
      </c>
      <c r="N2868" t="s">
        <v>988</v>
      </c>
    </row>
    <row r="2869" spans="1:14" hidden="1" x14ac:dyDescent="0.3">
      <c r="A2869">
        <v>1838</v>
      </c>
      <c r="B2869" t="s">
        <v>1797</v>
      </c>
      <c r="C2869" t="s">
        <v>2670</v>
      </c>
      <c r="D2869" t="s">
        <v>1203</v>
      </c>
      <c r="E2869" t="s">
        <v>1204</v>
      </c>
      <c r="F2869">
        <v>5805</v>
      </c>
      <c r="G2869" t="s">
        <v>2673</v>
      </c>
      <c r="H2869" t="s">
        <v>2665</v>
      </c>
      <c r="I2869">
        <v>15028</v>
      </c>
      <c r="J2869">
        <v>16228</v>
      </c>
      <c r="K2869">
        <v>17329</v>
      </c>
      <c r="L2869">
        <v>18221</v>
      </c>
      <c r="M2869">
        <v>18698</v>
      </c>
      <c r="N2869" t="s">
        <v>988</v>
      </c>
    </row>
    <row r="2870" spans="1:14" hidden="1" x14ac:dyDescent="0.3">
      <c r="A2870">
        <v>1849</v>
      </c>
      <c r="B2870" t="s">
        <v>960</v>
      </c>
      <c r="C2870" t="s">
        <v>2670</v>
      </c>
      <c r="D2870" t="s">
        <v>1203</v>
      </c>
      <c r="E2870" t="s">
        <v>1204</v>
      </c>
      <c r="F2870">
        <v>5733</v>
      </c>
      <c r="G2870" t="s">
        <v>2676</v>
      </c>
      <c r="H2870" t="s">
        <v>2664</v>
      </c>
      <c r="I2870">
        <v>28125</v>
      </c>
      <c r="J2870">
        <v>26390</v>
      </c>
      <c r="K2870">
        <v>26105</v>
      </c>
      <c r="L2870">
        <v>25665</v>
      </c>
      <c r="M2870">
        <v>25665</v>
      </c>
      <c r="N2870" t="s">
        <v>988</v>
      </c>
    </row>
    <row r="2871" spans="1:14" hidden="1" x14ac:dyDescent="0.3">
      <c r="A2871">
        <v>1849</v>
      </c>
      <c r="B2871" t="s">
        <v>960</v>
      </c>
      <c r="C2871" t="s">
        <v>2670</v>
      </c>
      <c r="D2871" t="s">
        <v>1203</v>
      </c>
      <c r="E2871" t="s">
        <v>1204</v>
      </c>
      <c r="F2871">
        <v>5733</v>
      </c>
      <c r="G2871" t="s">
        <v>2676</v>
      </c>
      <c r="H2871" t="s">
        <v>2665</v>
      </c>
      <c r="I2871">
        <v>20220</v>
      </c>
      <c r="J2871">
        <v>21310</v>
      </c>
      <c r="K2871">
        <v>22980</v>
      </c>
      <c r="L2871">
        <v>24780</v>
      </c>
      <c r="M2871">
        <v>26250</v>
      </c>
      <c r="N2871" t="s">
        <v>988</v>
      </c>
    </row>
    <row r="2872" spans="1:14" hidden="1" x14ac:dyDescent="0.3">
      <c r="A2872">
        <v>1849</v>
      </c>
      <c r="B2872" t="s">
        <v>960</v>
      </c>
      <c r="C2872" t="s">
        <v>2670</v>
      </c>
      <c r="D2872" t="s">
        <v>1203</v>
      </c>
      <c r="E2872" t="s">
        <v>1204</v>
      </c>
      <c r="F2872">
        <v>5733</v>
      </c>
      <c r="G2872" t="s">
        <v>2675</v>
      </c>
      <c r="H2872" t="s">
        <v>2664</v>
      </c>
      <c r="I2872">
        <v>28125</v>
      </c>
      <c r="J2872">
        <v>26390</v>
      </c>
      <c r="K2872">
        <v>26105</v>
      </c>
      <c r="L2872">
        <v>25665</v>
      </c>
      <c r="M2872">
        <v>25665</v>
      </c>
      <c r="N2872" t="s">
        <v>988</v>
      </c>
    </row>
    <row r="2873" spans="1:14" hidden="1" x14ac:dyDescent="0.3">
      <c r="A2873">
        <v>1849</v>
      </c>
      <c r="B2873" t="s">
        <v>960</v>
      </c>
      <c r="C2873" t="s">
        <v>2670</v>
      </c>
      <c r="D2873" t="s">
        <v>1203</v>
      </c>
      <c r="E2873" t="s">
        <v>1204</v>
      </c>
      <c r="F2873">
        <v>5733</v>
      </c>
      <c r="G2873" t="s">
        <v>2675</v>
      </c>
      <c r="H2873" t="s">
        <v>2665</v>
      </c>
      <c r="I2873">
        <v>20220</v>
      </c>
      <c r="J2873">
        <v>21310</v>
      </c>
      <c r="K2873">
        <v>22980</v>
      </c>
      <c r="L2873">
        <v>24780</v>
      </c>
      <c r="M2873">
        <v>26250</v>
      </c>
      <c r="N2873" t="s">
        <v>988</v>
      </c>
    </row>
    <row r="2874" spans="1:14" hidden="1" x14ac:dyDescent="0.3">
      <c r="A2874">
        <v>1849</v>
      </c>
      <c r="B2874" t="s">
        <v>960</v>
      </c>
      <c r="C2874" t="s">
        <v>2670</v>
      </c>
      <c r="D2874" t="s">
        <v>1203</v>
      </c>
      <c r="E2874" t="s">
        <v>1204</v>
      </c>
      <c r="F2874">
        <v>5733</v>
      </c>
      <c r="G2874" t="s">
        <v>2674</v>
      </c>
      <c r="H2874" t="s">
        <v>2664</v>
      </c>
      <c r="I2874">
        <v>28125</v>
      </c>
      <c r="J2874">
        <v>26390</v>
      </c>
      <c r="K2874">
        <v>26105</v>
      </c>
      <c r="L2874">
        <v>25665</v>
      </c>
      <c r="M2874">
        <v>25665</v>
      </c>
      <c r="N2874" t="s">
        <v>988</v>
      </c>
    </row>
    <row r="2875" spans="1:14" hidden="1" x14ac:dyDescent="0.3">
      <c r="A2875">
        <v>1849</v>
      </c>
      <c r="B2875" t="s">
        <v>960</v>
      </c>
      <c r="C2875" t="s">
        <v>2670</v>
      </c>
      <c r="D2875" t="s">
        <v>1203</v>
      </c>
      <c r="E2875" t="s">
        <v>1204</v>
      </c>
      <c r="F2875">
        <v>5733</v>
      </c>
      <c r="G2875" t="s">
        <v>2674</v>
      </c>
      <c r="H2875" t="s">
        <v>2665</v>
      </c>
      <c r="I2875">
        <v>20220</v>
      </c>
      <c r="J2875">
        <v>21310</v>
      </c>
      <c r="K2875">
        <v>22980</v>
      </c>
      <c r="L2875">
        <v>24780</v>
      </c>
      <c r="M2875">
        <v>26250</v>
      </c>
      <c r="N2875" t="s">
        <v>988</v>
      </c>
    </row>
    <row r="2876" spans="1:14" hidden="1" x14ac:dyDescent="0.3">
      <c r="A2876">
        <v>1849</v>
      </c>
      <c r="B2876" t="s">
        <v>960</v>
      </c>
      <c r="C2876" t="s">
        <v>2670</v>
      </c>
      <c r="D2876" t="s">
        <v>1203</v>
      </c>
      <c r="E2876" t="s">
        <v>1204</v>
      </c>
      <c r="F2876">
        <v>5733</v>
      </c>
      <c r="G2876" t="s">
        <v>2673</v>
      </c>
      <c r="H2876" t="s">
        <v>2664</v>
      </c>
      <c r="I2876">
        <v>28125</v>
      </c>
      <c r="J2876">
        <v>26390</v>
      </c>
      <c r="K2876">
        <v>26105</v>
      </c>
      <c r="L2876">
        <v>25665</v>
      </c>
      <c r="M2876">
        <v>25665</v>
      </c>
      <c r="N2876" t="s">
        <v>988</v>
      </c>
    </row>
    <row r="2877" spans="1:14" hidden="1" x14ac:dyDescent="0.3">
      <c r="A2877">
        <v>1849</v>
      </c>
      <c r="B2877" t="s">
        <v>960</v>
      </c>
      <c r="C2877" t="s">
        <v>2670</v>
      </c>
      <c r="D2877" t="s">
        <v>1203</v>
      </c>
      <c r="E2877" t="s">
        <v>1204</v>
      </c>
      <c r="F2877">
        <v>5733</v>
      </c>
      <c r="G2877" t="s">
        <v>2673</v>
      </c>
      <c r="H2877" t="s">
        <v>2665</v>
      </c>
      <c r="I2877">
        <v>20220</v>
      </c>
      <c r="J2877">
        <v>21310</v>
      </c>
      <c r="K2877">
        <v>22980</v>
      </c>
      <c r="L2877">
        <v>24780</v>
      </c>
      <c r="M2877">
        <v>26250</v>
      </c>
      <c r="N2877" t="s">
        <v>988</v>
      </c>
    </row>
    <row r="2878" spans="1:14" hidden="1" x14ac:dyDescent="0.3">
      <c r="A2878">
        <v>1849</v>
      </c>
      <c r="B2878" t="s">
        <v>960</v>
      </c>
      <c r="C2878" t="s">
        <v>2670</v>
      </c>
      <c r="D2878" t="s">
        <v>1203</v>
      </c>
      <c r="E2878" t="s">
        <v>1204</v>
      </c>
      <c r="F2878">
        <v>5733</v>
      </c>
      <c r="G2878" t="s">
        <v>2671</v>
      </c>
      <c r="H2878" t="s">
        <v>2664</v>
      </c>
      <c r="I2878">
        <v>28125</v>
      </c>
      <c r="J2878">
        <v>26390</v>
      </c>
      <c r="K2878">
        <v>26105</v>
      </c>
      <c r="L2878">
        <v>25665</v>
      </c>
      <c r="M2878">
        <v>25665</v>
      </c>
      <c r="N2878" t="s">
        <v>988</v>
      </c>
    </row>
    <row r="2879" spans="1:14" hidden="1" x14ac:dyDescent="0.3">
      <c r="A2879">
        <v>1849</v>
      </c>
      <c r="B2879" t="s">
        <v>960</v>
      </c>
      <c r="C2879" t="s">
        <v>2670</v>
      </c>
      <c r="D2879" t="s">
        <v>1203</v>
      </c>
      <c r="E2879" t="s">
        <v>1204</v>
      </c>
      <c r="F2879">
        <v>5733</v>
      </c>
      <c r="G2879" t="s">
        <v>2671</v>
      </c>
      <c r="H2879" t="s">
        <v>2665</v>
      </c>
      <c r="I2879">
        <v>20220</v>
      </c>
      <c r="J2879">
        <v>21310</v>
      </c>
      <c r="K2879">
        <v>22980</v>
      </c>
      <c r="L2879">
        <v>24780</v>
      </c>
      <c r="M2879">
        <v>26250</v>
      </c>
      <c r="N2879" t="s">
        <v>988</v>
      </c>
    </row>
    <row r="2880" spans="1:14" hidden="1" x14ac:dyDescent="0.3">
      <c r="A2880">
        <v>1849</v>
      </c>
      <c r="B2880" t="s">
        <v>960</v>
      </c>
      <c r="C2880" t="s">
        <v>2670</v>
      </c>
      <c r="D2880" t="s">
        <v>1203</v>
      </c>
      <c r="E2880" t="s">
        <v>1204</v>
      </c>
      <c r="F2880">
        <v>5733</v>
      </c>
      <c r="G2880" t="s">
        <v>2672</v>
      </c>
      <c r="H2880" t="s">
        <v>2665</v>
      </c>
      <c r="N2880" t="s">
        <v>988</v>
      </c>
    </row>
    <row r="2881" spans="1:14" hidden="1" x14ac:dyDescent="0.3">
      <c r="A2881">
        <v>1849</v>
      </c>
      <c r="B2881" t="s">
        <v>960</v>
      </c>
      <c r="C2881" t="s">
        <v>2670</v>
      </c>
      <c r="D2881" t="s">
        <v>1203</v>
      </c>
      <c r="E2881" t="s">
        <v>1204</v>
      </c>
      <c r="F2881">
        <v>5733</v>
      </c>
      <c r="G2881" t="s">
        <v>2672</v>
      </c>
      <c r="H2881" t="s">
        <v>2664</v>
      </c>
      <c r="N2881" t="s">
        <v>988</v>
      </c>
    </row>
    <row r="2882" spans="1:14" hidden="1" x14ac:dyDescent="0.3">
      <c r="A2882">
        <v>1851</v>
      </c>
      <c r="B2882" t="s">
        <v>1800</v>
      </c>
      <c r="C2882" t="s">
        <v>2670</v>
      </c>
      <c r="D2882" t="s">
        <v>159</v>
      </c>
      <c r="E2882" t="s">
        <v>159</v>
      </c>
      <c r="F2882">
        <v>7787</v>
      </c>
      <c r="G2882" t="s">
        <v>2675</v>
      </c>
      <c r="H2882" t="s">
        <v>2665</v>
      </c>
      <c r="I2882">
        <v>11603</v>
      </c>
      <c r="J2882">
        <v>11710</v>
      </c>
      <c r="K2882">
        <v>11862</v>
      </c>
      <c r="L2882">
        <v>12117</v>
      </c>
      <c r="N2882" t="s">
        <v>988</v>
      </c>
    </row>
    <row r="2883" spans="1:14" hidden="1" x14ac:dyDescent="0.3">
      <c r="A2883">
        <v>1851</v>
      </c>
      <c r="B2883" t="s">
        <v>1800</v>
      </c>
      <c r="C2883" t="s">
        <v>2670</v>
      </c>
      <c r="D2883" t="s">
        <v>159</v>
      </c>
      <c r="E2883" t="s">
        <v>159</v>
      </c>
      <c r="F2883">
        <v>7787</v>
      </c>
      <c r="G2883" t="s">
        <v>2675</v>
      </c>
      <c r="H2883" t="s">
        <v>2664</v>
      </c>
      <c r="I2883">
        <v>6500</v>
      </c>
      <c r="J2883">
        <v>6541</v>
      </c>
      <c r="K2883">
        <v>6602</v>
      </c>
      <c r="L2883">
        <v>6741</v>
      </c>
      <c r="N2883" t="s">
        <v>988</v>
      </c>
    </row>
    <row r="2884" spans="1:14" hidden="1" x14ac:dyDescent="0.3">
      <c r="A2884">
        <v>1851</v>
      </c>
      <c r="B2884" t="s">
        <v>1800</v>
      </c>
      <c r="C2884" t="s">
        <v>2670</v>
      </c>
      <c r="D2884" t="s">
        <v>159</v>
      </c>
      <c r="E2884" t="s">
        <v>159</v>
      </c>
      <c r="F2884">
        <v>7787</v>
      </c>
      <c r="G2884" t="s">
        <v>2676</v>
      </c>
      <c r="H2884" t="s">
        <v>2665</v>
      </c>
      <c r="I2884">
        <v>11603</v>
      </c>
      <c r="J2884">
        <v>11710</v>
      </c>
      <c r="K2884">
        <v>11862</v>
      </c>
      <c r="L2884">
        <v>12117</v>
      </c>
      <c r="N2884" t="s">
        <v>988</v>
      </c>
    </row>
    <row r="2885" spans="1:14" hidden="1" x14ac:dyDescent="0.3">
      <c r="A2885">
        <v>1851</v>
      </c>
      <c r="B2885" t="s">
        <v>1800</v>
      </c>
      <c r="C2885" t="s">
        <v>2670</v>
      </c>
      <c r="D2885" t="s">
        <v>159</v>
      </c>
      <c r="E2885" t="s">
        <v>159</v>
      </c>
      <c r="F2885">
        <v>7787</v>
      </c>
      <c r="G2885" t="s">
        <v>2676</v>
      </c>
      <c r="H2885" t="s">
        <v>2664</v>
      </c>
      <c r="I2885">
        <v>7529</v>
      </c>
      <c r="J2885">
        <v>7573</v>
      </c>
      <c r="K2885">
        <v>7651</v>
      </c>
      <c r="L2885">
        <v>7806</v>
      </c>
      <c r="N2885" t="s">
        <v>988</v>
      </c>
    </row>
    <row r="2886" spans="1:14" hidden="1" x14ac:dyDescent="0.3">
      <c r="A2886">
        <v>1851</v>
      </c>
      <c r="B2886" t="s">
        <v>1800</v>
      </c>
      <c r="C2886" t="s">
        <v>2670</v>
      </c>
      <c r="D2886" t="s">
        <v>159</v>
      </c>
      <c r="E2886" t="s">
        <v>159</v>
      </c>
      <c r="F2886">
        <v>7787</v>
      </c>
      <c r="G2886" t="s">
        <v>2672</v>
      </c>
      <c r="H2886" t="s">
        <v>2665</v>
      </c>
      <c r="N2886" t="s">
        <v>988</v>
      </c>
    </row>
    <row r="2887" spans="1:14" hidden="1" x14ac:dyDescent="0.3">
      <c r="A2887">
        <v>1851</v>
      </c>
      <c r="B2887" t="s">
        <v>1800</v>
      </c>
      <c r="C2887" t="s">
        <v>2670</v>
      </c>
      <c r="D2887" t="s">
        <v>159</v>
      </c>
      <c r="E2887" t="s">
        <v>159</v>
      </c>
      <c r="F2887">
        <v>7787</v>
      </c>
      <c r="G2887" t="s">
        <v>2672</v>
      </c>
      <c r="H2887" t="s">
        <v>2664</v>
      </c>
      <c r="N2887" t="s">
        <v>988</v>
      </c>
    </row>
    <row r="2888" spans="1:14" hidden="1" x14ac:dyDescent="0.3">
      <c r="A2888">
        <v>1851</v>
      </c>
      <c r="B2888" t="s">
        <v>1800</v>
      </c>
      <c r="C2888" t="s">
        <v>2670</v>
      </c>
      <c r="D2888" t="s">
        <v>159</v>
      </c>
      <c r="E2888" t="s">
        <v>159</v>
      </c>
      <c r="F2888">
        <v>7787</v>
      </c>
      <c r="G2888" t="s">
        <v>2671</v>
      </c>
      <c r="H2888" t="s">
        <v>2665</v>
      </c>
      <c r="I2888">
        <v>11603</v>
      </c>
      <c r="J2888">
        <v>11710</v>
      </c>
      <c r="K2888">
        <v>11862</v>
      </c>
      <c r="L2888">
        <v>12117</v>
      </c>
      <c r="N2888" t="s">
        <v>988</v>
      </c>
    </row>
    <row r="2889" spans="1:14" hidden="1" x14ac:dyDescent="0.3">
      <c r="A2889">
        <v>1851</v>
      </c>
      <c r="B2889" t="s">
        <v>1800</v>
      </c>
      <c r="C2889" t="s">
        <v>2670</v>
      </c>
      <c r="D2889" t="s">
        <v>159</v>
      </c>
      <c r="E2889" t="s">
        <v>159</v>
      </c>
      <c r="F2889">
        <v>7787</v>
      </c>
      <c r="G2889" t="s">
        <v>2671</v>
      </c>
      <c r="H2889" t="s">
        <v>2664</v>
      </c>
      <c r="I2889">
        <v>6500</v>
      </c>
      <c r="J2889">
        <v>6541</v>
      </c>
      <c r="K2889">
        <v>6077</v>
      </c>
      <c r="L2889">
        <v>5986</v>
      </c>
      <c r="N2889" t="s">
        <v>988</v>
      </c>
    </row>
    <row r="2890" spans="1:14" hidden="1" x14ac:dyDescent="0.3">
      <c r="A2890">
        <v>1851</v>
      </c>
      <c r="B2890" t="s">
        <v>1800</v>
      </c>
      <c r="C2890" t="s">
        <v>2670</v>
      </c>
      <c r="D2890" t="s">
        <v>159</v>
      </c>
      <c r="E2890" t="s">
        <v>159</v>
      </c>
      <c r="F2890">
        <v>7787</v>
      </c>
      <c r="G2890" t="s">
        <v>2673</v>
      </c>
      <c r="H2890" t="s">
        <v>2665</v>
      </c>
      <c r="I2890">
        <v>11603</v>
      </c>
      <c r="J2890">
        <v>11710</v>
      </c>
      <c r="K2890">
        <v>11862</v>
      </c>
      <c r="L2890">
        <v>12117</v>
      </c>
      <c r="N2890" t="s">
        <v>988</v>
      </c>
    </row>
    <row r="2891" spans="1:14" hidden="1" x14ac:dyDescent="0.3">
      <c r="A2891">
        <v>1851</v>
      </c>
      <c r="B2891" t="s">
        <v>1800</v>
      </c>
      <c r="C2891" t="s">
        <v>2670</v>
      </c>
      <c r="D2891" t="s">
        <v>159</v>
      </c>
      <c r="E2891" t="s">
        <v>159</v>
      </c>
      <c r="F2891">
        <v>7787</v>
      </c>
      <c r="G2891" t="s">
        <v>2673</v>
      </c>
      <c r="H2891" t="s">
        <v>2664</v>
      </c>
      <c r="I2891">
        <v>6500</v>
      </c>
      <c r="J2891">
        <v>6541</v>
      </c>
      <c r="K2891">
        <v>6602</v>
      </c>
      <c r="L2891">
        <v>5986</v>
      </c>
      <c r="N2891" t="s">
        <v>988</v>
      </c>
    </row>
    <row r="2892" spans="1:14" hidden="1" x14ac:dyDescent="0.3">
      <c r="A2892">
        <v>1851</v>
      </c>
      <c r="B2892" t="s">
        <v>1800</v>
      </c>
      <c r="C2892" t="s">
        <v>2670</v>
      </c>
      <c r="D2892" t="s">
        <v>159</v>
      </c>
      <c r="E2892" t="s">
        <v>159</v>
      </c>
      <c r="F2892">
        <v>7787</v>
      </c>
      <c r="G2892" t="s">
        <v>2674</v>
      </c>
      <c r="H2892" t="s">
        <v>2665</v>
      </c>
      <c r="I2892">
        <v>11603</v>
      </c>
      <c r="J2892">
        <v>11710</v>
      </c>
      <c r="K2892">
        <v>11862</v>
      </c>
      <c r="L2892">
        <v>12117</v>
      </c>
      <c r="N2892" t="s">
        <v>988</v>
      </c>
    </row>
    <row r="2893" spans="1:14" hidden="1" x14ac:dyDescent="0.3">
      <c r="A2893">
        <v>1851</v>
      </c>
      <c r="B2893" t="s">
        <v>1800</v>
      </c>
      <c r="C2893" t="s">
        <v>2670</v>
      </c>
      <c r="D2893" t="s">
        <v>159</v>
      </c>
      <c r="E2893" t="s">
        <v>159</v>
      </c>
      <c r="F2893">
        <v>7787</v>
      </c>
      <c r="G2893" t="s">
        <v>2674</v>
      </c>
      <c r="H2893" t="s">
        <v>2664</v>
      </c>
      <c r="I2893">
        <v>6500</v>
      </c>
      <c r="J2893">
        <v>6541</v>
      </c>
      <c r="K2893">
        <v>6602</v>
      </c>
      <c r="L2893">
        <v>6741</v>
      </c>
      <c r="N2893" t="s">
        <v>988</v>
      </c>
    </row>
    <row r="2894" spans="1:14" hidden="1" x14ac:dyDescent="0.3">
      <c r="A2894">
        <v>1859</v>
      </c>
      <c r="B2894" t="s">
        <v>1801</v>
      </c>
      <c r="C2894" t="s">
        <v>2670</v>
      </c>
      <c r="D2894" t="s">
        <v>1203</v>
      </c>
      <c r="E2894" t="s">
        <v>1204</v>
      </c>
      <c r="F2894">
        <v>5801</v>
      </c>
      <c r="G2894" t="s">
        <v>2675</v>
      </c>
      <c r="H2894" t="s">
        <v>2664</v>
      </c>
      <c r="I2894">
        <v>16465</v>
      </c>
      <c r="J2894">
        <v>16815</v>
      </c>
      <c r="K2894">
        <v>16815</v>
      </c>
      <c r="L2894">
        <v>16815</v>
      </c>
      <c r="M2894">
        <v>16815</v>
      </c>
      <c r="N2894" t="s">
        <v>988</v>
      </c>
    </row>
    <row r="2895" spans="1:14" hidden="1" x14ac:dyDescent="0.3">
      <c r="A2895">
        <v>1859</v>
      </c>
      <c r="B2895" t="s">
        <v>1801</v>
      </c>
      <c r="C2895" t="s">
        <v>2670</v>
      </c>
      <c r="D2895" t="s">
        <v>1203</v>
      </c>
      <c r="E2895" t="s">
        <v>1204</v>
      </c>
      <c r="F2895">
        <v>5801</v>
      </c>
      <c r="G2895" t="s">
        <v>2676</v>
      </c>
      <c r="H2895" t="s">
        <v>2665</v>
      </c>
      <c r="I2895">
        <v>3957</v>
      </c>
      <c r="J2895">
        <v>4356</v>
      </c>
      <c r="K2895">
        <v>4914</v>
      </c>
      <c r="L2895">
        <v>5109</v>
      </c>
      <c r="M2895">
        <v>5084</v>
      </c>
      <c r="N2895" t="s">
        <v>988</v>
      </c>
    </row>
    <row r="2896" spans="1:14" hidden="1" x14ac:dyDescent="0.3">
      <c r="A2896">
        <v>1859</v>
      </c>
      <c r="B2896" t="s">
        <v>1801</v>
      </c>
      <c r="C2896" t="s">
        <v>2670</v>
      </c>
      <c r="D2896" t="s">
        <v>1203</v>
      </c>
      <c r="E2896" t="s">
        <v>1204</v>
      </c>
      <c r="F2896">
        <v>5801</v>
      </c>
      <c r="G2896" t="s">
        <v>2676</v>
      </c>
      <c r="H2896" t="s">
        <v>2664</v>
      </c>
      <c r="I2896">
        <v>15223</v>
      </c>
      <c r="J2896">
        <v>15573</v>
      </c>
      <c r="K2896">
        <v>15573</v>
      </c>
      <c r="L2896">
        <v>15573</v>
      </c>
      <c r="M2896">
        <v>15573</v>
      </c>
      <c r="N2896" t="s">
        <v>988</v>
      </c>
    </row>
    <row r="2897" spans="1:14" hidden="1" x14ac:dyDescent="0.3">
      <c r="A2897">
        <v>1859</v>
      </c>
      <c r="B2897" t="s">
        <v>1801</v>
      </c>
      <c r="C2897" t="s">
        <v>2670</v>
      </c>
      <c r="D2897" t="s">
        <v>1203</v>
      </c>
      <c r="E2897" t="s">
        <v>1204</v>
      </c>
      <c r="F2897">
        <v>5801</v>
      </c>
      <c r="G2897" t="s">
        <v>2672</v>
      </c>
      <c r="H2897" t="s">
        <v>2665</v>
      </c>
      <c r="N2897" t="s">
        <v>988</v>
      </c>
    </row>
    <row r="2898" spans="1:14" hidden="1" x14ac:dyDescent="0.3">
      <c r="A2898">
        <v>1859</v>
      </c>
      <c r="B2898" t="s">
        <v>1801</v>
      </c>
      <c r="C2898" t="s">
        <v>2670</v>
      </c>
      <c r="D2898" t="s">
        <v>1203</v>
      </c>
      <c r="E2898" t="s">
        <v>1204</v>
      </c>
      <c r="F2898">
        <v>5801</v>
      </c>
      <c r="G2898" t="s">
        <v>2672</v>
      </c>
      <c r="H2898" t="s">
        <v>2664</v>
      </c>
      <c r="N2898" t="s">
        <v>988</v>
      </c>
    </row>
    <row r="2899" spans="1:14" hidden="1" x14ac:dyDescent="0.3">
      <c r="A2899">
        <v>1859</v>
      </c>
      <c r="B2899" t="s">
        <v>1801</v>
      </c>
      <c r="C2899" t="s">
        <v>2670</v>
      </c>
      <c r="D2899" t="s">
        <v>1203</v>
      </c>
      <c r="E2899" t="s">
        <v>1204</v>
      </c>
      <c r="F2899">
        <v>5801</v>
      </c>
      <c r="G2899" t="s">
        <v>2671</v>
      </c>
      <c r="H2899" t="s">
        <v>2665</v>
      </c>
      <c r="I2899">
        <v>3957</v>
      </c>
      <c r="J2899">
        <v>4356</v>
      </c>
      <c r="K2899">
        <v>4914</v>
      </c>
      <c r="L2899">
        <v>5109</v>
      </c>
      <c r="M2899">
        <v>5084</v>
      </c>
      <c r="N2899" t="s">
        <v>988</v>
      </c>
    </row>
    <row r="2900" spans="1:14" hidden="1" x14ac:dyDescent="0.3">
      <c r="A2900">
        <v>1859</v>
      </c>
      <c r="B2900" t="s">
        <v>1801</v>
      </c>
      <c r="C2900" t="s">
        <v>2670</v>
      </c>
      <c r="D2900" t="s">
        <v>1203</v>
      </c>
      <c r="E2900" t="s">
        <v>1204</v>
      </c>
      <c r="F2900">
        <v>5801</v>
      </c>
      <c r="G2900" t="s">
        <v>2671</v>
      </c>
      <c r="H2900" t="s">
        <v>2664</v>
      </c>
      <c r="I2900">
        <v>6071</v>
      </c>
      <c r="J2900">
        <v>6421</v>
      </c>
      <c r="K2900">
        <v>6421</v>
      </c>
      <c r="L2900">
        <v>6421</v>
      </c>
      <c r="M2900">
        <v>6421</v>
      </c>
      <c r="N2900" t="s">
        <v>988</v>
      </c>
    </row>
    <row r="2901" spans="1:14" hidden="1" x14ac:dyDescent="0.3">
      <c r="A2901">
        <v>1859</v>
      </c>
      <c r="B2901" t="s">
        <v>1801</v>
      </c>
      <c r="C2901" t="s">
        <v>2670</v>
      </c>
      <c r="D2901" t="s">
        <v>1203</v>
      </c>
      <c r="E2901" t="s">
        <v>1204</v>
      </c>
      <c r="F2901">
        <v>5801</v>
      </c>
      <c r="G2901" t="s">
        <v>2673</v>
      </c>
      <c r="H2901" t="s">
        <v>2665</v>
      </c>
      <c r="I2901">
        <v>3957</v>
      </c>
      <c r="J2901">
        <v>4356</v>
      </c>
      <c r="K2901">
        <v>4914</v>
      </c>
      <c r="L2901">
        <v>5109</v>
      </c>
      <c r="M2901">
        <v>5084</v>
      </c>
      <c r="N2901" t="s">
        <v>988</v>
      </c>
    </row>
    <row r="2902" spans="1:14" hidden="1" x14ac:dyDescent="0.3">
      <c r="A2902">
        <v>1859</v>
      </c>
      <c r="B2902" t="s">
        <v>1801</v>
      </c>
      <c r="C2902" t="s">
        <v>2670</v>
      </c>
      <c r="D2902" t="s">
        <v>1203</v>
      </c>
      <c r="E2902" t="s">
        <v>1204</v>
      </c>
      <c r="F2902">
        <v>5801</v>
      </c>
      <c r="G2902" t="s">
        <v>2673</v>
      </c>
      <c r="H2902" t="s">
        <v>2664</v>
      </c>
      <c r="I2902">
        <v>9239</v>
      </c>
      <c r="J2902">
        <v>9589</v>
      </c>
      <c r="K2902">
        <v>9589</v>
      </c>
      <c r="L2902">
        <v>9589</v>
      </c>
      <c r="M2902">
        <v>9589</v>
      </c>
      <c r="N2902" t="s">
        <v>988</v>
      </c>
    </row>
    <row r="2903" spans="1:14" hidden="1" x14ac:dyDescent="0.3">
      <c r="A2903">
        <v>1859</v>
      </c>
      <c r="B2903" t="s">
        <v>1801</v>
      </c>
      <c r="C2903" t="s">
        <v>2670</v>
      </c>
      <c r="D2903" t="s">
        <v>1203</v>
      </c>
      <c r="E2903" t="s">
        <v>1204</v>
      </c>
      <c r="F2903">
        <v>5801</v>
      </c>
      <c r="G2903" t="s">
        <v>2674</v>
      </c>
      <c r="H2903" t="s">
        <v>2665</v>
      </c>
      <c r="I2903">
        <v>3957</v>
      </c>
      <c r="J2903">
        <v>4356</v>
      </c>
      <c r="K2903">
        <v>4914</v>
      </c>
      <c r="L2903">
        <v>5109</v>
      </c>
      <c r="M2903">
        <v>5084</v>
      </c>
      <c r="N2903" t="s">
        <v>988</v>
      </c>
    </row>
    <row r="2904" spans="1:14" hidden="1" x14ac:dyDescent="0.3">
      <c r="A2904">
        <v>1859</v>
      </c>
      <c r="B2904" t="s">
        <v>1801</v>
      </c>
      <c r="C2904" t="s">
        <v>2670</v>
      </c>
      <c r="D2904" t="s">
        <v>1203</v>
      </c>
      <c r="E2904" t="s">
        <v>1204</v>
      </c>
      <c r="F2904">
        <v>5801</v>
      </c>
      <c r="G2904" t="s">
        <v>2674</v>
      </c>
      <c r="H2904" t="s">
        <v>2664</v>
      </c>
      <c r="I2904">
        <v>12182</v>
      </c>
      <c r="J2904">
        <v>12532</v>
      </c>
      <c r="K2904">
        <v>12532</v>
      </c>
      <c r="L2904">
        <v>12532</v>
      </c>
      <c r="M2904">
        <v>12532</v>
      </c>
      <c r="N2904" t="s">
        <v>988</v>
      </c>
    </row>
    <row r="2905" spans="1:14" hidden="1" x14ac:dyDescent="0.3">
      <c r="A2905">
        <v>1859</v>
      </c>
      <c r="B2905" t="s">
        <v>1801</v>
      </c>
      <c r="C2905" t="s">
        <v>2670</v>
      </c>
      <c r="D2905" t="s">
        <v>1203</v>
      </c>
      <c r="E2905" t="s">
        <v>1204</v>
      </c>
      <c r="F2905">
        <v>5801</v>
      </c>
      <c r="G2905" t="s">
        <v>2675</v>
      </c>
      <c r="H2905" t="s">
        <v>2665</v>
      </c>
      <c r="I2905">
        <v>3957</v>
      </c>
      <c r="J2905">
        <v>4356</v>
      </c>
      <c r="K2905">
        <v>4914</v>
      </c>
      <c r="L2905">
        <v>5109</v>
      </c>
      <c r="M2905">
        <v>5084</v>
      </c>
      <c r="N2905" t="s">
        <v>988</v>
      </c>
    </row>
    <row r="2906" spans="1:14" hidden="1" x14ac:dyDescent="0.3">
      <c r="A2906">
        <v>1866</v>
      </c>
      <c r="B2906" t="s">
        <v>1805</v>
      </c>
      <c r="C2906" t="s">
        <v>2670</v>
      </c>
      <c r="D2906" t="s">
        <v>1203</v>
      </c>
      <c r="E2906" t="s">
        <v>1204</v>
      </c>
      <c r="F2906">
        <v>5596</v>
      </c>
      <c r="G2906" t="s">
        <v>2676</v>
      </c>
      <c r="H2906" t="s">
        <v>2664</v>
      </c>
      <c r="I2906">
        <v>7955</v>
      </c>
      <c r="J2906">
        <v>7981</v>
      </c>
      <c r="K2906">
        <v>7981</v>
      </c>
      <c r="L2906">
        <v>7981</v>
      </c>
      <c r="N2906" t="s">
        <v>988</v>
      </c>
    </row>
    <row r="2907" spans="1:14" hidden="1" x14ac:dyDescent="0.3">
      <c r="A2907">
        <v>1866</v>
      </c>
      <c r="B2907" t="s">
        <v>1805</v>
      </c>
      <c r="C2907" t="s">
        <v>2670</v>
      </c>
      <c r="D2907" t="s">
        <v>1203</v>
      </c>
      <c r="E2907" t="s">
        <v>1204</v>
      </c>
      <c r="F2907">
        <v>5596</v>
      </c>
      <c r="G2907" t="s">
        <v>2676</v>
      </c>
      <c r="H2907" t="s">
        <v>2665</v>
      </c>
      <c r="I2907">
        <v>5967</v>
      </c>
      <c r="J2907">
        <v>6086</v>
      </c>
      <c r="K2907">
        <v>6206</v>
      </c>
      <c r="L2907">
        <v>6333</v>
      </c>
      <c r="N2907" t="s">
        <v>988</v>
      </c>
    </row>
    <row r="2908" spans="1:14" hidden="1" x14ac:dyDescent="0.3">
      <c r="A2908">
        <v>1866</v>
      </c>
      <c r="B2908" t="s">
        <v>1805</v>
      </c>
      <c r="C2908" t="s">
        <v>2670</v>
      </c>
      <c r="D2908" t="s">
        <v>1203</v>
      </c>
      <c r="E2908" t="s">
        <v>1204</v>
      </c>
      <c r="F2908">
        <v>5596</v>
      </c>
      <c r="G2908" t="s">
        <v>2675</v>
      </c>
      <c r="H2908" t="s">
        <v>2664</v>
      </c>
      <c r="I2908">
        <v>7718</v>
      </c>
      <c r="J2908">
        <v>7493</v>
      </c>
      <c r="K2908">
        <v>7493</v>
      </c>
      <c r="L2908">
        <v>7493</v>
      </c>
      <c r="N2908" t="s">
        <v>988</v>
      </c>
    </row>
    <row r="2909" spans="1:14" hidden="1" x14ac:dyDescent="0.3">
      <c r="A2909">
        <v>1866</v>
      </c>
      <c r="B2909" t="s">
        <v>1805</v>
      </c>
      <c r="C2909" t="s">
        <v>2670</v>
      </c>
      <c r="D2909" t="s">
        <v>1203</v>
      </c>
      <c r="E2909" t="s">
        <v>1204</v>
      </c>
      <c r="F2909">
        <v>5596</v>
      </c>
      <c r="G2909" t="s">
        <v>2675</v>
      </c>
      <c r="H2909" t="s">
        <v>2665</v>
      </c>
      <c r="I2909">
        <v>6325</v>
      </c>
      <c r="J2909">
        <v>6452</v>
      </c>
      <c r="K2909">
        <v>6578</v>
      </c>
      <c r="L2909">
        <v>6713</v>
      </c>
      <c r="N2909" t="s">
        <v>988</v>
      </c>
    </row>
    <row r="2910" spans="1:14" hidden="1" x14ac:dyDescent="0.3">
      <c r="A2910">
        <v>1866</v>
      </c>
      <c r="B2910" t="s">
        <v>1805</v>
      </c>
      <c r="C2910" t="s">
        <v>2670</v>
      </c>
      <c r="D2910" t="s">
        <v>1203</v>
      </c>
      <c r="E2910" t="s">
        <v>1204</v>
      </c>
      <c r="F2910">
        <v>5596</v>
      </c>
      <c r="G2910" t="s">
        <v>2674</v>
      </c>
      <c r="H2910" t="s">
        <v>2664</v>
      </c>
      <c r="I2910">
        <v>7791</v>
      </c>
      <c r="J2910">
        <v>7823</v>
      </c>
      <c r="K2910">
        <v>7823</v>
      </c>
      <c r="L2910">
        <v>7823</v>
      </c>
      <c r="N2910" t="s">
        <v>988</v>
      </c>
    </row>
    <row r="2911" spans="1:14" hidden="1" x14ac:dyDescent="0.3">
      <c r="A2911">
        <v>1866</v>
      </c>
      <c r="B2911" t="s">
        <v>1805</v>
      </c>
      <c r="C2911" t="s">
        <v>2670</v>
      </c>
      <c r="D2911" t="s">
        <v>1203</v>
      </c>
      <c r="E2911" t="s">
        <v>1204</v>
      </c>
      <c r="F2911">
        <v>5596</v>
      </c>
      <c r="G2911" t="s">
        <v>2672</v>
      </c>
      <c r="H2911" t="s">
        <v>2665</v>
      </c>
      <c r="N2911" t="s">
        <v>988</v>
      </c>
    </row>
    <row r="2912" spans="1:14" hidden="1" x14ac:dyDescent="0.3">
      <c r="A2912">
        <v>1866</v>
      </c>
      <c r="B2912" t="s">
        <v>1805</v>
      </c>
      <c r="C2912" t="s">
        <v>2670</v>
      </c>
      <c r="D2912" t="s">
        <v>1203</v>
      </c>
      <c r="E2912" t="s">
        <v>1204</v>
      </c>
      <c r="F2912">
        <v>5596</v>
      </c>
      <c r="G2912" t="s">
        <v>2673</v>
      </c>
      <c r="H2912" t="s">
        <v>2664</v>
      </c>
      <c r="I2912">
        <v>7791</v>
      </c>
      <c r="J2912">
        <v>7823</v>
      </c>
      <c r="K2912">
        <v>7823</v>
      </c>
      <c r="L2912">
        <v>7823</v>
      </c>
      <c r="N2912" t="s">
        <v>988</v>
      </c>
    </row>
    <row r="2913" spans="1:14" hidden="1" x14ac:dyDescent="0.3">
      <c r="A2913">
        <v>1866</v>
      </c>
      <c r="B2913" t="s">
        <v>1805</v>
      </c>
      <c r="C2913" t="s">
        <v>2670</v>
      </c>
      <c r="D2913" t="s">
        <v>1203</v>
      </c>
      <c r="E2913" t="s">
        <v>1204</v>
      </c>
      <c r="F2913">
        <v>5596</v>
      </c>
      <c r="G2913" t="s">
        <v>2673</v>
      </c>
      <c r="H2913" t="s">
        <v>2665</v>
      </c>
      <c r="I2913">
        <v>7107</v>
      </c>
      <c r="J2913">
        <v>7249</v>
      </c>
      <c r="K2913">
        <v>7391</v>
      </c>
      <c r="L2913">
        <v>7543</v>
      </c>
      <c r="N2913" t="s">
        <v>988</v>
      </c>
    </row>
    <row r="2914" spans="1:14" hidden="1" x14ac:dyDescent="0.3">
      <c r="A2914">
        <v>1866</v>
      </c>
      <c r="B2914" t="s">
        <v>1805</v>
      </c>
      <c r="C2914" t="s">
        <v>2670</v>
      </c>
      <c r="D2914" t="s">
        <v>1203</v>
      </c>
      <c r="E2914" t="s">
        <v>1204</v>
      </c>
      <c r="F2914">
        <v>5596</v>
      </c>
      <c r="G2914" t="s">
        <v>2671</v>
      </c>
      <c r="H2914" t="s">
        <v>2664</v>
      </c>
      <c r="I2914">
        <v>7791</v>
      </c>
      <c r="J2914">
        <v>7823</v>
      </c>
      <c r="K2914">
        <v>7823</v>
      </c>
      <c r="L2914">
        <v>7823</v>
      </c>
      <c r="N2914" t="s">
        <v>988</v>
      </c>
    </row>
    <row r="2915" spans="1:14" hidden="1" x14ac:dyDescent="0.3">
      <c r="A2915">
        <v>1866</v>
      </c>
      <c r="B2915" t="s">
        <v>1805</v>
      </c>
      <c r="C2915" t="s">
        <v>2670</v>
      </c>
      <c r="D2915" t="s">
        <v>1203</v>
      </c>
      <c r="E2915" t="s">
        <v>1204</v>
      </c>
      <c r="F2915">
        <v>5596</v>
      </c>
      <c r="G2915" t="s">
        <v>2671</v>
      </c>
      <c r="H2915" t="s">
        <v>2665</v>
      </c>
      <c r="I2915">
        <v>7533</v>
      </c>
      <c r="J2915">
        <v>7683</v>
      </c>
      <c r="K2915">
        <v>7835</v>
      </c>
      <c r="L2915">
        <v>7995</v>
      </c>
      <c r="N2915" t="s">
        <v>988</v>
      </c>
    </row>
    <row r="2916" spans="1:14" hidden="1" x14ac:dyDescent="0.3">
      <c r="A2916">
        <v>1866</v>
      </c>
      <c r="B2916" t="s">
        <v>1805</v>
      </c>
      <c r="C2916" t="s">
        <v>2670</v>
      </c>
      <c r="D2916" t="s">
        <v>1203</v>
      </c>
      <c r="E2916" t="s">
        <v>1204</v>
      </c>
      <c r="F2916">
        <v>5596</v>
      </c>
      <c r="G2916" t="s">
        <v>2672</v>
      </c>
      <c r="H2916" t="s">
        <v>2664</v>
      </c>
      <c r="N2916" t="s">
        <v>988</v>
      </c>
    </row>
    <row r="2917" spans="1:14" hidden="1" x14ac:dyDescent="0.3">
      <c r="A2917">
        <v>1866</v>
      </c>
      <c r="B2917" t="s">
        <v>1805</v>
      </c>
      <c r="C2917" t="s">
        <v>2670</v>
      </c>
      <c r="D2917" t="s">
        <v>1203</v>
      </c>
      <c r="E2917" t="s">
        <v>1204</v>
      </c>
      <c r="F2917">
        <v>5596</v>
      </c>
      <c r="G2917" t="s">
        <v>2674</v>
      </c>
      <c r="H2917" t="s">
        <v>2665</v>
      </c>
      <c r="I2917">
        <v>6705</v>
      </c>
      <c r="J2917">
        <v>6838</v>
      </c>
      <c r="K2917">
        <v>6973</v>
      </c>
      <c r="L2917">
        <v>7116</v>
      </c>
      <c r="N2917" t="s">
        <v>988</v>
      </c>
    </row>
    <row r="2918" spans="1:14" hidden="1" x14ac:dyDescent="0.3">
      <c r="A2918">
        <v>1873</v>
      </c>
      <c r="B2918" t="s">
        <v>1806</v>
      </c>
      <c r="C2918" t="s">
        <v>2670</v>
      </c>
      <c r="D2918" t="s">
        <v>159</v>
      </c>
      <c r="E2918" t="s">
        <v>159</v>
      </c>
      <c r="F2918">
        <v>7209</v>
      </c>
      <c r="G2918" t="s">
        <v>2676</v>
      </c>
      <c r="H2918" t="s">
        <v>2664</v>
      </c>
      <c r="I2918">
        <v>31533</v>
      </c>
      <c r="J2918">
        <v>31943</v>
      </c>
      <c r="K2918">
        <v>32047</v>
      </c>
      <c r="L2918">
        <v>32130</v>
      </c>
      <c r="N2918" t="s">
        <v>988</v>
      </c>
    </row>
    <row r="2919" spans="1:14" hidden="1" x14ac:dyDescent="0.3">
      <c r="A2919">
        <v>1873</v>
      </c>
      <c r="B2919" t="s">
        <v>1806</v>
      </c>
      <c r="C2919" t="s">
        <v>2670</v>
      </c>
      <c r="D2919" t="s">
        <v>159</v>
      </c>
      <c r="E2919" t="s">
        <v>159</v>
      </c>
      <c r="F2919">
        <v>7209</v>
      </c>
      <c r="G2919" t="s">
        <v>2676</v>
      </c>
      <c r="H2919" t="s">
        <v>2665</v>
      </c>
      <c r="I2919">
        <v>26750</v>
      </c>
      <c r="J2919">
        <v>25000</v>
      </c>
      <c r="K2919">
        <v>25320</v>
      </c>
      <c r="L2919">
        <v>25630</v>
      </c>
      <c r="N2919" t="s">
        <v>988</v>
      </c>
    </row>
    <row r="2920" spans="1:14" hidden="1" x14ac:dyDescent="0.3">
      <c r="A2920">
        <v>1873</v>
      </c>
      <c r="B2920" t="s">
        <v>1806</v>
      </c>
      <c r="C2920" t="s">
        <v>2670</v>
      </c>
      <c r="D2920" t="s">
        <v>159</v>
      </c>
      <c r="E2920" t="s">
        <v>159</v>
      </c>
      <c r="F2920">
        <v>7209</v>
      </c>
      <c r="G2920" t="s">
        <v>2675</v>
      </c>
      <c r="H2920" t="s">
        <v>2664</v>
      </c>
      <c r="I2920">
        <v>31533</v>
      </c>
      <c r="J2920">
        <v>31943</v>
      </c>
      <c r="K2920">
        <v>32047</v>
      </c>
      <c r="L2920">
        <v>32130</v>
      </c>
      <c r="N2920" t="s">
        <v>988</v>
      </c>
    </row>
    <row r="2921" spans="1:14" hidden="1" x14ac:dyDescent="0.3">
      <c r="A2921">
        <v>1873</v>
      </c>
      <c r="B2921" t="s">
        <v>1806</v>
      </c>
      <c r="C2921" t="s">
        <v>2670</v>
      </c>
      <c r="D2921" t="s">
        <v>159</v>
      </c>
      <c r="E2921" t="s">
        <v>159</v>
      </c>
      <c r="F2921">
        <v>7209</v>
      </c>
      <c r="G2921" t="s">
        <v>2675</v>
      </c>
      <c r="H2921" t="s">
        <v>2665</v>
      </c>
      <c r="I2921">
        <v>26750</v>
      </c>
      <c r="J2921">
        <v>25000</v>
      </c>
      <c r="K2921">
        <v>25320</v>
      </c>
      <c r="L2921">
        <v>25630</v>
      </c>
      <c r="N2921" t="s">
        <v>988</v>
      </c>
    </row>
    <row r="2922" spans="1:14" hidden="1" x14ac:dyDescent="0.3">
      <c r="A2922">
        <v>1873</v>
      </c>
      <c r="B2922" t="s">
        <v>1806</v>
      </c>
      <c r="C2922" t="s">
        <v>2670</v>
      </c>
      <c r="D2922" t="s">
        <v>159</v>
      </c>
      <c r="E2922" t="s">
        <v>159</v>
      </c>
      <c r="F2922">
        <v>7209</v>
      </c>
      <c r="G2922" t="s">
        <v>2674</v>
      </c>
      <c r="H2922" t="s">
        <v>2664</v>
      </c>
      <c r="I2922">
        <v>31533</v>
      </c>
      <c r="J2922">
        <v>31943</v>
      </c>
      <c r="K2922">
        <v>32047</v>
      </c>
      <c r="L2922">
        <v>32130</v>
      </c>
      <c r="N2922" t="s">
        <v>988</v>
      </c>
    </row>
    <row r="2923" spans="1:14" hidden="1" x14ac:dyDescent="0.3">
      <c r="A2923">
        <v>1873</v>
      </c>
      <c r="B2923" t="s">
        <v>1806</v>
      </c>
      <c r="C2923" t="s">
        <v>2670</v>
      </c>
      <c r="D2923" t="s">
        <v>159</v>
      </c>
      <c r="E2923" t="s">
        <v>159</v>
      </c>
      <c r="F2923">
        <v>7209</v>
      </c>
      <c r="G2923" t="s">
        <v>2674</v>
      </c>
      <c r="H2923" t="s">
        <v>2665</v>
      </c>
      <c r="I2923">
        <v>26750</v>
      </c>
      <c r="J2923">
        <v>25000</v>
      </c>
      <c r="K2923">
        <v>25320</v>
      </c>
      <c r="L2923">
        <v>25630</v>
      </c>
      <c r="N2923" t="s">
        <v>988</v>
      </c>
    </row>
    <row r="2924" spans="1:14" hidden="1" x14ac:dyDescent="0.3">
      <c r="A2924">
        <v>1873</v>
      </c>
      <c r="B2924" t="s">
        <v>1806</v>
      </c>
      <c r="C2924" t="s">
        <v>2670</v>
      </c>
      <c r="D2924" t="s">
        <v>159</v>
      </c>
      <c r="E2924" t="s">
        <v>159</v>
      </c>
      <c r="F2924">
        <v>7209</v>
      </c>
      <c r="G2924" t="s">
        <v>2673</v>
      </c>
      <c r="H2924" t="s">
        <v>2664</v>
      </c>
      <c r="I2924">
        <v>31533</v>
      </c>
      <c r="J2924">
        <v>31943</v>
      </c>
      <c r="K2924">
        <v>32047</v>
      </c>
      <c r="L2924">
        <v>32130</v>
      </c>
      <c r="N2924" t="s">
        <v>988</v>
      </c>
    </row>
    <row r="2925" spans="1:14" hidden="1" x14ac:dyDescent="0.3">
      <c r="A2925">
        <v>1873</v>
      </c>
      <c r="B2925" t="s">
        <v>1806</v>
      </c>
      <c r="C2925" t="s">
        <v>2670</v>
      </c>
      <c r="D2925" t="s">
        <v>159</v>
      </c>
      <c r="E2925" t="s">
        <v>159</v>
      </c>
      <c r="F2925">
        <v>7209</v>
      </c>
      <c r="G2925" t="s">
        <v>2673</v>
      </c>
      <c r="H2925" t="s">
        <v>2665</v>
      </c>
      <c r="I2925">
        <v>26750</v>
      </c>
      <c r="J2925">
        <v>25000</v>
      </c>
      <c r="K2925">
        <v>25320</v>
      </c>
      <c r="L2925">
        <v>25630</v>
      </c>
      <c r="N2925" t="s">
        <v>988</v>
      </c>
    </row>
    <row r="2926" spans="1:14" hidden="1" x14ac:dyDescent="0.3">
      <c r="A2926">
        <v>1873</v>
      </c>
      <c r="B2926" t="s">
        <v>1806</v>
      </c>
      <c r="C2926" t="s">
        <v>2670</v>
      </c>
      <c r="D2926" t="s">
        <v>159</v>
      </c>
      <c r="E2926" t="s">
        <v>159</v>
      </c>
      <c r="F2926">
        <v>7209</v>
      </c>
      <c r="G2926" t="s">
        <v>2671</v>
      </c>
      <c r="H2926" t="s">
        <v>2664</v>
      </c>
      <c r="I2926">
        <v>31533</v>
      </c>
      <c r="J2926">
        <v>31943</v>
      </c>
      <c r="K2926">
        <v>32047</v>
      </c>
      <c r="L2926">
        <v>32130</v>
      </c>
      <c r="N2926" t="s">
        <v>988</v>
      </c>
    </row>
    <row r="2927" spans="1:14" hidden="1" x14ac:dyDescent="0.3">
      <c r="A2927">
        <v>1873</v>
      </c>
      <c r="B2927" t="s">
        <v>1806</v>
      </c>
      <c r="C2927" t="s">
        <v>2670</v>
      </c>
      <c r="D2927" t="s">
        <v>159</v>
      </c>
      <c r="E2927" t="s">
        <v>159</v>
      </c>
      <c r="F2927">
        <v>7209</v>
      </c>
      <c r="G2927" t="s">
        <v>2671</v>
      </c>
      <c r="H2927" t="s">
        <v>2665</v>
      </c>
      <c r="I2927">
        <v>26750</v>
      </c>
      <c r="J2927">
        <v>25000</v>
      </c>
      <c r="K2927">
        <v>25320</v>
      </c>
      <c r="L2927">
        <v>25630</v>
      </c>
      <c r="N2927" t="s">
        <v>988</v>
      </c>
    </row>
    <row r="2928" spans="1:14" hidden="1" x14ac:dyDescent="0.3">
      <c r="A2928">
        <v>1873</v>
      </c>
      <c r="B2928" t="s">
        <v>1806</v>
      </c>
      <c r="C2928" t="s">
        <v>2670</v>
      </c>
      <c r="D2928" t="s">
        <v>159</v>
      </c>
      <c r="E2928" t="s">
        <v>159</v>
      </c>
      <c r="F2928">
        <v>7209</v>
      </c>
      <c r="G2928" t="s">
        <v>2672</v>
      </c>
      <c r="H2928" t="s">
        <v>2665</v>
      </c>
      <c r="N2928" t="s">
        <v>988</v>
      </c>
    </row>
    <row r="2929" spans="1:14" hidden="1" x14ac:dyDescent="0.3">
      <c r="A2929">
        <v>1873</v>
      </c>
      <c r="B2929" t="s">
        <v>1806</v>
      </c>
      <c r="C2929" t="s">
        <v>2670</v>
      </c>
      <c r="D2929" t="s">
        <v>159</v>
      </c>
      <c r="E2929" t="s">
        <v>159</v>
      </c>
      <c r="F2929">
        <v>7209</v>
      </c>
      <c r="G2929" t="s">
        <v>2672</v>
      </c>
      <c r="H2929" t="s">
        <v>2664</v>
      </c>
      <c r="N2929" t="s">
        <v>988</v>
      </c>
    </row>
    <row r="2930" spans="1:14" hidden="1" x14ac:dyDescent="0.3">
      <c r="A2930">
        <v>1875</v>
      </c>
      <c r="B2930" t="s">
        <v>1811</v>
      </c>
      <c r="C2930" t="s">
        <v>2670</v>
      </c>
      <c r="D2930" t="s">
        <v>1203</v>
      </c>
      <c r="E2930" t="s">
        <v>1204</v>
      </c>
      <c r="F2930">
        <v>5876</v>
      </c>
      <c r="G2930" t="s">
        <v>2676</v>
      </c>
      <c r="H2930" t="s">
        <v>2664</v>
      </c>
      <c r="I2930">
        <v>6515</v>
      </c>
      <c r="J2930">
        <v>7102</v>
      </c>
      <c r="K2930">
        <v>7689</v>
      </c>
      <c r="L2930">
        <v>8277</v>
      </c>
      <c r="M2930">
        <v>8863</v>
      </c>
      <c r="N2930" t="s">
        <v>988</v>
      </c>
    </row>
    <row r="2931" spans="1:14" hidden="1" x14ac:dyDescent="0.3">
      <c r="A2931">
        <v>1875</v>
      </c>
      <c r="B2931" t="s">
        <v>1811</v>
      </c>
      <c r="C2931" t="s">
        <v>2670</v>
      </c>
      <c r="D2931" t="s">
        <v>1203</v>
      </c>
      <c r="E2931" t="s">
        <v>1204</v>
      </c>
      <c r="F2931">
        <v>5876</v>
      </c>
      <c r="G2931" t="s">
        <v>2672</v>
      </c>
      <c r="H2931" t="s">
        <v>2665</v>
      </c>
      <c r="I2931">
        <v>6515</v>
      </c>
      <c r="J2931">
        <v>7102</v>
      </c>
      <c r="K2931">
        <v>7689</v>
      </c>
      <c r="L2931">
        <v>8277</v>
      </c>
      <c r="M2931">
        <v>8863</v>
      </c>
      <c r="N2931" t="s">
        <v>988</v>
      </c>
    </row>
    <row r="2932" spans="1:14" hidden="1" x14ac:dyDescent="0.3">
      <c r="A2932">
        <v>1875</v>
      </c>
      <c r="B2932" t="s">
        <v>1811</v>
      </c>
      <c r="C2932" t="s">
        <v>2670</v>
      </c>
      <c r="D2932" t="s">
        <v>1203</v>
      </c>
      <c r="E2932" t="s">
        <v>1204</v>
      </c>
      <c r="F2932">
        <v>5876</v>
      </c>
      <c r="G2932" t="s">
        <v>2672</v>
      </c>
      <c r="H2932" t="s">
        <v>2664</v>
      </c>
      <c r="I2932">
        <v>6515</v>
      </c>
      <c r="J2932">
        <v>7102</v>
      </c>
      <c r="K2932">
        <v>7689</v>
      </c>
      <c r="L2932">
        <v>8277</v>
      </c>
      <c r="M2932">
        <v>8863</v>
      </c>
      <c r="N2932" t="s">
        <v>988</v>
      </c>
    </row>
    <row r="2933" spans="1:14" hidden="1" x14ac:dyDescent="0.3">
      <c r="A2933">
        <v>1875</v>
      </c>
      <c r="B2933" t="s">
        <v>1811</v>
      </c>
      <c r="C2933" t="s">
        <v>2670</v>
      </c>
      <c r="D2933" t="s">
        <v>1203</v>
      </c>
      <c r="E2933" t="s">
        <v>1204</v>
      </c>
      <c r="F2933">
        <v>5876</v>
      </c>
      <c r="G2933" t="s">
        <v>2671</v>
      </c>
      <c r="H2933" t="s">
        <v>2665</v>
      </c>
      <c r="I2933">
        <v>6515</v>
      </c>
      <c r="J2933">
        <v>7102</v>
      </c>
      <c r="K2933">
        <v>7689</v>
      </c>
      <c r="L2933">
        <v>8277</v>
      </c>
      <c r="M2933">
        <v>8863</v>
      </c>
      <c r="N2933" t="s">
        <v>988</v>
      </c>
    </row>
    <row r="2934" spans="1:14" hidden="1" x14ac:dyDescent="0.3">
      <c r="A2934">
        <v>1875</v>
      </c>
      <c r="B2934" t="s">
        <v>1811</v>
      </c>
      <c r="C2934" t="s">
        <v>2670</v>
      </c>
      <c r="D2934" t="s">
        <v>1203</v>
      </c>
      <c r="E2934" t="s">
        <v>1204</v>
      </c>
      <c r="F2934">
        <v>5876</v>
      </c>
      <c r="G2934" t="s">
        <v>2671</v>
      </c>
      <c r="H2934" t="s">
        <v>2664</v>
      </c>
      <c r="I2934">
        <v>6515</v>
      </c>
      <c r="J2934">
        <v>7102</v>
      </c>
      <c r="K2934">
        <v>7689</v>
      </c>
      <c r="L2934">
        <v>8277</v>
      </c>
      <c r="M2934">
        <v>8863</v>
      </c>
      <c r="N2934" t="s">
        <v>988</v>
      </c>
    </row>
    <row r="2935" spans="1:14" hidden="1" x14ac:dyDescent="0.3">
      <c r="A2935">
        <v>1875</v>
      </c>
      <c r="B2935" t="s">
        <v>1811</v>
      </c>
      <c r="C2935" t="s">
        <v>2670</v>
      </c>
      <c r="D2935" t="s">
        <v>1203</v>
      </c>
      <c r="E2935" t="s">
        <v>1204</v>
      </c>
      <c r="F2935">
        <v>5876</v>
      </c>
      <c r="G2935" t="s">
        <v>2673</v>
      </c>
      <c r="H2935" t="s">
        <v>2665</v>
      </c>
      <c r="I2935">
        <v>6515</v>
      </c>
      <c r="J2935">
        <v>7102</v>
      </c>
      <c r="K2935">
        <v>7689</v>
      </c>
      <c r="L2935">
        <v>8277</v>
      </c>
      <c r="M2935">
        <v>8863</v>
      </c>
      <c r="N2935" t="s">
        <v>988</v>
      </c>
    </row>
    <row r="2936" spans="1:14" hidden="1" x14ac:dyDescent="0.3">
      <c r="A2936">
        <v>1875</v>
      </c>
      <c r="B2936" t="s">
        <v>1811</v>
      </c>
      <c r="C2936" t="s">
        <v>2670</v>
      </c>
      <c r="D2936" t="s">
        <v>1203</v>
      </c>
      <c r="E2936" t="s">
        <v>1204</v>
      </c>
      <c r="F2936">
        <v>5876</v>
      </c>
      <c r="G2936" t="s">
        <v>2673</v>
      </c>
      <c r="H2936" t="s">
        <v>2664</v>
      </c>
      <c r="I2936">
        <v>6515</v>
      </c>
      <c r="J2936">
        <v>7102</v>
      </c>
      <c r="K2936">
        <v>7689</v>
      </c>
      <c r="L2936">
        <v>8277</v>
      </c>
      <c r="M2936">
        <v>8863</v>
      </c>
      <c r="N2936" t="s">
        <v>988</v>
      </c>
    </row>
    <row r="2937" spans="1:14" hidden="1" x14ac:dyDescent="0.3">
      <c r="A2937">
        <v>1875</v>
      </c>
      <c r="B2937" t="s">
        <v>1811</v>
      </c>
      <c r="C2937" t="s">
        <v>2670</v>
      </c>
      <c r="D2937" t="s">
        <v>1203</v>
      </c>
      <c r="E2937" t="s">
        <v>1204</v>
      </c>
      <c r="F2937">
        <v>5876</v>
      </c>
      <c r="G2937" t="s">
        <v>2674</v>
      </c>
      <c r="H2937" t="s">
        <v>2665</v>
      </c>
      <c r="I2937">
        <v>6515</v>
      </c>
      <c r="J2937">
        <v>7102</v>
      </c>
      <c r="K2937">
        <v>7689</v>
      </c>
      <c r="L2937">
        <v>8277</v>
      </c>
      <c r="M2937">
        <v>8863</v>
      </c>
      <c r="N2937" t="s">
        <v>988</v>
      </c>
    </row>
    <row r="2938" spans="1:14" hidden="1" x14ac:dyDescent="0.3">
      <c r="A2938">
        <v>1875</v>
      </c>
      <c r="B2938" t="s">
        <v>1811</v>
      </c>
      <c r="C2938" t="s">
        <v>2670</v>
      </c>
      <c r="D2938" t="s">
        <v>1203</v>
      </c>
      <c r="E2938" t="s">
        <v>1204</v>
      </c>
      <c r="F2938">
        <v>5876</v>
      </c>
      <c r="G2938" t="s">
        <v>2674</v>
      </c>
      <c r="H2938" t="s">
        <v>2664</v>
      </c>
      <c r="I2938">
        <v>6515</v>
      </c>
      <c r="J2938">
        <v>7102</v>
      </c>
      <c r="K2938">
        <v>7689</v>
      </c>
      <c r="L2938">
        <v>8277</v>
      </c>
      <c r="M2938">
        <v>8863</v>
      </c>
      <c r="N2938" t="s">
        <v>988</v>
      </c>
    </row>
    <row r="2939" spans="1:14" hidden="1" x14ac:dyDescent="0.3">
      <c r="A2939">
        <v>1875</v>
      </c>
      <c r="B2939" t="s">
        <v>1811</v>
      </c>
      <c r="C2939" t="s">
        <v>2670</v>
      </c>
      <c r="D2939" t="s">
        <v>1203</v>
      </c>
      <c r="E2939" t="s">
        <v>1204</v>
      </c>
      <c r="F2939">
        <v>5876</v>
      </c>
      <c r="G2939" t="s">
        <v>2675</v>
      </c>
      <c r="H2939" t="s">
        <v>2665</v>
      </c>
      <c r="I2939">
        <v>6515</v>
      </c>
      <c r="J2939">
        <v>7102</v>
      </c>
      <c r="K2939">
        <v>7689</v>
      </c>
      <c r="L2939">
        <v>8277</v>
      </c>
      <c r="M2939">
        <v>8863</v>
      </c>
      <c r="N2939" t="s">
        <v>988</v>
      </c>
    </row>
    <row r="2940" spans="1:14" hidden="1" x14ac:dyDescent="0.3">
      <c r="A2940">
        <v>1875</v>
      </c>
      <c r="B2940" t="s">
        <v>1811</v>
      </c>
      <c r="C2940" t="s">
        <v>2670</v>
      </c>
      <c r="D2940" t="s">
        <v>1203</v>
      </c>
      <c r="E2940" t="s">
        <v>1204</v>
      </c>
      <c r="F2940">
        <v>5876</v>
      </c>
      <c r="G2940" t="s">
        <v>2675</v>
      </c>
      <c r="H2940" t="s">
        <v>2664</v>
      </c>
      <c r="I2940">
        <v>6515</v>
      </c>
      <c r="J2940">
        <v>7102</v>
      </c>
      <c r="K2940">
        <v>7689</v>
      </c>
      <c r="L2940">
        <v>8277</v>
      </c>
      <c r="M2940">
        <v>8863</v>
      </c>
      <c r="N2940" t="s">
        <v>988</v>
      </c>
    </row>
    <row r="2941" spans="1:14" hidden="1" x14ac:dyDescent="0.3">
      <c r="A2941">
        <v>1875</v>
      </c>
      <c r="B2941" t="s">
        <v>1811</v>
      </c>
      <c r="C2941" t="s">
        <v>2670</v>
      </c>
      <c r="D2941" t="s">
        <v>1203</v>
      </c>
      <c r="E2941" t="s">
        <v>1204</v>
      </c>
      <c r="F2941">
        <v>5876</v>
      </c>
      <c r="G2941" t="s">
        <v>2676</v>
      </c>
      <c r="H2941" t="s">
        <v>2665</v>
      </c>
      <c r="I2941">
        <v>6515</v>
      </c>
      <c r="J2941">
        <v>7102</v>
      </c>
      <c r="K2941">
        <v>7689</v>
      </c>
      <c r="L2941">
        <v>8277</v>
      </c>
      <c r="M2941">
        <v>8863</v>
      </c>
      <c r="N2941" t="s">
        <v>988</v>
      </c>
    </row>
    <row r="2942" spans="1:14" hidden="1" x14ac:dyDescent="0.3">
      <c r="A2942">
        <v>1877</v>
      </c>
      <c r="B2942" t="s">
        <v>1812</v>
      </c>
      <c r="C2942" t="s">
        <v>2670</v>
      </c>
      <c r="D2942" t="s">
        <v>1203</v>
      </c>
      <c r="E2942" t="s">
        <v>1204</v>
      </c>
      <c r="F2942">
        <v>5751</v>
      </c>
      <c r="G2942" t="s">
        <v>2676</v>
      </c>
      <c r="H2942" t="s">
        <v>2664</v>
      </c>
      <c r="I2942">
        <v>5582</v>
      </c>
      <c r="J2942">
        <v>5782</v>
      </c>
      <c r="K2942">
        <v>6389</v>
      </c>
      <c r="L2942">
        <v>7396</v>
      </c>
      <c r="M2942">
        <v>8403</v>
      </c>
      <c r="N2942" t="s">
        <v>988</v>
      </c>
    </row>
    <row r="2943" spans="1:14" hidden="1" x14ac:dyDescent="0.3">
      <c r="A2943">
        <v>1877</v>
      </c>
      <c r="B2943" t="s">
        <v>1812</v>
      </c>
      <c r="C2943" t="s">
        <v>2670</v>
      </c>
      <c r="D2943" t="s">
        <v>1203</v>
      </c>
      <c r="E2943" t="s">
        <v>1204</v>
      </c>
      <c r="F2943">
        <v>5751</v>
      </c>
      <c r="G2943" t="s">
        <v>2672</v>
      </c>
      <c r="H2943" t="s">
        <v>2665</v>
      </c>
      <c r="I2943">
        <v>4888</v>
      </c>
      <c r="J2943">
        <v>5687</v>
      </c>
      <c r="K2943">
        <v>6341</v>
      </c>
      <c r="L2943">
        <v>7288</v>
      </c>
      <c r="M2943">
        <v>8323</v>
      </c>
      <c r="N2943" t="s">
        <v>988</v>
      </c>
    </row>
    <row r="2944" spans="1:14" hidden="1" x14ac:dyDescent="0.3">
      <c r="A2944">
        <v>1877</v>
      </c>
      <c r="B2944" t="s">
        <v>1812</v>
      </c>
      <c r="C2944" t="s">
        <v>2670</v>
      </c>
      <c r="D2944" t="s">
        <v>1203</v>
      </c>
      <c r="E2944" t="s">
        <v>1204</v>
      </c>
      <c r="F2944">
        <v>5751</v>
      </c>
      <c r="G2944" t="s">
        <v>2672</v>
      </c>
      <c r="H2944" t="s">
        <v>2664</v>
      </c>
      <c r="I2944">
        <v>5582</v>
      </c>
      <c r="J2944">
        <v>5782</v>
      </c>
      <c r="K2944">
        <v>6389</v>
      </c>
      <c r="L2944">
        <v>7396</v>
      </c>
      <c r="M2944">
        <v>8403</v>
      </c>
      <c r="N2944" t="s">
        <v>988</v>
      </c>
    </row>
    <row r="2945" spans="1:14" hidden="1" x14ac:dyDescent="0.3">
      <c r="A2945">
        <v>1877</v>
      </c>
      <c r="B2945" t="s">
        <v>1812</v>
      </c>
      <c r="C2945" t="s">
        <v>2670</v>
      </c>
      <c r="D2945" t="s">
        <v>1203</v>
      </c>
      <c r="E2945" t="s">
        <v>1204</v>
      </c>
      <c r="F2945">
        <v>5751</v>
      </c>
      <c r="G2945" t="s">
        <v>2671</v>
      </c>
      <c r="H2945" t="s">
        <v>2665</v>
      </c>
      <c r="I2945">
        <v>4888</v>
      </c>
      <c r="J2945">
        <v>5687</v>
      </c>
      <c r="K2945">
        <v>6341</v>
      </c>
      <c r="L2945">
        <v>7288</v>
      </c>
      <c r="M2945">
        <v>8323</v>
      </c>
      <c r="N2945" t="s">
        <v>988</v>
      </c>
    </row>
    <row r="2946" spans="1:14" hidden="1" x14ac:dyDescent="0.3">
      <c r="A2946">
        <v>1877</v>
      </c>
      <c r="B2946" t="s">
        <v>1812</v>
      </c>
      <c r="C2946" t="s">
        <v>2670</v>
      </c>
      <c r="D2946" t="s">
        <v>1203</v>
      </c>
      <c r="E2946" t="s">
        <v>1204</v>
      </c>
      <c r="F2946">
        <v>5751</v>
      </c>
      <c r="G2946" t="s">
        <v>2671</v>
      </c>
      <c r="H2946" t="s">
        <v>2664</v>
      </c>
      <c r="I2946">
        <v>5582</v>
      </c>
      <c r="J2946">
        <v>5782</v>
      </c>
      <c r="K2946">
        <v>6389</v>
      </c>
      <c r="L2946">
        <v>7396</v>
      </c>
      <c r="M2946">
        <v>8403</v>
      </c>
      <c r="N2946" t="s">
        <v>988</v>
      </c>
    </row>
    <row r="2947" spans="1:14" hidden="1" x14ac:dyDescent="0.3">
      <c r="A2947">
        <v>1877</v>
      </c>
      <c r="B2947" t="s">
        <v>1812</v>
      </c>
      <c r="C2947" t="s">
        <v>2670</v>
      </c>
      <c r="D2947" t="s">
        <v>1203</v>
      </c>
      <c r="E2947" t="s">
        <v>1204</v>
      </c>
      <c r="F2947">
        <v>5751</v>
      </c>
      <c r="G2947" t="s">
        <v>2676</v>
      </c>
      <c r="H2947" t="s">
        <v>2665</v>
      </c>
      <c r="I2947">
        <v>4888</v>
      </c>
      <c r="J2947">
        <v>5687</v>
      </c>
      <c r="K2947">
        <v>6341</v>
      </c>
      <c r="L2947">
        <v>7288</v>
      </c>
      <c r="M2947">
        <v>8323</v>
      </c>
      <c r="N2947" t="s">
        <v>988</v>
      </c>
    </row>
    <row r="2948" spans="1:14" hidden="1" x14ac:dyDescent="0.3">
      <c r="A2948">
        <v>1877</v>
      </c>
      <c r="B2948" t="s">
        <v>1812</v>
      </c>
      <c r="C2948" t="s">
        <v>2670</v>
      </c>
      <c r="D2948" t="s">
        <v>1203</v>
      </c>
      <c r="E2948" t="s">
        <v>1204</v>
      </c>
      <c r="F2948">
        <v>5751</v>
      </c>
      <c r="G2948" t="s">
        <v>2673</v>
      </c>
      <c r="H2948" t="s">
        <v>2664</v>
      </c>
      <c r="I2948">
        <v>5582</v>
      </c>
      <c r="J2948">
        <v>5782</v>
      </c>
      <c r="K2948">
        <v>6389</v>
      </c>
      <c r="L2948">
        <v>7396</v>
      </c>
      <c r="M2948">
        <v>8403</v>
      </c>
      <c r="N2948" t="s">
        <v>988</v>
      </c>
    </row>
    <row r="2949" spans="1:14" hidden="1" x14ac:dyDescent="0.3">
      <c r="A2949">
        <v>1877</v>
      </c>
      <c r="B2949" t="s">
        <v>1812</v>
      </c>
      <c r="C2949" t="s">
        <v>2670</v>
      </c>
      <c r="D2949" t="s">
        <v>1203</v>
      </c>
      <c r="E2949" t="s">
        <v>1204</v>
      </c>
      <c r="F2949">
        <v>5751</v>
      </c>
      <c r="G2949" t="s">
        <v>2674</v>
      </c>
      <c r="H2949" t="s">
        <v>2665</v>
      </c>
      <c r="I2949">
        <v>4888</v>
      </c>
      <c r="J2949">
        <v>5687</v>
      </c>
      <c r="K2949">
        <v>6341</v>
      </c>
      <c r="L2949">
        <v>7288</v>
      </c>
      <c r="M2949">
        <v>8323</v>
      </c>
      <c r="N2949" t="s">
        <v>988</v>
      </c>
    </row>
    <row r="2950" spans="1:14" hidden="1" x14ac:dyDescent="0.3">
      <c r="A2950">
        <v>1877</v>
      </c>
      <c r="B2950" t="s">
        <v>1812</v>
      </c>
      <c r="C2950" t="s">
        <v>2670</v>
      </c>
      <c r="D2950" t="s">
        <v>1203</v>
      </c>
      <c r="E2950" t="s">
        <v>1204</v>
      </c>
      <c r="F2950">
        <v>5751</v>
      </c>
      <c r="G2950" t="s">
        <v>2674</v>
      </c>
      <c r="H2950" t="s">
        <v>2664</v>
      </c>
      <c r="I2950">
        <v>5582</v>
      </c>
      <c r="J2950">
        <v>5782</v>
      </c>
      <c r="K2950">
        <v>6389</v>
      </c>
      <c r="L2950">
        <v>7396</v>
      </c>
      <c r="M2950">
        <v>8403</v>
      </c>
      <c r="N2950" t="s">
        <v>988</v>
      </c>
    </row>
    <row r="2951" spans="1:14" hidden="1" x14ac:dyDescent="0.3">
      <c r="A2951">
        <v>1877</v>
      </c>
      <c r="B2951" t="s">
        <v>1812</v>
      </c>
      <c r="C2951" t="s">
        <v>2670</v>
      </c>
      <c r="D2951" t="s">
        <v>1203</v>
      </c>
      <c r="E2951" t="s">
        <v>1204</v>
      </c>
      <c r="F2951">
        <v>5751</v>
      </c>
      <c r="G2951" t="s">
        <v>2675</v>
      </c>
      <c r="H2951" t="s">
        <v>2665</v>
      </c>
      <c r="I2951">
        <v>4888</v>
      </c>
      <c r="J2951">
        <v>5687</v>
      </c>
      <c r="K2951">
        <v>6341</v>
      </c>
      <c r="L2951">
        <v>7288</v>
      </c>
      <c r="M2951">
        <v>8323</v>
      </c>
      <c r="N2951" t="s">
        <v>988</v>
      </c>
    </row>
    <row r="2952" spans="1:14" hidden="1" x14ac:dyDescent="0.3">
      <c r="A2952">
        <v>1877</v>
      </c>
      <c r="B2952" t="s">
        <v>1812</v>
      </c>
      <c r="C2952" t="s">
        <v>2670</v>
      </c>
      <c r="D2952" t="s">
        <v>1203</v>
      </c>
      <c r="E2952" t="s">
        <v>1204</v>
      </c>
      <c r="F2952">
        <v>5751</v>
      </c>
      <c r="G2952" t="s">
        <v>2675</v>
      </c>
      <c r="H2952" t="s">
        <v>2664</v>
      </c>
      <c r="I2952">
        <v>5582</v>
      </c>
      <c r="J2952">
        <v>5782</v>
      </c>
      <c r="K2952">
        <v>6389</v>
      </c>
      <c r="L2952">
        <v>7396</v>
      </c>
      <c r="M2952">
        <v>8403</v>
      </c>
      <c r="N2952" t="s">
        <v>988</v>
      </c>
    </row>
    <row r="2953" spans="1:14" hidden="1" x14ac:dyDescent="0.3">
      <c r="A2953">
        <v>1877</v>
      </c>
      <c r="B2953" t="s">
        <v>1812</v>
      </c>
      <c r="C2953" t="s">
        <v>2670</v>
      </c>
      <c r="D2953" t="s">
        <v>1203</v>
      </c>
      <c r="E2953" t="s">
        <v>1204</v>
      </c>
      <c r="F2953">
        <v>5751</v>
      </c>
      <c r="G2953" t="s">
        <v>2673</v>
      </c>
      <c r="H2953" t="s">
        <v>2665</v>
      </c>
      <c r="I2953">
        <v>4888</v>
      </c>
      <c r="J2953">
        <v>5687</v>
      </c>
      <c r="K2953">
        <v>6341</v>
      </c>
      <c r="L2953">
        <v>7288</v>
      </c>
      <c r="M2953">
        <v>8323</v>
      </c>
      <c r="N2953" t="s">
        <v>988</v>
      </c>
    </row>
    <row r="2954" spans="1:14" hidden="1" x14ac:dyDescent="0.3">
      <c r="A2954">
        <v>1894</v>
      </c>
      <c r="B2954" t="s">
        <v>1814</v>
      </c>
      <c r="C2954" t="s">
        <v>2670</v>
      </c>
      <c r="D2954" t="s">
        <v>1203</v>
      </c>
      <c r="E2954" t="s">
        <v>1204</v>
      </c>
      <c r="F2954">
        <v>5679</v>
      </c>
      <c r="G2954" t="s">
        <v>2672</v>
      </c>
      <c r="H2954" t="s">
        <v>2665</v>
      </c>
      <c r="I2954">
        <v>10705</v>
      </c>
      <c r="J2954">
        <v>11410</v>
      </c>
      <c r="K2954">
        <v>11514</v>
      </c>
      <c r="L2954">
        <v>11795</v>
      </c>
      <c r="M2954">
        <v>12117</v>
      </c>
      <c r="N2954" t="s">
        <v>988</v>
      </c>
    </row>
    <row r="2955" spans="1:14" hidden="1" x14ac:dyDescent="0.3">
      <c r="A2955">
        <v>1894</v>
      </c>
      <c r="B2955" t="s">
        <v>1814</v>
      </c>
      <c r="C2955" t="s">
        <v>2670</v>
      </c>
      <c r="D2955" t="s">
        <v>1203</v>
      </c>
      <c r="E2955" t="s">
        <v>1204</v>
      </c>
      <c r="F2955">
        <v>5679</v>
      </c>
      <c r="G2955" t="s">
        <v>2672</v>
      </c>
      <c r="H2955" t="s">
        <v>2664</v>
      </c>
      <c r="I2955">
        <v>10705</v>
      </c>
      <c r="J2955">
        <v>11410</v>
      </c>
      <c r="K2955">
        <v>11514</v>
      </c>
      <c r="L2955">
        <v>11795</v>
      </c>
      <c r="M2955">
        <v>12117</v>
      </c>
      <c r="N2955" t="s">
        <v>988</v>
      </c>
    </row>
    <row r="2956" spans="1:14" hidden="1" x14ac:dyDescent="0.3">
      <c r="A2956">
        <v>1894</v>
      </c>
      <c r="B2956" t="s">
        <v>1814</v>
      </c>
      <c r="C2956" t="s">
        <v>2670</v>
      </c>
      <c r="D2956" t="s">
        <v>1203</v>
      </c>
      <c r="E2956" t="s">
        <v>1204</v>
      </c>
      <c r="F2956">
        <v>5679</v>
      </c>
      <c r="G2956" t="s">
        <v>2671</v>
      </c>
      <c r="H2956" t="s">
        <v>2665</v>
      </c>
      <c r="I2956">
        <v>10705</v>
      </c>
      <c r="J2956">
        <v>11410</v>
      </c>
      <c r="K2956">
        <v>11514</v>
      </c>
      <c r="L2956">
        <v>11795</v>
      </c>
      <c r="M2956">
        <v>12117</v>
      </c>
      <c r="N2956" t="s">
        <v>988</v>
      </c>
    </row>
    <row r="2957" spans="1:14" hidden="1" x14ac:dyDescent="0.3">
      <c r="A2957">
        <v>1894</v>
      </c>
      <c r="B2957" t="s">
        <v>1814</v>
      </c>
      <c r="C2957" t="s">
        <v>2670</v>
      </c>
      <c r="D2957" t="s">
        <v>1203</v>
      </c>
      <c r="E2957" t="s">
        <v>1204</v>
      </c>
      <c r="F2957">
        <v>5679</v>
      </c>
      <c r="G2957" t="s">
        <v>2671</v>
      </c>
      <c r="H2957" t="s">
        <v>2664</v>
      </c>
      <c r="I2957">
        <v>10705</v>
      </c>
      <c r="J2957">
        <v>11410</v>
      </c>
      <c r="K2957">
        <v>11514</v>
      </c>
      <c r="L2957">
        <v>11795</v>
      </c>
      <c r="M2957">
        <v>12117</v>
      </c>
      <c r="N2957" t="s">
        <v>988</v>
      </c>
    </row>
    <row r="2958" spans="1:14" hidden="1" x14ac:dyDescent="0.3">
      <c r="A2958">
        <v>1894</v>
      </c>
      <c r="B2958" t="s">
        <v>1814</v>
      </c>
      <c r="C2958" t="s">
        <v>2670</v>
      </c>
      <c r="D2958" t="s">
        <v>1203</v>
      </c>
      <c r="E2958" t="s">
        <v>1204</v>
      </c>
      <c r="F2958">
        <v>5679</v>
      </c>
      <c r="G2958" t="s">
        <v>2673</v>
      </c>
      <c r="H2958" t="s">
        <v>2665</v>
      </c>
      <c r="I2958">
        <v>10705</v>
      </c>
      <c r="J2958">
        <v>11410</v>
      </c>
      <c r="K2958">
        <v>11514</v>
      </c>
      <c r="L2958">
        <v>11795</v>
      </c>
      <c r="M2958">
        <v>12117</v>
      </c>
      <c r="N2958" t="s">
        <v>988</v>
      </c>
    </row>
    <row r="2959" spans="1:14" hidden="1" x14ac:dyDescent="0.3">
      <c r="A2959">
        <v>1894</v>
      </c>
      <c r="B2959" t="s">
        <v>1814</v>
      </c>
      <c r="C2959" t="s">
        <v>2670</v>
      </c>
      <c r="D2959" t="s">
        <v>1203</v>
      </c>
      <c r="E2959" t="s">
        <v>1204</v>
      </c>
      <c r="F2959">
        <v>5679</v>
      </c>
      <c r="G2959" t="s">
        <v>2676</v>
      </c>
      <c r="H2959" t="s">
        <v>2664</v>
      </c>
      <c r="I2959">
        <v>10705</v>
      </c>
      <c r="J2959">
        <v>11410</v>
      </c>
      <c r="K2959">
        <v>11514</v>
      </c>
      <c r="L2959">
        <v>11795</v>
      </c>
      <c r="M2959">
        <v>12117</v>
      </c>
      <c r="N2959" t="s">
        <v>988</v>
      </c>
    </row>
    <row r="2960" spans="1:14" hidden="1" x14ac:dyDescent="0.3">
      <c r="A2960">
        <v>1894</v>
      </c>
      <c r="B2960" t="s">
        <v>1814</v>
      </c>
      <c r="C2960" t="s">
        <v>2670</v>
      </c>
      <c r="D2960" t="s">
        <v>1203</v>
      </c>
      <c r="E2960" t="s">
        <v>1204</v>
      </c>
      <c r="F2960">
        <v>5679</v>
      </c>
      <c r="G2960" t="s">
        <v>2674</v>
      </c>
      <c r="H2960" t="s">
        <v>2665</v>
      </c>
      <c r="I2960">
        <v>10705</v>
      </c>
      <c r="J2960">
        <v>11410</v>
      </c>
      <c r="K2960">
        <v>11514</v>
      </c>
      <c r="L2960">
        <v>11795</v>
      </c>
      <c r="M2960">
        <v>12117</v>
      </c>
      <c r="N2960" t="s">
        <v>988</v>
      </c>
    </row>
    <row r="2961" spans="1:14" hidden="1" x14ac:dyDescent="0.3">
      <c r="A2961">
        <v>1894</v>
      </c>
      <c r="B2961" t="s">
        <v>1814</v>
      </c>
      <c r="C2961" t="s">
        <v>2670</v>
      </c>
      <c r="D2961" t="s">
        <v>1203</v>
      </c>
      <c r="E2961" t="s">
        <v>1204</v>
      </c>
      <c r="F2961">
        <v>5679</v>
      </c>
      <c r="G2961" t="s">
        <v>2674</v>
      </c>
      <c r="H2961" t="s">
        <v>2664</v>
      </c>
      <c r="I2961">
        <v>10705</v>
      </c>
      <c r="J2961">
        <v>11410</v>
      </c>
      <c r="K2961">
        <v>11514</v>
      </c>
      <c r="L2961">
        <v>11795</v>
      </c>
      <c r="M2961">
        <v>12117</v>
      </c>
      <c r="N2961" t="s">
        <v>988</v>
      </c>
    </row>
    <row r="2962" spans="1:14" hidden="1" x14ac:dyDescent="0.3">
      <c r="A2962">
        <v>1894</v>
      </c>
      <c r="B2962" t="s">
        <v>1814</v>
      </c>
      <c r="C2962" t="s">
        <v>2670</v>
      </c>
      <c r="D2962" t="s">
        <v>1203</v>
      </c>
      <c r="E2962" t="s">
        <v>1204</v>
      </c>
      <c r="F2962">
        <v>5679</v>
      </c>
      <c r="G2962" t="s">
        <v>2675</v>
      </c>
      <c r="H2962" t="s">
        <v>2665</v>
      </c>
      <c r="I2962">
        <v>10705</v>
      </c>
      <c r="J2962">
        <v>11410</v>
      </c>
      <c r="K2962">
        <v>11514</v>
      </c>
      <c r="L2962">
        <v>11795</v>
      </c>
      <c r="M2962">
        <v>12117</v>
      </c>
      <c r="N2962" t="s">
        <v>988</v>
      </c>
    </row>
    <row r="2963" spans="1:14" hidden="1" x14ac:dyDescent="0.3">
      <c r="A2963">
        <v>1894</v>
      </c>
      <c r="B2963" t="s">
        <v>1814</v>
      </c>
      <c r="C2963" t="s">
        <v>2670</v>
      </c>
      <c r="D2963" t="s">
        <v>1203</v>
      </c>
      <c r="E2963" t="s">
        <v>1204</v>
      </c>
      <c r="F2963">
        <v>5679</v>
      </c>
      <c r="G2963" t="s">
        <v>2675</v>
      </c>
      <c r="H2963" t="s">
        <v>2664</v>
      </c>
      <c r="I2963">
        <v>10705</v>
      </c>
      <c r="J2963">
        <v>11410</v>
      </c>
      <c r="K2963">
        <v>11514</v>
      </c>
      <c r="L2963">
        <v>11795</v>
      </c>
      <c r="M2963">
        <v>12117</v>
      </c>
      <c r="N2963" t="s">
        <v>988</v>
      </c>
    </row>
    <row r="2964" spans="1:14" hidden="1" x14ac:dyDescent="0.3">
      <c r="A2964">
        <v>1894</v>
      </c>
      <c r="B2964" t="s">
        <v>1814</v>
      </c>
      <c r="C2964" t="s">
        <v>2670</v>
      </c>
      <c r="D2964" t="s">
        <v>1203</v>
      </c>
      <c r="E2964" t="s">
        <v>1204</v>
      </c>
      <c r="F2964">
        <v>5679</v>
      </c>
      <c r="G2964" t="s">
        <v>2676</v>
      </c>
      <c r="H2964" t="s">
        <v>2665</v>
      </c>
      <c r="I2964">
        <v>10705</v>
      </c>
      <c r="J2964">
        <v>11410</v>
      </c>
      <c r="K2964">
        <v>11514</v>
      </c>
      <c r="L2964">
        <v>11795</v>
      </c>
      <c r="M2964">
        <v>12117</v>
      </c>
      <c r="N2964" t="s">
        <v>988</v>
      </c>
    </row>
    <row r="2965" spans="1:14" hidden="1" x14ac:dyDescent="0.3">
      <c r="A2965">
        <v>1894</v>
      </c>
      <c r="B2965" t="s">
        <v>1814</v>
      </c>
      <c r="C2965" t="s">
        <v>2670</v>
      </c>
      <c r="D2965" t="s">
        <v>1203</v>
      </c>
      <c r="E2965" t="s">
        <v>1204</v>
      </c>
      <c r="F2965">
        <v>5679</v>
      </c>
      <c r="G2965" t="s">
        <v>2673</v>
      </c>
      <c r="H2965" t="s">
        <v>2664</v>
      </c>
      <c r="I2965">
        <v>10705</v>
      </c>
      <c r="J2965">
        <v>11410</v>
      </c>
      <c r="K2965">
        <v>11514</v>
      </c>
      <c r="L2965">
        <v>11795</v>
      </c>
      <c r="M2965">
        <v>12117</v>
      </c>
      <c r="N2965" t="s">
        <v>988</v>
      </c>
    </row>
    <row r="2966" spans="1:14" hidden="1" x14ac:dyDescent="0.3">
      <c r="A2966">
        <v>1896</v>
      </c>
      <c r="B2966" t="s">
        <v>1816</v>
      </c>
      <c r="C2966" t="s">
        <v>2670</v>
      </c>
      <c r="D2966" t="s">
        <v>1203</v>
      </c>
      <c r="E2966" t="s">
        <v>1204</v>
      </c>
      <c r="F2966">
        <v>6011</v>
      </c>
      <c r="G2966" t="s">
        <v>2672</v>
      </c>
      <c r="H2966" t="s">
        <v>2665</v>
      </c>
      <c r="N2966" t="s">
        <v>988</v>
      </c>
    </row>
    <row r="2967" spans="1:14" hidden="1" x14ac:dyDescent="0.3">
      <c r="A2967">
        <v>1896</v>
      </c>
      <c r="B2967" t="s">
        <v>1816</v>
      </c>
      <c r="C2967" t="s">
        <v>2670</v>
      </c>
      <c r="D2967" t="s">
        <v>1203</v>
      </c>
      <c r="E2967" t="s">
        <v>1204</v>
      </c>
      <c r="F2967">
        <v>6011</v>
      </c>
      <c r="G2967" t="s">
        <v>2672</v>
      </c>
      <c r="H2967" t="s">
        <v>2664</v>
      </c>
      <c r="N2967" t="s">
        <v>988</v>
      </c>
    </row>
    <row r="2968" spans="1:14" hidden="1" x14ac:dyDescent="0.3">
      <c r="A2968">
        <v>1896</v>
      </c>
      <c r="B2968" t="s">
        <v>1816</v>
      </c>
      <c r="C2968" t="s">
        <v>2670</v>
      </c>
      <c r="D2968" t="s">
        <v>1203</v>
      </c>
      <c r="E2968" t="s">
        <v>1204</v>
      </c>
      <c r="F2968">
        <v>6011</v>
      </c>
      <c r="G2968" t="s">
        <v>2671</v>
      </c>
      <c r="H2968" t="s">
        <v>2665</v>
      </c>
      <c r="I2968">
        <v>2732</v>
      </c>
      <c r="J2968">
        <v>2751</v>
      </c>
      <c r="K2968">
        <v>2759</v>
      </c>
      <c r="L2968">
        <v>2769</v>
      </c>
      <c r="M2968">
        <v>2797</v>
      </c>
      <c r="N2968" t="s">
        <v>988</v>
      </c>
    </row>
    <row r="2969" spans="1:14" hidden="1" x14ac:dyDescent="0.3">
      <c r="A2969">
        <v>1896</v>
      </c>
      <c r="B2969" t="s">
        <v>1816</v>
      </c>
      <c r="C2969" t="s">
        <v>2670</v>
      </c>
      <c r="D2969" t="s">
        <v>1203</v>
      </c>
      <c r="E2969" t="s">
        <v>1204</v>
      </c>
      <c r="F2969">
        <v>6011</v>
      </c>
      <c r="G2969" t="s">
        <v>2671</v>
      </c>
      <c r="H2969" t="s">
        <v>2664</v>
      </c>
      <c r="I2969">
        <v>2732</v>
      </c>
      <c r="J2969">
        <v>2751</v>
      </c>
      <c r="K2969">
        <v>2759</v>
      </c>
      <c r="L2969">
        <v>2769</v>
      </c>
      <c r="M2969">
        <v>2797</v>
      </c>
      <c r="N2969" t="s">
        <v>988</v>
      </c>
    </row>
    <row r="2970" spans="1:14" hidden="1" x14ac:dyDescent="0.3">
      <c r="A2970">
        <v>1896</v>
      </c>
      <c r="B2970" t="s">
        <v>1816</v>
      </c>
      <c r="C2970" t="s">
        <v>2670</v>
      </c>
      <c r="D2970" t="s">
        <v>1203</v>
      </c>
      <c r="E2970" t="s">
        <v>1204</v>
      </c>
      <c r="F2970">
        <v>6011</v>
      </c>
      <c r="G2970" t="s">
        <v>2673</v>
      </c>
      <c r="H2970" t="s">
        <v>2664</v>
      </c>
      <c r="I2970">
        <v>2654</v>
      </c>
      <c r="J2970">
        <v>2673</v>
      </c>
      <c r="K2970">
        <v>2681</v>
      </c>
      <c r="L2970">
        <v>2690</v>
      </c>
      <c r="M2970">
        <v>2717</v>
      </c>
      <c r="N2970" t="s">
        <v>988</v>
      </c>
    </row>
    <row r="2971" spans="1:14" hidden="1" x14ac:dyDescent="0.3">
      <c r="A2971">
        <v>1896</v>
      </c>
      <c r="B2971" t="s">
        <v>1816</v>
      </c>
      <c r="C2971" t="s">
        <v>2670</v>
      </c>
      <c r="D2971" t="s">
        <v>1203</v>
      </c>
      <c r="E2971" t="s">
        <v>1204</v>
      </c>
      <c r="F2971">
        <v>6011</v>
      </c>
      <c r="G2971" t="s">
        <v>2676</v>
      </c>
      <c r="H2971" t="s">
        <v>2664</v>
      </c>
      <c r="I2971">
        <v>3228</v>
      </c>
      <c r="J2971">
        <v>3251</v>
      </c>
      <c r="K2971">
        <v>3261</v>
      </c>
      <c r="L2971">
        <v>3272</v>
      </c>
      <c r="M2971">
        <v>3305</v>
      </c>
      <c r="N2971" t="s">
        <v>988</v>
      </c>
    </row>
    <row r="2972" spans="1:14" hidden="1" x14ac:dyDescent="0.3">
      <c r="A2972">
        <v>1896</v>
      </c>
      <c r="B2972" t="s">
        <v>1816</v>
      </c>
      <c r="C2972" t="s">
        <v>2670</v>
      </c>
      <c r="D2972" t="s">
        <v>1203</v>
      </c>
      <c r="E2972" t="s">
        <v>1204</v>
      </c>
      <c r="F2972">
        <v>6011</v>
      </c>
      <c r="G2972" t="s">
        <v>2674</v>
      </c>
      <c r="H2972" t="s">
        <v>2665</v>
      </c>
      <c r="I2972">
        <v>2839</v>
      </c>
      <c r="J2972">
        <v>2859</v>
      </c>
      <c r="K2972">
        <v>2868</v>
      </c>
      <c r="L2972">
        <v>2878</v>
      </c>
      <c r="M2972">
        <v>2907</v>
      </c>
      <c r="N2972" t="s">
        <v>988</v>
      </c>
    </row>
    <row r="2973" spans="1:14" hidden="1" x14ac:dyDescent="0.3">
      <c r="A2973">
        <v>1896</v>
      </c>
      <c r="B2973" t="s">
        <v>1816</v>
      </c>
      <c r="C2973" t="s">
        <v>2670</v>
      </c>
      <c r="D2973" t="s">
        <v>1203</v>
      </c>
      <c r="E2973" t="s">
        <v>1204</v>
      </c>
      <c r="F2973">
        <v>6011</v>
      </c>
      <c r="G2973" t="s">
        <v>2674</v>
      </c>
      <c r="H2973" t="s">
        <v>2664</v>
      </c>
      <c r="I2973">
        <v>2839</v>
      </c>
      <c r="J2973">
        <v>2859</v>
      </c>
      <c r="K2973">
        <v>2868</v>
      </c>
      <c r="L2973">
        <v>2878</v>
      </c>
      <c r="M2973">
        <v>2907</v>
      </c>
      <c r="N2973" t="s">
        <v>988</v>
      </c>
    </row>
    <row r="2974" spans="1:14" hidden="1" x14ac:dyDescent="0.3">
      <c r="A2974">
        <v>1896</v>
      </c>
      <c r="B2974" t="s">
        <v>1816</v>
      </c>
      <c r="C2974" t="s">
        <v>2670</v>
      </c>
      <c r="D2974" t="s">
        <v>1203</v>
      </c>
      <c r="E2974" t="s">
        <v>1204</v>
      </c>
      <c r="F2974">
        <v>6011</v>
      </c>
      <c r="G2974" t="s">
        <v>2675</v>
      </c>
      <c r="H2974" t="s">
        <v>2665</v>
      </c>
      <c r="I2974">
        <v>3212</v>
      </c>
      <c r="J2974">
        <v>3234</v>
      </c>
      <c r="K2974">
        <v>3244</v>
      </c>
      <c r="L2974">
        <v>3255</v>
      </c>
      <c r="M2974">
        <v>3288</v>
      </c>
      <c r="N2974" t="s">
        <v>988</v>
      </c>
    </row>
    <row r="2975" spans="1:14" hidden="1" x14ac:dyDescent="0.3">
      <c r="A2975">
        <v>1896</v>
      </c>
      <c r="B2975" t="s">
        <v>1816</v>
      </c>
      <c r="C2975" t="s">
        <v>2670</v>
      </c>
      <c r="D2975" t="s">
        <v>1203</v>
      </c>
      <c r="E2975" t="s">
        <v>1204</v>
      </c>
      <c r="F2975">
        <v>6011</v>
      </c>
      <c r="G2975" t="s">
        <v>2675</v>
      </c>
      <c r="H2975" t="s">
        <v>2664</v>
      </c>
      <c r="I2975">
        <v>3212</v>
      </c>
      <c r="J2975">
        <v>3234</v>
      </c>
      <c r="K2975">
        <v>3244</v>
      </c>
      <c r="L2975">
        <v>3255</v>
      </c>
      <c r="M2975">
        <v>3288</v>
      </c>
      <c r="N2975" t="s">
        <v>988</v>
      </c>
    </row>
    <row r="2976" spans="1:14" hidden="1" x14ac:dyDescent="0.3">
      <c r="A2976">
        <v>1896</v>
      </c>
      <c r="B2976" t="s">
        <v>1816</v>
      </c>
      <c r="C2976" t="s">
        <v>2670</v>
      </c>
      <c r="D2976" t="s">
        <v>1203</v>
      </c>
      <c r="E2976" t="s">
        <v>1204</v>
      </c>
      <c r="F2976">
        <v>6011</v>
      </c>
      <c r="G2976" t="s">
        <v>2676</v>
      </c>
      <c r="H2976" t="s">
        <v>2665</v>
      </c>
      <c r="I2976">
        <v>3228</v>
      </c>
      <c r="J2976">
        <v>3251</v>
      </c>
      <c r="K2976">
        <v>3261</v>
      </c>
      <c r="L2976">
        <v>3272</v>
      </c>
      <c r="M2976">
        <v>3305</v>
      </c>
      <c r="N2976" t="s">
        <v>988</v>
      </c>
    </row>
    <row r="2977" spans="1:14" hidden="1" x14ac:dyDescent="0.3">
      <c r="A2977">
        <v>1896</v>
      </c>
      <c r="B2977" t="s">
        <v>1816</v>
      </c>
      <c r="C2977" t="s">
        <v>2670</v>
      </c>
      <c r="D2977" t="s">
        <v>1203</v>
      </c>
      <c r="E2977" t="s">
        <v>1204</v>
      </c>
      <c r="F2977">
        <v>6011</v>
      </c>
      <c r="G2977" t="s">
        <v>2673</v>
      </c>
      <c r="H2977" t="s">
        <v>2665</v>
      </c>
      <c r="I2977">
        <v>2654</v>
      </c>
      <c r="J2977">
        <v>2673</v>
      </c>
      <c r="K2977">
        <v>2681</v>
      </c>
      <c r="L2977">
        <v>2690</v>
      </c>
      <c r="M2977">
        <v>2717</v>
      </c>
      <c r="N2977" t="s">
        <v>988</v>
      </c>
    </row>
    <row r="2978" spans="1:14" hidden="1" x14ac:dyDescent="0.3">
      <c r="A2978">
        <v>1899</v>
      </c>
      <c r="B2978" t="s">
        <v>1818</v>
      </c>
      <c r="C2978" t="s">
        <v>2670</v>
      </c>
      <c r="D2978" t="s">
        <v>1203</v>
      </c>
      <c r="E2978" t="s">
        <v>1204</v>
      </c>
      <c r="F2978">
        <v>5877</v>
      </c>
      <c r="G2978" t="s">
        <v>2676</v>
      </c>
      <c r="H2978" t="s">
        <v>2665</v>
      </c>
      <c r="I2978">
        <v>4308</v>
      </c>
      <c r="J2978">
        <v>4319</v>
      </c>
      <c r="K2978">
        <v>4330</v>
      </c>
      <c r="L2978">
        <v>4341</v>
      </c>
      <c r="N2978" t="s">
        <v>988</v>
      </c>
    </row>
    <row r="2979" spans="1:14" hidden="1" x14ac:dyDescent="0.3">
      <c r="A2979">
        <v>1899</v>
      </c>
      <c r="B2979" t="s">
        <v>1818</v>
      </c>
      <c r="C2979" t="s">
        <v>2670</v>
      </c>
      <c r="D2979" t="s">
        <v>1203</v>
      </c>
      <c r="E2979" t="s">
        <v>1204</v>
      </c>
      <c r="F2979">
        <v>5877</v>
      </c>
      <c r="G2979" t="s">
        <v>2675</v>
      </c>
      <c r="H2979" t="s">
        <v>2664</v>
      </c>
      <c r="I2979">
        <v>5664</v>
      </c>
      <c r="J2979">
        <v>5682</v>
      </c>
      <c r="K2979">
        <v>5697</v>
      </c>
      <c r="L2979">
        <v>5711</v>
      </c>
      <c r="N2979" t="s">
        <v>988</v>
      </c>
    </row>
    <row r="2980" spans="1:14" hidden="1" x14ac:dyDescent="0.3">
      <c r="A2980">
        <v>1899</v>
      </c>
      <c r="B2980" t="s">
        <v>1818</v>
      </c>
      <c r="C2980" t="s">
        <v>2670</v>
      </c>
      <c r="D2980" t="s">
        <v>1203</v>
      </c>
      <c r="E2980" t="s">
        <v>1204</v>
      </c>
      <c r="F2980">
        <v>5877</v>
      </c>
      <c r="G2980" t="s">
        <v>2675</v>
      </c>
      <c r="H2980" t="s">
        <v>2665</v>
      </c>
      <c r="I2980">
        <v>4324</v>
      </c>
      <c r="J2980">
        <v>4335</v>
      </c>
      <c r="K2980">
        <v>4347</v>
      </c>
      <c r="L2980">
        <v>4357</v>
      </c>
      <c r="N2980" t="s">
        <v>988</v>
      </c>
    </row>
    <row r="2981" spans="1:14" hidden="1" x14ac:dyDescent="0.3">
      <c r="A2981">
        <v>1899</v>
      </c>
      <c r="B2981" t="s">
        <v>1818</v>
      </c>
      <c r="C2981" t="s">
        <v>2670</v>
      </c>
      <c r="D2981" t="s">
        <v>1203</v>
      </c>
      <c r="E2981" t="s">
        <v>1204</v>
      </c>
      <c r="F2981">
        <v>5877</v>
      </c>
      <c r="G2981" t="s">
        <v>2674</v>
      </c>
      <c r="H2981" t="s">
        <v>2664</v>
      </c>
      <c r="I2981">
        <v>5669</v>
      </c>
      <c r="J2981">
        <v>5684</v>
      </c>
      <c r="K2981">
        <v>5699</v>
      </c>
      <c r="L2981">
        <v>5713</v>
      </c>
      <c r="N2981" t="s">
        <v>988</v>
      </c>
    </row>
    <row r="2982" spans="1:14" hidden="1" x14ac:dyDescent="0.3">
      <c r="A2982">
        <v>1899</v>
      </c>
      <c r="B2982" t="s">
        <v>1818</v>
      </c>
      <c r="C2982" t="s">
        <v>2670</v>
      </c>
      <c r="D2982" t="s">
        <v>1203</v>
      </c>
      <c r="E2982" t="s">
        <v>1204</v>
      </c>
      <c r="F2982">
        <v>5877</v>
      </c>
      <c r="G2982" t="s">
        <v>2674</v>
      </c>
      <c r="H2982" t="s">
        <v>2665</v>
      </c>
      <c r="I2982">
        <v>4340</v>
      </c>
      <c r="J2982">
        <v>4351</v>
      </c>
      <c r="K2982">
        <v>4363</v>
      </c>
      <c r="L2982">
        <v>4374</v>
      </c>
      <c r="N2982" t="s">
        <v>988</v>
      </c>
    </row>
    <row r="2983" spans="1:14" hidden="1" x14ac:dyDescent="0.3">
      <c r="A2983">
        <v>1899</v>
      </c>
      <c r="B2983" t="s">
        <v>1818</v>
      </c>
      <c r="C2983" t="s">
        <v>2670</v>
      </c>
      <c r="D2983" t="s">
        <v>1203</v>
      </c>
      <c r="E2983" t="s">
        <v>1204</v>
      </c>
      <c r="F2983">
        <v>5877</v>
      </c>
      <c r="G2983" t="s">
        <v>2676</v>
      </c>
      <c r="H2983" t="s">
        <v>2664</v>
      </c>
      <c r="I2983">
        <v>5659</v>
      </c>
      <c r="J2983">
        <v>5674</v>
      </c>
      <c r="K2983">
        <v>5688</v>
      </c>
      <c r="L2983">
        <v>5703</v>
      </c>
      <c r="N2983" t="s">
        <v>988</v>
      </c>
    </row>
    <row r="2984" spans="1:14" hidden="1" x14ac:dyDescent="0.3">
      <c r="A2984">
        <v>1899</v>
      </c>
      <c r="B2984" t="s">
        <v>1818</v>
      </c>
      <c r="C2984" t="s">
        <v>2670</v>
      </c>
      <c r="D2984" t="s">
        <v>1203</v>
      </c>
      <c r="E2984" t="s">
        <v>1204</v>
      </c>
      <c r="F2984">
        <v>5877</v>
      </c>
      <c r="G2984" t="s">
        <v>2673</v>
      </c>
      <c r="H2984" t="s">
        <v>2665</v>
      </c>
      <c r="I2984">
        <v>4356</v>
      </c>
      <c r="J2984">
        <v>4367</v>
      </c>
      <c r="K2984">
        <v>4379</v>
      </c>
      <c r="L2984">
        <v>4390</v>
      </c>
      <c r="N2984" t="s">
        <v>988</v>
      </c>
    </row>
    <row r="2985" spans="1:14" hidden="1" x14ac:dyDescent="0.3">
      <c r="A2985">
        <v>1899</v>
      </c>
      <c r="B2985" t="s">
        <v>1818</v>
      </c>
      <c r="C2985" t="s">
        <v>2670</v>
      </c>
      <c r="D2985" t="s">
        <v>1203</v>
      </c>
      <c r="E2985" t="s">
        <v>1204</v>
      </c>
      <c r="F2985">
        <v>5877</v>
      </c>
      <c r="G2985" t="s">
        <v>2671</v>
      </c>
      <c r="H2985" t="s">
        <v>2664</v>
      </c>
      <c r="I2985">
        <v>5629</v>
      </c>
      <c r="J2985">
        <v>5644</v>
      </c>
      <c r="K2985">
        <v>5658</v>
      </c>
      <c r="L2985">
        <v>5672</v>
      </c>
      <c r="N2985" t="s">
        <v>988</v>
      </c>
    </row>
    <row r="2986" spans="1:14" hidden="1" x14ac:dyDescent="0.3">
      <c r="A2986">
        <v>1899</v>
      </c>
      <c r="B2986" t="s">
        <v>1818</v>
      </c>
      <c r="C2986" t="s">
        <v>2670</v>
      </c>
      <c r="D2986" t="s">
        <v>1203</v>
      </c>
      <c r="E2986" t="s">
        <v>1204</v>
      </c>
      <c r="F2986">
        <v>5877</v>
      </c>
      <c r="G2986" t="s">
        <v>2671</v>
      </c>
      <c r="H2986" t="s">
        <v>2665</v>
      </c>
      <c r="I2986">
        <v>4406</v>
      </c>
      <c r="J2986">
        <v>4417</v>
      </c>
      <c r="K2986">
        <v>4429</v>
      </c>
      <c r="L2986">
        <v>4440</v>
      </c>
      <c r="N2986" t="s">
        <v>988</v>
      </c>
    </row>
    <row r="2987" spans="1:14" hidden="1" x14ac:dyDescent="0.3">
      <c r="A2987">
        <v>1899</v>
      </c>
      <c r="B2987" t="s">
        <v>1818</v>
      </c>
      <c r="C2987" t="s">
        <v>2670</v>
      </c>
      <c r="D2987" t="s">
        <v>1203</v>
      </c>
      <c r="E2987" t="s">
        <v>1204</v>
      </c>
      <c r="F2987">
        <v>5877</v>
      </c>
      <c r="G2987" t="s">
        <v>2672</v>
      </c>
      <c r="H2987" t="s">
        <v>2664</v>
      </c>
      <c r="N2987" t="s">
        <v>988</v>
      </c>
    </row>
    <row r="2988" spans="1:14" hidden="1" x14ac:dyDescent="0.3">
      <c r="A2988">
        <v>1899</v>
      </c>
      <c r="B2988" t="s">
        <v>1818</v>
      </c>
      <c r="C2988" t="s">
        <v>2670</v>
      </c>
      <c r="D2988" t="s">
        <v>1203</v>
      </c>
      <c r="E2988" t="s">
        <v>1204</v>
      </c>
      <c r="F2988">
        <v>5877</v>
      </c>
      <c r="G2988" t="s">
        <v>2672</v>
      </c>
      <c r="H2988" t="s">
        <v>2665</v>
      </c>
      <c r="N2988" t="s">
        <v>988</v>
      </c>
    </row>
    <row r="2989" spans="1:14" hidden="1" x14ac:dyDescent="0.3">
      <c r="A2989">
        <v>1899</v>
      </c>
      <c r="B2989" t="s">
        <v>1818</v>
      </c>
      <c r="C2989" t="s">
        <v>2670</v>
      </c>
      <c r="D2989" t="s">
        <v>1203</v>
      </c>
      <c r="E2989" t="s">
        <v>1204</v>
      </c>
      <c r="F2989">
        <v>5877</v>
      </c>
      <c r="G2989" t="s">
        <v>2673</v>
      </c>
      <c r="H2989" t="s">
        <v>2664</v>
      </c>
      <c r="I2989">
        <v>5674</v>
      </c>
      <c r="J2989">
        <v>5689</v>
      </c>
      <c r="K2989">
        <v>5704</v>
      </c>
      <c r="L2989">
        <v>5718</v>
      </c>
      <c r="N2989" t="s">
        <v>988</v>
      </c>
    </row>
    <row r="2990" spans="1:14" hidden="1" x14ac:dyDescent="0.3">
      <c r="A2990">
        <v>1900</v>
      </c>
      <c r="B2990" t="s">
        <v>1822</v>
      </c>
      <c r="C2990" t="s">
        <v>2670</v>
      </c>
      <c r="D2990" t="s">
        <v>1203</v>
      </c>
      <c r="E2990" t="s">
        <v>1204</v>
      </c>
      <c r="F2990">
        <v>5519</v>
      </c>
      <c r="G2990" t="s">
        <v>2676</v>
      </c>
      <c r="H2990" t="s">
        <v>2665</v>
      </c>
      <c r="I2990">
        <v>3279</v>
      </c>
      <c r="J2990">
        <v>3312</v>
      </c>
      <c r="K2990">
        <v>3345</v>
      </c>
      <c r="L2990">
        <v>3379</v>
      </c>
      <c r="M2990">
        <v>3413</v>
      </c>
      <c r="N2990" t="s">
        <v>988</v>
      </c>
    </row>
    <row r="2991" spans="1:14" hidden="1" x14ac:dyDescent="0.3">
      <c r="A2991">
        <v>1900</v>
      </c>
      <c r="B2991" t="s">
        <v>1822</v>
      </c>
      <c r="C2991" t="s">
        <v>2670</v>
      </c>
      <c r="D2991" t="s">
        <v>1203</v>
      </c>
      <c r="E2991" t="s">
        <v>1204</v>
      </c>
      <c r="F2991">
        <v>5519</v>
      </c>
      <c r="G2991" t="s">
        <v>2675</v>
      </c>
      <c r="H2991" t="s">
        <v>2664</v>
      </c>
      <c r="I2991">
        <v>3275</v>
      </c>
      <c r="J2991">
        <v>3309</v>
      </c>
      <c r="K2991">
        <v>3342</v>
      </c>
      <c r="L2991">
        <v>3376</v>
      </c>
      <c r="M2991">
        <v>3410</v>
      </c>
      <c r="N2991" t="s">
        <v>988</v>
      </c>
    </row>
    <row r="2992" spans="1:14" hidden="1" x14ac:dyDescent="0.3">
      <c r="A2992">
        <v>1900</v>
      </c>
      <c r="B2992" t="s">
        <v>1822</v>
      </c>
      <c r="C2992" t="s">
        <v>2670</v>
      </c>
      <c r="D2992" t="s">
        <v>1203</v>
      </c>
      <c r="E2992" t="s">
        <v>1204</v>
      </c>
      <c r="F2992">
        <v>5519</v>
      </c>
      <c r="G2992" t="s">
        <v>2675</v>
      </c>
      <c r="H2992" t="s">
        <v>2665</v>
      </c>
      <c r="I2992">
        <v>3275</v>
      </c>
      <c r="J2992">
        <v>3309</v>
      </c>
      <c r="K2992">
        <v>3342</v>
      </c>
      <c r="L2992">
        <v>3376</v>
      </c>
      <c r="M2992">
        <v>3410</v>
      </c>
      <c r="N2992" t="s">
        <v>988</v>
      </c>
    </row>
    <row r="2993" spans="1:14" hidden="1" x14ac:dyDescent="0.3">
      <c r="A2993">
        <v>1900</v>
      </c>
      <c r="B2993" t="s">
        <v>1822</v>
      </c>
      <c r="C2993" t="s">
        <v>2670</v>
      </c>
      <c r="D2993" t="s">
        <v>1203</v>
      </c>
      <c r="E2993" t="s">
        <v>1204</v>
      </c>
      <c r="F2993">
        <v>5519</v>
      </c>
      <c r="G2993" t="s">
        <v>2674</v>
      </c>
      <c r="H2993" t="s">
        <v>2664</v>
      </c>
      <c r="I2993">
        <v>3379</v>
      </c>
      <c r="J2993">
        <v>3414</v>
      </c>
      <c r="K2993">
        <v>3448</v>
      </c>
      <c r="L2993">
        <v>3483</v>
      </c>
      <c r="M2993">
        <v>3518</v>
      </c>
      <c r="N2993" t="s">
        <v>988</v>
      </c>
    </row>
    <row r="2994" spans="1:14" hidden="1" x14ac:dyDescent="0.3">
      <c r="A2994">
        <v>1900</v>
      </c>
      <c r="B2994" t="s">
        <v>1822</v>
      </c>
      <c r="C2994" t="s">
        <v>2670</v>
      </c>
      <c r="D2994" t="s">
        <v>1203</v>
      </c>
      <c r="E2994" t="s">
        <v>1204</v>
      </c>
      <c r="F2994">
        <v>5519</v>
      </c>
      <c r="G2994" t="s">
        <v>2674</v>
      </c>
      <c r="H2994" t="s">
        <v>2665</v>
      </c>
      <c r="I2994">
        <v>3379</v>
      </c>
      <c r="J2994">
        <v>3414</v>
      </c>
      <c r="K2994">
        <v>3448</v>
      </c>
      <c r="L2994">
        <v>3483</v>
      </c>
      <c r="M2994">
        <v>3518</v>
      </c>
      <c r="N2994" t="s">
        <v>988</v>
      </c>
    </row>
    <row r="2995" spans="1:14" hidden="1" x14ac:dyDescent="0.3">
      <c r="A2995">
        <v>1900</v>
      </c>
      <c r="B2995" t="s">
        <v>1822</v>
      </c>
      <c r="C2995" t="s">
        <v>2670</v>
      </c>
      <c r="D2995" t="s">
        <v>1203</v>
      </c>
      <c r="E2995" t="s">
        <v>1204</v>
      </c>
      <c r="F2995">
        <v>5519</v>
      </c>
      <c r="G2995" t="s">
        <v>2673</v>
      </c>
      <c r="H2995" t="s">
        <v>2664</v>
      </c>
      <c r="I2995">
        <v>3260</v>
      </c>
      <c r="J2995">
        <v>3293</v>
      </c>
      <c r="K2995">
        <v>3326</v>
      </c>
      <c r="L2995">
        <v>3360</v>
      </c>
      <c r="M2995">
        <v>3394</v>
      </c>
      <c r="N2995" t="s">
        <v>988</v>
      </c>
    </row>
    <row r="2996" spans="1:14" hidden="1" x14ac:dyDescent="0.3">
      <c r="A2996">
        <v>1900</v>
      </c>
      <c r="B2996" t="s">
        <v>1822</v>
      </c>
      <c r="C2996" t="s">
        <v>2670</v>
      </c>
      <c r="D2996" t="s">
        <v>1203</v>
      </c>
      <c r="E2996" t="s">
        <v>1204</v>
      </c>
      <c r="F2996">
        <v>5519</v>
      </c>
      <c r="G2996" t="s">
        <v>2673</v>
      </c>
      <c r="H2996" t="s">
        <v>2665</v>
      </c>
      <c r="I2996">
        <v>3260</v>
      </c>
      <c r="J2996">
        <v>3293</v>
      </c>
      <c r="K2996">
        <v>3326</v>
      </c>
      <c r="L2996">
        <v>3360</v>
      </c>
      <c r="M2996">
        <v>3394</v>
      </c>
      <c r="N2996" t="s">
        <v>988</v>
      </c>
    </row>
    <row r="2997" spans="1:14" hidden="1" x14ac:dyDescent="0.3">
      <c r="A2997">
        <v>1900</v>
      </c>
      <c r="B2997" t="s">
        <v>1822</v>
      </c>
      <c r="C2997" t="s">
        <v>2670</v>
      </c>
      <c r="D2997" t="s">
        <v>1203</v>
      </c>
      <c r="E2997" t="s">
        <v>1204</v>
      </c>
      <c r="F2997">
        <v>5519</v>
      </c>
      <c r="G2997" t="s">
        <v>2671</v>
      </c>
      <c r="H2997" t="s">
        <v>2664</v>
      </c>
      <c r="I2997">
        <v>2848</v>
      </c>
      <c r="J2997">
        <v>2877</v>
      </c>
      <c r="K2997">
        <v>2906</v>
      </c>
      <c r="L2997">
        <v>2936</v>
      </c>
      <c r="M2997">
        <v>2965</v>
      </c>
      <c r="N2997" t="s">
        <v>988</v>
      </c>
    </row>
    <row r="2998" spans="1:14" hidden="1" x14ac:dyDescent="0.3">
      <c r="A2998">
        <v>1900</v>
      </c>
      <c r="B2998" t="s">
        <v>1822</v>
      </c>
      <c r="C2998" t="s">
        <v>2670</v>
      </c>
      <c r="D2998" t="s">
        <v>1203</v>
      </c>
      <c r="E2998" t="s">
        <v>1204</v>
      </c>
      <c r="F2998">
        <v>5519</v>
      </c>
      <c r="G2998" t="s">
        <v>2671</v>
      </c>
      <c r="H2998" t="s">
        <v>2665</v>
      </c>
      <c r="I2998">
        <v>2848</v>
      </c>
      <c r="J2998">
        <v>2877</v>
      </c>
      <c r="K2998">
        <v>2906</v>
      </c>
      <c r="L2998">
        <v>2936</v>
      </c>
      <c r="M2998">
        <v>2965</v>
      </c>
      <c r="N2998" t="s">
        <v>988</v>
      </c>
    </row>
    <row r="2999" spans="1:14" hidden="1" x14ac:dyDescent="0.3">
      <c r="A2999">
        <v>1900</v>
      </c>
      <c r="B2999" t="s">
        <v>1822</v>
      </c>
      <c r="C2999" t="s">
        <v>2670</v>
      </c>
      <c r="D2999" t="s">
        <v>1203</v>
      </c>
      <c r="E2999" t="s">
        <v>1204</v>
      </c>
      <c r="F2999">
        <v>5519</v>
      </c>
      <c r="G2999" t="s">
        <v>2672</v>
      </c>
      <c r="H2999" t="s">
        <v>2664</v>
      </c>
      <c r="N2999" t="s">
        <v>988</v>
      </c>
    </row>
    <row r="3000" spans="1:14" hidden="1" x14ac:dyDescent="0.3">
      <c r="A3000">
        <v>1900</v>
      </c>
      <c r="B3000" t="s">
        <v>1822</v>
      </c>
      <c r="C3000" t="s">
        <v>2670</v>
      </c>
      <c r="D3000" t="s">
        <v>1203</v>
      </c>
      <c r="E3000" t="s">
        <v>1204</v>
      </c>
      <c r="F3000">
        <v>5519</v>
      </c>
      <c r="G3000" t="s">
        <v>2672</v>
      </c>
      <c r="H3000" t="s">
        <v>2665</v>
      </c>
      <c r="N3000" t="s">
        <v>988</v>
      </c>
    </row>
    <row r="3001" spans="1:14" hidden="1" x14ac:dyDescent="0.3">
      <c r="A3001">
        <v>1900</v>
      </c>
      <c r="B3001" t="s">
        <v>1822</v>
      </c>
      <c r="C3001" t="s">
        <v>2670</v>
      </c>
      <c r="D3001" t="s">
        <v>1203</v>
      </c>
      <c r="E3001" t="s">
        <v>1204</v>
      </c>
      <c r="F3001">
        <v>5519</v>
      </c>
      <c r="G3001" t="s">
        <v>2676</v>
      </c>
      <c r="H3001" t="s">
        <v>2664</v>
      </c>
      <c r="I3001">
        <v>3279</v>
      </c>
      <c r="J3001">
        <v>3312</v>
      </c>
      <c r="K3001">
        <v>3345</v>
      </c>
      <c r="L3001">
        <v>3379</v>
      </c>
      <c r="M3001">
        <v>3413</v>
      </c>
      <c r="N3001" t="s">
        <v>988</v>
      </c>
    </row>
    <row r="3002" spans="1:14" hidden="1" x14ac:dyDescent="0.3">
      <c r="A3002">
        <v>1923</v>
      </c>
      <c r="B3002" t="s">
        <v>1823</v>
      </c>
      <c r="C3002" t="s">
        <v>2670</v>
      </c>
      <c r="D3002" t="s">
        <v>1203</v>
      </c>
      <c r="E3002" t="s">
        <v>1204</v>
      </c>
      <c r="F3002">
        <v>5777</v>
      </c>
      <c r="G3002" t="s">
        <v>2676</v>
      </c>
      <c r="H3002" t="s">
        <v>2664</v>
      </c>
      <c r="I3002">
        <v>2560</v>
      </c>
      <c r="J3002">
        <v>2560</v>
      </c>
      <c r="K3002">
        <v>2560</v>
      </c>
      <c r="L3002">
        <v>2560</v>
      </c>
      <c r="M3002">
        <v>2560</v>
      </c>
      <c r="N3002" t="s">
        <v>988</v>
      </c>
    </row>
    <row r="3003" spans="1:14" hidden="1" x14ac:dyDescent="0.3">
      <c r="A3003">
        <v>1923</v>
      </c>
      <c r="B3003" t="s">
        <v>1823</v>
      </c>
      <c r="C3003" t="s">
        <v>2670</v>
      </c>
      <c r="D3003" t="s">
        <v>1203</v>
      </c>
      <c r="E3003" t="s">
        <v>1204</v>
      </c>
      <c r="F3003">
        <v>5777</v>
      </c>
      <c r="G3003" t="s">
        <v>2672</v>
      </c>
      <c r="H3003" t="s">
        <v>2665</v>
      </c>
      <c r="N3003" t="s">
        <v>988</v>
      </c>
    </row>
    <row r="3004" spans="1:14" hidden="1" x14ac:dyDescent="0.3">
      <c r="A3004">
        <v>1923</v>
      </c>
      <c r="B3004" t="s">
        <v>1823</v>
      </c>
      <c r="C3004" t="s">
        <v>2670</v>
      </c>
      <c r="D3004" t="s">
        <v>1203</v>
      </c>
      <c r="E3004" t="s">
        <v>1204</v>
      </c>
      <c r="F3004">
        <v>5777</v>
      </c>
      <c r="G3004" t="s">
        <v>2676</v>
      </c>
      <c r="H3004" t="s">
        <v>2665</v>
      </c>
      <c r="I3004">
        <v>1648</v>
      </c>
      <c r="J3004">
        <v>1696</v>
      </c>
      <c r="K3004">
        <v>1744</v>
      </c>
      <c r="L3004">
        <v>1795</v>
      </c>
      <c r="M3004">
        <v>1845</v>
      </c>
      <c r="N3004" t="s">
        <v>988</v>
      </c>
    </row>
    <row r="3005" spans="1:14" hidden="1" x14ac:dyDescent="0.3">
      <c r="A3005">
        <v>1923</v>
      </c>
      <c r="B3005" t="s">
        <v>1823</v>
      </c>
      <c r="C3005" t="s">
        <v>2670</v>
      </c>
      <c r="D3005" t="s">
        <v>1203</v>
      </c>
      <c r="E3005" t="s">
        <v>1204</v>
      </c>
      <c r="F3005">
        <v>5777</v>
      </c>
      <c r="G3005" t="s">
        <v>2675</v>
      </c>
      <c r="H3005" t="s">
        <v>2664</v>
      </c>
      <c r="I3005">
        <v>2288</v>
      </c>
      <c r="J3005">
        <v>2288</v>
      </c>
      <c r="K3005">
        <v>2288</v>
      </c>
      <c r="L3005">
        <v>2288</v>
      </c>
      <c r="M3005">
        <v>2306</v>
      </c>
      <c r="N3005" t="s">
        <v>988</v>
      </c>
    </row>
    <row r="3006" spans="1:14" hidden="1" x14ac:dyDescent="0.3">
      <c r="A3006">
        <v>1923</v>
      </c>
      <c r="B3006" t="s">
        <v>1823</v>
      </c>
      <c r="C3006" t="s">
        <v>2670</v>
      </c>
      <c r="D3006" t="s">
        <v>1203</v>
      </c>
      <c r="E3006" t="s">
        <v>1204</v>
      </c>
      <c r="F3006">
        <v>5777</v>
      </c>
      <c r="G3006" t="s">
        <v>2675</v>
      </c>
      <c r="H3006" t="s">
        <v>2665</v>
      </c>
      <c r="I3006">
        <v>1648</v>
      </c>
      <c r="J3006">
        <v>1696</v>
      </c>
      <c r="K3006">
        <v>1744</v>
      </c>
      <c r="L3006">
        <v>1795</v>
      </c>
      <c r="M3006">
        <v>1845</v>
      </c>
      <c r="N3006" t="s">
        <v>988</v>
      </c>
    </row>
    <row r="3007" spans="1:14" hidden="1" x14ac:dyDescent="0.3">
      <c r="A3007">
        <v>1923</v>
      </c>
      <c r="B3007" t="s">
        <v>1823</v>
      </c>
      <c r="C3007" t="s">
        <v>2670</v>
      </c>
      <c r="D3007" t="s">
        <v>1203</v>
      </c>
      <c r="E3007" t="s">
        <v>1204</v>
      </c>
      <c r="F3007">
        <v>5777</v>
      </c>
      <c r="G3007" t="s">
        <v>2674</v>
      </c>
      <c r="H3007" t="s">
        <v>2664</v>
      </c>
      <c r="I3007">
        <v>1648</v>
      </c>
      <c r="J3007">
        <v>1696</v>
      </c>
      <c r="K3007">
        <v>1744</v>
      </c>
      <c r="L3007">
        <v>1795</v>
      </c>
      <c r="M3007">
        <v>1845</v>
      </c>
      <c r="N3007" t="s">
        <v>988</v>
      </c>
    </row>
    <row r="3008" spans="1:14" hidden="1" x14ac:dyDescent="0.3">
      <c r="A3008">
        <v>1923</v>
      </c>
      <c r="B3008" t="s">
        <v>1823</v>
      </c>
      <c r="C3008" t="s">
        <v>2670</v>
      </c>
      <c r="D3008" t="s">
        <v>1203</v>
      </c>
      <c r="E3008" t="s">
        <v>1204</v>
      </c>
      <c r="F3008">
        <v>5777</v>
      </c>
      <c r="G3008" t="s">
        <v>2674</v>
      </c>
      <c r="H3008" t="s">
        <v>2665</v>
      </c>
      <c r="I3008">
        <v>1648</v>
      </c>
      <c r="J3008">
        <v>1696</v>
      </c>
      <c r="K3008">
        <v>1744</v>
      </c>
      <c r="L3008">
        <v>1795</v>
      </c>
      <c r="M3008">
        <v>1845</v>
      </c>
      <c r="N3008" t="s">
        <v>988</v>
      </c>
    </row>
    <row r="3009" spans="1:14" hidden="1" x14ac:dyDescent="0.3">
      <c r="A3009">
        <v>1923</v>
      </c>
      <c r="B3009" t="s">
        <v>1823</v>
      </c>
      <c r="C3009" t="s">
        <v>2670</v>
      </c>
      <c r="D3009" t="s">
        <v>1203</v>
      </c>
      <c r="E3009" t="s">
        <v>1204</v>
      </c>
      <c r="F3009">
        <v>5777</v>
      </c>
      <c r="G3009" t="s">
        <v>2673</v>
      </c>
      <c r="H3009" t="s">
        <v>2664</v>
      </c>
      <c r="I3009">
        <v>1827</v>
      </c>
      <c r="J3009">
        <v>1827</v>
      </c>
      <c r="K3009">
        <v>1827</v>
      </c>
      <c r="L3009">
        <v>1827</v>
      </c>
      <c r="M3009">
        <v>1845</v>
      </c>
      <c r="N3009" t="s">
        <v>988</v>
      </c>
    </row>
    <row r="3010" spans="1:14" hidden="1" x14ac:dyDescent="0.3">
      <c r="A3010">
        <v>1923</v>
      </c>
      <c r="B3010" t="s">
        <v>1823</v>
      </c>
      <c r="C3010" t="s">
        <v>2670</v>
      </c>
      <c r="D3010" t="s">
        <v>1203</v>
      </c>
      <c r="E3010" t="s">
        <v>1204</v>
      </c>
      <c r="F3010">
        <v>5777</v>
      </c>
      <c r="G3010" t="s">
        <v>2673</v>
      </c>
      <c r="H3010" t="s">
        <v>2665</v>
      </c>
      <c r="I3010">
        <v>1648</v>
      </c>
      <c r="J3010">
        <v>1696</v>
      </c>
      <c r="K3010">
        <v>1744</v>
      </c>
      <c r="L3010">
        <v>1795</v>
      </c>
      <c r="M3010">
        <v>1845</v>
      </c>
      <c r="N3010" t="s">
        <v>988</v>
      </c>
    </row>
    <row r="3011" spans="1:14" hidden="1" x14ac:dyDescent="0.3">
      <c r="A3011">
        <v>1923</v>
      </c>
      <c r="B3011" t="s">
        <v>1823</v>
      </c>
      <c r="C3011" t="s">
        <v>2670</v>
      </c>
      <c r="D3011" t="s">
        <v>1203</v>
      </c>
      <c r="E3011" t="s">
        <v>1204</v>
      </c>
      <c r="F3011">
        <v>5777</v>
      </c>
      <c r="G3011" t="s">
        <v>2671</v>
      </c>
      <c r="H3011" t="s">
        <v>2664</v>
      </c>
      <c r="I3011">
        <v>2471</v>
      </c>
      <c r="J3011">
        <v>2471</v>
      </c>
      <c r="K3011">
        <v>2471</v>
      </c>
      <c r="L3011">
        <v>2471</v>
      </c>
      <c r="M3011">
        <v>2471</v>
      </c>
      <c r="N3011" t="s">
        <v>988</v>
      </c>
    </row>
    <row r="3012" spans="1:14" hidden="1" x14ac:dyDescent="0.3">
      <c r="A3012">
        <v>1923</v>
      </c>
      <c r="B3012" t="s">
        <v>1823</v>
      </c>
      <c r="C3012" t="s">
        <v>2670</v>
      </c>
      <c r="D3012" t="s">
        <v>1203</v>
      </c>
      <c r="E3012" t="s">
        <v>1204</v>
      </c>
      <c r="F3012">
        <v>5777</v>
      </c>
      <c r="G3012" t="s">
        <v>2671</v>
      </c>
      <c r="H3012" t="s">
        <v>2665</v>
      </c>
      <c r="I3012">
        <v>1648</v>
      </c>
      <c r="J3012">
        <v>1696</v>
      </c>
      <c r="K3012">
        <v>1744</v>
      </c>
      <c r="L3012">
        <v>1795</v>
      </c>
      <c r="M3012">
        <v>1845</v>
      </c>
      <c r="N3012" t="s">
        <v>988</v>
      </c>
    </row>
    <row r="3013" spans="1:14" hidden="1" x14ac:dyDescent="0.3">
      <c r="A3013">
        <v>1923</v>
      </c>
      <c r="B3013" t="s">
        <v>1823</v>
      </c>
      <c r="C3013" t="s">
        <v>2670</v>
      </c>
      <c r="D3013" t="s">
        <v>1203</v>
      </c>
      <c r="E3013" t="s">
        <v>1204</v>
      </c>
      <c r="F3013">
        <v>5777</v>
      </c>
      <c r="G3013" t="s">
        <v>2672</v>
      </c>
      <c r="H3013" t="s">
        <v>2664</v>
      </c>
      <c r="N3013" t="s">
        <v>988</v>
      </c>
    </row>
    <row r="3014" spans="1:14" hidden="1" x14ac:dyDescent="0.3">
      <c r="A3014">
        <v>1925</v>
      </c>
      <c r="B3014" t="s">
        <v>1824</v>
      </c>
      <c r="C3014" t="s">
        <v>2670</v>
      </c>
      <c r="D3014" t="s">
        <v>1203</v>
      </c>
      <c r="E3014" t="s">
        <v>1204</v>
      </c>
      <c r="F3014">
        <v>6160</v>
      </c>
      <c r="G3014" t="s">
        <v>2676</v>
      </c>
      <c r="H3014" t="s">
        <v>2664</v>
      </c>
      <c r="I3014">
        <v>12691</v>
      </c>
      <c r="J3014">
        <v>13690</v>
      </c>
      <c r="K3014">
        <v>14620</v>
      </c>
      <c r="L3014">
        <v>15484</v>
      </c>
      <c r="M3014">
        <v>16405</v>
      </c>
      <c r="N3014" t="s">
        <v>988</v>
      </c>
    </row>
    <row r="3015" spans="1:14" hidden="1" x14ac:dyDescent="0.3">
      <c r="A3015">
        <v>1925</v>
      </c>
      <c r="B3015" t="s">
        <v>1824</v>
      </c>
      <c r="C3015" t="s">
        <v>2670</v>
      </c>
      <c r="D3015" t="s">
        <v>1203</v>
      </c>
      <c r="E3015" t="s">
        <v>1204</v>
      </c>
      <c r="F3015">
        <v>6160</v>
      </c>
      <c r="G3015" t="s">
        <v>2675</v>
      </c>
      <c r="H3015" t="s">
        <v>2664</v>
      </c>
      <c r="I3015">
        <v>12691</v>
      </c>
      <c r="J3015">
        <v>13690</v>
      </c>
      <c r="K3015">
        <v>14620</v>
      </c>
      <c r="L3015">
        <v>15484</v>
      </c>
      <c r="M3015">
        <v>16405</v>
      </c>
      <c r="N3015" t="s">
        <v>988</v>
      </c>
    </row>
    <row r="3016" spans="1:14" hidden="1" x14ac:dyDescent="0.3">
      <c r="A3016">
        <v>1925</v>
      </c>
      <c r="B3016" t="s">
        <v>1824</v>
      </c>
      <c r="C3016" t="s">
        <v>2670</v>
      </c>
      <c r="D3016" t="s">
        <v>1203</v>
      </c>
      <c r="E3016" t="s">
        <v>1204</v>
      </c>
      <c r="F3016">
        <v>6160</v>
      </c>
      <c r="G3016" t="s">
        <v>2675</v>
      </c>
      <c r="H3016" t="s">
        <v>2665</v>
      </c>
      <c r="I3016">
        <v>11342</v>
      </c>
      <c r="J3016">
        <v>12341</v>
      </c>
      <c r="K3016">
        <v>13271</v>
      </c>
      <c r="L3016">
        <v>14135</v>
      </c>
      <c r="M3016">
        <v>15056</v>
      </c>
      <c r="N3016" t="s">
        <v>988</v>
      </c>
    </row>
    <row r="3017" spans="1:14" hidden="1" x14ac:dyDescent="0.3">
      <c r="A3017">
        <v>1925</v>
      </c>
      <c r="B3017" t="s">
        <v>1824</v>
      </c>
      <c r="C3017" t="s">
        <v>2670</v>
      </c>
      <c r="D3017" t="s">
        <v>1203</v>
      </c>
      <c r="E3017" t="s">
        <v>1204</v>
      </c>
      <c r="F3017">
        <v>6160</v>
      </c>
      <c r="G3017" t="s">
        <v>2674</v>
      </c>
      <c r="H3017" t="s">
        <v>2664</v>
      </c>
      <c r="I3017">
        <v>12139</v>
      </c>
      <c r="J3017">
        <v>13089</v>
      </c>
      <c r="K3017">
        <v>13972</v>
      </c>
      <c r="L3017">
        <v>14793</v>
      </c>
      <c r="M3017">
        <v>15668</v>
      </c>
      <c r="N3017" t="s">
        <v>988</v>
      </c>
    </row>
    <row r="3018" spans="1:14" hidden="1" x14ac:dyDescent="0.3">
      <c r="A3018">
        <v>1925</v>
      </c>
      <c r="B3018" t="s">
        <v>1824</v>
      </c>
      <c r="C3018" t="s">
        <v>2670</v>
      </c>
      <c r="D3018" t="s">
        <v>1203</v>
      </c>
      <c r="E3018" t="s">
        <v>1204</v>
      </c>
      <c r="F3018">
        <v>6160</v>
      </c>
      <c r="G3018" t="s">
        <v>2674</v>
      </c>
      <c r="H3018" t="s">
        <v>2665</v>
      </c>
      <c r="I3018">
        <v>11342</v>
      </c>
      <c r="J3018">
        <v>12341</v>
      </c>
      <c r="K3018">
        <v>13271</v>
      </c>
      <c r="L3018">
        <v>14135</v>
      </c>
      <c r="M3018">
        <v>15056</v>
      </c>
      <c r="N3018" t="s">
        <v>988</v>
      </c>
    </row>
    <row r="3019" spans="1:14" hidden="1" x14ac:dyDescent="0.3">
      <c r="A3019">
        <v>1925</v>
      </c>
      <c r="B3019" t="s">
        <v>1824</v>
      </c>
      <c r="C3019" t="s">
        <v>2670</v>
      </c>
      <c r="D3019" t="s">
        <v>1203</v>
      </c>
      <c r="E3019" t="s">
        <v>1204</v>
      </c>
      <c r="F3019">
        <v>6160</v>
      </c>
      <c r="G3019" t="s">
        <v>2676</v>
      </c>
      <c r="H3019" t="s">
        <v>2665</v>
      </c>
      <c r="I3019">
        <v>11342</v>
      </c>
      <c r="J3019">
        <v>12341</v>
      </c>
      <c r="K3019">
        <v>13271</v>
      </c>
      <c r="L3019">
        <v>14135</v>
      </c>
      <c r="M3019">
        <v>15056</v>
      </c>
      <c r="N3019" t="s">
        <v>988</v>
      </c>
    </row>
    <row r="3020" spans="1:14" hidden="1" x14ac:dyDescent="0.3">
      <c r="A3020">
        <v>1925</v>
      </c>
      <c r="B3020" t="s">
        <v>1824</v>
      </c>
      <c r="C3020" t="s">
        <v>2670</v>
      </c>
      <c r="D3020" t="s">
        <v>1203</v>
      </c>
      <c r="E3020" t="s">
        <v>1204</v>
      </c>
      <c r="F3020">
        <v>6160</v>
      </c>
      <c r="G3020" t="s">
        <v>2673</v>
      </c>
      <c r="H3020" t="s">
        <v>2665</v>
      </c>
      <c r="I3020">
        <v>11342</v>
      </c>
      <c r="J3020">
        <v>12341</v>
      </c>
      <c r="K3020">
        <v>13271</v>
      </c>
      <c r="L3020">
        <v>14135</v>
      </c>
      <c r="M3020">
        <v>15056</v>
      </c>
      <c r="N3020" t="s">
        <v>988</v>
      </c>
    </row>
    <row r="3021" spans="1:14" hidden="1" x14ac:dyDescent="0.3">
      <c r="A3021">
        <v>1925</v>
      </c>
      <c r="B3021" t="s">
        <v>1824</v>
      </c>
      <c r="C3021" t="s">
        <v>2670</v>
      </c>
      <c r="D3021" t="s">
        <v>1203</v>
      </c>
      <c r="E3021" t="s">
        <v>1204</v>
      </c>
      <c r="F3021">
        <v>6160</v>
      </c>
      <c r="G3021" t="s">
        <v>2671</v>
      </c>
      <c r="H3021" t="s">
        <v>2664</v>
      </c>
      <c r="I3021">
        <v>11036</v>
      </c>
      <c r="J3021">
        <v>11886</v>
      </c>
      <c r="K3021">
        <v>12676</v>
      </c>
      <c r="L3021">
        <v>13410</v>
      </c>
      <c r="M3021">
        <v>14193</v>
      </c>
      <c r="N3021" t="s">
        <v>988</v>
      </c>
    </row>
    <row r="3022" spans="1:14" hidden="1" x14ac:dyDescent="0.3">
      <c r="A3022">
        <v>1925</v>
      </c>
      <c r="B3022" t="s">
        <v>1824</v>
      </c>
      <c r="C3022" t="s">
        <v>2670</v>
      </c>
      <c r="D3022" t="s">
        <v>1203</v>
      </c>
      <c r="E3022" t="s">
        <v>1204</v>
      </c>
      <c r="F3022">
        <v>6160</v>
      </c>
      <c r="G3022" t="s">
        <v>2671</v>
      </c>
      <c r="H3022" t="s">
        <v>2665</v>
      </c>
      <c r="I3022">
        <v>11342</v>
      </c>
      <c r="J3022">
        <v>12341</v>
      </c>
      <c r="K3022">
        <v>13271</v>
      </c>
      <c r="L3022">
        <v>14135</v>
      </c>
      <c r="M3022">
        <v>15056</v>
      </c>
      <c r="N3022" t="s">
        <v>988</v>
      </c>
    </row>
    <row r="3023" spans="1:14" hidden="1" x14ac:dyDescent="0.3">
      <c r="A3023">
        <v>1925</v>
      </c>
      <c r="B3023" t="s">
        <v>1824</v>
      </c>
      <c r="C3023" t="s">
        <v>2670</v>
      </c>
      <c r="D3023" t="s">
        <v>1203</v>
      </c>
      <c r="E3023" t="s">
        <v>1204</v>
      </c>
      <c r="F3023">
        <v>6160</v>
      </c>
      <c r="G3023" t="s">
        <v>2672</v>
      </c>
      <c r="H3023" t="s">
        <v>2664</v>
      </c>
      <c r="N3023" t="s">
        <v>988</v>
      </c>
    </row>
    <row r="3024" spans="1:14" hidden="1" x14ac:dyDescent="0.3">
      <c r="A3024">
        <v>1925</v>
      </c>
      <c r="B3024" t="s">
        <v>1824</v>
      </c>
      <c r="C3024" t="s">
        <v>2670</v>
      </c>
      <c r="D3024" t="s">
        <v>1203</v>
      </c>
      <c r="E3024" t="s">
        <v>1204</v>
      </c>
      <c r="F3024">
        <v>6160</v>
      </c>
      <c r="G3024" t="s">
        <v>2672</v>
      </c>
      <c r="H3024" t="s">
        <v>2665</v>
      </c>
      <c r="N3024" t="s">
        <v>988</v>
      </c>
    </row>
    <row r="3025" spans="1:14" hidden="1" x14ac:dyDescent="0.3">
      <c r="A3025">
        <v>1925</v>
      </c>
      <c r="B3025" t="s">
        <v>1824</v>
      </c>
      <c r="C3025" t="s">
        <v>2670</v>
      </c>
      <c r="D3025" t="s">
        <v>1203</v>
      </c>
      <c r="E3025" t="s">
        <v>1204</v>
      </c>
      <c r="F3025">
        <v>6160</v>
      </c>
      <c r="G3025" t="s">
        <v>2673</v>
      </c>
      <c r="H3025" t="s">
        <v>2664</v>
      </c>
      <c r="I3025">
        <v>11588</v>
      </c>
      <c r="J3025">
        <v>12487</v>
      </c>
      <c r="K3025">
        <v>13324</v>
      </c>
      <c r="L3025">
        <v>14102</v>
      </c>
      <c r="M3025">
        <v>14931</v>
      </c>
      <c r="N3025" t="s">
        <v>988</v>
      </c>
    </row>
    <row r="3026" spans="1:14" hidden="1" x14ac:dyDescent="0.3">
      <c r="A3026">
        <v>1927</v>
      </c>
      <c r="B3026" t="s">
        <v>771</v>
      </c>
      <c r="C3026" t="s">
        <v>2670</v>
      </c>
      <c r="D3026" t="s">
        <v>1203</v>
      </c>
      <c r="E3026" t="s">
        <v>1204</v>
      </c>
      <c r="F3026">
        <v>6885</v>
      </c>
      <c r="G3026" t="s">
        <v>2671</v>
      </c>
      <c r="H3026" t="s">
        <v>2664</v>
      </c>
      <c r="I3026">
        <v>249100</v>
      </c>
      <c r="J3026">
        <v>279850</v>
      </c>
      <c r="K3026">
        <v>282350</v>
      </c>
      <c r="L3026">
        <v>285350</v>
      </c>
      <c r="N3026" t="s">
        <v>988</v>
      </c>
    </row>
    <row r="3027" spans="1:14" hidden="1" x14ac:dyDescent="0.3">
      <c r="A3027">
        <v>1927</v>
      </c>
      <c r="B3027" t="s">
        <v>771</v>
      </c>
      <c r="C3027" t="s">
        <v>2670</v>
      </c>
      <c r="D3027" t="s">
        <v>1203</v>
      </c>
      <c r="E3027" t="s">
        <v>1204</v>
      </c>
      <c r="F3027">
        <v>6885</v>
      </c>
      <c r="G3027" t="s">
        <v>2671</v>
      </c>
      <c r="H3027" t="s">
        <v>2665</v>
      </c>
      <c r="I3027">
        <v>145725</v>
      </c>
      <c r="J3027">
        <v>155170</v>
      </c>
      <c r="K3027">
        <v>168460</v>
      </c>
      <c r="L3027">
        <v>197988</v>
      </c>
      <c r="N3027" t="s">
        <v>988</v>
      </c>
    </row>
    <row r="3028" spans="1:14" hidden="1" x14ac:dyDescent="0.3">
      <c r="A3028">
        <v>1927</v>
      </c>
      <c r="B3028" t="s">
        <v>771</v>
      </c>
      <c r="C3028" t="s">
        <v>2670</v>
      </c>
      <c r="D3028" t="s">
        <v>1203</v>
      </c>
      <c r="E3028" t="s">
        <v>1204</v>
      </c>
      <c r="F3028">
        <v>6885</v>
      </c>
      <c r="G3028" t="s">
        <v>2673</v>
      </c>
      <c r="H3028" t="s">
        <v>2664</v>
      </c>
      <c r="I3028">
        <v>249100</v>
      </c>
      <c r="J3028">
        <v>279850</v>
      </c>
      <c r="K3028">
        <v>282350</v>
      </c>
      <c r="L3028">
        <v>285350</v>
      </c>
      <c r="N3028" t="s">
        <v>988</v>
      </c>
    </row>
    <row r="3029" spans="1:14" hidden="1" x14ac:dyDescent="0.3">
      <c r="A3029">
        <v>1927</v>
      </c>
      <c r="B3029" t="s">
        <v>771</v>
      </c>
      <c r="C3029" t="s">
        <v>2670</v>
      </c>
      <c r="D3029" t="s">
        <v>1203</v>
      </c>
      <c r="E3029" t="s">
        <v>1204</v>
      </c>
      <c r="F3029">
        <v>6885</v>
      </c>
      <c r="G3029" t="s">
        <v>2674</v>
      </c>
      <c r="H3029" t="s">
        <v>2665</v>
      </c>
      <c r="I3029">
        <v>145725</v>
      </c>
      <c r="J3029">
        <v>155170</v>
      </c>
      <c r="K3029">
        <v>168460</v>
      </c>
      <c r="L3029">
        <v>197988</v>
      </c>
      <c r="N3029" t="s">
        <v>988</v>
      </c>
    </row>
    <row r="3030" spans="1:14" hidden="1" x14ac:dyDescent="0.3">
      <c r="A3030">
        <v>1927</v>
      </c>
      <c r="B3030" t="s">
        <v>771</v>
      </c>
      <c r="C3030" t="s">
        <v>2670</v>
      </c>
      <c r="D3030" t="s">
        <v>1203</v>
      </c>
      <c r="E3030" t="s">
        <v>1204</v>
      </c>
      <c r="F3030">
        <v>6885</v>
      </c>
      <c r="G3030" t="s">
        <v>2674</v>
      </c>
      <c r="H3030" t="s">
        <v>2664</v>
      </c>
      <c r="I3030">
        <v>249100</v>
      </c>
      <c r="J3030">
        <v>279850</v>
      </c>
      <c r="K3030">
        <v>282350</v>
      </c>
      <c r="L3030">
        <v>285350</v>
      </c>
      <c r="N3030" t="s">
        <v>988</v>
      </c>
    </row>
    <row r="3031" spans="1:14" hidden="1" x14ac:dyDescent="0.3">
      <c r="A3031">
        <v>1927</v>
      </c>
      <c r="B3031" t="s">
        <v>771</v>
      </c>
      <c r="C3031" t="s">
        <v>2670</v>
      </c>
      <c r="D3031" t="s">
        <v>1203</v>
      </c>
      <c r="E3031" t="s">
        <v>1204</v>
      </c>
      <c r="F3031">
        <v>6885</v>
      </c>
      <c r="G3031" t="s">
        <v>2675</v>
      </c>
      <c r="H3031" t="s">
        <v>2665</v>
      </c>
      <c r="I3031">
        <v>145725</v>
      </c>
      <c r="J3031">
        <v>155170</v>
      </c>
      <c r="K3031">
        <v>168460</v>
      </c>
      <c r="L3031">
        <v>197988</v>
      </c>
      <c r="N3031" t="s">
        <v>988</v>
      </c>
    </row>
    <row r="3032" spans="1:14" hidden="1" x14ac:dyDescent="0.3">
      <c r="A3032">
        <v>1927</v>
      </c>
      <c r="B3032" t="s">
        <v>771</v>
      </c>
      <c r="C3032" t="s">
        <v>2670</v>
      </c>
      <c r="D3032" t="s">
        <v>1203</v>
      </c>
      <c r="E3032" t="s">
        <v>1204</v>
      </c>
      <c r="F3032">
        <v>6885</v>
      </c>
      <c r="G3032" t="s">
        <v>2675</v>
      </c>
      <c r="H3032" t="s">
        <v>2664</v>
      </c>
      <c r="I3032">
        <v>249100</v>
      </c>
      <c r="J3032">
        <v>279850</v>
      </c>
      <c r="K3032">
        <v>282350</v>
      </c>
      <c r="L3032">
        <v>285350</v>
      </c>
      <c r="N3032" t="s">
        <v>988</v>
      </c>
    </row>
    <row r="3033" spans="1:14" hidden="1" x14ac:dyDescent="0.3">
      <c r="A3033">
        <v>1927</v>
      </c>
      <c r="B3033" t="s">
        <v>771</v>
      </c>
      <c r="C3033" t="s">
        <v>2670</v>
      </c>
      <c r="D3033" t="s">
        <v>1203</v>
      </c>
      <c r="E3033" t="s">
        <v>1204</v>
      </c>
      <c r="F3033">
        <v>6885</v>
      </c>
      <c r="G3033" t="s">
        <v>2676</v>
      </c>
      <c r="H3033" t="s">
        <v>2665</v>
      </c>
      <c r="I3033">
        <v>145725</v>
      </c>
      <c r="J3033">
        <v>155170</v>
      </c>
      <c r="K3033">
        <v>168460</v>
      </c>
      <c r="L3033">
        <v>197988</v>
      </c>
      <c r="N3033" t="s">
        <v>988</v>
      </c>
    </row>
    <row r="3034" spans="1:14" hidden="1" x14ac:dyDescent="0.3">
      <c r="A3034">
        <v>1927</v>
      </c>
      <c r="B3034" t="s">
        <v>771</v>
      </c>
      <c r="C3034" t="s">
        <v>2670</v>
      </c>
      <c r="D3034" t="s">
        <v>1203</v>
      </c>
      <c r="E3034" t="s">
        <v>1204</v>
      </c>
      <c r="F3034">
        <v>6885</v>
      </c>
      <c r="G3034" t="s">
        <v>2673</v>
      </c>
      <c r="H3034" t="s">
        <v>2665</v>
      </c>
      <c r="I3034">
        <v>145725</v>
      </c>
      <c r="J3034">
        <v>155170</v>
      </c>
      <c r="K3034">
        <v>168460</v>
      </c>
      <c r="L3034">
        <v>197988</v>
      </c>
      <c r="N3034" t="s">
        <v>988</v>
      </c>
    </row>
    <row r="3035" spans="1:14" hidden="1" x14ac:dyDescent="0.3">
      <c r="A3035">
        <v>1927</v>
      </c>
      <c r="B3035" t="s">
        <v>771</v>
      </c>
      <c r="C3035" t="s">
        <v>2670</v>
      </c>
      <c r="D3035" t="s">
        <v>1203</v>
      </c>
      <c r="E3035" t="s">
        <v>1204</v>
      </c>
      <c r="F3035">
        <v>6885</v>
      </c>
      <c r="G3035" t="s">
        <v>2672</v>
      </c>
      <c r="H3035" t="s">
        <v>2664</v>
      </c>
      <c r="N3035" t="s">
        <v>988</v>
      </c>
    </row>
    <row r="3036" spans="1:14" hidden="1" x14ac:dyDescent="0.3">
      <c r="A3036">
        <v>1927</v>
      </c>
      <c r="B3036" t="s">
        <v>771</v>
      </c>
      <c r="C3036" t="s">
        <v>2670</v>
      </c>
      <c r="D3036" t="s">
        <v>1203</v>
      </c>
      <c r="E3036" t="s">
        <v>1204</v>
      </c>
      <c r="F3036">
        <v>6885</v>
      </c>
      <c r="G3036" t="s">
        <v>2672</v>
      </c>
      <c r="H3036" t="s">
        <v>2665</v>
      </c>
      <c r="N3036" t="s">
        <v>988</v>
      </c>
    </row>
    <row r="3037" spans="1:14" hidden="1" x14ac:dyDescent="0.3">
      <c r="A3037">
        <v>1927</v>
      </c>
      <c r="B3037" t="s">
        <v>771</v>
      </c>
      <c r="C3037" t="s">
        <v>2670</v>
      </c>
      <c r="D3037" t="s">
        <v>1203</v>
      </c>
      <c r="E3037" t="s">
        <v>1204</v>
      </c>
      <c r="F3037">
        <v>6885</v>
      </c>
      <c r="G3037" t="s">
        <v>2676</v>
      </c>
      <c r="H3037" t="s">
        <v>2664</v>
      </c>
      <c r="I3037">
        <v>249100</v>
      </c>
      <c r="J3037">
        <v>279850</v>
      </c>
      <c r="K3037">
        <v>282350</v>
      </c>
      <c r="L3037">
        <v>285350</v>
      </c>
      <c r="N3037" t="s">
        <v>988</v>
      </c>
    </row>
    <row r="3038" spans="1:14" hidden="1" x14ac:dyDescent="0.3">
      <c r="A3038">
        <v>1940</v>
      </c>
      <c r="B3038" t="s">
        <v>1828</v>
      </c>
      <c r="C3038" t="s">
        <v>2670</v>
      </c>
      <c r="D3038" t="s">
        <v>159</v>
      </c>
      <c r="E3038" t="s">
        <v>159</v>
      </c>
      <c r="F3038">
        <v>7213</v>
      </c>
      <c r="G3038" t="s">
        <v>2673</v>
      </c>
      <c r="H3038" t="s">
        <v>2665</v>
      </c>
      <c r="I3038">
        <v>18629</v>
      </c>
      <c r="J3038">
        <v>19188</v>
      </c>
      <c r="K3038">
        <v>19776</v>
      </c>
      <c r="L3038">
        <v>20036</v>
      </c>
      <c r="M3038">
        <v>20036</v>
      </c>
      <c r="N3038" t="s">
        <v>988</v>
      </c>
    </row>
    <row r="3039" spans="1:14" hidden="1" x14ac:dyDescent="0.3">
      <c r="A3039">
        <v>1940</v>
      </c>
      <c r="B3039" t="s">
        <v>1828</v>
      </c>
      <c r="C3039" t="s">
        <v>2670</v>
      </c>
      <c r="D3039" t="s">
        <v>159</v>
      </c>
      <c r="E3039" t="s">
        <v>159</v>
      </c>
      <c r="F3039">
        <v>7213</v>
      </c>
      <c r="G3039" t="s">
        <v>2673</v>
      </c>
      <c r="H3039" t="s">
        <v>2664</v>
      </c>
      <c r="I3039">
        <v>18629</v>
      </c>
      <c r="J3039">
        <v>19188</v>
      </c>
      <c r="K3039">
        <v>19776</v>
      </c>
      <c r="L3039">
        <v>20036</v>
      </c>
      <c r="M3039">
        <v>20036</v>
      </c>
      <c r="N3039" t="s">
        <v>988</v>
      </c>
    </row>
    <row r="3040" spans="1:14" hidden="1" x14ac:dyDescent="0.3">
      <c r="A3040">
        <v>1940</v>
      </c>
      <c r="B3040" t="s">
        <v>1828</v>
      </c>
      <c r="C3040" t="s">
        <v>2670</v>
      </c>
      <c r="D3040" t="s">
        <v>159</v>
      </c>
      <c r="E3040" t="s">
        <v>159</v>
      </c>
      <c r="F3040">
        <v>7213</v>
      </c>
      <c r="G3040" t="s">
        <v>2674</v>
      </c>
      <c r="H3040" t="s">
        <v>2665</v>
      </c>
      <c r="I3040">
        <v>18499</v>
      </c>
      <c r="J3040">
        <v>19088</v>
      </c>
      <c r="K3040">
        <v>19647</v>
      </c>
      <c r="L3040">
        <v>20036</v>
      </c>
      <c r="M3040">
        <v>20036</v>
      </c>
      <c r="N3040" t="s">
        <v>988</v>
      </c>
    </row>
    <row r="3041" spans="1:14" hidden="1" x14ac:dyDescent="0.3">
      <c r="A3041">
        <v>1940</v>
      </c>
      <c r="B3041" t="s">
        <v>1828</v>
      </c>
      <c r="C3041" t="s">
        <v>2670</v>
      </c>
      <c r="D3041" t="s">
        <v>159</v>
      </c>
      <c r="E3041" t="s">
        <v>159</v>
      </c>
      <c r="F3041">
        <v>7213</v>
      </c>
      <c r="G3041" t="s">
        <v>2674</v>
      </c>
      <c r="H3041" t="s">
        <v>2664</v>
      </c>
      <c r="I3041">
        <v>18499</v>
      </c>
      <c r="J3041">
        <v>19088</v>
      </c>
      <c r="K3041">
        <v>19647</v>
      </c>
      <c r="L3041">
        <v>20036</v>
      </c>
      <c r="M3041">
        <v>20036</v>
      </c>
      <c r="N3041" t="s">
        <v>988</v>
      </c>
    </row>
    <row r="3042" spans="1:14" hidden="1" x14ac:dyDescent="0.3">
      <c r="A3042">
        <v>1940</v>
      </c>
      <c r="B3042" t="s">
        <v>1828</v>
      </c>
      <c r="C3042" t="s">
        <v>2670</v>
      </c>
      <c r="D3042" t="s">
        <v>159</v>
      </c>
      <c r="E3042" t="s">
        <v>159</v>
      </c>
      <c r="F3042">
        <v>7213</v>
      </c>
      <c r="G3042" t="s">
        <v>2675</v>
      </c>
      <c r="H3042" t="s">
        <v>2665</v>
      </c>
      <c r="I3042">
        <v>18370</v>
      </c>
      <c r="J3042">
        <v>18988</v>
      </c>
      <c r="K3042">
        <v>19517</v>
      </c>
      <c r="L3042">
        <v>20036</v>
      </c>
      <c r="M3042">
        <v>20036</v>
      </c>
      <c r="N3042" t="s">
        <v>988</v>
      </c>
    </row>
    <row r="3043" spans="1:14" hidden="1" x14ac:dyDescent="0.3">
      <c r="A3043">
        <v>1940</v>
      </c>
      <c r="B3043" t="s">
        <v>1828</v>
      </c>
      <c r="C3043" t="s">
        <v>2670</v>
      </c>
      <c r="D3043" t="s">
        <v>159</v>
      </c>
      <c r="E3043" t="s">
        <v>159</v>
      </c>
      <c r="F3043">
        <v>7213</v>
      </c>
      <c r="G3043" t="s">
        <v>2672</v>
      </c>
      <c r="H3043" t="s">
        <v>2665</v>
      </c>
      <c r="N3043" t="s">
        <v>988</v>
      </c>
    </row>
    <row r="3044" spans="1:14" hidden="1" x14ac:dyDescent="0.3">
      <c r="A3044">
        <v>1940</v>
      </c>
      <c r="B3044" t="s">
        <v>1828</v>
      </c>
      <c r="C3044" t="s">
        <v>2670</v>
      </c>
      <c r="D3044" t="s">
        <v>159</v>
      </c>
      <c r="E3044" t="s">
        <v>159</v>
      </c>
      <c r="F3044">
        <v>7213</v>
      </c>
      <c r="G3044" t="s">
        <v>2676</v>
      </c>
      <c r="H3044" t="s">
        <v>2665</v>
      </c>
      <c r="I3044">
        <v>18240</v>
      </c>
      <c r="J3044">
        <v>18889</v>
      </c>
      <c r="K3044">
        <v>19387</v>
      </c>
      <c r="L3044">
        <v>20036</v>
      </c>
      <c r="M3044">
        <v>20036</v>
      </c>
      <c r="N3044" t="s">
        <v>988</v>
      </c>
    </row>
    <row r="3045" spans="1:14" hidden="1" x14ac:dyDescent="0.3">
      <c r="A3045">
        <v>1940</v>
      </c>
      <c r="B3045" t="s">
        <v>1828</v>
      </c>
      <c r="C3045" t="s">
        <v>2670</v>
      </c>
      <c r="D3045" t="s">
        <v>159</v>
      </c>
      <c r="E3045" t="s">
        <v>159</v>
      </c>
      <c r="F3045">
        <v>7213</v>
      </c>
      <c r="G3045" t="s">
        <v>2676</v>
      </c>
      <c r="H3045" t="s">
        <v>2664</v>
      </c>
      <c r="I3045">
        <v>18240</v>
      </c>
      <c r="J3045">
        <v>18889</v>
      </c>
      <c r="K3045">
        <v>19387</v>
      </c>
      <c r="L3045">
        <v>20036</v>
      </c>
      <c r="M3045">
        <v>20036</v>
      </c>
      <c r="N3045" t="s">
        <v>988</v>
      </c>
    </row>
    <row r="3046" spans="1:14" hidden="1" x14ac:dyDescent="0.3">
      <c r="A3046">
        <v>1940</v>
      </c>
      <c r="B3046" t="s">
        <v>1828</v>
      </c>
      <c r="C3046" t="s">
        <v>2670</v>
      </c>
      <c r="D3046" t="s">
        <v>159</v>
      </c>
      <c r="E3046" t="s">
        <v>159</v>
      </c>
      <c r="F3046">
        <v>7213</v>
      </c>
      <c r="G3046" t="s">
        <v>2671</v>
      </c>
      <c r="H3046" t="s">
        <v>2664</v>
      </c>
      <c r="I3046">
        <v>18759</v>
      </c>
      <c r="J3046">
        <v>19287</v>
      </c>
      <c r="K3046">
        <v>19906</v>
      </c>
      <c r="L3046">
        <v>20036</v>
      </c>
      <c r="M3046">
        <v>20036</v>
      </c>
      <c r="N3046" t="s">
        <v>988</v>
      </c>
    </row>
    <row r="3047" spans="1:14" hidden="1" x14ac:dyDescent="0.3">
      <c r="A3047">
        <v>1940</v>
      </c>
      <c r="B3047" t="s">
        <v>1828</v>
      </c>
      <c r="C3047" t="s">
        <v>2670</v>
      </c>
      <c r="D3047" t="s">
        <v>159</v>
      </c>
      <c r="E3047" t="s">
        <v>159</v>
      </c>
      <c r="F3047">
        <v>7213</v>
      </c>
      <c r="G3047" t="s">
        <v>2671</v>
      </c>
      <c r="H3047" t="s">
        <v>2665</v>
      </c>
      <c r="I3047">
        <v>18759</v>
      </c>
      <c r="J3047">
        <v>19287</v>
      </c>
      <c r="K3047">
        <v>19906</v>
      </c>
      <c r="L3047">
        <v>20036</v>
      </c>
      <c r="M3047">
        <v>20036</v>
      </c>
      <c r="N3047" t="s">
        <v>988</v>
      </c>
    </row>
    <row r="3048" spans="1:14" hidden="1" x14ac:dyDescent="0.3">
      <c r="A3048">
        <v>1940</v>
      </c>
      <c r="B3048" t="s">
        <v>1828</v>
      </c>
      <c r="C3048" t="s">
        <v>2670</v>
      </c>
      <c r="D3048" t="s">
        <v>159</v>
      </c>
      <c r="E3048" t="s">
        <v>159</v>
      </c>
      <c r="F3048">
        <v>7213</v>
      </c>
      <c r="G3048" t="s">
        <v>2672</v>
      </c>
      <c r="H3048" t="s">
        <v>2664</v>
      </c>
      <c r="N3048" t="s">
        <v>988</v>
      </c>
    </row>
    <row r="3049" spans="1:14" hidden="1" x14ac:dyDescent="0.3">
      <c r="A3049">
        <v>1940</v>
      </c>
      <c r="B3049" t="s">
        <v>1828</v>
      </c>
      <c r="C3049" t="s">
        <v>2670</v>
      </c>
      <c r="D3049" t="s">
        <v>159</v>
      </c>
      <c r="E3049" t="s">
        <v>159</v>
      </c>
      <c r="F3049">
        <v>7213</v>
      </c>
      <c r="G3049" t="s">
        <v>2675</v>
      </c>
      <c r="H3049" t="s">
        <v>2664</v>
      </c>
      <c r="I3049">
        <v>18370</v>
      </c>
      <c r="J3049">
        <v>18988</v>
      </c>
      <c r="K3049">
        <v>19517</v>
      </c>
      <c r="L3049">
        <v>20036</v>
      </c>
      <c r="M3049">
        <v>20036</v>
      </c>
      <c r="N3049" t="s">
        <v>988</v>
      </c>
    </row>
    <row r="3050" spans="1:14" hidden="1" x14ac:dyDescent="0.3">
      <c r="A3050">
        <v>1945</v>
      </c>
      <c r="B3050" t="s">
        <v>1829</v>
      </c>
      <c r="C3050" t="s">
        <v>2670</v>
      </c>
      <c r="D3050" t="s">
        <v>1203</v>
      </c>
      <c r="E3050" t="s">
        <v>1204</v>
      </c>
      <c r="F3050">
        <v>5546</v>
      </c>
      <c r="G3050" t="s">
        <v>2674</v>
      </c>
      <c r="H3050" t="s">
        <v>2665</v>
      </c>
      <c r="I3050">
        <v>30150</v>
      </c>
      <c r="J3050">
        <v>31159</v>
      </c>
      <c r="K3050">
        <v>32205</v>
      </c>
      <c r="L3050">
        <v>33222</v>
      </c>
      <c r="M3050">
        <v>34275</v>
      </c>
      <c r="N3050" t="s">
        <v>988</v>
      </c>
    </row>
    <row r="3051" spans="1:14" hidden="1" x14ac:dyDescent="0.3">
      <c r="A3051">
        <v>1945</v>
      </c>
      <c r="B3051" t="s">
        <v>1829</v>
      </c>
      <c r="C3051" t="s">
        <v>2670</v>
      </c>
      <c r="D3051" t="s">
        <v>1203</v>
      </c>
      <c r="E3051" t="s">
        <v>1204</v>
      </c>
      <c r="F3051">
        <v>5546</v>
      </c>
      <c r="G3051" t="s">
        <v>2673</v>
      </c>
      <c r="H3051" t="s">
        <v>2664</v>
      </c>
      <c r="I3051">
        <v>29731</v>
      </c>
      <c r="J3051">
        <v>30726</v>
      </c>
      <c r="K3051">
        <v>31758</v>
      </c>
      <c r="L3051">
        <v>32761</v>
      </c>
      <c r="M3051">
        <v>33799</v>
      </c>
      <c r="N3051" t="s">
        <v>988</v>
      </c>
    </row>
    <row r="3052" spans="1:14" hidden="1" x14ac:dyDescent="0.3">
      <c r="A3052">
        <v>1945</v>
      </c>
      <c r="B3052" t="s">
        <v>1829</v>
      </c>
      <c r="C3052" t="s">
        <v>2670</v>
      </c>
      <c r="D3052" t="s">
        <v>1203</v>
      </c>
      <c r="E3052" t="s">
        <v>1204</v>
      </c>
      <c r="F3052">
        <v>5546</v>
      </c>
      <c r="G3052" t="s">
        <v>2676</v>
      </c>
      <c r="H3052" t="s">
        <v>2664</v>
      </c>
      <c r="I3052">
        <v>27237</v>
      </c>
      <c r="J3052">
        <v>28148</v>
      </c>
      <c r="K3052">
        <v>29094</v>
      </c>
      <c r="L3052">
        <v>30012</v>
      </c>
      <c r="M3052">
        <v>30963</v>
      </c>
      <c r="N3052" t="s">
        <v>988</v>
      </c>
    </row>
    <row r="3053" spans="1:14" hidden="1" x14ac:dyDescent="0.3">
      <c r="A3053">
        <v>1945</v>
      </c>
      <c r="B3053" t="s">
        <v>1829</v>
      </c>
      <c r="C3053" t="s">
        <v>2670</v>
      </c>
      <c r="D3053" t="s">
        <v>1203</v>
      </c>
      <c r="E3053" t="s">
        <v>1204</v>
      </c>
      <c r="F3053">
        <v>5546</v>
      </c>
      <c r="G3053" t="s">
        <v>2676</v>
      </c>
      <c r="H3053" t="s">
        <v>2665</v>
      </c>
      <c r="I3053">
        <v>27237</v>
      </c>
      <c r="J3053">
        <v>28148</v>
      </c>
      <c r="K3053">
        <v>29094</v>
      </c>
      <c r="L3053">
        <v>30012</v>
      </c>
      <c r="M3053">
        <v>30963</v>
      </c>
      <c r="N3053" t="s">
        <v>988</v>
      </c>
    </row>
    <row r="3054" spans="1:14" hidden="1" x14ac:dyDescent="0.3">
      <c r="A3054">
        <v>1945</v>
      </c>
      <c r="B3054" t="s">
        <v>1829</v>
      </c>
      <c r="C3054" t="s">
        <v>2670</v>
      </c>
      <c r="D3054" t="s">
        <v>1203</v>
      </c>
      <c r="E3054" t="s">
        <v>1204</v>
      </c>
      <c r="F3054">
        <v>5546</v>
      </c>
      <c r="G3054" t="s">
        <v>2675</v>
      </c>
      <c r="H3054" t="s">
        <v>2664</v>
      </c>
      <c r="I3054">
        <v>28985</v>
      </c>
      <c r="J3054">
        <v>29955</v>
      </c>
      <c r="K3054">
        <v>30961</v>
      </c>
      <c r="L3054">
        <v>31939</v>
      </c>
      <c r="M3054">
        <v>32950</v>
      </c>
      <c r="N3054" t="s">
        <v>988</v>
      </c>
    </row>
    <row r="3055" spans="1:14" hidden="1" x14ac:dyDescent="0.3">
      <c r="A3055">
        <v>1945</v>
      </c>
      <c r="B3055" t="s">
        <v>1829</v>
      </c>
      <c r="C3055" t="s">
        <v>2670</v>
      </c>
      <c r="D3055" t="s">
        <v>1203</v>
      </c>
      <c r="E3055" t="s">
        <v>1204</v>
      </c>
      <c r="F3055">
        <v>5546</v>
      </c>
      <c r="G3055" t="s">
        <v>2675</v>
      </c>
      <c r="H3055" t="s">
        <v>2665</v>
      </c>
      <c r="I3055">
        <v>28985</v>
      </c>
      <c r="J3055">
        <v>29955</v>
      </c>
      <c r="K3055">
        <v>30961</v>
      </c>
      <c r="L3055">
        <v>31939</v>
      </c>
      <c r="M3055">
        <v>32950</v>
      </c>
      <c r="N3055" t="s">
        <v>988</v>
      </c>
    </row>
    <row r="3056" spans="1:14" hidden="1" x14ac:dyDescent="0.3">
      <c r="A3056">
        <v>1945</v>
      </c>
      <c r="B3056" t="s">
        <v>1829</v>
      </c>
      <c r="C3056" t="s">
        <v>2670</v>
      </c>
      <c r="D3056" t="s">
        <v>1203</v>
      </c>
      <c r="E3056" t="s">
        <v>1204</v>
      </c>
      <c r="F3056">
        <v>5546</v>
      </c>
      <c r="G3056" t="s">
        <v>2674</v>
      </c>
      <c r="H3056" t="s">
        <v>2664</v>
      </c>
      <c r="I3056">
        <v>30150</v>
      </c>
      <c r="J3056">
        <v>31159</v>
      </c>
      <c r="K3056">
        <v>32205</v>
      </c>
      <c r="L3056">
        <v>33222</v>
      </c>
      <c r="M3056">
        <v>34275</v>
      </c>
      <c r="N3056" t="s">
        <v>988</v>
      </c>
    </row>
    <row r="3057" spans="1:14" hidden="1" x14ac:dyDescent="0.3">
      <c r="A3057">
        <v>1945</v>
      </c>
      <c r="B3057" t="s">
        <v>1829</v>
      </c>
      <c r="C3057" t="s">
        <v>2670</v>
      </c>
      <c r="D3057" t="s">
        <v>1203</v>
      </c>
      <c r="E3057" t="s">
        <v>1204</v>
      </c>
      <c r="F3057">
        <v>5546</v>
      </c>
      <c r="G3057" t="s">
        <v>2672</v>
      </c>
      <c r="H3057" t="s">
        <v>2665</v>
      </c>
      <c r="N3057" t="s">
        <v>988</v>
      </c>
    </row>
    <row r="3058" spans="1:14" hidden="1" x14ac:dyDescent="0.3">
      <c r="A3058">
        <v>1945</v>
      </c>
      <c r="B3058" t="s">
        <v>1829</v>
      </c>
      <c r="C3058" t="s">
        <v>2670</v>
      </c>
      <c r="D3058" t="s">
        <v>1203</v>
      </c>
      <c r="E3058" t="s">
        <v>1204</v>
      </c>
      <c r="F3058">
        <v>5546</v>
      </c>
      <c r="G3058" t="s">
        <v>2672</v>
      </c>
      <c r="H3058" t="s">
        <v>2664</v>
      </c>
      <c r="N3058" t="s">
        <v>988</v>
      </c>
    </row>
    <row r="3059" spans="1:14" hidden="1" x14ac:dyDescent="0.3">
      <c r="A3059">
        <v>1945</v>
      </c>
      <c r="B3059" t="s">
        <v>1829</v>
      </c>
      <c r="C3059" t="s">
        <v>2670</v>
      </c>
      <c r="D3059" t="s">
        <v>1203</v>
      </c>
      <c r="E3059" t="s">
        <v>1204</v>
      </c>
      <c r="F3059">
        <v>5546</v>
      </c>
      <c r="G3059" t="s">
        <v>2671</v>
      </c>
      <c r="H3059" t="s">
        <v>2665</v>
      </c>
      <c r="I3059">
        <v>24617</v>
      </c>
      <c r="J3059">
        <v>25441</v>
      </c>
      <c r="K3059">
        <v>26296</v>
      </c>
      <c r="L3059">
        <v>27126</v>
      </c>
      <c r="M3059">
        <v>27985</v>
      </c>
      <c r="N3059" t="s">
        <v>988</v>
      </c>
    </row>
    <row r="3060" spans="1:14" hidden="1" x14ac:dyDescent="0.3">
      <c r="A3060">
        <v>1945</v>
      </c>
      <c r="B3060" t="s">
        <v>1829</v>
      </c>
      <c r="C3060" t="s">
        <v>2670</v>
      </c>
      <c r="D3060" t="s">
        <v>1203</v>
      </c>
      <c r="E3060" t="s">
        <v>1204</v>
      </c>
      <c r="F3060">
        <v>5546</v>
      </c>
      <c r="G3060" t="s">
        <v>2671</v>
      </c>
      <c r="H3060" t="s">
        <v>2664</v>
      </c>
      <c r="I3060">
        <v>24617</v>
      </c>
      <c r="J3060">
        <v>25441</v>
      </c>
      <c r="K3060">
        <v>26296</v>
      </c>
      <c r="L3060">
        <v>27126</v>
      </c>
      <c r="M3060">
        <v>27985</v>
      </c>
      <c r="N3060" t="s">
        <v>988</v>
      </c>
    </row>
    <row r="3061" spans="1:14" hidden="1" x14ac:dyDescent="0.3">
      <c r="A3061">
        <v>1945</v>
      </c>
      <c r="B3061" t="s">
        <v>1829</v>
      </c>
      <c r="C3061" t="s">
        <v>2670</v>
      </c>
      <c r="D3061" t="s">
        <v>1203</v>
      </c>
      <c r="E3061" t="s">
        <v>1204</v>
      </c>
      <c r="F3061">
        <v>5546</v>
      </c>
      <c r="G3061" t="s">
        <v>2673</v>
      </c>
      <c r="H3061" t="s">
        <v>2665</v>
      </c>
      <c r="I3061">
        <v>29731</v>
      </c>
      <c r="J3061">
        <v>30726</v>
      </c>
      <c r="K3061">
        <v>31758</v>
      </c>
      <c r="L3061">
        <v>32761</v>
      </c>
      <c r="M3061">
        <v>33799</v>
      </c>
      <c r="N3061" t="s">
        <v>988</v>
      </c>
    </row>
    <row r="3062" spans="1:14" hidden="1" x14ac:dyDescent="0.3">
      <c r="A3062">
        <v>1953</v>
      </c>
      <c r="B3062" t="s">
        <v>1830</v>
      </c>
      <c r="C3062" t="s">
        <v>2670</v>
      </c>
      <c r="D3062" t="s">
        <v>1203</v>
      </c>
      <c r="E3062" t="s">
        <v>1204</v>
      </c>
      <c r="F3062">
        <v>5730</v>
      </c>
      <c r="G3062" t="s">
        <v>2671</v>
      </c>
      <c r="H3062" t="s">
        <v>2664</v>
      </c>
      <c r="I3062">
        <v>3701</v>
      </c>
      <c r="J3062">
        <v>3420</v>
      </c>
      <c r="K3062">
        <v>3140</v>
      </c>
      <c r="L3062">
        <v>2859</v>
      </c>
      <c r="M3062">
        <v>2616</v>
      </c>
      <c r="N3062" t="s">
        <v>988</v>
      </c>
    </row>
    <row r="3063" spans="1:14" hidden="1" x14ac:dyDescent="0.3">
      <c r="A3063">
        <v>1953</v>
      </c>
      <c r="B3063" t="s">
        <v>1830</v>
      </c>
      <c r="C3063" t="s">
        <v>2670</v>
      </c>
      <c r="D3063" t="s">
        <v>1203</v>
      </c>
      <c r="E3063" t="s">
        <v>1204</v>
      </c>
      <c r="F3063">
        <v>5730</v>
      </c>
      <c r="G3063" t="s">
        <v>2671</v>
      </c>
      <c r="H3063" t="s">
        <v>2665</v>
      </c>
      <c r="I3063">
        <v>1958</v>
      </c>
      <c r="J3063">
        <v>2017</v>
      </c>
      <c r="K3063">
        <v>2077</v>
      </c>
      <c r="L3063">
        <v>2142</v>
      </c>
      <c r="M3063">
        <v>2149</v>
      </c>
      <c r="N3063" t="s">
        <v>988</v>
      </c>
    </row>
    <row r="3064" spans="1:14" hidden="1" x14ac:dyDescent="0.3">
      <c r="A3064">
        <v>1953</v>
      </c>
      <c r="B3064" t="s">
        <v>1830</v>
      </c>
      <c r="C3064" t="s">
        <v>2670</v>
      </c>
      <c r="D3064" t="s">
        <v>1203</v>
      </c>
      <c r="E3064" t="s">
        <v>1204</v>
      </c>
      <c r="F3064">
        <v>5730</v>
      </c>
      <c r="G3064" t="s">
        <v>2675</v>
      </c>
      <c r="H3064" t="s">
        <v>2665</v>
      </c>
      <c r="I3064">
        <v>1958</v>
      </c>
      <c r="J3064">
        <v>2017</v>
      </c>
      <c r="K3064">
        <v>2077</v>
      </c>
      <c r="L3064">
        <v>2142</v>
      </c>
      <c r="M3064">
        <v>2149</v>
      </c>
      <c r="N3064" t="s">
        <v>988</v>
      </c>
    </row>
    <row r="3065" spans="1:14" hidden="1" x14ac:dyDescent="0.3">
      <c r="A3065">
        <v>1953</v>
      </c>
      <c r="B3065" t="s">
        <v>1830</v>
      </c>
      <c r="C3065" t="s">
        <v>2670</v>
      </c>
      <c r="D3065" t="s">
        <v>1203</v>
      </c>
      <c r="E3065" t="s">
        <v>1204</v>
      </c>
      <c r="F3065">
        <v>5730</v>
      </c>
      <c r="G3065" t="s">
        <v>2675</v>
      </c>
      <c r="H3065" t="s">
        <v>2664</v>
      </c>
      <c r="I3065">
        <v>3701</v>
      </c>
      <c r="J3065">
        <v>3420</v>
      </c>
      <c r="K3065">
        <v>3140</v>
      </c>
      <c r="L3065">
        <v>2859</v>
      </c>
      <c r="M3065">
        <v>2616</v>
      </c>
      <c r="N3065" t="s">
        <v>988</v>
      </c>
    </row>
    <row r="3066" spans="1:14" hidden="1" x14ac:dyDescent="0.3">
      <c r="A3066">
        <v>1953</v>
      </c>
      <c r="B3066" t="s">
        <v>1830</v>
      </c>
      <c r="C3066" t="s">
        <v>2670</v>
      </c>
      <c r="D3066" t="s">
        <v>1203</v>
      </c>
      <c r="E3066" t="s">
        <v>1204</v>
      </c>
      <c r="F3066">
        <v>5730</v>
      </c>
      <c r="G3066" t="s">
        <v>2676</v>
      </c>
      <c r="H3066" t="s">
        <v>2665</v>
      </c>
      <c r="I3066">
        <v>1958</v>
      </c>
      <c r="J3066">
        <v>2017</v>
      </c>
      <c r="K3066">
        <v>2077</v>
      </c>
      <c r="L3066">
        <v>2142</v>
      </c>
      <c r="M3066">
        <v>2149</v>
      </c>
      <c r="N3066" t="s">
        <v>988</v>
      </c>
    </row>
    <row r="3067" spans="1:14" hidden="1" x14ac:dyDescent="0.3">
      <c r="A3067">
        <v>1953</v>
      </c>
      <c r="B3067" t="s">
        <v>1830</v>
      </c>
      <c r="C3067" t="s">
        <v>2670</v>
      </c>
      <c r="D3067" t="s">
        <v>1203</v>
      </c>
      <c r="E3067" t="s">
        <v>1204</v>
      </c>
      <c r="F3067">
        <v>5730</v>
      </c>
      <c r="G3067" t="s">
        <v>2674</v>
      </c>
      <c r="H3067" t="s">
        <v>2664</v>
      </c>
      <c r="I3067">
        <v>3701</v>
      </c>
      <c r="J3067">
        <v>3420</v>
      </c>
      <c r="K3067">
        <v>3140</v>
      </c>
      <c r="L3067">
        <v>2859</v>
      </c>
      <c r="M3067">
        <v>2616</v>
      </c>
      <c r="N3067" t="s">
        <v>988</v>
      </c>
    </row>
    <row r="3068" spans="1:14" hidden="1" x14ac:dyDescent="0.3">
      <c r="A3068">
        <v>1953</v>
      </c>
      <c r="B3068" t="s">
        <v>1830</v>
      </c>
      <c r="C3068" t="s">
        <v>2670</v>
      </c>
      <c r="D3068" t="s">
        <v>1203</v>
      </c>
      <c r="E3068" t="s">
        <v>1204</v>
      </c>
      <c r="F3068">
        <v>5730</v>
      </c>
      <c r="G3068" t="s">
        <v>2672</v>
      </c>
      <c r="H3068" t="s">
        <v>2664</v>
      </c>
      <c r="N3068" t="s">
        <v>988</v>
      </c>
    </row>
    <row r="3069" spans="1:14" hidden="1" x14ac:dyDescent="0.3">
      <c r="A3069">
        <v>1953</v>
      </c>
      <c r="B3069" t="s">
        <v>1830</v>
      </c>
      <c r="C3069" t="s">
        <v>2670</v>
      </c>
      <c r="D3069" t="s">
        <v>1203</v>
      </c>
      <c r="E3069" t="s">
        <v>1204</v>
      </c>
      <c r="F3069">
        <v>5730</v>
      </c>
      <c r="G3069" t="s">
        <v>2672</v>
      </c>
      <c r="H3069" t="s">
        <v>2665</v>
      </c>
      <c r="N3069" t="s">
        <v>988</v>
      </c>
    </row>
    <row r="3070" spans="1:14" hidden="1" x14ac:dyDescent="0.3">
      <c r="A3070">
        <v>1953</v>
      </c>
      <c r="B3070" t="s">
        <v>1830</v>
      </c>
      <c r="C3070" t="s">
        <v>2670</v>
      </c>
      <c r="D3070" t="s">
        <v>1203</v>
      </c>
      <c r="E3070" t="s">
        <v>1204</v>
      </c>
      <c r="F3070">
        <v>5730</v>
      </c>
      <c r="G3070" t="s">
        <v>2674</v>
      </c>
      <c r="H3070" t="s">
        <v>2665</v>
      </c>
      <c r="I3070">
        <v>1958</v>
      </c>
      <c r="J3070">
        <v>2017</v>
      </c>
      <c r="K3070">
        <v>2077</v>
      </c>
      <c r="L3070">
        <v>2142</v>
      </c>
      <c r="M3070">
        <v>2149</v>
      </c>
      <c r="N3070" t="s">
        <v>988</v>
      </c>
    </row>
    <row r="3071" spans="1:14" hidden="1" x14ac:dyDescent="0.3">
      <c r="A3071">
        <v>1953</v>
      </c>
      <c r="B3071" t="s">
        <v>1830</v>
      </c>
      <c r="C3071" t="s">
        <v>2670</v>
      </c>
      <c r="D3071" t="s">
        <v>1203</v>
      </c>
      <c r="E3071" t="s">
        <v>1204</v>
      </c>
      <c r="F3071">
        <v>5730</v>
      </c>
      <c r="G3071" t="s">
        <v>2673</v>
      </c>
      <c r="H3071" t="s">
        <v>2664</v>
      </c>
      <c r="I3071">
        <v>3701</v>
      </c>
      <c r="J3071">
        <v>3420</v>
      </c>
      <c r="K3071">
        <v>3140</v>
      </c>
      <c r="L3071">
        <v>2859</v>
      </c>
      <c r="M3071">
        <v>2616</v>
      </c>
      <c r="N3071" t="s">
        <v>988</v>
      </c>
    </row>
    <row r="3072" spans="1:14" hidden="1" x14ac:dyDescent="0.3">
      <c r="A3072">
        <v>1953</v>
      </c>
      <c r="B3072" t="s">
        <v>1830</v>
      </c>
      <c r="C3072" t="s">
        <v>2670</v>
      </c>
      <c r="D3072" t="s">
        <v>1203</v>
      </c>
      <c r="E3072" t="s">
        <v>1204</v>
      </c>
      <c r="F3072">
        <v>5730</v>
      </c>
      <c r="G3072" t="s">
        <v>2673</v>
      </c>
      <c r="H3072" t="s">
        <v>2665</v>
      </c>
      <c r="I3072">
        <v>1958</v>
      </c>
      <c r="J3072">
        <v>2017</v>
      </c>
      <c r="K3072">
        <v>2077</v>
      </c>
      <c r="L3072">
        <v>2142</v>
      </c>
      <c r="M3072">
        <v>2149</v>
      </c>
      <c r="N3072" t="s">
        <v>988</v>
      </c>
    </row>
    <row r="3073" spans="1:14" hidden="1" x14ac:dyDescent="0.3">
      <c r="A3073">
        <v>1953</v>
      </c>
      <c r="B3073" t="s">
        <v>1830</v>
      </c>
      <c r="C3073" t="s">
        <v>2670</v>
      </c>
      <c r="D3073" t="s">
        <v>1203</v>
      </c>
      <c r="E3073" t="s">
        <v>1204</v>
      </c>
      <c r="F3073">
        <v>5730</v>
      </c>
      <c r="G3073" t="s">
        <v>2676</v>
      </c>
      <c r="H3073" t="s">
        <v>2664</v>
      </c>
      <c r="I3073">
        <v>3701</v>
      </c>
      <c r="J3073">
        <v>3420</v>
      </c>
      <c r="K3073">
        <v>3140</v>
      </c>
      <c r="L3073">
        <v>2859</v>
      </c>
      <c r="M3073">
        <v>2616</v>
      </c>
      <c r="N3073" t="s">
        <v>988</v>
      </c>
    </row>
    <row r="3074" spans="1:14" hidden="1" x14ac:dyDescent="0.3">
      <c r="A3074">
        <v>1964</v>
      </c>
      <c r="B3074" t="s">
        <v>1832</v>
      </c>
      <c r="C3074" t="s">
        <v>2670</v>
      </c>
      <c r="D3074" t="s">
        <v>1203</v>
      </c>
      <c r="E3074" t="s">
        <v>1204</v>
      </c>
      <c r="F3074">
        <v>5509</v>
      </c>
      <c r="G3074" t="s">
        <v>2674</v>
      </c>
      <c r="H3074" t="s">
        <v>2665</v>
      </c>
      <c r="I3074">
        <v>11386</v>
      </c>
      <c r="J3074">
        <v>11664</v>
      </c>
      <c r="K3074">
        <v>11929</v>
      </c>
      <c r="L3074">
        <v>12067</v>
      </c>
      <c r="M3074">
        <v>12422</v>
      </c>
      <c r="N3074" t="s">
        <v>988</v>
      </c>
    </row>
    <row r="3075" spans="1:14" hidden="1" x14ac:dyDescent="0.3">
      <c r="A3075">
        <v>1964</v>
      </c>
      <c r="B3075" t="s">
        <v>1832</v>
      </c>
      <c r="C3075" t="s">
        <v>2670</v>
      </c>
      <c r="D3075" t="s">
        <v>1203</v>
      </c>
      <c r="E3075" t="s">
        <v>1204</v>
      </c>
      <c r="F3075">
        <v>5509</v>
      </c>
      <c r="G3075" t="s">
        <v>2673</v>
      </c>
      <c r="H3075" t="s">
        <v>2664</v>
      </c>
      <c r="I3075">
        <v>11428</v>
      </c>
      <c r="J3075">
        <v>11707</v>
      </c>
      <c r="K3075">
        <v>11973</v>
      </c>
      <c r="L3075">
        <v>12112</v>
      </c>
      <c r="M3075">
        <v>12469</v>
      </c>
      <c r="N3075" t="s">
        <v>988</v>
      </c>
    </row>
    <row r="3076" spans="1:14" hidden="1" x14ac:dyDescent="0.3">
      <c r="A3076">
        <v>1964</v>
      </c>
      <c r="B3076" t="s">
        <v>1832</v>
      </c>
      <c r="C3076" t="s">
        <v>2670</v>
      </c>
      <c r="D3076" t="s">
        <v>1203</v>
      </c>
      <c r="E3076" t="s">
        <v>1204</v>
      </c>
      <c r="F3076">
        <v>5509</v>
      </c>
      <c r="G3076" t="s">
        <v>2673</v>
      </c>
      <c r="H3076" t="s">
        <v>2665</v>
      </c>
      <c r="I3076">
        <v>11428</v>
      </c>
      <c r="J3076">
        <v>11707</v>
      </c>
      <c r="K3076">
        <v>11973</v>
      </c>
      <c r="L3076">
        <v>12112</v>
      </c>
      <c r="M3076">
        <v>12469</v>
      </c>
      <c r="N3076" t="s">
        <v>988</v>
      </c>
    </row>
    <row r="3077" spans="1:14" hidden="1" x14ac:dyDescent="0.3">
      <c r="A3077">
        <v>1964</v>
      </c>
      <c r="B3077" t="s">
        <v>1832</v>
      </c>
      <c r="C3077" t="s">
        <v>2670</v>
      </c>
      <c r="D3077" t="s">
        <v>1203</v>
      </c>
      <c r="E3077" t="s">
        <v>1204</v>
      </c>
      <c r="F3077">
        <v>5509</v>
      </c>
      <c r="G3077" t="s">
        <v>2671</v>
      </c>
      <c r="H3077" t="s">
        <v>2664</v>
      </c>
      <c r="I3077">
        <v>11444</v>
      </c>
      <c r="J3077">
        <v>11723</v>
      </c>
      <c r="K3077">
        <v>11989</v>
      </c>
      <c r="L3077">
        <v>12128</v>
      </c>
      <c r="M3077">
        <v>12485</v>
      </c>
      <c r="N3077" t="s">
        <v>988</v>
      </c>
    </row>
    <row r="3078" spans="1:14" hidden="1" x14ac:dyDescent="0.3">
      <c r="A3078">
        <v>1964</v>
      </c>
      <c r="B3078" t="s">
        <v>1832</v>
      </c>
      <c r="C3078" t="s">
        <v>2670</v>
      </c>
      <c r="D3078" t="s">
        <v>1203</v>
      </c>
      <c r="E3078" t="s">
        <v>1204</v>
      </c>
      <c r="F3078">
        <v>5509</v>
      </c>
      <c r="G3078" t="s">
        <v>2671</v>
      </c>
      <c r="H3078" t="s">
        <v>2665</v>
      </c>
      <c r="I3078">
        <v>11444</v>
      </c>
      <c r="J3078">
        <v>11723</v>
      </c>
      <c r="K3078">
        <v>11989</v>
      </c>
      <c r="L3078">
        <v>12128</v>
      </c>
      <c r="M3078">
        <v>12485</v>
      </c>
      <c r="N3078" t="s">
        <v>988</v>
      </c>
    </row>
    <row r="3079" spans="1:14" hidden="1" x14ac:dyDescent="0.3">
      <c r="A3079">
        <v>1964</v>
      </c>
      <c r="B3079" t="s">
        <v>1832</v>
      </c>
      <c r="C3079" t="s">
        <v>2670</v>
      </c>
      <c r="D3079" t="s">
        <v>1203</v>
      </c>
      <c r="E3079" t="s">
        <v>1204</v>
      </c>
      <c r="F3079">
        <v>5509</v>
      </c>
      <c r="G3079" t="s">
        <v>2672</v>
      </c>
      <c r="H3079" t="s">
        <v>2664</v>
      </c>
      <c r="N3079" t="s">
        <v>988</v>
      </c>
    </row>
    <row r="3080" spans="1:14" hidden="1" x14ac:dyDescent="0.3">
      <c r="A3080">
        <v>1964</v>
      </c>
      <c r="B3080" t="s">
        <v>1832</v>
      </c>
      <c r="C3080" t="s">
        <v>2670</v>
      </c>
      <c r="D3080" t="s">
        <v>1203</v>
      </c>
      <c r="E3080" t="s">
        <v>1204</v>
      </c>
      <c r="F3080">
        <v>5509</v>
      </c>
      <c r="G3080" t="s">
        <v>2672</v>
      </c>
      <c r="H3080" t="s">
        <v>2665</v>
      </c>
      <c r="N3080" t="s">
        <v>988</v>
      </c>
    </row>
    <row r="3081" spans="1:14" hidden="1" x14ac:dyDescent="0.3">
      <c r="A3081">
        <v>1964</v>
      </c>
      <c r="B3081" t="s">
        <v>1832</v>
      </c>
      <c r="C3081" t="s">
        <v>2670</v>
      </c>
      <c r="D3081" t="s">
        <v>1203</v>
      </c>
      <c r="E3081" t="s">
        <v>1204</v>
      </c>
      <c r="F3081">
        <v>5509</v>
      </c>
      <c r="G3081" t="s">
        <v>2676</v>
      </c>
      <c r="H3081" t="s">
        <v>2664</v>
      </c>
      <c r="I3081">
        <v>11304</v>
      </c>
      <c r="J3081">
        <v>11580</v>
      </c>
      <c r="K3081">
        <v>11843</v>
      </c>
      <c r="L3081">
        <v>11980</v>
      </c>
      <c r="M3081">
        <v>12333</v>
      </c>
      <c r="N3081" t="s">
        <v>988</v>
      </c>
    </row>
    <row r="3082" spans="1:14" hidden="1" x14ac:dyDescent="0.3">
      <c r="A3082">
        <v>1964</v>
      </c>
      <c r="B3082" t="s">
        <v>1832</v>
      </c>
      <c r="C3082" t="s">
        <v>2670</v>
      </c>
      <c r="D3082" t="s">
        <v>1203</v>
      </c>
      <c r="E3082" t="s">
        <v>1204</v>
      </c>
      <c r="F3082">
        <v>5509</v>
      </c>
      <c r="G3082" t="s">
        <v>2676</v>
      </c>
      <c r="H3082" t="s">
        <v>2665</v>
      </c>
      <c r="I3082">
        <v>11304</v>
      </c>
      <c r="J3082">
        <v>11580</v>
      </c>
      <c r="K3082">
        <v>11843</v>
      </c>
      <c r="L3082">
        <v>11980</v>
      </c>
      <c r="M3082">
        <v>12333</v>
      </c>
      <c r="N3082" t="s">
        <v>988</v>
      </c>
    </row>
    <row r="3083" spans="1:14" hidden="1" x14ac:dyDescent="0.3">
      <c r="A3083">
        <v>1964</v>
      </c>
      <c r="B3083" t="s">
        <v>1832</v>
      </c>
      <c r="C3083" t="s">
        <v>2670</v>
      </c>
      <c r="D3083" t="s">
        <v>1203</v>
      </c>
      <c r="E3083" t="s">
        <v>1204</v>
      </c>
      <c r="F3083">
        <v>5509</v>
      </c>
      <c r="G3083" t="s">
        <v>2674</v>
      </c>
      <c r="H3083" t="s">
        <v>2664</v>
      </c>
      <c r="I3083">
        <v>11386</v>
      </c>
      <c r="J3083">
        <v>11664</v>
      </c>
      <c r="K3083">
        <v>11929</v>
      </c>
      <c r="L3083">
        <v>12067</v>
      </c>
      <c r="M3083">
        <v>12422</v>
      </c>
      <c r="N3083" t="s">
        <v>988</v>
      </c>
    </row>
    <row r="3084" spans="1:14" hidden="1" x14ac:dyDescent="0.3">
      <c r="A3084">
        <v>1964</v>
      </c>
      <c r="B3084" t="s">
        <v>1832</v>
      </c>
      <c r="C3084" t="s">
        <v>2670</v>
      </c>
      <c r="D3084" t="s">
        <v>1203</v>
      </c>
      <c r="E3084" t="s">
        <v>1204</v>
      </c>
      <c r="F3084">
        <v>5509</v>
      </c>
      <c r="G3084" t="s">
        <v>2675</v>
      </c>
      <c r="H3084" t="s">
        <v>2665</v>
      </c>
      <c r="I3084">
        <v>11345</v>
      </c>
      <c r="J3084">
        <v>11622</v>
      </c>
      <c r="K3084">
        <v>11886</v>
      </c>
      <c r="L3084">
        <v>12024</v>
      </c>
      <c r="M3084">
        <v>12378</v>
      </c>
      <c r="N3084" t="s">
        <v>988</v>
      </c>
    </row>
    <row r="3085" spans="1:14" hidden="1" x14ac:dyDescent="0.3">
      <c r="A3085">
        <v>1964</v>
      </c>
      <c r="B3085" t="s">
        <v>1832</v>
      </c>
      <c r="C3085" t="s">
        <v>2670</v>
      </c>
      <c r="D3085" t="s">
        <v>1203</v>
      </c>
      <c r="E3085" t="s">
        <v>1204</v>
      </c>
      <c r="F3085">
        <v>5509</v>
      </c>
      <c r="G3085" t="s">
        <v>2675</v>
      </c>
      <c r="H3085" t="s">
        <v>2664</v>
      </c>
      <c r="I3085">
        <v>11345</v>
      </c>
      <c r="J3085">
        <v>11622</v>
      </c>
      <c r="K3085">
        <v>11886</v>
      </c>
      <c r="L3085">
        <v>12024</v>
      </c>
      <c r="M3085">
        <v>12378</v>
      </c>
      <c r="N3085" t="s">
        <v>988</v>
      </c>
    </row>
    <row r="3086" spans="1:14" hidden="1" x14ac:dyDescent="0.3">
      <c r="A3086">
        <v>1983</v>
      </c>
      <c r="B3086" t="s">
        <v>1835</v>
      </c>
      <c r="C3086" t="s">
        <v>2670</v>
      </c>
      <c r="D3086" t="s">
        <v>1203</v>
      </c>
      <c r="E3086" t="s">
        <v>1204</v>
      </c>
      <c r="F3086">
        <v>5745</v>
      </c>
      <c r="G3086" t="s">
        <v>2672</v>
      </c>
      <c r="H3086" t="s">
        <v>2665</v>
      </c>
      <c r="N3086" t="s">
        <v>988</v>
      </c>
    </row>
    <row r="3087" spans="1:14" hidden="1" x14ac:dyDescent="0.3">
      <c r="A3087">
        <v>1983</v>
      </c>
      <c r="B3087" t="s">
        <v>1835</v>
      </c>
      <c r="C3087" t="s">
        <v>2670</v>
      </c>
      <c r="D3087" t="s">
        <v>1203</v>
      </c>
      <c r="E3087" t="s">
        <v>1204</v>
      </c>
      <c r="F3087">
        <v>5745</v>
      </c>
      <c r="G3087" t="s">
        <v>2672</v>
      </c>
      <c r="H3087" t="s">
        <v>2664</v>
      </c>
      <c r="N3087" t="s">
        <v>988</v>
      </c>
    </row>
    <row r="3088" spans="1:14" hidden="1" x14ac:dyDescent="0.3">
      <c r="A3088">
        <v>1983</v>
      </c>
      <c r="B3088" t="s">
        <v>1835</v>
      </c>
      <c r="C3088" t="s">
        <v>2670</v>
      </c>
      <c r="D3088" t="s">
        <v>1203</v>
      </c>
      <c r="E3088" t="s">
        <v>1204</v>
      </c>
      <c r="F3088">
        <v>5745</v>
      </c>
      <c r="G3088" t="s">
        <v>2671</v>
      </c>
      <c r="H3088" t="s">
        <v>2665</v>
      </c>
      <c r="I3088">
        <v>4242</v>
      </c>
      <c r="J3088">
        <v>4373</v>
      </c>
      <c r="K3088">
        <v>4508</v>
      </c>
      <c r="L3088">
        <v>4647</v>
      </c>
      <c r="M3088">
        <v>4790</v>
      </c>
      <c r="N3088" t="s">
        <v>988</v>
      </c>
    </row>
    <row r="3089" spans="1:14" hidden="1" x14ac:dyDescent="0.3">
      <c r="A3089">
        <v>1983</v>
      </c>
      <c r="B3089" t="s">
        <v>1835</v>
      </c>
      <c r="C3089" t="s">
        <v>2670</v>
      </c>
      <c r="D3089" t="s">
        <v>1203</v>
      </c>
      <c r="E3089" t="s">
        <v>1204</v>
      </c>
      <c r="F3089">
        <v>5745</v>
      </c>
      <c r="G3089" t="s">
        <v>2671</v>
      </c>
      <c r="H3089" t="s">
        <v>2664</v>
      </c>
      <c r="I3089">
        <v>4242</v>
      </c>
      <c r="J3089">
        <v>4373</v>
      </c>
      <c r="K3089">
        <v>4508</v>
      </c>
      <c r="L3089">
        <v>4647</v>
      </c>
      <c r="M3089">
        <v>4790</v>
      </c>
      <c r="N3089" t="s">
        <v>988</v>
      </c>
    </row>
    <row r="3090" spans="1:14" hidden="1" x14ac:dyDescent="0.3">
      <c r="A3090">
        <v>1983</v>
      </c>
      <c r="B3090" t="s">
        <v>1835</v>
      </c>
      <c r="C3090" t="s">
        <v>2670</v>
      </c>
      <c r="D3090" t="s">
        <v>1203</v>
      </c>
      <c r="E3090" t="s">
        <v>1204</v>
      </c>
      <c r="F3090">
        <v>5745</v>
      </c>
      <c r="G3090" t="s">
        <v>2673</v>
      </c>
      <c r="H3090" t="s">
        <v>2665</v>
      </c>
      <c r="I3090">
        <v>4242</v>
      </c>
      <c r="J3090">
        <v>4373</v>
      </c>
      <c r="K3090">
        <v>4508</v>
      </c>
      <c r="L3090">
        <v>4647</v>
      </c>
      <c r="M3090">
        <v>4790</v>
      </c>
      <c r="N3090" t="s">
        <v>988</v>
      </c>
    </row>
    <row r="3091" spans="1:14" hidden="1" x14ac:dyDescent="0.3">
      <c r="A3091">
        <v>1983</v>
      </c>
      <c r="B3091" t="s">
        <v>1835</v>
      </c>
      <c r="C3091" t="s">
        <v>2670</v>
      </c>
      <c r="D3091" t="s">
        <v>1203</v>
      </c>
      <c r="E3091" t="s">
        <v>1204</v>
      </c>
      <c r="F3091">
        <v>5745</v>
      </c>
      <c r="G3091" t="s">
        <v>2676</v>
      </c>
      <c r="H3091" t="s">
        <v>2664</v>
      </c>
      <c r="I3091">
        <v>4242</v>
      </c>
      <c r="J3091">
        <v>4373</v>
      </c>
      <c r="K3091">
        <v>4508</v>
      </c>
      <c r="L3091">
        <v>4647</v>
      </c>
      <c r="M3091">
        <v>4790</v>
      </c>
      <c r="N3091" t="s">
        <v>988</v>
      </c>
    </row>
    <row r="3092" spans="1:14" hidden="1" x14ac:dyDescent="0.3">
      <c r="A3092">
        <v>1983</v>
      </c>
      <c r="B3092" t="s">
        <v>1835</v>
      </c>
      <c r="C3092" t="s">
        <v>2670</v>
      </c>
      <c r="D3092" t="s">
        <v>1203</v>
      </c>
      <c r="E3092" t="s">
        <v>1204</v>
      </c>
      <c r="F3092">
        <v>5745</v>
      </c>
      <c r="G3092" t="s">
        <v>2674</v>
      </c>
      <c r="H3092" t="s">
        <v>2665</v>
      </c>
      <c r="I3092">
        <v>4242</v>
      </c>
      <c r="J3092">
        <v>4373</v>
      </c>
      <c r="K3092">
        <v>4508</v>
      </c>
      <c r="L3092">
        <v>4647</v>
      </c>
      <c r="M3092">
        <v>4790</v>
      </c>
      <c r="N3092" t="s">
        <v>988</v>
      </c>
    </row>
    <row r="3093" spans="1:14" hidden="1" x14ac:dyDescent="0.3">
      <c r="A3093">
        <v>1983</v>
      </c>
      <c r="B3093" t="s">
        <v>1835</v>
      </c>
      <c r="C3093" t="s">
        <v>2670</v>
      </c>
      <c r="D3093" t="s">
        <v>1203</v>
      </c>
      <c r="E3093" t="s">
        <v>1204</v>
      </c>
      <c r="F3093">
        <v>5745</v>
      </c>
      <c r="G3093" t="s">
        <v>2674</v>
      </c>
      <c r="H3093" t="s">
        <v>2664</v>
      </c>
      <c r="I3093">
        <v>4242</v>
      </c>
      <c r="J3093">
        <v>4373</v>
      </c>
      <c r="K3093">
        <v>4508</v>
      </c>
      <c r="L3093">
        <v>4647</v>
      </c>
      <c r="M3093">
        <v>4790</v>
      </c>
      <c r="N3093" t="s">
        <v>988</v>
      </c>
    </row>
    <row r="3094" spans="1:14" hidden="1" x14ac:dyDescent="0.3">
      <c r="A3094">
        <v>1983</v>
      </c>
      <c r="B3094" t="s">
        <v>1835</v>
      </c>
      <c r="C3094" t="s">
        <v>2670</v>
      </c>
      <c r="D3094" t="s">
        <v>1203</v>
      </c>
      <c r="E3094" t="s">
        <v>1204</v>
      </c>
      <c r="F3094">
        <v>5745</v>
      </c>
      <c r="G3094" t="s">
        <v>2675</v>
      </c>
      <c r="H3094" t="s">
        <v>2665</v>
      </c>
      <c r="I3094">
        <v>4242</v>
      </c>
      <c r="J3094">
        <v>4373</v>
      </c>
      <c r="K3094">
        <v>4508</v>
      </c>
      <c r="L3094">
        <v>4647</v>
      </c>
      <c r="M3094">
        <v>4790</v>
      </c>
      <c r="N3094" t="s">
        <v>988</v>
      </c>
    </row>
    <row r="3095" spans="1:14" hidden="1" x14ac:dyDescent="0.3">
      <c r="A3095">
        <v>1983</v>
      </c>
      <c r="B3095" t="s">
        <v>1835</v>
      </c>
      <c r="C3095" t="s">
        <v>2670</v>
      </c>
      <c r="D3095" t="s">
        <v>1203</v>
      </c>
      <c r="E3095" t="s">
        <v>1204</v>
      </c>
      <c r="F3095">
        <v>5745</v>
      </c>
      <c r="G3095" t="s">
        <v>2675</v>
      </c>
      <c r="H3095" t="s">
        <v>2664</v>
      </c>
      <c r="I3095">
        <v>4242</v>
      </c>
      <c r="J3095">
        <v>4373</v>
      </c>
      <c r="K3095">
        <v>4508</v>
      </c>
      <c r="L3095">
        <v>4647</v>
      </c>
      <c r="M3095">
        <v>4790</v>
      </c>
      <c r="N3095" t="s">
        <v>988</v>
      </c>
    </row>
    <row r="3096" spans="1:14" hidden="1" x14ac:dyDescent="0.3">
      <c r="A3096">
        <v>1983</v>
      </c>
      <c r="B3096" t="s">
        <v>1835</v>
      </c>
      <c r="C3096" t="s">
        <v>2670</v>
      </c>
      <c r="D3096" t="s">
        <v>1203</v>
      </c>
      <c r="E3096" t="s">
        <v>1204</v>
      </c>
      <c r="F3096">
        <v>5745</v>
      </c>
      <c r="G3096" t="s">
        <v>2676</v>
      </c>
      <c r="H3096" t="s">
        <v>2665</v>
      </c>
      <c r="I3096">
        <v>4242</v>
      </c>
      <c r="J3096">
        <v>4373</v>
      </c>
      <c r="K3096">
        <v>4508</v>
      </c>
      <c r="L3096">
        <v>4647</v>
      </c>
      <c r="M3096">
        <v>4790</v>
      </c>
      <c r="N3096" t="s">
        <v>988</v>
      </c>
    </row>
    <row r="3097" spans="1:14" hidden="1" x14ac:dyDescent="0.3">
      <c r="A3097">
        <v>1983</v>
      </c>
      <c r="B3097" t="s">
        <v>1835</v>
      </c>
      <c r="C3097" t="s">
        <v>2670</v>
      </c>
      <c r="D3097" t="s">
        <v>1203</v>
      </c>
      <c r="E3097" t="s">
        <v>1204</v>
      </c>
      <c r="F3097">
        <v>5745</v>
      </c>
      <c r="G3097" t="s">
        <v>2673</v>
      </c>
      <c r="H3097" t="s">
        <v>2664</v>
      </c>
      <c r="I3097">
        <v>4242</v>
      </c>
      <c r="J3097">
        <v>4373</v>
      </c>
      <c r="K3097">
        <v>4508</v>
      </c>
      <c r="L3097">
        <v>4647</v>
      </c>
      <c r="M3097">
        <v>4790</v>
      </c>
      <c r="N3097" t="s">
        <v>988</v>
      </c>
    </row>
    <row r="3098" spans="1:14" hidden="1" x14ac:dyDescent="0.3">
      <c r="A3098">
        <v>1990</v>
      </c>
      <c r="B3098" t="s">
        <v>1836</v>
      </c>
      <c r="C3098" t="s">
        <v>2670</v>
      </c>
      <c r="D3098" t="s">
        <v>159</v>
      </c>
      <c r="E3098" t="s">
        <v>159</v>
      </c>
      <c r="F3098">
        <v>7651</v>
      </c>
      <c r="G3098" t="s">
        <v>2676</v>
      </c>
      <c r="H3098" t="s">
        <v>2665</v>
      </c>
      <c r="I3098">
        <v>13750</v>
      </c>
      <c r="J3098">
        <v>13200</v>
      </c>
      <c r="K3098">
        <v>12672</v>
      </c>
      <c r="L3098">
        <v>12165</v>
      </c>
      <c r="M3098">
        <v>11679</v>
      </c>
      <c r="N3098" t="s">
        <v>988</v>
      </c>
    </row>
    <row r="3099" spans="1:14" hidden="1" x14ac:dyDescent="0.3">
      <c r="A3099">
        <v>1990</v>
      </c>
      <c r="B3099" t="s">
        <v>1836</v>
      </c>
      <c r="C3099" t="s">
        <v>2670</v>
      </c>
      <c r="D3099" t="s">
        <v>159</v>
      </c>
      <c r="E3099" t="s">
        <v>159</v>
      </c>
      <c r="F3099">
        <v>7651</v>
      </c>
      <c r="G3099" t="s">
        <v>2675</v>
      </c>
      <c r="H3099" t="s">
        <v>2664</v>
      </c>
      <c r="I3099">
        <v>13750</v>
      </c>
      <c r="J3099">
        <v>13200</v>
      </c>
      <c r="K3099">
        <v>12672</v>
      </c>
      <c r="L3099">
        <v>12165</v>
      </c>
      <c r="M3099">
        <v>11679</v>
      </c>
      <c r="N3099" t="s">
        <v>988</v>
      </c>
    </row>
    <row r="3100" spans="1:14" hidden="1" x14ac:dyDescent="0.3">
      <c r="A3100">
        <v>1990</v>
      </c>
      <c r="B3100" t="s">
        <v>1836</v>
      </c>
      <c r="C3100" t="s">
        <v>2670</v>
      </c>
      <c r="D3100" t="s">
        <v>159</v>
      </c>
      <c r="E3100" t="s">
        <v>159</v>
      </c>
      <c r="F3100">
        <v>7651</v>
      </c>
      <c r="G3100" t="s">
        <v>2675</v>
      </c>
      <c r="H3100" t="s">
        <v>2665</v>
      </c>
      <c r="I3100">
        <v>13750</v>
      </c>
      <c r="J3100">
        <v>13200</v>
      </c>
      <c r="K3100">
        <v>12672</v>
      </c>
      <c r="L3100">
        <v>12165</v>
      </c>
      <c r="M3100">
        <v>11679</v>
      </c>
      <c r="N3100" t="s">
        <v>988</v>
      </c>
    </row>
    <row r="3101" spans="1:14" hidden="1" x14ac:dyDescent="0.3">
      <c r="A3101">
        <v>1990</v>
      </c>
      <c r="B3101" t="s">
        <v>1836</v>
      </c>
      <c r="C3101" t="s">
        <v>2670</v>
      </c>
      <c r="D3101" t="s">
        <v>159</v>
      </c>
      <c r="E3101" t="s">
        <v>159</v>
      </c>
      <c r="F3101">
        <v>7651</v>
      </c>
      <c r="G3101" t="s">
        <v>2674</v>
      </c>
      <c r="H3101" t="s">
        <v>2664</v>
      </c>
      <c r="I3101">
        <v>13750</v>
      </c>
      <c r="J3101">
        <v>13200</v>
      </c>
      <c r="K3101">
        <v>12672</v>
      </c>
      <c r="L3101">
        <v>12165</v>
      </c>
      <c r="M3101">
        <v>11679</v>
      </c>
      <c r="N3101" t="s">
        <v>988</v>
      </c>
    </row>
    <row r="3102" spans="1:14" hidden="1" x14ac:dyDescent="0.3">
      <c r="A3102">
        <v>1990</v>
      </c>
      <c r="B3102" t="s">
        <v>1836</v>
      </c>
      <c r="C3102" t="s">
        <v>2670</v>
      </c>
      <c r="D3102" t="s">
        <v>159</v>
      </c>
      <c r="E3102" t="s">
        <v>159</v>
      </c>
      <c r="F3102">
        <v>7651</v>
      </c>
      <c r="G3102" t="s">
        <v>2674</v>
      </c>
      <c r="H3102" t="s">
        <v>2665</v>
      </c>
      <c r="I3102">
        <v>13750</v>
      </c>
      <c r="J3102">
        <v>13200</v>
      </c>
      <c r="K3102">
        <v>12672</v>
      </c>
      <c r="L3102">
        <v>12165</v>
      </c>
      <c r="M3102">
        <v>11679</v>
      </c>
      <c r="N3102" t="s">
        <v>988</v>
      </c>
    </row>
    <row r="3103" spans="1:14" hidden="1" x14ac:dyDescent="0.3">
      <c r="A3103">
        <v>1990</v>
      </c>
      <c r="B3103" t="s">
        <v>1836</v>
      </c>
      <c r="C3103" t="s">
        <v>2670</v>
      </c>
      <c r="D3103" t="s">
        <v>159</v>
      </c>
      <c r="E3103" t="s">
        <v>159</v>
      </c>
      <c r="F3103">
        <v>7651</v>
      </c>
      <c r="G3103" t="s">
        <v>2676</v>
      </c>
      <c r="H3103" t="s">
        <v>2664</v>
      </c>
      <c r="I3103">
        <v>13750</v>
      </c>
      <c r="J3103">
        <v>13200</v>
      </c>
      <c r="K3103">
        <v>12672</v>
      </c>
      <c r="L3103">
        <v>12165</v>
      </c>
      <c r="M3103">
        <v>11679</v>
      </c>
      <c r="N3103" t="s">
        <v>988</v>
      </c>
    </row>
    <row r="3104" spans="1:14" hidden="1" x14ac:dyDescent="0.3">
      <c r="A3104">
        <v>1990</v>
      </c>
      <c r="B3104" t="s">
        <v>1836</v>
      </c>
      <c r="C3104" t="s">
        <v>2670</v>
      </c>
      <c r="D3104" t="s">
        <v>159</v>
      </c>
      <c r="E3104" t="s">
        <v>159</v>
      </c>
      <c r="F3104">
        <v>7651</v>
      </c>
      <c r="G3104" t="s">
        <v>2673</v>
      </c>
      <c r="H3104" t="s">
        <v>2665</v>
      </c>
      <c r="I3104">
        <v>13750</v>
      </c>
      <c r="J3104">
        <v>13200</v>
      </c>
      <c r="K3104">
        <v>12672</v>
      </c>
      <c r="L3104">
        <v>12165</v>
      </c>
      <c r="M3104">
        <v>11679</v>
      </c>
      <c r="N3104" t="s">
        <v>988</v>
      </c>
    </row>
    <row r="3105" spans="1:14" hidden="1" x14ac:dyDescent="0.3">
      <c r="A3105">
        <v>1990</v>
      </c>
      <c r="B3105" t="s">
        <v>1836</v>
      </c>
      <c r="C3105" t="s">
        <v>2670</v>
      </c>
      <c r="D3105" t="s">
        <v>159</v>
      </c>
      <c r="E3105" t="s">
        <v>159</v>
      </c>
      <c r="F3105">
        <v>7651</v>
      </c>
      <c r="G3105" t="s">
        <v>2671</v>
      </c>
      <c r="H3105" t="s">
        <v>2664</v>
      </c>
      <c r="I3105">
        <v>13750</v>
      </c>
      <c r="J3105">
        <v>13200</v>
      </c>
      <c r="K3105">
        <v>12672</v>
      </c>
      <c r="L3105">
        <v>12165</v>
      </c>
      <c r="M3105">
        <v>11679</v>
      </c>
      <c r="N3105" t="s">
        <v>988</v>
      </c>
    </row>
    <row r="3106" spans="1:14" hidden="1" x14ac:dyDescent="0.3">
      <c r="A3106">
        <v>1990</v>
      </c>
      <c r="B3106" t="s">
        <v>1836</v>
      </c>
      <c r="C3106" t="s">
        <v>2670</v>
      </c>
      <c r="D3106" t="s">
        <v>159</v>
      </c>
      <c r="E3106" t="s">
        <v>159</v>
      </c>
      <c r="F3106">
        <v>7651</v>
      </c>
      <c r="G3106" t="s">
        <v>2671</v>
      </c>
      <c r="H3106" t="s">
        <v>2665</v>
      </c>
      <c r="I3106">
        <v>13750</v>
      </c>
      <c r="J3106">
        <v>13200</v>
      </c>
      <c r="K3106">
        <v>12672</v>
      </c>
      <c r="L3106">
        <v>12165</v>
      </c>
      <c r="M3106">
        <v>11679</v>
      </c>
      <c r="N3106" t="s">
        <v>988</v>
      </c>
    </row>
    <row r="3107" spans="1:14" hidden="1" x14ac:dyDescent="0.3">
      <c r="A3107">
        <v>1990</v>
      </c>
      <c r="B3107" t="s">
        <v>1836</v>
      </c>
      <c r="C3107" t="s">
        <v>2670</v>
      </c>
      <c r="D3107" t="s">
        <v>159</v>
      </c>
      <c r="E3107" t="s">
        <v>159</v>
      </c>
      <c r="F3107">
        <v>7651</v>
      </c>
      <c r="G3107" t="s">
        <v>2672</v>
      </c>
      <c r="H3107" t="s">
        <v>2664</v>
      </c>
      <c r="I3107">
        <v>13750</v>
      </c>
      <c r="J3107">
        <v>13200</v>
      </c>
      <c r="K3107">
        <v>12672</v>
      </c>
      <c r="L3107">
        <v>12165</v>
      </c>
      <c r="M3107">
        <v>11679</v>
      </c>
      <c r="N3107" t="s">
        <v>988</v>
      </c>
    </row>
    <row r="3108" spans="1:14" hidden="1" x14ac:dyDescent="0.3">
      <c r="A3108">
        <v>1990</v>
      </c>
      <c r="B3108" t="s">
        <v>1836</v>
      </c>
      <c r="C3108" t="s">
        <v>2670</v>
      </c>
      <c r="D3108" t="s">
        <v>159</v>
      </c>
      <c r="E3108" t="s">
        <v>159</v>
      </c>
      <c r="F3108">
        <v>7651</v>
      </c>
      <c r="G3108" t="s">
        <v>2672</v>
      </c>
      <c r="H3108" t="s">
        <v>2665</v>
      </c>
      <c r="I3108">
        <v>13750</v>
      </c>
      <c r="J3108">
        <v>13200</v>
      </c>
      <c r="K3108">
        <v>12672</v>
      </c>
      <c r="L3108">
        <v>12165</v>
      </c>
      <c r="M3108">
        <v>11679</v>
      </c>
      <c r="N3108" t="s">
        <v>988</v>
      </c>
    </row>
    <row r="3109" spans="1:14" hidden="1" x14ac:dyDescent="0.3">
      <c r="A3109">
        <v>1990</v>
      </c>
      <c r="B3109" t="s">
        <v>1836</v>
      </c>
      <c r="C3109" t="s">
        <v>2670</v>
      </c>
      <c r="D3109" t="s">
        <v>159</v>
      </c>
      <c r="E3109" t="s">
        <v>159</v>
      </c>
      <c r="F3109">
        <v>7651</v>
      </c>
      <c r="G3109" t="s">
        <v>2673</v>
      </c>
      <c r="H3109" t="s">
        <v>2664</v>
      </c>
      <c r="I3109">
        <v>13750</v>
      </c>
      <c r="J3109">
        <v>13200</v>
      </c>
      <c r="K3109">
        <v>12672</v>
      </c>
      <c r="L3109">
        <v>12165</v>
      </c>
      <c r="M3109">
        <v>11679</v>
      </c>
      <c r="N3109" t="s">
        <v>988</v>
      </c>
    </row>
    <row r="3110" spans="1:14" hidden="1" x14ac:dyDescent="0.3">
      <c r="A3110">
        <v>1996</v>
      </c>
      <c r="B3110" t="s">
        <v>1838</v>
      </c>
      <c r="C3110" t="s">
        <v>2670</v>
      </c>
      <c r="D3110" t="s">
        <v>1203</v>
      </c>
      <c r="E3110" t="s">
        <v>1204</v>
      </c>
      <c r="F3110">
        <v>5798</v>
      </c>
      <c r="G3110" t="s">
        <v>2675</v>
      </c>
      <c r="H3110" t="s">
        <v>2664</v>
      </c>
      <c r="I3110">
        <v>4592</v>
      </c>
      <c r="J3110">
        <v>4768</v>
      </c>
      <c r="K3110">
        <v>4943</v>
      </c>
      <c r="L3110">
        <v>5106</v>
      </c>
      <c r="N3110" t="s">
        <v>988</v>
      </c>
    </row>
    <row r="3111" spans="1:14" hidden="1" x14ac:dyDescent="0.3">
      <c r="A3111">
        <v>1996</v>
      </c>
      <c r="B3111" t="s">
        <v>1838</v>
      </c>
      <c r="C3111" t="s">
        <v>2670</v>
      </c>
      <c r="D3111" t="s">
        <v>1203</v>
      </c>
      <c r="E3111" t="s">
        <v>1204</v>
      </c>
      <c r="F3111">
        <v>5798</v>
      </c>
      <c r="G3111" t="s">
        <v>2676</v>
      </c>
      <c r="H3111" t="s">
        <v>2665</v>
      </c>
      <c r="I3111">
        <v>4592</v>
      </c>
      <c r="J3111">
        <v>4768</v>
      </c>
      <c r="K3111">
        <v>4943</v>
      </c>
      <c r="L3111">
        <v>5106</v>
      </c>
      <c r="N3111" t="s">
        <v>988</v>
      </c>
    </row>
    <row r="3112" spans="1:14" hidden="1" x14ac:dyDescent="0.3">
      <c r="A3112">
        <v>1996</v>
      </c>
      <c r="B3112" t="s">
        <v>1838</v>
      </c>
      <c r="C3112" t="s">
        <v>2670</v>
      </c>
      <c r="D3112" t="s">
        <v>1203</v>
      </c>
      <c r="E3112" t="s">
        <v>1204</v>
      </c>
      <c r="F3112">
        <v>5798</v>
      </c>
      <c r="G3112" t="s">
        <v>2675</v>
      </c>
      <c r="H3112" t="s">
        <v>2665</v>
      </c>
      <c r="I3112">
        <v>4592</v>
      </c>
      <c r="J3112">
        <v>4768</v>
      </c>
      <c r="K3112">
        <v>4943</v>
      </c>
      <c r="L3112">
        <v>5106</v>
      </c>
      <c r="N3112" t="s">
        <v>988</v>
      </c>
    </row>
    <row r="3113" spans="1:14" hidden="1" x14ac:dyDescent="0.3">
      <c r="A3113">
        <v>1996</v>
      </c>
      <c r="B3113" t="s">
        <v>1838</v>
      </c>
      <c r="C3113" t="s">
        <v>2670</v>
      </c>
      <c r="D3113" t="s">
        <v>1203</v>
      </c>
      <c r="E3113" t="s">
        <v>1204</v>
      </c>
      <c r="F3113">
        <v>5798</v>
      </c>
      <c r="G3113" t="s">
        <v>2674</v>
      </c>
      <c r="H3113" t="s">
        <v>2664</v>
      </c>
      <c r="I3113">
        <v>4592</v>
      </c>
      <c r="J3113">
        <v>4768</v>
      </c>
      <c r="K3113">
        <v>4943</v>
      </c>
      <c r="L3113">
        <v>5106</v>
      </c>
      <c r="N3113" t="s">
        <v>988</v>
      </c>
    </row>
    <row r="3114" spans="1:14" hidden="1" x14ac:dyDescent="0.3">
      <c r="A3114">
        <v>1996</v>
      </c>
      <c r="B3114" t="s">
        <v>1838</v>
      </c>
      <c r="C3114" t="s">
        <v>2670</v>
      </c>
      <c r="D3114" t="s">
        <v>1203</v>
      </c>
      <c r="E3114" t="s">
        <v>1204</v>
      </c>
      <c r="F3114">
        <v>5798</v>
      </c>
      <c r="G3114" t="s">
        <v>2674</v>
      </c>
      <c r="H3114" t="s">
        <v>2665</v>
      </c>
      <c r="I3114">
        <v>4592</v>
      </c>
      <c r="J3114">
        <v>4768</v>
      </c>
      <c r="K3114">
        <v>4943</v>
      </c>
      <c r="L3114">
        <v>5106</v>
      </c>
      <c r="N3114" t="s">
        <v>988</v>
      </c>
    </row>
    <row r="3115" spans="1:14" hidden="1" x14ac:dyDescent="0.3">
      <c r="A3115">
        <v>1996</v>
      </c>
      <c r="B3115" t="s">
        <v>1838</v>
      </c>
      <c r="C3115" t="s">
        <v>2670</v>
      </c>
      <c r="D3115" t="s">
        <v>1203</v>
      </c>
      <c r="E3115" t="s">
        <v>1204</v>
      </c>
      <c r="F3115">
        <v>5798</v>
      </c>
      <c r="G3115" t="s">
        <v>2673</v>
      </c>
      <c r="H3115" t="s">
        <v>2664</v>
      </c>
      <c r="I3115">
        <v>4592</v>
      </c>
      <c r="J3115">
        <v>4768</v>
      </c>
      <c r="K3115">
        <v>4943</v>
      </c>
      <c r="L3115">
        <v>5106</v>
      </c>
      <c r="N3115" t="s">
        <v>988</v>
      </c>
    </row>
    <row r="3116" spans="1:14" hidden="1" x14ac:dyDescent="0.3">
      <c r="A3116">
        <v>1996</v>
      </c>
      <c r="B3116" t="s">
        <v>1838</v>
      </c>
      <c r="C3116" t="s">
        <v>2670</v>
      </c>
      <c r="D3116" t="s">
        <v>1203</v>
      </c>
      <c r="E3116" t="s">
        <v>1204</v>
      </c>
      <c r="F3116">
        <v>5798</v>
      </c>
      <c r="G3116" t="s">
        <v>2673</v>
      </c>
      <c r="H3116" t="s">
        <v>2665</v>
      </c>
      <c r="I3116">
        <v>4592</v>
      </c>
      <c r="J3116">
        <v>4768</v>
      </c>
      <c r="K3116">
        <v>4943</v>
      </c>
      <c r="L3116">
        <v>5106</v>
      </c>
      <c r="N3116" t="s">
        <v>988</v>
      </c>
    </row>
    <row r="3117" spans="1:14" hidden="1" x14ac:dyDescent="0.3">
      <c r="A3117">
        <v>1996</v>
      </c>
      <c r="B3117" t="s">
        <v>1838</v>
      </c>
      <c r="C3117" t="s">
        <v>2670</v>
      </c>
      <c r="D3117" t="s">
        <v>1203</v>
      </c>
      <c r="E3117" t="s">
        <v>1204</v>
      </c>
      <c r="F3117">
        <v>5798</v>
      </c>
      <c r="G3117" t="s">
        <v>2671</v>
      </c>
      <c r="H3117" t="s">
        <v>2664</v>
      </c>
      <c r="I3117">
        <v>4592</v>
      </c>
      <c r="J3117">
        <v>4768</v>
      </c>
      <c r="K3117">
        <v>4943</v>
      </c>
      <c r="L3117">
        <v>5106</v>
      </c>
      <c r="N3117" t="s">
        <v>988</v>
      </c>
    </row>
    <row r="3118" spans="1:14" hidden="1" x14ac:dyDescent="0.3">
      <c r="A3118">
        <v>1996</v>
      </c>
      <c r="B3118" t="s">
        <v>1838</v>
      </c>
      <c r="C3118" t="s">
        <v>2670</v>
      </c>
      <c r="D3118" t="s">
        <v>1203</v>
      </c>
      <c r="E3118" t="s">
        <v>1204</v>
      </c>
      <c r="F3118">
        <v>5798</v>
      </c>
      <c r="G3118" t="s">
        <v>2671</v>
      </c>
      <c r="H3118" t="s">
        <v>2665</v>
      </c>
      <c r="I3118">
        <v>4592</v>
      </c>
      <c r="J3118">
        <v>4768</v>
      </c>
      <c r="K3118">
        <v>4943</v>
      </c>
      <c r="L3118">
        <v>5106</v>
      </c>
      <c r="N3118" t="s">
        <v>988</v>
      </c>
    </row>
    <row r="3119" spans="1:14" hidden="1" x14ac:dyDescent="0.3">
      <c r="A3119">
        <v>1996</v>
      </c>
      <c r="B3119" t="s">
        <v>1838</v>
      </c>
      <c r="C3119" t="s">
        <v>2670</v>
      </c>
      <c r="D3119" t="s">
        <v>1203</v>
      </c>
      <c r="E3119" t="s">
        <v>1204</v>
      </c>
      <c r="F3119">
        <v>5798</v>
      </c>
      <c r="G3119" t="s">
        <v>2672</v>
      </c>
      <c r="H3119" t="s">
        <v>2664</v>
      </c>
      <c r="I3119">
        <v>4592</v>
      </c>
      <c r="J3119">
        <v>4768</v>
      </c>
      <c r="K3119">
        <v>4943</v>
      </c>
      <c r="L3119">
        <v>5106</v>
      </c>
      <c r="N3119" t="s">
        <v>988</v>
      </c>
    </row>
    <row r="3120" spans="1:14" hidden="1" x14ac:dyDescent="0.3">
      <c r="A3120">
        <v>1996</v>
      </c>
      <c r="B3120" t="s">
        <v>1838</v>
      </c>
      <c r="C3120" t="s">
        <v>2670</v>
      </c>
      <c r="D3120" t="s">
        <v>1203</v>
      </c>
      <c r="E3120" t="s">
        <v>1204</v>
      </c>
      <c r="F3120">
        <v>5798</v>
      </c>
      <c r="G3120" t="s">
        <v>2672</v>
      </c>
      <c r="H3120" t="s">
        <v>2665</v>
      </c>
      <c r="I3120">
        <v>4592</v>
      </c>
      <c r="J3120">
        <v>4768</v>
      </c>
      <c r="K3120">
        <v>4943</v>
      </c>
      <c r="L3120">
        <v>5106</v>
      </c>
      <c r="N3120" t="s">
        <v>988</v>
      </c>
    </row>
    <row r="3121" spans="1:14" hidden="1" x14ac:dyDescent="0.3">
      <c r="A3121">
        <v>1996</v>
      </c>
      <c r="B3121" t="s">
        <v>1838</v>
      </c>
      <c r="C3121" t="s">
        <v>2670</v>
      </c>
      <c r="D3121" t="s">
        <v>1203</v>
      </c>
      <c r="E3121" t="s">
        <v>1204</v>
      </c>
      <c r="F3121">
        <v>5798</v>
      </c>
      <c r="G3121" t="s">
        <v>2676</v>
      </c>
      <c r="H3121" t="s">
        <v>2664</v>
      </c>
      <c r="I3121">
        <v>4592</v>
      </c>
      <c r="J3121">
        <v>4768</v>
      </c>
      <c r="K3121">
        <v>4943</v>
      </c>
      <c r="L3121">
        <v>5106</v>
      </c>
      <c r="N3121" t="s">
        <v>988</v>
      </c>
    </row>
    <row r="3122" spans="1:14" hidden="1" x14ac:dyDescent="0.3">
      <c r="A3122">
        <v>2000</v>
      </c>
      <c r="B3122" t="s">
        <v>1839</v>
      </c>
      <c r="C3122" t="s">
        <v>2670</v>
      </c>
      <c r="D3122" t="s">
        <v>159</v>
      </c>
      <c r="E3122" t="s">
        <v>159</v>
      </c>
      <c r="F3122">
        <v>7709</v>
      </c>
      <c r="G3122" t="s">
        <v>2671</v>
      </c>
      <c r="H3122" t="s">
        <v>2664</v>
      </c>
      <c r="I3122">
        <v>72983</v>
      </c>
      <c r="J3122">
        <v>76211</v>
      </c>
      <c r="K3122">
        <v>77973</v>
      </c>
      <c r="L3122">
        <v>80184</v>
      </c>
      <c r="M3122">
        <v>82444</v>
      </c>
      <c r="N3122" t="s">
        <v>988</v>
      </c>
    </row>
    <row r="3123" spans="1:14" hidden="1" x14ac:dyDescent="0.3">
      <c r="A3123">
        <v>2000</v>
      </c>
      <c r="B3123" t="s">
        <v>1839</v>
      </c>
      <c r="C3123" t="s">
        <v>2670</v>
      </c>
      <c r="D3123" t="s">
        <v>159</v>
      </c>
      <c r="E3123" t="s">
        <v>159</v>
      </c>
      <c r="F3123">
        <v>7709</v>
      </c>
      <c r="G3123" t="s">
        <v>2673</v>
      </c>
      <c r="H3123" t="s">
        <v>2665</v>
      </c>
      <c r="I3123">
        <v>72799</v>
      </c>
      <c r="J3123">
        <v>76100</v>
      </c>
      <c r="K3123">
        <v>77858</v>
      </c>
      <c r="L3123">
        <v>80063</v>
      </c>
      <c r="M3123">
        <v>82336</v>
      </c>
      <c r="N3123" t="s">
        <v>988</v>
      </c>
    </row>
    <row r="3124" spans="1:14" hidden="1" x14ac:dyDescent="0.3">
      <c r="A3124">
        <v>2000</v>
      </c>
      <c r="B3124" t="s">
        <v>1839</v>
      </c>
      <c r="C3124" t="s">
        <v>2670</v>
      </c>
      <c r="D3124" t="s">
        <v>159</v>
      </c>
      <c r="E3124" t="s">
        <v>159</v>
      </c>
      <c r="F3124">
        <v>7709</v>
      </c>
      <c r="G3124" t="s">
        <v>2673</v>
      </c>
      <c r="H3124" t="s">
        <v>2664</v>
      </c>
      <c r="I3124">
        <v>75066</v>
      </c>
      <c r="J3124">
        <v>78309</v>
      </c>
      <c r="K3124">
        <v>80074</v>
      </c>
      <c r="L3124">
        <v>82289</v>
      </c>
      <c r="M3124">
        <v>84553</v>
      </c>
      <c r="N3124" t="s">
        <v>988</v>
      </c>
    </row>
    <row r="3125" spans="1:14" hidden="1" x14ac:dyDescent="0.3">
      <c r="A3125">
        <v>2000</v>
      </c>
      <c r="B3125" t="s">
        <v>1839</v>
      </c>
      <c r="C3125" t="s">
        <v>2670</v>
      </c>
      <c r="D3125" t="s">
        <v>159</v>
      </c>
      <c r="E3125" t="s">
        <v>159</v>
      </c>
      <c r="F3125">
        <v>7709</v>
      </c>
      <c r="G3125" t="s">
        <v>2674</v>
      </c>
      <c r="H3125" t="s">
        <v>2665</v>
      </c>
      <c r="I3125">
        <v>72799</v>
      </c>
      <c r="J3125">
        <v>76100</v>
      </c>
      <c r="K3125">
        <v>77858</v>
      </c>
      <c r="L3125">
        <v>80063</v>
      </c>
      <c r="M3125">
        <v>82336</v>
      </c>
      <c r="N3125" t="s">
        <v>988</v>
      </c>
    </row>
    <row r="3126" spans="1:14" hidden="1" x14ac:dyDescent="0.3">
      <c r="A3126">
        <v>2000</v>
      </c>
      <c r="B3126" t="s">
        <v>1839</v>
      </c>
      <c r="C3126" t="s">
        <v>2670</v>
      </c>
      <c r="D3126" t="s">
        <v>159</v>
      </c>
      <c r="E3126" t="s">
        <v>159</v>
      </c>
      <c r="F3126">
        <v>7709</v>
      </c>
      <c r="G3126" t="s">
        <v>2674</v>
      </c>
      <c r="H3126" t="s">
        <v>2664</v>
      </c>
      <c r="I3126">
        <v>77275</v>
      </c>
      <c r="J3126">
        <v>80554</v>
      </c>
      <c r="K3126">
        <v>82328</v>
      </c>
      <c r="L3126">
        <v>84552</v>
      </c>
      <c r="M3126">
        <v>86824</v>
      </c>
      <c r="N3126" t="s">
        <v>988</v>
      </c>
    </row>
    <row r="3127" spans="1:14" hidden="1" x14ac:dyDescent="0.3">
      <c r="A3127">
        <v>2000</v>
      </c>
      <c r="B3127" t="s">
        <v>1839</v>
      </c>
      <c r="C3127" t="s">
        <v>2670</v>
      </c>
      <c r="D3127" t="s">
        <v>159</v>
      </c>
      <c r="E3127" t="s">
        <v>159</v>
      </c>
      <c r="F3127">
        <v>7709</v>
      </c>
      <c r="G3127" t="s">
        <v>2671</v>
      </c>
      <c r="H3127" t="s">
        <v>2665</v>
      </c>
      <c r="I3127">
        <v>72799</v>
      </c>
      <c r="J3127">
        <v>76100</v>
      </c>
      <c r="K3127">
        <v>77858</v>
      </c>
      <c r="L3127">
        <v>80063</v>
      </c>
      <c r="M3127">
        <v>82336</v>
      </c>
      <c r="N3127" t="s">
        <v>988</v>
      </c>
    </row>
    <row r="3128" spans="1:14" hidden="1" x14ac:dyDescent="0.3">
      <c r="A3128">
        <v>2000</v>
      </c>
      <c r="B3128" t="s">
        <v>1839</v>
      </c>
      <c r="C3128" t="s">
        <v>2670</v>
      </c>
      <c r="D3128" t="s">
        <v>159</v>
      </c>
      <c r="E3128" t="s">
        <v>159</v>
      </c>
      <c r="F3128">
        <v>7709</v>
      </c>
      <c r="G3128" t="s">
        <v>2675</v>
      </c>
      <c r="H3128" t="s">
        <v>2664</v>
      </c>
      <c r="I3128">
        <v>80275</v>
      </c>
      <c r="J3128">
        <v>83554</v>
      </c>
      <c r="K3128">
        <v>85328</v>
      </c>
      <c r="L3128">
        <v>87552</v>
      </c>
      <c r="M3128">
        <v>89824</v>
      </c>
      <c r="N3128" t="s">
        <v>988</v>
      </c>
    </row>
    <row r="3129" spans="1:14" hidden="1" x14ac:dyDescent="0.3">
      <c r="A3129">
        <v>2000</v>
      </c>
      <c r="B3129" t="s">
        <v>1839</v>
      </c>
      <c r="C3129" t="s">
        <v>2670</v>
      </c>
      <c r="D3129" t="s">
        <v>159</v>
      </c>
      <c r="E3129" t="s">
        <v>159</v>
      </c>
      <c r="F3129">
        <v>7709</v>
      </c>
      <c r="G3129" t="s">
        <v>2676</v>
      </c>
      <c r="H3129" t="s">
        <v>2665</v>
      </c>
      <c r="I3129">
        <v>72799</v>
      </c>
      <c r="J3129">
        <v>76100</v>
      </c>
      <c r="K3129">
        <v>77858</v>
      </c>
      <c r="L3129">
        <v>80063</v>
      </c>
      <c r="M3129">
        <v>82336</v>
      </c>
      <c r="N3129" t="s">
        <v>988</v>
      </c>
    </row>
    <row r="3130" spans="1:14" hidden="1" x14ac:dyDescent="0.3">
      <c r="A3130">
        <v>2000</v>
      </c>
      <c r="B3130" t="s">
        <v>1839</v>
      </c>
      <c r="C3130" t="s">
        <v>2670</v>
      </c>
      <c r="D3130" t="s">
        <v>159</v>
      </c>
      <c r="E3130" t="s">
        <v>159</v>
      </c>
      <c r="F3130">
        <v>7709</v>
      </c>
      <c r="G3130" t="s">
        <v>2676</v>
      </c>
      <c r="H3130" t="s">
        <v>2664</v>
      </c>
      <c r="I3130">
        <v>80275</v>
      </c>
      <c r="J3130">
        <v>83554</v>
      </c>
      <c r="K3130">
        <v>85328</v>
      </c>
      <c r="L3130">
        <v>87552</v>
      </c>
      <c r="M3130">
        <v>89824</v>
      </c>
      <c r="N3130" t="s">
        <v>988</v>
      </c>
    </row>
    <row r="3131" spans="1:14" hidden="1" x14ac:dyDescent="0.3">
      <c r="A3131">
        <v>2000</v>
      </c>
      <c r="B3131" t="s">
        <v>1839</v>
      </c>
      <c r="C3131" t="s">
        <v>2670</v>
      </c>
      <c r="D3131" t="s">
        <v>159</v>
      </c>
      <c r="E3131" t="s">
        <v>159</v>
      </c>
      <c r="F3131">
        <v>7709</v>
      </c>
      <c r="G3131" t="s">
        <v>2672</v>
      </c>
      <c r="H3131" t="s">
        <v>2665</v>
      </c>
      <c r="N3131" t="s">
        <v>988</v>
      </c>
    </row>
    <row r="3132" spans="1:14" hidden="1" x14ac:dyDescent="0.3">
      <c r="A3132">
        <v>2000</v>
      </c>
      <c r="B3132" t="s">
        <v>1839</v>
      </c>
      <c r="C3132" t="s">
        <v>2670</v>
      </c>
      <c r="D3132" t="s">
        <v>159</v>
      </c>
      <c r="E3132" t="s">
        <v>159</v>
      </c>
      <c r="F3132">
        <v>7709</v>
      </c>
      <c r="G3132" t="s">
        <v>2672</v>
      </c>
      <c r="H3132" t="s">
        <v>2664</v>
      </c>
      <c r="N3132" t="s">
        <v>988</v>
      </c>
    </row>
    <row r="3133" spans="1:14" hidden="1" x14ac:dyDescent="0.3">
      <c r="A3133">
        <v>2000</v>
      </c>
      <c r="B3133" t="s">
        <v>1839</v>
      </c>
      <c r="C3133" t="s">
        <v>2670</v>
      </c>
      <c r="D3133" t="s">
        <v>159</v>
      </c>
      <c r="E3133" t="s">
        <v>159</v>
      </c>
      <c r="F3133">
        <v>7709</v>
      </c>
      <c r="G3133" t="s">
        <v>2675</v>
      </c>
      <c r="H3133" t="s">
        <v>2665</v>
      </c>
      <c r="I3133">
        <v>72799</v>
      </c>
      <c r="J3133">
        <v>76100</v>
      </c>
      <c r="K3133">
        <v>77858</v>
      </c>
      <c r="L3133">
        <v>80063</v>
      </c>
      <c r="M3133">
        <v>82336</v>
      </c>
      <c r="N3133" t="s">
        <v>988</v>
      </c>
    </row>
    <row r="3134" spans="1:14" hidden="1" x14ac:dyDescent="0.3">
      <c r="A3134">
        <v>2033</v>
      </c>
      <c r="B3134" t="s">
        <v>865</v>
      </c>
      <c r="C3134" t="s">
        <v>2670</v>
      </c>
      <c r="D3134" t="s">
        <v>1203</v>
      </c>
      <c r="E3134" t="s">
        <v>1204</v>
      </c>
      <c r="F3134">
        <v>5479</v>
      </c>
      <c r="G3134" t="s">
        <v>2674</v>
      </c>
      <c r="H3134" t="s">
        <v>2665</v>
      </c>
      <c r="I3134">
        <v>24115.3207253</v>
      </c>
      <c r="J3134">
        <v>24621.68722055</v>
      </c>
      <c r="K3134">
        <v>25140.329267199999</v>
      </c>
      <c r="L3134">
        <v>25668.177977399999</v>
      </c>
      <c r="M3134">
        <v>26205.23335115</v>
      </c>
      <c r="N3134" t="s">
        <v>988</v>
      </c>
    </row>
    <row r="3135" spans="1:14" hidden="1" x14ac:dyDescent="0.3">
      <c r="A3135">
        <v>2033</v>
      </c>
      <c r="B3135" t="s">
        <v>865</v>
      </c>
      <c r="C3135" t="s">
        <v>2670</v>
      </c>
      <c r="D3135" t="s">
        <v>1203</v>
      </c>
      <c r="E3135" t="s">
        <v>1204</v>
      </c>
      <c r="F3135">
        <v>5479</v>
      </c>
      <c r="G3135" t="s">
        <v>2673</v>
      </c>
      <c r="H3135" t="s">
        <v>2664</v>
      </c>
      <c r="I3135">
        <v>37308.469592449997</v>
      </c>
      <c r="J3135">
        <v>37922.247162450003</v>
      </c>
      <c r="K3135">
        <v>37922.247162450003</v>
      </c>
      <c r="L3135">
        <v>37922.247162450003</v>
      </c>
      <c r="M3135">
        <v>37922.247162450003</v>
      </c>
      <c r="N3135" t="s">
        <v>988</v>
      </c>
    </row>
    <row r="3136" spans="1:14" hidden="1" x14ac:dyDescent="0.3">
      <c r="A3136">
        <v>2033</v>
      </c>
      <c r="B3136" t="s">
        <v>865</v>
      </c>
      <c r="C3136" t="s">
        <v>2670</v>
      </c>
      <c r="D3136" t="s">
        <v>1203</v>
      </c>
      <c r="E3136" t="s">
        <v>1204</v>
      </c>
      <c r="F3136">
        <v>5479</v>
      </c>
      <c r="G3136" t="s">
        <v>2676</v>
      </c>
      <c r="H3136" t="s">
        <v>2664</v>
      </c>
      <c r="I3136">
        <v>37308.469592449997</v>
      </c>
      <c r="J3136">
        <v>37922.247162450003</v>
      </c>
      <c r="K3136">
        <v>37922.247162450003</v>
      </c>
      <c r="L3136">
        <v>37922.247162450003</v>
      </c>
      <c r="M3136">
        <v>37922.247162450003</v>
      </c>
      <c r="N3136" t="s">
        <v>988</v>
      </c>
    </row>
    <row r="3137" spans="1:14" hidden="1" x14ac:dyDescent="0.3">
      <c r="A3137">
        <v>2033</v>
      </c>
      <c r="B3137" t="s">
        <v>865</v>
      </c>
      <c r="C3137" t="s">
        <v>2670</v>
      </c>
      <c r="D3137" t="s">
        <v>1203</v>
      </c>
      <c r="E3137" t="s">
        <v>1204</v>
      </c>
      <c r="F3137">
        <v>5479</v>
      </c>
      <c r="G3137" t="s">
        <v>2676</v>
      </c>
      <c r="H3137" t="s">
        <v>2665</v>
      </c>
      <c r="I3137">
        <v>24115.3207253</v>
      </c>
      <c r="J3137">
        <v>24621.68722055</v>
      </c>
      <c r="K3137">
        <v>25140.329267199999</v>
      </c>
      <c r="L3137">
        <v>25668.177977399999</v>
      </c>
      <c r="M3137">
        <v>26205.23335115</v>
      </c>
      <c r="N3137" t="s">
        <v>988</v>
      </c>
    </row>
    <row r="3138" spans="1:14" hidden="1" x14ac:dyDescent="0.3">
      <c r="A3138">
        <v>2033</v>
      </c>
      <c r="B3138" t="s">
        <v>865</v>
      </c>
      <c r="C3138" t="s">
        <v>2670</v>
      </c>
      <c r="D3138" t="s">
        <v>1203</v>
      </c>
      <c r="E3138" t="s">
        <v>1204</v>
      </c>
      <c r="F3138">
        <v>5479</v>
      </c>
      <c r="G3138" t="s">
        <v>2675</v>
      </c>
      <c r="H3138" t="s">
        <v>2664</v>
      </c>
      <c r="I3138">
        <v>37308.469592449997</v>
      </c>
      <c r="J3138">
        <v>37922.247162450003</v>
      </c>
      <c r="K3138">
        <v>37922.247162450003</v>
      </c>
      <c r="L3138">
        <v>37922.247162450003</v>
      </c>
      <c r="M3138">
        <v>37922.247162450003</v>
      </c>
      <c r="N3138" t="s">
        <v>988</v>
      </c>
    </row>
    <row r="3139" spans="1:14" hidden="1" x14ac:dyDescent="0.3">
      <c r="A3139">
        <v>2033</v>
      </c>
      <c r="B3139" t="s">
        <v>865</v>
      </c>
      <c r="C3139" t="s">
        <v>2670</v>
      </c>
      <c r="D3139" t="s">
        <v>1203</v>
      </c>
      <c r="E3139" t="s">
        <v>1204</v>
      </c>
      <c r="F3139">
        <v>5479</v>
      </c>
      <c r="G3139" t="s">
        <v>2675</v>
      </c>
      <c r="H3139" t="s">
        <v>2665</v>
      </c>
      <c r="I3139">
        <v>24115.3207253</v>
      </c>
      <c r="J3139">
        <v>24621.68722055</v>
      </c>
      <c r="K3139">
        <v>25140.329267199999</v>
      </c>
      <c r="L3139">
        <v>25668.177977399999</v>
      </c>
      <c r="M3139">
        <v>26205.23335115</v>
      </c>
      <c r="N3139" t="s">
        <v>988</v>
      </c>
    </row>
    <row r="3140" spans="1:14" hidden="1" x14ac:dyDescent="0.3">
      <c r="A3140">
        <v>2033</v>
      </c>
      <c r="B3140" t="s">
        <v>865</v>
      </c>
      <c r="C3140" t="s">
        <v>2670</v>
      </c>
      <c r="D3140" t="s">
        <v>1203</v>
      </c>
      <c r="E3140" t="s">
        <v>1204</v>
      </c>
      <c r="F3140">
        <v>5479</v>
      </c>
      <c r="G3140" t="s">
        <v>2674</v>
      </c>
      <c r="H3140" t="s">
        <v>2664</v>
      </c>
      <c r="I3140">
        <v>37308.469592449997</v>
      </c>
      <c r="J3140">
        <v>37922.247162450003</v>
      </c>
      <c r="K3140">
        <v>37922.247162450003</v>
      </c>
      <c r="L3140">
        <v>37922.247162450003</v>
      </c>
      <c r="M3140">
        <v>37922.247162450003</v>
      </c>
      <c r="N3140" t="s">
        <v>988</v>
      </c>
    </row>
    <row r="3141" spans="1:14" hidden="1" x14ac:dyDescent="0.3">
      <c r="A3141">
        <v>2033</v>
      </c>
      <c r="B3141" t="s">
        <v>865</v>
      </c>
      <c r="C3141" t="s">
        <v>2670</v>
      </c>
      <c r="D3141" t="s">
        <v>1203</v>
      </c>
      <c r="E3141" t="s">
        <v>1204</v>
      </c>
      <c r="F3141">
        <v>5479</v>
      </c>
      <c r="G3141" t="s">
        <v>2672</v>
      </c>
      <c r="H3141" t="s">
        <v>2665</v>
      </c>
      <c r="N3141" t="s">
        <v>988</v>
      </c>
    </row>
    <row r="3142" spans="1:14" hidden="1" x14ac:dyDescent="0.3">
      <c r="A3142">
        <v>2033</v>
      </c>
      <c r="B3142" t="s">
        <v>865</v>
      </c>
      <c r="C3142" t="s">
        <v>2670</v>
      </c>
      <c r="D3142" t="s">
        <v>1203</v>
      </c>
      <c r="E3142" t="s">
        <v>1204</v>
      </c>
      <c r="F3142">
        <v>5479</v>
      </c>
      <c r="G3142" t="s">
        <v>2672</v>
      </c>
      <c r="H3142" t="s">
        <v>2664</v>
      </c>
      <c r="N3142" t="s">
        <v>988</v>
      </c>
    </row>
    <row r="3143" spans="1:14" hidden="1" x14ac:dyDescent="0.3">
      <c r="A3143">
        <v>2033</v>
      </c>
      <c r="B3143" t="s">
        <v>865</v>
      </c>
      <c r="C3143" t="s">
        <v>2670</v>
      </c>
      <c r="D3143" t="s">
        <v>1203</v>
      </c>
      <c r="E3143" t="s">
        <v>1204</v>
      </c>
      <c r="F3143">
        <v>5479</v>
      </c>
      <c r="G3143" t="s">
        <v>2671</v>
      </c>
      <c r="H3143" t="s">
        <v>2665</v>
      </c>
      <c r="I3143">
        <v>24115.3207253</v>
      </c>
      <c r="J3143">
        <v>24621.68722055</v>
      </c>
      <c r="K3143">
        <v>25140.329267199999</v>
      </c>
      <c r="L3143">
        <v>25668.177977399999</v>
      </c>
      <c r="M3143">
        <v>26205.23335115</v>
      </c>
      <c r="N3143" t="s">
        <v>988</v>
      </c>
    </row>
    <row r="3144" spans="1:14" hidden="1" x14ac:dyDescent="0.3">
      <c r="A3144">
        <v>2033</v>
      </c>
      <c r="B3144" t="s">
        <v>865</v>
      </c>
      <c r="C3144" t="s">
        <v>2670</v>
      </c>
      <c r="D3144" t="s">
        <v>1203</v>
      </c>
      <c r="E3144" t="s">
        <v>1204</v>
      </c>
      <c r="F3144">
        <v>5479</v>
      </c>
      <c r="G3144" t="s">
        <v>2671</v>
      </c>
      <c r="H3144" t="s">
        <v>2664</v>
      </c>
      <c r="I3144">
        <v>37308.469592449997</v>
      </c>
      <c r="J3144">
        <v>37922.247162450003</v>
      </c>
      <c r="K3144">
        <v>37922.247162450003</v>
      </c>
      <c r="L3144">
        <v>37922.247162450003</v>
      </c>
      <c r="M3144">
        <v>37922.247162450003</v>
      </c>
      <c r="N3144" t="s">
        <v>988</v>
      </c>
    </row>
    <row r="3145" spans="1:14" hidden="1" x14ac:dyDescent="0.3">
      <c r="A3145">
        <v>2033</v>
      </c>
      <c r="B3145" t="s">
        <v>865</v>
      </c>
      <c r="C3145" t="s">
        <v>2670</v>
      </c>
      <c r="D3145" t="s">
        <v>1203</v>
      </c>
      <c r="E3145" t="s">
        <v>1204</v>
      </c>
      <c r="F3145">
        <v>5479</v>
      </c>
      <c r="G3145" t="s">
        <v>2673</v>
      </c>
      <c r="H3145" t="s">
        <v>2665</v>
      </c>
      <c r="I3145">
        <v>24115.3207253</v>
      </c>
      <c r="J3145">
        <v>24621.68722055</v>
      </c>
      <c r="K3145">
        <v>25140.329267199999</v>
      </c>
      <c r="L3145">
        <v>25668.177977399999</v>
      </c>
      <c r="M3145">
        <v>26205.23335115</v>
      </c>
      <c r="N3145" t="s">
        <v>988</v>
      </c>
    </row>
    <row r="3146" spans="1:14" hidden="1" x14ac:dyDescent="0.3">
      <c r="A3146">
        <v>2035</v>
      </c>
      <c r="B3146" t="s">
        <v>1843</v>
      </c>
      <c r="C3146" t="s">
        <v>2670</v>
      </c>
      <c r="D3146" t="s">
        <v>1203</v>
      </c>
      <c r="E3146" t="s">
        <v>1204</v>
      </c>
      <c r="F3146">
        <v>5747</v>
      </c>
      <c r="G3146" t="s">
        <v>2671</v>
      </c>
      <c r="H3146" t="s">
        <v>2664</v>
      </c>
      <c r="I3146">
        <v>34143</v>
      </c>
      <c r="J3146">
        <v>35461</v>
      </c>
      <c r="K3146">
        <v>36780</v>
      </c>
      <c r="L3146">
        <v>37939</v>
      </c>
      <c r="M3146">
        <v>39098</v>
      </c>
      <c r="N3146" t="s">
        <v>988</v>
      </c>
    </row>
    <row r="3147" spans="1:14" hidden="1" x14ac:dyDescent="0.3">
      <c r="A3147">
        <v>2035</v>
      </c>
      <c r="B3147" t="s">
        <v>1843</v>
      </c>
      <c r="C3147" t="s">
        <v>2670</v>
      </c>
      <c r="D3147" t="s">
        <v>1203</v>
      </c>
      <c r="E3147" t="s">
        <v>1204</v>
      </c>
      <c r="F3147">
        <v>5747</v>
      </c>
      <c r="G3147" t="s">
        <v>2671</v>
      </c>
      <c r="H3147" t="s">
        <v>2665</v>
      </c>
      <c r="I3147">
        <v>29690</v>
      </c>
      <c r="J3147">
        <v>30836</v>
      </c>
      <c r="K3147">
        <v>31982</v>
      </c>
      <c r="L3147">
        <v>32990</v>
      </c>
      <c r="M3147">
        <v>33998</v>
      </c>
      <c r="N3147" t="s">
        <v>988</v>
      </c>
    </row>
    <row r="3148" spans="1:14" hidden="1" x14ac:dyDescent="0.3">
      <c r="A3148">
        <v>2035</v>
      </c>
      <c r="B3148" t="s">
        <v>1843</v>
      </c>
      <c r="C3148" t="s">
        <v>2670</v>
      </c>
      <c r="D3148" t="s">
        <v>1203</v>
      </c>
      <c r="E3148" t="s">
        <v>1204</v>
      </c>
      <c r="F3148">
        <v>5747</v>
      </c>
      <c r="G3148" t="s">
        <v>2675</v>
      </c>
      <c r="H3148" t="s">
        <v>2665</v>
      </c>
      <c r="I3148">
        <v>29690</v>
      </c>
      <c r="J3148">
        <v>30836</v>
      </c>
      <c r="K3148">
        <v>31982</v>
      </c>
      <c r="L3148">
        <v>32990</v>
      </c>
      <c r="M3148">
        <v>33998</v>
      </c>
      <c r="N3148" t="s">
        <v>988</v>
      </c>
    </row>
    <row r="3149" spans="1:14" hidden="1" x14ac:dyDescent="0.3">
      <c r="A3149">
        <v>2035</v>
      </c>
      <c r="B3149" t="s">
        <v>1843</v>
      </c>
      <c r="C3149" t="s">
        <v>2670</v>
      </c>
      <c r="D3149" t="s">
        <v>1203</v>
      </c>
      <c r="E3149" t="s">
        <v>1204</v>
      </c>
      <c r="F3149">
        <v>5747</v>
      </c>
      <c r="G3149" t="s">
        <v>2675</v>
      </c>
      <c r="H3149" t="s">
        <v>2664</v>
      </c>
      <c r="I3149">
        <v>34143</v>
      </c>
      <c r="J3149">
        <v>35461</v>
      </c>
      <c r="K3149">
        <v>36780</v>
      </c>
      <c r="L3149">
        <v>37939</v>
      </c>
      <c r="M3149">
        <v>39098</v>
      </c>
      <c r="N3149" t="s">
        <v>988</v>
      </c>
    </row>
    <row r="3150" spans="1:14" hidden="1" x14ac:dyDescent="0.3">
      <c r="A3150">
        <v>2035</v>
      </c>
      <c r="B3150" t="s">
        <v>1843</v>
      </c>
      <c r="C3150" t="s">
        <v>2670</v>
      </c>
      <c r="D3150" t="s">
        <v>1203</v>
      </c>
      <c r="E3150" t="s">
        <v>1204</v>
      </c>
      <c r="F3150">
        <v>5747</v>
      </c>
      <c r="G3150" t="s">
        <v>2676</v>
      </c>
      <c r="H3150" t="s">
        <v>2665</v>
      </c>
      <c r="I3150">
        <v>29690</v>
      </c>
      <c r="J3150">
        <v>30836</v>
      </c>
      <c r="K3150">
        <v>31982</v>
      </c>
      <c r="L3150">
        <v>32990</v>
      </c>
      <c r="M3150">
        <v>33998</v>
      </c>
      <c r="N3150" t="s">
        <v>988</v>
      </c>
    </row>
    <row r="3151" spans="1:14" hidden="1" x14ac:dyDescent="0.3">
      <c r="A3151">
        <v>2035</v>
      </c>
      <c r="B3151" t="s">
        <v>1843</v>
      </c>
      <c r="C3151" t="s">
        <v>2670</v>
      </c>
      <c r="D3151" t="s">
        <v>1203</v>
      </c>
      <c r="E3151" t="s">
        <v>1204</v>
      </c>
      <c r="F3151">
        <v>5747</v>
      </c>
      <c r="G3151" t="s">
        <v>2674</v>
      </c>
      <c r="H3151" t="s">
        <v>2664</v>
      </c>
      <c r="I3151">
        <v>34143</v>
      </c>
      <c r="J3151">
        <v>35461</v>
      </c>
      <c r="K3151">
        <v>36780</v>
      </c>
      <c r="L3151">
        <v>37939</v>
      </c>
      <c r="M3151">
        <v>39098</v>
      </c>
      <c r="N3151" t="s">
        <v>988</v>
      </c>
    </row>
    <row r="3152" spans="1:14" hidden="1" x14ac:dyDescent="0.3">
      <c r="A3152">
        <v>2035</v>
      </c>
      <c r="B3152" t="s">
        <v>1843</v>
      </c>
      <c r="C3152" t="s">
        <v>2670</v>
      </c>
      <c r="D3152" t="s">
        <v>1203</v>
      </c>
      <c r="E3152" t="s">
        <v>1204</v>
      </c>
      <c r="F3152">
        <v>5747</v>
      </c>
      <c r="G3152" t="s">
        <v>2672</v>
      </c>
      <c r="H3152" t="s">
        <v>2664</v>
      </c>
      <c r="I3152">
        <v>34143</v>
      </c>
      <c r="J3152">
        <v>35461</v>
      </c>
      <c r="K3152">
        <v>36780</v>
      </c>
      <c r="L3152">
        <v>37939</v>
      </c>
      <c r="M3152">
        <v>39098</v>
      </c>
      <c r="N3152" t="s">
        <v>988</v>
      </c>
    </row>
    <row r="3153" spans="1:14" hidden="1" x14ac:dyDescent="0.3">
      <c r="A3153">
        <v>2035</v>
      </c>
      <c r="B3153" t="s">
        <v>1843</v>
      </c>
      <c r="C3153" t="s">
        <v>2670</v>
      </c>
      <c r="D3153" t="s">
        <v>1203</v>
      </c>
      <c r="E3153" t="s">
        <v>1204</v>
      </c>
      <c r="F3153">
        <v>5747</v>
      </c>
      <c r="G3153" t="s">
        <v>2672</v>
      </c>
      <c r="H3153" t="s">
        <v>2665</v>
      </c>
      <c r="I3153">
        <v>29690</v>
      </c>
      <c r="J3153">
        <v>30836</v>
      </c>
      <c r="K3153">
        <v>31982</v>
      </c>
      <c r="L3153">
        <v>32990</v>
      </c>
      <c r="M3153">
        <v>33998</v>
      </c>
      <c r="N3153" t="s">
        <v>988</v>
      </c>
    </row>
    <row r="3154" spans="1:14" hidden="1" x14ac:dyDescent="0.3">
      <c r="A3154">
        <v>2035</v>
      </c>
      <c r="B3154" t="s">
        <v>1843</v>
      </c>
      <c r="C3154" t="s">
        <v>2670</v>
      </c>
      <c r="D3154" t="s">
        <v>1203</v>
      </c>
      <c r="E3154" t="s">
        <v>1204</v>
      </c>
      <c r="F3154">
        <v>5747</v>
      </c>
      <c r="G3154" t="s">
        <v>2674</v>
      </c>
      <c r="H3154" t="s">
        <v>2665</v>
      </c>
      <c r="I3154">
        <v>29690</v>
      </c>
      <c r="J3154">
        <v>30836</v>
      </c>
      <c r="K3154">
        <v>31982</v>
      </c>
      <c r="L3154">
        <v>32990</v>
      </c>
      <c r="M3154">
        <v>33998</v>
      </c>
      <c r="N3154" t="s">
        <v>988</v>
      </c>
    </row>
    <row r="3155" spans="1:14" hidden="1" x14ac:dyDescent="0.3">
      <c r="A3155">
        <v>2035</v>
      </c>
      <c r="B3155" t="s">
        <v>1843</v>
      </c>
      <c r="C3155" t="s">
        <v>2670</v>
      </c>
      <c r="D3155" t="s">
        <v>1203</v>
      </c>
      <c r="E3155" t="s">
        <v>1204</v>
      </c>
      <c r="F3155">
        <v>5747</v>
      </c>
      <c r="G3155" t="s">
        <v>2673</v>
      </c>
      <c r="H3155" t="s">
        <v>2664</v>
      </c>
      <c r="I3155">
        <v>34143</v>
      </c>
      <c r="J3155">
        <v>35461</v>
      </c>
      <c r="K3155">
        <v>36780</v>
      </c>
      <c r="L3155">
        <v>37939</v>
      </c>
      <c r="M3155">
        <v>39098</v>
      </c>
      <c r="N3155" t="s">
        <v>988</v>
      </c>
    </row>
    <row r="3156" spans="1:14" hidden="1" x14ac:dyDescent="0.3">
      <c r="A3156">
        <v>2035</v>
      </c>
      <c r="B3156" t="s">
        <v>1843</v>
      </c>
      <c r="C3156" t="s">
        <v>2670</v>
      </c>
      <c r="D3156" t="s">
        <v>1203</v>
      </c>
      <c r="E3156" t="s">
        <v>1204</v>
      </c>
      <c r="F3156">
        <v>5747</v>
      </c>
      <c r="G3156" t="s">
        <v>2673</v>
      </c>
      <c r="H3156" t="s">
        <v>2665</v>
      </c>
      <c r="I3156">
        <v>29690</v>
      </c>
      <c r="J3156">
        <v>30836</v>
      </c>
      <c r="K3156">
        <v>31982</v>
      </c>
      <c r="L3156">
        <v>32990</v>
      </c>
      <c r="M3156">
        <v>33998</v>
      </c>
      <c r="N3156" t="s">
        <v>988</v>
      </c>
    </row>
    <row r="3157" spans="1:14" hidden="1" x14ac:dyDescent="0.3">
      <c r="A3157">
        <v>2035</v>
      </c>
      <c r="B3157" t="s">
        <v>1843</v>
      </c>
      <c r="C3157" t="s">
        <v>2670</v>
      </c>
      <c r="D3157" t="s">
        <v>1203</v>
      </c>
      <c r="E3157" t="s">
        <v>1204</v>
      </c>
      <c r="F3157">
        <v>5747</v>
      </c>
      <c r="G3157" t="s">
        <v>2676</v>
      </c>
      <c r="H3157" t="s">
        <v>2664</v>
      </c>
      <c r="I3157">
        <v>34143</v>
      </c>
      <c r="J3157">
        <v>35461</v>
      </c>
      <c r="K3157">
        <v>36780</v>
      </c>
      <c r="L3157">
        <v>37939</v>
      </c>
      <c r="M3157">
        <v>39098</v>
      </c>
      <c r="N3157" t="s">
        <v>988</v>
      </c>
    </row>
    <row r="3158" spans="1:14" hidden="1" x14ac:dyDescent="0.3">
      <c r="A3158">
        <v>2037</v>
      </c>
      <c r="B3158" t="s">
        <v>1845</v>
      </c>
      <c r="C3158" t="s">
        <v>2670</v>
      </c>
      <c r="D3158" t="s">
        <v>1203</v>
      </c>
      <c r="E3158" t="s">
        <v>1204</v>
      </c>
      <c r="F3158">
        <v>5619</v>
      </c>
      <c r="G3158" t="s">
        <v>2676</v>
      </c>
      <c r="H3158" t="s">
        <v>2664</v>
      </c>
      <c r="I3158">
        <v>7334.8069999999998</v>
      </c>
      <c r="J3158">
        <v>7486.1229999999996</v>
      </c>
      <c r="K3158">
        <v>7835.7870000000003</v>
      </c>
      <c r="L3158">
        <v>7917.4179999999997</v>
      </c>
      <c r="M3158">
        <v>7148.6819999999998</v>
      </c>
      <c r="N3158" t="s">
        <v>988</v>
      </c>
    </row>
    <row r="3159" spans="1:14" hidden="1" x14ac:dyDescent="0.3">
      <c r="A3159">
        <v>2037</v>
      </c>
      <c r="B3159" t="s">
        <v>1845</v>
      </c>
      <c r="C3159" t="s">
        <v>2670</v>
      </c>
      <c r="D3159" t="s">
        <v>1203</v>
      </c>
      <c r="E3159" t="s">
        <v>1204</v>
      </c>
      <c r="F3159">
        <v>5619</v>
      </c>
      <c r="G3159" t="s">
        <v>2676</v>
      </c>
      <c r="H3159" t="s">
        <v>2665</v>
      </c>
      <c r="I3159">
        <v>10805.898999999999</v>
      </c>
      <c r="J3159">
        <v>11049.183000000001</v>
      </c>
      <c r="K3159">
        <v>11566.061</v>
      </c>
      <c r="L3159">
        <v>11696.081</v>
      </c>
      <c r="M3159">
        <v>11922.63</v>
      </c>
      <c r="N3159" t="s">
        <v>988</v>
      </c>
    </row>
    <row r="3160" spans="1:14" hidden="1" x14ac:dyDescent="0.3">
      <c r="A3160">
        <v>2037</v>
      </c>
      <c r="B3160" t="s">
        <v>1845</v>
      </c>
      <c r="C3160" t="s">
        <v>2670</v>
      </c>
      <c r="D3160" t="s">
        <v>1203</v>
      </c>
      <c r="E3160" t="s">
        <v>1204</v>
      </c>
      <c r="F3160">
        <v>5619</v>
      </c>
      <c r="G3160" t="s">
        <v>2675</v>
      </c>
      <c r="H3160" t="s">
        <v>2664</v>
      </c>
      <c r="I3160">
        <v>6472.2969999999996</v>
      </c>
      <c r="J3160">
        <v>6623.6120000000001</v>
      </c>
      <c r="K3160">
        <v>6950.8739999999998</v>
      </c>
      <c r="L3160">
        <v>7032.5050000000001</v>
      </c>
      <c r="M3160">
        <v>7148.6819999999998</v>
      </c>
      <c r="N3160" t="s">
        <v>988</v>
      </c>
    </row>
    <row r="3161" spans="1:14" hidden="1" x14ac:dyDescent="0.3">
      <c r="A3161">
        <v>2037</v>
      </c>
      <c r="B3161" t="s">
        <v>1845</v>
      </c>
      <c r="C3161" t="s">
        <v>2670</v>
      </c>
      <c r="D3161" t="s">
        <v>1203</v>
      </c>
      <c r="E3161" t="s">
        <v>1204</v>
      </c>
      <c r="F3161">
        <v>5619</v>
      </c>
      <c r="G3161" t="s">
        <v>2675</v>
      </c>
      <c r="H3161" t="s">
        <v>2665</v>
      </c>
      <c r="I3161">
        <v>10805.898999999999</v>
      </c>
      <c r="J3161">
        <v>11049.183000000001</v>
      </c>
      <c r="K3161">
        <v>11566.061</v>
      </c>
      <c r="L3161">
        <v>11696.081</v>
      </c>
      <c r="M3161">
        <v>11922.63</v>
      </c>
      <c r="N3161" t="s">
        <v>988</v>
      </c>
    </row>
    <row r="3162" spans="1:14" hidden="1" x14ac:dyDescent="0.3">
      <c r="A3162">
        <v>2037</v>
      </c>
      <c r="B3162" t="s">
        <v>1845</v>
      </c>
      <c r="C3162" t="s">
        <v>2670</v>
      </c>
      <c r="D3162" t="s">
        <v>1203</v>
      </c>
      <c r="E3162" t="s">
        <v>1204</v>
      </c>
      <c r="F3162">
        <v>5619</v>
      </c>
      <c r="G3162" t="s">
        <v>2674</v>
      </c>
      <c r="H3162" t="s">
        <v>2664</v>
      </c>
      <c r="I3162">
        <v>6472.2969999999996</v>
      </c>
      <c r="J3162">
        <v>6623.6120000000001</v>
      </c>
      <c r="K3162">
        <v>6950.8739999999998</v>
      </c>
      <c r="L3162">
        <v>7032.5050000000001</v>
      </c>
      <c r="M3162">
        <v>7148.6819999999998</v>
      </c>
      <c r="N3162" t="s">
        <v>988</v>
      </c>
    </row>
    <row r="3163" spans="1:14" hidden="1" x14ac:dyDescent="0.3">
      <c r="A3163">
        <v>2037</v>
      </c>
      <c r="B3163" t="s">
        <v>1845</v>
      </c>
      <c r="C3163" t="s">
        <v>2670</v>
      </c>
      <c r="D3163" t="s">
        <v>1203</v>
      </c>
      <c r="E3163" t="s">
        <v>1204</v>
      </c>
      <c r="F3163">
        <v>5619</v>
      </c>
      <c r="G3163" t="s">
        <v>2674</v>
      </c>
      <c r="H3163" t="s">
        <v>2665</v>
      </c>
      <c r="I3163">
        <v>10805.898999999999</v>
      </c>
      <c r="J3163">
        <v>11049.183000000001</v>
      </c>
      <c r="K3163">
        <v>11566.061</v>
      </c>
      <c r="L3163">
        <v>11696.081</v>
      </c>
      <c r="M3163">
        <v>11922.63</v>
      </c>
      <c r="N3163" t="s">
        <v>988</v>
      </c>
    </row>
    <row r="3164" spans="1:14" hidden="1" x14ac:dyDescent="0.3">
      <c r="A3164">
        <v>2037</v>
      </c>
      <c r="B3164" t="s">
        <v>1845</v>
      </c>
      <c r="C3164" t="s">
        <v>2670</v>
      </c>
      <c r="D3164" t="s">
        <v>1203</v>
      </c>
      <c r="E3164" t="s">
        <v>1204</v>
      </c>
      <c r="F3164">
        <v>5619</v>
      </c>
      <c r="G3164" t="s">
        <v>2673</v>
      </c>
      <c r="H3164" t="s">
        <v>2664</v>
      </c>
      <c r="I3164">
        <v>6472.2969999999996</v>
      </c>
      <c r="J3164">
        <v>6623.6120000000001</v>
      </c>
      <c r="K3164">
        <v>6950.8739999999998</v>
      </c>
      <c r="L3164">
        <v>6405.2240000000002</v>
      </c>
      <c r="M3164">
        <v>6330.9769999999999</v>
      </c>
      <c r="N3164" t="s">
        <v>988</v>
      </c>
    </row>
    <row r="3165" spans="1:14" hidden="1" x14ac:dyDescent="0.3">
      <c r="A3165">
        <v>2037</v>
      </c>
      <c r="B3165" t="s">
        <v>1845</v>
      </c>
      <c r="C3165" t="s">
        <v>2670</v>
      </c>
      <c r="D3165" t="s">
        <v>1203</v>
      </c>
      <c r="E3165" t="s">
        <v>1204</v>
      </c>
      <c r="F3165">
        <v>5619</v>
      </c>
      <c r="G3165" t="s">
        <v>2673</v>
      </c>
      <c r="H3165" t="s">
        <v>2665</v>
      </c>
      <c r="I3165">
        <v>10805.898999999999</v>
      </c>
      <c r="J3165">
        <v>11049.183000000001</v>
      </c>
      <c r="K3165">
        <v>11566.061</v>
      </c>
      <c r="L3165">
        <v>11696.081</v>
      </c>
      <c r="M3165">
        <v>11922.63</v>
      </c>
      <c r="N3165" t="s">
        <v>988</v>
      </c>
    </row>
    <row r="3166" spans="1:14" hidden="1" x14ac:dyDescent="0.3">
      <c r="A3166">
        <v>2037</v>
      </c>
      <c r="B3166" t="s">
        <v>1845</v>
      </c>
      <c r="C3166" t="s">
        <v>2670</v>
      </c>
      <c r="D3166" t="s">
        <v>1203</v>
      </c>
      <c r="E3166" t="s">
        <v>1204</v>
      </c>
      <c r="F3166">
        <v>5619</v>
      </c>
      <c r="G3166" t="s">
        <v>2671</v>
      </c>
      <c r="H3166" t="s">
        <v>2664</v>
      </c>
      <c r="I3166">
        <v>6472.2969999999996</v>
      </c>
      <c r="J3166">
        <v>6623.6120000000001</v>
      </c>
      <c r="K3166">
        <v>6514.018</v>
      </c>
      <c r="L3166">
        <v>6405.2240000000002</v>
      </c>
      <c r="M3166">
        <v>6330.9769999999999</v>
      </c>
      <c r="N3166" t="s">
        <v>988</v>
      </c>
    </row>
    <row r="3167" spans="1:14" hidden="1" x14ac:dyDescent="0.3">
      <c r="A3167">
        <v>2037</v>
      </c>
      <c r="B3167" t="s">
        <v>1845</v>
      </c>
      <c r="C3167" t="s">
        <v>2670</v>
      </c>
      <c r="D3167" t="s">
        <v>1203</v>
      </c>
      <c r="E3167" t="s">
        <v>1204</v>
      </c>
      <c r="F3167">
        <v>5619</v>
      </c>
      <c r="G3167" t="s">
        <v>2671</v>
      </c>
      <c r="H3167" t="s">
        <v>2665</v>
      </c>
      <c r="I3167">
        <v>10805.898999999999</v>
      </c>
      <c r="J3167">
        <v>11049.183000000001</v>
      </c>
      <c r="K3167">
        <v>11566.061</v>
      </c>
      <c r="L3167">
        <v>11696.081</v>
      </c>
      <c r="M3167">
        <v>11922.63</v>
      </c>
      <c r="N3167" t="s">
        <v>988</v>
      </c>
    </row>
    <row r="3168" spans="1:14" hidden="1" x14ac:dyDescent="0.3">
      <c r="A3168">
        <v>2037</v>
      </c>
      <c r="B3168" t="s">
        <v>1845</v>
      </c>
      <c r="C3168" t="s">
        <v>2670</v>
      </c>
      <c r="D3168" t="s">
        <v>1203</v>
      </c>
      <c r="E3168" t="s">
        <v>1204</v>
      </c>
      <c r="F3168">
        <v>5619</v>
      </c>
      <c r="G3168" t="s">
        <v>2672</v>
      </c>
      <c r="H3168" t="s">
        <v>2665</v>
      </c>
      <c r="N3168" t="s">
        <v>988</v>
      </c>
    </row>
    <row r="3169" spans="1:14" hidden="1" x14ac:dyDescent="0.3">
      <c r="A3169">
        <v>2037</v>
      </c>
      <c r="B3169" t="s">
        <v>1845</v>
      </c>
      <c r="C3169" t="s">
        <v>2670</v>
      </c>
      <c r="D3169" t="s">
        <v>1203</v>
      </c>
      <c r="E3169" t="s">
        <v>1204</v>
      </c>
      <c r="F3169">
        <v>5619</v>
      </c>
      <c r="G3169" t="s">
        <v>2672</v>
      </c>
      <c r="H3169" t="s">
        <v>2664</v>
      </c>
      <c r="N3169" t="s">
        <v>988</v>
      </c>
    </row>
    <row r="3170" spans="1:14" hidden="1" x14ac:dyDescent="0.3">
      <c r="A3170">
        <v>2042</v>
      </c>
      <c r="B3170" t="s">
        <v>1848</v>
      </c>
      <c r="C3170" t="s">
        <v>2670</v>
      </c>
      <c r="D3170" t="s">
        <v>1203</v>
      </c>
      <c r="E3170" t="s">
        <v>1204</v>
      </c>
      <c r="F3170">
        <v>7759</v>
      </c>
      <c r="G3170" t="s">
        <v>2672</v>
      </c>
      <c r="H3170" t="s">
        <v>2665</v>
      </c>
      <c r="I3170">
        <v>5508.6536907500004</v>
      </c>
      <c r="J3170">
        <v>6297.3578681999998</v>
      </c>
      <c r="K3170">
        <v>7076.8553820999996</v>
      </c>
      <c r="L3170">
        <v>7862.4906717000003</v>
      </c>
      <c r="M3170">
        <v>8645.0570734499997</v>
      </c>
      <c r="N3170" t="s">
        <v>988</v>
      </c>
    </row>
    <row r="3171" spans="1:14" hidden="1" x14ac:dyDescent="0.3">
      <c r="A3171">
        <v>2042</v>
      </c>
      <c r="B3171" t="s">
        <v>1848</v>
      </c>
      <c r="C3171" t="s">
        <v>2670</v>
      </c>
      <c r="D3171" t="s">
        <v>1203</v>
      </c>
      <c r="E3171" t="s">
        <v>1204</v>
      </c>
      <c r="F3171">
        <v>7759</v>
      </c>
      <c r="G3171" t="s">
        <v>2672</v>
      </c>
      <c r="H3171" t="s">
        <v>2664</v>
      </c>
      <c r="I3171">
        <v>5508.6536907500004</v>
      </c>
      <c r="J3171">
        <v>6297.3578681999998</v>
      </c>
      <c r="K3171">
        <v>7076.8553820999996</v>
      </c>
      <c r="L3171">
        <v>7862.4906717000003</v>
      </c>
      <c r="M3171">
        <v>8645.0570734499997</v>
      </c>
      <c r="N3171" t="s">
        <v>988</v>
      </c>
    </row>
    <row r="3172" spans="1:14" hidden="1" x14ac:dyDescent="0.3">
      <c r="A3172">
        <v>2042</v>
      </c>
      <c r="B3172" t="s">
        <v>1848</v>
      </c>
      <c r="C3172" t="s">
        <v>2670</v>
      </c>
      <c r="D3172" t="s">
        <v>1203</v>
      </c>
      <c r="E3172" t="s">
        <v>1204</v>
      </c>
      <c r="F3172">
        <v>7759</v>
      </c>
      <c r="G3172" t="s">
        <v>2671</v>
      </c>
      <c r="H3172" t="s">
        <v>2665</v>
      </c>
      <c r="I3172">
        <v>5508.6536907500004</v>
      </c>
      <c r="J3172">
        <v>6297.3578681999998</v>
      </c>
      <c r="K3172">
        <v>7076.8553820999996</v>
      </c>
      <c r="L3172">
        <v>7862.4906717000003</v>
      </c>
      <c r="M3172">
        <v>8645.0570734499997</v>
      </c>
      <c r="N3172" t="s">
        <v>988</v>
      </c>
    </row>
    <row r="3173" spans="1:14" hidden="1" x14ac:dyDescent="0.3">
      <c r="A3173">
        <v>2042</v>
      </c>
      <c r="B3173" t="s">
        <v>1848</v>
      </c>
      <c r="C3173" t="s">
        <v>2670</v>
      </c>
      <c r="D3173" t="s">
        <v>1203</v>
      </c>
      <c r="E3173" t="s">
        <v>1204</v>
      </c>
      <c r="F3173">
        <v>7759</v>
      </c>
      <c r="G3173" t="s">
        <v>2671</v>
      </c>
      <c r="H3173" t="s">
        <v>2664</v>
      </c>
      <c r="I3173">
        <v>5508.6536907500004</v>
      </c>
      <c r="J3173">
        <v>6297.3578681999998</v>
      </c>
      <c r="K3173">
        <v>7076.8553820999996</v>
      </c>
      <c r="L3173">
        <v>7862.4906717000003</v>
      </c>
      <c r="M3173">
        <v>8645.0570734499997</v>
      </c>
      <c r="N3173" t="s">
        <v>988</v>
      </c>
    </row>
    <row r="3174" spans="1:14" hidden="1" x14ac:dyDescent="0.3">
      <c r="A3174">
        <v>2042</v>
      </c>
      <c r="B3174" t="s">
        <v>1848</v>
      </c>
      <c r="C3174" t="s">
        <v>2670</v>
      </c>
      <c r="D3174" t="s">
        <v>1203</v>
      </c>
      <c r="E3174" t="s">
        <v>1204</v>
      </c>
      <c r="F3174">
        <v>7759</v>
      </c>
      <c r="G3174" t="s">
        <v>2673</v>
      </c>
      <c r="H3174" t="s">
        <v>2665</v>
      </c>
      <c r="I3174">
        <v>5508.6536907500004</v>
      </c>
      <c r="J3174">
        <v>6297.3578681999998</v>
      </c>
      <c r="K3174">
        <v>7076.8553820999996</v>
      </c>
      <c r="L3174">
        <v>7862.4906717000003</v>
      </c>
      <c r="M3174">
        <v>8645.0570734499997</v>
      </c>
      <c r="N3174" t="s">
        <v>988</v>
      </c>
    </row>
    <row r="3175" spans="1:14" hidden="1" x14ac:dyDescent="0.3">
      <c r="A3175">
        <v>2042</v>
      </c>
      <c r="B3175" t="s">
        <v>1848</v>
      </c>
      <c r="C3175" t="s">
        <v>2670</v>
      </c>
      <c r="D3175" t="s">
        <v>1203</v>
      </c>
      <c r="E3175" t="s">
        <v>1204</v>
      </c>
      <c r="F3175">
        <v>7759</v>
      </c>
      <c r="G3175" t="s">
        <v>2676</v>
      </c>
      <c r="H3175" t="s">
        <v>2664</v>
      </c>
      <c r="I3175">
        <v>5508.6536907500004</v>
      </c>
      <c r="J3175">
        <v>6297.3578681999998</v>
      </c>
      <c r="K3175">
        <v>7076.8553820999996</v>
      </c>
      <c r="L3175">
        <v>7862.4906717000003</v>
      </c>
      <c r="M3175">
        <v>8645.0570734499997</v>
      </c>
      <c r="N3175" t="s">
        <v>988</v>
      </c>
    </row>
    <row r="3176" spans="1:14" hidden="1" x14ac:dyDescent="0.3">
      <c r="A3176">
        <v>2042</v>
      </c>
      <c r="B3176" t="s">
        <v>1848</v>
      </c>
      <c r="C3176" t="s">
        <v>2670</v>
      </c>
      <c r="D3176" t="s">
        <v>1203</v>
      </c>
      <c r="E3176" t="s">
        <v>1204</v>
      </c>
      <c r="F3176">
        <v>7759</v>
      </c>
      <c r="G3176" t="s">
        <v>2674</v>
      </c>
      <c r="H3176" t="s">
        <v>2665</v>
      </c>
      <c r="I3176">
        <v>5508.6536907500004</v>
      </c>
      <c r="J3176">
        <v>6297.3578681999998</v>
      </c>
      <c r="K3176">
        <v>7076.8553820999996</v>
      </c>
      <c r="L3176">
        <v>7862.4906717000003</v>
      </c>
      <c r="M3176">
        <v>8645.0570734499997</v>
      </c>
      <c r="N3176" t="s">
        <v>988</v>
      </c>
    </row>
    <row r="3177" spans="1:14" hidden="1" x14ac:dyDescent="0.3">
      <c r="A3177">
        <v>2042</v>
      </c>
      <c r="B3177" t="s">
        <v>1848</v>
      </c>
      <c r="C3177" t="s">
        <v>2670</v>
      </c>
      <c r="D3177" t="s">
        <v>1203</v>
      </c>
      <c r="E3177" t="s">
        <v>1204</v>
      </c>
      <c r="F3177">
        <v>7759</v>
      </c>
      <c r="G3177" t="s">
        <v>2674</v>
      </c>
      <c r="H3177" t="s">
        <v>2664</v>
      </c>
      <c r="I3177">
        <v>5508.6536907500004</v>
      </c>
      <c r="J3177">
        <v>6297.3578681999998</v>
      </c>
      <c r="K3177">
        <v>7076.8553820999996</v>
      </c>
      <c r="L3177">
        <v>7862.4906717000003</v>
      </c>
      <c r="M3177">
        <v>8645.0570734499997</v>
      </c>
      <c r="N3177" t="s">
        <v>988</v>
      </c>
    </row>
    <row r="3178" spans="1:14" hidden="1" x14ac:dyDescent="0.3">
      <c r="A3178">
        <v>2042</v>
      </c>
      <c r="B3178" t="s">
        <v>1848</v>
      </c>
      <c r="C3178" t="s">
        <v>2670</v>
      </c>
      <c r="D3178" t="s">
        <v>1203</v>
      </c>
      <c r="E3178" t="s">
        <v>1204</v>
      </c>
      <c r="F3178">
        <v>7759</v>
      </c>
      <c r="G3178" t="s">
        <v>2675</v>
      </c>
      <c r="H3178" t="s">
        <v>2665</v>
      </c>
      <c r="I3178">
        <v>5508.6536907500004</v>
      </c>
      <c r="J3178">
        <v>6297.3578681999998</v>
      </c>
      <c r="K3178">
        <v>7076.8553820999996</v>
      </c>
      <c r="L3178">
        <v>7862.4906717000003</v>
      </c>
      <c r="M3178">
        <v>8645.0570734499997</v>
      </c>
      <c r="N3178" t="s">
        <v>988</v>
      </c>
    </row>
    <row r="3179" spans="1:14" hidden="1" x14ac:dyDescent="0.3">
      <c r="A3179">
        <v>2042</v>
      </c>
      <c r="B3179" t="s">
        <v>1848</v>
      </c>
      <c r="C3179" t="s">
        <v>2670</v>
      </c>
      <c r="D3179" t="s">
        <v>1203</v>
      </c>
      <c r="E3179" t="s">
        <v>1204</v>
      </c>
      <c r="F3179">
        <v>7759</v>
      </c>
      <c r="G3179" t="s">
        <v>2675</v>
      </c>
      <c r="H3179" t="s">
        <v>2664</v>
      </c>
      <c r="I3179">
        <v>5508.6536907500004</v>
      </c>
      <c r="J3179">
        <v>6297.3578681999998</v>
      </c>
      <c r="K3179">
        <v>7076.8553820999996</v>
      </c>
      <c r="L3179">
        <v>7862.4906717000003</v>
      </c>
      <c r="M3179">
        <v>8645.0570734499997</v>
      </c>
      <c r="N3179" t="s">
        <v>988</v>
      </c>
    </row>
    <row r="3180" spans="1:14" hidden="1" x14ac:dyDescent="0.3">
      <c r="A3180">
        <v>2042</v>
      </c>
      <c r="B3180" t="s">
        <v>1848</v>
      </c>
      <c r="C3180" t="s">
        <v>2670</v>
      </c>
      <c r="D3180" t="s">
        <v>1203</v>
      </c>
      <c r="E3180" t="s">
        <v>1204</v>
      </c>
      <c r="F3180">
        <v>7759</v>
      </c>
      <c r="G3180" t="s">
        <v>2676</v>
      </c>
      <c r="H3180" t="s">
        <v>2665</v>
      </c>
      <c r="I3180">
        <v>5508.6536907500004</v>
      </c>
      <c r="J3180">
        <v>6297.3578681999998</v>
      </c>
      <c r="K3180">
        <v>7076.8553820999996</v>
      </c>
      <c r="L3180">
        <v>7862.4906717000003</v>
      </c>
      <c r="M3180">
        <v>8645.0570734499997</v>
      </c>
      <c r="N3180" t="s">
        <v>988</v>
      </c>
    </row>
    <row r="3181" spans="1:14" hidden="1" x14ac:dyDescent="0.3">
      <c r="A3181">
        <v>2042</v>
      </c>
      <c r="B3181" t="s">
        <v>1848</v>
      </c>
      <c r="C3181" t="s">
        <v>2670</v>
      </c>
      <c r="D3181" t="s">
        <v>1203</v>
      </c>
      <c r="E3181" t="s">
        <v>1204</v>
      </c>
      <c r="F3181">
        <v>7759</v>
      </c>
      <c r="G3181" t="s">
        <v>2673</v>
      </c>
      <c r="H3181" t="s">
        <v>2664</v>
      </c>
      <c r="I3181">
        <v>5508.6536907500004</v>
      </c>
      <c r="J3181">
        <v>6297.3578681999998</v>
      </c>
      <c r="K3181">
        <v>7076.8553820999996</v>
      </c>
      <c r="L3181">
        <v>7862.4906717000003</v>
      </c>
      <c r="M3181">
        <v>8645.0570734499997</v>
      </c>
      <c r="N3181" t="s">
        <v>988</v>
      </c>
    </row>
    <row r="3182" spans="1:14" hidden="1" x14ac:dyDescent="0.3">
      <c r="A3182">
        <v>2049</v>
      </c>
      <c r="B3182" t="s">
        <v>1849</v>
      </c>
      <c r="C3182" t="s">
        <v>2670</v>
      </c>
      <c r="D3182" t="s">
        <v>1203</v>
      </c>
      <c r="E3182" t="s">
        <v>1204</v>
      </c>
      <c r="F3182">
        <v>5727</v>
      </c>
      <c r="G3182" t="s">
        <v>2672</v>
      </c>
      <c r="H3182" t="s">
        <v>2665</v>
      </c>
      <c r="N3182" t="s">
        <v>988</v>
      </c>
    </row>
    <row r="3183" spans="1:14" hidden="1" x14ac:dyDescent="0.3">
      <c r="A3183">
        <v>2049</v>
      </c>
      <c r="B3183" t="s">
        <v>1849</v>
      </c>
      <c r="C3183" t="s">
        <v>2670</v>
      </c>
      <c r="D3183" t="s">
        <v>1203</v>
      </c>
      <c r="E3183" t="s">
        <v>1204</v>
      </c>
      <c r="F3183">
        <v>5727</v>
      </c>
      <c r="G3183" t="s">
        <v>2672</v>
      </c>
      <c r="H3183" t="s">
        <v>2664</v>
      </c>
      <c r="N3183" t="s">
        <v>988</v>
      </c>
    </row>
    <row r="3184" spans="1:14" hidden="1" x14ac:dyDescent="0.3">
      <c r="A3184">
        <v>2049</v>
      </c>
      <c r="B3184" t="s">
        <v>1849</v>
      </c>
      <c r="C3184" t="s">
        <v>2670</v>
      </c>
      <c r="D3184" t="s">
        <v>1203</v>
      </c>
      <c r="E3184" t="s">
        <v>1204</v>
      </c>
      <c r="F3184">
        <v>5727</v>
      </c>
      <c r="G3184" t="s">
        <v>2671</v>
      </c>
      <c r="H3184" t="s">
        <v>2665</v>
      </c>
      <c r="I3184">
        <v>10563</v>
      </c>
      <c r="J3184">
        <v>11236</v>
      </c>
      <c r="K3184">
        <v>11910</v>
      </c>
      <c r="L3184">
        <v>12342</v>
      </c>
      <c r="M3184">
        <v>12775</v>
      </c>
      <c r="N3184" t="s">
        <v>988</v>
      </c>
    </row>
    <row r="3185" spans="1:14" hidden="1" x14ac:dyDescent="0.3">
      <c r="A3185">
        <v>2049</v>
      </c>
      <c r="B3185" t="s">
        <v>1849</v>
      </c>
      <c r="C3185" t="s">
        <v>2670</v>
      </c>
      <c r="D3185" t="s">
        <v>1203</v>
      </c>
      <c r="E3185" t="s">
        <v>1204</v>
      </c>
      <c r="F3185">
        <v>5727</v>
      </c>
      <c r="G3185" t="s">
        <v>2671</v>
      </c>
      <c r="H3185" t="s">
        <v>2664</v>
      </c>
      <c r="I3185">
        <v>12147</v>
      </c>
      <c r="J3185">
        <v>12922</v>
      </c>
      <c r="K3185">
        <v>13696</v>
      </c>
      <c r="L3185">
        <v>14194</v>
      </c>
      <c r="M3185">
        <v>14691</v>
      </c>
      <c r="N3185" t="s">
        <v>988</v>
      </c>
    </row>
    <row r="3186" spans="1:14" hidden="1" x14ac:dyDescent="0.3">
      <c r="A3186">
        <v>2049</v>
      </c>
      <c r="B3186" t="s">
        <v>1849</v>
      </c>
      <c r="C3186" t="s">
        <v>2670</v>
      </c>
      <c r="D3186" t="s">
        <v>1203</v>
      </c>
      <c r="E3186" t="s">
        <v>1204</v>
      </c>
      <c r="F3186">
        <v>5727</v>
      </c>
      <c r="G3186" t="s">
        <v>2673</v>
      </c>
      <c r="H3186" t="s">
        <v>2665</v>
      </c>
      <c r="I3186">
        <v>10563</v>
      </c>
      <c r="J3186">
        <v>11236</v>
      </c>
      <c r="K3186">
        <v>11910</v>
      </c>
      <c r="L3186">
        <v>12342</v>
      </c>
      <c r="M3186">
        <v>12775</v>
      </c>
      <c r="N3186" t="s">
        <v>988</v>
      </c>
    </row>
    <row r="3187" spans="1:14" hidden="1" x14ac:dyDescent="0.3">
      <c r="A3187">
        <v>2049</v>
      </c>
      <c r="B3187" t="s">
        <v>1849</v>
      </c>
      <c r="C3187" t="s">
        <v>2670</v>
      </c>
      <c r="D3187" t="s">
        <v>1203</v>
      </c>
      <c r="E3187" t="s">
        <v>1204</v>
      </c>
      <c r="F3187">
        <v>5727</v>
      </c>
      <c r="G3187" t="s">
        <v>2676</v>
      </c>
      <c r="H3187" t="s">
        <v>2664</v>
      </c>
      <c r="I3187">
        <v>12147</v>
      </c>
      <c r="J3187">
        <v>12922</v>
      </c>
      <c r="K3187">
        <v>13696</v>
      </c>
      <c r="L3187">
        <v>14194</v>
      </c>
      <c r="M3187">
        <v>14691</v>
      </c>
      <c r="N3187" t="s">
        <v>988</v>
      </c>
    </row>
    <row r="3188" spans="1:14" hidden="1" x14ac:dyDescent="0.3">
      <c r="A3188">
        <v>2049</v>
      </c>
      <c r="B3188" t="s">
        <v>1849</v>
      </c>
      <c r="C3188" t="s">
        <v>2670</v>
      </c>
      <c r="D3188" t="s">
        <v>1203</v>
      </c>
      <c r="E3188" t="s">
        <v>1204</v>
      </c>
      <c r="F3188">
        <v>5727</v>
      </c>
      <c r="G3188" t="s">
        <v>2674</v>
      </c>
      <c r="H3188" t="s">
        <v>2665</v>
      </c>
      <c r="I3188">
        <v>10563</v>
      </c>
      <c r="J3188">
        <v>11236</v>
      </c>
      <c r="K3188">
        <v>11910</v>
      </c>
      <c r="L3188">
        <v>12342</v>
      </c>
      <c r="M3188">
        <v>12775</v>
      </c>
      <c r="N3188" t="s">
        <v>988</v>
      </c>
    </row>
    <row r="3189" spans="1:14" hidden="1" x14ac:dyDescent="0.3">
      <c r="A3189">
        <v>2049</v>
      </c>
      <c r="B3189" t="s">
        <v>1849</v>
      </c>
      <c r="C3189" t="s">
        <v>2670</v>
      </c>
      <c r="D3189" t="s">
        <v>1203</v>
      </c>
      <c r="E3189" t="s">
        <v>1204</v>
      </c>
      <c r="F3189">
        <v>5727</v>
      </c>
      <c r="G3189" t="s">
        <v>2674</v>
      </c>
      <c r="H3189" t="s">
        <v>2664</v>
      </c>
      <c r="I3189">
        <v>12147</v>
      </c>
      <c r="J3189">
        <v>12922</v>
      </c>
      <c r="K3189">
        <v>13696</v>
      </c>
      <c r="L3189">
        <v>14194</v>
      </c>
      <c r="M3189">
        <v>14691</v>
      </c>
      <c r="N3189" t="s">
        <v>988</v>
      </c>
    </row>
    <row r="3190" spans="1:14" hidden="1" x14ac:dyDescent="0.3">
      <c r="A3190">
        <v>2049</v>
      </c>
      <c r="B3190" t="s">
        <v>1849</v>
      </c>
      <c r="C3190" t="s">
        <v>2670</v>
      </c>
      <c r="D3190" t="s">
        <v>1203</v>
      </c>
      <c r="E3190" t="s">
        <v>1204</v>
      </c>
      <c r="F3190">
        <v>5727</v>
      </c>
      <c r="G3190" t="s">
        <v>2675</v>
      </c>
      <c r="H3190" t="s">
        <v>2665</v>
      </c>
      <c r="I3190">
        <v>10563</v>
      </c>
      <c r="J3190">
        <v>11236</v>
      </c>
      <c r="K3190">
        <v>11910</v>
      </c>
      <c r="L3190">
        <v>12342</v>
      </c>
      <c r="M3190">
        <v>12775</v>
      </c>
      <c r="N3190" t="s">
        <v>988</v>
      </c>
    </row>
    <row r="3191" spans="1:14" hidden="1" x14ac:dyDescent="0.3">
      <c r="A3191">
        <v>2049</v>
      </c>
      <c r="B3191" t="s">
        <v>1849</v>
      </c>
      <c r="C3191" t="s">
        <v>2670</v>
      </c>
      <c r="D3191" t="s">
        <v>1203</v>
      </c>
      <c r="E3191" t="s">
        <v>1204</v>
      </c>
      <c r="F3191">
        <v>5727</v>
      </c>
      <c r="G3191" t="s">
        <v>2675</v>
      </c>
      <c r="H3191" t="s">
        <v>2664</v>
      </c>
      <c r="I3191">
        <v>12147</v>
      </c>
      <c r="J3191">
        <v>12922</v>
      </c>
      <c r="K3191">
        <v>13696</v>
      </c>
      <c r="L3191">
        <v>14194</v>
      </c>
      <c r="M3191">
        <v>14691</v>
      </c>
      <c r="N3191" t="s">
        <v>988</v>
      </c>
    </row>
    <row r="3192" spans="1:14" hidden="1" x14ac:dyDescent="0.3">
      <c r="A3192">
        <v>2049</v>
      </c>
      <c r="B3192" t="s">
        <v>1849</v>
      </c>
      <c r="C3192" t="s">
        <v>2670</v>
      </c>
      <c r="D3192" t="s">
        <v>1203</v>
      </c>
      <c r="E3192" t="s">
        <v>1204</v>
      </c>
      <c r="F3192">
        <v>5727</v>
      </c>
      <c r="G3192" t="s">
        <v>2676</v>
      </c>
      <c r="H3192" t="s">
        <v>2665</v>
      </c>
      <c r="I3192">
        <v>10563</v>
      </c>
      <c r="J3192">
        <v>11236</v>
      </c>
      <c r="K3192">
        <v>11910</v>
      </c>
      <c r="L3192">
        <v>12342</v>
      </c>
      <c r="M3192">
        <v>12775</v>
      </c>
      <c r="N3192" t="s">
        <v>988</v>
      </c>
    </row>
    <row r="3193" spans="1:14" hidden="1" x14ac:dyDescent="0.3">
      <c r="A3193">
        <v>2049</v>
      </c>
      <c r="B3193" t="s">
        <v>1849</v>
      </c>
      <c r="C3193" t="s">
        <v>2670</v>
      </c>
      <c r="D3193" t="s">
        <v>1203</v>
      </c>
      <c r="E3193" t="s">
        <v>1204</v>
      </c>
      <c r="F3193">
        <v>5727</v>
      </c>
      <c r="G3193" t="s">
        <v>2673</v>
      </c>
      <c r="H3193" t="s">
        <v>2664</v>
      </c>
      <c r="I3193">
        <v>12147</v>
      </c>
      <c r="J3193">
        <v>12922</v>
      </c>
      <c r="K3193">
        <v>13696</v>
      </c>
      <c r="L3193">
        <v>14194</v>
      </c>
      <c r="M3193">
        <v>14691</v>
      </c>
      <c r="N3193" t="s">
        <v>988</v>
      </c>
    </row>
    <row r="3194" spans="1:14" hidden="1" x14ac:dyDescent="0.3">
      <c r="A3194">
        <v>2057</v>
      </c>
      <c r="B3194" t="s">
        <v>1851</v>
      </c>
      <c r="C3194" t="s">
        <v>2670</v>
      </c>
      <c r="D3194" t="s">
        <v>159</v>
      </c>
      <c r="E3194" t="s">
        <v>159</v>
      </c>
      <c r="F3194">
        <v>5680</v>
      </c>
      <c r="G3194" t="s">
        <v>2673</v>
      </c>
      <c r="H3194" t="s">
        <v>2665</v>
      </c>
      <c r="I3194">
        <v>10558</v>
      </c>
      <c r="J3194">
        <v>11130</v>
      </c>
      <c r="K3194">
        <v>11305</v>
      </c>
      <c r="L3194">
        <v>11399</v>
      </c>
      <c r="M3194">
        <v>11578</v>
      </c>
      <c r="N3194" t="s">
        <v>988</v>
      </c>
    </row>
    <row r="3195" spans="1:14" hidden="1" x14ac:dyDescent="0.3">
      <c r="A3195">
        <v>2057</v>
      </c>
      <c r="B3195" t="s">
        <v>1851</v>
      </c>
      <c r="C3195" t="s">
        <v>2670</v>
      </c>
      <c r="D3195" t="s">
        <v>159</v>
      </c>
      <c r="E3195" t="s">
        <v>159</v>
      </c>
      <c r="F3195">
        <v>5680</v>
      </c>
      <c r="G3195" t="s">
        <v>2673</v>
      </c>
      <c r="H3195" t="s">
        <v>2664</v>
      </c>
      <c r="I3195">
        <v>10558</v>
      </c>
      <c r="J3195">
        <v>11130</v>
      </c>
      <c r="K3195">
        <v>11305</v>
      </c>
      <c r="L3195">
        <v>11399</v>
      </c>
      <c r="M3195">
        <v>11578</v>
      </c>
      <c r="N3195" t="s">
        <v>988</v>
      </c>
    </row>
    <row r="3196" spans="1:14" hidden="1" x14ac:dyDescent="0.3">
      <c r="A3196">
        <v>2057</v>
      </c>
      <c r="B3196" t="s">
        <v>1851</v>
      </c>
      <c r="C3196" t="s">
        <v>2670</v>
      </c>
      <c r="D3196" t="s">
        <v>159</v>
      </c>
      <c r="E3196" t="s">
        <v>159</v>
      </c>
      <c r="F3196">
        <v>5680</v>
      </c>
      <c r="G3196" t="s">
        <v>2674</v>
      </c>
      <c r="H3196" t="s">
        <v>2665</v>
      </c>
      <c r="I3196">
        <v>10380</v>
      </c>
      <c r="J3196">
        <v>10943</v>
      </c>
      <c r="K3196">
        <v>11115</v>
      </c>
      <c r="L3196">
        <v>11207</v>
      </c>
      <c r="M3196">
        <v>11383</v>
      </c>
      <c r="N3196" t="s">
        <v>988</v>
      </c>
    </row>
    <row r="3197" spans="1:14" hidden="1" x14ac:dyDescent="0.3">
      <c r="A3197">
        <v>2057</v>
      </c>
      <c r="B3197" t="s">
        <v>1851</v>
      </c>
      <c r="C3197" t="s">
        <v>2670</v>
      </c>
      <c r="D3197" t="s">
        <v>159</v>
      </c>
      <c r="E3197" t="s">
        <v>159</v>
      </c>
      <c r="F3197">
        <v>5680</v>
      </c>
      <c r="G3197" t="s">
        <v>2674</v>
      </c>
      <c r="H3197" t="s">
        <v>2664</v>
      </c>
      <c r="I3197">
        <v>10380</v>
      </c>
      <c r="J3197">
        <v>10943</v>
      </c>
      <c r="K3197">
        <v>11115</v>
      </c>
      <c r="L3197">
        <v>11207</v>
      </c>
      <c r="M3197">
        <v>11383</v>
      </c>
      <c r="N3197" t="s">
        <v>988</v>
      </c>
    </row>
    <row r="3198" spans="1:14" hidden="1" x14ac:dyDescent="0.3">
      <c r="A3198">
        <v>2057</v>
      </c>
      <c r="B3198" t="s">
        <v>1851</v>
      </c>
      <c r="C3198" t="s">
        <v>2670</v>
      </c>
      <c r="D3198" t="s">
        <v>159</v>
      </c>
      <c r="E3198" t="s">
        <v>159</v>
      </c>
      <c r="F3198">
        <v>5680</v>
      </c>
      <c r="G3198" t="s">
        <v>2675</v>
      </c>
      <c r="H3198" t="s">
        <v>2665</v>
      </c>
      <c r="I3198">
        <v>9138</v>
      </c>
      <c r="J3198">
        <v>9634</v>
      </c>
      <c r="K3198">
        <v>9785</v>
      </c>
      <c r="L3198">
        <v>9866</v>
      </c>
      <c r="M3198">
        <v>10021</v>
      </c>
      <c r="N3198" t="s">
        <v>988</v>
      </c>
    </row>
    <row r="3199" spans="1:14" hidden="1" x14ac:dyDescent="0.3">
      <c r="A3199">
        <v>2057</v>
      </c>
      <c r="B3199" t="s">
        <v>1851</v>
      </c>
      <c r="C3199" t="s">
        <v>2670</v>
      </c>
      <c r="D3199" t="s">
        <v>159</v>
      </c>
      <c r="E3199" t="s">
        <v>159</v>
      </c>
      <c r="F3199">
        <v>5680</v>
      </c>
      <c r="G3199" t="s">
        <v>2675</v>
      </c>
      <c r="H3199" t="s">
        <v>2664</v>
      </c>
      <c r="I3199">
        <v>9138</v>
      </c>
      <c r="J3199">
        <v>9634</v>
      </c>
      <c r="K3199">
        <v>9785</v>
      </c>
      <c r="L3199">
        <v>9866</v>
      </c>
      <c r="M3199">
        <v>10021</v>
      </c>
      <c r="N3199" t="s">
        <v>988</v>
      </c>
    </row>
    <row r="3200" spans="1:14" hidden="1" x14ac:dyDescent="0.3">
      <c r="A3200">
        <v>2057</v>
      </c>
      <c r="B3200" t="s">
        <v>1851</v>
      </c>
      <c r="C3200" t="s">
        <v>2670</v>
      </c>
      <c r="D3200" t="s">
        <v>159</v>
      </c>
      <c r="E3200" t="s">
        <v>159</v>
      </c>
      <c r="F3200">
        <v>5680</v>
      </c>
      <c r="G3200" t="s">
        <v>2676</v>
      </c>
      <c r="H3200" t="s">
        <v>2665</v>
      </c>
      <c r="I3200">
        <v>9138</v>
      </c>
      <c r="J3200">
        <v>9634</v>
      </c>
      <c r="K3200">
        <v>9785</v>
      </c>
      <c r="L3200">
        <v>9866</v>
      </c>
      <c r="M3200">
        <v>10021</v>
      </c>
      <c r="N3200" t="s">
        <v>988</v>
      </c>
    </row>
    <row r="3201" spans="1:14" hidden="1" x14ac:dyDescent="0.3">
      <c r="A3201">
        <v>2057</v>
      </c>
      <c r="B3201" t="s">
        <v>1851</v>
      </c>
      <c r="C3201" t="s">
        <v>2670</v>
      </c>
      <c r="D3201" t="s">
        <v>159</v>
      </c>
      <c r="E3201" t="s">
        <v>159</v>
      </c>
      <c r="F3201">
        <v>5680</v>
      </c>
      <c r="G3201" t="s">
        <v>2676</v>
      </c>
      <c r="H3201" t="s">
        <v>2664</v>
      </c>
      <c r="I3201">
        <v>9138</v>
      </c>
      <c r="J3201">
        <v>9634</v>
      </c>
      <c r="K3201">
        <v>9785</v>
      </c>
      <c r="L3201">
        <v>9866</v>
      </c>
      <c r="M3201">
        <v>10021</v>
      </c>
      <c r="N3201" t="s">
        <v>988</v>
      </c>
    </row>
    <row r="3202" spans="1:14" hidden="1" x14ac:dyDescent="0.3">
      <c r="A3202">
        <v>2057</v>
      </c>
      <c r="B3202" t="s">
        <v>1851</v>
      </c>
      <c r="C3202" t="s">
        <v>2670</v>
      </c>
      <c r="D3202" t="s">
        <v>159</v>
      </c>
      <c r="E3202" t="s">
        <v>159</v>
      </c>
      <c r="F3202">
        <v>5680</v>
      </c>
      <c r="G3202" t="s">
        <v>2672</v>
      </c>
      <c r="H3202" t="s">
        <v>2665</v>
      </c>
      <c r="N3202" t="s">
        <v>988</v>
      </c>
    </row>
    <row r="3203" spans="1:14" hidden="1" x14ac:dyDescent="0.3">
      <c r="A3203">
        <v>2057</v>
      </c>
      <c r="B3203" t="s">
        <v>1851</v>
      </c>
      <c r="C3203" t="s">
        <v>2670</v>
      </c>
      <c r="D3203" t="s">
        <v>159</v>
      </c>
      <c r="E3203" t="s">
        <v>159</v>
      </c>
      <c r="F3203">
        <v>5680</v>
      </c>
      <c r="G3203" t="s">
        <v>2672</v>
      </c>
      <c r="H3203" t="s">
        <v>2664</v>
      </c>
      <c r="N3203" t="s">
        <v>988</v>
      </c>
    </row>
    <row r="3204" spans="1:14" hidden="1" x14ac:dyDescent="0.3">
      <c r="A3204">
        <v>2057</v>
      </c>
      <c r="B3204" t="s">
        <v>1851</v>
      </c>
      <c r="C3204" t="s">
        <v>2670</v>
      </c>
      <c r="D3204" t="s">
        <v>159</v>
      </c>
      <c r="E3204" t="s">
        <v>159</v>
      </c>
      <c r="F3204">
        <v>5680</v>
      </c>
      <c r="G3204" t="s">
        <v>2671</v>
      </c>
      <c r="H3204" t="s">
        <v>2665</v>
      </c>
      <c r="I3204">
        <v>8872</v>
      </c>
      <c r="J3204">
        <v>9353</v>
      </c>
      <c r="K3204">
        <v>9500</v>
      </c>
      <c r="L3204">
        <v>9579</v>
      </c>
      <c r="M3204">
        <v>9729</v>
      </c>
      <c r="N3204" t="s">
        <v>988</v>
      </c>
    </row>
    <row r="3205" spans="1:14" hidden="1" x14ac:dyDescent="0.3">
      <c r="A3205">
        <v>2057</v>
      </c>
      <c r="B3205" t="s">
        <v>1851</v>
      </c>
      <c r="C3205" t="s">
        <v>2670</v>
      </c>
      <c r="D3205" t="s">
        <v>159</v>
      </c>
      <c r="E3205" t="s">
        <v>159</v>
      </c>
      <c r="F3205">
        <v>5680</v>
      </c>
      <c r="G3205" t="s">
        <v>2671</v>
      </c>
      <c r="H3205" t="s">
        <v>2664</v>
      </c>
      <c r="I3205">
        <v>8872</v>
      </c>
      <c r="J3205">
        <v>9353</v>
      </c>
      <c r="K3205">
        <v>9500</v>
      </c>
      <c r="L3205">
        <v>9579</v>
      </c>
      <c r="M3205">
        <v>9729</v>
      </c>
      <c r="N3205" t="s">
        <v>988</v>
      </c>
    </row>
    <row r="3206" spans="1:14" hidden="1" x14ac:dyDescent="0.3">
      <c r="A3206">
        <v>2063</v>
      </c>
      <c r="B3206" t="s">
        <v>1852</v>
      </c>
      <c r="C3206" t="s">
        <v>2670</v>
      </c>
      <c r="D3206" t="s">
        <v>1203</v>
      </c>
      <c r="E3206" t="s">
        <v>1204</v>
      </c>
      <c r="F3206">
        <v>5732</v>
      </c>
      <c r="G3206" t="s">
        <v>2676</v>
      </c>
      <c r="H3206" t="s">
        <v>2664</v>
      </c>
      <c r="I3206">
        <v>2388</v>
      </c>
      <c r="J3206">
        <v>2627</v>
      </c>
      <c r="K3206">
        <v>2890</v>
      </c>
      <c r="L3206">
        <v>3179</v>
      </c>
      <c r="M3206">
        <v>3223</v>
      </c>
      <c r="N3206" t="s">
        <v>988</v>
      </c>
    </row>
    <row r="3207" spans="1:14" hidden="1" x14ac:dyDescent="0.3">
      <c r="A3207">
        <v>2063</v>
      </c>
      <c r="B3207" t="s">
        <v>1852</v>
      </c>
      <c r="C3207" t="s">
        <v>2670</v>
      </c>
      <c r="D3207" t="s">
        <v>1203</v>
      </c>
      <c r="E3207" t="s">
        <v>1204</v>
      </c>
      <c r="F3207">
        <v>5732</v>
      </c>
      <c r="G3207" t="s">
        <v>2672</v>
      </c>
      <c r="H3207" t="s">
        <v>2665</v>
      </c>
      <c r="N3207" t="s">
        <v>988</v>
      </c>
    </row>
    <row r="3208" spans="1:14" hidden="1" x14ac:dyDescent="0.3">
      <c r="A3208">
        <v>2063</v>
      </c>
      <c r="B3208" t="s">
        <v>1852</v>
      </c>
      <c r="C3208" t="s">
        <v>2670</v>
      </c>
      <c r="D3208" t="s">
        <v>1203</v>
      </c>
      <c r="E3208" t="s">
        <v>1204</v>
      </c>
      <c r="F3208">
        <v>5732</v>
      </c>
      <c r="G3208" t="s">
        <v>2672</v>
      </c>
      <c r="H3208" t="s">
        <v>2664</v>
      </c>
      <c r="N3208" t="s">
        <v>988</v>
      </c>
    </row>
    <row r="3209" spans="1:14" hidden="1" x14ac:dyDescent="0.3">
      <c r="A3209">
        <v>2063</v>
      </c>
      <c r="B3209" t="s">
        <v>1852</v>
      </c>
      <c r="C3209" t="s">
        <v>2670</v>
      </c>
      <c r="D3209" t="s">
        <v>1203</v>
      </c>
      <c r="E3209" t="s">
        <v>1204</v>
      </c>
      <c r="F3209">
        <v>5732</v>
      </c>
      <c r="G3209" t="s">
        <v>2671</v>
      </c>
      <c r="H3209" t="s">
        <v>2665</v>
      </c>
      <c r="I3209">
        <v>2092</v>
      </c>
      <c r="J3209">
        <v>2302</v>
      </c>
      <c r="K3209">
        <v>2535</v>
      </c>
      <c r="L3209">
        <v>2786</v>
      </c>
      <c r="M3209">
        <v>2824</v>
      </c>
      <c r="N3209" t="s">
        <v>988</v>
      </c>
    </row>
    <row r="3210" spans="1:14" hidden="1" x14ac:dyDescent="0.3">
      <c r="A3210">
        <v>2063</v>
      </c>
      <c r="B3210" t="s">
        <v>1852</v>
      </c>
      <c r="C3210" t="s">
        <v>2670</v>
      </c>
      <c r="D3210" t="s">
        <v>1203</v>
      </c>
      <c r="E3210" t="s">
        <v>1204</v>
      </c>
      <c r="F3210">
        <v>5732</v>
      </c>
      <c r="G3210" t="s">
        <v>2671</v>
      </c>
      <c r="H3210" t="s">
        <v>2664</v>
      </c>
      <c r="I3210">
        <v>2092</v>
      </c>
      <c r="J3210">
        <v>2302</v>
      </c>
      <c r="K3210">
        <v>2535</v>
      </c>
      <c r="L3210">
        <v>2786</v>
      </c>
      <c r="M3210">
        <v>2824</v>
      </c>
      <c r="N3210" t="s">
        <v>988</v>
      </c>
    </row>
    <row r="3211" spans="1:14" hidden="1" x14ac:dyDescent="0.3">
      <c r="A3211">
        <v>2063</v>
      </c>
      <c r="B3211" t="s">
        <v>1852</v>
      </c>
      <c r="C3211" t="s">
        <v>2670</v>
      </c>
      <c r="D3211" t="s">
        <v>1203</v>
      </c>
      <c r="E3211" t="s">
        <v>1204</v>
      </c>
      <c r="F3211">
        <v>5732</v>
      </c>
      <c r="G3211" t="s">
        <v>2676</v>
      </c>
      <c r="H3211" t="s">
        <v>2665</v>
      </c>
      <c r="I3211">
        <v>2388</v>
      </c>
      <c r="J3211">
        <v>2627</v>
      </c>
      <c r="K3211">
        <v>2890</v>
      </c>
      <c r="L3211">
        <v>3179</v>
      </c>
      <c r="M3211">
        <v>3223</v>
      </c>
      <c r="N3211" t="s">
        <v>988</v>
      </c>
    </row>
    <row r="3212" spans="1:14" hidden="1" x14ac:dyDescent="0.3">
      <c r="A3212">
        <v>2063</v>
      </c>
      <c r="B3212" t="s">
        <v>1852</v>
      </c>
      <c r="C3212" t="s">
        <v>2670</v>
      </c>
      <c r="D3212" t="s">
        <v>1203</v>
      </c>
      <c r="E3212" t="s">
        <v>1204</v>
      </c>
      <c r="F3212">
        <v>5732</v>
      </c>
      <c r="G3212" t="s">
        <v>2673</v>
      </c>
      <c r="H3212" t="s">
        <v>2664</v>
      </c>
      <c r="I3212">
        <v>2166</v>
      </c>
      <c r="J3212">
        <v>2383</v>
      </c>
      <c r="K3212">
        <v>2622</v>
      </c>
      <c r="L3212">
        <v>2884</v>
      </c>
      <c r="M3212">
        <v>2924</v>
      </c>
      <c r="N3212" t="s">
        <v>988</v>
      </c>
    </row>
    <row r="3213" spans="1:14" hidden="1" x14ac:dyDescent="0.3">
      <c r="A3213">
        <v>2063</v>
      </c>
      <c r="B3213" t="s">
        <v>1852</v>
      </c>
      <c r="C3213" t="s">
        <v>2670</v>
      </c>
      <c r="D3213" t="s">
        <v>1203</v>
      </c>
      <c r="E3213" t="s">
        <v>1204</v>
      </c>
      <c r="F3213">
        <v>5732</v>
      </c>
      <c r="G3213" t="s">
        <v>2674</v>
      </c>
      <c r="H3213" t="s">
        <v>2665</v>
      </c>
      <c r="I3213">
        <v>2228</v>
      </c>
      <c r="J3213">
        <v>2451</v>
      </c>
      <c r="K3213">
        <v>2696</v>
      </c>
      <c r="L3213">
        <v>2966</v>
      </c>
      <c r="M3213">
        <v>3007</v>
      </c>
      <c r="N3213" t="s">
        <v>988</v>
      </c>
    </row>
    <row r="3214" spans="1:14" hidden="1" x14ac:dyDescent="0.3">
      <c r="A3214">
        <v>2063</v>
      </c>
      <c r="B3214" t="s">
        <v>1852</v>
      </c>
      <c r="C3214" t="s">
        <v>2670</v>
      </c>
      <c r="D3214" t="s">
        <v>1203</v>
      </c>
      <c r="E3214" t="s">
        <v>1204</v>
      </c>
      <c r="F3214">
        <v>5732</v>
      </c>
      <c r="G3214" t="s">
        <v>2674</v>
      </c>
      <c r="H3214" t="s">
        <v>2664</v>
      </c>
      <c r="I3214">
        <v>2228</v>
      </c>
      <c r="J3214">
        <v>2451</v>
      </c>
      <c r="K3214">
        <v>2696</v>
      </c>
      <c r="L3214">
        <v>2966</v>
      </c>
      <c r="M3214">
        <v>3007</v>
      </c>
      <c r="N3214" t="s">
        <v>988</v>
      </c>
    </row>
    <row r="3215" spans="1:14" hidden="1" x14ac:dyDescent="0.3">
      <c r="A3215">
        <v>2063</v>
      </c>
      <c r="B3215" t="s">
        <v>1852</v>
      </c>
      <c r="C3215" t="s">
        <v>2670</v>
      </c>
      <c r="D3215" t="s">
        <v>1203</v>
      </c>
      <c r="E3215" t="s">
        <v>1204</v>
      </c>
      <c r="F3215">
        <v>5732</v>
      </c>
      <c r="G3215" t="s">
        <v>2675</v>
      </c>
      <c r="H3215" t="s">
        <v>2665</v>
      </c>
      <c r="I3215">
        <v>2301</v>
      </c>
      <c r="J3215">
        <v>2532</v>
      </c>
      <c r="K3215">
        <v>2785</v>
      </c>
      <c r="L3215">
        <v>3064</v>
      </c>
      <c r="M3215">
        <v>3106</v>
      </c>
      <c r="N3215" t="s">
        <v>988</v>
      </c>
    </row>
    <row r="3216" spans="1:14" hidden="1" x14ac:dyDescent="0.3">
      <c r="A3216">
        <v>2063</v>
      </c>
      <c r="B3216" t="s">
        <v>1852</v>
      </c>
      <c r="C3216" t="s">
        <v>2670</v>
      </c>
      <c r="D3216" t="s">
        <v>1203</v>
      </c>
      <c r="E3216" t="s">
        <v>1204</v>
      </c>
      <c r="F3216">
        <v>5732</v>
      </c>
      <c r="G3216" t="s">
        <v>2675</v>
      </c>
      <c r="H3216" t="s">
        <v>2664</v>
      </c>
      <c r="I3216">
        <v>2301</v>
      </c>
      <c r="J3216">
        <v>2532</v>
      </c>
      <c r="K3216">
        <v>2785</v>
      </c>
      <c r="L3216">
        <v>3064</v>
      </c>
      <c r="M3216">
        <v>3106</v>
      </c>
      <c r="N3216" t="s">
        <v>988</v>
      </c>
    </row>
    <row r="3217" spans="1:14" hidden="1" x14ac:dyDescent="0.3">
      <c r="A3217">
        <v>2063</v>
      </c>
      <c r="B3217" t="s">
        <v>1852</v>
      </c>
      <c r="C3217" t="s">
        <v>2670</v>
      </c>
      <c r="D3217" t="s">
        <v>1203</v>
      </c>
      <c r="E3217" t="s">
        <v>1204</v>
      </c>
      <c r="F3217">
        <v>5732</v>
      </c>
      <c r="G3217" t="s">
        <v>2673</v>
      </c>
      <c r="H3217" t="s">
        <v>2665</v>
      </c>
      <c r="I3217">
        <v>2166</v>
      </c>
      <c r="J3217">
        <v>2383</v>
      </c>
      <c r="K3217">
        <v>2622</v>
      </c>
      <c r="L3217">
        <v>2884</v>
      </c>
      <c r="M3217">
        <v>2924</v>
      </c>
      <c r="N3217" t="s">
        <v>988</v>
      </c>
    </row>
    <row r="3218" spans="1:14" hidden="1" x14ac:dyDescent="0.3">
      <c r="A3218">
        <v>2074</v>
      </c>
      <c r="B3218" t="s">
        <v>1853</v>
      </c>
      <c r="C3218" t="s">
        <v>2670</v>
      </c>
      <c r="D3218" t="s">
        <v>1203</v>
      </c>
      <c r="E3218" t="s">
        <v>1204</v>
      </c>
      <c r="F3218">
        <v>6341</v>
      </c>
      <c r="G3218" t="s">
        <v>2676</v>
      </c>
      <c r="H3218" t="s">
        <v>2665</v>
      </c>
      <c r="I3218">
        <v>4513</v>
      </c>
      <c r="J3218">
        <v>4739</v>
      </c>
      <c r="K3218">
        <v>4964</v>
      </c>
      <c r="L3218">
        <v>5190</v>
      </c>
      <c r="N3218" t="s">
        <v>988</v>
      </c>
    </row>
    <row r="3219" spans="1:14" hidden="1" x14ac:dyDescent="0.3">
      <c r="A3219">
        <v>2074</v>
      </c>
      <c r="B3219" t="s">
        <v>1853</v>
      </c>
      <c r="C3219" t="s">
        <v>2670</v>
      </c>
      <c r="D3219" t="s">
        <v>1203</v>
      </c>
      <c r="E3219" t="s">
        <v>1204</v>
      </c>
      <c r="F3219">
        <v>6341</v>
      </c>
      <c r="G3219" t="s">
        <v>2675</v>
      </c>
      <c r="H3219" t="s">
        <v>2664</v>
      </c>
      <c r="I3219">
        <v>15944</v>
      </c>
      <c r="J3219">
        <v>15944</v>
      </c>
      <c r="K3219">
        <v>15944</v>
      </c>
      <c r="L3219">
        <v>15944</v>
      </c>
      <c r="N3219" t="s">
        <v>988</v>
      </c>
    </row>
    <row r="3220" spans="1:14" hidden="1" x14ac:dyDescent="0.3">
      <c r="A3220">
        <v>2074</v>
      </c>
      <c r="B3220" t="s">
        <v>1853</v>
      </c>
      <c r="C3220" t="s">
        <v>2670</v>
      </c>
      <c r="D3220" t="s">
        <v>1203</v>
      </c>
      <c r="E3220" t="s">
        <v>1204</v>
      </c>
      <c r="F3220">
        <v>6341</v>
      </c>
      <c r="G3220" t="s">
        <v>2675</v>
      </c>
      <c r="H3220" t="s">
        <v>2665</v>
      </c>
      <c r="I3220">
        <v>4513</v>
      </c>
      <c r="J3220">
        <v>4739</v>
      </c>
      <c r="K3220">
        <v>4964</v>
      </c>
      <c r="L3220">
        <v>5190</v>
      </c>
      <c r="N3220" t="s">
        <v>988</v>
      </c>
    </row>
    <row r="3221" spans="1:14" hidden="1" x14ac:dyDescent="0.3">
      <c r="A3221">
        <v>2074</v>
      </c>
      <c r="B3221" t="s">
        <v>1853</v>
      </c>
      <c r="C3221" t="s">
        <v>2670</v>
      </c>
      <c r="D3221" t="s">
        <v>1203</v>
      </c>
      <c r="E3221" t="s">
        <v>1204</v>
      </c>
      <c r="F3221">
        <v>6341</v>
      </c>
      <c r="G3221" t="s">
        <v>2674</v>
      </c>
      <c r="H3221" t="s">
        <v>2664</v>
      </c>
      <c r="I3221">
        <v>15944</v>
      </c>
      <c r="J3221">
        <v>15944</v>
      </c>
      <c r="K3221">
        <v>15944</v>
      </c>
      <c r="L3221">
        <v>15944</v>
      </c>
      <c r="N3221" t="s">
        <v>988</v>
      </c>
    </row>
    <row r="3222" spans="1:14" hidden="1" x14ac:dyDescent="0.3">
      <c r="A3222">
        <v>2074</v>
      </c>
      <c r="B3222" t="s">
        <v>1853</v>
      </c>
      <c r="C3222" t="s">
        <v>2670</v>
      </c>
      <c r="D3222" t="s">
        <v>1203</v>
      </c>
      <c r="E3222" t="s">
        <v>1204</v>
      </c>
      <c r="F3222">
        <v>6341</v>
      </c>
      <c r="G3222" t="s">
        <v>2674</v>
      </c>
      <c r="H3222" t="s">
        <v>2665</v>
      </c>
      <c r="I3222">
        <v>4558</v>
      </c>
      <c r="J3222">
        <v>4786</v>
      </c>
      <c r="K3222">
        <v>5014</v>
      </c>
      <c r="L3222">
        <v>5242</v>
      </c>
      <c r="N3222" t="s">
        <v>988</v>
      </c>
    </row>
    <row r="3223" spans="1:14" hidden="1" x14ac:dyDescent="0.3">
      <c r="A3223">
        <v>2074</v>
      </c>
      <c r="B3223" t="s">
        <v>1853</v>
      </c>
      <c r="C3223" t="s">
        <v>2670</v>
      </c>
      <c r="D3223" t="s">
        <v>1203</v>
      </c>
      <c r="E3223" t="s">
        <v>1204</v>
      </c>
      <c r="F3223">
        <v>6341</v>
      </c>
      <c r="G3223" t="s">
        <v>2673</v>
      </c>
      <c r="H3223" t="s">
        <v>2664</v>
      </c>
      <c r="I3223">
        <v>15944</v>
      </c>
      <c r="J3223">
        <v>15944</v>
      </c>
      <c r="K3223">
        <v>15944</v>
      </c>
      <c r="L3223">
        <v>15944</v>
      </c>
      <c r="N3223" t="s">
        <v>988</v>
      </c>
    </row>
    <row r="3224" spans="1:14" hidden="1" x14ac:dyDescent="0.3">
      <c r="A3224">
        <v>2074</v>
      </c>
      <c r="B3224" t="s">
        <v>1853</v>
      </c>
      <c r="C3224" t="s">
        <v>2670</v>
      </c>
      <c r="D3224" t="s">
        <v>1203</v>
      </c>
      <c r="E3224" t="s">
        <v>1204</v>
      </c>
      <c r="F3224">
        <v>6341</v>
      </c>
      <c r="G3224" t="s">
        <v>2673</v>
      </c>
      <c r="H3224" t="s">
        <v>2665</v>
      </c>
      <c r="I3224">
        <v>4604</v>
      </c>
      <c r="J3224">
        <v>4834</v>
      </c>
      <c r="K3224">
        <v>5064</v>
      </c>
      <c r="L3224">
        <v>5295</v>
      </c>
      <c r="N3224" t="s">
        <v>988</v>
      </c>
    </row>
    <row r="3225" spans="1:14" hidden="1" x14ac:dyDescent="0.3">
      <c r="A3225">
        <v>2074</v>
      </c>
      <c r="B3225" t="s">
        <v>1853</v>
      </c>
      <c r="C3225" t="s">
        <v>2670</v>
      </c>
      <c r="D3225" t="s">
        <v>1203</v>
      </c>
      <c r="E3225" t="s">
        <v>1204</v>
      </c>
      <c r="F3225">
        <v>6341</v>
      </c>
      <c r="G3225" t="s">
        <v>2671</v>
      </c>
      <c r="H3225" t="s">
        <v>2664</v>
      </c>
      <c r="I3225">
        <v>15944</v>
      </c>
      <c r="J3225">
        <v>15944</v>
      </c>
      <c r="K3225">
        <v>15944</v>
      </c>
      <c r="L3225">
        <v>15944</v>
      </c>
      <c r="N3225" t="s">
        <v>988</v>
      </c>
    </row>
    <row r="3226" spans="1:14" hidden="1" x14ac:dyDescent="0.3">
      <c r="A3226">
        <v>2074</v>
      </c>
      <c r="B3226" t="s">
        <v>1853</v>
      </c>
      <c r="C3226" t="s">
        <v>2670</v>
      </c>
      <c r="D3226" t="s">
        <v>1203</v>
      </c>
      <c r="E3226" t="s">
        <v>1204</v>
      </c>
      <c r="F3226">
        <v>6341</v>
      </c>
      <c r="G3226" t="s">
        <v>2671</v>
      </c>
      <c r="H3226" t="s">
        <v>2665</v>
      </c>
      <c r="I3226">
        <v>4650</v>
      </c>
      <c r="J3226">
        <v>4882.5</v>
      </c>
      <c r="K3226">
        <v>5115</v>
      </c>
      <c r="L3226">
        <v>5347.5</v>
      </c>
      <c r="N3226" t="s">
        <v>988</v>
      </c>
    </row>
    <row r="3227" spans="1:14" hidden="1" x14ac:dyDescent="0.3">
      <c r="A3227">
        <v>2074</v>
      </c>
      <c r="B3227" t="s">
        <v>1853</v>
      </c>
      <c r="C3227" t="s">
        <v>2670</v>
      </c>
      <c r="D3227" t="s">
        <v>1203</v>
      </c>
      <c r="E3227" t="s">
        <v>1204</v>
      </c>
      <c r="F3227">
        <v>6341</v>
      </c>
      <c r="G3227" t="s">
        <v>2672</v>
      </c>
      <c r="H3227" t="s">
        <v>2664</v>
      </c>
      <c r="N3227" t="s">
        <v>988</v>
      </c>
    </row>
    <row r="3228" spans="1:14" hidden="1" x14ac:dyDescent="0.3">
      <c r="A3228">
        <v>2074</v>
      </c>
      <c r="B3228" t="s">
        <v>1853</v>
      </c>
      <c r="C3228" t="s">
        <v>2670</v>
      </c>
      <c r="D3228" t="s">
        <v>1203</v>
      </c>
      <c r="E3228" t="s">
        <v>1204</v>
      </c>
      <c r="F3228">
        <v>6341</v>
      </c>
      <c r="G3228" t="s">
        <v>2672</v>
      </c>
      <c r="H3228" t="s">
        <v>2665</v>
      </c>
      <c r="N3228" t="s">
        <v>988</v>
      </c>
    </row>
    <row r="3229" spans="1:14" hidden="1" x14ac:dyDescent="0.3">
      <c r="A3229">
        <v>2074</v>
      </c>
      <c r="B3229" t="s">
        <v>1853</v>
      </c>
      <c r="C3229" t="s">
        <v>2670</v>
      </c>
      <c r="D3229" t="s">
        <v>1203</v>
      </c>
      <c r="E3229" t="s">
        <v>1204</v>
      </c>
      <c r="F3229">
        <v>6341</v>
      </c>
      <c r="G3229" t="s">
        <v>2676</v>
      </c>
      <c r="H3229" t="s">
        <v>2664</v>
      </c>
      <c r="I3229">
        <v>15944</v>
      </c>
      <c r="J3229">
        <v>15944</v>
      </c>
      <c r="K3229">
        <v>15944</v>
      </c>
      <c r="L3229">
        <v>15944</v>
      </c>
      <c r="N3229" t="s">
        <v>988</v>
      </c>
    </row>
    <row r="3230" spans="1:14" hidden="1" x14ac:dyDescent="0.3">
      <c r="A3230">
        <v>2083</v>
      </c>
      <c r="B3230" t="s">
        <v>1854</v>
      </c>
      <c r="C3230" t="s">
        <v>2670</v>
      </c>
      <c r="D3230" t="s">
        <v>1203</v>
      </c>
      <c r="E3230" t="s">
        <v>1204</v>
      </c>
      <c r="F3230">
        <v>5706</v>
      </c>
      <c r="G3230" t="s">
        <v>2675</v>
      </c>
      <c r="H3230" t="s">
        <v>2664</v>
      </c>
      <c r="I3230">
        <v>111923</v>
      </c>
      <c r="J3230">
        <v>121893</v>
      </c>
      <c r="K3230">
        <v>125193</v>
      </c>
      <c r="L3230">
        <v>126693</v>
      </c>
      <c r="M3230">
        <v>126693</v>
      </c>
      <c r="N3230" t="s">
        <v>988</v>
      </c>
    </row>
    <row r="3231" spans="1:14" hidden="1" x14ac:dyDescent="0.3">
      <c r="A3231">
        <v>2083</v>
      </c>
      <c r="B3231" t="s">
        <v>1854</v>
      </c>
      <c r="C3231" t="s">
        <v>2670</v>
      </c>
      <c r="D3231" t="s">
        <v>1203</v>
      </c>
      <c r="E3231" t="s">
        <v>1204</v>
      </c>
      <c r="F3231">
        <v>5706</v>
      </c>
      <c r="G3231" t="s">
        <v>2675</v>
      </c>
      <c r="H3231" t="s">
        <v>2665</v>
      </c>
      <c r="I3231">
        <v>87712</v>
      </c>
      <c r="J3231">
        <v>97803</v>
      </c>
      <c r="K3231">
        <v>100259</v>
      </c>
      <c r="L3231">
        <v>102807</v>
      </c>
      <c r="M3231">
        <v>105448</v>
      </c>
      <c r="N3231" t="s">
        <v>988</v>
      </c>
    </row>
    <row r="3232" spans="1:14" hidden="1" x14ac:dyDescent="0.3">
      <c r="A3232">
        <v>2083</v>
      </c>
      <c r="B3232" t="s">
        <v>1854</v>
      </c>
      <c r="C3232" t="s">
        <v>2670</v>
      </c>
      <c r="D3232" t="s">
        <v>1203</v>
      </c>
      <c r="E3232" t="s">
        <v>1204</v>
      </c>
      <c r="F3232">
        <v>5706</v>
      </c>
      <c r="G3232" t="s">
        <v>2676</v>
      </c>
      <c r="H3232" t="s">
        <v>2664</v>
      </c>
      <c r="I3232">
        <v>111923</v>
      </c>
      <c r="J3232">
        <v>121893</v>
      </c>
      <c r="K3232">
        <v>125193</v>
      </c>
      <c r="L3232">
        <v>126693</v>
      </c>
      <c r="M3232">
        <v>126693</v>
      </c>
      <c r="N3232" t="s">
        <v>988</v>
      </c>
    </row>
    <row r="3233" spans="1:14" hidden="1" x14ac:dyDescent="0.3">
      <c r="A3233">
        <v>2083</v>
      </c>
      <c r="B3233" t="s">
        <v>1854</v>
      </c>
      <c r="C3233" t="s">
        <v>2670</v>
      </c>
      <c r="D3233" t="s">
        <v>1203</v>
      </c>
      <c r="E3233" t="s">
        <v>1204</v>
      </c>
      <c r="F3233">
        <v>5706</v>
      </c>
      <c r="G3233" t="s">
        <v>2674</v>
      </c>
      <c r="H3233" t="s">
        <v>2664</v>
      </c>
      <c r="I3233">
        <v>111923</v>
      </c>
      <c r="J3233">
        <v>121893</v>
      </c>
      <c r="K3233">
        <v>125193</v>
      </c>
      <c r="L3233">
        <v>126693</v>
      </c>
      <c r="M3233">
        <v>126693</v>
      </c>
      <c r="N3233" t="s">
        <v>988</v>
      </c>
    </row>
    <row r="3234" spans="1:14" hidden="1" x14ac:dyDescent="0.3">
      <c r="A3234">
        <v>2083</v>
      </c>
      <c r="B3234" t="s">
        <v>1854</v>
      </c>
      <c r="C3234" t="s">
        <v>2670</v>
      </c>
      <c r="D3234" t="s">
        <v>1203</v>
      </c>
      <c r="E3234" t="s">
        <v>1204</v>
      </c>
      <c r="F3234">
        <v>5706</v>
      </c>
      <c r="G3234" t="s">
        <v>2674</v>
      </c>
      <c r="H3234" t="s">
        <v>2665</v>
      </c>
      <c r="I3234">
        <v>87712</v>
      </c>
      <c r="J3234">
        <v>97803</v>
      </c>
      <c r="K3234">
        <v>100259</v>
      </c>
      <c r="L3234">
        <v>102807</v>
      </c>
      <c r="M3234">
        <v>105448</v>
      </c>
      <c r="N3234" t="s">
        <v>988</v>
      </c>
    </row>
    <row r="3235" spans="1:14" hidden="1" x14ac:dyDescent="0.3">
      <c r="A3235">
        <v>2083</v>
      </c>
      <c r="B3235" t="s">
        <v>1854</v>
      </c>
      <c r="C3235" t="s">
        <v>2670</v>
      </c>
      <c r="D3235" t="s">
        <v>1203</v>
      </c>
      <c r="E3235" t="s">
        <v>1204</v>
      </c>
      <c r="F3235">
        <v>5706</v>
      </c>
      <c r="G3235" t="s">
        <v>2673</v>
      </c>
      <c r="H3235" t="s">
        <v>2664</v>
      </c>
      <c r="I3235">
        <v>111923</v>
      </c>
      <c r="J3235">
        <v>121893</v>
      </c>
      <c r="K3235">
        <v>125193</v>
      </c>
      <c r="L3235">
        <v>126693</v>
      </c>
      <c r="M3235">
        <v>126693</v>
      </c>
      <c r="N3235" t="s">
        <v>988</v>
      </c>
    </row>
    <row r="3236" spans="1:14" hidden="1" x14ac:dyDescent="0.3">
      <c r="A3236">
        <v>2083</v>
      </c>
      <c r="B3236" t="s">
        <v>1854</v>
      </c>
      <c r="C3236" t="s">
        <v>2670</v>
      </c>
      <c r="D3236" t="s">
        <v>1203</v>
      </c>
      <c r="E3236" t="s">
        <v>1204</v>
      </c>
      <c r="F3236">
        <v>5706</v>
      </c>
      <c r="G3236" t="s">
        <v>2673</v>
      </c>
      <c r="H3236" t="s">
        <v>2665</v>
      </c>
      <c r="I3236">
        <v>87712</v>
      </c>
      <c r="J3236">
        <v>97803</v>
      </c>
      <c r="K3236">
        <v>100259</v>
      </c>
      <c r="L3236">
        <v>102807</v>
      </c>
      <c r="M3236">
        <v>105448</v>
      </c>
      <c r="N3236" t="s">
        <v>988</v>
      </c>
    </row>
    <row r="3237" spans="1:14" hidden="1" x14ac:dyDescent="0.3">
      <c r="A3237">
        <v>2083</v>
      </c>
      <c r="B3237" t="s">
        <v>1854</v>
      </c>
      <c r="C3237" t="s">
        <v>2670</v>
      </c>
      <c r="D3237" t="s">
        <v>1203</v>
      </c>
      <c r="E3237" t="s">
        <v>1204</v>
      </c>
      <c r="F3237">
        <v>5706</v>
      </c>
      <c r="G3237" t="s">
        <v>2671</v>
      </c>
      <c r="H3237" t="s">
        <v>2664</v>
      </c>
      <c r="I3237">
        <v>111923</v>
      </c>
      <c r="J3237">
        <v>121893</v>
      </c>
      <c r="K3237">
        <v>125193</v>
      </c>
      <c r="L3237">
        <v>126693</v>
      </c>
      <c r="M3237">
        <v>126693</v>
      </c>
      <c r="N3237" t="s">
        <v>988</v>
      </c>
    </row>
    <row r="3238" spans="1:14" hidden="1" x14ac:dyDescent="0.3">
      <c r="A3238">
        <v>2083</v>
      </c>
      <c r="B3238" t="s">
        <v>1854</v>
      </c>
      <c r="C3238" t="s">
        <v>2670</v>
      </c>
      <c r="D3238" t="s">
        <v>1203</v>
      </c>
      <c r="E3238" t="s">
        <v>1204</v>
      </c>
      <c r="F3238">
        <v>5706</v>
      </c>
      <c r="G3238" t="s">
        <v>2671</v>
      </c>
      <c r="H3238" t="s">
        <v>2665</v>
      </c>
      <c r="I3238">
        <v>87712</v>
      </c>
      <c r="J3238">
        <v>97803</v>
      </c>
      <c r="K3238">
        <v>100259</v>
      </c>
      <c r="L3238">
        <v>102807</v>
      </c>
      <c r="M3238">
        <v>105448</v>
      </c>
      <c r="N3238" t="s">
        <v>988</v>
      </c>
    </row>
    <row r="3239" spans="1:14" hidden="1" x14ac:dyDescent="0.3">
      <c r="A3239">
        <v>2083</v>
      </c>
      <c r="B3239" t="s">
        <v>1854</v>
      </c>
      <c r="C3239" t="s">
        <v>2670</v>
      </c>
      <c r="D3239" t="s">
        <v>1203</v>
      </c>
      <c r="E3239" t="s">
        <v>1204</v>
      </c>
      <c r="F3239">
        <v>5706</v>
      </c>
      <c r="G3239" t="s">
        <v>2672</v>
      </c>
      <c r="H3239" t="s">
        <v>2664</v>
      </c>
      <c r="N3239" t="s">
        <v>988</v>
      </c>
    </row>
    <row r="3240" spans="1:14" hidden="1" x14ac:dyDescent="0.3">
      <c r="A3240">
        <v>2083</v>
      </c>
      <c r="B3240" t="s">
        <v>1854</v>
      </c>
      <c r="C3240" t="s">
        <v>2670</v>
      </c>
      <c r="D3240" t="s">
        <v>1203</v>
      </c>
      <c r="E3240" t="s">
        <v>1204</v>
      </c>
      <c r="F3240">
        <v>5706</v>
      </c>
      <c r="G3240" t="s">
        <v>2672</v>
      </c>
      <c r="H3240" t="s">
        <v>2665</v>
      </c>
      <c r="N3240" t="s">
        <v>988</v>
      </c>
    </row>
    <row r="3241" spans="1:14" hidden="1" x14ac:dyDescent="0.3">
      <c r="A3241">
        <v>2083</v>
      </c>
      <c r="B3241" t="s">
        <v>1854</v>
      </c>
      <c r="C3241" t="s">
        <v>2670</v>
      </c>
      <c r="D3241" t="s">
        <v>1203</v>
      </c>
      <c r="E3241" t="s">
        <v>1204</v>
      </c>
      <c r="F3241">
        <v>5706</v>
      </c>
      <c r="G3241" t="s">
        <v>2676</v>
      </c>
      <c r="H3241" t="s">
        <v>2665</v>
      </c>
      <c r="I3241">
        <v>87712</v>
      </c>
      <c r="J3241">
        <v>97803</v>
      </c>
      <c r="K3241">
        <v>100259</v>
      </c>
      <c r="L3241">
        <v>102807</v>
      </c>
      <c r="M3241">
        <v>105448</v>
      </c>
      <c r="N3241" t="s">
        <v>988</v>
      </c>
    </row>
    <row r="3242" spans="1:14" hidden="1" x14ac:dyDescent="0.3">
      <c r="A3242">
        <v>2087</v>
      </c>
      <c r="B3242" t="s">
        <v>1860</v>
      </c>
      <c r="C3242" t="s">
        <v>2670</v>
      </c>
      <c r="D3242" t="s">
        <v>1203</v>
      </c>
      <c r="E3242" t="s">
        <v>1204</v>
      </c>
      <c r="F3242">
        <v>5755</v>
      </c>
      <c r="G3242" t="s">
        <v>2672</v>
      </c>
      <c r="H3242" t="s">
        <v>2665</v>
      </c>
      <c r="I3242">
        <v>4999</v>
      </c>
      <c r="J3242">
        <v>5212</v>
      </c>
      <c r="K3242">
        <v>5425</v>
      </c>
      <c r="L3242">
        <v>5534</v>
      </c>
      <c r="M3242">
        <v>5644</v>
      </c>
      <c r="N3242" t="s">
        <v>988</v>
      </c>
    </row>
    <row r="3243" spans="1:14" hidden="1" x14ac:dyDescent="0.3">
      <c r="A3243">
        <v>2087</v>
      </c>
      <c r="B3243" t="s">
        <v>1860</v>
      </c>
      <c r="C3243" t="s">
        <v>2670</v>
      </c>
      <c r="D3243" t="s">
        <v>1203</v>
      </c>
      <c r="E3243" t="s">
        <v>1204</v>
      </c>
      <c r="F3243">
        <v>5755</v>
      </c>
      <c r="G3243" t="s">
        <v>2672</v>
      </c>
      <c r="H3243" t="s">
        <v>2664</v>
      </c>
      <c r="I3243">
        <v>5749</v>
      </c>
      <c r="J3243">
        <v>5994</v>
      </c>
      <c r="K3243">
        <v>6239</v>
      </c>
      <c r="L3243">
        <v>6365</v>
      </c>
      <c r="M3243">
        <v>6490</v>
      </c>
      <c r="N3243" t="s">
        <v>988</v>
      </c>
    </row>
    <row r="3244" spans="1:14" hidden="1" x14ac:dyDescent="0.3">
      <c r="A3244">
        <v>2087</v>
      </c>
      <c r="B3244" t="s">
        <v>1860</v>
      </c>
      <c r="C3244" t="s">
        <v>2670</v>
      </c>
      <c r="D3244" t="s">
        <v>1203</v>
      </c>
      <c r="E3244" t="s">
        <v>1204</v>
      </c>
      <c r="F3244">
        <v>5755</v>
      </c>
      <c r="G3244" t="s">
        <v>2671</v>
      </c>
      <c r="H3244" t="s">
        <v>2665</v>
      </c>
      <c r="I3244">
        <v>4999</v>
      </c>
      <c r="J3244">
        <v>5212</v>
      </c>
      <c r="K3244">
        <v>5425</v>
      </c>
      <c r="L3244">
        <v>5534</v>
      </c>
      <c r="M3244">
        <v>5644</v>
      </c>
      <c r="N3244" t="s">
        <v>988</v>
      </c>
    </row>
    <row r="3245" spans="1:14" hidden="1" x14ac:dyDescent="0.3">
      <c r="A3245">
        <v>2087</v>
      </c>
      <c r="B3245" t="s">
        <v>1860</v>
      </c>
      <c r="C3245" t="s">
        <v>2670</v>
      </c>
      <c r="D3245" t="s">
        <v>1203</v>
      </c>
      <c r="E3245" t="s">
        <v>1204</v>
      </c>
      <c r="F3245">
        <v>5755</v>
      </c>
      <c r="G3245" t="s">
        <v>2671</v>
      </c>
      <c r="H3245" t="s">
        <v>2664</v>
      </c>
      <c r="I3245">
        <v>5749</v>
      </c>
      <c r="J3245">
        <v>5994</v>
      </c>
      <c r="K3245">
        <v>6239</v>
      </c>
      <c r="L3245">
        <v>6365</v>
      </c>
      <c r="M3245">
        <v>6490</v>
      </c>
      <c r="N3245" t="s">
        <v>988</v>
      </c>
    </row>
    <row r="3246" spans="1:14" hidden="1" x14ac:dyDescent="0.3">
      <c r="A3246">
        <v>2087</v>
      </c>
      <c r="B3246" t="s">
        <v>1860</v>
      </c>
      <c r="C3246" t="s">
        <v>2670</v>
      </c>
      <c r="D3246" t="s">
        <v>1203</v>
      </c>
      <c r="E3246" t="s">
        <v>1204</v>
      </c>
      <c r="F3246">
        <v>5755</v>
      </c>
      <c r="G3246" t="s">
        <v>2673</v>
      </c>
      <c r="H3246" t="s">
        <v>2665</v>
      </c>
      <c r="I3246">
        <v>4999</v>
      </c>
      <c r="J3246">
        <v>5212</v>
      </c>
      <c r="K3246">
        <v>5425</v>
      </c>
      <c r="L3246">
        <v>5534</v>
      </c>
      <c r="M3246">
        <v>5644</v>
      </c>
      <c r="N3246" t="s">
        <v>988</v>
      </c>
    </row>
    <row r="3247" spans="1:14" hidden="1" x14ac:dyDescent="0.3">
      <c r="A3247">
        <v>2087</v>
      </c>
      <c r="B3247" t="s">
        <v>1860</v>
      </c>
      <c r="C3247" t="s">
        <v>2670</v>
      </c>
      <c r="D3247" t="s">
        <v>1203</v>
      </c>
      <c r="E3247" t="s">
        <v>1204</v>
      </c>
      <c r="F3247">
        <v>5755</v>
      </c>
      <c r="G3247" t="s">
        <v>2676</v>
      </c>
      <c r="H3247" t="s">
        <v>2664</v>
      </c>
      <c r="I3247">
        <v>5749</v>
      </c>
      <c r="J3247">
        <v>5994</v>
      </c>
      <c r="K3247">
        <v>6239</v>
      </c>
      <c r="L3247">
        <v>6365</v>
      </c>
      <c r="M3247">
        <v>6490</v>
      </c>
      <c r="N3247" t="s">
        <v>988</v>
      </c>
    </row>
    <row r="3248" spans="1:14" hidden="1" x14ac:dyDescent="0.3">
      <c r="A3248">
        <v>2087</v>
      </c>
      <c r="B3248" t="s">
        <v>1860</v>
      </c>
      <c r="C3248" t="s">
        <v>2670</v>
      </c>
      <c r="D3248" t="s">
        <v>1203</v>
      </c>
      <c r="E3248" t="s">
        <v>1204</v>
      </c>
      <c r="F3248">
        <v>5755</v>
      </c>
      <c r="G3248" t="s">
        <v>2674</v>
      </c>
      <c r="H3248" t="s">
        <v>2665</v>
      </c>
      <c r="I3248">
        <v>4999</v>
      </c>
      <c r="J3248">
        <v>5212</v>
      </c>
      <c r="K3248">
        <v>5425</v>
      </c>
      <c r="L3248">
        <v>5534</v>
      </c>
      <c r="M3248">
        <v>5644</v>
      </c>
      <c r="N3248" t="s">
        <v>988</v>
      </c>
    </row>
    <row r="3249" spans="1:14" hidden="1" x14ac:dyDescent="0.3">
      <c r="A3249">
        <v>2087</v>
      </c>
      <c r="B3249" t="s">
        <v>1860</v>
      </c>
      <c r="C3249" t="s">
        <v>2670</v>
      </c>
      <c r="D3249" t="s">
        <v>1203</v>
      </c>
      <c r="E3249" t="s">
        <v>1204</v>
      </c>
      <c r="F3249">
        <v>5755</v>
      </c>
      <c r="G3249" t="s">
        <v>2674</v>
      </c>
      <c r="H3249" t="s">
        <v>2664</v>
      </c>
      <c r="I3249">
        <v>5749</v>
      </c>
      <c r="J3249">
        <v>5994</v>
      </c>
      <c r="K3249">
        <v>6239</v>
      </c>
      <c r="L3249">
        <v>6365</v>
      </c>
      <c r="M3249">
        <v>6490</v>
      </c>
      <c r="N3249" t="s">
        <v>988</v>
      </c>
    </row>
    <row r="3250" spans="1:14" hidden="1" x14ac:dyDescent="0.3">
      <c r="A3250">
        <v>2087</v>
      </c>
      <c r="B3250" t="s">
        <v>1860</v>
      </c>
      <c r="C3250" t="s">
        <v>2670</v>
      </c>
      <c r="D3250" t="s">
        <v>1203</v>
      </c>
      <c r="E3250" t="s">
        <v>1204</v>
      </c>
      <c r="F3250">
        <v>5755</v>
      </c>
      <c r="G3250" t="s">
        <v>2675</v>
      </c>
      <c r="H3250" t="s">
        <v>2665</v>
      </c>
      <c r="I3250">
        <v>4999</v>
      </c>
      <c r="J3250">
        <v>5212</v>
      </c>
      <c r="K3250">
        <v>5425</v>
      </c>
      <c r="L3250">
        <v>5534</v>
      </c>
      <c r="M3250">
        <v>5644</v>
      </c>
      <c r="N3250" t="s">
        <v>988</v>
      </c>
    </row>
    <row r="3251" spans="1:14" hidden="1" x14ac:dyDescent="0.3">
      <c r="A3251">
        <v>2087</v>
      </c>
      <c r="B3251" t="s">
        <v>1860</v>
      </c>
      <c r="C3251" t="s">
        <v>2670</v>
      </c>
      <c r="D3251" t="s">
        <v>1203</v>
      </c>
      <c r="E3251" t="s">
        <v>1204</v>
      </c>
      <c r="F3251">
        <v>5755</v>
      </c>
      <c r="G3251" t="s">
        <v>2675</v>
      </c>
      <c r="H3251" t="s">
        <v>2664</v>
      </c>
      <c r="I3251">
        <v>5749</v>
      </c>
      <c r="J3251">
        <v>5994</v>
      </c>
      <c r="K3251">
        <v>6239</v>
      </c>
      <c r="L3251">
        <v>6365</v>
      </c>
      <c r="M3251">
        <v>6490</v>
      </c>
      <c r="N3251" t="s">
        <v>988</v>
      </c>
    </row>
    <row r="3252" spans="1:14" hidden="1" x14ac:dyDescent="0.3">
      <c r="A3252">
        <v>2087</v>
      </c>
      <c r="B3252" t="s">
        <v>1860</v>
      </c>
      <c r="C3252" t="s">
        <v>2670</v>
      </c>
      <c r="D3252" t="s">
        <v>1203</v>
      </c>
      <c r="E3252" t="s">
        <v>1204</v>
      </c>
      <c r="F3252">
        <v>5755</v>
      </c>
      <c r="G3252" t="s">
        <v>2676</v>
      </c>
      <c r="H3252" t="s">
        <v>2665</v>
      </c>
      <c r="I3252">
        <v>4999</v>
      </c>
      <c r="J3252">
        <v>5212</v>
      </c>
      <c r="K3252">
        <v>5425</v>
      </c>
      <c r="L3252">
        <v>5534</v>
      </c>
      <c r="M3252">
        <v>5644</v>
      </c>
      <c r="N3252" t="s">
        <v>988</v>
      </c>
    </row>
    <row r="3253" spans="1:14" hidden="1" x14ac:dyDescent="0.3">
      <c r="A3253">
        <v>2087</v>
      </c>
      <c r="B3253" t="s">
        <v>1860</v>
      </c>
      <c r="C3253" t="s">
        <v>2670</v>
      </c>
      <c r="D3253" t="s">
        <v>1203</v>
      </c>
      <c r="E3253" t="s">
        <v>1204</v>
      </c>
      <c r="F3253">
        <v>5755</v>
      </c>
      <c r="G3253" t="s">
        <v>2673</v>
      </c>
      <c r="H3253" t="s">
        <v>2664</v>
      </c>
      <c r="I3253">
        <v>5749</v>
      </c>
      <c r="J3253">
        <v>5994</v>
      </c>
      <c r="K3253">
        <v>6239</v>
      </c>
      <c r="L3253">
        <v>6365</v>
      </c>
      <c r="M3253">
        <v>6490</v>
      </c>
      <c r="N3253" t="s">
        <v>988</v>
      </c>
    </row>
    <row r="3254" spans="1:14" hidden="1" x14ac:dyDescent="0.3">
      <c r="A3254">
        <v>2103</v>
      </c>
      <c r="B3254" t="s">
        <v>1862</v>
      </c>
      <c r="C3254" t="s">
        <v>2670</v>
      </c>
      <c r="D3254" t="s">
        <v>1203</v>
      </c>
      <c r="E3254" t="s">
        <v>1204</v>
      </c>
      <c r="F3254">
        <v>6641</v>
      </c>
      <c r="G3254" t="s">
        <v>2673</v>
      </c>
      <c r="H3254" t="s">
        <v>2665</v>
      </c>
      <c r="I3254">
        <v>6889</v>
      </c>
      <c r="J3254">
        <v>6979</v>
      </c>
      <c r="K3254">
        <v>6997</v>
      </c>
      <c r="L3254">
        <v>7122</v>
      </c>
      <c r="M3254">
        <v>7229</v>
      </c>
      <c r="N3254" t="s">
        <v>988</v>
      </c>
    </row>
    <row r="3255" spans="1:14" hidden="1" x14ac:dyDescent="0.3">
      <c r="A3255">
        <v>2103</v>
      </c>
      <c r="B3255" t="s">
        <v>1862</v>
      </c>
      <c r="C3255" t="s">
        <v>2670</v>
      </c>
      <c r="D3255" t="s">
        <v>1203</v>
      </c>
      <c r="E3255" t="s">
        <v>1204</v>
      </c>
      <c r="F3255">
        <v>6641</v>
      </c>
      <c r="G3255" t="s">
        <v>2671</v>
      </c>
      <c r="H3255" t="s">
        <v>2664</v>
      </c>
      <c r="I3255">
        <v>10177</v>
      </c>
      <c r="J3255">
        <v>10177</v>
      </c>
      <c r="K3255">
        <v>10177</v>
      </c>
      <c r="L3255">
        <v>10177</v>
      </c>
      <c r="M3255">
        <v>10177</v>
      </c>
      <c r="N3255" t="s">
        <v>988</v>
      </c>
    </row>
    <row r="3256" spans="1:14" hidden="1" x14ac:dyDescent="0.3">
      <c r="A3256">
        <v>2103</v>
      </c>
      <c r="B3256" t="s">
        <v>1862</v>
      </c>
      <c r="C3256" t="s">
        <v>2670</v>
      </c>
      <c r="D3256" t="s">
        <v>1203</v>
      </c>
      <c r="E3256" t="s">
        <v>1204</v>
      </c>
      <c r="F3256">
        <v>6641</v>
      </c>
      <c r="G3256" t="s">
        <v>2671</v>
      </c>
      <c r="H3256" t="s">
        <v>2665</v>
      </c>
      <c r="I3256">
        <v>6889</v>
      </c>
      <c r="J3256">
        <v>6979</v>
      </c>
      <c r="K3256">
        <v>6997</v>
      </c>
      <c r="L3256">
        <v>7122</v>
      </c>
      <c r="M3256">
        <v>7229</v>
      </c>
      <c r="N3256" t="s">
        <v>988</v>
      </c>
    </row>
    <row r="3257" spans="1:14" hidden="1" x14ac:dyDescent="0.3">
      <c r="A3257">
        <v>2103</v>
      </c>
      <c r="B3257" t="s">
        <v>1862</v>
      </c>
      <c r="C3257" t="s">
        <v>2670</v>
      </c>
      <c r="D3257" t="s">
        <v>1203</v>
      </c>
      <c r="E3257" t="s">
        <v>1204</v>
      </c>
      <c r="F3257">
        <v>6641</v>
      </c>
      <c r="G3257" t="s">
        <v>2672</v>
      </c>
      <c r="H3257" t="s">
        <v>2664</v>
      </c>
      <c r="N3257" t="s">
        <v>988</v>
      </c>
    </row>
    <row r="3258" spans="1:14" hidden="1" x14ac:dyDescent="0.3">
      <c r="A3258">
        <v>2103</v>
      </c>
      <c r="B3258" t="s">
        <v>1862</v>
      </c>
      <c r="C3258" t="s">
        <v>2670</v>
      </c>
      <c r="D3258" t="s">
        <v>1203</v>
      </c>
      <c r="E3258" t="s">
        <v>1204</v>
      </c>
      <c r="F3258">
        <v>6641</v>
      </c>
      <c r="G3258" t="s">
        <v>2672</v>
      </c>
      <c r="H3258" t="s">
        <v>2665</v>
      </c>
      <c r="N3258" t="s">
        <v>988</v>
      </c>
    </row>
    <row r="3259" spans="1:14" hidden="1" x14ac:dyDescent="0.3">
      <c r="A3259">
        <v>2103</v>
      </c>
      <c r="B3259" t="s">
        <v>1862</v>
      </c>
      <c r="C3259" t="s">
        <v>2670</v>
      </c>
      <c r="D3259" t="s">
        <v>1203</v>
      </c>
      <c r="E3259" t="s">
        <v>1204</v>
      </c>
      <c r="F3259">
        <v>6641</v>
      </c>
      <c r="G3259" t="s">
        <v>2676</v>
      </c>
      <c r="H3259" t="s">
        <v>2664</v>
      </c>
      <c r="I3259">
        <v>10177</v>
      </c>
      <c r="J3259">
        <v>10177</v>
      </c>
      <c r="K3259">
        <v>10177</v>
      </c>
      <c r="L3259">
        <v>10177</v>
      </c>
      <c r="M3259">
        <v>10177</v>
      </c>
      <c r="N3259" t="s">
        <v>988</v>
      </c>
    </row>
    <row r="3260" spans="1:14" hidden="1" x14ac:dyDescent="0.3">
      <c r="A3260">
        <v>2103</v>
      </c>
      <c r="B3260" t="s">
        <v>1862</v>
      </c>
      <c r="C3260" t="s">
        <v>2670</v>
      </c>
      <c r="D3260" t="s">
        <v>1203</v>
      </c>
      <c r="E3260" t="s">
        <v>1204</v>
      </c>
      <c r="F3260">
        <v>6641</v>
      </c>
      <c r="G3260" t="s">
        <v>2674</v>
      </c>
      <c r="H3260" t="s">
        <v>2665</v>
      </c>
      <c r="I3260">
        <v>6889</v>
      </c>
      <c r="J3260">
        <v>6979</v>
      </c>
      <c r="K3260">
        <v>6997</v>
      </c>
      <c r="L3260">
        <v>7122</v>
      </c>
      <c r="M3260">
        <v>7229</v>
      </c>
      <c r="N3260" t="s">
        <v>988</v>
      </c>
    </row>
    <row r="3261" spans="1:14" hidden="1" x14ac:dyDescent="0.3">
      <c r="A3261">
        <v>2103</v>
      </c>
      <c r="B3261" t="s">
        <v>1862</v>
      </c>
      <c r="C3261" t="s">
        <v>2670</v>
      </c>
      <c r="D3261" t="s">
        <v>1203</v>
      </c>
      <c r="E3261" t="s">
        <v>1204</v>
      </c>
      <c r="F3261">
        <v>6641</v>
      </c>
      <c r="G3261" t="s">
        <v>2674</v>
      </c>
      <c r="H3261" t="s">
        <v>2664</v>
      </c>
      <c r="I3261">
        <v>10117</v>
      </c>
      <c r="J3261">
        <v>10117</v>
      </c>
      <c r="K3261">
        <v>10117</v>
      </c>
      <c r="L3261">
        <v>10117</v>
      </c>
      <c r="M3261">
        <v>10117</v>
      </c>
      <c r="N3261" t="s">
        <v>988</v>
      </c>
    </row>
    <row r="3262" spans="1:14" hidden="1" x14ac:dyDescent="0.3">
      <c r="A3262">
        <v>2103</v>
      </c>
      <c r="B3262" t="s">
        <v>1862</v>
      </c>
      <c r="C3262" t="s">
        <v>2670</v>
      </c>
      <c r="D3262" t="s">
        <v>1203</v>
      </c>
      <c r="E3262" t="s">
        <v>1204</v>
      </c>
      <c r="F3262">
        <v>6641</v>
      </c>
      <c r="G3262" t="s">
        <v>2675</v>
      </c>
      <c r="H3262" t="s">
        <v>2665</v>
      </c>
      <c r="I3262">
        <v>6889</v>
      </c>
      <c r="J3262">
        <v>6979</v>
      </c>
      <c r="K3262">
        <v>6997</v>
      </c>
      <c r="L3262">
        <v>7122</v>
      </c>
      <c r="M3262">
        <v>7229</v>
      </c>
      <c r="N3262" t="s">
        <v>988</v>
      </c>
    </row>
    <row r="3263" spans="1:14" hidden="1" x14ac:dyDescent="0.3">
      <c r="A3263">
        <v>2103</v>
      </c>
      <c r="B3263" t="s">
        <v>1862</v>
      </c>
      <c r="C3263" t="s">
        <v>2670</v>
      </c>
      <c r="D3263" t="s">
        <v>1203</v>
      </c>
      <c r="E3263" t="s">
        <v>1204</v>
      </c>
      <c r="F3263">
        <v>6641</v>
      </c>
      <c r="G3263" t="s">
        <v>2675</v>
      </c>
      <c r="H3263" t="s">
        <v>2664</v>
      </c>
      <c r="I3263">
        <v>10117</v>
      </c>
      <c r="J3263">
        <v>10117</v>
      </c>
      <c r="K3263">
        <v>10117</v>
      </c>
      <c r="L3263">
        <v>10117</v>
      </c>
      <c r="M3263">
        <v>10117</v>
      </c>
      <c r="N3263" t="s">
        <v>988</v>
      </c>
    </row>
    <row r="3264" spans="1:14" hidden="1" x14ac:dyDescent="0.3">
      <c r="A3264">
        <v>2103</v>
      </c>
      <c r="B3264" t="s">
        <v>1862</v>
      </c>
      <c r="C3264" t="s">
        <v>2670</v>
      </c>
      <c r="D3264" t="s">
        <v>1203</v>
      </c>
      <c r="E3264" t="s">
        <v>1204</v>
      </c>
      <c r="F3264">
        <v>6641</v>
      </c>
      <c r="G3264" t="s">
        <v>2676</v>
      </c>
      <c r="H3264" t="s">
        <v>2665</v>
      </c>
      <c r="I3264">
        <v>6889</v>
      </c>
      <c r="J3264">
        <v>6979</v>
      </c>
      <c r="K3264">
        <v>6997</v>
      </c>
      <c r="L3264">
        <v>7122</v>
      </c>
      <c r="M3264">
        <v>7229</v>
      </c>
      <c r="N3264" t="s">
        <v>988</v>
      </c>
    </row>
    <row r="3265" spans="1:14" hidden="1" x14ac:dyDescent="0.3">
      <c r="A3265">
        <v>2103</v>
      </c>
      <c r="B3265" t="s">
        <v>1862</v>
      </c>
      <c r="C3265" t="s">
        <v>2670</v>
      </c>
      <c r="D3265" t="s">
        <v>1203</v>
      </c>
      <c r="E3265" t="s">
        <v>1204</v>
      </c>
      <c r="F3265">
        <v>6641</v>
      </c>
      <c r="G3265" t="s">
        <v>2673</v>
      </c>
      <c r="H3265" t="s">
        <v>2664</v>
      </c>
      <c r="I3265">
        <v>10177</v>
      </c>
      <c r="J3265">
        <v>10177</v>
      </c>
      <c r="K3265">
        <v>10177</v>
      </c>
      <c r="L3265">
        <v>10177</v>
      </c>
      <c r="M3265">
        <v>10177</v>
      </c>
      <c r="N3265" t="s">
        <v>988</v>
      </c>
    </row>
    <row r="3266" spans="1:14" hidden="1" x14ac:dyDescent="0.3">
      <c r="A3266">
        <v>2111</v>
      </c>
      <c r="B3266" t="s">
        <v>868</v>
      </c>
      <c r="C3266" t="s">
        <v>2670</v>
      </c>
      <c r="D3266" t="s">
        <v>1203</v>
      </c>
      <c r="E3266" t="s">
        <v>1204</v>
      </c>
      <c r="F3266">
        <v>5659</v>
      </c>
      <c r="G3266" t="s">
        <v>2673</v>
      </c>
      <c r="H3266" t="s">
        <v>2665</v>
      </c>
      <c r="I3266">
        <v>51589</v>
      </c>
      <c r="J3266">
        <v>56990</v>
      </c>
      <c r="K3266">
        <v>62547</v>
      </c>
      <c r="L3266">
        <v>62547</v>
      </c>
      <c r="M3266">
        <v>62547</v>
      </c>
      <c r="N3266" t="s">
        <v>988</v>
      </c>
    </row>
    <row r="3267" spans="1:14" hidden="1" x14ac:dyDescent="0.3">
      <c r="A3267">
        <v>2111</v>
      </c>
      <c r="B3267" t="s">
        <v>868</v>
      </c>
      <c r="C3267" t="s">
        <v>2670</v>
      </c>
      <c r="D3267" t="s">
        <v>1203</v>
      </c>
      <c r="E3267" t="s">
        <v>1204</v>
      </c>
      <c r="F3267">
        <v>5659</v>
      </c>
      <c r="G3267" t="s">
        <v>2671</v>
      </c>
      <c r="H3267" t="s">
        <v>2664</v>
      </c>
      <c r="I3267">
        <v>49942</v>
      </c>
      <c r="J3267">
        <v>55005</v>
      </c>
      <c r="K3267">
        <v>60723</v>
      </c>
      <c r="L3267">
        <v>60723</v>
      </c>
      <c r="M3267">
        <v>60723</v>
      </c>
      <c r="N3267" t="s">
        <v>988</v>
      </c>
    </row>
    <row r="3268" spans="1:14" hidden="1" x14ac:dyDescent="0.3">
      <c r="A3268">
        <v>2111</v>
      </c>
      <c r="B3268" t="s">
        <v>868</v>
      </c>
      <c r="C3268" t="s">
        <v>2670</v>
      </c>
      <c r="D3268" t="s">
        <v>1203</v>
      </c>
      <c r="E3268" t="s">
        <v>1204</v>
      </c>
      <c r="F3268">
        <v>5659</v>
      </c>
      <c r="G3268" t="s">
        <v>2671</v>
      </c>
      <c r="H3268" t="s">
        <v>2665</v>
      </c>
      <c r="I3268">
        <v>51589</v>
      </c>
      <c r="J3268">
        <v>56990</v>
      </c>
      <c r="K3268">
        <v>62547</v>
      </c>
      <c r="L3268">
        <v>62547</v>
      </c>
      <c r="M3268">
        <v>62547</v>
      </c>
      <c r="N3268" t="s">
        <v>988</v>
      </c>
    </row>
    <row r="3269" spans="1:14" hidden="1" x14ac:dyDescent="0.3">
      <c r="A3269">
        <v>2111</v>
      </c>
      <c r="B3269" t="s">
        <v>868</v>
      </c>
      <c r="C3269" t="s">
        <v>2670</v>
      </c>
      <c r="D3269" t="s">
        <v>1203</v>
      </c>
      <c r="E3269" t="s">
        <v>1204</v>
      </c>
      <c r="F3269">
        <v>5659</v>
      </c>
      <c r="G3269" t="s">
        <v>2672</v>
      </c>
      <c r="H3269" t="s">
        <v>2664</v>
      </c>
      <c r="N3269" t="s">
        <v>988</v>
      </c>
    </row>
    <row r="3270" spans="1:14" hidden="1" x14ac:dyDescent="0.3">
      <c r="A3270">
        <v>2111</v>
      </c>
      <c r="B3270" t="s">
        <v>868</v>
      </c>
      <c r="C3270" t="s">
        <v>2670</v>
      </c>
      <c r="D3270" t="s">
        <v>1203</v>
      </c>
      <c r="E3270" t="s">
        <v>1204</v>
      </c>
      <c r="F3270">
        <v>5659</v>
      </c>
      <c r="G3270" t="s">
        <v>2672</v>
      </c>
      <c r="H3270" t="s">
        <v>2665</v>
      </c>
      <c r="N3270" t="s">
        <v>988</v>
      </c>
    </row>
    <row r="3271" spans="1:14" hidden="1" x14ac:dyDescent="0.3">
      <c r="A3271">
        <v>2111</v>
      </c>
      <c r="B3271" t="s">
        <v>868</v>
      </c>
      <c r="C3271" t="s">
        <v>2670</v>
      </c>
      <c r="D3271" t="s">
        <v>1203</v>
      </c>
      <c r="E3271" t="s">
        <v>1204</v>
      </c>
      <c r="F3271">
        <v>5659</v>
      </c>
      <c r="G3271" t="s">
        <v>2673</v>
      </c>
      <c r="H3271" t="s">
        <v>2664</v>
      </c>
      <c r="I3271">
        <v>51582</v>
      </c>
      <c r="J3271">
        <v>53155</v>
      </c>
      <c r="K3271">
        <v>57643</v>
      </c>
      <c r="L3271">
        <v>57643</v>
      </c>
      <c r="M3271">
        <v>57643</v>
      </c>
      <c r="N3271" t="s">
        <v>988</v>
      </c>
    </row>
    <row r="3272" spans="1:14" hidden="1" x14ac:dyDescent="0.3">
      <c r="A3272">
        <v>2111</v>
      </c>
      <c r="B3272" t="s">
        <v>868</v>
      </c>
      <c r="C3272" t="s">
        <v>2670</v>
      </c>
      <c r="D3272" t="s">
        <v>1203</v>
      </c>
      <c r="E3272" t="s">
        <v>1204</v>
      </c>
      <c r="F3272">
        <v>5659</v>
      </c>
      <c r="G3272" t="s">
        <v>2676</v>
      </c>
      <c r="H3272" t="s">
        <v>2664</v>
      </c>
      <c r="I3272">
        <v>64482</v>
      </c>
      <c r="J3272">
        <v>66055</v>
      </c>
      <c r="K3272">
        <v>70543</v>
      </c>
      <c r="L3272">
        <v>70543</v>
      </c>
      <c r="M3272">
        <v>70543</v>
      </c>
      <c r="N3272" t="s">
        <v>988</v>
      </c>
    </row>
    <row r="3273" spans="1:14" hidden="1" x14ac:dyDescent="0.3">
      <c r="A3273">
        <v>2111</v>
      </c>
      <c r="B3273" t="s">
        <v>868</v>
      </c>
      <c r="C3273" t="s">
        <v>2670</v>
      </c>
      <c r="D3273" t="s">
        <v>1203</v>
      </c>
      <c r="E3273" t="s">
        <v>1204</v>
      </c>
      <c r="F3273">
        <v>5659</v>
      </c>
      <c r="G3273" t="s">
        <v>2676</v>
      </c>
      <c r="H3273" t="s">
        <v>2665</v>
      </c>
      <c r="I3273">
        <v>51589</v>
      </c>
      <c r="J3273">
        <v>56990</v>
      </c>
      <c r="K3273">
        <v>62547</v>
      </c>
      <c r="L3273">
        <v>62547</v>
      </c>
      <c r="M3273">
        <v>62547</v>
      </c>
      <c r="N3273" t="s">
        <v>988</v>
      </c>
    </row>
    <row r="3274" spans="1:14" hidden="1" x14ac:dyDescent="0.3">
      <c r="A3274">
        <v>2111</v>
      </c>
      <c r="B3274" t="s">
        <v>868</v>
      </c>
      <c r="C3274" t="s">
        <v>2670</v>
      </c>
      <c r="D3274" t="s">
        <v>1203</v>
      </c>
      <c r="E3274" t="s">
        <v>1204</v>
      </c>
      <c r="F3274">
        <v>5659</v>
      </c>
      <c r="G3274" t="s">
        <v>2675</v>
      </c>
      <c r="H3274" t="s">
        <v>2664</v>
      </c>
      <c r="I3274">
        <v>59582</v>
      </c>
      <c r="J3274">
        <v>61155</v>
      </c>
      <c r="K3274">
        <v>65643</v>
      </c>
      <c r="L3274">
        <v>65643</v>
      </c>
      <c r="M3274">
        <v>65643</v>
      </c>
      <c r="N3274" t="s">
        <v>988</v>
      </c>
    </row>
    <row r="3275" spans="1:14" hidden="1" x14ac:dyDescent="0.3">
      <c r="A3275">
        <v>2111</v>
      </c>
      <c r="B3275" t="s">
        <v>868</v>
      </c>
      <c r="C3275" t="s">
        <v>2670</v>
      </c>
      <c r="D3275" t="s">
        <v>1203</v>
      </c>
      <c r="E3275" t="s">
        <v>1204</v>
      </c>
      <c r="F3275">
        <v>5659</v>
      </c>
      <c r="G3275" t="s">
        <v>2675</v>
      </c>
      <c r="H3275" t="s">
        <v>2665</v>
      </c>
      <c r="I3275">
        <v>51589</v>
      </c>
      <c r="J3275">
        <v>56990</v>
      </c>
      <c r="K3275">
        <v>62547</v>
      </c>
      <c r="L3275">
        <v>62547</v>
      </c>
      <c r="M3275">
        <v>62547</v>
      </c>
      <c r="N3275" t="s">
        <v>988</v>
      </c>
    </row>
    <row r="3276" spans="1:14" hidden="1" x14ac:dyDescent="0.3">
      <c r="A3276">
        <v>2111</v>
      </c>
      <c r="B3276" t="s">
        <v>868</v>
      </c>
      <c r="C3276" t="s">
        <v>2670</v>
      </c>
      <c r="D3276" t="s">
        <v>1203</v>
      </c>
      <c r="E3276" t="s">
        <v>1204</v>
      </c>
      <c r="F3276">
        <v>5659</v>
      </c>
      <c r="G3276" t="s">
        <v>2674</v>
      </c>
      <c r="H3276" t="s">
        <v>2664</v>
      </c>
      <c r="I3276">
        <v>59582</v>
      </c>
      <c r="J3276">
        <v>61155</v>
      </c>
      <c r="K3276">
        <v>65643</v>
      </c>
      <c r="L3276">
        <v>65643</v>
      </c>
      <c r="M3276">
        <v>65643</v>
      </c>
      <c r="N3276" t="s">
        <v>988</v>
      </c>
    </row>
    <row r="3277" spans="1:14" hidden="1" x14ac:dyDescent="0.3">
      <c r="A3277">
        <v>2111</v>
      </c>
      <c r="B3277" t="s">
        <v>868</v>
      </c>
      <c r="C3277" t="s">
        <v>2670</v>
      </c>
      <c r="D3277" t="s">
        <v>1203</v>
      </c>
      <c r="E3277" t="s">
        <v>1204</v>
      </c>
      <c r="F3277">
        <v>5659</v>
      </c>
      <c r="G3277" t="s">
        <v>2674</v>
      </c>
      <c r="H3277" t="s">
        <v>2665</v>
      </c>
      <c r="I3277">
        <v>51589</v>
      </c>
      <c r="J3277">
        <v>56990</v>
      </c>
      <c r="K3277">
        <v>62547</v>
      </c>
      <c r="L3277">
        <v>62547</v>
      </c>
      <c r="M3277">
        <v>62547</v>
      </c>
      <c r="N3277" t="s">
        <v>988</v>
      </c>
    </row>
    <row r="3278" spans="1:14" hidden="1" x14ac:dyDescent="0.3">
      <c r="A3278">
        <v>2115</v>
      </c>
      <c r="B3278" t="s">
        <v>1867</v>
      </c>
      <c r="C3278" t="s">
        <v>2670</v>
      </c>
      <c r="D3278" t="s">
        <v>159</v>
      </c>
      <c r="E3278" t="s">
        <v>159</v>
      </c>
      <c r="F3278">
        <v>5512</v>
      </c>
      <c r="G3278" t="s">
        <v>2676</v>
      </c>
      <c r="H3278" t="s">
        <v>2664</v>
      </c>
      <c r="I3278">
        <v>12468</v>
      </c>
      <c r="J3278">
        <v>12581</v>
      </c>
      <c r="K3278">
        <v>12693</v>
      </c>
      <c r="L3278">
        <v>12798</v>
      </c>
      <c r="M3278">
        <v>12902</v>
      </c>
      <c r="N3278" t="s">
        <v>988</v>
      </c>
    </row>
    <row r="3279" spans="1:14" hidden="1" x14ac:dyDescent="0.3">
      <c r="A3279">
        <v>2115</v>
      </c>
      <c r="B3279" t="s">
        <v>1867</v>
      </c>
      <c r="C3279" t="s">
        <v>2670</v>
      </c>
      <c r="D3279" t="s">
        <v>159</v>
      </c>
      <c r="E3279" t="s">
        <v>159</v>
      </c>
      <c r="F3279">
        <v>5512</v>
      </c>
      <c r="G3279" t="s">
        <v>2672</v>
      </c>
      <c r="H3279" t="s">
        <v>2665</v>
      </c>
      <c r="N3279" t="s">
        <v>988</v>
      </c>
    </row>
    <row r="3280" spans="1:14" hidden="1" x14ac:dyDescent="0.3">
      <c r="A3280">
        <v>2115</v>
      </c>
      <c r="B3280" t="s">
        <v>1867</v>
      </c>
      <c r="C3280" t="s">
        <v>2670</v>
      </c>
      <c r="D3280" t="s">
        <v>159</v>
      </c>
      <c r="E3280" t="s">
        <v>159</v>
      </c>
      <c r="F3280">
        <v>5512</v>
      </c>
      <c r="G3280" t="s">
        <v>2672</v>
      </c>
      <c r="H3280" t="s">
        <v>2664</v>
      </c>
      <c r="N3280" t="s">
        <v>988</v>
      </c>
    </row>
    <row r="3281" spans="1:14" hidden="1" x14ac:dyDescent="0.3">
      <c r="A3281">
        <v>2115</v>
      </c>
      <c r="B3281" t="s">
        <v>1867</v>
      </c>
      <c r="C3281" t="s">
        <v>2670</v>
      </c>
      <c r="D3281" t="s">
        <v>159</v>
      </c>
      <c r="E3281" t="s">
        <v>159</v>
      </c>
      <c r="F3281">
        <v>5512</v>
      </c>
      <c r="G3281" t="s">
        <v>2671</v>
      </c>
      <c r="H3281" t="s">
        <v>2665</v>
      </c>
      <c r="I3281">
        <v>11241</v>
      </c>
      <c r="J3281">
        <v>11343</v>
      </c>
      <c r="K3281">
        <v>11445</v>
      </c>
      <c r="L3281">
        <v>11539</v>
      </c>
      <c r="M3281">
        <v>11633</v>
      </c>
      <c r="N3281" t="s">
        <v>988</v>
      </c>
    </row>
    <row r="3282" spans="1:14" hidden="1" x14ac:dyDescent="0.3">
      <c r="A3282">
        <v>2115</v>
      </c>
      <c r="B3282" t="s">
        <v>1867</v>
      </c>
      <c r="C3282" t="s">
        <v>2670</v>
      </c>
      <c r="D3282" t="s">
        <v>159</v>
      </c>
      <c r="E3282" t="s">
        <v>159</v>
      </c>
      <c r="F3282">
        <v>5512</v>
      </c>
      <c r="G3282" t="s">
        <v>2671</v>
      </c>
      <c r="H3282" t="s">
        <v>2664</v>
      </c>
      <c r="I3282">
        <v>11241</v>
      </c>
      <c r="J3282">
        <v>11343</v>
      </c>
      <c r="K3282">
        <v>11445</v>
      </c>
      <c r="L3282">
        <v>11539</v>
      </c>
      <c r="M3282">
        <v>11633</v>
      </c>
      <c r="N3282" t="s">
        <v>988</v>
      </c>
    </row>
    <row r="3283" spans="1:14" hidden="1" x14ac:dyDescent="0.3">
      <c r="A3283">
        <v>2115</v>
      </c>
      <c r="B3283" t="s">
        <v>1867</v>
      </c>
      <c r="C3283" t="s">
        <v>2670</v>
      </c>
      <c r="D3283" t="s">
        <v>159</v>
      </c>
      <c r="E3283" t="s">
        <v>159</v>
      </c>
      <c r="F3283">
        <v>5512</v>
      </c>
      <c r="G3283" t="s">
        <v>2676</v>
      </c>
      <c r="H3283" t="s">
        <v>2665</v>
      </c>
      <c r="I3283">
        <v>12468</v>
      </c>
      <c r="J3283">
        <v>12581</v>
      </c>
      <c r="K3283">
        <v>12693</v>
      </c>
      <c r="L3283">
        <v>12798</v>
      </c>
      <c r="M3283">
        <v>12902</v>
      </c>
      <c r="N3283" t="s">
        <v>988</v>
      </c>
    </row>
    <row r="3284" spans="1:14" hidden="1" x14ac:dyDescent="0.3">
      <c r="A3284">
        <v>2115</v>
      </c>
      <c r="B3284" t="s">
        <v>1867</v>
      </c>
      <c r="C3284" t="s">
        <v>2670</v>
      </c>
      <c r="D3284" t="s">
        <v>159</v>
      </c>
      <c r="E3284" t="s">
        <v>159</v>
      </c>
      <c r="F3284">
        <v>5512</v>
      </c>
      <c r="G3284" t="s">
        <v>2675</v>
      </c>
      <c r="H3284" t="s">
        <v>2665</v>
      </c>
      <c r="I3284">
        <v>12945</v>
      </c>
      <c r="J3284">
        <v>13062</v>
      </c>
      <c r="K3284">
        <v>13179</v>
      </c>
      <c r="L3284">
        <v>13288</v>
      </c>
      <c r="M3284">
        <v>13397</v>
      </c>
      <c r="N3284" t="s">
        <v>988</v>
      </c>
    </row>
    <row r="3285" spans="1:14" hidden="1" x14ac:dyDescent="0.3">
      <c r="A3285">
        <v>2115</v>
      </c>
      <c r="B3285" t="s">
        <v>1867</v>
      </c>
      <c r="C3285" t="s">
        <v>2670</v>
      </c>
      <c r="D3285" t="s">
        <v>159</v>
      </c>
      <c r="E3285" t="s">
        <v>159</v>
      </c>
      <c r="F3285">
        <v>5512</v>
      </c>
      <c r="G3285" t="s">
        <v>2674</v>
      </c>
      <c r="H3285" t="s">
        <v>2664</v>
      </c>
      <c r="I3285">
        <v>13289</v>
      </c>
      <c r="J3285">
        <v>13409</v>
      </c>
      <c r="K3285">
        <v>13529</v>
      </c>
      <c r="L3285">
        <v>13641</v>
      </c>
      <c r="M3285">
        <v>13752</v>
      </c>
      <c r="N3285" t="s">
        <v>988</v>
      </c>
    </row>
    <row r="3286" spans="1:14" hidden="1" x14ac:dyDescent="0.3">
      <c r="A3286">
        <v>2115</v>
      </c>
      <c r="B3286" t="s">
        <v>1867</v>
      </c>
      <c r="C3286" t="s">
        <v>2670</v>
      </c>
      <c r="D3286" t="s">
        <v>159</v>
      </c>
      <c r="E3286" t="s">
        <v>159</v>
      </c>
      <c r="F3286">
        <v>5512</v>
      </c>
      <c r="G3286" t="s">
        <v>2674</v>
      </c>
      <c r="H3286" t="s">
        <v>2665</v>
      </c>
      <c r="I3286">
        <v>13289</v>
      </c>
      <c r="J3286">
        <v>13409</v>
      </c>
      <c r="K3286">
        <v>13529</v>
      </c>
      <c r="L3286">
        <v>13641</v>
      </c>
      <c r="M3286">
        <v>13752</v>
      </c>
      <c r="N3286" t="s">
        <v>988</v>
      </c>
    </row>
    <row r="3287" spans="1:14" hidden="1" x14ac:dyDescent="0.3">
      <c r="A3287">
        <v>2115</v>
      </c>
      <c r="B3287" t="s">
        <v>1867</v>
      </c>
      <c r="C3287" t="s">
        <v>2670</v>
      </c>
      <c r="D3287" t="s">
        <v>159</v>
      </c>
      <c r="E3287" t="s">
        <v>159</v>
      </c>
      <c r="F3287">
        <v>5512</v>
      </c>
      <c r="G3287" t="s">
        <v>2673</v>
      </c>
      <c r="H3287" t="s">
        <v>2664</v>
      </c>
      <c r="I3287">
        <v>12415</v>
      </c>
      <c r="J3287">
        <v>12528</v>
      </c>
      <c r="K3287">
        <v>12640</v>
      </c>
      <c r="L3287">
        <v>12744</v>
      </c>
      <c r="M3287">
        <v>12848</v>
      </c>
      <c r="N3287" t="s">
        <v>988</v>
      </c>
    </row>
    <row r="3288" spans="1:14" hidden="1" x14ac:dyDescent="0.3">
      <c r="A3288">
        <v>2115</v>
      </c>
      <c r="B3288" t="s">
        <v>1867</v>
      </c>
      <c r="C3288" t="s">
        <v>2670</v>
      </c>
      <c r="D3288" t="s">
        <v>159</v>
      </c>
      <c r="E3288" t="s">
        <v>159</v>
      </c>
      <c r="F3288">
        <v>5512</v>
      </c>
      <c r="G3288" t="s">
        <v>2673</v>
      </c>
      <c r="H3288" t="s">
        <v>2665</v>
      </c>
      <c r="I3288">
        <v>12415</v>
      </c>
      <c r="J3288">
        <v>12528</v>
      </c>
      <c r="K3288">
        <v>12640</v>
      </c>
      <c r="L3288">
        <v>12744</v>
      </c>
      <c r="M3288">
        <v>12848</v>
      </c>
      <c r="N3288" t="s">
        <v>988</v>
      </c>
    </row>
    <row r="3289" spans="1:14" hidden="1" x14ac:dyDescent="0.3">
      <c r="A3289">
        <v>2115</v>
      </c>
      <c r="B3289" t="s">
        <v>1867</v>
      </c>
      <c r="C3289" t="s">
        <v>2670</v>
      </c>
      <c r="D3289" t="s">
        <v>159</v>
      </c>
      <c r="E3289" t="s">
        <v>159</v>
      </c>
      <c r="F3289">
        <v>5512</v>
      </c>
      <c r="G3289" t="s">
        <v>2675</v>
      </c>
      <c r="H3289" t="s">
        <v>2664</v>
      </c>
      <c r="I3289">
        <v>12945</v>
      </c>
      <c r="J3289">
        <v>13062</v>
      </c>
      <c r="K3289">
        <v>13179</v>
      </c>
      <c r="L3289">
        <v>13288</v>
      </c>
      <c r="M3289">
        <v>13397</v>
      </c>
      <c r="N3289" t="s">
        <v>988</v>
      </c>
    </row>
    <row r="3290" spans="1:14" hidden="1" x14ac:dyDescent="0.3">
      <c r="A3290">
        <v>2118</v>
      </c>
      <c r="B3290" t="s">
        <v>1869</v>
      </c>
      <c r="C3290" t="s">
        <v>2670</v>
      </c>
      <c r="D3290" t="s">
        <v>159</v>
      </c>
      <c r="E3290" t="s">
        <v>159</v>
      </c>
      <c r="F3290">
        <v>5476</v>
      </c>
      <c r="G3290" t="s">
        <v>2672</v>
      </c>
      <c r="H3290" t="s">
        <v>2665</v>
      </c>
      <c r="I3290">
        <v>7960</v>
      </c>
      <c r="J3290">
        <v>10686</v>
      </c>
      <c r="K3290">
        <v>11416</v>
      </c>
      <c r="L3290">
        <v>12149</v>
      </c>
      <c r="M3290">
        <v>12886</v>
      </c>
      <c r="N3290" t="s">
        <v>988</v>
      </c>
    </row>
    <row r="3291" spans="1:14" hidden="1" x14ac:dyDescent="0.3">
      <c r="A3291">
        <v>2118</v>
      </c>
      <c r="B3291" t="s">
        <v>1869</v>
      </c>
      <c r="C3291" t="s">
        <v>2670</v>
      </c>
      <c r="D3291" t="s">
        <v>159</v>
      </c>
      <c r="E3291" t="s">
        <v>159</v>
      </c>
      <c r="F3291">
        <v>5476</v>
      </c>
      <c r="G3291" t="s">
        <v>2672</v>
      </c>
      <c r="H3291" t="s">
        <v>2664</v>
      </c>
      <c r="I3291">
        <v>7960</v>
      </c>
      <c r="J3291">
        <v>14850</v>
      </c>
      <c r="K3291">
        <v>14893</v>
      </c>
      <c r="L3291">
        <v>16150</v>
      </c>
      <c r="M3291">
        <v>16201</v>
      </c>
      <c r="N3291" t="s">
        <v>988</v>
      </c>
    </row>
    <row r="3292" spans="1:14" hidden="1" x14ac:dyDescent="0.3">
      <c r="A3292">
        <v>2118</v>
      </c>
      <c r="B3292" t="s">
        <v>1869</v>
      </c>
      <c r="C3292" t="s">
        <v>2670</v>
      </c>
      <c r="D3292" t="s">
        <v>159</v>
      </c>
      <c r="E3292" t="s">
        <v>159</v>
      </c>
      <c r="F3292">
        <v>5476</v>
      </c>
      <c r="G3292" t="s">
        <v>2671</v>
      </c>
      <c r="H3292" t="s">
        <v>2665</v>
      </c>
      <c r="I3292">
        <v>7960</v>
      </c>
      <c r="J3292">
        <v>10686</v>
      </c>
      <c r="K3292">
        <v>11416</v>
      </c>
      <c r="L3292">
        <v>12149</v>
      </c>
      <c r="M3292">
        <v>12886</v>
      </c>
      <c r="N3292" t="s">
        <v>988</v>
      </c>
    </row>
    <row r="3293" spans="1:14" hidden="1" x14ac:dyDescent="0.3">
      <c r="A3293">
        <v>2118</v>
      </c>
      <c r="B3293" t="s">
        <v>1869</v>
      </c>
      <c r="C3293" t="s">
        <v>2670</v>
      </c>
      <c r="D3293" t="s">
        <v>159</v>
      </c>
      <c r="E3293" t="s">
        <v>159</v>
      </c>
      <c r="F3293">
        <v>5476</v>
      </c>
      <c r="G3293" t="s">
        <v>2671</v>
      </c>
      <c r="H3293" t="s">
        <v>2664</v>
      </c>
      <c r="I3293">
        <v>7960</v>
      </c>
      <c r="J3293">
        <v>14850</v>
      </c>
      <c r="K3293">
        <v>14893</v>
      </c>
      <c r="L3293">
        <v>16150</v>
      </c>
      <c r="M3293">
        <v>16201</v>
      </c>
      <c r="N3293" t="s">
        <v>988</v>
      </c>
    </row>
    <row r="3294" spans="1:14" hidden="1" x14ac:dyDescent="0.3">
      <c r="A3294">
        <v>2118</v>
      </c>
      <c r="B3294" t="s">
        <v>1869</v>
      </c>
      <c r="C3294" t="s">
        <v>2670</v>
      </c>
      <c r="D3294" t="s">
        <v>159</v>
      </c>
      <c r="E3294" t="s">
        <v>159</v>
      </c>
      <c r="F3294">
        <v>5476</v>
      </c>
      <c r="G3294" t="s">
        <v>2673</v>
      </c>
      <c r="H3294" t="s">
        <v>2665</v>
      </c>
      <c r="I3294">
        <v>7960</v>
      </c>
      <c r="J3294">
        <v>10686</v>
      </c>
      <c r="K3294">
        <v>11416</v>
      </c>
      <c r="L3294">
        <v>12149</v>
      </c>
      <c r="M3294">
        <v>12886</v>
      </c>
      <c r="N3294" t="s">
        <v>988</v>
      </c>
    </row>
    <row r="3295" spans="1:14" hidden="1" x14ac:dyDescent="0.3">
      <c r="A3295">
        <v>2118</v>
      </c>
      <c r="B3295" t="s">
        <v>1869</v>
      </c>
      <c r="C3295" t="s">
        <v>2670</v>
      </c>
      <c r="D3295" t="s">
        <v>159</v>
      </c>
      <c r="E3295" t="s">
        <v>159</v>
      </c>
      <c r="F3295">
        <v>5476</v>
      </c>
      <c r="G3295" t="s">
        <v>2676</v>
      </c>
      <c r="H3295" t="s">
        <v>2664</v>
      </c>
      <c r="I3295">
        <v>7960</v>
      </c>
      <c r="J3295">
        <v>14850</v>
      </c>
      <c r="K3295">
        <v>14893</v>
      </c>
      <c r="L3295">
        <v>16150</v>
      </c>
      <c r="M3295">
        <v>16201</v>
      </c>
      <c r="N3295" t="s">
        <v>988</v>
      </c>
    </row>
    <row r="3296" spans="1:14" hidden="1" x14ac:dyDescent="0.3">
      <c r="A3296">
        <v>2118</v>
      </c>
      <c r="B3296" t="s">
        <v>1869</v>
      </c>
      <c r="C3296" t="s">
        <v>2670</v>
      </c>
      <c r="D3296" t="s">
        <v>159</v>
      </c>
      <c r="E3296" t="s">
        <v>159</v>
      </c>
      <c r="F3296">
        <v>5476</v>
      </c>
      <c r="G3296" t="s">
        <v>2674</v>
      </c>
      <c r="H3296" t="s">
        <v>2665</v>
      </c>
      <c r="I3296">
        <v>7960</v>
      </c>
      <c r="J3296">
        <v>10686</v>
      </c>
      <c r="K3296">
        <v>11416</v>
      </c>
      <c r="L3296">
        <v>12149</v>
      </c>
      <c r="M3296">
        <v>12886</v>
      </c>
      <c r="N3296" t="s">
        <v>988</v>
      </c>
    </row>
    <row r="3297" spans="1:14" hidden="1" x14ac:dyDescent="0.3">
      <c r="A3297">
        <v>2118</v>
      </c>
      <c r="B3297" t="s">
        <v>1869</v>
      </c>
      <c r="C3297" t="s">
        <v>2670</v>
      </c>
      <c r="D3297" t="s">
        <v>159</v>
      </c>
      <c r="E3297" t="s">
        <v>159</v>
      </c>
      <c r="F3297">
        <v>5476</v>
      </c>
      <c r="G3297" t="s">
        <v>2674</v>
      </c>
      <c r="H3297" t="s">
        <v>2664</v>
      </c>
      <c r="I3297">
        <v>7960</v>
      </c>
      <c r="J3297">
        <v>14850</v>
      </c>
      <c r="K3297">
        <v>14893</v>
      </c>
      <c r="L3297">
        <v>16150</v>
      </c>
      <c r="M3297">
        <v>16201</v>
      </c>
      <c r="N3297" t="s">
        <v>988</v>
      </c>
    </row>
    <row r="3298" spans="1:14" hidden="1" x14ac:dyDescent="0.3">
      <c r="A3298">
        <v>2118</v>
      </c>
      <c r="B3298" t="s">
        <v>1869</v>
      </c>
      <c r="C3298" t="s">
        <v>2670</v>
      </c>
      <c r="D3298" t="s">
        <v>159</v>
      </c>
      <c r="E3298" t="s">
        <v>159</v>
      </c>
      <c r="F3298">
        <v>5476</v>
      </c>
      <c r="G3298" t="s">
        <v>2675</v>
      </c>
      <c r="H3298" t="s">
        <v>2665</v>
      </c>
      <c r="I3298">
        <v>7960</v>
      </c>
      <c r="J3298">
        <v>10686</v>
      </c>
      <c r="K3298">
        <v>11416</v>
      </c>
      <c r="L3298">
        <v>12149</v>
      </c>
      <c r="M3298">
        <v>12886</v>
      </c>
      <c r="N3298" t="s">
        <v>988</v>
      </c>
    </row>
    <row r="3299" spans="1:14" hidden="1" x14ac:dyDescent="0.3">
      <c r="A3299">
        <v>2118</v>
      </c>
      <c r="B3299" t="s">
        <v>1869</v>
      </c>
      <c r="C3299" t="s">
        <v>2670</v>
      </c>
      <c r="D3299" t="s">
        <v>159</v>
      </c>
      <c r="E3299" t="s">
        <v>159</v>
      </c>
      <c r="F3299">
        <v>5476</v>
      </c>
      <c r="G3299" t="s">
        <v>2675</v>
      </c>
      <c r="H3299" t="s">
        <v>2664</v>
      </c>
      <c r="I3299">
        <v>7960</v>
      </c>
      <c r="J3299">
        <v>14850</v>
      </c>
      <c r="K3299">
        <v>14893</v>
      </c>
      <c r="L3299">
        <v>16150</v>
      </c>
      <c r="M3299">
        <v>16201</v>
      </c>
      <c r="N3299" t="s">
        <v>988</v>
      </c>
    </row>
    <row r="3300" spans="1:14" hidden="1" x14ac:dyDescent="0.3">
      <c r="A3300">
        <v>2118</v>
      </c>
      <c r="B3300" t="s">
        <v>1869</v>
      </c>
      <c r="C3300" t="s">
        <v>2670</v>
      </c>
      <c r="D3300" t="s">
        <v>159</v>
      </c>
      <c r="E3300" t="s">
        <v>159</v>
      </c>
      <c r="F3300">
        <v>5476</v>
      </c>
      <c r="G3300" t="s">
        <v>2676</v>
      </c>
      <c r="H3300" t="s">
        <v>2665</v>
      </c>
      <c r="I3300">
        <v>7960</v>
      </c>
      <c r="J3300">
        <v>10686</v>
      </c>
      <c r="K3300">
        <v>11416</v>
      </c>
      <c r="L3300">
        <v>12149</v>
      </c>
      <c r="M3300">
        <v>12886</v>
      </c>
      <c r="N3300" t="s">
        <v>988</v>
      </c>
    </row>
    <row r="3301" spans="1:14" hidden="1" x14ac:dyDescent="0.3">
      <c r="A3301">
        <v>2118</v>
      </c>
      <c r="B3301" t="s">
        <v>1869</v>
      </c>
      <c r="C3301" t="s">
        <v>2670</v>
      </c>
      <c r="D3301" t="s">
        <v>159</v>
      </c>
      <c r="E3301" t="s">
        <v>159</v>
      </c>
      <c r="F3301">
        <v>5476</v>
      </c>
      <c r="G3301" t="s">
        <v>2673</v>
      </c>
      <c r="H3301" t="s">
        <v>2664</v>
      </c>
      <c r="I3301">
        <v>7960</v>
      </c>
      <c r="J3301">
        <v>14850</v>
      </c>
      <c r="K3301">
        <v>14893</v>
      </c>
      <c r="L3301">
        <v>16150</v>
      </c>
      <c r="M3301">
        <v>16201</v>
      </c>
      <c r="N3301" t="s">
        <v>988</v>
      </c>
    </row>
    <row r="3302" spans="1:14" hidden="1" x14ac:dyDescent="0.3">
      <c r="A3302">
        <v>2119</v>
      </c>
      <c r="B3302" t="s">
        <v>1877</v>
      </c>
      <c r="C3302" t="s">
        <v>2670</v>
      </c>
      <c r="D3302" t="s">
        <v>1203</v>
      </c>
      <c r="E3302" t="s">
        <v>1204</v>
      </c>
      <c r="F3302">
        <v>5809</v>
      </c>
      <c r="G3302" t="s">
        <v>2676</v>
      </c>
      <c r="H3302" t="s">
        <v>2665</v>
      </c>
      <c r="I3302">
        <v>1913.16</v>
      </c>
      <c r="J3302">
        <v>1943.33</v>
      </c>
      <c r="K3302">
        <v>1973.97</v>
      </c>
      <c r="L3302">
        <v>2005.09</v>
      </c>
      <c r="M3302">
        <v>2036.71</v>
      </c>
      <c r="N3302" t="s">
        <v>988</v>
      </c>
    </row>
    <row r="3303" spans="1:14" hidden="1" x14ac:dyDescent="0.3">
      <c r="A3303">
        <v>2119</v>
      </c>
      <c r="B3303" t="s">
        <v>1877</v>
      </c>
      <c r="C3303" t="s">
        <v>2670</v>
      </c>
      <c r="D3303" t="s">
        <v>1203</v>
      </c>
      <c r="E3303" t="s">
        <v>1204</v>
      </c>
      <c r="F3303">
        <v>5809</v>
      </c>
      <c r="G3303" t="s">
        <v>2675</v>
      </c>
      <c r="H3303" t="s">
        <v>2664</v>
      </c>
      <c r="I3303">
        <v>2419</v>
      </c>
      <c r="J3303">
        <v>2419</v>
      </c>
      <c r="K3303">
        <v>2419</v>
      </c>
      <c r="L3303">
        <v>2419</v>
      </c>
      <c r="M3303">
        <v>2419</v>
      </c>
      <c r="N3303" t="s">
        <v>988</v>
      </c>
    </row>
    <row r="3304" spans="1:14" hidden="1" x14ac:dyDescent="0.3">
      <c r="A3304">
        <v>2119</v>
      </c>
      <c r="B3304" t="s">
        <v>1877</v>
      </c>
      <c r="C3304" t="s">
        <v>2670</v>
      </c>
      <c r="D3304" t="s">
        <v>1203</v>
      </c>
      <c r="E3304" t="s">
        <v>1204</v>
      </c>
      <c r="F3304">
        <v>5809</v>
      </c>
      <c r="G3304" t="s">
        <v>2675</v>
      </c>
      <c r="H3304" t="s">
        <v>2665</v>
      </c>
      <c r="I3304">
        <v>2069.6999999999998</v>
      </c>
      <c r="J3304">
        <v>2102.33</v>
      </c>
      <c r="K3304">
        <v>2135.48</v>
      </c>
      <c r="L3304">
        <v>2169.15</v>
      </c>
      <c r="M3304">
        <v>2203.35</v>
      </c>
      <c r="N3304" t="s">
        <v>988</v>
      </c>
    </row>
    <row r="3305" spans="1:14" hidden="1" x14ac:dyDescent="0.3">
      <c r="A3305">
        <v>2119</v>
      </c>
      <c r="B3305" t="s">
        <v>1877</v>
      </c>
      <c r="C3305" t="s">
        <v>2670</v>
      </c>
      <c r="D3305" t="s">
        <v>1203</v>
      </c>
      <c r="E3305" t="s">
        <v>1204</v>
      </c>
      <c r="F3305">
        <v>5809</v>
      </c>
      <c r="G3305" t="s">
        <v>2674</v>
      </c>
      <c r="H3305" t="s">
        <v>2664</v>
      </c>
      <c r="I3305">
        <v>2419</v>
      </c>
      <c r="J3305">
        <v>2419</v>
      </c>
      <c r="K3305">
        <v>2419</v>
      </c>
      <c r="L3305">
        <v>2419</v>
      </c>
      <c r="M3305">
        <v>2419</v>
      </c>
      <c r="N3305" t="s">
        <v>988</v>
      </c>
    </row>
    <row r="3306" spans="1:14" hidden="1" x14ac:dyDescent="0.3">
      <c r="A3306">
        <v>2119</v>
      </c>
      <c r="B3306" t="s">
        <v>1877</v>
      </c>
      <c r="C3306" t="s">
        <v>2670</v>
      </c>
      <c r="D3306" t="s">
        <v>1203</v>
      </c>
      <c r="E3306" t="s">
        <v>1204</v>
      </c>
      <c r="F3306">
        <v>5809</v>
      </c>
      <c r="G3306" t="s">
        <v>2674</v>
      </c>
      <c r="H3306" t="s">
        <v>2665</v>
      </c>
      <c r="I3306">
        <v>2171.66</v>
      </c>
      <c r="J3306">
        <v>2205.9</v>
      </c>
      <c r="K3306">
        <v>2240.69</v>
      </c>
      <c r="L3306">
        <v>2276.02</v>
      </c>
      <c r="M3306">
        <v>2311.9</v>
      </c>
      <c r="N3306" t="s">
        <v>988</v>
      </c>
    </row>
    <row r="3307" spans="1:14" hidden="1" x14ac:dyDescent="0.3">
      <c r="A3307">
        <v>2119</v>
      </c>
      <c r="B3307" t="s">
        <v>1877</v>
      </c>
      <c r="C3307" t="s">
        <v>2670</v>
      </c>
      <c r="D3307" t="s">
        <v>1203</v>
      </c>
      <c r="E3307" t="s">
        <v>1204</v>
      </c>
      <c r="F3307">
        <v>5809</v>
      </c>
      <c r="G3307" t="s">
        <v>2673</v>
      </c>
      <c r="H3307" t="s">
        <v>2664</v>
      </c>
      <c r="I3307">
        <v>2419</v>
      </c>
      <c r="J3307">
        <v>2419</v>
      </c>
      <c r="K3307">
        <v>2419</v>
      </c>
      <c r="L3307">
        <v>2419</v>
      </c>
      <c r="M3307">
        <v>2419</v>
      </c>
      <c r="N3307" t="s">
        <v>988</v>
      </c>
    </row>
    <row r="3308" spans="1:14" hidden="1" x14ac:dyDescent="0.3">
      <c r="A3308">
        <v>2119</v>
      </c>
      <c r="B3308" t="s">
        <v>1877</v>
      </c>
      <c r="C3308" t="s">
        <v>2670</v>
      </c>
      <c r="D3308" t="s">
        <v>1203</v>
      </c>
      <c r="E3308" t="s">
        <v>1204</v>
      </c>
      <c r="F3308">
        <v>5809</v>
      </c>
      <c r="G3308" t="s">
        <v>2673</v>
      </c>
      <c r="H3308" t="s">
        <v>2665</v>
      </c>
      <c r="I3308">
        <v>2147.19</v>
      </c>
      <c r="J3308">
        <v>2181.0500000000002</v>
      </c>
      <c r="K3308">
        <v>2215.44</v>
      </c>
      <c r="L3308">
        <v>2250.37</v>
      </c>
      <c r="M3308">
        <v>2285.85</v>
      </c>
      <c r="N3308" t="s">
        <v>988</v>
      </c>
    </row>
    <row r="3309" spans="1:14" hidden="1" x14ac:dyDescent="0.3">
      <c r="A3309">
        <v>2119</v>
      </c>
      <c r="B3309" t="s">
        <v>1877</v>
      </c>
      <c r="C3309" t="s">
        <v>2670</v>
      </c>
      <c r="D3309" t="s">
        <v>1203</v>
      </c>
      <c r="E3309" t="s">
        <v>1204</v>
      </c>
      <c r="F3309">
        <v>5809</v>
      </c>
      <c r="G3309" t="s">
        <v>2671</v>
      </c>
      <c r="H3309" t="s">
        <v>2664</v>
      </c>
      <c r="I3309">
        <v>2419</v>
      </c>
      <c r="J3309">
        <v>2419</v>
      </c>
      <c r="K3309">
        <v>2419</v>
      </c>
      <c r="L3309">
        <v>2419</v>
      </c>
      <c r="M3309">
        <v>2419</v>
      </c>
      <c r="N3309" t="s">
        <v>988</v>
      </c>
    </row>
    <row r="3310" spans="1:14" hidden="1" x14ac:dyDescent="0.3">
      <c r="A3310">
        <v>2119</v>
      </c>
      <c r="B3310" t="s">
        <v>1877</v>
      </c>
      <c r="C3310" t="s">
        <v>2670</v>
      </c>
      <c r="D3310" t="s">
        <v>1203</v>
      </c>
      <c r="E3310" t="s">
        <v>1204</v>
      </c>
      <c r="F3310">
        <v>5809</v>
      </c>
      <c r="G3310" t="s">
        <v>2671</v>
      </c>
      <c r="H3310" t="s">
        <v>2665</v>
      </c>
      <c r="I3310">
        <v>1709.8</v>
      </c>
      <c r="J3310">
        <v>1736.76</v>
      </c>
      <c r="K3310">
        <v>1764.15</v>
      </c>
      <c r="L3310">
        <v>1791.96</v>
      </c>
      <c r="M3310">
        <v>1820.22</v>
      </c>
      <c r="N3310" t="s">
        <v>988</v>
      </c>
    </row>
    <row r="3311" spans="1:14" hidden="1" x14ac:dyDescent="0.3">
      <c r="A3311">
        <v>2119</v>
      </c>
      <c r="B3311" t="s">
        <v>1877</v>
      </c>
      <c r="C3311" t="s">
        <v>2670</v>
      </c>
      <c r="D3311" t="s">
        <v>1203</v>
      </c>
      <c r="E3311" t="s">
        <v>1204</v>
      </c>
      <c r="F3311">
        <v>5809</v>
      </c>
      <c r="G3311" t="s">
        <v>2672</v>
      </c>
      <c r="H3311" t="s">
        <v>2664</v>
      </c>
      <c r="N3311" t="s">
        <v>988</v>
      </c>
    </row>
    <row r="3312" spans="1:14" hidden="1" x14ac:dyDescent="0.3">
      <c r="A3312">
        <v>2119</v>
      </c>
      <c r="B3312" t="s">
        <v>1877</v>
      </c>
      <c r="C3312" t="s">
        <v>2670</v>
      </c>
      <c r="D3312" t="s">
        <v>1203</v>
      </c>
      <c r="E3312" t="s">
        <v>1204</v>
      </c>
      <c r="F3312">
        <v>5809</v>
      </c>
      <c r="G3312" t="s">
        <v>2676</v>
      </c>
      <c r="H3312" t="s">
        <v>2664</v>
      </c>
      <c r="I3312">
        <v>2419</v>
      </c>
      <c r="J3312">
        <v>2419</v>
      </c>
      <c r="K3312">
        <v>2419</v>
      </c>
      <c r="L3312">
        <v>2419</v>
      </c>
      <c r="M3312">
        <v>2419</v>
      </c>
      <c r="N3312" t="s">
        <v>988</v>
      </c>
    </row>
    <row r="3313" spans="1:14" hidden="1" x14ac:dyDescent="0.3">
      <c r="A3313">
        <v>2119</v>
      </c>
      <c r="B3313" t="s">
        <v>1877</v>
      </c>
      <c r="C3313" t="s">
        <v>2670</v>
      </c>
      <c r="D3313" t="s">
        <v>1203</v>
      </c>
      <c r="E3313" t="s">
        <v>1204</v>
      </c>
      <c r="F3313">
        <v>5809</v>
      </c>
      <c r="G3313" t="s">
        <v>2672</v>
      </c>
      <c r="H3313" t="s">
        <v>2665</v>
      </c>
      <c r="N3313" t="s">
        <v>988</v>
      </c>
    </row>
    <row r="3314" spans="1:14" hidden="1" x14ac:dyDescent="0.3">
      <c r="A3314">
        <v>2122</v>
      </c>
      <c r="B3314" t="s">
        <v>1878</v>
      </c>
      <c r="C3314" t="s">
        <v>2670</v>
      </c>
      <c r="D3314" t="s">
        <v>1203</v>
      </c>
      <c r="E3314" t="s">
        <v>1204</v>
      </c>
      <c r="F3314">
        <v>7711</v>
      </c>
      <c r="G3314" t="s">
        <v>2676</v>
      </c>
      <c r="H3314" t="s">
        <v>2665</v>
      </c>
      <c r="I3314">
        <v>424</v>
      </c>
      <c r="J3314">
        <v>424</v>
      </c>
      <c r="K3314">
        <v>424</v>
      </c>
      <c r="L3314">
        <v>424</v>
      </c>
      <c r="M3314">
        <v>424</v>
      </c>
      <c r="N3314" t="s">
        <v>988</v>
      </c>
    </row>
    <row r="3315" spans="1:14" hidden="1" x14ac:dyDescent="0.3">
      <c r="A3315">
        <v>2122</v>
      </c>
      <c r="B3315" t="s">
        <v>1878</v>
      </c>
      <c r="C3315" t="s">
        <v>2670</v>
      </c>
      <c r="D3315" t="s">
        <v>1203</v>
      </c>
      <c r="E3315" t="s">
        <v>1204</v>
      </c>
      <c r="F3315">
        <v>7711</v>
      </c>
      <c r="G3315" t="s">
        <v>2675</v>
      </c>
      <c r="H3315" t="s">
        <v>2664</v>
      </c>
      <c r="I3315">
        <v>430</v>
      </c>
      <c r="J3315">
        <v>430</v>
      </c>
      <c r="K3315">
        <v>430</v>
      </c>
      <c r="L3315">
        <v>430</v>
      </c>
      <c r="N3315" t="s">
        <v>988</v>
      </c>
    </row>
    <row r="3316" spans="1:14" hidden="1" x14ac:dyDescent="0.3">
      <c r="A3316">
        <v>2122</v>
      </c>
      <c r="B3316" t="s">
        <v>1878</v>
      </c>
      <c r="C3316" t="s">
        <v>2670</v>
      </c>
      <c r="D3316" t="s">
        <v>1203</v>
      </c>
      <c r="E3316" t="s">
        <v>1204</v>
      </c>
      <c r="F3316">
        <v>7711</v>
      </c>
      <c r="G3316" t="s">
        <v>2675</v>
      </c>
      <c r="H3316" t="s">
        <v>2665</v>
      </c>
      <c r="I3316">
        <v>430</v>
      </c>
      <c r="J3316">
        <v>430</v>
      </c>
      <c r="K3316">
        <v>430</v>
      </c>
      <c r="L3316">
        <v>430</v>
      </c>
      <c r="N3316" t="s">
        <v>988</v>
      </c>
    </row>
    <row r="3317" spans="1:14" hidden="1" x14ac:dyDescent="0.3">
      <c r="A3317">
        <v>2122</v>
      </c>
      <c r="B3317" t="s">
        <v>1878</v>
      </c>
      <c r="C3317" t="s">
        <v>2670</v>
      </c>
      <c r="D3317" t="s">
        <v>1203</v>
      </c>
      <c r="E3317" t="s">
        <v>1204</v>
      </c>
      <c r="F3317">
        <v>7711</v>
      </c>
      <c r="G3317" t="s">
        <v>2674</v>
      </c>
      <c r="H3317" t="s">
        <v>2664</v>
      </c>
      <c r="I3317">
        <v>412</v>
      </c>
      <c r="J3317">
        <v>412</v>
      </c>
      <c r="K3317">
        <v>412</v>
      </c>
      <c r="L3317">
        <v>412</v>
      </c>
      <c r="N3317" t="s">
        <v>988</v>
      </c>
    </row>
    <row r="3318" spans="1:14" hidden="1" x14ac:dyDescent="0.3">
      <c r="A3318">
        <v>2122</v>
      </c>
      <c r="B3318" t="s">
        <v>1878</v>
      </c>
      <c r="C3318" t="s">
        <v>2670</v>
      </c>
      <c r="D3318" t="s">
        <v>1203</v>
      </c>
      <c r="E3318" t="s">
        <v>1204</v>
      </c>
      <c r="F3318">
        <v>7711</v>
      </c>
      <c r="G3318" t="s">
        <v>2674</v>
      </c>
      <c r="H3318" t="s">
        <v>2665</v>
      </c>
      <c r="I3318">
        <v>412</v>
      </c>
      <c r="J3318">
        <v>412</v>
      </c>
      <c r="K3318">
        <v>412</v>
      </c>
      <c r="L3318">
        <v>412</v>
      </c>
      <c r="N3318" t="s">
        <v>988</v>
      </c>
    </row>
    <row r="3319" spans="1:14" hidden="1" x14ac:dyDescent="0.3">
      <c r="A3319">
        <v>2122</v>
      </c>
      <c r="B3319" t="s">
        <v>1878</v>
      </c>
      <c r="C3319" t="s">
        <v>2670</v>
      </c>
      <c r="D3319" t="s">
        <v>1203</v>
      </c>
      <c r="E3319" t="s">
        <v>1204</v>
      </c>
      <c r="F3319">
        <v>7711</v>
      </c>
      <c r="G3319" t="s">
        <v>2676</v>
      </c>
      <c r="H3319" t="s">
        <v>2664</v>
      </c>
      <c r="I3319">
        <v>424</v>
      </c>
      <c r="J3319">
        <v>424</v>
      </c>
      <c r="K3319">
        <v>424</v>
      </c>
      <c r="L3319">
        <v>424</v>
      </c>
      <c r="M3319">
        <v>424</v>
      </c>
      <c r="N3319" t="s">
        <v>988</v>
      </c>
    </row>
    <row r="3320" spans="1:14" hidden="1" x14ac:dyDescent="0.3">
      <c r="A3320">
        <v>2122</v>
      </c>
      <c r="B3320" t="s">
        <v>1878</v>
      </c>
      <c r="C3320" t="s">
        <v>2670</v>
      </c>
      <c r="D3320" t="s">
        <v>1203</v>
      </c>
      <c r="E3320" t="s">
        <v>1204</v>
      </c>
      <c r="F3320">
        <v>7711</v>
      </c>
      <c r="G3320" t="s">
        <v>2673</v>
      </c>
      <c r="H3320" t="s">
        <v>2665</v>
      </c>
      <c r="I3320">
        <v>340</v>
      </c>
      <c r="J3320">
        <v>340</v>
      </c>
      <c r="K3320">
        <v>340</v>
      </c>
      <c r="L3320">
        <v>340</v>
      </c>
      <c r="N3320" t="s">
        <v>988</v>
      </c>
    </row>
    <row r="3321" spans="1:14" hidden="1" x14ac:dyDescent="0.3">
      <c r="A3321">
        <v>2122</v>
      </c>
      <c r="B3321" t="s">
        <v>1878</v>
      </c>
      <c r="C3321" t="s">
        <v>2670</v>
      </c>
      <c r="D3321" t="s">
        <v>1203</v>
      </c>
      <c r="E3321" t="s">
        <v>1204</v>
      </c>
      <c r="F3321">
        <v>7711</v>
      </c>
      <c r="G3321" t="s">
        <v>2671</v>
      </c>
      <c r="H3321" t="s">
        <v>2664</v>
      </c>
      <c r="I3321">
        <v>360</v>
      </c>
      <c r="J3321">
        <v>360</v>
      </c>
      <c r="K3321">
        <v>360</v>
      </c>
      <c r="L3321">
        <v>360</v>
      </c>
      <c r="N3321" t="s">
        <v>988</v>
      </c>
    </row>
    <row r="3322" spans="1:14" hidden="1" x14ac:dyDescent="0.3">
      <c r="A3322">
        <v>2122</v>
      </c>
      <c r="B3322" t="s">
        <v>1878</v>
      </c>
      <c r="C3322" t="s">
        <v>2670</v>
      </c>
      <c r="D3322" t="s">
        <v>1203</v>
      </c>
      <c r="E3322" t="s">
        <v>1204</v>
      </c>
      <c r="F3322">
        <v>7711</v>
      </c>
      <c r="G3322" t="s">
        <v>2671</v>
      </c>
      <c r="H3322" t="s">
        <v>2665</v>
      </c>
      <c r="I3322">
        <v>360</v>
      </c>
      <c r="J3322">
        <v>360</v>
      </c>
      <c r="K3322">
        <v>360</v>
      </c>
      <c r="L3322">
        <v>360</v>
      </c>
      <c r="N3322" t="s">
        <v>988</v>
      </c>
    </row>
    <row r="3323" spans="1:14" hidden="1" x14ac:dyDescent="0.3">
      <c r="A3323">
        <v>2122</v>
      </c>
      <c r="B3323" t="s">
        <v>1878</v>
      </c>
      <c r="C3323" t="s">
        <v>2670</v>
      </c>
      <c r="D3323" t="s">
        <v>1203</v>
      </c>
      <c r="E3323" t="s">
        <v>1204</v>
      </c>
      <c r="F3323">
        <v>7711</v>
      </c>
      <c r="G3323" t="s">
        <v>2672</v>
      </c>
      <c r="H3323" t="s">
        <v>2664</v>
      </c>
      <c r="N3323" t="s">
        <v>988</v>
      </c>
    </row>
    <row r="3324" spans="1:14" hidden="1" x14ac:dyDescent="0.3">
      <c r="A3324">
        <v>2122</v>
      </c>
      <c r="B3324" t="s">
        <v>1878</v>
      </c>
      <c r="C3324" t="s">
        <v>2670</v>
      </c>
      <c r="D3324" t="s">
        <v>1203</v>
      </c>
      <c r="E3324" t="s">
        <v>1204</v>
      </c>
      <c r="F3324">
        <v>7711</v>
      </c>
      <c r="G3324" t="s">
        <v>2672</v>
      </c>
      <c r="H3324" t="s">
        <v>2665</v>
      </c>
      <c r="N3324" t="s">
        <v>988</v>
      </c>
    </row>
    <row r="3325" spans="1:14" hidden="1" x14ac:dyDescent="0.3">
      <c r="A3325">
        <v>2122</v>
      </c>
      <c r="B3325" t="s">
        <v>1878</v>
      </c>
      <c r="C3325" t="s">
        <v>2670</v>
      </c>
      <c r="D3325" t="s">
        <v>1203</v>
      </c>
      <c r="E3325" t="s">
        <v>1204</v>
      </c>
      <c r="F3325">
        <v>7711</v>
      </c>
      <c r="G3325" t="s">
        <v>2673</v>
      </c>
      <c r="H3325" t="s">
        <v>2664</v>
      </c>
      <c r="I3325">
        <v>340</v>
      </c>
      <c r="J3325">
        <v>340</v>
      </c>
      <c r="K3325">
        <v>340</v>
      </c>
      <c r="L3325">
        <v>340</v>
      </c>
      <c r="N3325" t="s">
        <v>988</v>
      </c>
    </row>
    <row r="3326" spans="1:14" hidden="1" x14ac:dyDescent="0.3">
      <c r="A3326">
        <v>2130</v>
      </c>
      <c r="B3326" t="s">
        <v>1879</v>
      </c>
      <c r="C3326" t="s">
        <v>2670</v>
      </c>
      <c r="D3326" t="s">
        <v>159</v>
      </c>
      <c r="E3326" t="s">
        <v>159</v>
      </c>
      <c r="F3326">
        <v>6776</v>
      </c>
      <c r="G3326" t="s">
        <v>2672</v>
      </c>
      <c r="H3326" t="s">
        <v>2665</v>
      </c>
      <c r="N3326" t="s">
        <v>988</v>
      </c>
    </row>
    <row r="3327" spans="1:14" hidden="1" x14ac:dyDescent="0.3">
      <c r="A3327">
        <v>2130</v>
      </c>
      <c r="B3327" t="s">
        <v>1879</v>
      </c>
      <c r="C3327" t="s">
        <v>2670</v>
      </c>
      <c r="D3327" t="s">
        <v>159</v>
      </c>
      <c r="E3327" t="s">
        <v>159</v>
      </c>
      <c r="F3327">
        <v>6776</v>
      </c>
      <c r="G3327" t="s">
        <v>2672</v>
      </c>
      <c r="H3327" t="s">
        <v>2664</v>
      </c>
      <c r="N3327" t="s">
        <v>988</v>
      </c>
    </row>
    <row r="3328" spans="1:14" hidden="1" x14ac:dyDescent="0.3">
      <c r="A3328">
        <v>2130</v>
      </c>
      <c r="B3328" t="s">
        <v>1879</v>
      </c>
      <c r="C3328" t="s">
        <v>2670</v>
      </c>
      <c r="D3328" t="s">
        <v>159</v>
      </c>
      <c r="E3328" t="s">
        <v>159</v>
      </c>
      <c r="F3328">
        <v>6776</v>
      </c>
      <c r="G3328" t="s">
        <v>2671</v>
      </c>
      <c r="H3328" t="s">
        <v>2665</v>
      </c>
      <c r="I3328">
        <v>113534</v>
      </c>
      <c r="J3328">
        <v>119911</v>
      </c>
      <c r="K3328">
        <v>126289</v>
      </c>
      <c r="L3328">
        <v>132666</v>
      </c>
      <c r="M3328">
        <v>151764</v>
      </c>
      <c r="N3328" t="s">
        <v>988</v>
      </c>
    </row>
    <row r="3329" spans="1:14" hidden="1" x14ac:dyDescent="0.3">
      <c r="A3329">
        <v>2130</v>
      </c>
      <c r="B3329" t="s">
        <v>1879</v>
      </c>
      <c r="C3329" t="s">
        <v>2670</v>
      </c>
      <c r="D3329" t="s">
        <v>159</v>
      </c>
      <c r="E3329" t="s">
        <v>159</v>
      </c>
      <c r="F3329">
        <v>6776</v>
      </c>
      <c r="G3329" t="s">
        <v>2671</v>
      </c>
      <c r="H3329" t="s">
        <v>2664</v>
      </c>
      <c r="I3329">
        <v>333200</v>
      </c>
      <c r="J3329">
        <v>350200</v>
      </c>
      <c r="K3329">
        <v>350200</v>
      </c>
      <c r="L3329">
        <v>350200</v>
      </c>
      <c r="M3329">
        <v>350200</v>
      </c>
      <c r="N3329" t="s">
        <v>988</v>
      </c>
    </row>
    <row r="3330" spans="1:14" hidden="1" x14ac:dyDescent="0.3">
      <c r="A3330">
        <v>2130</v>
      </c>
      <c r="B3330" t="s">
        <v>1879</v>
      </c>
      <c r="C3330" t="s">
        <v>2670</v>
      </c>
      <c r="D3330" t="s">
        <v>159</v>
      </c>
      <c r="E3330" t="s">
        <v>159</v>
      </c>
      <c r="F3330">
        <v>6776</v>
      </c>
      <c r="G3330" t="s">
        <v>2673</v>
      </c>
      <c r="H3330" t="s">
        <v>2665</v>
      </c>
      <c r="I3330">
        <v>112258</v>
      </c>
      <c r="J3330">
        <v>118636</v>
      </c>
      <c r="K3330">
        <v>125013</v>
      </c>
      <c r="L3330">
        <v>131391</v>
      </c>
      <c r="M3330">
        <v>147308</v>
      </c>
      <c r="N3330" t="s">
        <v>988</v>
      </c>
    </row>
    <row r="3331" spans="1:14" hidden="1" x14ac:dyDescent="0.3">
      <c r="A3331">
        <v>2130</v>
      </c>
      <c r="B3331" t="s">
        <v>1879</v>
      </c>
      <c r="C3331" t="s">
        <v>2670</v>
      </c>
      <c r="D3331" t="s">
        <v>159</v>
      </c>
      <c r="E3331" t="s">
        <v>159</v>
      </c>
      <c r="F3331">
        <v>6776</v>
      </c>
      <c r="G3331" t="s">
        <v>2676</v>
      </c>
      <c r="H3331" t="s">
        <v>2664</v>
      </c>
      <c r="I3331">
        <v>333200</v>
      </c>
      <c r="J3331">
        <v>350200</v>
      </c>
      <c r="K3331">
        <v>350200</v>
      </c>
      <c r="L3331">
        <v>350200</v>
      </c>
      <c r="M3331">
        <v>350200</v>
      </c>
      <c r="N3331" t="s">
        <v>988</v>
      </c>
    </row>
    <row r="3332" spans="1:14" hidden="1" x14ac:dyDescent="0.3">
      <c r="A3332">
        <v>2130</v>
      </c>
      <c r="B3332" t="s">
        <v>1879</v>
      </c>
      <c r="C3332" t="s">
        <v>2670</v>
      </c>
      <c r="D3332" t="s">
        <v>159</v>
      </c>
      <c r="E3332" t="s">
        <v>159</v>
      </c>
      <c r="F3332">
        <v>6776</v>
      </c>
      <c r="G3332" t="s">
        <v>2674</v>
      </c>
      <c r="H3332" t="s">
        <v>2665</v>
      </c>
      <c r="I3332">
        <v>110983</v>
      </c>
      <c r="J3332">
        <v>117360</v>
      </c>
      <c r="K3332">
        <v>123738</v>
      </c>
      <c r="L3332">
        <v>130115</v>
      </c>
      <c r="M3332">
        <v>142853</v>
      </c>
      <c r="N3332" t="s">
        <v>988</v>
      </c>
    </row>
    <row r="3333" spans="1:14" hidden="1" x14ac:dyDescent="0.3">
      <c r="A3333">
        <v>2130</v>
      </c>
      <c r="B3333" t="s">
        <v>1879</v>
      </c>
      <c r="C3333" t="s">
        <v>2670</v>
      </c>
      <c r="D3333" t="s">
        <v>159</v>
      </c>
      <c r="E3333" t="s">
        <v>159</v>
      </c>
      <c r="F3333">
        <v>6776</v>
      </c>
      <c r="G3333" t="s">
        <v>2674</v>
      </c>
      <c r="H3333" t="s">
        <v>2664</v>
      </c>
      <c r="I3333">
        <v>333200</v>
      </c>
      <c r="J3333">
        <v>350200</v>
      </c>
      <c r="K3333">
        <v>350200</v>
      </c>
      <c r="L3333">
        <v>350200</v>
      </c>
      <c r="M3333">
        <v>350200</v>
      </c>
      <c r="N3333" t="s">
        <v>988</v>
      </c>
    </row>
    <row r="3334" spans="1:14" hidden="1" x14ac:dyDescent="0.3">
      <c r="A3334">
        <v>2130</v>
      </c>
      <c r="B3334" t="s">
        <v>1879</v>
      </c>
      <c r="C3334" t="s">
        <v>2670</v>
      </c>
      <c r="D3334" t="s">
        <v>159</v>
      </c>
      <c r="E3334" t="s">
        <v>159</v>
      </c>
      <c r="F3334">
        <v>6776</v>
      </c>
      <c r="G3334" t="s">
        <v>2675</v>
      </c>
      <c r="H3334" t="s">
        <v>2665</v>
      </c>
      <c r="I3334">
        <v>109707</v>
      </c>
      <c r="J3334">
        <v>116085</v>
      </c>
      <c r="K3334">
        <v>122462</v>
      </c>
      <c r="L3334">
        <v>128840</v>
      </c>
      <c r="M3334">
        <v>138397</v>
      </c>
      <c r="N3334" t="s">
        <v>988</v>
      </c>
    </row>
    <row r="3335" spans="1:14" hidden="1" x14ac:dyDescent="0.3">
      <c r="A3335">
        <v>2130</v>
      </c>
      <c r="B3335" t="s">
        <v>1879</v>
      </c>
      <c r="C3335" t="s">
        <v>2670</v>
      </c>
      <c r="D3335" t="s">
        <v>159</v>
      </c>
      <c r="E3335" t="s">
        <v>159</v>
      </c>
      <c r="F3335">
        <v>6776</v>
      </c>
      <c r="G3335" t="s">
        <v>2675</v>
      </c>
      <c r="H3335" t="s">
        <v>2664</v>
      </c>
      <c r="I3335">
        <v>333200</v>
      </c>
      <c r="J3335">
        <v>350200</v>
      </c>
      <c r="K3335">
        <v>350200</v>
      </c>
      <c r="L3335">
        <v>350200</v>
      </c>
      <c r="M3335">
        <v>350200</v>
      </c>
      <c r="N3335" t="s">
        <v>988</v>
      </c>
    </row>
    <row r="3336" spans="1:14" hidden="1" x14ac:dyDescent="0.3">
      <c r="A3336">
        <v>2130</v>
      </c>
      <c r="B3336" t="s">
        <v>1879</v>
      </c>
      <c r="C3336" t="s">
        <v>2670</v>
      </c>
      <c r="D3336" t="s">
        <v>159</v>
      </c>
      <c r="E3336" t="s">
        <v>159</v>
      </c>
      <c r="F3336">
        <v>6776</v>
      </c>
      <c r="G3336" t="s">
        <v>2676</v>
      </c>
      <c r="H3336" t="s">
        <v>2665</v>
      </c>
      <c r="I3336">
        <v>108432</v>
      </c>
      <c r="J3336">
        <v>114809</v>
      </c>
      <c r="K3336">
        <v>121187</v>
      </c>
      <c r="L3336">
        <v>127564</v>
      </c>
      <c r="M3336">
        <v>133942</v>
      </c>
      <c r="N3336" t="s">
        <v>988</v>
      </c>
    </row>
    <row r="3337" spans="1:14" hidden="1" x14ac:dyDescent="0.3">
      <c r="A3337">
        <v>2130</v>
      </c>
      <c r="B3337" t="s">
        <v>1879</v>
      </c>
      <c r="C3337" t="s">
        <v>2670</v>
      </c>
      <c r="D3337" t="s">
        <v>159</v>
      </c>
      <c r="E3337" t="s">
        <v>159</v>
      </c>
      <c r="F3337">
        <v>6776</v>
      </c>
      <c r="G3337" t="s">
        <v>2673</v>
      </c>
      <c r="H3337" t="s">
        <v>2664</v>
      </c>
      <c r="I3337">
        <v>333200</v>
      </c>
      <c r="J3337">
        <v>350200</v>
      </c>
      <c r="K3337">
        <v>350200</v>
      </c>
      <c r="L3337">
        <v>350200</v>
      </c>
      <c r="M3337">
        <v>350200</v>
      </c>
      <c r="N3337" t="s">
        <v>988</v>
      </c>
    </row>
    <row r="3338" spans="1:14" hidden="1" x14ac:dyDescent="0.3">
      <c r="A3338">
        <v>2132</v>
      </c>
      <c r="B3338" t="s">
        <v>772</v>
      </c>
      <c r="C3338" t="s">
        <v>2670</v>
      </c>
      <c r="D3338" t="s">
        <v>1203</v>
      </c>
      <c r="E3338" t="s">
        <v>1204</v>
      </c>
      <c r="F3338">
        <v>5606</v>
      </c>
      <c r="G3338" t="s">
        <v>2676</v>
      </c>
      <c r="H3338" t="s">
        <v>2664</v>
      </c>
      <c r="I3338">
        <v>115811</v>
      </c>
      <c r="J3338">
        <v>123270</v>
      </c>
      <c r="K3338">
        <v>138026</v>
      </c>
      <c r="L3338">
        <v>142782</v>
      </c>
      <c r="M3338">
        <v>151239</v>
      </c>
      <c r="N3338" t="s">
        <v>988</v>
      </c>
    </row>
    <row r="3339" spans="1:14" hidden="1" x14ac:dyDescent="0.3">
      <c r="A3339">
        <v>2132</v>
      </c>
      <c r="B3339" t="s">
        <v>772</v>
      </c>
      <c r="C3339" t="s">
        <v>2670</v>
      </c>
      <c r="D3339" t="s">
        <v>1203</v>
      </c>
      <c r="E3339" t="s">
        <v>1204</v>
      </c>
      <c r="F3339">
        <v>5606</v>
      </c>
      <c r="G3339" t="s">
        <v>2676</v>
      </c>
      <c r="H3339" t="s">
        <v>2665</v>
      </c>
      <c r="I3339">
        <v>54972</v>
      </c>
      <c r="J3339">
        <v>64771</v>
      </c>
      <c r="K3339">
        <v>73764</v>
      </c>
      <c r="L3339">
        <v>81315</v>
      </c>
      <c r="M3339">
        <v>89032</v>
      </c>
      <c r="N3339" t="s">
        <v>988</v>
      </c>
    </row>
    <row r="3340" spans="1:14" hidden="1" x14ac:dyDescent="0.3">
      <c r="A3340">
        <v>2132</v>
      </c>
      <c r="B3340" t="s">
        <v>772</v>
      </c>
      <c r="C3340" t="s">
        <v>2670</v>
      </c>
      <c r="D3340" t="s">
        <v>1203</v>
      </c>
      <c r="E3340" t="s">
        <v>1204</v>
      </c>
      <c r="F3340">
        <v>5606</v>
      </c>
      <c r="G3340" t="s">
        <v>2675</v>
      </c>
      <c r="H3340" t="s">
        <v>2664</v>
      </c>
      <c r="I3340">
        <v>103433</v>
      </c>
      <c r="J3340">
        <v>110415</v>
      </c>
      <c r="K3340">
        <v>123921</v>
      </c>
      <c r="L3340">
        <v>127427</v>
      </c>
      <c r="M3340">
        <v>133384</v>
      </c>
      <c r="N3340" t="s">
        <v>988</v>
      </c>
    </row>
    <row r="3341" spans="1:14" hidden="1" x14ac:dyDescent="0.3">
      <c r="A3341">
        <v>2132</v>
      </c>
      <c r="B3341" t="s">
        <v>772</v>
      </c>
      <c r="C3341" t="s">
        <v>2670</v>
      </c>
      <c r="D3341" t="s">
        <v>1203</v>
      </c>
      <c r="E3341" t="s">
        <v>1204</v>
      </c>
      <c r="F3341">
        <v>5606</v>
      </c>
      <c r="G3341" t="s">
        <v>2675</v>
      </c>
      <c r="H3341" t="s">
        <v>2665</v>
      </c>
      <c r="I3341">
        <v>54972</v>
      </c>
      <c r="J3341">
        <v>64771</v>
      </c>
      <c r="K3341">
        <v>73764</v>
      </c>
      <c r="L3341">
        <v>81315</v>
      </c>
      <c r="M3341">
        <v>89032</v>
      </c>
      <c r="N3341" t="s">
        <v>988</v>
      </c>
    </row>
    <row r="3342" spans="1:14" hidden="1" x14ac:dyDescent="0.3">
      <c r="A3342">
        <v>2132</v>
      </c>
      <c r="B3342" t="s">
        <v>772</v>
      </c>
      <c r="C3342" t="s">
        <v>2670</v>
      </c>
      <c r="D3342" t="s">
        <v>1203</v>
      </c>
      <c r="E3342" t="s">
        <v>1204</v>
      </c>
      <c r="F3342">
        <v>5606</v>
      </c>
      <c r="G3342" t="s">
        <v>2674</v>
      </c>
      <c r="H3342" t="s">
        <v>2664</v>
      </c>
      <c r="I3342">
        <v>91056</v>
      </c>
      <c r="J3342">
        <v>97560</v>
      </c>
      <c r="K3342">
        <v>109816</v>
      </c>
      <c r="L3342">
        <v>112072</v>
      </c>
      <c r="M3342">
        <v>115529</v>
      </c>
      <c r="N3342" t="s">
        <v>988</v>
      </c>
    </row>
    <row r="3343" spans="1:14" hidden="1" x14ac:dyDescent="0.3">
      <c r="A3343">
        <v>2132</v>
      </c>
      <c r="B3343" t="s">
        <v>772</v>
      </c>
      <c r="C3343" t="s">
        <v>2670</v>
      </c>
      <c r="D3343" t="s">
        <v>1203</v>
      </c>
      <c r="E3343" t="s">
        <v>1204</v>
      </c>
      <c r="F3343">
        <v>5606</v>
      </c>
      <c r="G3343" t="s">
        <v>2674</v>
      </c>
      <c r="H3343" t="s">
        <v>2665</v>
      </c>
      <c r="I3343">
        <v>54972</v>
      </c>
      <c r="J3343">
        <v>64771</v>
      </c>
      <c r="K3343">
        <v>73764</v>
      </c>
      <c r="L3343">
        <v>81315</v>
      </c>
      <c r="M3343">
        <v>89032</v>
      </c>
      <c r="N3343" t="s">
        <v>988</v>
      </c>
    </row>
    <row r="3344" spans="1:14" hidden="1" x14ac:dyDescent="0.3">
      <c r="A3344">
        <v>2132</v>
      </c>
      <c r="B3344" t="s">
        <v>772</v>
      </c>
      <c r="C3344" t="s">
        <v>2670</v>
      </c>
      <c r="D3344" t="s">
        <v>1203</v>
      </c>
      <c r="E3344" t="s">
        <v>1204</v>
      </c>
      <c r="F3344">
        <v>5606</v>
      </c>
      <c r="G3344" t="s">
        <v>2673</v>
      </c>
      <c r="H3344" t="s">
        <v>2664</v>
      </c>
      <c r="I3344">
        <v>98911</v>
      </c>
      <c r="J3344">
        <v>105415</v>
      </c>
      <c r="K3344">
        <v>117671</v>
      </c>
      <c r="L3344">
        <v>119927</v>
      </c>
      <c r="M3344">
        <v>123384</v>
      </c>
      <c r="N3344" t="s">
        <v>988</v>
      </c>
    </row>
    <row r="3345" spans="1:14" hidden="1" x14ac:dyDescent="0.3">
      <c r="A3345">
        <v>2132</v>
      </c>
      <c r="B3345" t="s">
        <v>772</v>
      </c>
      <c r="C3345" t="s">
        <v>2670</v>
      </c>
      <c r="D3345" t="s">
        <v>1203</v>
      </c>
      <c r="E3345" t="s">
        <v>1204</v>
      </c>
      <c r="F3345">
        <v>5606</v>
      </c>
      <c r="G3345" t="s">
        <v>2673</v>
      </c>
      <c r="H3345" t="s">
        <v>2665</v>
      </c>
      <c r="I3345">
        <v>54972</v>
      </c>
      <c r="J3345">
        <v>64771</v>
      </c>
      <c r="K3345">
        <v>73764</v>
      </c>
      <c r="L3345">
        <v>81315</v>
      </c>
      <c r="M3345">
        <v>89032</v>
      </c>
      <c r="N3345" t="s">
        <v>988</v>
      </c>
    </row>
    <row r="3346" spans="1:14" hidden="1" x14ac:dyDescent="0.3">
      <c r="A3346">
        <v>2132</v>
      </c>
      <c r="B3346" t="s">
        <v>772</v>
      </c>
      <c r="C3346" t="s">
        <v>2670</v>
      </c>
      <c r="D3346" t="s">
        <v>1203</v>
      </c>
      <c r="E3346" t="s">
        <v>1204</v>
      </c>
      <c r="F3346">
        <v>5606</v>
      </c>
      <c r="G3346" t="s">
        <v>2671</v>
      </c>
      <c r="H3346" t="s">
        <v>2664</v>
      </c>
      <c r="I3346">
        <v>111288</v>
      </c>
      <c r="J3346">
        <v>118270</v>
      </c>
      <c r="K3346">
        <v>131776</v>
      </c>
      <c r="L3346">
        <v>135282</v>
      </c>
      <c r="M3346">
        <v>141239</v>
      </c>
      <c r="N3346" t="s">
        <v>988</v>
      </c>
    </row>
    <row r="3347" spans="1:14" hidden="1" x14ac:dyDescent="0.3">
      <c r="A3347">
        <v>2132</v>
      </c>
      <c r="B3347" t="s">
        <v>772</v>
      </c>
      <c r="C3347" t="s">
        <v>2670</v>
      </c>
      <c r="D3347" t="s">
        <v>1203</v>
      </c>
      <c r="E3347" t="s">
        <v>1204</v>
      </c>
      <c r="F3347">
        <v>5606</v>
      </c>
      <c r="G3347" t="s">
        <v>2671</v>
      </c>
      <c r="H3347" t="s">
        <v>2665</v>
      </c>
      <c r="I3347">
        <v>54972</v>
      </c>
      <c r="J3347">
        <v>64771</v>
      </c>
      <c r="K3347">
        <v>73764</v>
      </c>
      <c r="L3347">
        <v>81315</v>
      </c>
      <c r="M3347">
        <v>89032</v>
      </c>
      <c r="N3347" t="s">
        <v>988</v>
      </c>
    </row>
    <row r="3348" spans="1:14" hidden="1" x14ac:dyDescent="0.3">
      <c r="A3348">
        <v>2132</v>
      </c>
      <c r="B3348" t="s">
        <v>772</v>
      </c>
      <c r="C3348" t="s">
        <v>2670</v>
      </c>
      <c r="D3348" t="s">
        <v>1203</v>
      </c>
      <c r="E3348" t="s">
        <v>1204</v>
      </c>
      <c r="F3348">
        <v>5606</v>
      </c>
      <c r="G3348" t="s">
        <v>2672</v>
      </c>
      <c r="H3348" t="s">
        <v>2665</v>
      </c>
      <c r="N3348" t="s">
        <v>988</v>
      </c>
    </row>
    <row r="3349" spans="1:14" hidden="1" x14ac:dyDescent="0.3">
      <c r="A3349">
        <v>2132</v>
      </c>
      <c r="B3349" t="s">
        <v>772</v>
      </c>
      <c r="C3349" t="s">
        <v>2670</v>
      </c>
      <c r="D3349" t="s">
        <v>1203</v>
      </c>
      <c r="E3349" t="s">
        <v>1204</v>
      </c>
      <c r="F3349">
        <v>5606</v>
      </c>
      <c r="G3349" t="s">
        <v>2672</v>
      </c>
      <c r="H3349" t="s">
        <v>2664</v>
      </c>
      <c r="N3349" t="s">
        <v>988</v>
      </c>
    </row>
    <row r="3350" spans="1:14" hidden="1" x14ac:dyDescent="0.3">
      <c r="A3350">
        <v>2140</v>
      </c>
      <c r="B3350" t="s">
        <v>1885</v>
      </c>
      <c r="C3350" t="s">
        <v>2670</v>
      </c>
      <c r="D3350" t="s">
        <v>159</v>
      </c>
      <c r="E3350" t="s">
        <v>159</v>
      </c>
      <c r="F3350">
        <v>7526</v>
      </c>
      <c r="G3350" t="s">
        <v>2676</v>
      </c>
      <c r="H3350" t="s">
        <v>2665</v>
      </c>
      <c r="I3350">
        <v>38184</v>
      </c>
      <c r="J3350">
        <v>38617</v>
      </c>
      <c r="K3350">
        <v>38611</v>
      </c>
      <c r="L3350">
        <v>38574</v>
      </c>
      <c r="M3350">
        <v>38536</v>
      </c>
      <c r="N3350" t="s">
        <v>988</v>
      </c>
    </row>
    <row r="3351" spans="1:14" hidden="1" x14ac:dyDescent="0.3">
      <c r="A3351">
        <v>2140</v>
      </c>
      <c r="B3351" t="s">
        <v>1885</v>
      </c>
      <c r="C3351" t="s">
        <v>2670</v>
      </c>
      <c r="D3351" t="s">
        <v>159</v>
      </c>
      <c r="E3351" t="s">
        <v>159</v>
      </c>
      <c r="F3351">
        <v>7526</v>
      </c>
      <c r="G3351" t="s">
        <v>2675</v>
      </c>
      <c r="H3351" t="s">
        <v>2664</v>
      </c>
      <c r="I3351">
        <v>48000</v>
      </c>
      <c r="J3351">
        <v>48000</v>
      </c>
      <c r="K3351">
        <v>48000</v>
      </c>
      <c r="L3351">
        <v>48000</v>
      </c>
      <c r="M3351">
        <v>48000</v>
      </c>
      <c r="N3351" t="s">
        <v>988</v>
      </c>
    </row>
    <row r="3352" spans="1:14" hidden="1" x14ac:dyDescent="0.3">
      <c r="A3352">
        <v>2140</v>
      </c>
      <c r="B3352" t="s">
        <v>1885</v>
      </c>
      <c r="C3352" t="s">
        <v>2670</v>
      </c>
      <c r="D3352" t="s">
        <v>159</v>
      </c>
      <c r="E3352" t="s">
        <v>159</v>
      </c>
      <c r="F3352">
        <v>7526</v>
      </c>
      <c r="G3352" t="s">
        <v>2675</v>
      </c>
      <c r="H3352" t="s">
        <v>2665</v>
      </c>
      <c r="I3352">
        <v>38184</v>
      </c>
      <c r="J3352">
        <v>38617</v>
      </c>
      <c r="K3352">
        <v>38611</v>
      </c>
      <c r="L3352">
        <v>38574</v>
      </c>
      <c r="M3352">
        <v>38536</v>
      </c>
      <c r="N3352" t="s">
        <v>988</v>
      </c>
    </row>
    <row r="3353" spans="1:14" hidden="1" x14ac:dyDescent="0.3">
      <c r="A3353">
        <v>2140</v>
      </c>
      <c r="B3353" t="s">
        <v>1885</v>
      </c>
      <c r="C3353" t="s">
        <v>2670</v>
      </c>
      <c r="D3353" t="s">
        <v>159</v>
      </c>
      <c r="E3353" t="s">
        <v>159</v>
      </c>
      <c r="F3353">
        <v>7526</v>
      </c>
      <c r="G3353" t="s">
        <v>2674</v>
      </c>
      <c r="H3353" t="s">
        <v>2664</v>
      </c>
      <c r="I3353">
        <v>48000</v>
      </c>
      <c r="J3353">
        <v>48000</v>
      </c>
      <c r="K3353">
        <v>48000</v>
      </c>
      <c r="L3353">
        <v>48000</v>
      </c>
      <c r="M3353">
        <v>48000</v>
      </c>
      <c r="N3353" t="s">
        <v>988</v>
      </c>
    </row>
    <row r="3354" spans="1:14" hidden="1" x14ac:dyDescent="0.3">
      <c r="A3354">
        <v>2140</v>
      </c>
      <c r="B3354" t="s">
        <v>1885</v>
      </c>
      <c r="C3354" t="s">
        <v>2670</v>
      </c>
      <c r="D3354" t="s">
        <v>159</v>
      </c>
      <c r="E3354" t="s">
        <v>159</v>
      </c>
      <c r="F3354">
        <v>7526</v>
      </c>
      <c r="G3354" t="s">
        <v>2674</v>
      </c>
      <c r="H3354" t="s">
        <v>2665</v>
      </c>
      <c r="I3354">
        <v>38184</v>
      </c>
      <c r="J3354">
        <v>38617</v>
      </c>
      <c r="K3354">
        <v>38611</v>
      </c>
      <c r="L3354">
        <v>38574</v>
      </c>
      <c r="M3354">
        <v>38536</v>
      </c>
      <c r="N3354" t="s">
        <v>988</v>
      </c>
    </row>
    <row r="3355" spans="1:14" hidden="1" x14ac:dyDescent="0.3">
      <c r="A3355">
        <v>2140</v>
      </c>
      <c r="B3355" t="s">
        <v>1885</v>
      </c>
      <c r="C3355" t="s">
        <v>2670</v>
      </c>
      <c r="D3355" t="s">
        <v>159</v>
      </c>
      <c r="E3355" t="s">
        <v>159</v>
      </c>
      <c r="F3355">
        <v>7526</v>
      </c>
      <c r="G3355" t="s">
        <v>2676</v>
      </c>
      <c r="H3355" t="s">
        <v>2664</v>
      </c>
      <c r="I3355">
        <v>48000</v>
      </c>
      <c r="J3355">
        <v>48000</v>
      </c>
      <c r="K3355">
        <v>48000</v>
      </c>
      <c r="L3355">
        <v>48000</v>
      </c>
      <c r="M3355">
        <v>48000</v>
      </c>
      <c r="N3355" t="s">
        <v>988</v>
      </c>
    </row>
    <row r="3356" spans="1:14" hidden="1" x14ac:dyDescent="0.3">
      <c r="A3356">
        <v>2140</v>
      </c>
      <c r="B3356" t="s">
        <v>1885</v>
      </c>
      <c r="C3356" t="s">
        <v>2670</v>
      </c>
      <c r="D3356" t="s">
        <v>159</v>
      </c>
      <c r="E3356" t="s">
        <v>159</v>
      </c>
      <c r="F3356">
        <v>7526</v>
      </c>
      <c r="G3356" t="s">
        <v>2673</v>
      </c>
      <c r="H3356" t="s">
        <v>2665</v>
      </c>
      <c r="I3356">
        <v>38184</v>
      </c>
      <c r="J3356">
        <v>38617</v>
      </c>
      <c r="K3356">
        <v>38611</v>
      </c>
      <c r="L3356">
        <v>38574</v>
      </c>
      <c r="M3356">
        <v>38536</v>
      </c>
      <c r="N3356" t="s">
        <v>988</v>
      </c>
    </row>
    <row r="3357" spans="1:14" hidden="1" x14ac:dyDescent="0.3">
      <c r="A3357">
        <v>2140</v>
      </c>
      <c r="B3357" t="s">
        <v>1885</v>
      </c>
      <c r="C3357" t="s">
        <v>2670</v>
      </c>
      <c r="D3357" t="s">
        <v>159</v>
      </c>
      <c r="E3357" t="s">
        <v>159</v>
      </c>
      <c r="F3357">
        <v>7526</v>
      </c>
      <c r="G3357" t="s">
        <v>2671</v>
      </c>
      <c r="H3357" t="s">
        <v>2664</v>
      </c>
      <c r="I3357">
        <v>48000</v>
      </c>
      <c r="J3357">
        <v>48000</v>
      </c>
      <c r="K3357">
        <v>48000</v>
      </c>
      <c r="L3357">
        <v>48000</v>
      </c>
      <c r="M3357">
        <v>48000</v>
      </c>
      <c r="N3357" t="s">
        <v>988</v>
      </c>
    </row>
    <row r="3358" spans="1:14" hidden="1" x14ac:dyDescent="0.3">
      <c r="A3358">
        <v>2140</v>
      </c>
      <c r="B3358" t="s">
        <v>1885</v>
      </c>
      <c r="C3358" t="s">
        <v>2670</v>
      </c>
      <c r="D3358" t="s">
        <v>159</v>
      </c>
      <c r="E3358" t="s">
        <v>159</v>
      </c>
      <c r="F3358">
        <v>7526</v>
      </c>
      <c r="G3358" t="s">
        <v>2671</v>
      </c>
      <c r="H3358" t="s">
        <v>2665</v>
      </c>
      <c r="I3358">
        <v>38184</v>
      </c>
      <c r="J3358">
        <v>38617</v>
      </c>
      <c r="K3358">
        <v>38611</v>
      </c>
      <c r="L3358">
        <v>38574</v>
      </c>
      <c r="M3358">
        <v>38536</v>
      </c>
      <c r="N3358" t="s">
        <v>988</v>
      </c>
    </row>
    <row r="3359" spans="1:14" hidden="1" x14ac:dyDescent="0.3">
      <c r="A3359">
        <v>2140</v>
      </c>
      <c r="B3359" t="s">
        <v>1885</v>
      </c>
      <c r="C3359" t="s">
        <v>2670</v>
      </c>
      <c r="D3359" t="s">
        <v>159</v>
      </c>
      <c r="E3359" t="s">
        <v>159</v>
      </c>
      <c r="F3359">
        <v>7526</v>
      </c>
      <c r="G3359" t="s">
        <v>2672</v>
      </c>
      <c r="H3359" t="s">
        <v>2664</v>
      </c>
      <c r="N3359" t="s">
        <v>988</v>
      </c>
    </row>
    <row r="3360" spans="1:14" hidden="1" x14ac:dyDescent="0.3">
      <c r="A3360">
        <v>2140</v>
      </c>
      <c r="B3360" t="s">
        <v>1885</v>
      </c>
      <c r="C3360" t="s">
        <v>2670</v>
      </c>
      <c r="D3360" t="s">
        <v>159</v>
      </c>
      <c r="E3360" t="s">
        <v>159</v>
      </c>
      <c r="F3360">
        <v>7526</v>
      </c>
      <c r="G3360" t="s">
        <v>2672</v>
      </c>
      <c r="H3360" t="s">
        <v>2665</v>
      </c>
      <c r="N3360" t="s">
        <v>988</v>
      </c>
    </row>
    <row r="3361" spans="1:14" hidden="1" x14ac:dyDescent="0.3">
      <c r="A3361">
        <v>2140</v>
      </c>
      <c r="B3361" t="s">
        <v>1885</v>
      </c>
      <c r="C3361" t="s">
        <v>2670</v>
      </c>
      <c r="D3361" t="s">
        <v>159</v>
      </c>
      <c r="E3361" t="s">
        <v>159</v>
      </c>
      <c r="F3361">
        <v>7526</v>
      </c>
      <c r="G3361" t="s">
        <v>2673</v>
      </c>
      <c r="H3361" t="s">
        <v>2664</v>
      </c>
      <c r="I3361">
        <v>48000</v>
      </c>
      <c r="J3361">
        <v>48000</v>
      </c>
      <c r="K3361">
        <v>48000</v>
      </c>
      <c r="L3361">
        <v>48000</v>
      </c>
      <c r="M3361">
        <v>48000</v>
      </c>
      <c r="N3361" t="s">
        <v>988</v>
      </c>
    </row>
    <row r="3362" spans="1:14" hidden="1" x14ac:dyDescent="0.3">
      <c r="A3362">
        <v>2150</v>
      </c>
      <c r="B3362" t="s">
        <v>1889</v>
      </c>
      <c r="C3362" t="s">
        <v>2670</v>
      </c>
      <c r="D3362" t="s">
        <v>1203</v>
      </c>
      <c r="E3362" t="s">
        <v>1204</v>
      </c>
      <c r="F3362">
        <v>5758</v>
      </c>
      <c r="G3362" t="s">
        <v>2676</v>
      </c>
      <c r="H3362" t="s">
        <v>2665</v>
      </c>
      <c r="I3362">
        <v>46473</v>
      </c>
      <c r="J3362">
        <v>47803</v>
      </c>
      <c r="K3362">
        <v>49134</v>
      </c>
      <c r="L3362">
        <v>50203</v>
      </c>
      <c r="M3362">
        <v>51272</v>
      </c>
      <c r="N3362" t="s">
        <v>988</v>
      </c>
    </row>
    <row r="3363" spans="1:14" hidden="1" x14ac:dyDescent="0.3">
      <c r="A3363">
        <v>2150</v>
      </c>
      <c r="B3363" t="s">
        <v>1889</v>
      </c>
      <c r="C3363" t="s">
        <v>2670</v>
      </c>
      <c r="D3363" t="s">
        <v>1203</v>
      </c>
      <c r="E3363" t="s">
        <v>1204</v>
      </c>
      <c r="F3363">
        <v>5758</v>
      </c>
      <c r="G3363" t="s">
        <v>2675</v>
      </c>
      <c r="H3363" t="s">
        <v>2664</v>
      </c>
      <c r="I3363">
        <v>53444</v>
      </c>
      <c r="J3363">
        <v>54974</v>
      </c>
      <c r="K3363">
        <v>56504</v>
      </c>
      <c r="L3363">
        <v>57734</v>
      </c>
      <c r="M3363">
        <v>58963</v>
      </c>
      <c r="N3363" t="s">
        <v>988</v>
      </c>
    </row>
    <row r="3364" spans="1:14" hidden="1" x14ac:dyDescent="0.3">
      <c r="A3364">
        <v>2150</v>
      </c>
      <c r="B3364" t="s">
        <v>1889</v>
      </c>
      <c r="C3364" t="s">
        <v>2670</v>
      </c>
      <c r="D3364" t="s">
        <v>1203</v>
      </c>
      <c r="E3364" t="s">
        <v>1204</v>
      </c>
      <c r="F3364">
        <v>5758</v>
      </c>
      <c r="G3364" t="s">
        <v>2675</v>
      </c>
      <c r="H3364" t="s">
        <v>2665</v>
      </c>
      <c r="I3364">
        <v>46473</v>
      </c>
      <c r="J3364">
        <v>47803</v>
      </c>
      <c r="K3364">
        <v>49134</v>
      </c>
      <c r="L3364">
        <v>50203</v>
      </c>
      <c r="M3364">
        <v>51272</v>
      </c>
      <c r="N3364" t="s">
        <v>988</v>
      </c>
    </row>
    <row r="3365" spans="1:14" hidden="1" x14ac:dyDescent="0.3">
      <c r="A3365">
        <v>2150</v>
      </c>
      <c r="B3365" t="s">
        <v>1889</v>
      </c>
      <c r="C3365" t="s">
        <v>2670</v>
      </c>
      <c r="D3365" t="s">
        <v>1203</v>
      </c>
      <c r="E3365" t="s">
        <v>1204</v>
      </c>
      <c r="F3365">
        <v>5758</v>
      </c>
      <c r="G3365" t="s">
        <v>2674</v>
      </c>
      <c r="H3365" t="s">
        <v>2664</v>
      </c>
      <c r="I3365">
        <v>53444</v>
      </c>
      <c r="J3365">
        <v>54974</v>
      </c>
      <c r="K3365">
        <v>56504</v>
      </c>
      <c r="L3365">
        <v>57734</v>
      </c>
      <c r="M3365">
        <v>58963</v>
      </c>
      <c r="N3365" t="s">
        <v>988</v>
      </c>
    </row>
    <row r="3366" spans="1:14" hidden="1" x14ac:dyDescent="0.3">
      <c r="A3366">
        <v>2150</v>
      </c>
      <c r="B3366" t="s">
        <v>1889</v>
      </c>
      <c r="C3366" t="s">
        <v>2670</v>
      </c>
      <c r="D3366" t="s">
        <v>1203</v>
      </c>
      <c r="E3366" t="s">
        <v>1204</v>
      </c>
      <c r="F3366">
        <v>5758</v>
      </c>
      <c r="G3366" t="s">
        <v>2674</v>
      </c>
      <c r="H3366" t="s">
        <v>2665</v>
      </c>
      <c r="I3366">
        <v>46473</v>
      </c>
      <c r="J3366">
        <v>47803</v>
      </c>
      <c r="K3366">
        <v>49134</v>
      </c>
      <c r="L3366">
        <v>50203</v>
      </c>
      <c r="M3366">
        <v>51272</v>
      </c>
      <c r="N3366" t="s">
        <v>988</v>
      </c>
    </row>
    <row r="3367" spans="1:14" hidden="1" x14ac:dyDescent="0.3">
      <c r="A3367">
        <v>2150</v>
      </c>
      <c r="B3367" t="s">
        <v>1889</v>
      </c>
      <c r="C3367" t="s">
        <v>2670</v>
      </c>
      <c r="D3367" t="s">
        <v>1203</v>
      </c>
      <c r="E3367" t="s">
        <v>1204</v>
      </c>
      <c r="F3367">
        <v>5758</v>
      </c>
      <c r="G3367" t="s">
        <v>2672</v>
      </c>
      <c r="H3367" t="s">
        <v>2665</v>
      </c>
      <c r="I3367">
        <v>46473</v>
      </c>
      <c r="J3367">
        <v>47803</v>
      </c>
      <c r="K3367">
        <v>49134</v>
      </c>
      <c r="L3367">
        <v>50203</v>
      </c>
      <c r="M3367">
        <v>51272</v>
      </c>
      <c r="N3367" t="s">
        <v>988</v>
      </c>
    </row>
    <row r="3368" spans="1:14" hidden="1" x14ac:dyDescent="0.3">
      <c r="A3368">
        <v>2150</v>
      </c>
      <c r="B3368" t="s">
        <v>1889</v>
      </c>
      <c r="C3368" t="s">
        <v>2670</v>
      </c>
      <c r="D3368" t="s">
        <v>1203</v>
      </c>
      <c r="E3368" t="s">
        <v>1204</v>
      </c>
      <c r="F3368">
        <v>5758</v>
      </c>
      <c r="G3368" t="s">
        <v>2673</v>
      </c>
      <c r="H3368" t="s">
        <v>2665</v>
      </c>
      <c r="I3368">
        <v>46473</v>
      </c>
      <c r="J3368">
        <v>47803</v>
      </c>
      <c r="K3368">
        <v>49134</v>
      </c>
      <c r="L3368">
        <v>50203</v>
      </c>
      <c r="M3368">
        <v>51272</v>
      </c>
      <c r="N3368" t="s">
        <v>988</v>
      </c>
    </row>
    <row r="3369" spans="1:14" hidden="1" x14ac:dyDescent="0.3">
      <c r="A3369">
        <v>2150</v>
      </c>
      <c r="B3369" t="s">
        <v>1889</v>
      </c>
      <c r="C3369" t="s">
        <v>2670</v>
      </c>
      <c r="D3369" t="s">
        <v>1203</v>
      </c>
      <c r="E3369" t="s">
        <v>1204</v>
      </c>
      <c r="F3369">
        <v>5758</v>
      </c>
      <c r="G3369" t="s">
        <v>2671</v>
      </c>
      <c r="H3369" t="s">
        <v>2664</v>
      </c>
      <c r="I3369">
        <v>53444</v>
      </c>
      <c r="J3369">
        <v>54974</v>
      </c>
      <c r="K3369">
        <v>56504</v>
      </c>
      <c r="L3369">
        <v>57734</v>
      </c>
      <c r="M3369">
        <v>58963</v>
      </c>
      <c r="N3369" t="s">
        <v>988</v>
      </c>
    </row>
    <row r="3370" spans="1:14" hidden="1" x14ac:dyDescent="0.3">
      <c r="A3370">
        <v>2150</v>
      </c>
      <c r="B3370" t="s">
        <v>1889</v>
      </c>
      <c r="C3370" t="s">
        <v>2670</v>
      </c>
      <c r="D3370" t="s">
        <v>1203</v>
      </c>
      <c r="E3370" t="s">
        <v>1204</v>
      </c>
      <c r="F3370">
        <v>5758</v>
      </c>
      <c r="G3370" t="s">
        <v>2676</v>
      </c>
      <c r="H3370" t="s">
        <v>2664</v>
      </c>
      <c r="I3370">
        <v>53444</v>
      </c>
      <c r="J3370">
        <v>54974</v>
      </c>
      <c r="K3370">
        <v>56504</v>
      </c>
      <c r="L3370">
        <v>57734</v>
      </c>
      <c r="M3370">
        <v>58963</v>
      </c>
      <c r="N3370" t="s">
        <v>988</v>
      </c>
    </row>
    <row r="3371" spans="1:14" hidden="1" x14ac:dyDescent="0.3">
      <c r="A3371">
        <v>2150</v>
      </c>
      <c r="B3371" t="s">
        <v>1889</v>
      </c>
      <c r="C3371" t="s">
        <v>2670</v>
      </c>
      <c r="D3371" t="s">
        <v>1203</v>
      </c>
      <c r="E3371" t="s">
        <v>1204</v>
      </c>
      <c r="F3371">
        <v>5758</v>
      </c>
      <c r="G3371" t="s">
        <v>2671</v>
      </c>
      <c r="H3371" t="s">
        <v>2665</v>
      </c>
      <c r="I3371">
        <v>46473</v>
      </c>
      <c r="J3371">
        <v>47803</v>
      </c>
      <c r="K3371">
        <v>49134</v>
      </c>
      <c r="L3371">
        <v>50203</v>
      </c>
      <c r="M3371">
        <v>51272</v>
      </c>
      <c r="N3371" t="s">
        <v>988</v>
      </c>
    </row>
    <row r="3372" spans="1:14" hidden="1" x14ac:dyDescent="0.3">
      <c r="A3372">
        <v>2150</v>
      </c>
      <c r="B3372" t="s">
        <v>1889</v>
      </c>
      <c r="C3372" t="s">
        <v>2670</v>
      </c>
      <c r="D3372" t="s">
        <v>1203</v>
      </c>
      <c r="E3372" t="s">
        <v>1204</v>
      </c>
      <c r="F3372">
        <v>5758</v>
      </c>
      <c r="G3372" t="s">
        <v>2672</v>
      </c>
      <c r="H3372" t="s">
        <v>2664</v>
      </c>
      <c r="I3372">
        <v>53444</v>
      </c>
      <c r="J3372">
        <v>54974</v>
      </c>
      <c r="K3372">
        <v>56504</v>
      </c>
      <c r="L3372">
        <v>57734</v>
      </c>
      <c r="M3372">
        <v>58963</v>
      </c>
      <c r="N3372" t="s">
        <v>988</v>
      </c>
    </row>
    <row r="3373" spans="1:14" hidden="1" x14ac:dyDescent="0.3">
      <c r="A3373">
        <v>2150</v>
      </c>
      <c r="B3373" t="s">
        <v>1889</v>
      </c>
      <c r="C3373" t="s">
        <v>2670</v>
      </c>
      <c r="D3373" t="s">
        <v>1203</v>
      </c>
      <c r="E3373" t="s">
        <v>1204</v>
      </c>
      <c r="F3373">
        <v>5758</v>
      </c>
      <c r="G3373" t="s">
        <v>2673</v>
      </c>
      <c r="H3373" t="s">
        <v>2664</v>
      </c>
      <c r="I3373">
        <v>53444</v>
      </c>
      <c r="J3373">
        <v>54974</v>
      </c>
      <c r="K3373">
        <v>56504</v>
      </c>
      <c r="L3373">
        <v>57734</v>
      </c>
      <c r="M3373">
        <v>58963</v>
      </c>
      <c r="N3373" t="s">
        <v>988</v>
      </c>
    </row>
    <row r="3374" spans="1:14" hidden="1" x14ac:dyDescent="0.3">
      <c r="A3374">
        <v>2154</v>
      </c>
      <c r="B3374" t="s">
        <v>1894</v>
      </c>
      <c r="C3374" t="s">
        <v>2670</v>
      </c>
      <c r="D3374" t="s">
        <v>1203</v>
      </c>
      <c r="E3374" t="s">
        <v>1204</v>
      </c>
      <c r="F3374">
        <v>5791</v>
      </c>
      <c r="G3374" t="s">
        <v>2676</v>
      </c>
      <c r="H3374" t="s">
        <v>2665</v>
      </c>
      <c r="I3374">
        <v>2770</v>
      </c>
      <c r="J3374">
        <v>2810</v>
      </c>
      <c r="K3374">
        <v>2840</v>
      </c>
      <c r="L3374">
        <v>2850</v>
      </c>
      <c r="M3374">
        <v>2900</v>
      </c>
      <c r="N3374" t="s">
        <v>988</v>
      </c>
    </row>
    <row r="3375" spans="1:14" hidden="1" x14ac:dyDescent="0.3">
      <c r="A3375">
        <v>2154</v>
      </c>
      <c r="B3375" t="s">
        <v>1894</v>
      </c>
      <c r="C3375" t="s">
        <v>2670</v>
      </c>
      <c r="D3375" t="s">
        <v>1203</v>
      </c>
      <c r="E3375" t="s">
        <v>1204</v>
      </c>
      <c r="F3375">
        <v>5791</v>
      </c>
      <c r="G3375" t="s">
        <v>2676</v>
      </c>
      <c r="H3375" t="s">
        <v>2664</v>
      </c>
      <c r="I3375">
        <v>2770</v>
      </c>
      <c r="J3375">
        <v>2810</v>
      </c>
      <c r="K3375">
        <v>2840</v>
      </c>
      <c r="L3375">
        <v>2850</v>
      </c>
      <c r="M3375">
        <v>2900</v>
      </c>
      <c r="N3375" t="s">
        <v>988</v>
      </c>
    </row>
    <row r="3376" spans="1:14" hidden="1" x14ac:dyDescent="0.3">
      <c r="A3376">
        <v>2154</v>
      </c>
      <c r="B3376" t="s">
        <v>1894</v>
      </c>
      <c r="C3376" t="s">
        <v>2670</v>
      </c>
      <c r="D3376" t="s">
        <v>1203</v>
      </c>
      <c r="E3376" t="s">
        <v>1204</v>
      </c>
      <c r="F3376">
        <v>5791</v>
      </c>
      <c r="G3376" t="s">
        <v>2675</v>
      </c>
      <c r="H3376" t="s">
        <v>2664</v>
      </c>
      <c r="I3376">
        <v>2770</v>
      </c>
      <c r="J3376">
        <v>2810</v>
      </c>
      <c r="K3376">
        <v>2840</v>
      </c>
      <c r="L3376">
        <v>2850</v>
      </c>
      <c r="M3376">
        <v>2900</v>
      </c>
      <c r="N3376" t="s">
        <v>988</v>
      </c>
    </row>
    <row r="3377" spans="1:14" hidden="1" x14ac:dyDescent="0.3">
      <c r="A3377">
        <v>2154</v>
      </c>
      <c r="B3377" t="s">
        <v>1894</v>
      </c>
      <c r="C3377" t="s">
        <v>2670</v>
      </c>
      <c r="D3377" t="s">
        <v>1203</v>
      </c>
      <c r="E3377" t="s">
        <v>1204</v>
      </c>
      <c r="F3377">
        <v>5791</v>
      </c>
      <c r="G3377" t="s">
        <v>2675</v>
      </c>
      <c r="H3377" t="s">
        <v>2665</v>
      </c>
      <c r="I3377">
        <v>2770</v>
      </c>
      <c r="J3377">
        <v>2810</v>
      </c>
      <c r="K3377">
        <v>2840</v>
      </c>
      <c r="L3377">
        <v>2850</v>
      </c>
      <c r="M3377">
        <v>2900</v>
      </c>
      <c r="N3377" t="s">
        <v>988</v>
      </c>
    </row>
    <row r="3378" spans="1:14" hidden="1" x14ac:dyDescent="0.3">
      <c r="A3378">
        <v>2154</v>
      </c>
      <c r="B3378" t="s">
        <v>1894</v>
      </c>
      <c r="C3378" t="s">
        <v>2670</v>
      </c>
      <c r="D3378" t="s">
        <v>1203</v>
      </c>
      <c r="E3378" t="s">
        <v>1204</v>
      </c>
      <c r="F3378">
        <v>5791</v>
      </c>
      <c r="G3378" t="s">
        <v>2674</v>
      </c>
      <c r="H3378" t="s">
        <v>2664</v>
      </c>
      <c r="I3378">
        <v>2770</v>
      </c>
      <c r="J3378">
        <v>2810</v>
      </c>
      <c r="K3378">
        <v>2840</v>
      </c>
      <c r="L3378">
        <v>2850</v>
      </c>
      <c r="M3378">
        <v>2900</v>
      </c>
      <c r="N3378" t="s">
        <v>988</v>
      </c>
    </row>
    <row r="3379" spans="1:14" hidden="1" x14ac:dyDescent="0.3">
      <c r="A3379">
        <v>2154</v>
      </c>
      <c r="B3379" t="s">
        <v>1894</v>
      </c>
      <c r="C3379" t="s">
        <v>2670</v>
      </c>
      <c r="D3379" t="s">
        <v>1203</v>
      </c>
      <c r="E3379" t="s">
        <v>1204</v>
      </c>
      <c r="F3379">
        <v>5791</v>
      </c>
      <c r="G3379" t="s">
        <v>2674</v>
      </c>
      <c r="H3379" t="s">
        <v>2665</v>
      </c>
      <c r="I3379">
        <v>2770</v>
      </c>
      <c r="J3379">
        <v>2810</v>
      </c>
      <c r="K3379">
        <v>2840</v>
      </c>
      <c r="L3379">
        <v>2850</v>
      </c>
      <c r="M3379">
        <v>2900</v>
      </c>
      <c r="N3379" t="s">
        <v>988</v>
      </c>
    </row>
    <row r="3380" spans="1:14" hidden="1" x14ac:dyDescent="0.3">
      <c r="A3380">
        <v>2154</v>
      </c>
      <c r="B3380" t="s">
        <v>1894</v>
      </c>
      <c r="C3380" t="s">
        <v>2670</v>
      </c>
      <c r="D3380" t="s">
        <v>1203</v>
      </c>
      <c r="E3380" t="s">
        <v>1204</v>
      </c>
      <c r="F3380">
        <v>5791</v>
      </c>
      <c r="G3380" t="s">
        <v>2673</v>
      </c>
      <c r="H3380" t="s">
        <v>2664</v>
      </c>
      <c r="I3380">
        <v>2770</v>
      </c>
      <c r="J3380">
        <v>2810</v>
      </c>
      <c r="K3380">
        <v>2840</v>
      </c>
      <c r="L3380">
        <v>2850</v>
      </c>
      <c r="M3380">
        <v>2900</v>
      </c>
      <c r="N3380" t="s">
        <v>988</v>
      </c>
    </row>
    <row r="3381" spans="1:14" hidden="1" x14ac:dyDescent="0.3">
      <c r="A3381">
        <v>2154</v>
      </c>
      <c r="B3381" t="s">
        <v>1894</v>
      </c>
      <c r="C3381" t="s">
        <v>2670</v>
      </c>
      <c r="D3381" t="s">
        <v>1203</v>
      </c>
      <c r="E3381" t="s">
        <v>1204</v>
      </c>
      <c r="F3381">
        <v>5791</v>
      </c>
      <c r="G3381" t="s">
        <v>2673</v>
      </c>
      <c r="H3381" t="s">
        <v>2665</v>
      </c>
      <c r="I3381">
        <v>2770</v>
      </c>
      <c r="J3381">
        <v>2810</v>
      </c>
      <c r="K3381">
        <v>2840</v>
      </c>
      <c r="L3381">
        <v>2850</v>
      </c>
      <c r="M3381">
        <v>2900</v>
      </c>
      <c r="N3381" t="s">
        <v>988</v>
      </c>
    </row>
    <row r="3382" spans="1:14" hidden="1" x14ac:dyDescent="0.3">
      <c r="A3382">
        <v>2154</v>
      </c>
      <c r="B3382" t="s">
        <v>1894</v>
      </c>
      <c r="C3382" t="s">
        <v>2670</v>
      </c>
      <c r="D3382" t="s">
        <v>1203</v>
      </c>
      <c r="E3382" t="s">
        <v>1204</v>
      </c>
      <c r="F3382">
        <v>5791</v>
      </c>
      <c r="G3382" t="s">
        <v>2671</v>
      </c>
      <c r="H3382" t="s">
        <v>2664</v>
      </c>
      <c r="I3382">
        <v>2770</v>
      </c>
      <c r="J3382">
        <v>2810</v>
      </c>
      <c r="K3382">
        <v>2840</v>
      </c>
      <c r="L3382">
        <v>2850</v>
      </c>
      <c r="M3382">
        <v>2900</v>
      </c>
      <c r="N3382" t="s">
        <v>988</v>
      </c>
    </row>
    <row r="3383" spans="1:14" hidden="1" x14ac:dyDescent="0.3">
      <c r="A3383">
        <v>2154</v>
      </c>
      <c r="B3383" t="s">
        <v>1894</v>
      </c>
      <c r="C3383" t="s">
        <v>2670</v>
      </c>
      <c r="D3383" t="s">
        <v>1203</v>
      </c>
      <c r="E3383" t="s">
        <v>1204</v>
      </c>
      <c r="F3383">
        <v>5791</v>
      </c>
      <c r="G3383" t="s">
        <v>2671</v>
      </c>
      <c r="H3383" t="s">
        <v>2665</v>
      </c>
      <c r="I3383">
        <v>2770</v>
      </c>
      <c r="J3383">
        <v>2810</v>
      </c>
      <c r="K3383">
        <v>2840</v>
      </c>
      <c r="L3383">
        <v>2850</v>
      </c>
      <c r="M3383">
        <v>2900</v>
      </c>
      <c r="N3383" t="s">
        <v>988</v>
      </c>
    </row>
    <row r="3384" spans="1:14" hidden="1" x14ac:dyDescent="0.3">
      <c r="A3384">
        <v>2154</v>
      </c>
      <c r="B3384" t="s">
        <v>1894</v>
      </c>
      <c r="C3384" t="s">
        <v>2670</v>
      </c>
      <c r="D3384" t="s">
        <v>1203</v>
      </c>
      <c r="E3384" t="s">
        <v>1204</v>
      </c>
      <c r="F3384">
        <v>5791</v>
      </c>
      <c r="G3384" t="s">
        <v>2672</v>
      </c>
      <c r="H3384" t="s">
        <v>2664</v>
      </c>
      <c r="N3384" t="s">
        <v>988</v>
      </c>
    </row>
    <row r="3385" spans="1:14" hidden="1" x14ac:dyDescent="0.3">
      <c r="A3385">
        <v>2154</v>
      </c>
      <c r="B3385" t="s">
        <v>1894</v>
      </c>
      <c r="C3385" t="s">
        <v>2670</v>
      </c>
      <c r="D3385" t="s">
        <v>1203</v>
      </c>
      <c r="E3385" t="s">
        <v>1204</v>
      </c>
      <c r="F3385">
        <v>5791</v>
      </c>
      <c r="G3385" t="s">
        <v>2672</v>
      </c>
      <c r="H3385" t="s">
        <v>2665</v>
      </c>
      <c r="N3385" t="s">
        <v>988</v>
      </c>
    </row>
    <row r="3386" spans="1:14" hidden="1" x14ac:dyDescent="0.3">
      <c r="A3386">
        <v>2891</v>
      </c>
      <c r="B3386" t="s">
        <v>1896</v>
      </c>
      <c r="C3386" t="s">
        <v>2670</v>
      </c>
      <c r="D3386" t="s">
        <v>1203</v>
      </c>
      <c r="E3386" t="s">
        <v>1204</v>
      </c>
      <c r="F3386">
        <v>5799</v>
      </c>
      <c r="G3386" t="s">
        <v>2674</v>
      </c>
      <c r="H3386" t="s">
        <v>2664</v>
      </c>
      <c r="I3386">
        <v>1630</v>
      </c>
      <c r="J3386">
        <v>1640</v>
      </c>
      <c r="K3386">
        <v>1650</v>
      </c>
      <c r="L3386">
        <v>1650</v>
      </c>
      <c r="M3386">
        <v>1680</v>
      </c>
      <c r="N3386" t="s">
        <v>988</v>
      </c>
    </row>
    <row r="3387" spans="1:14" hidden="1" x14ac:dyDescent="0.3">
      <c r="A3387">
        <v>2891</v>
      </c>
      <c r="B3387" t="s">
        <v>1896</v>
      </c>
      <c r="C3387" t="s">
        <v>2670</v>
      </c>
      <c r="D3387" t="s">
        <v>1203</v>
      </c>
      <c r="E3387" t="s">
        <v>1204</v>
      </c>
      <c r="F3387">
        <v>5799</v>
      </c>
      <c r="G3387" t="s">
        <v>2674</v>
      </c>
      <c r="H3387" t="s">
        <v>2665</v>
      </c>
      <c r="I3387">
        <v>1630</v>
      </c>
      <c r="J3387">
        <v>1640</v>
      </c>
      <c r="K3387">
        <v>1650</v>
      </c>
      <c r="L3387">
        <v>1650</v>
      </c>
      <c r="M3387">
        <v>1680</v>
      </c>
      <c r="N3387" t="s">
        <v>988</v>
      </c>
    </row>
    <row r="3388" spans="1:14" hidden="1" x14ac:dyDescent="0.3">
      <c r="A3388">
        <v>2891</v>
      </c>
      <c r="B3388" t="s">
        <v>1896</v>
      </c>
      <c r="C3388" t="s">
        <v>2670</v>
      </c>
      <c r="D3388" t="s">
        <v>1203</v>
      </c>
      <c r="E3388" t="s">
        <v>1204</v>
      </c>
      <c r="F3388">
        <v>5799</v>
      </c>
      <c r="G3388" t="s">
        <v>2673</v>
      </c>
      <c r="H3388" t="s">
        <v>2664</v>
      </c>
      <c r="I3388">
        <v>1630</v>
      </c>
      <c r="J3388">
        <v>1640</v>
      </c>
      <c r="K3388">
        <v>1650</v>
      </c>
      <c r="L3388">
        <v>1650</v>
      </c>
      <c r="M3388">
        <v>1680</v>
      </c>
      <c r="N3388" t="s">
        <v>988</v>
      </c>
    </row>
    <row r="3389" spans="1:14" hidden="1" x14ac:dyDescent="0.3">
      <c r="A3389">
        <v>2891</v>
      </c>
      <c r="B3389" t="s">
        <v>1896</v>
      </c>
      <c r="C3389" t="s">
        <v>2670</v>
      </c>
      <c r="D3389" t="s">
        <v>1203</v>
      </c>
      <c r="E3389" t="s">
        <v>1204</v>
      </c>
      <c r="F3389">
        <v>5799</v>
      </c>
      <c r="G3389" t="s">
        <v>2673</v>
      </c>
      <c r="H3389" t="s">
        <v>2665</v>
      </c>
      <c r="I3389">
        <v>1630</v>
      </c>
      <c r="J3389">
        <v>1640</v>
      </c>
      <c r="K3389">
        <v>1650</v>
      </c>
      <c r="L3389">
        <v>1650</v>
      </c>
      <c r="M3389">
        <v>1680</v>
      </c>
      <c r="N3389" t="s">
        <v>988</v>
      </c>
    </row>
    <row r="3390" spans="1:14" hidden="1" x14ac:dyDescent="0.3">
      <c r="A3390">
        <v>2891</v>
      </c>
      <c r="B3390" t="s">
        <v>1896</v>
      </c>
      <c r="C3390" t="s">
        <v>2670</v>
      </c>
      <c r="D3390" t="s">
        <v>1203</v>
      </c>
      <c r="E3390" t="s">
        <v>1204</v>
      </c>
      <c r="F3390">
        <v>5799</v>
      </c>
      <c r="G3390" t="s">
        <v>2671</v>
      </c>
      <c r="H3390" t="s">
        <v>2664</v>
      </c>
      <c r="I3390">
        <v>1630</v>
      </c>
      <c r="J3390">
        <v>1640</v>
      </c>
      <c r="K3390">
        <v>1650</v>
      </c>
      <c r="L3390">
        <v>1650</v>
      </c>
      <c r="M3390">
        <v>1680</v>
      </c>
      <c r="N3390" t="s">
        <v>988</v>
      </c>
    </row>
    <row r="3391" spans="1:14" hidden="1" x14ac:dyDescent="0.3">
      <c r="A3391">
        <v>2891</v>
      </c>
      <c r="B3391" t="s">
        <v>1896</v>
      </c>
      <c r="C3391" t="s">
        <v>2670</v>
      </c>
      <c r="D3391" t="s">
        <v>1203</v>
      </c>
      <c r="E3391" t="s">
        <v>1204</v>
      </c>
      <c r="F3391">
        <v>5799</v>
      </c>
      <c r="G3391" t="s">
        <v>2675</v>
      </c>
      <c r="H3391" t="s">
        <v>2665</v>
      </c>
      <c r="I3391">
        <v>1630</v>
      </c>
      <c r="J3391">
        <v>1640</v>
      </c>
      <c r="K3391">
        <v>1650</v>
      </c>
      <c r="L3391">
        <v>1650</v>
      </c>
      <c r="M3391">
        <v>1680</v>
      </c>
      <c r="N3391" t="s">
        <v>988</v>
      </c>
    </row>
    <row r="3392" spans="1:14" hidden="1" x14ac:dyDescent="0.3">
      <c r="A3392">
        <v>2891</v>
      </c>
      <c r="B3392" t="s">
        <v>1896</v>
      </c>
      <c r="C3392" t="s">
        <v>2670</v>
      </c>
      <c r="D3392" t="s">
        <v>1203</v>
      </c>
      <c r="E3392" t="s">
        <v>1204</v>
      </c>
      <c r="F3392">
        <v>5799</v>
      </c>
      <c r="G3392" t="s">
        <v>2672</v>
      </c>
      <c r="H3392" t="s">
        <v>2664</v>
      </c>
      <c r="N3392" t="s">
        <v>988</v>
      </c>
    </row>
    <row r="3393" spans="1:14" hidden="1" x14ac:dyDescent="0.3">
      <c r="A3393">
        <v>2891</v>
      </c>
      <c r="B3393" t="s">
        <v>1896</v>
      </c>
      <c r="C3393" t="s">
        <v>2670</v>
      </c>
      <c r="D3393" t="s">
        <v>1203</v>
      </c>
      <c r="E3393" t="s">
        <v>1204</v>
      </c>
      <c r="F3393">
        <v>5799</v>
      </c>
      <c r="G3393" t="s">
        <v>2672</v>
      </c>
      <c r="H3393" t="s">
        <v>2665</v>
      </c>
      <c r="N3393" t="s">
        <v>988</v>
      </c>
    </row>
    <row r="3394" spans="1:14" hidden="1" x14ac:dyDescent="0.3">
      <c r="A3394">
        <v>2891</v>
      </c>
      <c r="B3394" t="s">
        <v>1896</v>
      </c>
      <c r="C3394" t="s">
        <v>2670</v>
      </c>
      <c r="D3394" t="s">
        <v>1203</v>
      </c>
      <c r="E3394" t="s">
        <v>1204</v>
      </c>
      <c r="F3394">
        <v>5799</v>
      </c>
      <c r="G3394" t="s">
        <v>2676</v>
      </c>
      <c r="H3394" t="s">
        <v>2664</v>
      </c>
      <c r="I3394">
        <v>1630</v>
      </c>
      <c r="J3394">
        <v>1640</v>
      </c>
      <c r="K3394">
        <v>1650</v>
      </c>
      <c r="L3394">
        <v>1650</v>
      </c>
      <c r="M3394">
        <v>1680</v>
      </c>
      <c r="N3394" t="s">
        <v>988</v>
      </c>
    </row>
    <row r="3395" spans="1:14" hidden="1" x14ac:dyDescent="0.3">
      <c r="A3395">
        <v>2891</v>
      </c>
      <c r="B3395" t="s">
        <v>1896</v>
      </c>
      <c r="C3395" t="s">
        <v>2670</v>
      </c>
      <c r="D3395" t="s">
        <v>1203</v>
      </c>
      <c r="E3395" t="s">
        <v>1204</v>
      </c>
      <c r="F3395">
        <v>5799</v>
      </c>
      <c r="G3395" t="s">
        <v>2676</v>
      </c>
      <c r="H3395" t="s">
        <v>2665</v>
      </c>
      <c r="I3395">
        <v>1630</v>
      </c>
      <c r="J3395">
        <v>1640</v>
      </c>
      <c r="K3395">
        <v>1650</v>
      </c>
      <c r="L3395">
        <v>1650</v>
      </c>
      <c r="M3395">
        <v>1680</v>
      </c>
      <c r="N3395" t="s">
        <v>988</v>
      </c>
    </row>
    <row r="3396" spans="1:14" hidden="1" x14ac:dyDescent="0.3">
      <c r="A3396">
        <v>2891</v>
      </c>
      <c r="B3396" t="s">
        <v>1896</v>
      </c>
      <c r="C3396" t="s">
        <v>2670</v>
      </c>
      <c r="D3396" t="s">
        <v>1203</v>
      </c>
      <c r="E3396" t="s">
        <v>1204</v>
      </c>
      <c r="F3396">
        <v>5799</v>
      </c>
      <c r="G3396" t="s">
        <v>2675</v>
      </c>
      <c r="H3396" t="s">
        <v>2664</v>
      </c>
      <c r="I3396">
        <v>1630</v>
      </c>
      <c r="J3396">
        <v>1640</v>
      </c>
      <c r="K3396">
        <v>1650</v>
      </c>
      <c r="L3396">
        <v>1650</v>
      </c>
      <c r="M3396">
        <v>1680</v>
      </c>
      <c r="N3396" t="s">
        <v>988</v>
      </c>
    </row>
    <row r="3397" spans="1:14" hidden="1" x14ac:dyDescent="0.3">
      <c r="A3397">
        <v>2891</v>
      </c>
      <c r="B3397" t="s">
        <v>1896</v>
      </c>
      <c r="C3397" t="s">
        <v>2670</v>
      </c>
      <c r="D3397" t="s">
        <v>1203</v>
      </c>
      <c r="E3397" t="s">
        <v>1204</v>
      </c>
      <c r="F3397">
        <v>5799</v>
      </c>
      <c r="G3397" t="s">
        <v>2671</v>
      </c>
      <c r="H3397" t="s">
        <v>2665</v>
      </c>
      <c r="I3397">
        <v>1630</v>
      </c>
      <c r="J3397">
        <v>1640</v>
      </c>
      <c r="K3397">
        <v>1650</v>
      </c>
      <c r="L3397">
        <v>1650</v>
      </c>
      <c r="M3397">
        <v>1680</v>
      </c>
      <c r="N3397" t="s">
        <v>988</v>
      </c>
    </row>
    <row r="3398" spans="1:14" hidden="1" x14ac:dyDescent="0.3">
      <c r="A3398">
        <v>2157</v>
      </c>
      <c r="B3398" t="s">
        <v>1897</v>
      </c>
      <c r="C3398" t="s">
        <v>2670</v>
      </c>
      <c r="D3398" t="s">
        <v>1203</v>
      </c>
      <c r="E3398" t="s">
        <v>1204</v>
      </c>
      <c r="F3398">
        <v>6643</v>
      </c>
      <c r="G3398" t="s">
        <v>2672</v>
      </c>
      <c r="H3398" t="s">
        <v>2665</v>
      </c>
      <c r="N3398" t="s">
        <v>988</v>
      </c>
    </row>
    <row r="3399" spans="1:14" hidden="1" x14ac:dyDescent="0.3">
      <c r="A3399">
        <v>2157</v>
      </c>
      <c r="B3399" t="s">
        <v>1897</v>
      </c>
      <c r="C3399" t="s">
        <v>2670</v>
      </c>
      <c r="D3399" t="s">
        <v>1203</v>
      </c>
      <c r="E3399" t="s">
        <v>1204</v>
      </c>
      <c r="F3399">
        <v>6643</v>
      </c>
      <c r="G3399" t="s">
        <v>2675</v>
      </c>
      <c r="H3399" t="s">
        <v>2665</v>
      </c>
      <c r="I3399">
        <v>3958.5605657523402</v>
      </c>
      <c r="J3399">
        <v>4428.8039034801304</v>
      </c>
      <c r="K3399">
        <v>4899.0495368920101</v>
      </c>
      <c r="L3399">
        <v>5356.9191373720596</v>
      </c>
      <c r="M3399">
        <v>5356.9191373720596</v>
      </c>
      <c r="N3399" t="s">
        <v>988</v>
      </c>
    </row>
    <row r="3400" spans="1:14" hidden="1" x14ac:dyDescent="0.3">
      <c r="A3400">
        <v>2157</v>
      </c>
      <c r="B3400" t="s">
        <v>1897</v>
      </c>
      <c r="C3400" t="s">
        <v>2670</v>
      </c>
      <c r="D3400" t="s">
        <v>1203</v>
      </c>
      <c r="E3400" t="s">
        <v>1204</v>
      </c>
      <c r="F3400">
        <v>6643</v>
      </c>
      <c r="G3400" t="s">
        <v>2675</v>
      </c>
      <c r="H3400" t="s">
        <v>2664</v>
      </c>
      <c r="I3400">
        <v>4368.8590005092601</v>
      </c>
      <c r="J3400">
        <v>4357.6560621476701</v>
      </c>
      <c r="K3400">
        <v>4335.2524811085696</v>
      </c>
      <c r="L3400">
        <v>4335.2524811085696</v>
      </c>
      <c r="M3400">
        <v>4346.4554194701705</v>
      </c>
      <c r="N3400" t="s">
        <v>988</v>
      </c>
    </row>
    <row r="3401" spans="1:14" hidden="1" x14ac:dyDescent="0.3">
      <c r="A3401">
        <v>2157</v>
      </c>
      <c r="B3401" t="s">
        <v>1897</v>
      </c>
      <c r="C3401" t="s">
        <v>2670</v>
      </c>
      <c r="D3401" t="s">
        <v>1203</v>
      </c>
      <c r="E3401" t="s">
        <v>1204</v>
      </c>
      <c r="F3401">
        <v>6643</v>
      </c>
      <c r="G3401" t="s">
        <v>2676</v>
      </c>
      <c r="H3401" t="s">
        <v>2665</v>
      </c>
      <c r="I3401">
        <v>3958.5605657523402</v>
      </c>
      <c r="J3401">
        <v>4428.8039034801304</v>
      </c>
      <c r="K3401">
        <v>4899.0495368920101</v>
      </c>
      <c r="L3401">
        <v>5356.9191373720596</v>
      </c>
      <c r="M3401">
        <v>5356.9191373720596</v>
      </c>
      <c r="N3401" t="s">
        <v>988</v>
      </c>
    </row>
    <row r="3402" spans="1:14" hidden="1" x14ac:dyDescent="0.3">
      <c r="A3402">
        <v>2157</v>
      </c>
      <c r="B3402" t="s">
        <v>1897</v>
      </c>
      <c r="C3402" t="s">
        <v>2670</v>
      </c>
      <c r="D3402" t="s">
        <v>1203</v>
      </c>
      <c r="E3402" t="s">
        <v>1204</v>
      </c>
      <c r="F3402">
        <v>6643</v>
      </c>
      <c r="G3402" t="s">
        <v>2674</v>
      </c>
      <c r="H3402" t="s">
        <v>2665</v>
      </c>
      <c r="I3402">
        <v>3958.5605657523402</v>
      </c>
      <c r="J3402">
        <v>4428.8039034801304</v>
      </c>
      <c r="K3402">
        <v>4899.0495368920101</v>
      </c>
      <c r="L3402">
        <v>5356.9191373720596</v>
      </c>
      <c r="M3402">
        <v>5356.9191373720596</v>
      </c>
      <c r="N3402" t="s">
        <v>988</v>
      </c>
    </row>
    <row r="3403" spans="1:14" hidden="1" x14ac:dyDescent="0.3">
      <c r="A3403">
        <v>2157</v>
      </c>
      <c r="B3403" t="s">
        <v>1897</v>
      </c>
      <c r="C3403" t="s">
        <v>2670</v>
      </c>
      <c r="D3403" t="s">
        <v>1203</v>
      </c>
      <c r="E3403" t="s">
        <v>1204</v>
      </c>
      <c r="F3403">
        <v>6643</v>
      </c>
      <c r="G3403" t="s">
        <v>2673</v>
      </c>
      <c r="H3403" t="s">
        <v>2664</v>
      </c>
      <c r="I3403">
        <v>4368.8590005092601</v>
      </c>
      <c r="J3403">
        <v>4357.6560621476701</v>
      </c>
      <c r="K3403">
        <v>4335.2524811085696</v>
      </c>
      <c r="L3403">
        <v>4100.0068453037902</v>
      </c>
      <c r="M3403">
        <v>4043.9944491799301</v>
      </c>
      <c r="N3403" t="s">
        <v>988</v>
      </c>
    </row>
    <row r="3404" spans="1:14" hidden="1" x14ac:dyDescent="0.3">
      <c r="A3404">
        <v>2157</v>
      </c>
      <c r="B3404" t="s">
        <v>1897</v>
      </c>
      <c r="C3404" t="s">
        <v>2670</v>
      </c>
      <c r="D3404" t="s">
        <v>1203</v>
      </c>
      <c r="E3404" t="s">
        <v>1204</v>
      </c>
      <c r="F3404">
        <v>6643</v>
      </c>
      <c r="G3404" t="s">
        <v>2673</v>
      </c>
      <c r="H3404" t="s">
        <v>2665</v>
      </c>
      <c r="I3404">
        <v>3958.5605657523402</v>
      </c>
      <c r="J3404">
        <v>4428.8039034801304</v>
      </c>
      <c r="K3404">
        <v>4899.0495368920101</v>
      </c>
      <c r="L3404">
        <v>5356.9191373720596</v>
      </c>
      <c r="M3404">
        <v>5356.9191373720596</v>
      </c>
      <c r="N3404" t="s">
        <v>988</v>
      </c>
    </row>
    <row r="3405" spans="1:14" hidden="1" x14ac:dyDescent="0.3">
      <c r="A3405">
        <v>2157</v>
      </c>
      <c r="B3405" t="s">
        <v>1897</v>
      </c>
      <c r="C3405" t="s">
        <v>2670</v>
      </c>
      <c r="D3405" t="s">
        <v>1203</v>
      </c>
      <c r="E3405" t="s">
        <v>1204</v>
      </c>
      <c r="F3405">
        <v>6643</v>
      </c>
      <c r="G3405" t="s">
        <v>2671</v>
      </c>
      <c r="H3405" t="s">
        <v>2664</v>
      </c>
      <c r="I3405">
        <v>4368.8590005092601</v>
      </c>
      <c r="J3405">
        <v>4357.6560621476701</v>
      </c>
      <c r="K3405">
        <v>4178.4205267826601</v>
      </c>
      <c r="L3405">
        <v>4100.0068453037902</v>
      </c>
      <c r="M3405">
        <v>4043.9944491799301</v>
      </c>
      <c r="N3405" t="s">
        <v>988</v>
      </c>
    </row>
    <row r="3406" spans="1:14" hidden="1" x14ac:dyDescent="0.3">
      <c r="A3406">
        <v>2157</v>
      </c>
      <c r="B3406" t="s">
        <v>1897</v>
      </c>
      <c r="C3406" t="s">
        <v>2670</v>
      </c>
      <c r="D3406" t="s">
        <v>1203</v>
      </c>
      <c r="E3406" t="s">
        <v>1204</v>
      </c>
      <c r="F3406">
        <v>6643</v>
      </c>
      <c r="G3406" t="s">
        <v>2671</v>
      </c>
      <c r="H3406" t="s">
        <v>2665</v>
      </c>
      <c r="I3406">
        <v>3958.5605657523402</v>
      </c>
      <c r="J3406">
        <v>4428.8039034801304</v>
      </c>
      <c r="K3406">
        <v>4899.0495368920101</v>
      </c>
      <c r="L3406">
        <v>5356.9191373720596</v>
      </c>
      <c r="M3406">
        <v>5356.9191373720596</v>
      </c>
      <c r="N3406" t="s">
        <v>988</v>
      </c>
    </row>
    <row r="3407" spans="1:14" hidden="1" x14ac:dyDescent="0.3">
      <c r="A3407">
        <v>2157</v>
      </c>
      <c r="B3407" t="s">
        <v>1897</v>
      </c>
      <c r="C3407" t="s">
        <v>2670</v>
      </c>
      <c r="D3407" t="s">
        <v>1203</v>
      </c>
      <c r="E3407" t="s">
        <v>1204</v>
      </c>
      <c r="F3407">
        <v>6643</v>
      </c>
      <c r="G3407" t="s">
        <v>2672</v>
      </c>
      <c r="H3407" t="s">
        <v>2664</v>
      </c>
      <c r="N3407" t="s">
        <v>988</v>
      </c>
    </row>
    <row r="3408" spans="1:14" hidden="1" x14ac:dyDescent="0.3">
      <c r="A3408">
        <v>2157</v>
      </c>
      <c r="B3408" t="s">
        <v>1897</v>
      </c>
      <c r="C3408" t="s">
        <v>2670</v>
      </c>
      <c r="D3408" t="s">
        <v>1203</v>
      </c>
      <c r="E3408" t="s">
        <v>1204</v>
      </c>
      <c r="F3408">
        <v>6643</v>
      </c>
      <c r="G3408" t="s">
        <v>2674</v>
      </c>
      <c r="H3408" t="s">
        <v>2664</v>
      </c>
      <c r="I3408">
        <v>4368.8590005092601</v>
      </c>
      <c r="J3408">
        <v>4357.6560621476701</v>
      </c>
      <c r="K3408">
        <v>4335.2524811085696</v>
      </c>
      <c r="L3408">
        <v>4335.2524811085696</v>
      </c>
      <c r="M3408">
        <v>4346.4554194701705</v>
      </c>
      <c r="N3408" t="s">
        <v>988</v>
      </c>
    </row>
    <row r="3409" spans="1:14" hidden="1" x14ac:dyDescent="0.3">
      <c r="A3409">
        <v>2157</v>
      </c>
      <c r="B3409" t="s">
        <v>1897</v>
      </c>
      <c r="C3409" t="s">
        <v>2670</v>
      </c>
      <c r="D3409" t="s">
        <v>1203</v>
      </c>
      <c r="E3409" t="s">
        <v>1204</v>
      </c>
      <c r="F3409">
        <v>6643</v>
      </c>
      <c r="G3409" t="s">
        <v>2676</v>
      </c>
      <c r="H3409" t="s">
        <v>2664</v>
      </c>
      <c r="I3409">
        <v>4704.9241945160902</v>
      </c>
      <c r="J3409">
        <v>4682.5206134769996</v>
      </c>
      <c r="K3409">
        <v>4660.1170324379</v>
      </c>
      <c r="L3409">
        <v>4660.1170324379</v>
      </c>
      <c r="M3409">
        <v>4346.4554194701705</v>
      </c>
      <c r="N3409" t="s">
        <v>988</v>
      </c>
    </row>
    <row r="3410" spans="1:14" hidden="1" x14ac:dyDescent="0.3">
      <c r="A3410">
        <v>2158</v>
      </c>
      <c r="B3410" t="s">
        <v>1900</v>
      </c>
      <c r="C3410" t="s">
        <v>2670</v>
      </c>
      <c r="D3410" t="s">
        <v>1203</v>
      </c>
      <c r="E3410" t="s">
        <v>1204</v>
      </c>
      <c r="F3410">
        <v>5792</v>
      </c>
      <c r="G3410" t="s">
        <v>2672</v>
      </c>
      <c r="H3410" t="s">
        <v>2665</v>
      </c>
      <c r="N3410" t="s">
        <v>988</v>
      </c>
    </row>
    <row r="3411" spans="1:14" hidden="1" x14ac:dyDescent="0.3">
      <c r="A3411">
        <v>2158</v>
      </c>
      <c r="B3411" t="s">
        <v>1900</v>
      </c>
      <c r="C3411" t="s">
        <v>2670</v>
      </c>
      <c r="D3411" t="s">
        <v>1203</v>
      </c>
      <c r="E3411" t="s">
        <v>1204</v>
      </c>
      <c r="F3411">
        <v>5792</v>
      </c>
      <c r="G3411" t="s">
        <v>2672</v>
      </c>
      <c r="H3411" t="s">
        <v>2664</v>
      </c>
      <c r="N3411" t="s">
        <v>988</v>
      </c>
    </row>
    <row r="3412" spans="1:14" hidden="1" x14ac:dyDescent="0.3">
      <c r="A3412">
        <v>2158</v>
      </c>
      <c r="B3412" t="s">
        <v>1900</v>
      </c>
      <c r="C3412" t="s">
        <v>2670</v>
      </c>
      <c r="D3412" t="s">
        <v>1203</v>
      </c>
      <c r="E3412" t="s">
        <v>1204</v>
      </c>
      <c r="F3412">
        <v>5792</v>
      </c>
      <c r="G3412" t="s">
        <v>2671</v>
      </c>
      <c r="H3412" t="s">
        <v>2665</v>
      </c>
      <c r="I3412">
        <v>16226</v>
      </c>
      <c r="J3412">
        <v>16655</v>
      </c>
      <c r="K3412">
        <v>17092</v>
      </c>
      <c r="L3412">
        <v>17543</v>
      </c>
      <c r="M3412">
        <v>18006</v>
      </c>
      <c r="N3412" t="s">
        <v>988</v>
      </c>
    </row>
    <row r="3413" spans="1:14" hidden="1" x14ac:dyDescent="0.3">
      <c r="A3413">
        <v>2158</v>
      </c>
      <c r="B3413" t="s">
        <v>1900</v>
      </c>
      <c r="C3413" t="s">
        <v>2670</v>
      </c>
      <c r="D3413" t="s">
        <v>1203</v>
      </c>
      <c r="E3413" t="s">
        <v>1204</v>
      </c>
      <c r="F3413">
        <v>5792</v>
      </c>
      <c r="G3413" t="s">
        <v>2671</v>
      </c>
      <c r="H3413" t="s">
        <v>2664</v>
      </c>
      <c r="I3413">
        <v>18977</v>
      </c>
      <c r="J3413">
        <v>21273</v>
      </c>
      <c r="K3413">
        <v>21972</v>
      </c>
      <c r="L3413">
        <v>21475</v>
      </c>
      <c r="M3413">
        <v>21596</v>
      </c>
      <c r="N3413" t="s">
        <v>988</v>
      </c>
    </row>
    <row r="3414" spans="1:14" hidden="1" x14ac:dyDescent="0.3">
      <c r="A3414">
        <v>2158</v>
      </c>
      <c r="B3414" t="s">
        <v>1900</v>
      </c>
      <c r="C3414" t="s">
        <v>2670</v>
      </c>
      <c r="D3414" t="s">
        <v>1203</v>
      </c>
      <c r="E3414" t="s">
        <v>1204</v>
      </c>
      <c r="F3414">
        <v>5792</v>
      </c>
      <c r="G3414" t="s">
        <v>2673</v>
      </c>
      <c r="H3414" t="s">
        <v>2665</v>
      </c>
      <c r="I3414">
        <v>16226</v>
      </c>
      <c r="J3414">
        <v>16655</v>
      </c>
      <c r="K3414">
        <v>17092</v>
      </c>
      <c r="L3414">
        <v>17543</v>
      </c>
      <c r="M3414">
        <v>18006</v>
      </c>
      <c r="N3414" t="s">
        <v>988</v>
      </c>
    </row>
    <row r="3415" spans="1:14" hidden="1" x14ac:dyDescent="0.3">
      <c r="A3415">
        <v>2158</v>
      </c>
      <c r="B3415" t="s">
        <v>1900</v>
      </c>
      <c r="C3415" t="s">
        <v>2670</v>
      </c>
      <c r="D3415" t="s">
        <v>1203</v>
      </c>
      <c r="E3415" t="s">
        <v>1204</v>
      </c>
      <c r="F3415">
        <v>5792</v>
      </c>
      <c r="G3415" t="s">
        <v>2675</v>
      </c>
      <c r="H3415" t="s">
        <v>2665</v>
      </c>
      <c r="I3415">
        <v>16226</v>
      </c>
      <c r="J3415">
        <v>16655</v>
      </c>
      <c r="K3415">
        <v>17092</v>
      </c>
      <c r="L3415">
        <v>17543</v>
      </c>
      <c r="M3415">
        <v>18006</v>
      </c>
      <c r="N3415" t="s">
        <v>988</v>
      </c>
    </row>
    <row r="3416" spans="1:14" hidden="1" x14ac:dyDescent="0.3">
      <c r="A3416">
        <v>2158</v>
      </c>
      <c r="B3416" t="s">
        <v>1900</v>
      </c>
      <c r="C3416" t="s">
        <v>2670</v>
      </c>
      <c r="D3416" t="s">
        <v>1203</v>
      </c>
      <c r="E3416" t="s">
        <v>1204</v>
      </c>
      <c r="F3416">
        <v>5792</v>
      </c>
      <c r="G3416" t="s">
        <v>2674</v>
      </c>
      <c r="H3416" t="s">
        <v>2665</v>
      </c>
      <c r="I3416">
        <v>16226</v>
      </c>
      <c r="J3416">
        <v>16655</v>
      </c>
      <c r="K3416">
        <v>17092</v>
      </c>
      <c r="L3416">
        <v>17543</v>
      </c>
      <c r="M3416">
        <v>18006</v>
      </c>
      <c r="N3416" t="s">
        <v>988</v>
      </c>
    </row>
    <row r="3417" spans="1:14" hidden="1" x14ac:dyDescent="0.3">
      <c r="A3417">
        <v>2158</v>
      </c>
      <c r="B3417" t="s">
        <v>1900</v>
      </c>
      <c r="C3417" t="s">
        <v>2670</v>
      </c>
      <c r="D3417" t="s">
        <v>1203</v>
      </c>
      <c r="E3417" t="s">
        <v>1204</v>
      </c>
      <c r="F3417">
        <v>5792</v>
      </c>
      <c r="G3417" t="s">
        <v>2674</v>
      </c>
      <c r="H3417" t="s">
        <v>2664</v>
      </c>
      <c r="I3417">
        <v>19177</v>
      </c>
      <c r="J3417">
        <v>21473</v>
      </c>
      <c r="K3417">
        <v>22172</v>
      </c>
      <c r="L3417">
        <v>21675</v>
      </c>
      <c r="M3417">
        <v>21796</v>
      </c>
      <c r="N3417" t="s">
        <v>988</v>
      </c>
    </row>
    <row r="3418" spans="1:14" hidden="1" x14ac:dyDescent="0.3">
      <c r="A3418">
        <v>2158</v>
      </c>
      <c r="B3418" t="s">
        <v>1900</v>
      </c>
      <c r="C3418" t="s">
        <v>2670</v>
      </c>
      <c r="D3418" t="s">
        <v>1203</v>
      </c>
      <c r="E3418" t="s">
        <v>1204</v>
      </c>
      <c r="F3418">
        <v>5792</v>
      </c>
      <c r="G3418" t="s">
        <v>2676</v>
      </c>
      <c r="H3418" t="s">
        <v>2664</v>
      </c>
      <c r="I3418">
        <v>21618</v>
      </c>
      <c r="J3418">
        <v>23962</v>
      </c>
      <c r="K3418">
        <v>24710</v>
      </c>
      <c r="L3418">
        <v>24263</v>
      </c>
      <c r="M3418">
        <v>24435</v>
      </c>
      <c r="N3418" t="s">
        <v>988</v>
      </c>
    </row>
    <row r="3419" spans="1:14" hidden="1" x14ac:dyDescent="0.3">
      <c r="A3419">
        <v>2158</v>
      </c>
      <c r="B3419" t="s">
        <v>1900</v>
      </c>
      <c r="C3419" t="s">
        <v>2670</v>
      </c>
      <c r="D3419" t="s">
        <v>1203</v>
      </c>
      <c r="E3419" t="s">
        <v>1204</v>
      </c>
      <c r="F3419">
        <v>5792</v>
      </c>
      <c r="G3419" t="s">
        <v>2676</v>
      </c>
      <c r="H3419" t="s">
        <v>2665</v>
      </c>
      <c r="I3419">
        <v>16226</v>
      </c>
      <c r="J3419">
        <v>16655</v>
      </c>
      <c r="K3419">
        <v>17092</v>
      </c>
      <c r="L3419">
        <v>17543</v>
      </c>
      <c r="M3419">
        <v>18006</v>
      </c>
      <c r="N3419" t="s">
        <v>988</v>
      </c>
    </row>
    <row r="3420" spans="1:14" hidden="1" x14ac:dyDescent="0.3">
      <c r="A3420">
        <v>2158</v>
      </c>
      <c r="B3420" t="s">
        <v>1900</v>
      </c>
      <c r="C3420" t="s">
        <v>2670</v>
      </c>
      <c r="D3420" t="s">
        <v>1203</v>
      </c>
      <c r="E3420" t="s">
        <v>1204</v>
      </c>
      <c r="F3420">
        <v>5792</v>
      </c>
      <c r="G3420" t="s">
        <v>2675</v>
      </c>
      <c r="H3420" t="s">
        <v>2664</v>
      </c>
      <c r="I3420">
        <v>21757</v>
      </c>
      <c r="J3420">
        <v>24070</v>
      </c>
      <c r="K3420">
        <v>24785</v>
      </c>
      <c r="L3420">
        <v>24305</v>
      </c>
      <c r="M3420">
        <v>24442</v>
      </c>
      <c r="N3420" t="s">
        <v>988</v>
      </c>
    </row>
    <row r="3421" spans="1:14" hidden="1" x14ac:dyDescent="0.3">
      <c r="A3421">
        <v>2158</v>
      </c>
      <c r="B3421" t="s">
        <v>1900</v>
      </c>
      <c r="C3421" t="s">
        <v>2670</v>
      </c>
      <c r="D3421" t="s">
        <v>1203</v>
      </c>
      <c r="E3421" t="s">
        <v>1204</v>
      </c>
      <c r="F3421">
        <v>5792</v>
      </c>
      <c r="G3421" t="s">
        <v>2673</v>
      </c>
      <c r="H3421" t="s">
        <v>2664</v>
      </c>
      <c r="I3421">
        <v>21677</v>
      </c>
      <c r="J3421">
        <v>23973</v>
      </c>
      <c r="K3421">
        <v>24672</v>
      </c>
      <c r="L3421">
        <v>24175</v>
      </c>
      <c r="M3421">
        <v>24296</v>
      </c>
      <c r="N3421" t="s">
        <v>988</v>
      </c>
    </row>
    <row r="3422" spans="1:14" hidden="1" x14ac:dyDescent="0.3">
      <c r="A3422">
        <v>2159</v>
      </c>
      <c r="B3422" t="s">
        <v>1902</v>
      </c>
      <c r="C3422" t="s">
        <v>2670</v>
      </c>
      <c r="D3422" t="s">
        <v>1203</v>
      </c>
      <c r="E3422" t="s">
        <v>1204</v>
      </c>
      <c r="F3422">
        <v>5472</v>
      </c>
      <c r="G3422" t="s">
        <v>2673</v>
      </c>
      <c r="H3422" t="s">
        <v>2665</v>
      </c>
      <c r="I3422">
        <v>9519</v>
      </c>
      <c r="J3422">
        <v>9697</v>
      </c>
      <c r="K3422">
        <v>9653</v>
      </c>
      <c r="L3422">
        <v>9579</v>
      </c>
      <c r="M3422">
        <v>9559</v>
      </c>
      <c r="N3422" t="s">
        <v>988</v>
      </c>
    </row>
    <row r="3423" spans="1:14" hidden="1" x14ac:dyDescent="0.3">
      <c r="A3423">
        <v>2159</v>
      </c>
      <c r="B3423" t="s">
        <v>1902</v>
      </c>
      <c r="C3423" t="s">
        <v>2670</v>
      </c>
      <c r="D3423" t="s">
        <v>1203</v>
      </c>
      <c r="E3423" t="s">
        <v>1204</v>
      </c>
      <c r="F3423">
        <v>5472</v>
      </c>
      <c r="G3423" t="s">
        <v>2673</v>
      </c>
      <c r="H3423" t="s">
        <v>2664</v>
      </c>
      <c r="I3423">
        <v>9519</v>
      </c>
      <c r="J3423">
        <v>9697</v>
      </c>
      <c r="K3423">
        <v>9653</v>
      </c>
      <c r="L3423">
        <v>9579</v>
      </c>
      <c r="M3423">
        <v>9559</v>
      </c>
      <c r="N3423" t="s">
        <v>988</v>
      </c>
    </row>
    <row r="3424" spans="1:14" hidden="1" x14ac:dyDescent="0.3">
      <c r="A3424">
        <v>2159</v>
      </c>
      <c r="B3424" t="s">
        <v>1902</v>
      </c>
      <c r="C3424" t="s">
        <v>2670</v>
      </c>
      <c r="D3424" t="s">
        <v>1203</v>
      </c>
      <c r="E3424" t="s">
        <v>1204</v>
      </c>
      <c r="F3424">
        <v>5472</v>
      </c>
      <c r="G3424" t="s">
        <v>2674</v>
      </c>
      <c r="H3424" t="s">
        <v>2665</v>
      </c>
      <c r="I3424">
        <v>9388</v>
      </c>
      <c r="J3424">
        <v>9685</v>
      </c>
      <c r="K3424">
        <v>9667</v>
      </c>
      <c r="L3424">
        <v>9594</v>
      </c>
      <c r="M3424">
        <v>9560</v>
      </c>
      <c r="N3424" t="s">
        <v>988</v>
      </c>
    </row>
    <row r="3425" spans="1:14" hidden="1" x14ac:dyDescent="0.3">
      <c r="A3425">
        <v>2159</v>
      </c>
      <c r="B3425" t="s">
        <v>1902</v>
      </c>
      <c r="C3425" t="s">
        <v>2670</v>
      </c>
      <c r="D3425" t="s">
        <v>1203</v>
      </c>
      <c r="E3425" t="s">
        <v>1204</v>
      </c>
      <c r="F3425">
        <v>5472</v>
      </c>
      <c r="G3425" t="s">
        <v>2674</v>
      </c>
      <c r="H3425" t="s">
        <v>2664</v>
      </c>
      <c r="I3425">
        <v>9388</v>
      </c>
      <c r="J3425">
        <v>9685</v>
      </c>
      <c r="K3425">
        <v>9667</v>
      </c>
      <c r="L3425">
        <v>9594</v>
      </c>
      <c r="M3425">
        <v>9560</v>
      </c>
      <c r="N3425" t="s">
        <v>988</v>
      </c>
    </row>
    <row r="3426" spans="1:14" hidden="1" x14ac:dyDescent="0.3">
      <c r="A3426">
        <v>2159</v>
      </c>
      <c r="B3426" t="s">
        <v>1902</v>
      </c>
      <c r="C3426" t="s">
        <v>2670</v>
      </c>
      <c r="D3426" t="s">
        <v>1203</v>
      </c>
      <c r="E3426" t="s">
        <v>1204</v>
      </c>
      <c r="F3426">
        <v>5472</v>
      </c>
      <c r="G3426" t="s">
        <v>2675</v>
      </c>
      <c r="H3426" t="s">
        <v>2665</v>
      </c>
      <c r="I3426">
        <v>9258</v>
      </c>
      <c r="J3426">
        <v>9673</v>
      </c>
      <c r="K3426">
        <v>9681</v>
      </c>
      <c r="L3426">
        <v>9609</v>
      </c>
      <c r="M3426">
        <v>9561</v>
      </c>
      <c r="N3426" t="s">
        <v>988</v>
      </c>
    </row>
    <row r="3427" spans="1:14" hidden="1" x14ac:dyDescent="0.3">
      <c r="A3427">
        <v>2159</v>
      </c>
      <c r="B3427" t="s">
        <v>1902</v>
      </c>
      <c r="C3427" t="s">
        <v>2670</v>
      </c>
      <c r="D3427" t="s">
        <v>1203</v>
      </c>
      <c r="E3427" t="s">
        <v>1204</v>
      </c>
      <c r="F3427">
        <v>5472</v>
      </c>
      <c r="G3427" t="s">
        <v>2671</v>
      </c>
      <c r="H3427" t="s">
        <v>2664</v>
      </c>
      <c r="I3427">
        <v>9649</v>
      </c>
      <c r="J3427">
        <v>9709</v>
      </c>
      <c r="K3427">
        <v>9639</v>
      </c>
      <c r="L3427">
        <v>9564</v>
      </c>
      <c r="M3427">
        <v>9557</v>
      </c>
      <c r="N3427" t="s">
        <v>988</v>
      </c>
    </row>
    <row r="3428" spans="1:14" hidden="1" x14ac:dyDescent="0.3">
      <c r="A3428">
        <v>2159</v>
      </c>
      <c r="B3428" t="s">
        <v>1902</v>
      </c>
      <c r="C3428" t="s">
        <v>2670</v>
      </c>
      <c r="D3428" t="s">
        <v>1203</v>
      </c>
      <c r="E3428" t="s">
        <v>1204</v>
      </c>
      <c r="F3428">
        <v>5472</v>
      </c>
      <c r="G3428" t="s">
        <v>2676</v>
      </c>
      <c r="H3428" t="s">
        <v>2665</v>
      </c>
      <c r="I3428">
        <v>9127</v>
      </c>
      <c r="J3428">
        <v>9661</v>
      </c>
      <c r="K3428">
        <v>9695</v>
      </c>
      <c r="L3428">
        <v>9624</v>
      </c>
      <c r="M3428">
        <v>9563</v>
      </c>
      <c r="N3428" t="s">
        <v>988</v>
      </c>
    </row>
    <row r="3429" spans="1:14" hidden="1" x14ac:dyDescent="0.3">
      <c r="A3429">
        <v>2159</v>
      </c>
      <c r="B3429" t="s">
        <v>1902</v>
      </c>
      <c r="C3429" t="s">
        <v>2670</v>
      </c>
      <c r="D3429" t="s">
        <v>1203</v>
      </c>
      <c r="E3429" t="s">
        <v>1204</v>
      </c>
      <c r="F3429">
        <v>5472</v>
      </c>
      <c r="G3429" t="s">
        <v>2676</v>
      </c>
      <c r="H3429" t="s">
        <v>2664</v>
      </c>
      <c r="I3429">
        <v>9127</v>
      </c>
      <c r="J3429">
        <v>9661</v>
      </c>
      <c r="K3429">
        <v>9695</v>
      </c>
      <c r="L3429">
        <v>9624</v>
      </c>
      <c r="M3429">
        <v>9563</v>
      </c>
      <c r="N3429" t="s">
        <v>988</v>
      </c>
    </row>
    <row r="3430" spans="1:14" hidden="1" x14ac:dyDescent="0.3">
      <c r="A3430">
        <v>2159</v>
      </c>
      <c r="B3430" t="s">
        <v>1902</v>
      </c>
      <c r="C3430" t="s">
        <v>2670</v>
      </c>
      <c r="D3430" t="s">
        <v>1203</v>
      </c>
      <c r="E3430" t="s">
        <v>1204</v>
      </c>
      <c r="F3430">
        <v>5472</v>
      </c>
      <c r="G3430" t="s">
        <v>2672</v>
      </c>
      <c r="H3430" t="s">
        <v>2665</v>
      </c>
      <c r="N3430" t="s">
        <v>988</v>
      </c>
    </row>
    <row r="3431" spans="1:14" hidden="1" x14ac:dyDescent="0.3">
      <c r="A3431">
        <v>2159</v>
      </c>
      <c r="B3431" t="s">
        <v>1902</v>
      </c>
      <c r="C3431" t="s">
        <v>2670</v>
      </c>
      <c r="D3431" t="s">
        <v>1203</v>
      </c>
      <c r="E3431" t="s">
        <v>1204</v>
      </c>
      <c r="F3431">
        <v>5472</v>
      </c>
      <c r="G3431" t="s">
        <v>2672</v>
      </c>
      <c r="H3431" t="s">
        <v>2664</v>
      </c>
      <c r="N3431" t="s">
        <v>988</v>
      </c>
    </row>
    <row r="3432" spans="1:14" hidden="1" x14ac:dyDescent="0.3">
      <c r="A3432">
        <v>2159</v>
      </c>
      <c r="B3432" t="s">
        <v>1902</v>
      </c>
      <c r="C3432" t="s">
        <v>2670</v>
      </c>
      <c r="D3432" t="s">
        <v>1203</v>
      </c>
      <c r="E3432" t="s">
        <v>1204</v>
      </c>
      <c r="F3432">
        <v>5472</v>
      </c>
      <c r="G3432" t="s">
        <v>2671</v>
      </c>
      <c r="H3432" t="s">
        <v>2665</v>
      </c>
      <c r="I3432">
        <v>9649</v>
      </c>
      <c r="J3432">
        <v>9709</v>
      </c>
      <c r="K3432">
        <v>9639</v>
      </c>
      <c r="L3432">
        <v>9564</v>
      </c>
      <c r="M3432">
        <v>9557</v>
      </c>
      <c r="N3432" t="s">
        <v>988</v>
      </c>
    </row>
    <row r="3433" spans="1:14" hidden="1" x14ac:dyDescent="0.3">
      <c r="A3433">
        <v>2159</v>
      </c>
      <c r="B3433" t="s">
        <v>1902</v>
      </c>
      <c r="C3433" t="s">
        <v>2670</v>
      </c>
      <c r="D3433" t="s">
        <v>1203</v>
      </c>
      <c r="E3433" t="s">
        <v>1204</v>
      </c>
      <c r="F3433">
        <v>5472</v>
      </c>
      <c r="G3433" t="s">
        <v>2675</v>
      </c>
      <c r="H3433" t="s">
        <v>2664</v>
      </c>
      <c r="I3433">
        <v>9258</v>
      </c>
      <c r="J3433">
        <v>9673</v>
      </c>
      <c r="K3433">
        <v>9681</v>
      </c>
      <c r="L3433">
        <v>9609</v>
      </c>
      <c r="M3433">
        <v>9561</v>
      </c>
      <c r="N3433" t="s">
        <v>988</v>
      </c>
    </row>
    <row r="3434" spans="1:14" hidden="1" x14ac:dyDescent="0.3">
      <c r="A3434">
        <v>2160</v>
      </c>
      <c r="B3434" t="s">
        <v>1904</v>
      </c>
      <c r="C3434" t="s">
        <v>2670</v>
      </c>
      <c r="D3434" t="s">
        <v>1203</v>
      </c>
      <c r="E3434" t="s">
        <v>1204</v>
      </c>
      <c r="F3434">
        <v>5474</v>
      </c>
      <c r="G3434" t="s">
        <v>2676</v>
      </c>
      <c r="H3434" t="s">
        <v>2664</v>
      </c>
      <c r="I3434">
        <v>190157</v>
      </c>
      <c r="J3434">
        <v>197790</v>
      </c>
      <c r="K3434">
        <v>204356</v>
      </c>
      <c r="L3434">
        <v>210758</v>
      </c>
      <c r="M3434">
        <v>215196</v>
      </c>
      <c r="N3434" t="s">
        <v>988</v>
      </c>
    </row>
    <row r="3435" spans="1:14" hidden="1" x14ac:dyDescent="0.3">
      <c r="A3435">
        <v>2160</v>
      </c>
      <c r="B3435" t="s">
        <v>1904</v>
      </c>
      <c r="C3435" t="s">
        <v>2670</v>
      </c>
      <c r="D3435" t="s">
        <v>1203</v>
      </c>
      <c r="E3435" t="s">
        <v>1204</v>
      </c>
      <c r="F3435">
        <v>5474</v>
      </c>
      <c r="G3435" t="s">
        <v>2672</v>
      </c>
      <c r="H3435" t="s">
        <v>2665</v>
      </c>
      <c r="N3435" t="s">
        <v>988</v>
      </c>
    </row>
    <row r="3436" spans="1:14" hidden="1" x14ac:dyDescent="0.3">
      <c r="A3436">
        <v>2160</v>
      </c>
      <c r="B3436" t="s">
        <v>1904</v>
      </c>
      <c r="C3436" t="s">
        <v>2670</v>
      </c>
      <c r="D3436" t="s">
        <v>1203</v>
      </c>
      <c r="E3436" t="s">
        <v>1204</v>
      </c>
      <c r="F3436">
        <v>5474</v>
      </c>
      <c r="G3436" t="s">
        <v>2672</v>
      </c>
      <c r="H3436" t="s">
        <v>2664</v>
      </c>
      <c r="N3436" t="s">
        <v>988</v>
      </c>
    </row>
    <row r="3437" spans="1:14" hidden="1" x14ac:dyDescent="0.3">
      <c r="A3437">
        <v>2160</v>
      </c>
      <c r="B3437" t="s">
        <v>1904</v>
      </c>
      <c r="C3437" t="s">
        <v>2670</v>
      </c>
      <c r="D3437" t="s">
        <v>1203</v>
      </c>
      <c r="E3437" t="s">
        <v>1204</v>
      </c>
      <c r="F3437">
        <v>5474</v>
      </c>
      <c r="G3437" t="s">
        <v>2671</v>
      </c>
      <c r="H3437" t="s">
        <v>2665</v>
      </c>
      <c r="I3437">
        <v>195026</v>
      </c>
      <c r="J3437">
        <v>202843</v>
      </c>
      <c r="K3437">
        <v>209568</v>
      </c>
      <c r="L3437">
        <v>216124</v>
      </c>
      <c r="M3437">
        <v>220670</v>
      </c>
      <c r="N3437" t="s">
        <v>988</v>
      </c>
    </row>
    <row r="3438" spans="1:14" hidden="1" x14ac:dyDescent="0.3">
      <c r="A3438">
        <v>2160</v>
      </c>
      <c r="B3438" t="s">
        <v>1904</v>
      </c>
      <c r="C3438" t="s">
        <v>2670</v>
      </c>
      <c r="D3438" t="s">
        <v>1203</v>
      </c>
      <c r="E3438" t="s">
        <v>1204</v>
      </c>
      <c r="F3438">
        <v>5474</v>
      </c>
      <c r="G3438" t="s">
        <v>2671</v>
      </c>
      <c r="H3438" t="s">
        <v>2664</v>
      </c>
      <c r="I3438">
        <v>195026</v>
      </c>
      <c r="J3438">
        <v>202843</v>
      </c>
      <c r="K3438">
        <v>209568</v>
      </c>
      <c r="L3438">
        <v>216124</v>
      </c>
      <c r="M3438">
        <v>220670</v>
      </c>
      <c r="N3438" t="s">
        <v>988</v>
      </c>
    </row>
    <row r="3439" spans="1:14" hidden="1" x14ac:dyDescent="0.3">
      <c r="A3439">
        <v>2160</v>
      </c>
      <c r="B3439" t="s">
        <v>1904</v>
      </c>
      <c r="C3439" t="s">
        <v>2670</v>
      </c>
      <c r="D3439" t="s">
        <v>1203</v>
      </c>
      <c r="E3439" t="s">
        <v>1204</v>
      </c>
      <c r="F3439">
        <v>5474</v>
      </c>
      <c r="G3439" t="s">
        <v>2673</v>
      </c>
      <c r="H3439" t="s">
        <v>2665</v>
      </c>
      <c r="I3439">
        <v>195026</v>
      </c>
      <c r="J3439">
        <v>202843</v>
      </c>
      <c r="K3439">
        <v>209568</v>
      </c>
      <c r="L3439">
        <v>216124</v>
      </c>
      <c r="M3439">
        <v>220670</v>
      </c>
      <c r="N3439" t="s">
        <v>988</v>
      </c>
    </row>
    <row r="3440" spans="1:14" hidden="1" x14ac:dyDescent="0.3">
      <c r="A3440">
        <v>2160</v>
      </c>
      <c r="B3440" t="s">
        <v>1904</v>
      </c>
      <c r="C3440" t="s">
        <v>2670</v>
      </c>
      <c r="D3440" t="s">
        <v>1203</v>
      </c>
      <c r="E3440" t="s">
        <v>1204</v>
      </c>
      <c r="F3440">
        <v>5474</v>
      </c>
      <c r="G3440" t="s">
        <v>2673</v>
      </c>
      <c r="H3440" t="s">
        <v>2664</v>
      </c>
      <c r="I3440">
        <v>195026</v>
      </c>
      <c r="J3440">
        <v>202843</v>
      </c>
      <c r="K3440">
        <v>209568</v>
      </c>
      <c r="L3440">
        <v>216124</v>
      </c>
      <c r="M3440">
        <v>220670</v>
      </c>
      <c r="N3440" t="s">
        <v>988</v>
      </c>
    </row>
    <row r="3441" spans="1:14" hidden="1" x14ac:dyDescent="0.3">
      <c r="A3441">
        <v>2160</v>
      </c>
      <c r="B3441" t="s">
        <v>1904</v>
      </c>
      <c r="C3441" t="s">
        <v>2670</v>
      </c>
      <c r="D3441" t="s">
        <v>1203</v>
      </c>
      <c r="E3441" t="s">
        <v>1204</v>
      </c>
      <c r="F3441">
        <v>5474</v>
      </c>
      <c r="G3441" t="s">
        <v>2674</v>
      </c>
      <c r="H3441" t="s">
        <v>2665</v>
      </c>
      <c r="I3441">
        <v>197460</v>
      </c>
      <c r="J3441">
        <v>205370</v>
      </c>
      <c r="K3441">
        <v>212174</v>
      </c>
      <c r="L3441">
        <v>218808</v>
      </c>
      <c r="M3441">
        <v>223406</v>
      </c>
      <c r="N3441" t="s">
        <v>988</v>
      </c>
    </row>
    <row r="3442" spans="1:14" hidden="1" x14ac:dyDescent="0.3">
      <c r="A3442">
        <v>2160</v>
      </c>
      <c r="B3442" t="s">
        <v>1904</v>
      </c>
      <c r="C3442" t="s">
        <v>2670</v>
      </c>
      <c r="D3442" t="s">
        <v>1203</v>
      </c>
      <c r="E3442" t="s">
        <v>1204</v>
      </c>
      <c r="F3442">
        <v>5474</v>
      </c>
      <c r="G3442" t="s">
        <v>2674</v>
      </c>
      <c r="H3442" t="s">
        <v>2664</v>
      </c>
      <c r="I3442">
        <v>197460</v>
      </c>
      <c r="J3442">
        <v>205370</v>
      </c>
      <c r="K3442">
        <v>212174</v>
      </c>
      <c r="L3442">
        <v>218808</v>
      </c>
      <c r="M3442">
        <v>223406</v>
      </c>
      <c r="N3442" t="s">
        <v>988</v>
      </c>
    </row>
    <row r="3443" spans="1:14" hidden="1" x14ac:dyDescent="0.3">
      <c r="A3443">
        <v>2160</v>
      </c>
      <c r="B3443" t="s">
        <v>1904</v>
      </c>
      <c r="C3443" t="s">
        <v>2670</v>
      </c>
      <c r="D3443" t="s">
        <v>1203</v>
      </c>
      <c r="E3443" t="s">
        <v>1204</v>
      </c>
      <c r="F3443">
        <v>5474</v>
      </c>
      <c r="G3443" t="s">
        <v>2675</v>
      </c>
      <c r="H3443" t="s">
        <v>2665</v>
      </c>
      <c r="I3443">
        <v>197460</v>
      </c>
      <c r="J3443">
        <v>205370</v>
      </c>
      <c r="K3443">
        <v>212174</v>
      </c>
      <c r="L3443">
        <v>218808</v>
      </c>
      <c r="M3443">
        <v>223406</v>
      </c>
      <c r="N3443" t="s">
        <v>988</v>
      </c>
    </row>
    <row r="3444" spans="1:14" hidden="1" x14ac:dyDescent="0.3">
      <c r="A3444">
        <v>2160</v>
      </c>
      <c r="B3444" t="s">
        <v>1904</v>
      </c>
      <c r="C3444" t="s">
        <v>2670</v>
      </c>
      <c r="D3444" t="s">
        <v>1203</v>
      </c>
      <c r="E3444" t="s">
        <v>1204</v>
      </c>
      <c r="F3444">
        <v>5474</v>
      </c>
      <c r="G3444" t="s">
        <v>2675</v>
      </c>
      <c r="H3444" t="s">
        <v>2664</v>
      </c>
      <c r="I3444">
        <v>197460</v>
      </c>
      <c r="J3444">
        <v>205370</v>
      </c>
      <c r="K3444">
        <v>212174</v>
      </c>
      <c r="L3444">
        <v>218808</v>
      </c>
      <c r="M3444">
        <v>223406</v>
      </c>
      <c r="N3444" t="s">
        <v>988</v>
      </c>
    </row>
    <row r="3445" spans="1:14" hidden="1" x14ac:dyDescent="0.3">
      <c r="A3445">
        <v>2160</v>
      </c>
      <c r="B3445" t="s">
        <v>1904</v>
      </c>
      <c r="C3445" t="s">
        <v>2670</v>
      </c>
      <c r="D3445" t="s">
        <v>1203</v>
      </c>
      <c r="E3445" t="s">
        <v>1204</v>
      </c>
      <c r="F3445">
        <v>5474</v>
      </c>
      <c r="G3445" t="s">
        <v>2676</v>
      </c>
      <c r="H3445" t="s">
        <v>2665</v>
      </c>
      <c r="I3445">
        <v>190157</v>
      </c>
      <c r="J3445">
        <v>197790</v>
      </c>
      <c r="K3445">
        <v>204356</v>
      </c>
      <c r="L3445">
        <v>210758</v>
      </c>
      <c r="M3445">
        <v>215196</v>
      </c>
      <c r="N3445" t="s">
        <v>988</v>
      </c>
    </row>
    <row r="3446" spans="1:14" hidden="1" x14ac:dyDescent="0.3">
      <c r="A3446">
        <v>2162</v>
      </c>
      <c r="B3446" t="s">
        <v>1907</v>
      </c>
      <c r="C3446" t="s">
        <v>2670</v>
      </c>
      <c r="D3446" t="s">
        <v>159</v>
      </c>
      <c r="E3446" t="s">
        <v>159</v>
      </c>
      <c r="F3446">
        <v>7208</v>
      </c>
      <c r="G3446" t="s">
        <v>2672</v>
      </c>
      <c r="H3446" t="s">
        <v>2665</v>
      </c>
      <c r="N3446" t="s">
        <v>988</v>
      </c>
    </row>
    <row r="3447" spans="1:14" hidden="1" x14ac:dyDescent="0.3">
      <c r="A3447">
        <v>2162</v>
      </c>
      <c r="B3447" t="s">
        <v>1907</v>
      </c>
      <c r="C3447" t="s">
        <v>2670</v>
      </c>
      <c r="D3447" t="s">
        <v>159</v>
      </c>
      <c r="E3447" t="s">
        <v>159</v>
      </c>
      <c r="F3447">
        <v>7208</v>
      </c>
      <c r="G3447" t="s">
        <v>2672</v>
      </c>
      <c r="H3447" t="s">
        <v>2664</v>
      </c>
      <c r="N3447" t="s">
        <v>988</v>
      </c>
    </row>
    <row r="3448" spans="1:14" hidden="1" x14ac:dyDescent="0.3">
      <c r="A3448">
        <v>2162</v>
      </c>
      <c r="B3448" t="s">
        <v>1907</v>
      </c>
      <c r="C3448" t="s">
        <v>2670</v>
      </c>
      <c r="D3448" t="s">
        <v>159</v>
      </c>
      <c r="E3448" t="s">
        <v>159</v>
      </c>
      <c r="F3448">
        <v>7208</v>
      </c>
      <c r="G3448" t="s">
        <v>2671</v>
      </c>
      <c r="H3448" t="s">
        <v>2665</v>
      </c>
      <c r="I3448">
        <v>7055</v>
      </c>
      <c r="J3448">
        <v>7446</v>
      </c>
      <c r="K3448">
        <v>7540</v>
      </c>
      <c r="L3448">
        <v>7714</v>
      </c>
      <c r="M3448">
        <v>7940</v>
      </c>
      <c r="N3448" t="s">
        <v>988</v>
      </c>
    </row>
    <row r="3449" spans="1:14" hidden="1" x14ac:dyDescent="0.3">
      <c r="A3449">
        <v>2162</v>
      </c>
      <c r="B3449" t="s">
        <v>1907</v>
      </c>
      <c r="C3449" t="s">
        <v>2670</v>
      </c>
      <c r="D3449" t="s">
        <v>159</v>
      </c>
      <c r="E3449" t="s">
        <v>159</v>
      </c>
      <c r="F3449">
        <v>7208</v>
      </c>
      <c r="G3449" t="s">
        <v>2671</v>
      </c>
      <c r="H3449" t="s">
        <v>2664</v>
      </c>
      <c r="I3449">
        <v>7055</v>
      </c>
      <c r="J3449">
        <v>7446</v>
      </c>
      <c r="K3449">
        <v>7540</v>
      </c>
      <c r="L3449">
        <v>7714</v>
      </c>
      <c r="M3449">
        <v>7940</v>
      </c>
      <c r="N3449" t="s">
        <v>988</v>
      </c>
    </row>
    <row r="3450" spans="1:14" hidden="1" x14ac:dyDescent="0.3">
      <c r="A3450">
        <v>2162</v>
      </c>
      <c r="B3450" t="s">
        <v>1907</v>
      </c>
      <c r="C3450" t="s">
        <v>2670</v>
      </c>
      <c r="D3450" t="s">
        <v>159</v>
      </c>
      <c r="E3450" t="s">
        <v>159</v>
      </c>
      <c r="F3450">
        <v>7208</v>
      </c>
      <c r="G3450" t="s">
        <v>2673</v>
      </c>
      <c r="H3450" t="s">
        <v>2665</v>
      </c>
      <c r="I3450">
        <v>7045</v>
      </c>
      <c r="J3450">
        <v>7436</v>
      </c>
      <c r="K3450">
        <v>7530</v>
      </c>
      <c r="L3450">
        <v>7704</v>
      </c>
      <c r="M3450">
        <v>7929</v>
      </c>
      <c r="N3450" t="s">
        <v>988</v>
      </c>
    </row>
    <row r="3451" spans="1:14" hidden="1" x14ac:dyDescent="0.3">
      <c r="A3451">
        <v>2162</v>
      </c>
      <c r="B3451" t="s">
        <v>1907</v>
      </c>
      <c r="C3451" t="s">
        <v>2670</v>
      </c>
      <c r="D3451" t="s">
        <v>159</v>
      </c>
      <c r="E3451" t="s">
        <v>159</v>
      </c>
      <c r="F3451">
        <v>7208</v>
      </c>
      <c r="G3451" t="s">
        <v>2676</v>
      </c>
      <c r="H3451" t="s">
        <v>2664</v>
      </c>
      <c r="I3451">
        <v>6938</v>
      </c>
      <c r="J3451">
        <v>7322</v>
      </c>
      <c r="K3451">
        <v>7415</v>
      </c>
      <c r="L3451">
        <v>7586</v>
      </c>
      <c r="M3451">
        <v>7808</v>
      </c>
      <c r="N3451" t="s">
        <v>988</v>
      </c>
    </row>
    <row r="3452" spans="1:14" hidden="1" x14ac:dyDescent="0.3">
      <c r="A3452">
        <v>2162</v>
      </c>
      <c r="B3452" t="s">
        <v>1907</v>
      </c>
      <c r="C3452" t="s">
        <v>2670</v>
      </c>
      <c r="D3452" t="s">
        <v>159</v>
      </c>
      <c r="E3452" t="s">
        <v>159</v>
      </c>
      <c r="F3452">
        <v>7208</v>
      </c>
      <c r="G3452" t="s">
        <v>2674</v>
      </c>
      <c r="H3452" t="s">
        <v>2665</v>
      </c>
      <c r="I3452">
        <v>7019</v>
      </c>
      <c r="J3452">
        <v>7408</v>
      </c>
      <c r="K3452">
        <v>7502</v>
      </c>
      <c r="L3452">
        <v>7675</v>
      </c>
      <c r="M3452">
        <v>7900</v>
      </c>
      <c r="N3452" t="s">
        <v>988</v>
      </c>
    </row>
    <row r="3453" spans="1:14" hidden="1" x14ac:dyDescent="0.3">
      <c r="A3453">
        <v>2162</v>
      </c>
      <c r="B3453" t="s">
        <v>1907</v>
      </c>
      <c r="C3453" t="s">
        <v>2670</v>
      </c>
      <c r="D3453" t="s">
        <v>159</v>
      </c>
      <c r="E3453" t="s">
        <v>159</v>
      </c>
      <c r="F3453">
        <v>7208</v>
      </c>
      <c r="G3453" t="s">
        <v>2674</v>
      </c>
      <c r="H3453" t="s">
        <v>2664</v>
      </c>
      <c r="I3453">
        <v>7019</v>
      </c>
      <c r="J3453">
        <v>7408</v>
      </c>
      <c r="K3453">
        <v>7502</v>
      </c>
      <c r="L3453">
        <v>7675</v>
      </c>
      <c r="M3453">
        <v>7900</v>
      </c>
      <c r="N3453" t="s">
        <v>988</v>
      </c>
    </row>
    <row r="3454" spans="1:14" hidden="1" x14ac:dyDescent="0.3">
      <c r="A3454">
        <v>2162</v>
      </c>
      <c r="B3454" t="s">
        <v>1907</v>
      </c>
      <c r="C3454" t="s">
        <v>2670</v>
      </c>
      <c r="D3454" t="s">
        <v>159</v>
      </c>
      <c r="E3454" t="s">
        <v>159</v>
      </c>
      <c r="F3454">
        <v>7208</v>
      </c>
      <c r="G3454" t="s">
        <v>2675</v>
      </c>
      <c r="H3454" t="s">
        <v>2665</v>
      </c>
      <c r="I3454">
        <v>6995</v>
      </c>
      <c r="J3454">
        <v>7382</v>
      </c>
      <c r="K3454">
        <v>7476</v>
      </c>
      <c r="L3454">
        <v>7648</v>
      </c>
      <c r="M3454">
        <v>7872</v>
      </c>
      <c r="N3454" t="s">
        <v>988</v>
      </c>
    </row>
    <row r="3455" spans="1:14" hidden="1" x14ac:dyDescent="0.3">
      <c r="A3455">
        <v>2162</v>
      </c>
      <c r="B3455" t="s">
        <v>1907</v>
      </c>
      <c r="C3455" t="s">
        <v>2670</v>
      </c>
      <c r="D3455" t="s">
        <v>159</v>
      </c>
      <c r="E3455" t="s">
        <v>159</v>
      </c>
      <c r="F3455">
        <v>7208</v>
      </c>
      <c r="G3455" t="s">
        <v>2675</v>
      </c>
      <c r="H3455" t="s">
        <v>2664</v>
      </c>
      <c r="I3455">
        <v>6995</v>
      </c>
      <c r="J3455">
        <v>7382</v>
      </c>
      <c r="K3455">
        <v>7476</v>
      </c>
      <c r="L3455">
        <v>7648</v>
      </c>
      <c r="M3455">
        <v>7872</v>
      </c>
      <c r="N3455" t="s">
        <v>988</v>
      </c>
    </row>
    <row r="3456" spans="1:14" hidden="1" x14ac:dyDescent="0.3">
      <c r="A3456">
        <v>2162</v>
      </c>
      <c r="B3456" t="s">
        <v>1907</v>
      </c>
      <c r="C3456" t="s">
        <v>2670</v>
      </c>
      <c r="D3456" t="s">
        <v>159</v>
      </c>
      <c r="E3456" t="s">
        <v>159</v>
      </c>
      <c r="F3456">
        <v>7208</v>
      </c>
      <c r="G3456" t="s">
        <v>2676</v>
      </c>
      <c r="H3456" t="s">
        <v>2665</v>
      </c>
      <c r="I3456">
        <v>6938</v>
      </c>
      <c r="J3456">
        <v>7322</v>
      </c>
      <c r="K3456">
        <v>7415</v>
      </c>
      <c r="L3456">
        <v>7586</v>
      </c>
      <c r="M3456">
        <v>7808</v>
      </c>
      <c r="N3456" t="s">
        <v>988</v>
      </c>
    </row>
    <row r="3457" spans="1:14" hidden="1" x14ac:dyDescent="0.3">
      <c r="A3457">
        <v>2162</v>
      </c>
      <c r="B3457" t="s">
        <v>1907</v>
      </c>
      <c r="C3457" t="s">
        <v>2670</v>
      </c>
      <c r="D3457" t="s">
        <v>159</v>
      </c>
      <c r="E3457" t="s">
        <v>159</v>
      </c>
      <c r="F3457">
        <v>7208</v>
      </c>
      <c r="G3457" t="s">
        <v>2673</v>
      </c>
      <c r="H3457" t="s">
        <v>2664</v>
      </c>
      <c r="I3457">
        <v>7045</v>
      </c>
      <c r="J3457">
        <v>7436</v>
      </c>
      <c r="K3457">
        <v>7530</v>
      </c>
      <c r="L3457">
        <v>7704</v>
      </c>
      <c r="M3457">
        <v>7929</v>
      </c>
      <c r="N3457" t="s">
        <v>988</v>
      </c>
    </row>
    <row r="3458" spans="1:14" hidden="1" x14ac:dyDescent="0.3">
      <c r="A3458">
        <v>2163</v>
      </c>
      <c r="B3458" t="s">
        <v>1908</v>
      </c>
      <c r="C3458" t="s">
        <v>2670</v>
      </c>
      <c r="D3458" t="s">
        <v>159</v>
      </c>
      <c r="E3458" t="s">
        <v>159</v>
      </c>
      <c r="F3458">
        <v>6759</v>
      </c>
      <c r="G3458" t="s">
        <v>2672</v>
      </c>
      <c r="H3458" t="s">
        <v>2664</v>
      </c>
      <c r="N3458" t="s">
        <v>988</v>
      </c>
    </row>
    <row r="3459" spans="1:14" hidden="1" x14ac:dyDescent="0.3">
      <c r="A3459">
        <v>2163</v>
      </c>
      <c r="B3459" t="s">
        <v>1908</v>
      </c>
      <c r="C3459" t="s">
        <v>2670</v>
      </c>
      <c r="D3459" t="s">
        <v>159</v>
      </c>
      <c r="E3459" t="s">
        <v>159</v>
      </c>
      <c r="F3459">
        <v>6759</v>
      </c>
      <c r="G3459" t="s">
        <v>2672</v>
      </c>
      <c r="H3459" t="s">
        <v>2665</v>
      </c>
      <c r="N3459" t="s">
        <v>988</v>
      </c>
    </row>
    <row r="3460" spans="1:14" hidden="1" x14ac:dyDescent="0.3">
      <c r="A3460">
        <v>2163</v>
      </c>
      <c r="B3460" t="s">
        <v>1908</v>
      </c>
      <c r="C3460" t="s">
        <v>2670</v>
      </c>
      <c r="D3460" t="s">
        <v>159</v>
      </c>
      <c r="E3460" t="s">
        <v>159</v>
      </c>
      <c r="F3460">
        <v>6759</v>
      </c>
      <c r="G3460" t="s">
        <v>2676</v>
      </c>
      <c r="H3460" t="s">
        <v>2664</v>
      </c>
      <c r="I3460">
        <v>3570</v>
      </c>
      <c r="J3460">
        <v>3570</v>
      </c>
      <c r="K3460">
        <v>3570</v>
      </c>
      <c r="L3460">
        <v>3570</v>
      </c>
      <c r="M3460">
        <v>3570</v>
      </c>
      <c r="N3460" t="s">
        <v>988</v>
      </c>
    </row>
    <row r="3461" spans="1:14" hidden="1" x14ac:dyDescent="0.3">
      <c r="A3461">
        <v>2163</v>
      </c>
      <c r="B3461" t="s">
        <v>1908</v>
      </c>
      <c r="C3461" t="s">
        <v>2670</v>
      </c>
      <c r="D3461" t="s">
        <v>159</v>
      </c>
      <c r="E3461" t="s">
        <v>159</v>
      </c>
      <c r="F3461">
        <v>6759</v>
      </c>
      <c r="G3461" t="s">
        <v>2676</v>
      </c>
      <c r="H3461" t="s">
        <v>2665</v>
      </c>
      <c r="I3461">
        <v>3238</v>
      </c>
      <c r="J3461">
        <v>3293</v>
      </c>
      <c r="K3461">
        <v>3349</v>
      </c>
      <c r="L3461">
        <v>3406</v>
      </c>
      <c r="M3461">
        <v>3465</v>
      </c>
      <c r="N3461" t="s">
        <v>988</v>
      </c>
    </row>
    <row r="3462" spans="1:14" hidden="1" x14ac:dyDescent="0.3">
      <c r="A3462">
        <v>2163</v>
      </c>
      <c r="B3462" t="s">
        <v>1908</v>
      </c>
      <c r="C3462" t="s">
        <v>2670</v>
      </c>
      <c r="D3462" t="s">
        <v>159</v>
      </c>
      <c r="E3462" t="s">
        <v>159</v>
      </c>
      <c r="F3462">
        <v>6759</v>
      </c>
      <c r="G3462" t="s">
        <v>2675</v>
      </c>
      <c r="H3462" t="s">
        <v>2664</v>
      </c>
      <c r="I3462">
        <v>3570</v>
      </c>
      <c r="J3462">
        <v>3570</v>
      </c>
      <c r="K3462">
        <v>3570</v>
      </c>
      <c r="L3462">
        <v>3570</v>
      </c>
      <c r="M3462">
        <v>3570</v>
      </c>
      <c r="N3462" t="s">
        <v>988</v>
      </c>
    </row>
    <row r="3463" spans="1:14" hidden="1" x14ac:dyDescent="0.3">
      <c r="A3463">
        <v>2163</v>
      </c>
      <c r="B3463" t="s">
        <v>1908</v>
      </c>
      <c r="C3463" t="s">
        <v>2670</v>
      </c>
      <c r="D3463" t="s">
        <v>159</v>
      </c>
      <c r="E3463" t="s">
        <v>159</v>
      </c>
      <c r="F3463">
        <v>6759</v>
      </c>
      <c r="G3463" t="s">
        <v>2671</v>
      </c>
      <c r="H3463" t="s">
        <v>2665</v>
      </c>
      <c r="I3463">
        <v>2892</v>
      </c>
      <c r="J3463">
        <v>2942</v>
      </c>
      <c r="K3463">
        <v>2992</v>
      </c>
      <c r="L3463">
        <v>3043</v>
      </c>
      <c r="M3463">
        <v>3095</v>
      </c>
      <c r="N3463" t="s">
        <v>988</v>
      </c>
    </row>
    <row r="3464" spans="1:14" hidden="1" x14ac:dyDescent="0.3">
      <c r="A3464">
        <v>2163</v>
      </c>
      <c r="B3464" t="s">
        <v>1908</v>
      </c>
      <c r="C3464" t="s">
        <v>2670</v>
      </c>
      <c r="D3464" t="s">
        <v>159</v>
      </c>
      <c r="E3464" t="s">
        <v>159</v>
      </c>
      <c r="F3464">
        <v>6759</v>
      </c>
      <c r="G3464" t="s">
        <v>2674</v>
      </c>
      <c r="H3464" t="s">
        <v>2664</v>
      </c>
      <c r="I3464">
        <v>3570</v>
      </c>
      <c r="J3464">
        <v>3570</v>
      </c>
      <c r="K3464">
        <v>3570</v>
      </c>
      <c r="L3464">
        <v>3570</v>
      </c>
      <c r="M3464">
        <v>3570</v>
      </c>
      <c r="N3464" t="s">
        <v>988</v>
      </c>
    </row>
    <row r="3465" spans="1:14" hidden="1" x14ac:dyDescent="0.3">
      <c r="A3465">
        <v>2163</v>
      </c>
      <c r="B3465" t="s">
        <v>1908</v>
      </c>
      <c r="C3465" t="s">
        <v>2670</v>
      </c>
      <c r="D3465" t="s">
        <v>159</v>
      </c>
      <c r="E3465" t="s">
        <v>159</v>
      </c>
      <c r="F3465">
        <v>6759</v>
      </c>
      <c r="G3465" t="s">
        <v>2674</v>
      </c>
      <c r="H3465" t="s">
        <v>2665</v>
      </c>
      <c r="I3465">
        <v>3535</v>
      </c>
      <c r="J3465">
        <v>3595</v>
      </c>
      <c r="K3465">
        <v>3656</v>
      </c>
      <c r="L3465">
        <v>3719</v>
      </c>
      <c r="M3465">
        <v>3782</v>
      </c>
      <c r="N3465" t="s">
        <v>988</v>
      </c>
    </row>
    <row r="3466" spans="1:14" hidden="1" x14ac:dyDescent="0.3">
      <c r="A3466">
        <v>2163</v>
      </c>
      <c r="B3466" t="s">
        <v>1908</v>
      </c>
      <c r="C3466" t="s">
        <v>2670</v>
      </c>
      <c r="D3466" t="s">
        <v>159</v>
      </c>
      <c r="E3466" t="s">
        <v>159</v>
      </c>
      <c r="F3466">
        <v>6759</v>
      </c>
      <c r="G3466" t="s">
        <v>2673</v>
      </c>
      <c r="H3466" t="s">
        <v>2664</v>
      </c>
      <c r="I3466">
        <v>3570</v>
      </c>
      <c r="J3466">
        <v>3570</v>
      </c>
      <c r="K3466">
        <v>3570</v>
      </c>
      <c r="L3466">
        <v>3570</v>
      </c>
      <c r="M3466">
        <v>3570</v>
      </c>
      <c r="N3466" t="s">
        <v>988</v>
      </c>
    </row>
    <row r="3467" spans="1:14" hidden="1" x14ac:dyDescent="0.3">
      <c r="A3467">
        <v>2163</v>
      </c>
      <c r="B3467" t="s">
        <v>1908</v>
      </c>
      <c r="C3467" t="s">
        <v>2670</v>
      </c>
      <c r="D3467" t="s">
        <v>159</v>
      </c>
      <c r="E3467" t="s">
        <v>159</v>
      </c>
      <c r="F3467">
        <v>6759</v>
      </c>
      <c r="G3467" t="s">
        <v>2673</v>
      </c>
      <c r="H3467" t="s">
        <v>2665</v>
      </c>
      <c r="I3467">
        <v>3358</v>
      </c>
      <c r="J3467">
        <v>3416</v>
      </c>
      <c r="K3467">
        <v>3474</v>
      </c>
      <c r="L3467">
        <v>3533</v>
      </c>
      <c r="M3467">
        <v>3594</v>
      </c>
      <c r="N3467" t="s">
        <v>988</v>
      </c>
    </row>
    <row r="3468" spans="1:14" hidden="1" x14ac:dyDescent="0.3">
      <c r="A3468">
        <v>2163</v>
      </c>
      <c r="B3468" t="s">
        <v>1908</v>
      </c>
      <c r="C3468" t="s">
        <v>2670</v>
      </c>
      <c r="D3468" t="s">
        <v>159</v>
      </c>
      <c r="E3468" t="s">
        <v>159</v>
      </c>
      <c r="F3468">
        <v>6759</v>
      </c>
      <c r="G3468" t="s">
        <v>2671</v>
      </c>
      <c r="H3468" t="s">
        <v>2664</v>
      </c>
      <c r="I3468">
        <v>3570</v>
      </c>
      <c r="J3468">
        <v>3570</v>
      </c>
      <c r="K3468">
        <v>3570</v>
      </c>
      <c r="L3468">
        <v>3570</v>
      </c>
      <c r="M3468">
        <v>3570</v>
      </c>
      <c r="N3468" t="s">
        <v>988</v>
      </c>
    </row>
    <row r="3469" spans="1:14" hidden="1" x14ac:dyDescent="0.3">
      <c r="A3469">
        <v>2163</v>
      </c>
      <c r="B3469" t="s">
        <v>1908</v>
      </c>
      <c r="C3469" t="s">
        <v>2670</v>
      </c>
      <c r="D3469" t="s">
        <v>159</v>
      </c>
      <c r="E3469" t="s">
        <v>159</v>
      </c>
      <c r="F3469">
        <v>6759</v>
      </c>
      <c r="G3469" t="s">
        <v>2675</v>
      </c>
      <c r="H3469" t="s">
        <v>2665</v>
      </c>
      <c r="I3469">
        <v>3443</v>
      </c>
      <c r="J3469">
        <v>3502</v>
      </c>
      <c r="K3469">
        <v>3562</v>
      </c>
      <c r="L3469">
        <v>3623</v>
      </c>
      <c r="M3469">
        <v>3684</v>
      </c>
      <c r="N3469" t="s">
        <v>988</v>
      </c>
    </row>
    <row r="3470" spans="1:14" hidden="1" x14ac:dyDescent="0.3">
      <c r="A3470">
        <v>2164</v>
      </c>
      <c r="B3470" t="s">
        <v>1909</v>
      </c>
      <c r="C3470" t="s">
        <v>2670</v>
      </c>
      <c r="D3470" t="s">
        <v>159</v>
      </c>
      <c r="E3470" t="s">
        <v>159</v>
      </c>
      <c r="F3470">
        <v>6833</v>
      </c>
      <c r="G3470" t="s">
        <v>2671</v>
      </c>
      <c r="H3470" t="s">
        <v>2665</v>
      </c>
      <c r="I3470">
        <v>79200</v>
      </c>
      <c r="J3470">
        <v>81100</v>
      </c>
      <c r="K3470">
        <v>83450</v>
      </c>
      <c r="L3470">
        <v>86700</v>
      </c>
      <c r="M3470">
        <v>90290</v>
      </c>
      <c r="N3470" t="s">
        <v>988</v>
      </c>
    </row>
    <row r="3471" spans="1:14" hidden="1" x14ac:dyDescent="0.3">
      <c r="A3471">
        <v>2164</v>
      </c>
      <c r="B3471" t="s">
        <v>1909</v>
      </c>
      <c r="C3471" t="s">
        <v>2670</v>
      </c>
      <c r="D3471" t="s">
        <v>159</v>
      </c>
      <c r="E3471" t="s">
        <v>159</v>
      </c>
      <c r="F3471">
        <v>6833</v>
      </c>
      <c r="G3471" t="s">
        <v>2672</v>
      </c>
      <c r="H3471" t="s">
        <v>2664</v>
      </c>
      <c r="N3471" t="s">
        <v>988</v>
      </c>
    </row>
    <row r="3472" spans="1:14" hidden="1" x14ac:dyDescent="0.3">
      <c r="A3472">
        <v>2164</v>
      </c>
      <c r="B3472" t="s">
        <v>1909</v>
      </c>
      <c r="C3472" t="s">
        <v>2670</v>
      </c>
      <c r="D3472" t="s">
        <v>159</v>
      </c>
      <c r="E3472" t="s">
        <v>159</v>
      </c>
      <c r="F3472">
        <v>6833</v>
      </c>
      <c r="G3472" t="s">
        <v>2672</v>
      </c>
      <c r="H3472" t="s">
        <v>2665</v>
      </c>
      <c r="N3472" t="s">
        <v>988</v>
      </c>
    </row>
    <row r="3473" spans="1:14" hidden="1" x14ac:dyDescent="0.3">
      <c r="A3473">
        <v>2164</v>
      </c>
      <c r="B3473" t="s">
        <v>1909</v>
      </c>
      <c r="C3473" t="s">
        <v>2670</v>
      </c>
      <c r="D3473" t="s">
        <v>159</v>
      </c>
      <c r="E3473" t="s">
        <v>159</v>
      </c>
      <c r="F3473">
        <v>6833</v>
      </c>
      <c r="G3473" t="s">
        <v>2676</v>
      </c>
      <c r="H3473" t="s">
        <v>2664</v>
      </c>
      <c r="I3473">
        <v>66650</v>
      </c>
      <c r="J3473">
        <v>68780</v>
      </c>
      <c r="K3473">
        <v>71470</v>
      </c>
      <c r="L3473">
        <v>74380</v>
      </c>
      <c r="M3473">
        <v>67320</v>
      </c>
      <c r="N3473" t="s">
        <v>988</v>
      </c>
    </row>
    <row r="3474" spans="1:14" hidden="1" x14ac:dyDescent="0.3">
      <c r="A3474">
        <v>2164</v>
      </c>
      <c r="B3474" t="s">
        <v>1909</v>
      </c>
      <c r="C3474" t="s">
        <v>2670</v>
      </c>
      <c r="D3474" t="s">
        <v>159</v>
      </c>
      <c r="E3474" t="s">
        <v>159</v>
      </c>
      <c r="F3474">
        <v>6833</v>
      </c>
      <c r="G3474" t="s">
        <v>2676</v>
      </c>
      <c r="H3474" t="s">
        <v>2665</v>
      </c>
      <c r="I3474">
        <v>79200</v>
      </c>
      <c r="J3474">
        <v>81100</v>
      </c>
      <c r="K3474">
        <v>83450</v>
      </c>
      <c r="L3474">
        <v>86700</v>
      </c>
      <c r="M3474">
        <v>90290</v>
      </c>
      <c r="N3474" t="s">
        <v>988</v>
      </c>
    </row>
    <row r="3475" spans="1:14" hidden="1" x14ac:dyDescent="0.3">
      <c r="A3475">
        <v>2164</v>
      </c>
      <c r="B3475" t="s">
        <v>1909</v>
      </c>
      <c r="C3475" t="s">
        <v>2670</v>
      </c>
      <c r="D3475" t="s">
        <v>159</v>
      </c>
      <c r="E3475" t="s">
        <v>159</v>
      </c>
      <c r="F3475">
        <v>6833</v>
      </c>
      <c r="G3475" t="s">
        <v>2675</v>
      </c>
      <c r="H3475" t="s">
        <v>2664</v>
      </c>
      <c r="I3475">
        <v>57690</v>
      </c>
      <c r="J3475">
        <v>59820</v>
      </c>
      <c r="K3475">
        <v>62170</v>
      </c>
      <c r="L3475">
        <v>64860</v>
      </c>
      <c r="M3475">
        <v>67320</v>
      </c>
      <c r="N3475" t="s">
        <v>988</v>
      </c>
    </row>
    <row r="3476" spans="1:14" hidden="1" x14ac:dyDescent="0.3">
      <c r="A3476">
        <v>2164</v>
      </c>
      <c r="B3476" t="s">
        <v>1909</v>
      </c>
      <c r="C3476" t="s">
        <v>2670</v>
      </c>
      <c r="D3476" t="s">
        <v>159</v>
      </c>
      <c r="E3476" t="s">
        <v>159</v>
      </c>
      <c r="F3476">
        <v>6833</v>
      </c>
      <c r="G3476" t="s">
        <v>2675</v>
      </c>
      <c r="H3476" t="s">
        <v>2665</v>
      </c>
      <c r="I3476">
        <v>79200</v>
      </c>
      <c r="J3476">
        <v>81100</v>
      </c>
      <c r="K3476">
        <v>83450</v>
      </c>
      <c r="L3476">
        <v>86700</v>
      </c>
      <c r="M3476">
        <v>90290</v>
      </c>
      <c r="N3476" t="s">
        <v>988</v>
      </c>
    </row>
    <row r="3477" spans="1:14" hidden="1" x14ac:dyDescent="0.3">
      <c r="A3477">
        <v>2164</v>
      </c>
      <c r="B3477" t="s">
        <v>1909</v>
      </c>
      <c r="C3477" t="s">
        <v>2670</v>
      </c>
      <c r="D3477" t="s">
        <v>159</v>
      </c>
      <c r="E3477" t="s">
        <v>159</v>
      </c>
      <c r="F3477">
        <v>6833</v>
      </c>
      <c r="G3477" t="s">
        <v>2674</v>
      </c>
      <c r="H3477" t="s">
        <v>2664</v>
      </c>
      <c r="I3477">
        <v>57690</v>
      </c>
      <c r="J3477">
        <v>59820</v>
      </c>
      <c r="K3477">
        <v>62170</v>
      </c>
      <c r="L3477">
        <v>64860</v>
      </c>
      <c r="M3477">
        <v>67320</v>
      </c>
      <c r="N3477" t="s">
        <v>988</v>
      </c>
    </row>
    <row r="3478" spans="1:14" hidden="1" x14ac:dyDescent="0.3">
      <c r="A3478">
        <v>2164</v>
      </c>
      <c r="B3478" t="s">
        <v>1909</v>
      </c>
      <c r="C3478" t="s">
        <v>2670</v>
      </c>
      <c r="D3478" t="s">
        <v>159</v>
      </c>
      <c r="E3478" t="s">
        <v>159</v>
      </c>
      <c r="F3478">
        <v>6833</v>
      </c>
      <c r="G3478" t="s">
        <v>2674</v>
      </c>
      <c r="H3478" t="s">
        <v>2665</v>
      </c>
      <c r="I3478">
        <v>79200</v>
      </c>
      <c r="J3478">
        <v>81100</v>
      </c>
      <c r="K3478">
        <v>83450</v>
      </c>
      <c r="L3478">
        <v>86700</v>
      </c>
      <c r="M3478">
        <v>90290</v>
      </c>
      <c r="N3478" t="s">
        <v>988</v>
      </c>
    </row>
    <row r="3479" spans="1:14" hidden="1" x14ac:dyDescent="0.3">
      <c r="A3479">
        <v>2164</v>
      </c>
      <c r="B3479" t="s">
        <v>1909</v>
      </c>
      <c r="C3479" t="s">
        <v>2670</v>
      </c>
      <c r="D3479" t="s">
        <v>159</v>
      </c>
      <c r="E3479" t="s">
        <v>159</v>
      </c>
      <c r="F3479">
        <v>6833</v>
      </c>
      <c r="G3479" t="s">
        <v>2671</v>
      </c>
      <c r="H3479" t="s">
        <v>2664</v>
      </c>
      <c r="I3479">
        <v>57690</v>
      </c>
      <c r="J3479">
        <v>59820</v>
      </c>
      <c r="K3479">
        <v>57580</v>
      </c>
      <c r="L3479">
        <v>58250</v>
      </c>
      <c r="M3479">
        <v>58360</v>
      </c>
      <c r="N3479" t="s">
        <v>988</v>
      </c>
    </row>
    <row r="3480" spans="1:14" hidden="1" x14ac:dyDescent="0.3">
      <c r="A3480">
        <v>2164</v>
      </c>
      <c r="B3480" t="s">
        <v>1909</v>
      </c>
      <c r="C3480" t="s">
        <v>2670</v>
      </c>
      <c r="D3480" t="s">
        <v>159</v>
      </c>
      <c r="E3480" t="s">
        <v>159</v>
      </c>
      <c r="F3480">
        <v>6833</v>
      </c>
      <c r="G3480" t="s">
        <v>2673</v>
      </c>
      <c r="H3480" t="s">
        <v>2665</v>
      </c>
      <c r="I3480">
        <v>79200</v>
      </c>
      <c r="J3480">
        <v>81100</v>
      </c>
      <c r="K3480">
        <v>83450</v>
      </c>
      <c r="L3480">
        <v>86700</v>
      </c>
      <c r="M3480">
        <v>90290</v>
      </c>
      <c r="N3480" t="s">
        <v>988</v>
      </c>
    </row>
    <row r="3481" spans="1:14" hidden="1" x14ac:dyDescent="0.3">
      <c r="A3481">
        <v>2164</v>
      </c>
      <c r="B3481" t="s">
        <v>1909</v>
      </c>
      <c r="C3481" t="s">
        <v>2670</v>
      </c>
      <c r="D3481" t="s">
        <v>159</v>
      </c>
      <c r="E3481" t="s">
        <v>159</v>
      </c>
      <c r="F3481">
        <v>6833</v>
      </c>
      <c r="G3481" t="s">
        <v>2673</v>
      </c>
      <c r="H3481" t="s">
        <v>2664</v>
      </c>
      <c r="I3481">
        <v>57690</v>
      </c>
      <c r="J3481">
        <v>59820</v>
      </c>
      <c r="K3481">
        <v>62170</v>
      </c>
      <c r="L3481">
        <v>58250</v>
      </c>
      <c r="M3481">
        <v>58360</v>
      </c>
      <c r="N3481" t="s">
        <v>988</v>
      </c>
    </row>
    <row r="3482" spans="1:14" hidden="1" x14ac:dyDescent="0.3">
      <c r="A3482">
        <v>2165</v>
      </c>
      <c r="B3482" t="s">
        <v>1912</v>
      </c>
      <c r="C3482" t="s">
        <v>2670</v>
      </c>
      <c r="D3482" t="s">
        <v>1203</v>
      </c>
      <c r="E3482" t="s">
        <v>1204</v>
      </c>
      <c r="F3482">
        <v>5523</v>
      </c>
      <c r="G3482" t="s">
        <v>2673</v>
      </c>
      <c r="H3482" t="s">
        <v>2665</v>
      </c>
      <c r="I3482">
        <v>6685</v>
      </c>
      <c r="J3482">
        <v>6822</v>
      </c>
      <c r="K3482">
        <v>6963</v>
      </c>
      <c r="L3482">
        <v>7106</v>
      </c>
      <c r="M3482">
        <v>7252</v>
      </c>
      <c r="N3482" t="s">
        <v>988</v>
      </c>
    </row>
    <row r="3483" spans="1:14" hidden="1" x14ac:dyDescent="0.3">
      <c r="A3483">
        <v>2165</v>
      </c>
      <c r="B3483" t="s">
        <v>1912</v>
      </c>
      <c r="C3483" t="s">
        <v>2670</v>
      </c>
      <c r="D3483" t="s">
        <v>1203</v>
      </c>
      <c r="E3483" t="s">
        <v>1204</v>
      </c>
      <c r="F3483">
        <v>5523</v>
      </c>
      <c r="G3483" t="s">
        <v>2673</v>
      </c>
      <c r="H3483" t="s">
        <v>2664</v>
      </c>
      <c r="I3483">
        <v>6685</v>
      </c>
      <c r="J3483">
        <v>6822</v>
      </c>
      <c r="K3483">
        <v>6963</v>
      </c>
      <c r="L3483">
        <v>7106</v>
      </c>
      <c r="M3483">
        <v>7252</v>
      </c>
      <c r="N3483" t="s">
        <v>988</v>
      </c>
    </row>
    <row r="3484" spans="1:14" hidden="1" x14ac:dyDescent="0.3">
      <c r="A3484">
        <v>2165</v>
      </c>
      <c r="B3484" t="s">
        <v>1912</v>
      </c>
      <c r="C3484" t="s">
        <v>2670</v>
      </c>
      <c r="D3484" t="s">
        <v>1203</v>
      </c>
      <c r="E3484" t="s">
        <v>1204</v>
      </c>
      <c r="F3484">
        <v>5523</v>
      </c>
      <c r="G3484" t="s">
        <v>2674</v>
      </c>
      <c r="H3484" t="s">
        <v>2665</v>
      </c>
      <c r="I3484">
        <v>7493</v>
      </c>
      <c r="J3484">
        <v>7647</v>
      </c>
      <c r="K3484">
        <v>7804</v>
      </c>
      <c r="L3484">
        <v>7964</v>
      </c>
      <c r="M3484">
        <v>8128</v>
      </c>
      <c r="N3484" t="s">
        <v>988</v>
      </c>
    </row>
    <row r="3485" spans="1:14" hidden="1" x14ac:dyDescent="0.3">
      <c r="A3485">
        <v>2165</v>
      </c>
      <c r="B3485" t="s">
        <v>1912</v>
      </c>
      <c r="C3485" t="s">
        <v>2670</v>
      </c>
      <c r="D3485" t="s">
        <v>1203</v>
      </c>
      <c r="E3485" t="s">
        <v>1204</v>
      </c>
      <c r="F3485">
        <v>5523</v>
      </c>
      <c r="G3485" t="s">
        <v>2674</v>
      </c>
      <c r="H3485" t="s">
        <v>2664</v>
      </c>
      <c r="I3485">
        <v>7493</v>
      </c>
      <c r="J3485">
        <v>7647</v>
      </c>
      <c r="K3485">
        <v>7804</v>
      </c>
      <c r="L3485">
        <v>7964</v>
      </c>
      <c r="M3485">
        <v>8128</v>
      </c>
      <c r="N3485" t="s">
        <v>988</v>
      </c>
    </row>
    <row r="3486" spans="1:14" hidden="1" x14ac:dyDescent="0.3">
      <c r="A3486">
        <v>2165</v>
      </c>
      <c r="B3486" t="s">
        <v>1912</v>
      </c>
      <c r="C3486" t="s">
        <v>2670</v>
      </c>
      <c r="D3486" t="s">
        <v>1203</v>
      </c>
      <c r="E3486" t="s">
        <v>1204</v>
      </c>
      <c r="F3486">
        <v>5523</v>
      </c>
      <c r="G3486" t="s">
        <v>2675</v>
      </c>
      <c r="H3486" t="s">
        <v>2665</v>
      </c>
      <c r="I3486">
        <v>7463</v>
      </c>
      <c r="J3486">
        <v>7616</v>
      </c>
      <c r="K3486">
        <v>7773</v>
      </c>
      <c r="L3486">
        <v>7933</v>
      </c>
      <c r="M3486">
        <v>8096</v>
      </c>
      <c r="N3486" t="s">
        <v>988</v>
      </c>
    </row>
    <row r="3487" spans="1:14" hidden="1" x14ac:dyDescent="0.3">
      <c r="A3487">
        <v>2165</v>
      </c>
      <c r="B3487" t="s">
        <v>1912</v>
      </c>
      <c r="C3487" t="s">
        <v>2670</v>
      </c>
      <c r="D3487" t="s">
        <v>1203</v>
      </c>
      <c r="E3487" t="s">
        <v>1204</v>
      </c>
      <c r="F3487">
        <v>5523</v>
      </c>
      <c r="G3487" t="s">
        <v>2672</v>
      </c>
      <c r="H3487" t="s">
        <v>2665</v>
      </c>
      <c r="N3487" t="s">
        <v>988</v>
      </c>
    </row>
    <row r="3488" spans="1:14" hidden="1" x14ac:dyDescent="0.3">
      <c r="A3488">
        <v>2165</v>
      </c>
      <c r="B3488" t="s">
        <v>1912</v>
      </c>
      <c r="C3488" t="s">
        <v>2670</v>
      </c>
      <c r="D3488" t="s">
        <v>1203</v>
      </c>
      <c r="E3488" t="s">
        <v>1204</v>
      </c>
      <c r="F3488">
        <v>5523</v>
      </c>
      <c r="G3488" t="s">
        <v>2676</v>
      </c>
      <c r="H3488" t="s">
        <v>2665</v>
      </c>
      <c r="I3488">
        <v>7211</v>
      </c>
      <c r="J3488">
        <v>7359</v>
      </c>
      <c r="K3488">
        <v>7511</v>
      </c>
      <c r="L3488">
        <v>7665</v>
      </c>
      <c r="M3488">
        <v>7823</v>
      </c>
      <c r="N3488" t="s">
        <v>988</v>
      </c>
    </row>
    <row r="3489" spans="1:14" hidden="1" x14ac:dyDescent="0.3">
      <c r="A3489">
        <v>2165</v>
      </c>
      <c r="B3489" t="s">
        <v>1912</v>
      </c>
      <c r="C3489" t="s">
        <v>2670</v>
      </c>
      <c r="D3489" t="s">
        <v>1203</v>
      </c>
      <c r="E3489" t="s">
        <v>1204</v>
      </c>
      <c r="F3489">
        <v>5523</v>
      </c>
      <c r="G3489" t="s">
        <v>2676</v>
      </c>
      <c r="H3489" t="s">
        <v>2664</v>
      </c>
      <c r="I3489">
        <v>7211</v>
      </c>
      <c r="J3489">
        <v>7359</v>
      </c>
      <c r="K3489">
        <v>7511</v>
      </c>
      <c r="L3489">
        <v>7665</v>
      </c>
      <c r="M3489">
        <v>7823</v>
      </c>
      <c r="N3489" t="s">
        <v>988</v>
      </c>
    </row>
    <row r="3490" spans="1:14" hidden="1" x14ac:dyDescent="0.3">
      <c r="A3490">
        <v>2165</v>
      </c>
      <c r="B3490" t="s">
        <v>1912</v>
      </c>
      <c r="C3490" t="s">
        <v>2670</v>
      </c>
      <c r="D3490" t="s">
        <v>1203</v>
      </c>
      <c r="E3490" t="s">
        <v>1204</v>
      </c>
      <c r="F3490">
        <v>5523</v>
      </c>
      <c r="G3490" t="s">
        <v>2671</v>
      </c>
      <c r="H3490" t="s">
        <v>2664</v>
      </c>
      <c r="I3490">
        <v>5945</v>
      </c>
      <c r="J3490">
        <v>6067</v>
      </c>
      <c r="K3490">
        <v>6192</v>
      </c>
      <c r="L3490">
        <v>6319</v>
      </c>
      <c r="M3490">
        <v>6449</v>
      </c>
      <c r="N3490" t="s">
        <v>988</v>
      </c>
    </row>
    <row r="3491" spans="1:14" hidden="1" x14ac:dyDescent="0.3">
      <c r="A3491">
        <v>2165</v>
      </c>
      <c r="B3491" t="s">
        <v>1912</v>
      </c>
      <c r="C3491" t="s">
        <v>2670</v>
      </c>
      <c r="D3491" t="s">
        <v>1203</v>
      </c>
      <c r="E3491" t="s">
        <v>1204</v>
      </c>
      <c r="F3491">
        <v>5523</v>
      </c>
      <c r="G3491" t="s">
        <v>2671</v>
      </c>
      <c r="H3491" t="s">
        <v>2665</v>
      </c>
      <c r="I3491">
        <v>5945</v>
      </c>
      <c r="J3491">
        <v>6067</v>
      </c>
      <c r="K3491">
        <v>6192</v>
      </c>
      <c r="L3491">
        <v>6319</v>
      </c>
      <c r="M3491">
        <v>6449</v>
      </c>
      <c r="N3491" t="s">
        <v>988</v>
      </c>
    </row>
    <row r="3492" spans="1:14" hidden="1" x14ac:dyDescent="0.3">
      <c r="A3492">
        <v>2165</v>
      </c>
      <c r="B3492" t="s">
        <v>1912</v>
      </c>
      <c r="C3492" t="s">
        <v>2670</v>
      </c>
      <c r="D3492" t="s">
        <v>1203</v>
      </c>
      <c r="E3492" t="s">
        <v>1204</v>
      </c>
      <c r="F3492">
        <v>5523</v>
      </c>
      <c r="G3492" t="s">
        <v>2672</v>
      </c>
      <c r="H3492" t="s">
        <v>2664</v>
      </c>
      <c r="N3492" t="s">
        <v>988</v>
      </c>
    </row>
    <row r="3493" spans="1:14" hidden="1" x14ac:dyDescent="0.3">
      <c r="A3493">
        <v>2165</v>
      </c>
      <c r="B3493" t="s">
        <v>1912</v>
      </c>
      <c r="C3493" t="s">
        <v>2670</v>
      </c>
      <c r="D3493" t="s">
        <v>1203</v>
      </c>
      <c r="E3493" t="s">
        <v>1204</v>
      </c>
      <c r="F3493">
        <v>5523</v>
      </c>
      <c r="G3493" t="s">
        <v>2675</v>
      </c>
      <c r="H3493" t="s">
        <v>2664</v>
      </c>
      <c r="I3493">
        <v>7463</v>
      </c>
      <c r="J3493">
        <v>7616</v>
      </c>
      <c r="K3493">
        <v>7773</v>
      </c>
      <c r="L3493">
        <v>7933</v>
      </c>
      <c r="M3493">
        <v>8096</v>
      </c>
      <c r="N3493" t="s">
        <v>988</v>
      </c>
    </row>
    <row r="3494" spans="1:14" hidden="1" x14ac:dyDescent="0.3">
      <c r="A3494">
        <v>2167</v>
      </c>
      <c r="B3494" t="s">
        <v>1914</v>
      </c>
      <c r="C3494" t="s">
        <v>2670</v>
      </c>
      <c r="D3494" t="s">
        <v>159</v>
      </c>
      <c r="E3494" t="s">
        <v>159</v>
      </c>
      <c r="F3494">
        <v>5516</v>
      </c>
      <c r="G3494" t="s">
        <v>2676</v>
      </c>
      <c r="H3494" t="s">
        <v>2665</v>
      </c>
      <c r="I3494">
        <v>40222</v>
      </c>
      <c r="J3494">
        <v>40751</v>
      </c>
      <c r="K3494">
        <v>41285</v>
      </c>
      <c r="L3494">
        <v>41713</v>
      </c>
      <c r="M3494">
        <v>42144</v>
      </c>
      <c r="N3494" t="s">
        <v>988</v>
      </c>
    </row>
    <row r="3495" spans="1:14" hidden="1" x14ac:dyDescent="0.3">
      <c r="A3495">
        <v>2167</v>
      </c>
      <c r="B3495" t="s">
        <v>1914</v>
      </c>
      <c r="C3495" t="s">
        <v>2670</v>
      </c>
      <c r="D3495" t="s">
        <v>159</v>
      </c>
      <c r="E3495" t="s">
        <v>159</v>
      </c>
      <c r="F3495">
        <v>5516</v>
      </c>
      <c r="G3495" t="s">
        <v>2676</v>
      </c>
      <c r="H3495" t="s">
        <v>2664</v>
      </c>
      <c r="I3495">
        <v>40222</v>
      </c>
      <c r="J3495">
        <v>40751</v>
      </c>
      <c r="K3495">
        <v>41285</v>
      </c>
      <c r="L3495">
        <v>41713</v>
      </c>
      <c r="M3495">
        <v>42144</v>
      </c>
      <c r="N3495" t="s">
        <v>988</v>
      </c>
    </row>
    <row r="3496" spans="1:14" hidden="1" x14ac:dyDescent="0.3">
      <c r="A3496">
        <v>2167</v>
      </c>
      <c r="B3496" t="s">
        <v>1914</v>
      </c>
      <c r="C3496" t="s">
        <v>2670</v>
      </c>
      <c r="D3496" t="s">
        <v>159</v>
      </c>
      <c r="E3496" t="s">
        <v>159</v>
      </c>
      <c r="F3496">
        <v>5516</v>
      </c>
      <c r="G3496" t="s">
        <v>2675</v>
      </c>
      <c r="H3496" t="s">
        <v>2664</v>
      </c>
      <c r="I3496">
        <v>41385</v>
      </c>
      <c r="J3496">
        <v>41930</v>
      </c>
      <c r="K3496">
        <v>42479</v>
      </c>
      <c r="L3496">
        <v>42919</v>
      </c>
      <c r="M3496">
        <v>43363</v>
      </c>
      <c r="N3496" t="s">
        <v>988</v>
      </c>
    </row>
    <row r="3497" spans="1:14" hidden="1" x14ac:dyDescent="0.3">
      <c r="A3497">
        <v>2167</v>
      </c>
      <c r="B3497" t="s">
        <v>1914</v>
      </c>
      <c r="C3497" t="s">
        <v>2670</v>
      </c>
      <c r="D3497" t="s">
        <v>159</v>
      </c>
      <c r="E3497" t="s">
        <v>159</v>
      </c>
      <c r="F3497">
        <v>5516</v>
      </c>
      <c r="G3497" t="s">
        <v>2675</v>
      </c>
      <c r="H3497" t="s">
        <v>2665</v>
      </c>
      <c r="I3497">
        <v>41385</v>
      </c>
      <c r="J3497">
        <v>41930</v>
      </c>
      <c r="K3497">
        <v>42479</v>
      </c>
      <c r="L3497">
        <v>42919</v>
      </c>
      <c r="M3497">
        <v>43363</v>
      </c>
      <c r="N3497" t="s">
        <v>988</v>
      </c>
    </row>
    <row r="3498" spans="1:14" hidden="1" x14ac:dyDescent="0.3">
      <c r="A3498">
        <v>2167</v>
      </c>
      <c r="B3498" t="s">
        <v>1914</v>
      </c>
      <c r="C3498" t="s">
        <v>2670</v>
      </c>
      <c r="D3498" t="s">
        <v>159</v>
      </c>
      <c r="E3498" t="s">
        <v>159</v>
      </c>
      <c r="F3498">
        <v>5516</v>
      </c>
      <c r="G3498" t="s">
        <v>2674</v>
      </c>
      <c r="H3498" t="s">
        <v>2664</v>
      </c>
      <c r="I3498">
        <v>46289</v>
      </c>
      <c r="J3498">
        <v>46899</v>
      </c>
      <c r="K3498">
        <v>47513</v>
      </c>
      <c r="L3498">
        <v>48005</v>
      </c>
      <c r="M3498">
        <v>48501</v>
      </c>
      <c r="N3498" t="s">
        <v>988</v>
      </c>
    </row>
    <row r="3499" spans="1:14" hidden="1" x14ac:dyDescent="0.3">
      <c r="A3499">
        <v>2167</v>
      </c>
      <c r="B3499" t="s">
        <v>1914</v>
      </c>
      <c r="C3499" t="s">
        <v>2670</v>
      </c>
      <c r="D3499" t="s">
        <v>159</v>
      </c>
      <c r="E3499" t="s">
        <v>159</v>
      </c>
      <c r="F3499">
        <v>5516</v>
      </c>
      <c r="G3499" t="s">
        <v>2674</v>
      </c>
      <c r="H3499" t="s">
        <v>2665</v>
      </c>
      <c r="I3499">
        <v>46289</v>
      </c>
      <c r="J3499">
        <v>46899</v>
      </c>
      <c r="K3499">
        <v>47513</v>
      </c>
      <c r="L3499">
        <v>48005</v>
      </c>
      <c r="M3499">
        <v>48501</v>
      </c>
      <c r="N3499" t="s">
        <v>988</v>
      </c>
    </row>
    <row r="3500" spans="1:14" hidden="1" x14ac:dyDescent="0.3">
      <c r="A3500">
        <v>2167</v>
      </c>
      <c r="B3500" t="s">
        <v>1914</v>
      </c>
      <c r="C3500" t="s">
        <v>2670</v>
      </c>
      <c r="D3500" t="s">
        <v>159</v>
      </c>
      <c r="E3500" t="s">
        <v>159</v>
      </c>
      <c r="F3500">
        <v>5516</v>
      </c>
      <c r="G3500" t="s">
        <v>2673</v>
      </c>
      <c r="H3500" t="s">
        <v>2664</v>
      </c>
      <c r="I3500">
        <v>45157</v>
      </c>
      <c r="J3500">
        <v>45751</v>
      </c>
      <c r="K3500">
        <v>46350</v>
      </c>
      <c r="L3500">
        <v>46831</v>
      </c>
      <c r="M3500">
        <v>47315</v>
      </c>
      <c r="N3500" t="s">
        <v>988</v>
      </c>
    </row>
    <row r="3501" spans="1:14" hidden="1" x14ac:dyDescent="0.3">
      <c r="A3501">
        <v>2167</v>
      </c>
      <c r="B3501" t="s">
        <v>1914</v>
      </c>
      <c r="C3501" t="s">
        <v>2670</v>
      </c>
      <c r="D3501" t="s">
        <v>159</v>
      </c>
      <c r="E3501" t="s">
        <v>159</v>
      </c>
      <c r="F3501">
        <v>5516</v>
      </c>
      <c r="G3501" t="s">
        <v>2673</v>
      </c>
      <c r="H3501" t="s">
        <v>2665</v>
      </c>
      <c r="I3501">
        <v>45157</v>
      </c>
      <c r="J3501">
        <v>45751</v>
      </c>
      <c r="K3501">
        <v>46350</v>
      </c>
      <c r="L3501">
        <v>46831</v>
      </c>
      <c r="M3501">
        <v>47315</v>
      </c>
      <c r="N3501" t="s">
        <v>988</v>
      </c>
    </row>
    <row r="3502" spans="1:14" hidden="1" x14ac:dyDescent="0.3">
      <c r="A3502">
        <v>2167</v>
      </c>
      <c r="B3502" t="s">
        <v>1914</v>
      </c>
      <c r="C3502" t="s">
        <v>2670</v>
      </c>
      <c r="D3502" t="s">
        <v>159</v>
      </c>
      <c r="E3502" t="s">
        <v>159</v>
      </c>
      <c r="F3502">
        <v>5516</v>
      </c>
      <c r="G3502" t="s">
        <v>2671</v>
      </c>
      <c r="H3502" t="s">
        <v>2664</v>
      </c>
      <c r="I3502">
        <v>36072</v>
      </c>
      <c r="J3502">
        <v>36547</v>
      </c>
      <c r="K3502">
        <v>37025</v>
      </c>
      <c r="L3502">
        <v>37409</v>
      </c>
      <c r="M3502">
        <v>37796</v>
      </c>
      <c r="N3502" t="s">
        <v>988</v>
      </c>
    </row>
    <row r="3503" spans="1:14" hidden="1" x14ac:dyDescent="0.3">
      <c r="A3503">
        <v>2167</v>
      </c>
      <c r="B3503" t="s">
        <v>1914</v>
      </c>
      <c r="C3503" t="s">
        <v>2670</v>
      </c>
      <c r="D3503" t="s">
        <v>159</v>
      </c>
      <c r="E3503" t="s">
        <v>159</v>
      </c>
      <c r="F3503">
        <v>5516</v>
      </c>
      <c r="G3503" t="s">
        <v>2671</v>
      </c>
      <c r="H3503" t="s">
        <v>2665</v>
      </c>
      <c r="I3503">
        <v>36072</v>
      </c>
      <c r="J3503">
        <v>36547</v>
      </c>
      <c r="K3503">
        <v>37025</v>
      </c>
      <c r="L3503">
        <v>37409</v>
      </c>
      <c r="M3503">
        <v>37796</v>
      </c>
      <c r="N3503" t="s">
        <v>988</v>
      </c>
    </row>
    <row r="3504" spans="1:14" hidden="1" x14ac:dyDescent="0.3">
      <c r="A3504">
        <v>2167</v>
      </c>
      <c r="B3504" t="s">
        <v>1914</v>
      </c>
      <c r="C3504" t="s">
        <v>2670</v>
      </c>
      <c r="D3504" t="s">
        <v>159</v>
      </c>
      <c r="E3504" t="s">
        <v>159</v>
      </c>
      <c r="F3504">
        <v>5516</v>
      </c>
      <c r="G3504" t="s">
        <v>2672</v>
      </c>
      <c r="H3504" t="s">
        <v>2664</v>
      </c>
      <c r="N3504" t="s">
        <v>988</v>
      </c>
    </row>
    <row r="3505" spans="1:14" hidden="1" x14ac:dyDescent="0.3">
      <c r="A3505">
        <v>2167</v>
      </c>
      <c r="B3505" t="s">
        <v>1914</v>
      </c>
      <c r="C3505" t="s">
        <v>2670</v>
      </c>
      <c r="D3505" t="s">
        <v>159</v>
      </c>
      <c r="E3505" t="s">
        <v>159</v>
      </c>
      <c r="F3505">
        <v>5516</v>
      </c>
      <c r="G3505" t="s">
        <v>2672</v>
      </c>
      <c r="H3505" t="s">
        <v>2665</v>
      </c>
      <c r="N3505" t="s">
        <v>988</v>
      </c>
    </row>
    <row r="3506" spans="1:14" hidden="1" x14ac:dyDescent="0.3">
      <c r="A3506">
        <v>2166</v>
      </c>
      <c r="B3506" t="s">
        <v>1915</v>
      </c>
      <c r="C3506" t="s">
        <v>2670</v>
      </c>
      <c r="D3506" t="s">
        <v>159</v>
      </c>
      <c r="E3506" t="s">
        <v>159</v>
      </c>
      <c r="F3506">
        <v>6634</v>
      </c>
      <c r="G3506" t="s">
        <v>2672</v>
      </c>
      <c r="H3506" t="s">
        <v>2665</v>
      </c>
      <c r="N3506" t="s">
        <v>988</v>
      </c>
    </row>
    <row r="3507" spans="1:14" hidden="1" x14ac:dyDescent="0.3">
      <c r="A3507">
        <v>2166</v>
      </c>
      <c r="B3507" t="s">
        <v>1915</v>
      </c>
      <c r="C3507" t="s">
        <v>2670</v>
      </c>
      <c r="D3507" t="s">
        <v>159</v>
      </c>
      <c r="E3507" t="s">
        <v>159</v>
      </c>
      <c r="F3507">
        <v>6634</v>
      </c>
      <c r="G3507" t="s">
        <v>2672</v>
      </c>
      <c r="H3507" t="s">
        <v>2664</v>
      </c>
      <c r="N3507" t="s">
        <v>988</v>
      </c>
    </row>
    <row r="3508" spans="1:14" hidden="1" x14ac:dyDescent="0.3">
      <c r="A3508">
        <v>2166</v>
      </c>
      <c r="B3508" t="s">
        <v>1915</v>
      </c>
      <c r="C3508" t="s">
        <v>2670</v>
      </c>
      <c r="D3508" t="s">
        <v>159</v>
      </c>
      <c r="E3508" t="s">
        <v>159</v>
      </c>
      <c r="F3508">
        <v>6634</v>
      </c>
      <c r="G3508" t="s">
        <v>2671</v>
      </c>
      <c r="H3508" t="s">
        <v>2665</v>
      </c>
      <c r="I3508">
        <v>36526</v>
      </c>
      <c r="J3508">
        <v>37580</v>
      </c>
      <c r="K3508">
        <v>38987</v>
      </c>
      <c r="L3508">
        <v>40411</v>
      </c>
      <c r="M3508">
        <v>41613</v>
      </c>
      <c r="N3508" t="s">
        <v>988</v>
      </c>
    </row>
    <row r="3509" spans="1:14" hidden="1" x14ac:dyDescent="0.3">
      <c r="A3509">
        <v>2166</v>
      </c>
      <c r="B3509" t="s">
        <v>1915</v>
      </c>
      <c r="C3509" t="s">
        <v>2670</v>
      </c>
      <c r="D3509" t="s">
        <v>159</v>
      </c>
      <c r="E3509" t="s">
        <v>159</v>
      </c>
      <c r="F3509">
        <v>6634</v>
      </c>
      <c r="G3509" t="s">
        <v>2671</v>
      </c>
      <c r="H3509" t="s">
        <v>2664</v>
      </c>
      <c r="I3509">
        <v>36526</v>
      </c>
      <c r="J3509">
        <v>37580</v>
      </c>
      <c r="K3509">
        <v>38987</v>
      </c>
      <c r="L3509">
        <v>40411</v>
      </c>
      <c r="M3509">
        <v>41613</v>
      </c>
      <c r="N3509" t="s">
        <v>988</v>
      </c>
    </row>
    <row r="3510" spans="1:14" hidden="1" x14ac:dyDescent="0.3">
      <c r="A3510">
        <v>2166</v>
      </c>
      <c r="B3510" t="s">
        <v>1915</v>
      </c>
      <c r="C3510" t="s">
        <v>2670</v>
      </c>
      <c r="D3510" t="s">
        <v>159</v>
      </c>
      <c r="E3510" t="s">
        <v>159</v>
      </c>
      <c r="F3510">
        <v>6634</v>
      </c>
      <c r="G3510" t="s">
        <v>2676</v>
      </c>
      <c r="H3510" t="s">
        <v>2664</v>
      </c>
      <c r="I3510">
        <v>42886</v>
      </c>
      <c r="J3510">
        <v>44124</v>
      </c>
      <c r="K3510">
        <v>45776</v>
      </c>
      <c r="L3510">
        <v>47447</v>
      </c>
      <c r="M3510">
        <v>48859</v>
      </c>
      <c r="N3510" t="s">
        <v>988</v>
      </c>
    </row>
    <row r="3511" spans="1:14" hidden="1" x14ac:dyDescent="0.3">
      <c r="A3511">
        <v>2166</v>
      </c>
      <c r="B3511" t="s">
        <v>1915</v>
      </c>
      <c r="C3511" t="s">
        <v>2670</v>
      </c>
      <c r="D3511" t="s">
        <v>159</v>
      </c>
      <c r="E3511" t="s">
        <v>159</v>
      </c>
      <c r="F3511">
        <v>6634</v>
      </c>
      <c r="G3511" t="s">
        <v>2673</v>
      </c>
      <c r="H3511" t="s">
        <v>2665</v>
      </c>
      <c r="I3511">
        <v>34006</v>
      </c>
      <c r="J3511">
        <v>34987</v>
      </c>
      <c r="K3511">
        <v>36297</v>
      </c>
      <c r="L3511">
        <v>37623</v>
      </c>
      <c r="M3511">
        <v>38742</v>
      </c>
      <c r="N3511" t="s">
        <v>988</v>
      </c>
    </row>
    <row r="3512" spans="1:14" hidden="1" x14ac:dyDescent="0.3">
      <c r="A3512">
        <v>2166</v>
      </c>
      <c r="B3512" t="s">
        <v>1915</v>
      </c>
      <c r="C3512" t="s">
        <v>2670</v>
      </c>
      <c r="D3512" t="s">
        <v>159</v>
      </c>
      <c r="E3512" t="s">
        <v>159</v>
      </c>
      <c r="F3512">
        <v>6634</v>
      </c>
      <c r="G3512" t="s">
        <v>2675</v>
      </c>
      <c r="H3512" t="s">
        <v>2664</v>
      </c>
      <c r="I3512">
        <v>41415</v>
      </c>
      <c r="J3512">
        <v>42610</v>
      </c>
      <c r="K3512">
        <v>44206</v>
      </c>
      <c r="L3512">
        <v>45820</v>
      </c>
      <c r="M3512">
        <v>47183</v>
      </c>
      <c r="N3512" t="s">
        <v>988</v>
      </c>
    </row>
    <row r="3513" spans="1:14" hidden="1" x14ac:dyDescent="0.3">
      <c r="A3513">
        <v>2166</v>
      </c>
      <c r="B3513" t="s">
        <v>1915</v>
      </c>
      <c r="C3513" t="s">
        <v>2670</v>
      </c>
      <c r="D3513" t="s">
        <v>159</v>
      </c>
      <c r="E3513" t="s">
        <v>159</v>
      </c>
      <c r="F3513">
        <v>6634</v>
      </c>
      <c r="G3513" t="s">
        <v>2675</v>
      </c>
      <c r="H3513" t="s">
        <v>2665</v>
      </c>
      <c r="I3513">
        <v>41415</v>
      </c>
      <c r="J3513">
        <v>42610</v>
      </c>
      <c r="K3513">
        <v>44206</v>
      </c>
      <c r="L3513">
        <v>45820</v>
      </c>
      <c r="M3513">
        <v>47183</v>
      </c>
      <c r="N3513" t="s">
        <v>988</v>
      </c>
    </row>
    <row r="3514" spans="1:14" hidden="1" x14ac:dyDescent="0.3">
      <c r="A3514">
        <v>2166</v>
      </c>
      <c r="B3514" t="s">
        <v>1915</v>
      </c>
      <c r="C3514" t="s">
        <v>2670</v>
      </c>
      <c r="D3514" t="s">
        <v>159</v>
      </c>
      <c r="E3514" t="s">
        <v>159</v>
      </c>
      <c r="F3514">
        <v>6634</v>
      </c>
      <c r="G3514" t="s">
        <v>2674</v>
      </c>
      <c r="H3514" t="s">
        <v>2664</v>
      </c>
      <c r="I3514">
        <v>34074</v>
      </c>
      <c r="J3514">
        <v>35057</v>
      </c>
      <c r="K3514">
        <v>36369</v>
      </c>
      <c r="L3514">
        <v>37697</v>
      </c>
      <c r="M3514">
        <v>38819</v>
      </c>
      <c r="N3514" t="s">
        <v>988</v>
      </c>
    </row>
    <row r="3515" spans="1:14" hidden="1" x14ac:dyDescent="0.3">
      <c r="A3515">
        <v>2166</v>
      </c>
      <c r="B3515" t="s">
        <v>1915</v>
      </c>
      <c r="C3515" t="s">
        <v>2670</v>
      </c>
      <c r="D3515" t="s">
        <v>159</v>
      </c>
      <c r="E3515" t="s">
        <v>159</v>
      </c>
      <c r="F3515">
        <v>6634</v>
      </c>
      <c r="G3515" t="s">
        <v>2674</v>
      </c>
      <c r="H3515" t="s">
        <v>2665</v>
      </c>
      <c r="I3515">
        <v>34074</v>
      </c>
      <c r="J3515">
        <v>35057</v>
      </c>
      <c r="K3515">
        <v>36369</v>
      </c>
      <c r="L3515">
        <v>37697</v>
      </c>
      <c r="M3515">
        <v>38819</v>
      </c>
      <c r="N3515" t="s">
        <v>988</v>
      </c>
    </row>
    <row r="3516" spans="1:14" hidden="1" x14ac:dyDescent="0.3">
      <c r="A3516">
        <v>2166</v>
      </c>
      <c r="B3516" t="s">
        <v>1915</v>
      </c>
      <c r="C3516" t="s">
        <v>2670</v>
      </c>
      <c r="D3516" t="s">
        <v>159</v>
      </c>
      <c r="E3516" t="s">
        <v>159</v>
      </c>
      <c r="F3516">
        <v>6634</v>
      </c>
      <c r="G3516" t="s">
        <v>2673</v>
      </c>
      <c r="H3516" t="s">
        <v>2664</v>
      </c>
      <c r="I3516">
        <v>34006</v>
      </c>
      <c r="J3516">
        <v>34987</v>
      </c>
      <c r="K3516">
        <v>36297</v>
      </c>
      <c r="L3516">
        <v>37623</v>
      </c>
      <c r="M3516">
        <v>38742</v>
      </c>
      <c r="N3516" t="s">
        <v>988</v>
      </c>
    </row>
    <row r="3517" spans="1:14" hidden="1" x14ac:dyDescent="0.3">
      <c r="A3517">
        <v>2166</v>
      </c>
      <c r="B3517" t="s">
        <v>1915</v>
      </c>
      <c r="C3517" t="s">
        <v>2670</v>
      </c>
      <c r="D3517" t="s">
        <v>159</v>
      </c>
      <c r="E3517" t="s">
        <v>159</v>
      </c>
      <c r="F3517">
        <v>6634</v>
      </c>
      <c r="G3517" t="s">
        <v>2676</v>
      </c>
      <c r="H3517" t="s">
        <v>2665</v>
      </c>
      <c r="I3517">
        <v>42886</v>
      </c>
      <c r="J3517">
        <v>44124</v>
      </c>
      <c r="K3517">
        <v>45776</v>
      </c>
      <c r="L3517">
        <v>47447</v>
      </c>
      <c r="M3517">
        <v>48859</v>
      </c>
      <c r="N3517" t="s">
        <v>988</v>
      </c>
    </row>
    <row r="3518" spans="1:14" hidden="1" x14ac:dyDescent="0.3">
      <c r="A3518">
        <v>2169</v>
      </c>
      <c r="B3518" t="s">
        <v>1919</v>
      </c>
      <c r="C3518" t="s">
        <v>2670</v>
      </c>
      <c r="D3518" t="s">
        <v>159</v>
      </c>
      <c r="E3518" t="s">
        <v>159</v>
      </c>
      <c r="F3518">
        <v>5514</v>
      </c>
      <c r="G3518" t="s">
        <v>2676</v>
      </c>
      <c r="H3518" t="s">
        <v>2665</v>
      </c>
      <c r="I3518">
        <v>3197</v>
      </c>
      <c r="J3518">
        <v>3452</v>
      </c>
      <c r="K3518">
        <v>3727</v>
      </c>
      <c r="L3518">
        <v>4024</v>
      </c>
      <c r="M3518">
        <v>4345</v>
      </c>
      <c r="N3518" t="s">
        <v>988</v>
      </c>
    </row>
    <row r="3519" spans="1:14" hidden="1" x14ac:dyDescent="0.3">
      <c r="A3519">
        <v>2169</v>
      </c>
      <c r="B3519" t="s">
        <v>1919</v>
      </c>
      <c r="C3519" t="s">
        <v>2670</v>
      </c>
      <c r="D3519" t="s">
        <v>159</v>
      </c>
      <c r="E3519" t="s">
        <v>159</v>
      </c>
      <c r="F3519">
        <v>5514</v>
      </c>
      <c r="G3519" t="s">
        <v>2675</v>
      </c>
      <c r="H3519" t="s">
        <v>2664</v>
      </c>
      <c r="I3519">
        <v>3485</v>
      </c>
      <c r="J3519">
        <v>3763</v>
      </c>
      <c r="K3519">
        <v>4063</v>
      </c>
      <c r="L3519">
        <v>4387</v>
      </c>
      <c r="M3519">
        <v>4736</v>
      </c>
      <c r="N3519" t="s">
        <v>988</v>
      </c>
    </row>
    <row r="3520" spans="1:14" hidden="1" x14ac:dyDescent="0.3">
      <c r="A3520">
        <v>2169</v>
      </c>
      <c r="B3520" t="s">
        <v>1919</v>
      </c>
      <c r="C3520" t="s">
        <v>2670</v>
      </c>
      <c r="D3520" t="s">
        <v>159</v>
      </c>
      <c r="E3520" t="s">
        <v>159</v>
      </c>
      <c r="F3520">
        <v>5514</v>
      </c>
      <c r="G3520" t="s">
        <v>2676</v>
      </c>
      <c r="H3520" t="s">
        <v>2664</v>
      </c>
      <c r="I3520">
        <v>3197</v>
      </c>
      <c r="J3520">
        <v>3452</v>
      </c>
      <c r="K3520">
        <v>3727</v>
      </c>
      <c r="L3520">
        <v>4024</v>
      </c>
      <c r="M3520">
        <v>4345</v>
      </c>
      <c r="N3520" t="s">
        <v>988</v>
      </c>
    </row>
    <row r="3521" spans="1:14" hidden="1" x14ac:dyDescent="0.3">
      <c r="A3521">
        <v>2169</v>
      </c>
      <c r="B3521" t="s">
        <v>1919</v>
      </c>
      <c r="C3521" t="s">
        <v>2670</v>
      </c>
      <c r="D3521" t="s">
        <v>159</v>
      </c>
      <c r="E3521" t="s">
        <v>159</v>
      </c>
      <c r="F3521">
        <v>5514</v>
      </c>
      <c r="G3521" t="s">
        <v>2672</v>
      </c>
      <c r="H3521" t="s">
        <v>2665</v>
      </c>
      <c r="N3521" t="s">
        <v>988</v>
      </c>
    </row>
    <row r="3522" spans="1:14" hidden="1" x14ac:dyDescent="0.3">
      <c r="A3522">
        <v>2169</v>
      </c>
      <c r="B3522" t="s">
        <v>1919</v>
      </c>
      <c r="C3522" t="s">
        <v>2670</v>
      </c>
      <c r="D3522" t="s">
        <v>159</v>
      </c>
      <c r="E3522" t="s">
        <v>159</v>
      </c>
      <c r="F3522">
        <v>5514</v>
      </c>
      <c r="G3522" t="s">
        <v>2672</v>
      </c>
      <c r="H3522" t="s">
        <v>2664</v>
      </c>
      <c r="N3522" t="s">
        <v>988</v>
      </c>
    </row>
    <row r="3523" spans="1:14" hidden="1" x14ac:dyDescent="0.3">
      <c r="A3523">
        <v>2169</v>
      </c>
      <c r="B3523" t="s">
        <v>1919</v>
      </c>
      <c r="C3523" t="s">
        <v>2670</v>
      </c>
      <c r="D3523" t="s">
        <v>159</v>
      </c>
      <c r="E3523" t="s">
        <v>159</v>
      </c>
      <c r="F3523">
        <v>5514</v>
      </c>
      <c r="G3523" t="s">
        <v>2671</v>
      </c>
      <c r="H3523" t="s">
        <v>2665</v>
      </c>
      <c r="I3523">
        <v>2610</v>
      </c>
      <c r="J3523">
        <v>2818</v>
      </c>
      <c r="K3523">
        <v>3043</v>
      </c>
      <c r="L3523">
        <v>3285</v>
      </c>
      <c r="M3523">
        <v>3547</v>
      </c>
      <c r="N3523" t="s">
        <v>988</v>
      </c>
    </row>
    <row r="3524" spans="1:14" hidden="1" x14ac:dyDescent="0.3">
      <c r="A3524">
        <v>2169</v>
      </c>
      <c r="B3524" t="s">
        <v>1919</v>
      </c>
      <c r="C3524" t="s">
        <v>2670</v>
      </c>
      <c r="D3524" t="s">
        <v>159</v>
      </c>
      <c r="E3524" t="s">
        <v>159</v>
      </c>
      <c r="F3524">
        <v>5514</v>
      </c>
      <c r="G3524" t="s">
        <v>2671</v>
      </c>
      <c r="H3524" t="s">
        <v>2664</v>
      </c>
      <c r="I3524">
        <v>2610</v>
      </c>
      <c r="J3524">
        <v>2818</v>
      </c>
      <c r="K3524">
        <v>3043</v>
      </c>
      <c r="L3524">
        <v>3285</v>
      </c>
      <c r="M3524">
        <v>3547</v>
      </c>
      <c r="N3524" t="s">
        <v>988</v>
      </c>
    </row>
    <row r="3525" spans="1:14" hidden="1" x14ac:dyDescent="0.3">
      <c r="A3525">
        <v>2169</v>
      </c>
      <c r="B3525" t="s">
        <v>1919</v>
      </c>
      <c r="C3525" t="s">
        <v>2670</v>
      </c>
      <c r="D3525" t="s">
        <v>159</v>
      </c>
      <c r="E3525" t="s">
        <v>159</v>
      </c>
      <c r="F3525">
        <v>5514</v>
      </c>
      <c r="G3525" t="s">
        <v>2673</v>
      </c>
      <c r="H3525" t="s">
        <v>2665</v>
      </c>
      <c r="I3525">
        <v>3247</v>
      </c>
      <c r="J3525">
        <v>3506</v>
      </c>
      <c r="K3525">
        <v>3785</v>
      </c>
      <c r="L3525">
        <v>4087</v>
      </c>
      <c r="M3525">
        <v>4413</v>
      </c>
      <c r="N3525" t="s">
        <v>988</v>
      </c>
    </row>
    <row r="3526" spans="1:14" hidden="1" x14ac:dyDescent="0.3">
      <c r="A3526">
        <v>2169</v>
      </c>
      <c r="B3526" t="s">
        <v>1919</v>
      </c>
      <c r="C3526" t="s">
        <v>2670</v>
      </c>
      <c r="D3526" t="s">
        <v>159</v>
      </c>
      <c r="E3526" t="s">
        <v>159</v>
      </c>
      <c r="F3526">
        <v>5514</v>
      </c>
      <c r="G3526" t="s">
        <v>2673</v>
      </c>
      <c r="H3526" t="s">
        <v>2664</v>
      </c>
      <c r="I3526">
        <v>3247</v>
      </c>
      <c r="J3526">
        <v>3506</v>
      </c>
      <c r="K3526">
        <v>3785</v>
      </c>
      <c r="L3526">
        <v>4087</v>
      </c>
      <c r="M3526">
        <v>4413</v>
      </c>
      <c r="N3526" t="s">
        <v>988</v>
      </c>
    </row>
    <row r="3527" spans="1:14" hidden="1" x14ac:dyDescent="0.3">
      <c r="A3527">
        <v>2169</v>
      </c>
      <c r="B3527" t="s">
        <v>1919</v>
      </c>
      <c r="C3527" t="s">
        <v>2670</v>
      </c>
      <c r="D3527" t="s">
        <v>159</v>
      </c>
      <c r="E3527" t="s">
        <v>159</v>
      </c>
      <c r="F3527">
        <v>5514</v>
      </c>
      <c r="G3527" t="s">
        <v>2674</v>
      </c>
      <c r="H3527" t="s">
        <v>2665</v>
      </c>
      <c r="I3527">
        <v>3407</v>
      </c>
      <c r="J3527">
        <v>3678</v>
      </c>
      <c r="K3527">
        <v>3972</v>
      </c>
      <c r="L3527">
        <v>4288</v>
      </c>
      <c r="M3527">
        <v>4630</v>
      </c>
      <c r="N3527" t="s">
        <v>988</v>
      </c>
    </row>
    <row r="3528" spans="1:14" hidden="1" x14ac:dyDescent="0.3">
      <c r="A3528">
        <v>2169</v>
      </c>
      <c r="B3528" t="s">
        <v>1919</v>
      </c>
      <c r="C3528" t="s">
        <v>2670</v>
      </c>
      <c r="D3528" t="s">
        <v>159</v>
      </c>
      <c r="E3528" t="s">
        <v>159</v>
      </c>
      <c r="F3528">
        <v>5514</v>
      </c>
      <c r="G3528" t="s">
        <v>2674</v>
      </c>
      <c r="H3528" t="s">
        <v>2664</v>
      </c>
      <c r="I3528">
        <v>3407</v>
      </c>
      <c r="J3528">
        <v>3678</v>
      </c>
      <c r="K3528">
        <v>3972</v>
      </c>
      <c r="L3528">
        <v>4288</v>
      </c>
      <c r="M3528">
        <v>4630</v>
      </c>
      <c r="N3528" t="s">
        <v>988</v>
      </c>
    </row>
    <row r="3529" spans="1:14" hidden="1" x14ac:dyDescent="0.3">
      <c r="A3529">
        <v>2169</v>
      </c>
      <c r="B3529" t="s">
        <v>1919</v>
      </c>
      <c r="C3529" t="s">
        <v>2670</v>
      </c>
      <c r="D3529" t="s">
        <v>159</v>
      </c>
      <c r="E3529" t="s">
        <v>159</v>
      </c>
      <c r="F3529">
        <v>5514</v>
      </c>
      <c r="G3529" t="s">
        <v>2675</v>
      </c>
      <c r="H3529" t="s">
        <v>2665</v>
      </c>
      <c r="I3529">
        <v>3485</v>
      </c>
      <c r="J3529">
        <v>3763</v>
      </c>
      <c r="K3529">
        <v>4063</v>
      </c>
      <c r="L3529">
        <v>4387</v>
      </c>
      <c r="M3529">
        <v>4736</v>
      </c>
      <c r="N3529" t="s">
        <v>988</v>
      </c>
    </row>
    <row r="3530" spans="1:14" hidden="1" x14ac:dyDescent="0.3">
      <c r="A3530">
        <v>2174</v>
      </c>
      <c r="B3530" t="s">
        <v>1920</v>
      </c>
      <c r="C3530" t="s">
        <v>2670</v>
      </c>
      <c r="D3530" t="s">
        <v>159</v>
      </c>
      <c r="E3530" t="s">
        <v>159</v>
      </c>
      <c r="F3530">
        <v>7800</v>
      </c>
      <c r="G3530" t="s">
        <v>2672</v>
      </c>
      <c r="H3530" t="s">
        <v>2665</v>
      </c>
      <c r="N3530" t="s">
        <v>988</v>
      </c>
    </row>
    <row r="3531" spans="1:14" hidden="1" x14ac:dyDescent="0.3">
      <c r="A3531">
        <v>2174</v>
      </c>
      <c r="B3531" t="s">
        <v>1920</v>
      </c>
      <c r="C3531" t="s">
        <v>2670</v>
      </c>
      <c r="D3531" t="s">
        <v>159</v>
      </c>
      <c r="E3531" t="s">
        <v>159</v>
      </c>
      <c r="F3531">
        <v>7800</v>
      </c>
      <c r="G3531" t="s">
        <v>2676</v>
      </c>
      <c r="H3531" t="s">
        <v>2665</v>
      </c>
      <c r="I3531">
        <v>21080</v>
      </c>
      <c r="J3531">
        <v>24156</v>
      </c>
      <c r="K3531">
        <v>27342</v>
      </c>
      <c r="L3531">
        <v>32814</v>
      </c>
      <c r="N3531" t="s">
        <v>988</v>
      </c>
    </row>
    <row r="3532" spans="1:14" hidden="1" x14ac:dyDescent="0.3">
      <c r="A3532">
        <v>2174</v>
      </c>
      <c r="B3532" t="s">
        <v>1920</v>
      </c>
      <c r="C3532" t="s">
        <v>2670</v>
      </c>
      <c r="D3532" t="s">
        <v>159</v>
      </c>
      <c r="E3532" t="s">
        <v>159</v>
      </c>
      <c r="F3532">
        <v>7800</v>
      </c>
      <c r="G3532" t="s">
        <v>2675</v>
      </c>
      <c r="H3532" t="s">
        <v>2664</v>
      </c>
      <c r="I3532">
        <v>19421</v>
      </c>
      <c r="J3532">
        <v>22508</v>
      </c>
      <c r="K3532">
        <v>26140</v>
      </c>
      <c r="L3532">
        <v>30666</v>
      </c>
      <c r="N3532" t="s">
        <v>988</v>
      </c>
    </row>
    <row r="3533" spans="1:14" hidden="1" x14ac:dyDescent="0.3">
      <c r="A3533">
        <v>2174</v>
      </c>
      <c r="B3533" t="s">
        <v>1920</v>
      </c>
      <c r="C3533" t="s">
        <v>2670</v>
      </c>
      <c r="D3533" t="s">
        <v>159</v>
      </c>
      <c r="E3533" t="s">
        <v>159</v>
      </c>
      <c r="F3533">
        <v>7800</v>
      </c>
      <c r="G3533" t="s">
        <v>2675</v>
      </c>
      <c r="H3533" t="s">
        <v>2665</v>
      </c>
      <c r="I3533">
        <v>21695</v>
      </c>
      <c r="J3533">
        <v>24793</v>
      </c>
      <c r="K3533">
        <v>28437</v>
      </c>
      <c r="L3533">
        <v>32962</v>
      </c>
      <c r="N3533" t="s">
        <v>988</v>
      </c>
    </row>
    <row r="3534" spans="1:14" hidden="1" x14ac:dyDescent="0.3">
      <c r="A3534">
        <v>2174</v>
      </c>
      <c r="B3534" t="s">
        <v>1920</v>
      </c>
      <c r="C3534" t="s">
        <v>2670</v>
      </c>
      <c r="D3534" t="s">
        <v>159</v>
      </c>
      <c r="E3534" t="s">
        <v>159</v>
      </c>
      <c r="F3534">
        <v>7800</v>
      </c>
      <c r="G3534" t="s">
        <v>2674</v>
      </c>
      <c r="H3534" t="s">
        <v>2664</v>
      </c>
      <c r="I3534">
        <v>20036</v>
      </c>
      <c r="J3534">
        <v>23145</v>
      </c>
      <c r="K3534">
        <v>27235</v>
      </c>
      <c r="L3534">
        <v>30813</v>
      </c>
      <c r="N3534" t="s">
        <v>988</v>
      </c>
    </row>
    <row r="3535" spans="1:14" hidden="1" x14ac:dyDescent="0.3">
      <c r="A3535">
        <v>2174</v>
      </c>
      <c r="B3535" t="s">
        <v>1920</v>
      </c>
      <c r="C3535" t="s">
        <v>2670</v>
      </c>
      <c r="D3535" t="s">
        <v>159</v>
      </c>
      <c r="E3535" t="s">
        <v>159</v>
      </c>
      <c r="F3535">
        <v>7800</v>
      </c>
      <c r="G3535" t="s">
        <v>2676</v>
      </c>
      <c r="H3535" t="s">
        <v>2664</v>
      </c>
      <c r="I3535">
        <v>19265</v>
      </c>
      <c r="J3535">
        <v>22330</v>
      </c>
      <c r="K3535">
        <v>25505</v>
      </c>
      <c r="L3535">
        <v>30977</v>
      </c>
      <c r="N3535" t="s">
        <v>988</v>
      </c>
    </row>
    <row r="3536" spans="1:14" hidden="1" x14ac:dyDescent="0.3">
      <c r="A3536">
        <v>2174</v>
      </c>
      <c r="B3536" t="s">
        <v>1920</v>
      </c>
      <c r="C3536" t="s">
        <v>2670</v>
      </c>
      <c r="D3536" t="s">
        <v>159</v>
      </c>
      <c r="E3536" t="s">
        <v>159</v>
      </c>
      <c r="F3536">
        <v>7800</v>
      </c>
      <c r="G3536" t="s">
        <v>2673</v>
      </c>
      <c r="H3536" t="s">
        <v>2664</v>
      </c>
      <c r="I3536">
        <v>20652</v>
      </c>
      <c r="J3536">
        <v>23783</v>
      </c>
      <c r="K3536">
        <v>28329</v>
      </c>
      <c r="L3536">
        <v>30636</v>
      </c>
      <c r="N3536" t="s">
        <v>988</v>
      </c>
    </row>
    <row r="3537" spans="1:14" hidden="1" x14ac:dyDescent="0.3">
      <c r="A3537">
        <v>2174</v>
      </c>
      <c r="B3537" t="s">
        <v>1920</v>
      </c>
      <c r="C3537" t="s">
        <v>2670</v>
      </c>
      <c r="D3537" t="s">
        <v>159</v>
      </c>
      <c r="E3537" t="s">
        <v>159</v>
      </c>
      <c r="F3537">
        <v>7800</v>
      </c>
      <c r="G3537" t="s">
        <v>2673</v>
      </c>
      <c r="H3537" t="s">
        <v>2665</v>
      </c>
      <c r="I3537">
        <v>22926</v>
      </c>
      <c r="J3537">
        <v>26068</v>
      </c>
      <c r="K3537">
        <v>30626</v>
      </c>
      <c r="L3537">
        <v>33258</v>
      </c>
      <c r="N3537" t="s">
        <v>988</v>
      </c>
    </row>
    <row r="3538" spans="1:14" hidden="1" x14ac:dyDescent="0.3">
      <c r="A3538">
        <v>2174</v>
      </c>
      <c r="B3538" t="s">
        <v>1920</v>
      </c>
      <c r="C3538" t="s">
        <v>2670</v>
      </c>
      <c r="D3538" t="s">
        <v>159</v>
      </c>
      <c r="E3538" t="s">
        <v>159</v>
      </c>
      <c r="F3538">
        <v>7800</v>
      </c>
      <c r="G3538" t="s">
        <v>2671</v>
      </c>
      <c r="H3538" t="s">
        <v>2664</v>
      </c>
      <c r="I3538">
        <v>21267</v>
      </c>
      <c r="J3538">
        <v>24420</v>
      </c>
      <c r="K3538">
        <v>29200</v>
      </c>
      <c r="L3538">
        <v>30784</v>
      </c>
      <c r="N3538" t="s">
        <v>988</v>
      </c>
    </row>
    <row r="3539" spans="1:14" hidden="1" x14ac:dyDescent="0.3">
      <c r="A3539">
        <v>2174</v>
      </c>
      <c r="B3539" t="s">
        <v>1920</v>
      </c>
      <c r="C3539" t="s">
        <v>2670</v>
      </c>
      <c r="D3539" t="s">
        <v>159</v>
      </c>
      <c r="E3539" t="s">
        <v>159</v>
      </c>
      <c r="F3539">
        <v>7800</v>
      </c>
      <c r="G3539" t="s">
        <v>2671</v>
      </c>
      <c r="H3539" t="s">
        <v>2665</v>
      </c>
      <c r="I3539">
        <v>23541</v>
      </c>
      <c r="J3539">
        <v>26705</v>
      </c>
      <c r="K3539">
        <v>31720</v>
      </c>
      <c r="L3539">
        <v>33405</v>
      </c>
      <c r="N3539" t="s">
        <v>988</v>
      </c>
    </row>
    <row r="3540" spans="1:14" hidden="1" x14ac:dyDescent="0.3">
      <c r="A3540">
        <v>2174</v>
      </c>
      <c r="B3540" t="s">
        <v>1920</v>
      </c>
      <c r="C3540" t="s">
        <v>2670</v>
      </c>
      <c r="D3540" t="s">
        <v>159</v>
      </c>
      <c r="E3540" t="s">
        <v>159</v>
      </c>
      <c r="F3540">
        <v>7800</v>
      </c>
      <c r="G3540" t="s">
        <v>2672</v>
      </c>
      <c r="H3540" t="s">
        <v>2664</v>
      </c>
      <c r="N3540" t="s">
        <v>988</v>
      </c>
    </row>
    <row r="3541" spans="1:14" hidden="1" x14ac:dyDescent="0.3">
      <c r="A3541">
        <v>2174</v>
      </c>
      <c r="B3541" t="s">
        <v>1920</v>
      </c>
      <c r="C3541" t="s">
        <v>2670</v>
      </c>
      <c r="D3541" t="s">
        <v>159</v>
      </c>
      <c r="E3541" t="s">
        <v>159</v>
      </c>
      <c r="F3541">
        <v>7800</v>
      </c>
      <c r="G3541" t="s">
        <v>2674</v>
      </c>
      <c r="H3541" t="s">
        <v>2665</v>
      </c>
      <c r="I3541">
        <v>22310</v>
      </c>
      <c r="J3541">
        <v>25431</v>
      </c>
      <c r="K3541">
        <v>29531</v>
      </c>
      <c r="L3541">
        <v>33110</v>
      </c>
      <c r="N3541" t="s">
        <v>988</v>
      </c>
    </row>
    <row r="3542" spans="1:14" hidden="1" x14ac:dyDescent="0.3">
      <c r="A3542">
        <v>2175</v>
      </c>
      <c r="B3542" t="s">
        <v>1921</v>
      </c>
      <c r="C3542" t="s">
        <v>2670</v>
      </c>
      <c r="D3542" t="s">
        <v>159</v>
      </c>
      <c r="E3542" t="s">
        <v>159</v>
      </c>
      <c r="F3542">
        <v>5725</v>
      </c>
      <c r="G3542" t="s">
        <v>2676</v>
      </c>
      <c r="H3542" t="s">
        <v>2664</v>
      </c>
      <c r="I3542">
        <v>135647.91185785001</v>
      </c>
      <c r="J3542">
        <v>135875.00955875</v>
      </c>
      <c r="K3542">
        <v>136961.39585765</v>
      </c>
      <c r="L3542">
        <v>138578.69975460001</v>
      </c>
      <c r="M3542">
        <v>139956.63039924999</v>
      </c>
      <c r="N3542" t="s">
        <v>988</v>
      </c>
    </row>
    <row r="3543" spans="1:14" hidden="1" x14ac:dyDescent="0.3">
      <c r="A3543">
        <v>2175</v>
      </c>
      <c r="B3543" t="s">
        <v>1921</v>
      </c>
      <c r="C3543" t="s">
        <v>2670</v>
      </c>
      <c r="D3543" t="s">
        <v>159</v>
      </c>
      <c r="E3543" t="s">
        <v>159</v>
      </c>
      <c r="F3543">
        <v>5725</v>
      </c>
      <c r="G3543" t="s">
        <v>2676</v>
      </c>
      <c r="H3543" t="s">
        <v>2665</v>
      </c>
      <c r="I3543">
        <v>135647.91185785001</v>
      </c>
      <c r="J3543">
        <v>135875.00955875</v>
      </c>
      <c r="K3543">
        <v>136961.39585765</v>
      </c>
      <c r="L3543">
        <v>138578.69975460001</v>
      </c>
      <c r="M3543">
        <v>139956.63039924999</v>
      </c>
      <c r="N3543" t="s">
        <v>988</v>
      </c>
    </row>
    <row r="3544" spans="1:14" hidden="1" x14ac:dyDescent="0.3">
      <c r="A3544">
        <v>2175</v>
      </c>
      <c r="B3544" t="s">
        <v>1921</v>
      </c>
      <c r="C3544" t="s">
        <v>2670</v>
      </c>
      <c r="D3544" t="s">
        <v>159</v>
      </c>
      <c r="E3544" t="s">
        <v>159</v>
      </c>
      <c r="F3544">
        <v>5725</v>
      </c>
      <c r="G3544" t="s">
        <v>2675</v>
      </c>
      <c r="H3544" t="s">
        <v>2664</v>
      </c>
      <c r="I3544">
        <v>135647.91185785001</v>
      </c>
      <c r="J3544">
        <v>135875.00955875</v>
      </c>
      <c r="K3544">
        <v>136961.39585765</v>
      </c>
      <c r="L3544">
        <v>138578.69975460001</v>
      </c>
      <c r="M3544">
        <v>139956.63039924999</v>
      </c>
      <c r="N3544" t="s">
        <v>988</v>
      </c>
    </row>
    <row r="3545" spans="1:14" hidden="1" x14ac:dyDescent="0.3">
      <c r="A3545">
        <v>2175</v>
      </c>
      <c r="B3545" t="s">
        <v>1921</v>
      </c>
      <c r="C3545" t="s">
        <v>2670</v>
      </c>
      <c r="D3545" t="s">
        <v>159</v>
      </c>
      <c r="E3545" t="s">
        <v>159</v>
      </c>
      <c r="F3545">
        <v>5725</v>
      </c>
      <c r="G3545" t="s">
        <v>2675</v>
      </c>
      <c r="H3545" t="s">
        <v>2665</v>
      </c>
      <c r="I3545">
        <v>135647.91185785001</v>
      </c>
      <c r="J3545">
        <v>135875.00955875</v>
      </c>
      <c r="K3545">
        <v>136961.39585765</v>
      </c>
      <c r="L3545">
        <v>138578.69975460001</v>
      </c>
      <c r="M3545">
        <v>139956.63039924999</v>
      </c>
      <c r="N3545" t="s">
        <v>988</v>
      </c>
    </row>
    <row r="3546" spans="1:14" hidden="1" x14ac:dyDescent="0.3">
      <c r="A3546">
        <v>2175</v>
      </c>
      <c r="B3546" t="s">
        <v>1921</v>
      </c>
      <c r="C3546" t="s">
        <v>2670</v>
      </c>
      <c r="D3546" t="s">
        <v>159</v>
      </c>
      <c r="E3546" t="s">
        <v>159</v>
      </c>
      <c r="F3546">
        <v>5725</v>
      </c>
      <c r="G3546" t="s">
        <v>2674</v>
      </c>
      <c r="H3546" t="s">
        <v>2664</v>
      </c>
      <c r="I3546">
        <v>135647.91185785001</v>
      </c>
      <c r="J3546">
        <v>135875.00955875</v>
      </c>
      <c r="K3546">
        <v>136961.39585765</v>
      </c>
      <c r="L3546">
        <v>138578.69975460001</v>
      </c>
      <c r="M3546">
        <v>139956.63039924999</v>
      </c>
      <c r="N3546" t="s">
        <v>988</v>
      </c>
    </row>
    <row r="3547" spans="1:14" hidden="1" x14ac:dyDescent="0.3">
      <c r="A3547">
        <v>2175</v>
      </c>
      <c r="B3547" t="s">
        <v>1921</v>
      </c>
      <c r="C3547" t="s">
        <v>2670</v>
      </c>
      <c r="D3547" t="s">
        <v>159</v>
      </c>
      <c r="E3547" t="s">
        <v>159</v>
      </c>
      <c r="F3547">
        <v>5725</v>
      </c>
      <c r="G3547" t="s">
        <v>2674</v>
      </c>
      <c r="H3547" t="s">
        <v>2665</v>
      </c>
      <c r="I3547">
        <v>135647.91185785001</v>
      </c>
      <c r="J3547">
        <v>135875.00955875</v>
      </c>
      <c r="K3547">
        <v>136961.39585765</v>
      </c>
      <c r="L3547">
        <v>138578.69975460001</v>
      </c>
      <c r="M3547">
        <v>139956.63039924999</v>
      </c>
      <c r="N3547" t="s">
        <v>988</v>
      </c>
    </row>
    <row r="3548" spans="1:14" hidden="1" x14ac:dyDescent="0.3">
      <c r="A3548">
        <v>2175</v>
      </c>
      <c r="B3548" t="s">
        <v>1921</v>
      </c>
      <c r="C3548" t="s">
        <v>2670</v>
      </c>
      <c r="D3548" t="s">
        <v>159</v>
      </c>
      <c r="E3548" t="s">
        <v>159</v>
      </c>
      <c r="F3548">
        <v>5725</v>
      </c>
      <c r="G3548" t="s">
        <v>2673</v>
      </c>
      <c r="H3548" t="s">
        <v>2664</v>
      </c>
      <c r="I3548">
        <v>135647.91185785001</v>
      </c>
      <c r="J3548">
        <v>135875.00955875</v>
      </c>
      <c r="K3548">
        <v>136961.39585765</v>
      </c>
      <c r="L3548">
        <v>138578.69975460001</v>
      </c>
      <c r="M3548">
        <v>139956.63039924999</v>
      </c>
      <c r="N3548" t="s">
        <v>988</v>
      </c>
    </row>
    <row r="3549" spans="1:14" hidden="1" x14ac:dyDescent="0.3">
      <c r="A3549">
        <v>2175</v>
      </c>
      <c r="B3549" t="s">
        <v>1921</v>
      </c>
      <c r="C3549" t="s">
        <v>2670</v>
      </c>
      <c r="D3549" t="s">
        <v>159</v>
      </c>
      <c r="E3549" t="s">
        <v>159</v>
      </c>
      <c r="F3549">
        <v>5725</v>
      </c>
      <c r="G3549" t="s">
        <v>2673</v>
      </c>
      <c r="H3549" t="s">
        <v>2665</v>
      </c>
      <c r="I3549">
        <v>135647.91185785001</v>
      </c>
      <c r="J3549">
        <v>135875.00955875</v>
      </c>
      <c r="K3549">
        <v>136961.39585765</v>
      </c>
      <c r="L3549">
        <v>138578.69975460001</v>
      </c>
      <c r="M3549">
        <v>139956.63039924999</v>
      </c>
      <c r="N3549" t="s">
        <v>988</v>
      </c>
    </row>
    <row r="3550" spans="1:14" hidden="1" x14ac:dyDescent="0.3">
      <c r="A3550">
        <v>2175</v>
      </c>
      <c r="B3550" t="s">
        <v>1921</v>
      </c>
      <c r="C3550" t="s">
        <v>2670</v>
      </c>
      <c r="D3550" t="s">
        <v>159</v>
      </c>
      <c r="E3550" t="s">
        <v>159</v>
      </c>
      <c r="F3550">
        <v>5725</v>
      </c>
      <c r="G3550" t="s">
        <v>2671</v>
      </c>
      <c r="H3550" t="s">
        <v>2664</v>
      </c>
      <c r="I3550">
        <v>135647.91185785001</v>
      </c>
      <c r="J3550">
        <v>135875.00955875</v>
      </c>
      <c r="K3550">
        <v>136961.39585765</v>
      </c>
      <c r="L3550">
        <v>138578.69975460001</v>
      </c>
      <c r="M3550">
        <v>139956.63039924999</v>
      </c>
      <c r="N3550" t="s">
        <v>988</v>
      </c>
    </row>
    <row r="3551" spans="1:14" hidden="1" x14ac:dyDescent="0.3">
      <c r="A3551">
        <v>2175</v>
      </c>
      <c r="B3551" t="s">
        <v>1921</v>
      </c>
      <c r="C3551" t="s">
        <v>2670</v>
      </c>
      <c r="D3551" t="s">
        <v>159</v>
      </c>
      <c r="E3551" t="s">
        <v>159</v>
      </c>
      <c r="F3551">
        <v>5725</v>
      </c>
      <c r="G3551" t="s">
        <v>2671</v>
      </c>
      <c r="H3551" t="s">
        <v>2665</v>
      </c>
      <c r="I3551">
        <v>135647.91185785001</v>
      </c>
      <c r="J3551">
        <v>135875.00955875</v>
      </c>
      <c r="K3551">
        <v>136961.39585765</v>
      </c>
      <c r="L3551">
        <v>138578.69975460001</v>
      </c>
      <c r="M3551">
        <v>139956.63039924999</v>
      </c>
      <c r="N3551" t="s">
        <v>988</v>
      </c>
    </row>
    <row r="3552" spans="1:14" hidden="1" x14ac:dyDescent="0.3">
      <c r="A3552">
        <v>2175</v>
      </c>
      <c r="B3552" t="s">
        <v>1921</v>
      </c>
      <c r="C3552" t="s">
        <v>2670</v>
      </c>
      <c r="D3552" t="s">
        <v>159</v>
      </c>
      <c r="E3552" t="s">
        <v>159</v>
      </c>
      <c r="F3552">
        <v>5725</v>
      </c>
      <c r="G3552" t="s">
        <v>2672</v>
      </c>
      <c r="H3552" t="s">
        <v>2665</v>
      </c>
      <c r="N3552" t="s">
        <v>988</v>
      </c>
    </row>
    <row r="3553" spans="1:14" hidden="1" x14ac:dyDescent="0.3">
      <c r="A3553">
        <v>2175</v>
      </c>
      <c r="B3553" t="s">
        <v>1921</v>
      </c>
      <c r="C3553" t="s">
        <v>2670</v>
      </c>
      <c r="D3553" t="s">
        <v>159</v>
      </c>
      <c r="E3553" t="s">
        <v>159</v>
      </c>
      <c r="F3553">
        <v>5725</v>
      </c>
      <c r="G3553" t="s">
        <v>2672</v>
      </c>
      <c r="H3553" t="s">
        <v>2664</v>
      </c>
      <c r="N3553" t="s">
        <v>988</v>
      </c>
    </row>
    <row r="3554" spans="1:14" hidden="1" x14ac:dyDescent="0.3">
      <c r="A3554">
        <v>2179</v>
      </c>
      <c r="B3554" t="s">
        <v>774</v>
      </c>
      <c r="C3554" t="s">
        <v>2670</v>
      </c>
      <c r="D3554" t="s">
        <v>1203</v>
      </c>
      <c r="E3554" t="s">
        <v>1204</v>
      </c>
      <c r="F3554">
        <v>5657</v>
      </c>
      <c r="G3554" t="s">
        <v>2676</v>
      </c>
      <c r="H3554" t="s">
        <v>2664</v>
      </c>
      <c r="I3554">
        <v>11870</v>
      </c>
      <c r="J3554">
        <v>11970</v>
      </c>
      <c r="K3554">
        <v>11870</v>
      </c>
      <c r="L3554">
        <v>11970</v>
      </c>
      <c r="M3554">
        <v>12080</v>
      </c>
      <c r="N3554" t="s">
        <v>988</v>
      </c>
    </row>
    <row r="3555" spans="1:14" hidden="1" x14ac:dyDescent="0.3">
      <c r="A3555">
        <v>2179</v>
      </c>
      <c r="B3555" t="s">
        <v>774</v>
      </c>
      <c r="C3555" t="s">
        <v>2670</v>
      </c>
      <c r="D3555" t="s">
        <v>1203</v>
      </c>
      <c r="E3555" t="s">
        <v>1204</v>
      </c>
      <c r="F3555">
        <v>5657</v>
      </c>
      <c r="G3555" t="s">
        <v>2672</v>
      </c>
      <c r="H3555" t="s">
        <v>2665</v>
      </c>
      <c r="N3555" t="s">
        <v>988</v>
      </c>
    </row>
    <row r="3556" spans="1:14" hidden="1" x14ac:dyDescent="0.3">
      <c r="A3556">
        <v>2179</v>
      </c>
      <c r="B3556" t="s">
        <v>774</v>
      </c>
      <c r="C3556" t="s">
        <v>2670</v>
      </c>
      <c r="D3556" t="s">
        <v>1203</v>
      </c>
      <c r="E3556" t="s">
        <v>1204</v>
      </c>
      <c r="F3556">
        <v>5657</v>
      </c>
      <c r="G3556" t="s">
        <v>2672</v>
      </c>
      <c r="H3556" t="s">
        <v>2664</v>
      </c>
      <c r="N3556" t="s">
        <v>988</v>
      </c>
    </row>
    <row r="3557" spans="1:14" hidden="1" x14ac:dyDescent="0.3">
      <c r="A3557">
        <v>2179</v>
      </c>
      <c r="B3557" t="s">
        <v>774</v>
      </c>
      <c r="C3557" t="s">
        <v>2670</v>
      </c>
      <c r="D3557" t="s">
        <v>1203</v>
      </c>
      <c r="E3557" t="s">
        <v>1204</v>
      </c>
      <c r="F3557">
        <v>5657</v>
      </c>
      <c r="G3557" t="s">
        <v>2671</v>
      </c>
      <c r="H3557" t="s">
        <v>2665</v>
      </c>
      <c r="I3557">
        <v>11342</v>
      </c>
      <c r="J3557">
        <v>12050</v>
      </c>
      <c r="K3557">
        <v>11790</v>
      </c>
      <c r="L3557">
        <v>12050</v>
      </c>
      <c r="M3557">
        <v>12160</v>
      </c>
      <c r="N3557" t="s">
        <v>988</v>
      </c>
    </row>
    <row r="3558" spans="1:14" hidden="1" x14ac:dyDescent="0.3">
      <c r="A3558">
        <v>2179</v>
      </c>
      <c r="B3558" t="s">
        <v>774</v>
      </c>
      <c r="C3558" t="s">
        <v>2670</v>
      </c>
      <c r="D3558" t="s">
        <v>1203</v>
      </c>
      <c r="E3558" t="s">
        <v>1204</v>
      </c>
      <c r="F3558">
        <v>5657</v>
      </c>
      <c r="G3558" t="s">
        <v>2671</v>
      </c>
      <c r="H3558" t="s">
        <v>2664</v>
      </c>
      <c r="I3558">
        <v>11342</v>
      </c>
      <c r="J3558">
        <v>12050</v>
      </c>
      <c r="K3558">
        <v>11790</v>
      </c>
      <c r="L3558">
        <v>12050</v>
      </c>
      <c r="M3558">
        <v>12160</v>
      </c>
      <c r="N3558" t="s">
        <v>988</v>
      </c>
    </row>
    <row r="3559" spans="1:14" hidden="1" x14ac:dyDescent="0.3">
      <c r="A3559">
        <v>2179</v>
      </c>
      <c r="B3559" t="s">
        <v>774</v>
      </c>
      <c r="C3559" t="s">
        <v>2670</v>
      </c>
      <c r="D3559" t="s">
        <v>1203</v>
      </c>
      <c r="E3559" t="s">
        <v>1204</v>
      </c>
      <c r="F3559">
        <v>5657</v>
      </c>
      <c r="G3559" t="s">
        <v>2676</v>
      </c>
      <c r="H3559" t="s">
        <v>2665</v>
      </c>
      <c r="I3559">
        <v>11870</v>
      </c>
      <c r="J3559">
        <v>11970</v>
      </c>
      <c r="K3559">
        <v>11870</v>
      </c>
      <c r="L3559">
        <v>11970</v>
      </c>
      <c r="M3559">
        <v>12080</v>
      </c>
      <c r="N3559" t="s">
        <v>988</v>
      </c>
    </row>
    <row r="3560" spans="1:14" hidden="1" x14ac:dyDescent="0.3">
      <c r="A3560">
        <v>2179</v>
      </c>
      <c r="B3560" t="s">
        <v>774</v>
      </c>
      <c r="C3560" t="s">
        <v>2670</v>
      </c>
      <c r="D3560" t="s">
        <v>1203</v>
      </c>
      <c r="E3560" t="s">
        <v>1204</v>
      </c>
      <c r="F3560">
        <v>5657</v>
      </c>
      <c r="G3560" t="s">
        <v>2673</v>
      </c>
      <c r="H3560" t="s">
        <v>2664</v>
      </c>
      <c r="I3560">
        <v>11474</v>
      </c>
      <c r="J3560">
        <v>12030</v>
      </c>
      <c r="K3560">
        <v>11810</v>
      </c>
      <c r="L3560">
        <v>12030</v>
      </c>
      <c r="M3560">
        <v>12140</v>
      </c>
      <c r="N3560" t="s">
        <v>988</v>
      </c>
    </row>
    <row r="3561" spans="1:14" hidden="1" x14ac:dyDescent="0.3">
      <c r="A3561">
        <v>2179</v>
      </c>
      <c r="B3561" t="s">
        <v>774</v>
      </c>
      <c r="C3561" t="s">
        <v>2670</v>
      </c>
      <c r="D3561" t="s">
        <v>1203</v>
      </c>
      <c r="E3561" t="s">
        <v>1204</v>
      </c>
      <c r="F3561">
        <v>5657</v>
      </c>
      <c r="G3561" t="s">
        <v>2674</v>
      </c>
      <c r="H3561" t="s">
        <v>2665</v>
      </c>
      <c r="I3561">
        <v>11606</v>
      </c>
      <c r="J3561">
        <v>12010</v>
      </c>
      <c r="K3561">
        <v>11830</v>
      </c>
      <c r="L3561">
        <v>12010</v>
      </c>
      <c r="M3561">
        <v>12120</v>
      </c>
      <c r="N3561" t="s">
        <v>988</v>
      </c>
    </row>
    <row r="3562" spans="1:14" hidden="1" x14ac:dyDescent="0.3">
      <c r="A3562">
        <v>2179</v>
      </c>
      <c r="B3562" t="s">
        <v>774</v>
      </c>
      <c r="C3562" t="s">
        <v>2670</v>
      </c>
      <c r="D3562" t="s">
        <v>1203</v>
      </c>
      <c r="E3562" t="s">
        <v>1204</v>
      </c>
      <c r="F3562">
        <v>5657</v>
      </c>
      <c r="G3562" t="s">
        <v>2674</v>
      </c>
      <c r="H3562" t="s">
        <v>2664</v>
      </c>
      <c r="I3562">
        <v>11606</v>
      </c>
      <c r="J3562">
        <v>12010</v>
      </c>
      <c r="K3562">
        <v>11830</v>
      </c>
      <c r="L3562">
        <v>12010</v>
      </c>
      <c r="M3562">
        <v>12120</v>
      </c>
      <c r="N3562" t="s">
        <v>988</v>
      </c>
    </row>
    <row r="3563" spans="1:14" hidden="1" x14ac:dyDescent="0.3">
      <c r="A3563">
        <v>2179</v>
      </c>
      <c r="B3563" t="s">
        <v>774</v>
      </c>
      <c r="C3563" t="s">
        <v>2670</v>
      </c>
      <c r="D3563" t="s">
        <v>1203</v>
      </c>
      <c r="E3563" t="s">
        <v>1204</v>
      </c>
      <c r="F3563">
        <v>5657</v>
      </c>
      <c r="G3563" t="s">
        <v>2675</v>
      </c>
      <c r="H3563" t="s">
        <v>2665</v>
      </c>
      <c r="I3563">
        <v>11738</v>
      </c>
      <c r="J3563">
        <v>11990</v>
      </c>
      <c r="K3563">
        <v>11850</v>
      </c>
      <c r="L3563">
        <v>11990</v>
      </c>
      <c r="M3563">
        <v>12100</v>
      </c>
      <c r="N3563" t="s">
        <v>988</v>
      </c>
    </row>
    <row r="3564" spans="1:14" hidden="1" x14ac:dyDescent="0.3">
      <c r="A3564">
        <v>2179</v>
      </c>
      <c r="B3564" t="s">
        <v>774</v>
      </c>
      <c r="C3564" t="s">
        <v>2670</v>
      </c>
      <c r="D3564" t="s">
        <v>1203</v>
      </c>
      <c r="E3564" t="s">
        <v>1204</v>
      </c>
      <c r="F3564">
        <v>5657</v>
      </c>
      <c r="G3564" t="s">
        <v>2675</v>
      </c>
      <c r="H3564" t="s">
        <v>2664</v>
      </c>
      <c r="I3564">
        <v>11738</v>
      </c>
      <c r="J3564">
        <v>11990</v>
      </c>
      <c r="K3564">
        <v>11850</v>
      </c>
      <c r="L3564">
        <v>11990</v>
      </c>
      <c r="M3564">
        <v>12100</v>
      </c>
      <c r="N3564" t="s">
        <v>988</v>
      </c>
    </row>
    <row r="3565" spans="1:14" hidden="1" x14ac:dyDescent="0.3">
      <c r="A3565">
        <v>2179</v>
      </c>
      <c r="B3565" t="s">
        <v>774</v>
      </c>
      <c r="C3565" t="s">
        <v>2670</v>
      </c>
      <c r="D3565" t="s">
        <v>1203</v>
      </c>
      <c r="E3565" t="s">
        <v>1204</v>
      </c>
      <c r="F3565">
        <v>5657</v>
      </c>
      <c r="G3565" t="s">
        <v>2673</v>
      </c>
      <c r="H3565" t="s">
        <v>2665</v>
      </c>
      <c r="I3565">
        <v>11474</v>
      </c>
      <c r="J3565">
        <v>12030</v>
      </c>
      <c r="K3565">
        <v>11810</v>
      </c>
      <c r="L3565">
        <v>12030</v>
      </c>
      <c r="M3565">
        <v>12140</v>
      </c>
      <c r="N3565" t="s">
        <v>988</v>
      </c>
    </row>
    <row r="3566" spans="1:14" hidden="1" x14ac:dyDescent="0.3">
      <c r="A3566">
        <v>2180</v>
      </c>
      <c r="B3566" t="s">
        <v>1927</v>
      </c>
      <c r="C3566" t="s">
        <v>2670</v>
      </c>
      <c r="D3566" t="s">
        <v>1203</v>
      </c>
      <c r="E3566" t="s">
        <v>1204</v>
      </c>
      <c r="F3566">
        <v>5535</v>
      </c>
      <c r="G3566" t="s">
        <v>2676</v>
      </c>
      <c r="H3566" t="s">
        <v>2664</v>
      </c>
      <c r="I3566">
        <v>2210</v>
      </c>
      <c r="J3566">
        <v>2227</v>
      </c>
      <c r="K3566">
        <v>2243</v>
      </c>
      <c r="L3566">
        <v>2260</v>
      </c>
      <c r="M3566">
        <v>2277</v>
      </c>
      <c r="N3566" t="s">
        <v>988</v>
      </c>
    </row>
    <row r="3567" spans="1:14" hidden="1" x14ac:dyDescent="0.3">
      <c r="A3567">
        <v>2180</v>
      </c>
      <c r="B3567" t="s">
        <v>1927</v>
      </c>
      <c r="C3567" t="s">
        <v>2670</v>
      </c>
      <c r="D3567" t="s">
        <v>1203</v>
      </c>
      <c r="E3567" t="s">
        <v>1204</v>
      </c>
      <c r="F3567">
        <v>5535</v>
      </c>
      <c r="G3567" t="s">
        <v>2672</v>
      </c>
      <c r="H3567" t="s">
        <v>2665</v>
      </c>
      <c r="N3567" t="s">
        <v>988</v>
      </c>
    </row>
    <row r="3568" spans="1:14" hidden="1" x14ac:dyDescent="0.3">
      <c r="A3568">
        <v>2180</v>
      </c>
      <c r="B3568" t="s">
        <v>1927</v>
      </c>
      <c r="C3568" t="s">
        <v>2670</v>
      </c>
      <c r="D3568" t="s">
        <v>1203</v>
      </c>
      <c r="E3568" t="s">
        <v>1204</v>
      </c>
      <c r="F3568">
        <v>5535</v>
      </c>
      <c r="G3568" t="s">
        <v>2672</v>
      </c>
      <c r="H3568" t="s">
        <v>2664</v>
      </c>
      <c r="N3568" t="s">
        <v>988</v>
      </c>
    </row>
    <row r="3569" spans="1:14" hidden="1" x14ac:dyDescent="0.3">
      <c r="A3569">
        <v>2180</v>
      </c>
      <c r="B3569" t="s">
        <v>1927</v>
      </c>
      <c r="C3569" t="s">
        <v>2670</v>
      </c>
      <c r="D3569" t="s">
        <v>1203</v>
      </c>
      <c r="E3569" t="s">
        <v>1204</v>
      </c>
      <c r="F3569">
        <v>5535</v>
      </c>
      <c r="G3569" t="s">
        <v>2671</v>
      </c>
      <c r="H3569" t="s">
        <v>2665</v>
      </c>
      <c r="I3569">
        <v>2223</v>
      </c>
      <c r="J3569">
        <v>2240</v>
      </c>
      <c r="K3569">
        <v>2257</v>
      </c>
      <c r="L3569">
        <v>2274</v>
      </c>
      <c r="N3569" t="s">
        <v>988</v>
      </c>
    </row>
    <row r="3570" spans="1:14" hidden="1" x14ac:dyDescent="0.3">
      <c r="A3570">
        <v>2180</v>
      </c>
      <c r="B3570" t="s">
        <v>1927</v>
      </c>
      <c r="C3570" t="s">
        <v>2670</v>
      </c>
      <c r="D3570" t="s">
        <v>1203</v>
      </c>
      <c r="E3570" t="s">
        <v>1204</v>
      </c>
      <c r="F3570">
        <v>5535</v>
      </c>
      <c r="G3570" t="s">
        <v>2671</v>
      </c>
      <c r="H3570" t="s">
        <v>2664</v>
      </c>
      <c r="I3570">
        <v>2223</v>
      </c>
      <c r="J3570">
        <v>2240</v>
      </c>
      <c r="K3570">
        <v>2257</v>
      </c>
      <c r="L3570">
        <v>2274</v>
      </c>
      <c r="N3570" t="s">
        <v>988</v>
      </c>
    </row>
    <row r="3571" spans="1:14" hidden="1" x14ac:dyDescent="0.3">
      <c r="A3571">
        <v>2180</v>
      </c>
      <c r="B3571" t="s">
        <v>1927</v>
      </c>
      <c r="C3571" t="s">
        <v>2670</v>
      </c>
      <c r="D3571" t="s">
        <v>1203</v>
      </c>
      <c r="E3571" t="s">
        <v>1204</v>
      </c>
      <c r="F3571">
        <v>5535</v>
      </c>
      <c r="G3571" t="s">
        <v>2673</v>
      </c>
      <c r="H3571" t="s">
        <v>2665</v>
      </c>
      <c r="I3571">
        <v>2220</v>
      </c>
      <c r="J3571">
        <v>2237</v>
      </c>
      <c r="K3571">
        <v>2254</v>
      </c>
      <c r="L3571">
        <v>2271</v>
      </c>
      <c r="N3571" t="s">
        <v>988</v>
      </c>
    </row>
    <row r="3572" spans="1:14" hidden="1" x14ac:dyDescent="0.3">
      <c r="A3572">
        <v>2180</v>
      </c>
      <c r="B3572" t="s">
        <v>1927</v>
      </c>
      <c r="C3572" t="s">
        <v>2670</v>
      </c>
      <c r="D3572" t="s">
        <v>1203</v>
      </c>
      <c r="E3572" t="s">
        <v>1204</v>
      </c>
      <c r="F3572">
        <v>5535</v>
      </c>
      <c r="G3572" t="s">
        <v>2673</v>
      </c>
      <c r="H3572" t="s">
        <v>2664</v>
      </c>
      <c r="I3572">
        <v>2220</v>
      </c>
      <c r="J3572">
        <v>2237</v>
      </c>
      <c r="K3572">
        <v>2254</v>
      </c>
      <c r="L3572">
        <v>2271</v>
      </c>
      <c r="N3572" t="s">
        <v>988</v>
      </c>
    </row>
    <row r="3573" spans="1:14" hidden="1" x14ac:dyDescent="0.3">
      <c r="A3573">
        <v>2180</v>
      </c>
      <c r="B3573" t="s">
        <v>1927</v>
      </c>
      <c r="C3573" t="s">
        <v>2670</v>
      </c>
      <c r="D3573" t="s">
        <v>1203</v>
      </c>
      <c r="E3573" t="s">
        <v>1204</v>
      </c>
      <c r="F3573">
        <v>5535</v>
      </c>
      <c r="G3573" t="s">
        <v>2674</v>
      </c>
      <c r="H3573" t="s">
        <v>2665</v>
      </c>
      <c r="I3573">
        <v>2216</v>
      </c>
      <c r="J3573">
        <v>2233</v>
      </c>
      <c r="K3573">
        <v>2250</v>
      </c>
      <c r="L3573">
        <v>2267</v>
      </c>
      <c r="N3573" t="s">
        <v>988</v>
      </c>
    </row>
    <row r="3574" spans="1:14" hidden="1" x14ac:dyDescent="0.3">
      <c r="A3574">
        <v>2180</v>
      </c>
      <c r="B3574" t="s">
        <v>1927</v>
      </c>
      <c r="C3574" t="s">
        <v>2670</v>
      </c>
      <c r="D3574" t="s">
        <v>1203</v>
      </c>
      <c r="E3574" t="s">
        <v>1204</v>
      </c>
      <c r="F3574">
        <v>5535</v>
      </c>
      <c r="G3574" t="s">
        <v>2674</v>
      </c>
      <c r="H3574" t="s">
        <v>2664</v>
      </c>
      <c r="I3574">
        <v>2216</v>
      </c>
      <c r="J3574">
        <v>2233</v>
      </c>
      <c r="K3574">
        <v>2250</v>
      </c>
      <c r="L3574">
        <v>2267</v>
      </c>
      <c r="N3574" t="s">
        <v>988</v>
      </c>
    </row>
    <row r="3575" spans="1:14" hidden="1" x14ac:dyDescent="0.3">
      <c r="A3575">
        <v>2180</v>
      </c>
      <c r="B3575" t="s">
        <v>1927</v>
      </c>
      <c r="C3575" t="s">
        <v>2670</v>
      </c>
      <c r="D3575" t="s">
        <v>1203</v>
      </c>
      <c r="E3575" t="s">
        <v>1204</v>
      </c>
      <c r="F3575">
        <v>5535</v>
      </c>
      <c r="G3575" t="s">
        <v>2675</v>
      </c>
      <c r="H3575" t="s">
        <v>2665</v>
      </c>
      <c r="I3575">
        <v>2213</v>
      </c>
      <c r="J3575">
        <v>2230</v>
      </c>
      <c r="K3575">
        <v>2247</v>
      </c>
      <c r="L3575">
        <v>2264</v>
      </c>
      <c r="N3575" t="s">
        <v>988</v>
      </c>
    </row>
    <row r="3576" spans="1:14" hidden="1" x14ac:dyDescent="0.3">
      <c r="A3576">
        <v>2180</v>
      </c>
      <c r="B3576" t="s">
        <v>1927</v>
      </c>
      <c r="C3576" t="s">
        <v>2670</v>
      </c>
      <c r="D3576" t="s">
        <v>1203</v>
      </c>
      <c r="E3576" t="s">
        <v>1204</v>
      </c>
      <c r="F3576">
        <v>5535</v>
      </c>
      <c r="G3576" t="s">
        <v>2675</v>
      </c>
      <c r="H3576" t="s">
        <v>2664</v>
      </c>
      <c r="I3576">
        <v>2213</v>
      </c>
      <c r="J3576">
        <v>2230</v>
      </c>
      <c r="K3576">
        <v>2247</v>
      </c>
      <c r="L3576">
        <v>2264</v>
      </c>
      <c r="N3576" t="s">
        <v>988</v>
      </c>
    </row>
    <row r="3577" spans="1:14" hidden="1" x14ac:dyDescent="0.3">
      <c r="A3577">
        <v>2180</v>
      </c>
      <c r="B3577" t="s">
        <v>1927</v>
      </c>
      <c r="C3577" t="s">
        <v>2670</v>
      </c>
      <c r="D3577" t="s">
        <v>1203</v>
      </c>
      <c r="E3577" t="s">
        <v>1204</v>
      </c>
      <c r="F3577">
        <v>5535</v>
      </c>
      <c r="G3577" t="s">
        <v>2676</v>
      </c>
      <c r="H3577" t="s">
        <v>2665</v>
      </c>
      <c r="I3577">
        <v>2210</v>
      </c>
      <c r="J3577">
        <v>2227</v>
      </c>
      <c r="K3577">
        <v>2243</v>
      </c>
      <c r="L3577">
        <v>2260</v>
      </c>
      <c r="M3577">
        <v>2277</v>
      </c>
      <c r="N3577" t="s">
        <v>988</v>
      </c>
    </row>
    <row r="3578" spans="1:14" hidden="1" x14ac:dyDescent="0.3">
      <c r="A3578">
        <v>2182</v>
      </c>
      <c r="B3578" t="s">
        <v>1929</v>
      </c>
      <c r="C3578" t="s">
        <v>2670</v>
      </c>
      <c r="D3578" t="s">
        <v>159</v>
      </c>
      <c r="E3578" t="s">
        <v>159</v>
      </c>
      <c r="F3578">
        <v>6091</v>
      </c>
      <c r="G3578" t="s">
        <v>2672</v>
      </c>
      <c r="H3578" t="s">
        <v>2665</v>
      </c>
      <c r="N3578" t="s">
        <v>988</v>
      </c>
    </row>
    <row r="3579" spans="1:14" hidden="1" x14ac:dyDescent="0.3">
      <c r="A3579">
        <v>2182</v>
      </c>
      <c r="B3579" t="s">
        <v>1929</v>
      </c>
      <c r="C3579" t="s">
        <v>2670</v>
      </c>
      <c r="D3579" t="s">
        <v>159</v>
      </c>
      <c r="E3579" t="s">
        <v>159</v>
      </c>
      <c r="F3579">
        <v>6091</v>
      </c>
      <c r="G3579" t="s">
        <v>2672</v>
      </c>
      <c r="H3579" t="s">
        <v>2664</v>
      </c>
      <c r="N3579" t="s">
        <v>988</v>
      </c>
    </row>
    <row r="3580" spans="1:14" hidden="1" x14ac:dyDescent="0.3">
      <c r="A3580">
        <v>2182</v>
      </c>
      <c r="B3580" t="s">
        <v>1929</v>
      </c>
      <c r="C3580" t="s">
        <v>2670</v>
      </c>
      <c r="D3580" t="s">
        <v>159</v>
      </c>
      <c r="E3580" t="s">
        <v>159</v>
      </c>
      <c r="F3580">
        <v>6091</v>
      </c>
      <c r="G3580" t="s">
        <v>2671</v>
      </c>
      <c r="H3580" t="s">
        <v>2665</v>
      </c>
      <c r="I3580">
        <v>7272</v>
      </c>
      <c r="J3580">
        <v>7713</v>
      </c>
      <c r="K3580">
        <v>8191</v>
      </c>
      <c r="L3580">
        <v>8624</v>
      </c>
      <c r="N3580" t="s">
        <v>988</v>
      </c>
    </row>
    <row r="3581" spans="1:14" hidden="1" x14ac:dyDescent="0.3">
      <c r="A3581">
        <v>2182</v>
      </c>
      <c r="B3581" t="s">
        <v>1929</v>
      </c>
      <c r="C3581" t="s">
        <v>2670</v>
      </c>
      <c r="D3581" t="s">
        <v>159</v>
      </c>
      <c r="E3581" t="s">
        <v>159</v>
      </c>
      <c r="F3581">
        <v>6091</v>
      </c>
      <c r="G3581" t="s">
        <v>2671</v>
      </c>
      <c r="H3581" t="s">
        <v>2664</v>
      </c>
      <c r="I3581">
        <v>10337</v>
      </c>
      <c r="J3581">
        <v>10537</v>
      </c>
      <c r="K3581">
        <v>10587</v>
      </c>
      <c r="L3581">
        <v>10637</v>
      </c>
      <c r="N3581" t="s">
        <v>988</v>
      </c>
    </row>
    <row r="3582" spans="1:14" hidden="1" x14ac:dyDescent="0.3">
      <c r="A3582">
        <v>2182</v>
      </c>
      <c r="B3582" t="s">
        <v>1929</v>
      </c>
      <c r="C3582" t="s">
        <v>2670</v>
      </c>
      <c r="D3582" t="s">
        <v>159</v>
      </c>
      <c r="E3582" t="s">
        <v>159</v>
      </c>
      <c r="F3582">
        <v>6091</v>
      </c>
      <c r="G3582" t="s">
        <v>2673</v>
      </c>
      <c r="H3582" t="s">
        <v>2665</v>
      </c>
      <c r="I3582">
        <v>7272</v>
      </c>
      <c r="J3582">
        <v>7713</v>
      </c>
      <c r="K3582">
        <v>8191</v>
      </c>
      <c r="L3582">
        <v>8624</v>
      </c>
      <c r="N3582" t="s">
        <v>988</v>
      </c>
    </row>
    <row r="3583" spans="1:14" hidden="1" x14ac:dyDescent="0.3">
      <c r="A3583">
        <v>2182</v>
      </c>
      <c r="B3583" t="s">
        <v>1929</v>
      </c>
      <c r="C3583" t="s">
        <v>2670</v>
      </c>
      <c r="D3583" t="s">
        <v>159</v>
      </c>
      <c r="E3583" t="s">
        <v>159</v>
      </c>
      <c r="F3583">
        <v>6091</v>
      </c>
      <c r="G3583" t="s">
        <v>2676</v>
      </c>
      <c r="H3583" t="s">
        <v>2664</v>
      </c>
      <c r="I3583">
        <v>10337</v>
      </c>
      <c r="J3583">
        <v>10537</v>
      </c>
      <c r="K3583">
        <v>10587</v>
      </c>
      <c r="L3583">
        <v>10637</v>
      </c>
      <c r="N3583" t="s">
        <v>988</v>
      </c>
    </row>
    <row r="3584" spans="1:14" hidden="1" x14ac:dyDescent="0.3">
      <c r="A3584">
        <v>2182</v>
      </c>
      <c r="B3584" t="s">
        <v>1929</v>
      </c>
      <c r="C3584" t="s">
        <v>2670</v>
      </c>
      <c r="D3584" t="s">
        <v>159</v>
      </c>
      <c r="E3584" t="s">
        <v>159</v>
      </c>
      <c r="F3584">
        <v>6091</v>
      </c>
      <c r="G3584" t="s">
        <v>2674</v>
      </c>
      <c r="H3584" t="s">
        <v>2665</v>
      </c>
      <c r="I3584">
        <v>7272</v>
      </c>
      <c r="J3584">
        <v>7713</v>
      </c>
      <c r="K3584">
        <v>8191</v>
      </c>
      <c r="L3584">
        <v>8624</v>
      </c>
      <c r="N3584" t="s">
        <v>988</v>
      </c>
    </row>
    <row r="3585" spans="1:14" hidden="1" x14ac:dyDescent="0.3">
      <c r="A3585">
        <v>2182</v>
      </c>
      <c r="B3585" t="s">
        <v>1929</v>
      </c>
      <c r="C3585" t="s">
        <v>2670</v>
      </c>
      <c r="D3585" t="s">
        <v>159</v>
      </c>
      <c r="E3585" t="s">
        <v>159</v>
      </c>
      <c r="F3585">
        <v>6091</v>
      </c>
      <c r="G3585" t="s">
        <v>2674</v>
      </c>
      <c r="H3585" t="s">
        <v>2664</v>
      </c>
      <c r="I3585">
        <v>10337</v>
      </c>
      <c r="J3585">
        <v>10537</v>
      </c>
      <c r="K3585">
        <v>10587</v>
      </c>
      <c r="L3585">
        <v>10637</v>
      </c>
      <c r="N3585" t="s">
        <v>988</v>
      </c>
    </row>
    <row r="3586" spans="1:14" hidden="1" x14ac:dyDescent="0.3">
      <c r="A3586">
        <v>2182</v>
      </c>
      <c r="B3586" t="s">
        <v>1929</v>
      </c>
      <c r="C3586" t="s">
        <v>2670</v>
      </c>
      <c r="D3586" t="s">
        <v>159</v>
      </c>
      <c r="E3586" t="s">
        <v>159</v>
      </c>
      <c r="F3586">
        <v>6091</v>
      </c>
      <c r="G3586" t="s">
        <v>2675</v>
      </c>
      <c r="H3586" t="s">
        <v>2665</v>
      </c>
      <c r="I3586">
        <v>7272</v>
      </c>
      <c r="J3586">
        <v>7713</v>
      </c>
      <c r="K3586">
        <v>8191</v>
      </c>
      <c r="L3586">
        <v>8624</v>
      </c>
      <c r="N3586" t="s">
        <v>988</v>
      </c>
    </row>
    <row r="3587" spans="1:14" hidden="1" x14ac:dyDescent="0.3">
      <c r="A3587">
        <v>2182</v>
      </c>
      <c r="B3587" t="s">
        <v>1929</v>
      </c>
      <c r="C3587" t="s">
        <v>2670</v>
      </c>
      <c r="D3587" t="s">
        <v>159</v>
      </c>
      <c r="E3587" t="s">
        <v>159</v>
      </c>
      <c r="F3587">
        <v>6091</v>
      </c>
      <c r="G3587" t="s">
        <v>2675</v>
      </c>
      <c r="H3587" t="s">
        <v>2664</v>
      </c>
      <c r="I3587">
        <v>10337</v>
      </c>
      <c r="J3587">
        <v>10537</v>
      </c>
      <c r="K3587">
        <v>10587</v>
      </c>
      <c r="L3587">
        <v>10637</v>
      </c>
      <c r="N3587" t="s">
        <v>988</v>
      </c>
    </row>
    <row r="3588" spans="1:14" hidden="1" x14ac:dyDescent="0.3">
      <c r="A3588">
        <v>2182</v>
      </c>
      <c r="B3588" t="s">
        <v>1929</v>
      </c>
      <c r="C3588" t="s">
        <v>2670</v>
      </c>
      <c r="D3588" t="s">
        <v>159</v>
      </c>
      <c r="E3588" t="s">
        <v>159</v>
      </c>
      <c r="F3588">
        <v>6091</v>
      </c>
      <c r="G3588" t="s">
        <v>2676</v>
      </c>
      <c r="H3588" t="s">
        <v>2665</v>
      </c>
      <c r="I3588">
        <v>7272</v>
      </c>
      <c r="J3588">
        <v>7713</v>
      </c>
      <c r="K3588">
        <v>8191</v>
      </c>
      <c r="L3588">
        <v>8624</v>
      </c>
      <c r="N3588" t="s">
        <v>988</v>
      </c>
    </row>
    <row r="3589" spans="1:14" hidden="1" x14ac:dyDescent="0.3">
      <c r="A3589">
        <v>2182</v>
      </c>
      <c r="B3589" t="s">
        <v>1929</v>
      </c>
      <c r="C3589" t="s">
        <v>2670</v>
      </c>
      <c r="D3589" t="s">
        <v>159</v>
      </c>
      <c r="E3589" t="s">
        <v>159</v>
      </c>
      <c r="F3589">
        <v>6091</v>
      </c>
      <c r="G3589" t="s">
        <v>2673</v>
      </c>
      <c r="H3589" t="s">
        <v>2664</v>
      </c>
      <c r="I3589">
        <v>10337</v>
      </c>
      <c r="J3589">
        <v>10537</v>
      </c>
      <c r="K3589">
        <v>10587</v>
      </c>
      <c r="L3589">
        <v>10637</v>
      </c>
      <c r="N3589" t="s">
        <v>988</v>
      </c>
    </row>
    <row r="3590" spans="1:14" hidden="1" x14ac:dyDescent="0.3">
      <c r="A3590">
        <v>2205</v>
      </c>
      <c r="B3590" t="s">
        <v>1931</v>
      </c>
      <c r="C3590" t="s">
        <v>2670</v>
      </c>
      <c r="D3590" t="s">
        <v>1203</v>
      </c>
      <c r="E3590" t="s">
        <v>1204</v>
      </c>
      <c r="F3590">
        <v>7516</v>
      </c>
      <c r="G3590" t="s">
        <v>2676</v>
      </c>
      <c r="H3590" t="s">
        <v>2664</v>
      </c>
      <c r="I3590">
        <v>7122.8886998500002</v>
      </c>
      <c r="J3590">
        <v>7629.2551950999996</v>
      </c>
      <c r="K3590">
        <v>8181.6550080999996</v>
      </c>
      <c r="L3590">
        <v>8783.1570267000006</v>
      </c>
      <c r="M3590">
        <v>9436.8301387499996</v>
      </c>
      <c r="N3590" t="s">
        <v>988</v>
      </c>
    </row>
    <row r="3591" spans="1:14" hidden="1" x14ac:dyDescent="0.3">
      <c r="A3591">
        <v>2205</v>
      </c>
      <c r="B3591" t="s">
        <v>1931</v>
      </c>
      <c r="C3591" t="s">
        <v>2670</v>
      </c>
      <c r="D3591" t="s">
        <v>1203</v>
      </c>
      <c r="E3591" t="s">
        <v>1204</v>
      </c>
      <c r="F3591">
        <v>7516</v>
      </c>
      <c r="G3591" t="s">
        <v>2672</v>
      </c>
      <c r="H3591" t="s">
        <v>2665</v>
      </c>
      <c r="N3591" t="s">
        <v>988</v>
      </c>
    </row>
    <row r="3592" spans="1:14" hidden="1" x14ac:dyDescent="0.3">
      <c r="A3592">
        <v>2205</v>
      </c>
      <c r="B3592" t="s">
        <v>1931</v>
      </c>
      <c r="C3592" t="s">
        <v>2670</v>
      </c>
      <c r="D3592" t="s">
        <v>1203</v>
      </c>
      <c r="E3592" t="s">
        <v>1204</v>
      </c>
      <c r="F3592">
        <v>7516</v>
      </c>
      <c r="G3592" t="s">
        <v>2672</v>
      </c>
      <c r="H3592" t="s">
        <v>2664</v>
      </c>
      <c r="N3592" t="s">
        <v>988</v>
      </c>
    </row>
    <row r="3593" spans="1:14" hidden="1" x14ac:dyDescent="0.3">
      <c r="A3593">
        <v>2205</v>
      </c>
      <c r="B3593" t="s">
        <v>1931</v>
      </c>
      <c r="C3593" t="s">
        <v>2670</v>
      </c>
      <c r="D3593" t="s">
        <v>1203</v>
      </c>
      <c r="E3593" t="s">
        <v>1204</v>
      </c>
      <c r="F3593">
        <v>7516</v>
      </c>
      <c r="G3593" t="s">
        <v>2671</v>
      </c>
      <c r="H3593" t="s">
        <v>2665</v>
      </c>
      <c r="I3593">
        <v>6450.8022607000003</v>
      </c>
      <c r="J3593">
        <v>6911.1354382</v>
      </c>
      <c r="K3593">
        <v>7408.2952698999998</v>
      </c>
      <c r="L3593">
        <v>7954.5573071999997</v>
      </c>
      <c r="M3593">
        <v>8546.8526622499994</v>
      </c>
      <c r="N3593" t="s">
        <v>988</v>
      </c>
    </row>
    <row r="3594" spans="1:14" hidden="1" x14ac:dyDescent="0.3">
      <c r="A3594">
        <v>2205</v>
      </c>
      <c r="B3594" t="s">
        <v>1931</v>
      </c>
      <c r="C3594" t="s">
        <v>2670</v>
      </c>
      <c r="D3594" t="s">
        <v>1203</v>
      </c>
      <c r="E3594" t="s">
        <v>1204</v>
      </c>
      <c r="F3594">
        <v>7516</v>
      </c>
      <c r="G3594" t="s">
        <v>2671</v>
      </c>
      <c r="H3594" t="s">
        <v>2664</v>
      </c>
      <c r="I3594">
        <v>6450.8022607000003</v>
      </c>
      <c r="J3594">
        <v>6911.1354382</v>
      </c>
      <c r="K3594">
        <v>7408.2952698999998</v>
      </c>
      <c r="L3594">
        <v>7954.5573071999997</v>
      </c>
      <c r="M3594">
        <v>8546.8526622499994</v>
      </c>
      <c r="N3594" t="s">
        <v>988</v>
      </c>
    </row>
    <row r="3595" spans="1:14" hidden="1" x14ac:dyDescent="0.3">
      <c r="A3595">
        <v>2205</v>
      </c>
      <c r="B3595" t="s">
        <v>1931</v>
      </c>
      <c r="C3595" t="s">
        <v>2670</v>
      </c>
      <c r="D3595" t="s">
        <v>1203</v>
      </c>
      <c r="E3595" t="s">
        <v>1204</v>
      </c>
      <c r="F3595">
        <v>7516</v>
      </c>
      <c r="G3595" t="s">
        <v>2676</v>
      </c>
      <c r="H3595" t="s">
        <v>2665</v>
      </c>
      <c r="I3595">
        <v>7122.8886998500002</v>
      </c>
      <c r="J3595">
        <v>7629.2551950999996</v>
      </c>
      <c r="K3595">
        <v>8181.6550080999996</v>
      </c>
      <c r="L3595">
        <v>8783.1570267000006</v>
      </c>
      <c r="M3595">
        <v>9436.8301387499996</v>
      </c>
      <c r="N3595" t="s">
        <v>988</v>
      </c>
    </row>
    <row r="3596" spans="1:14" hidden="1" x14ac:dyDescent="0.3">
      <c r="A3596">
        <v>2205</v>
      </c>
      <c r="B3596" t="s">
        <v>1931</v>
      </c>
      <c r="C3596" t="s">
        <v>2670</v>
      </c>
      <c r="D3596" t="s">
        <v>1203</v>
      </c>
      <c r="E3596" t="s">
        <v>1204</v>
      </c>
      <c r="F3596">
        <v>7516</v>
      </c>
      <c r="G3596" t="s">
        <v>2673</v>
      </c>
      <c r="H3596" t="s">
        <v>2664</v>
      </c>
      <c r="I3596">
        <v>6585.8333260999998</v>
      </c>
      <c r="J3596">
        <v>7055.37316715</v>
      </c>
      <c r="K3596">
        <v>7564.8085502499998</v>
      </c>
      <c r="L3596">
        <v>8120.2772511000003</v>
      </c>
      <c r="M3596">
        <v>8727.9170453999996</v>
      </c>
      <c r="N3596" t="s">
        <v>988</v>
      </c>
    </row>
    <row r="3597" spans="1:14" hidden="1" x14ac:dyDescent="0.3">
      <c r="A3597">
        <v>2205</v>
      </c>
      <c r="B3597" t="s">
        <v>1931</v>
      </c>
      <c r="C3597" t="s">
        <v>2670</v>
      </c>
      <c r="D3597" t="s">
        <v>1203</v>
      </c>
      <c r="E3597" t="s">
        <v>1204</v>
      </c>
      <c r="F3597">
        <v>7516</v>
      </c>
      <c r="G3597" t="s">
        <v>2674</v>
      </c>
      <c r="H3597" t="s">
        <v>2665</v>
      </c>
      <c r="I3597">
        <v>6727.0021672000003</v>
      </c>
      <c r="J3597">
        <v>7205.7486718</v>
      </c>
      <c r="K3597">
        <v>7727.4596062999999</v>
      </c>
      <c r="L3597">
        <v>8295.2038585499995</v>
      </c>
      <c r="M3597">
        <v>8912.0503164000002</v>
      </c>
      <c r="N3597" t="s">
        <v>988</v>
      </c>
    </row>
    <row r="3598" spans="1:14" hidden="1" x14ac:dyDescent="0.3">
      <c r="A3598">
        <v>2205</v>
      </c>
      <c r="B3598" t="s">
        <v>1931</v>
      </c>
      <c r="C3598" t="s">
        <v>2670</v>
      </c>
      <c r="D3598" t="s">
        <v>1203</v>
      </c>
      <c r="E3598" t="s">
        <v>1204</v>
      </c>
      <c r="F3598">
        <v>7516</v>
      </c>
      <c r="G3598" t="s">
        <v>2674</v>
      </c>
      <c r="H3598" t="s">
        <v>2664</v>
      </c>
      <c r="I3598">
        <v>6727.0021672000003</v>
      </c>
      <c r="J3598">
        <v>7205.7486718</v>
      </c>
      <c r="K3598">
        <v>7727.4596062999999</v>
      </c>
      <c r="L3598">
        <v>8295.2038585499995</v>
      </c>
      <c r="M3598">
        <v>8912.0503164000002</v>
      </c>
      <c r="N3598" t="s">
        <v>988</v>
      </c>
    </row>
    <row r="3599" spans="1:14" hidden="1" x14ac:dyDescent="0.3">
      <c r="A3599">
        <v>2205</v>
      </c>
      <c r="B3599" t="s">
        <v>1931</v>
      </c>
      <c r="C3599" t="s">
        <v>2670</v>
      </c>
      <c r="D3599" t="s">
        <v>1203</v>
      </c>
      <c r="E3599" t="s">
        <v>1204</v>
      </c>
      <c r="F3599">
        <v>7516</v>
      </c>
      <c r="G3599" t="s">
        <v>2675</v>
      </c>
      <c r="H3599" t="s">
        <v>2665</v>
      </c>
      <c r="I3599">
        <v>6865.1021204500003</v>
      </c>
      <c r="J3599">
        <v>7356.12417645</v>
      </c>
      <c r="K3599">
        <v>7887.0417745000004</v>
      </c>
      <c r="L3599">
        <v>8467.0615781500001</v>
      </c>
      <c r="M3599">
        <v>9096.1835874000008</v>
      </c>
      <c r="N3599" t="s">
        <v>988</v>
      </c>
    </row>
    <row r="3600" spans="1:14" hidden="1" x14ac:dyDescent="0.3">
      <c r="A3600">
        <v>2205</v>
      </c>
      <c r="B3600" t="s">
        <v>1931</v>
      </c>
      <c r="C3600" t="s">
        <v>2670</v>
      </c>
      <c r="D3600" t="s">
        <v>1203</v>
      </c>
      <c r="E3600" t="s">
        <v>1204</v>
      </c>
      <c r="F3600">
        <v>7516</v>
      </c>
      <c r="G3600" t="s">
        <v>2675</v>
      </c>
      <c r="H3600" t="s">
        <v>2664</v>
      </c>
      <c r="I3600">
        <v>6865.1021204500003</v>
      </c>
      <c r="J3600">
        <v>7356.12417645</v>
      </c>
      <c r="K3600">
        <v>7887.0417745000004</v>
      </c>
      <c r="L3600">
        <v>8467.0615781500001</v>
      </c>
      <c r="M3600">
        <v>9096.1835874000008</v>
      </c>
      <c r="N3600" t="s">
        <v>988</v>
      </c>
    </row>
    <row r="3601" spans="1:14" hidden="1" x14ac:dyDescent="0.3">
      <c r="A3601">
        <v>2205</v>
      </c>
      <c r="B3601" t="s">
        <v>1931</v>
      </c>
      <c r="C3601" t="s">
        <v>2670</v>
      </c>
      <c r="D3601" t="s">
        <v>1203</v>
      </c>
      <c r="E3601" t="s">
        <v>1204</v>
      </c>
      <c r="F3601">
        <v>7516</v>
      </c>
      <c r="G3601" t="s">
        <v>2673</v>
      </c>
      <c r="H3601" t="s">
        <v>2665</v>
      </c>
      <c r="I3601">
        <v>6585.8333260999998</v>
      </c>
      <c r="J3601">
        <v>7055.37316715</v>
      </c>
      <c r="K3601">
        <v>7564.8085502499998</v>
      </c>
      <c r="L3601">
        <v>8120.2772511000003</v>
      </c>
      <c r="M3601">
        <v>8727.9170453999996</v>
      </c>
      <c r="N3601" t="s">
        <v>988</v>
      </c>
    </row>
    <row r="3602" spans="1:14" hidden="1" x14ac:dyDescent="0.3">
      <c r="A3602">
        <v>2207</v>
      </c>
      <c r="B3602" t="s">
        <v>1936</v>
      </c>
      <c r="C3602" t="s">
        <v>2670</v>
      </c>
      <c r="D3602" t="s">
        <v>159</v>
      </c>
      <c r="E3602" t="s">
        <v>159</v>
      </c>
      <c r="F3602">
        <v>7855</v>
      </c>
      <c r="G3602" t="s">
        <v>2672</v>
      </c>
      <c r="H3602" t="s">
        <v>2665</v>
      </c>
      <c r="N3602" t="s">
        <v>988</v>
      </c>
    </row>
    <row r="3603" spans="1:14" hidden="1" x14ac:dyDescent="0.3">
      <c r="A3603">
        <v>2207</v>
      </c>
      <c r="B3603" t="s">
        <v>1936</v>
      </c>
      <c r="C3603" t="s">
        <v>2670</v>
      </c>
      <c r="D3603" t="s">
        <v>159</v>
      </c>
      <c r="E3603" t="s">
        <v>159</v>
      </c>
      <c r="F3603">
        <v>7855</v>
      </c>
      <c r="G3603" t="s">
        <v>2672</v>
      </c>
      <c r="H3603" t="s">
        <v>2664</v>
      </c>
      <c r="N3603" t="s">
        <v>988</v>
      </c>
    </row>
    <row r="3604" spans="1:14" hidden="1" x14ac:dyDescent="0.3">
      <c r="A3604">
        <v>2207</v>
      </c>
      <c r="B3604" t="s">
        <v>1936</v>
      </c>
      <c r="C3604" t="s">
        <v>2670</v>
      </c>
      <c r="D3604" t="s">
        <v>159</v>
      </c>
      <c r="E3604" t="s">
        <v>159</v>
      </c>
      <c r="F3604">
        <v>7855</v>
      </c>
      <c r="G3604" t="s">
        <v>2671</v>
      </c>
      <c r="H3604" t="s">
        <v>2665</v>
      </c>
      <c r="I3604">
        <v>35915</v>
      </c>
      <c r="J3604">
        <v>36459</v>
      </c>
      <c r="K3604">
        <v>36178</v>
      </c>
      <c r="L3604">
        <v>35868</v>
      </c>
      <c r="M3604">
        <v>35857</v>
      </c>
      <c r="N3604" t="s">
        <v>988</v>
      </c>
    </row>
    <row r="3605" spans="1:14" hidden="1" x14ac:dyDescent="0.3">
      <c r="A3605">
        <v>2207</v>
      </c>
      <c r="B3605" t="s">
        <v>1936</v>
      </c>
      <c r="C3605" t="s">
        <v>2670</v>
      </c>
      <c r="D3605" t="s">
        <v>159</v>
      </c>
      <c r="E3605" t="s">
        <v>159</v>
      </c>
      <c r="F3605">
        <v>7855</v>
      </c>
      <c r="G3605" t="s">
        <v>2671</v>
      </c>
      <c r="H3605" t="s">
        <v>2664</v>
      </c>
      <c r="I3605">
        <v>35915</v>
      </c>
      <c r="J3605">
        <v>36459</v>
      </c>
      <c r="K3605">
        <v>36178</v>
      </c>
      <c r="L3605">
        <v>35868</v>
      </c>
      <c r="M3605">
        <v>35857</v>
      </c>
      <c r="N3605" t="s">
        <v>988</v>
      </c>
    </row>
    <row r="3606" spans="1:14" hidden="1" x14ac:dyDescent="0.3">
      <c r="A3606">
        <v>2207</v>
      </c>
      <c r="B3606" t="s">
        <v>1936</v>
      </c>
      <c r="C3606" t="s">
        <v>2670</v>
      </c>
      <c r="D3606" t="s">
        <v>159</v>
      </c>
      <c r="E3606" t="s">
        <v>159</v>
      </c>
      <c r="F3606">
        <v>7855</v>
      </c>
      <c r="G3606" t="s">
        <v>2673</v>
      </c>
      <c r="H3606" t="s">
        <v>2665</v>
      </c>
      <c r="I3606">
        <v>35831</v>
      </c>
      <c r="J3606">
        <v>36350</v>
      </c>
      <c r="K3606">
        <v>36234</v>
      </c>
      <c r="L3606">
        <v>35930</v>
      </c>
      <c r="M3606">
        <v>35859</v>
      </c>
      <c r="N3606" t="s">
        <v>988</v>
      </c>
    </row>
    <row r="3607" spans="1:14" hidden="1" x14ac:dyDescent="0.3">
      <c r="A3607">
        <v>2207</v>
      </c>
      <c r="B3607" t="s">
        <v>1936</v>
      </c>
      <c r="C3607" t="s">
        <v>2670</v>
      </c>
      <c r="D3607" t="s">
        <v>159</v>
      </c>
      <c r="E3607" t="s">
        <v>159</v>
      </c>
      <c r="F3607">
        <v>7855</v>
      </c>
      <c r="G3607" t="s">
        <v>2676</v>
      </c>
      <c r="H3607" t="s">
        <v>2664</v>
      </c>
      <c r="I3607">
        <v>35581</v>
      </c>
      <c r="J3607">
        <v>36024</v>
      </c>
      <c r="K3607">
        <v>36403</v>
      </c>
      <c r="L3607">
        <v>36116</v>
      </c>
      <c r="M3607">
        <v>35866</v>
      </c>
      <c r="N3607" t="s">
        <v>988</v>
      </c>
    </row>
    <row r="3608" spans="1:14" hidden="1" x14ac:dyDescent="0.3">
      <c r="A3608">
        <v>2207</v>
      </c>
      <c r="B3608" t="s">
        <v>1936</v>
      </c>
      <c r="C3608" t="s">
        <v>2670</v>
      </c>
      <c r="D3608" t="s">
        <v>159</v>
      </c>
      <c r="E3608" t="s">
        <v>159</v>
      </c>
      <c r="F3608">
        <v>7855</v>
      </c>
      <c r="G3608" t="s">
        <v>2674</v>
      </c>
      <c r="H3608" t="s">
        <v>2665</v>
      </c>
      <c r="I3608">
        <v>35748</v>
      </c>
      <c r="J3608">
        <v>36241</v>
      </c>
      <c r="K3608">
        <v>36290</v>
      </c>
      <c r="L3608">
        <v>35992</v>
      </c>
      <c r="M3608">
        <v>35861</v>
      </c>
      <c r="N3608" t="s">
        <v>988</v>
      </c>
    </row>
    <row r="3609" spans="1:14" hidden="1" x14ac:dyDescent="0.3">
      <c r="A3609">
        <v>2207</v>
      </c>
      <c r="B3609" t="s">
        <v>1936</v>
      </c>
      <c r="C3609" t="s">
        <v>2670</v>
      </c>
      <c r="D3609" t="s">
        <v>159</v>
      </c>
      <c r="E3609" t="s">
        <v>159</v>
      </c>
      <c r="F3609">
        <v>7855</v>
      </c>
      <c r="G3609" t="s">
        <v>2674</v>
      </c>
      <c r="H3609" t="s">
        <v>2664</v>
      </c>
      <c r="I3609">
        <v>35748</v>
      </c>
      <c r="J3609">
        <v>36241</v>
      </c>
      <c r="K3609">
        <v>36290</v>
      </c>
      <c r="L3609">
        <v>35992</v>
      </c>
      <c r="M3609">
        <v>35861</v>
      </c>
      <c r="N3609" t="s">
        <v>988</v>
      </c>
    </row>
    <row r="3610" spans="1:14" hidden="1" x14ac:dyDescent="0.3">
      <c r="A3610">
        <v>2207</v>
      </c>
      <c r="B3610" t="s">
        <v>1936</v>
      </c>
      <c r="C3610" t="s">
        <v>2670</v>
      </c>
      <c r="D3610" t="s">
        <v>159</v>
      </c>
      <c r="E3610" t="s">
        <v>159</v>
      </c>
      <c r="F3610">
        <v>7855</v>
      </c>
      <c r="G3610" t="s">
        <v>2675</v>
      </c>
      <c r="H3610" t="s">
        <v>2665</v>
      </c>
      <c r="I3610">
        <v>35665</v>
      </c>
      <c r="J3610">
        <v>36133</v>
      </c>
      <c r="K3610">
        <v>36347</v>
      </c>
      <c r="L3610">
        <v>36054</v>
      </c>
      <c r="M3610">
        <v>35864</v>
      </c>
      <c r="N3610" t="s">
        <v>988</v>
      </c>
    </row>
    <row r="3611" spans="1:14" hidden="1" x14ac:dyDescent="0.3">
      <c r="A3611">
        <v>2207</v>
      </c>
      <c r="B3611" t="s">
        <v>1936</v>
      </c>
      <c r="C3611" t="s">
        <v>2670</v>
      </c>
      <c r="D3611" t="s">
        <v>159</v>
      </c>
      <c r="E3611" t="s">
        <v>159</v>
      </c>
      <c r="F3611">
        <v>7855</v>
      </c>
      <c r="G3611" t="s">
        <v>2675</v>
      </c>
      <c r="H3611" t="s">
        <v>2664</v>
      </c>
      <c r="I3611">
        <v>35665</v>
      </c>
      <c r="J3611">
        <v>36133</v>
      </c>
      <c r="K3611">
        <v>36347</v>
      </c>
      <c r="L3611">
        <v>36054</v>
      </c>
      <c r="M3611">
        <v>35864</v>
      </c>
      <c r="N3611" t="s">
        <v>988</v>
      </c>
    </row>
    <row r="3612" spans="1:14" hidden="1" x14ac:dyDescent="0.3">
      <c r="A3612">
        <v>2207</v>
      </c>
      <c r="B3612" t="s">
        <v>1936</v>
      </c>
      <c r="C3612" t="s">
        <v>2670</v>
      </c>
      <c r="D3612" t="s">
        <v>159</v>
      </c>
      <c r="E3612" t="s">
        <v>159</v>
      </c>
      <c r="F3612">
        <v>7855</v>
      </c>
      <c r="G3612" t="s">
        <v>2676</v>
      </c>
      <c r="H3612" t="s">
        <v>2665</v>
      </c>
      <c r="I3612">
        <v>35581</v>
      </c>
      <c r="J3612">
        <v>36024</v>
      </c>
      <c r="K3612">
        <v>36403</v>
      </c>
      <c r="L3612">
        <v>36116</v>
      </c>
      <c r="M3612">
        <v>35866</v>
      </c>
      <c r="N3612" t="s">
        <v>988</v>
      </c>
    </row>
    <row r="3613" spans="1:14" hidden="1" x14ac:dyDescent="0.3">
      <c r="A3613">
        <v>2207</v>
      </c>
      <c r="B3613" t="s">
        <v>1936</v>
      </c>
      <c r="C3613" t="s">
        <v>2670</v>
      </c>
      <c r="D3613" t="s">
        <v>159</v>
      </c>
      <c r="E3613" t="s">
        <v>159</v>
      </c>
      <c r="F3613">
        <v>7855</v>
      </c>
      <c r="G3613" t="s">
        <v>2673</v>
      </c>
      <c r="H3613" t="s">
        <v>2664</v>
      </c>
      <c r="I3613">
        <v>35831</v>
      </c>
      <c r="J3613">
        <v>36350</v>
      </c>
      <c r="K3613">
        <v>36234</v>
      </c>
      <c r="L3613">
        <v>35930</v>
      </c>
      <c r="M3613">
        <v>35859</v>
      </c>
      <c r="N3613" t="s">
        <v>988</v>
      </c>
    </row>
    <row r="3614" spans="1:14" hidden="1" x14ac:dyDescent="0.3">
      <c r="A3614">
        <v>2209</v>
      </c>
      <c r="B3614" t="s">
        <v>1938</v>
      </c>
      <c r="C3614" t="s">
        <v>2670</v>
      </c>
      <c r="D3614" t="s">
        <v>1203</v>
      </c>
      <c r="E3614" t="s">
        <v>1204</v>
      </c>
      <c r="F3614">
        <v>5793</v>
      </c>
      <c r="G3614" t="s">
        <v>2672</v>
      </c>
      <c r="H3614" t="s">
        <v>2665</v>
      </c>
      <c r="N3614" t="s">
        <v>988</v>
      </c>
    </row>
    <row r="3615" spans="1:14" hidden="1" x14ac:dyDescent="0.3">
      <c r="A3615">
        <v>2209</v>
      </c>
      <c r="B3615" t="s">
        <v>1938</v>
      </c>
      <c r="C3615" t="s">
        <v>2670</v>
      </c>
      <c r="D3615" t="s">
        <v>1203</v>
      </c>
      <c r="E3615" t="s">
        <v>1204</v>
      </c>
      <c r="F3615">
        <v>5793</v>
      </c>
      <c r="G3615" t="s">
        <v>2672</v>
      </c>
      <c r="H3615" t="s">
        <v>2664</v>
      </c>
      <c r="N3615" t="s">
        <v>988</v>
      </c>
    </row>
    <row r="3616" spans="1:14" hidden="1" x14ac:dyDescent="0.3">
      <c r="A3616">
        <v>2209</v>
      </c>
      <c r="B3616" t="s">
        <v>1938</v>
      </c>
      <c r="C3616" t="s">
        <v>2670</v>
      </c>
      <c r="D3616" t="s">
        <v>1203</v>
      </c>
      <c r="E3616" t="s">
        <v>1204</v>
      </c>
      <c r="F3616">
        <v>5793</v>
      </c>
      <c r="G3616" t="s">
        <v>2671</v>
      </c>
      <c r="H3616" t="s">
        <v>2665</v>
      </c>
      <c r="I3616">
        <v>11110</v>
      </c>
      <c r="J3616">
        <v>11680</v>
      </c>
      <c r="K3616">
        <v>11660</v>
      </c>
      <c r="L3616">
        <v>11770</v>
      </c>
      <c r="M3616">
        <v>11930</v>
      </c>
      <c r="N3616" t="s">
        <v>988</v>
      </c>
    </row>
    <row r="3617" spans="1:14" hidden="1" x14ac:dyDescent="0.3">
      <c r="A3617">
        <v>2209</v>
      </c>
      <c r="B3617" t="s">
        <v>1938</v>
      </c>
      <c r="C3617" t="s">
        <v>2670</v>
      </c>
      <c r="D3617" t="s">
        <v>1203</v>
      </c>
      <c r="E3617" t="s">
        <v>1204</v>
      </c>
      <c r="F3617">
        <v>5793</v>
      </c>
      <c r="G3617" t="s">
        <v>2671</v>
      </c>
      <c r="H3617" t="s">
        <v>2664</v>
      </c>
      <c r="I3617">
        <v>12020</v>
      </c>
      <c r="J3617">
        <v>13900</v>
      </c>
      <c r="K3617">
        <v>13900</v>
      </c>
      <c r="L3617">
        <v>13900</v>
      </c>
      <c r="M3617">
        <v>13900</v>
      </c>
      <c r="N3617" t="s">
        <v>988</v>
      </c>
    </row>
    <row r="3618" spans="1:14" hidden="1" x14ac:dyDescent="0.3">
      <c r="A3618">
        <v>2209</v>
      </c>
      <c r="B3618" t="s">
        <v>1938</v>
      </c>
      <c r="C3618" t="s">
        <v>2670</v>
      </c>
      <c r="D3618" t="s">
        <v>1203</v>
      </c>
      <c r="E3618" t="s">
        <v>1204</v>
      </c>
      <c r="F3618">
        <v>5793</v>
      </c>
      <c r="G3618" t="s">
        <v>2673</v>
      </c>
      <c r="H3618" t="s">
        <v>2665</v>
      </c>
      <c r="I3618">
        <v>13890</v>
      </c>
      <c r="J3618">
        <v>14600</v>
      </c>
      <c r="K3618">
        <v>14580</v>
      </c>
      <c r="L3618">
        <v>14720</v>
      </c>
      <c r="M3618">
        <v>14910</v>
      </c>
      <c r="N3618" t="s">
        <v>988</v>
      </c>
    </row>
    <row r="3619" spans="1:14" hidden="1" x14ac:dyDescent="0.3">
      <c r="A3619">
        <v>2209</v>
      </c>
      <c r="B3619" t="s">
        <v>1938</v>
      </c>
      <c r="C3619" t="s">
        <v>2670</v>
      </c>
      <c r="D3619" t="s">
        <v>1203</v>
      </c>
      <c r="E3619" t="s">
        <v>1204</v>
      </c>
      <c r="F3619">
        <v>5793</v>
      </c>
      <c r="G3619" t="s">
        <v>2676</v>
      </c>
      <c r="H3619" t="s">
        <v>2664</v>
      </c>
      <c r="I3619">
        <v>23050</v>
      </c>
      <c r="J3619">
        <v>24930</v>
      </c>
      <c r="K3619">
        <v>24930</v>
      </c>
      <c r="L3619">
        <v>24930</v>
      </c>
      <c r="M3619">
        <v>24930</v>
      </c>
      <c r="N3619" t="s">
        <v>988</v>
      </c>
    </row>
    <row r="3620" spans="1:14" hidden="1" x14ac:dyDescent="0.3">
      <c r="A3620">
        <v>2209</v>
      </c>
      <c r="B3620" t="s">
        <v>1938</v>
      </c>
      <c r="C3620" t="s">
        <v>2670</v>
      </c>
      <c r="D3620" t="s">
        <v>1203</v>
      </c>
      <c r="E3620" t="s">
        <v>1204</v>
      </c>
      <c r="F3620">
        <v>5793</v>
      </c>
      <c r="G3620" t="s">
        <v>2674</v>
      </c>
      <c r="H3620" t="s">
        <v>2665</v>
      </c>
      <c r="I3620">
        <v>13890</v>
      </c>
      <c r="J3620">
        <v>14600</v>
      </c>
      <c r="K3620">
        <v>14580</v>
      </c>
      <c r="L3620">
        <v>14720</v>
      </c>
      <c r="M3620">
        <v>14910</v>
      </c>
      <c r="N3620" t="s">
        <v>988</v>
      </c>
    </row>
    <row r="3621" spans="1:14" hidden="1" x14ac:dyDescent="0.3">
      <c r="A3621">
        <v>2209</v>
      </c>
      <c r="B3621" t="s">
        <v>1938</v>
      </c>
      <c r="C3621" t="s">
        <v>2670</v>
      </c>
      <c r="D3621" t="s">
        <v>1203</v>
      </c>
      <c r="E3621" t="s">
        <v>1204</v>
      </c>
      <c r="F3621">
        <v>5793</v>
      </c>
      <c r="G3621" t="s">
        <v>2674</v>
      </c>
      <c r="H3621" t="s">
        <v>2664</v>
      </c>
      <c r="I3621">
        <v>20680</v>
      </c>
      <c r="J3621">
        <v>22560</v>
      </c>
      <c r="K3621">
        <v>22560</v>
      </c>
      <c r="L3621">
        <v>22560</v>
      </c>
      <c r="M3621">
        <v>22560</v>
      </c>
      <c r="N3621" t="s">
        <v>988</v>
      </c>
    </row>
    <row r="3622" spans="1:14" hidden="1" x14ac:dyDescent="0.3">
      <c r="A3622">
        <v>2209</v>
      </c>
      <c r="B3622" t="s">
        <v>1938</v>
      </c>
      <c r="C3622" t="s">
        <v>2670</v>
      </c>
      <c r="D3622" t="s">
        <v>1203</v>
      </c>
      <c r="E3622" t="s">
        <v>1204</v>
      </c>
      <c r="F3622">
        <v>5793</v>
      </c>
      <c r="G3622" t="s">
        <v>2675</v>
      </c>
      <c r="H3622" t="s">
        <v>2665</v>
      </c>
      <c r="I3622">
        <v>13890</v>
      </c>
      <c r="J3622">
        <v>14600</v>
      </c>
      <c r="K3622">
        <v>14580</v>
      </c>
      <c r="L3622">
        <v>14720</v>
      </c>
      <c r="M3622">
        <v>14910</v>
      </c>
      <c r="N3622" t="s">
        <v>988</v>
      </c>
    </row>
    <row r="3623" spans="1:14" hidden="1" x14ac:dyDescent="0.3">
      <c r="A3623">
        <v>2209</v>
      </c>
      <c r="B3623" t="s">
        <v>1938</v>
      </c>
      <c r="C3623" t="s">
        <v>2670</v>
      </c>
      <c r="D3623" t="s">
        <v>1203</v>
      </c>
      <c r="E3623" t="s">
        <v>1204</v>
      </c>
      <c r="F3623">
        <v>5793</v>
      </c>
      <c r="G3623" t="s">
        <v>2675</v>
      </c>
      <c r="H3623" t="s">
        <v>2664</v>
      </c>
      <c r="I3623">
        <v>22350</v>
      </c>
      <c r="J3623">
        <v>24220</v>
      </c>
      <c r="K3623">
        <v>24220</v>
      </c>
      <c r="L3623">
        <v>24220</v>
      </c>
      <c r="M3623">
        <v>24220</v>
      </c>
      <c r="N3623" t="s">
        <v>988</v>
      </c>
    </row>
    <row r="3624" spans="1:14" hidden="1" x14ac:dyDescent="0.3">
      <c r="A3624">
        <v>2209</v>
      </c>
      <c r="B3624" t="s">
        <v>1938</v>
      </c>
      <c r="C3624" t="s">
        <v>2670</v>
      </c>
      <c r="D3624" t="s">
        <v>1203</v>
      </c>
      <c r="E3624" t="s">
        <v>1204</v>
      </c>
      <c r="F3624">
        <v>5793</v>
      </c>
      <c r="G3624" t="s">
        <v>2676</v>
      </c>
      <c r="H3624" t="s">
        <v>2665</v>
      </c>
      <c r="I3624">
        <v>13890</v>
      </c>
      <c r="J3624">
        <v>14600</v>
      </c>
      <c r="K3624">
        <v>14580</v>
      </c>
      <c r="L3624">
        <v>14720</v>
      </c>
      <c r="M3624">
        <v>14910</v>
      </c>
      <c r="N3624" t="s">
        <v>988</v>
      </c>
    </row>
    <row r="3625" spans="1:14" hidden="1" x14ac:dyDescent="0.3">
      <c r="A3625">
        <v>2209</v>
      </c>
      <c r="B3625" t="s">
        <v>1938</v>
      </c>
      <c r="C3625" t="s">
        <v>2670</v>
      </c>
      <c r="D3625" t="s">
        <v>1203</v>
      </c>
      <c r="E3625" t="s">
        <v>1204</v>
      </c>
      <c r="F3625">
        <v>5793</v>
      </c>
      <c r="G3625" t="s">
        <v>2673</v>
      </c>
      <c r="H3625" t="s">
        <v>2664</v>
      </c>
      <c r="I3625">
        <v>16300</v>
      </c>
      <c r="J3625">
        <v>18170</v>
      </c>
      <c r="K3625">
        <v>18170</v>
      </c>
      <c r="L3625">
        <v>18170</v>
      </c>
      <c r="M3625">
        <v>18170</v>
      </c>
      <c r="N3625" t="s">
        <v>988</v>
      </c>
    </row>
    <row r="3626" spans="1:14" hidden="1" x14ac:dyDescent="0.3">
      <c r="A3626">
        <v>2210</v>
      </c>
      <c r="B3626" t="s">
        <v>1940</v>
      </c>
      <c r="C3626" t="s">
        <v>2670</v>
      </c>
      <c r="D3626" t="s">
        <v>1203</v>
      </c>
      <c r="E3626" t="s">
        <v>1204</v>
      </c>
      <c r="F3626">
        <v>5756</v>
      </c>
      <c r="G3626" t="s">
        <v>2672</v>
      </c>
      <c r="H3626" t="s">
        <v>2665</v>
      </c>
      <c r="N3626" t="s">
        <v>988</v>
      </c>
    </row>
    <row r="3627" spans="1:14" hidden="1" x14ac:dyDescent="0.3">
      <c r="A3627">
        <v>2210</v>
      </c>
      <c r="B3627" t="s">
        <v>1940</v>
      </c>
      <c r="C3627" t="s">
        <v>2670</v>
      </c>
      <c r="D3627" t="s">
        <v>1203</v>
      </c>
      <c r="E3627" t="s">
        <v>1204</v>
      </c>
      <c r="F3627">
        <v>5756</v>
      </c>
      <c r="G3627" t="s">
        <v>2672</v>
      </c>
      <c r="H3627" t="s">
        <v>2664</v>
      </c>
      <c r="N3627" t="s">
        <v>988</v>
      </c>
    </row>
    <row r="3628" spans="1:14" hidden="1" x14ac:dyDescent="0.3">
      <c r="A3628">
        <v>2210</v>
      </c>
      <c r="B3628" t="s">
        <v>1940</v>
      </c>
      <c r="C3628" t="s">
        <v>2670</v>
      </c>
      <c r="D3628" t="s">
        <v>1203</v>
      </c>
      <c r="E3628" t="s">
        <v>1204</v>
      </c>
      <c r="F3628">
        <v>5756</v>
      </c>
      <c r="G3628" t="s">
        <v>2671</v>
      </c>
      <c r="H3628" t="s">
        <v>2665</v>
      </c>
      <c r="I3628">
        <v>24043</v>
      </c>
      <c r="J3628">
        <v>25836</v>
      </c>
      <c r="K3628">
        <v>27697</v>
      </c>
      <c r="L3628">
        <v>29557</v>
      </c>
      <c r="M3628">
        <v>31676</v>
      </c>
      <c r="N3628" t="s">
        <v>988</v>
      </c>
    </row>
    <row r="3629" spans="1:14" hidden="1" x14ac:dyDescent="0.3">
      <c r="A3629">
        <v>2210</v>
      </c>
      <c r="B3629" t="s">
        <v>1940</v>
      </c>
      <c r="C3629" t="s">
        <v>2670</v>
      </c>
      <c r="D3629" t="s">
        <v>1203</v>
      </c>
      <c r="E3629" t="s">
        <v>1204</v>
      </c>
      <c r="F3629">
        <v>5756</v>
      </c>
      <c r="G3629" t="s">
        <v>2671</v>
      </c>
      <c r="H3629" t="s">
        <v>2664</v>
      </c>
      <c r="I3629">
        <v>34951</v>
      </c>
      <c r="J3629">
        <v>33097</v>
      </c>
      <c r="K3629">
        <v>34194</v>
      </c>
      <c r="L3629">
        <v>35516</v>
      </c>
      <c r="M3629">
        <v>37096</v>
      </c>
      <c r="N3629" t="s">
        <v>988</v>
      </c>
    </row>
    <row r="3630" spans="1:14" hidden="1" x14ac:dyDescent="0.3">
      <c r="A3630">
        <v>2210</v>
      </c>
      <c r="B3630" t="s">
        <v>1940</v>
      </c>
      <c r="C3630" t="s">
        <v>2670</v>
      </c>
      <c r="D3630" t="s">
        <v>1203</v>
      </c>
      <c r="E3630" t="s">
        <v>1204</v>
      </c>
      <c r="F3630">
        <v>5756</v>
      </c>
      <c r="G3630" t="s">
        <v>2673</v>
      </c>
      <c r="H3630" t="s">
        <v>2665</v>
      </c>
      <c r="I3630">
        <v>24043</v>
      </c>
      <c r="J3630">
        <v>25836</v>
      </c>
      <c r="K3630">
        <v>27697</v>
      </c>
      <c r="L3630">
        <v>29557</v>
      </c>
      <c r="M3630">
        <v>31676</v>
      </c>
      <c r="N3630" t="s">
        <v>988</v>
      </c>
    </row>
    <row r="3631" spans="1:14" hidden="1" x14ac:dyDescent="0.3">
      <c r="A3631">
        <v>2210</v>
      </c>
      <c r="B3631" t="s">
        <v>1940</v>
      </c>
      <c r="C3631" t="s">
        <v>2670</v>
      </c>
      <c r="D3631" t="s">
        <v>1203</v>
      </c>
      <c r="E3631" t="s">
        <v>1204</v>
      </c>
      <c r="F3631">
        <v>5756</v>
      </c>
      <c r="G3631" t="s">
        <v>2676</v>
      </c>
      <c r="H3631" t="s">
        <v>2664</v>
      </c>
      <c r="I3631">
        <v>35404</v>
      </c>
      <c r="J3631">
        <v>33097</v>
      </c>
      <c r="K3631">
        <v>34194</v>
      </c>
      <c r="L3631">
        <v>35516</v>
      </c>
      <c r="M3631">
        <v>37096</v>
      </c>
      <c r="N3631" t="s">
        <v>988</v>
      </c>
    </row>
    <row r="3632" spans="1:14" hidden="1" x14ac:dyDescent="0.3">
      <c r="A3632">
        <v>2210</v>
      </c>
      <c r="B3632" t="s">
        <v>1940</v>
      </c>
      <c r="C3632" t="s">
        <v>2670</v>
      </c>
      <c r="D3632" t="s">
        <v>1203</v>
      </c>
      <c r="E3632" t="s">
        <v>1204</v>
      </c>
      <c r="F3632">
        <v>5756</v>
      </c>
      <c r="G3632" t="s">
        <v>2674</v>
      </c>
      <c r="H3632" t="s">
        <v>2665</v>
      </c>
      <c r="I3632">
        <v>24043</v>
      </c>
      <c r="J3632">
        <v>25836</v>
      </c>
      <c r="K3632">
        <v>27697</v>
      </c>
      <c r="L3632">
        <v>29557</v>
      </c>
      <c r="M3632">
        <v>31676</v>
      </c>
      <c r="N3632" t="s">
        <v>988</v>
      </c>
    </row>
    <row r="3633" spans="1:14" hidden="1" x14ac:dyDescent="0.3">
      <c r="A3633">
        <v>2210</v>
      </c>
      <c r="B3633" t="s">
        <v>1940</v>
      </c>
      <c r="C3633" t="s">
        <v>2670</v>
      </c>
      <c r="D3633" t="s">
        <v>1203</v>
      </c>
      <c r="E3633" t="s">
        <v>1204</v>
      </c>
      <c r="F3633">
        <v>5756</v>
      </c>
      <c r="G3633" t="s">
        <v>2674</v>
      </c>
      <c r="H3633" t="s">
        <v>2664</v>
      </c>
      <c r="I3633">
        <v>34951</v>
      </c>
      <c r="J3633">
        <v>33097</v>
      </c>
      <c r="K3633">
        <v>34194</v>
      </c>
      <c r="L3633">
        <v>35516</v>
      </c>
      <c r="M3633">
        <v>37096</v>
      </c>
      <c r="N3633" t="s">
        <v>988</v>
      </c>
    </row>
    <row r="3634" spans="1:14" hidden="1" x14ac:dyDescent="0.3">
      <c r="A3634">
        <v>2210</v>
      </c>
      <c r="B3634" t="s">
        <v>1940</v>
      </c>
      <c r="C3634" t="s">
        <v>2670</v>
      </c>
      <c r="D3634" t="s">
        <v>1203</v>
      </c>
      <c r="E3634" t="s">
        <v>1204</v>
      </c>
      <c r="F3634">
        <v>5756</v>
      </c>
      <c r="G3634" t="s">
        <v>2675</v>
      </c>
      <c r="H3634" t="s">
        <v>2665</v>
      </c>
      <c r="I3634">
        <v>24043</v>
      </c>
      <c r="J3634">
        <v>25836</v>
      </c>
      <c r="K3634">
        <v>27697</v>
      </c>
      <c r="L3634">
        <v>29557</v>
      </c>
      <c r="M3634">
        <v>31676</v>
      </c>
      <c r="N3634" t="s">
        <v>988</v>
      </c>
    </row>
    <row r="3635" spans="1:14" hidden="1" x14ac:dyDescent="0.3">
      <c r="A3635">
        <v>2210</v>
      </c>
      <c r="B3635" t="s">
        <v>1940</v>
      </c>
      <c r="C3635" t="s">
        <v>2670</v>
      </c>
      <c r="D3635" t="s">
        <v>1203</v>
      </c>
      <c r="E3635" t="s">
        <v>1204</v>
      </c>
      <c r="F3635">
        <v>5756</v>
      </c>
      <c r="G3635" t="s">
        <v>2675</v>
      </c>
      <c r="H3635" t="s">
        <v>2664</v>
      </c>
      <c r="I3635">
        <v>34951</v>
      </c>
      <c r="J3635">
        <v>33097</v>
      </c>
      <c r="K3635">
        <v>34194</v>
      </c>
      <c r="L3635">
        <v>35516</v>
      </c>
      <c r="M3635">
        <v>37096</v>
      </c>
      <c r="N3635" t="s">
        <v>988</v>
      </c>
    </row>
    <row r="3636" spans="1:14" hidden="1" x14ac:dyDescent="0.3">
      <c r="A3636">
        <v>2210</v>
      </c>
      <c r="B3636" t="s">
        <v>1940</v>
      </c>
      <c r="C3636" t="s">
        <v>2670</v>
      </c>
      <c r="D3636" t="s">
        <v>1203</v>
      </c>
      <c r="E3636" t="s">
        <v>1204</v>
      </c>
      <c r="F3636">
        <v>5756</v>
      </c>
      <c r="G3636" t="s">
        <v>2676</v>
      </c>
      <c r="H3636" t="s">
        <v>2665</v>
      </c>
      <c r="I3636">
        <v>24043</v>
      </c>
      <c r="J3636">
        <v>25836</v>
      </c>
      <c r="K3636">
        <v>27697</v>
      </c>
      <c r="L3636">
        <v>29557</v>
      </c>
      <c r="M3636">
        <v>31676</v>
      </c>
      <c r="N3636" t="s">
        <v>988</v>
      </c>
    </row>
    <row r="3637" spans="1:14" hidden="1" x14ac:dyDescent="0.3">
      <c r="A3637">
        <v>2210</v>
      </c>
      <c r="B3637" t="s">
        <v>1940</v>
      </c>
      <c r="C3637" t="s">
        <v>2670</v>
      </c>
      <c r="D3637" t="s">
        <v>1203</v>
      </c>
      <c r="E3637" t="s">
        <v>1204</v>
      </c>
      <c r="F3637">
        <v>5756</v>
      </c>
      <c r="G3637" t="s">
        <v>2673</v>
      </c>
      <c r="H3637" t="s">
        <v>2664</v>
      </c>
      <c r="I3637">
        <v>34951</v>
      </c>
      <c r="J3637">
        <v>33097</v>
      </c>
      <c r="K3637">
        <v>34194</v>
      </c>
      <c r="L3637">
        <v>35516</v>
      </c>
      <c r="M3637">
        <v>37096</v>
      </c>
      <c r="N3637" t="s">
        <v>988</v>
      </c>
    </row>
    <row r="3638" spans="1:14" hidden="1" x14ac:dyDescent="0.3">
      <c r="A3638">
        <v>4993</v>
      </c>
      <c r="B3638" t="s">
        <v>944</v>
      </c>
      <c r="C3638" t="s">
        <v>2670</v>
      </c>
      <c r="D3638" t="s">
        <v>1203</v>
      </c>
      <c r="E3638" t="s">
        <v>1204</v>
      </c>
      <c r="F3638">
        <v>5631</v>
      </c>
      <c r="G3638" t="s">
        <v>2676</v>
      </c>
      <c r="H3638" t="s">
        <v>2664</v>
      </c>
      <c r="I3638">
        <v>77880</v>
      </c>
      <c r="J3638">
        <v>85880</v>
      </c>
      <c r="K3638">
        <v>98090</v>
      </c>
      <c r="L3638">
        <v>108920</v>
      </c>
      <c r="M3638">
        <v>109920</v>
      </c>
      <c r="N3638" t="s">
        <v>988</v>
      </c>
    </row>
    <row r="3639" spans="1:14" hidden="1" x14ac:dyDescent="0.3">
      <c r="A3639">
        <v>4993</v>
      </c>
      <c r="B3639" t="s">
        <v>944</v>
      </c>
      <c r="C3639" t="s">
        <v>2670</v>
      </c>
      <c r="D3639" t="s">
        <v>1203</v>
      </c>
      <c r="E3639" t="s">
        <v>1204</v>
      </c>
      <c r="F3639">
        <v>5631</v>
      </c>
      <c r="G3639" t="s">
        <v>2676</v>
      </c>
      <c r="H3639" t="s">
        <v>2665</v>
      </c>
      <c r="I3639">
        <v>74170</v>
      </c>
      <c r="J3639">
        <v>80180</v>
      </c>
      <c r="K3639">
        <v>86120</v>
      </c>
      <c r="L3639">
        <v>92850</v>
      </c>
      <c r="M3639">
        <v>96700</v>
      </c>
      <c r="N3639" t="s">
        <v>988</v>
      </c>
    </row>
    <row r="3640" spans="1:14" hidden="1" x14ac:dyDescent="0.3">
      <c r="A3640">
        <v>4993</v>
      </c>
      <c r="B3640" t="s">
        <v>944</v>
      </c>
      <c r="C3640" t="s">
        <v>2670</v>
      </c>
      <c r="D3640" t="s">
        <v>1203</v>
      </c>
      <c r="E3640" t="s">
        <v>1204</v>
      </c>
      <c r="F3640">
        <v>5631</v>
      </c>
      <c r="G3640" t="s">
        <v>2675</v>
      </c>
      <c r="H3640" t="s">
        <v>2664</v>
      </c>
      <c r="I3640">
        <v>130810</v>
      </c>
      <c r="J3640">
        <v>137130</v>
      </c>
      <c r="K3640">
        <v>151290</v>
      </c>
      <c r="L3640">
        <v>160400</v>
      </c>
      <c r="M3640">
        <v>161400</v>
      </c>
      <c r="N3640" t="s">
        <v>988</v>
      </c>
    </row>
    <row r="3641" spans="1:14" hidden="1" x14ac:dyDescent="0.3">
      <c r="A3641">
        <v>4993</v>
      </c>
      <c r="B3641" t="s">
        <v>944</v>
      </c>
      <c r="C3641" t="s">
        <v>2670</v>
      </c>
      <c r="D3641" t="s">
        <v>1203</v>
      </c>
      <c r="E3641" t="s">
        <v>1204</v>
      </c>
      <c r="F3641">
        <v>5631</v>
      </c>
      <c r="G3641" t="s">
        <v>2675</v>
      </c>
      <c r="H3641" t="s">
        <v>2665</v>
      </c>
      <c r="I3641">
        <v>77730</v>
      </c>
      <c r="J3641">
        <v>83740</v>
      </c>
      <c r="K3641">
        <v>90500</v>
      </c>
      <c r="L3641">
        <v>96560</v>
      </c>
      <c r="M3641">
        <v>100580</v>
      </c>
      <c r="N3641" t="s">
        <v>988</v>
      </c>
    </row>
    <row r="3642" spans="1:14" hidden="1" x14ac:dyDescent="0.3">
      <c r="A3642">
        <v>4993</v>
      </c>
      <c r="B3642" t="s">
        <v>944</v>
      </c>
      <c r="C3642" t="s">
        <v>2670</v>
      </c>
      <c r="D3642" t="s">
        <v>1203</v>
      </c>
      <c r="E3642" t="s">
        <v>1204</v>
      </c>
      <c r="F3642">
        <v>5631</v>
      </c>
      <c r="G3642" t="s">
        <v>2674</v>
      </c>
      <c r="H3642" t="s">
        <v>2664</v>
      </c>
      <c r="I3642">
        <v>92510</v>
      </c>
      <c r="J3642">
        <v>105050</v>
      </c>
      <c r="K3642">
        <v>115740</v>
      </c>
      <c r="L3642">
        <v>117150</v>
      </c>
      <c r="M3642">
        <v>118150</v>
      </c>
      <c r="N3642" t="s">
        <v>988</v>
      </c>
    </row>
    <row r="3643" spans="1:14" hidden="1" x14ac:dyDescent="0.3">
      <c r="A3643">
        <v>4993</v>
      </c>
      <c r="B3643" t="s">
        <v>944</v>
      </c>
      <c r="C3643" t="s">
        <v>2670</v>
      </c>
      <c r="D3643" t="s">
        <v>1203</v>
      </c>
      <c r="E3643" t="s">
        <v>1204</v>
      </c>
      <c r="F3643">
        <v>5631</v>
      </c>
      <c r="G3643" t="s">
        <v>2674</v>
      </c>
      <c r="H3643" t="s">
        <v>2665</v>
      </c>
      <c r="I3643">
        <v>79670</v>
      </c>
      <c r="J3643">
        <v>85120</v>
      </c>
      <c r="K3643">
        <v>92480</v>
      </c>
      <c r="L3643">
        <v>97530</v>
      </c>
      <c r="M3643">
        <v>101590</v>
      </c>
      <c r="N3643" t="s">
        <v>988</v>
      </c>
    </row>
    <row r="3644" spans="1:14" hidden="1" x14ac:dyDescent="0.3">
      <c r="A3644">
        <v>4993</v>
      </c>
      <c r="B3644" t="s">
        <v>944</v>
      </c>
      <c r="C3644" t="s">
        <v>2670</v>
      </c>
      <c r="D3644" t="s">
        <v>1203</v>
      </c>
      <c r="E3644" t="s">
        <v>1204</v>
      </c>
      <c r="F3644">
        <v>5631</v>
      </c>
      <c r="G3644" t="s">
        <v>2673</v>
      </c>
      <c r="H3644" t="s">
        <v>2664</v>
      </c>
      <c r="I3644">
        <v>103130</v>
      </c>
      <c r="J3644">
        <v>123610</v>
      </c>
      <c r="K3644">
        <v>133170</v>
      </c>
      <c r="L3644">
        <v>133310</v>
      </c>
      <c r="M3644">
        <v>134320</v>
      </c>
      <c r="N3644" t="s">
        <v>988</v>
      </c>
    </row>
    <row r="3645" spans="1:14" hidden="1" x14ac:dyDescent="0.3">
      <c r="A3645">
        <v>4993</v>
      </c>
      <c r="B3645" t="s">
        <v>944</v>
      </c>
      <c r="C3645" t="s">
        <v>2670</v>
      </c>
      <c r="D3645" t="s">
        <v>1203</v>
      </c>
      <c r="E3645" t="s">
        <v>1204</v>
      </c>
      <c r="F3645">
        <v>5631</v>
      </c>
      <c r="G3645" t="s">
        <v>2673</v>
      </c>
      <c r="H3645" t="s">
        <v>2665</v>
      </c>
      <c r="I3645">
        <v>77670</v>
      </c>
      <c r="J3645">
        <v>83150</v>
      </c>
      <c r="K3645">
        <v>90630</v>
      </c>
      <c r="L3645">
        <v>94910</v>
      </c>
      <c r="M3645">
        <v>98710</v>
      </c>
      <c r="N3645" t="s">
        <v>988</v>
      </c>
    </row>
    <row r="3646" spans="1:14" hidden="1" x14ac:dyDescent="0.3">
      <c r="A3646">
        <v>4993</v>
      </c>
      <c r="B3646" t="s">
        <v>944</v>
      </c>
      <c r="C3646" t="s">
        <v>2670</v>
      </c>
      <c r="D3646" t="s">
        <v>1203</v>
      </c>
      <c r="E3646" t="s">
        <v>1204</v>
      </c>
      <c r="F3646">
        <v>5631</v>
      </c>
      <c r="G3646" t="s">
        <v>2671</v>
      </c>
      <c r="H3646" t="s">
        <v>2664</v>
      </c>
      <c r="I3646">
        <v>102210</v>
      </c>
      <c r="J3646">
        <v>118490</v>
      </c>
      <c r="K3646">
        <v>129540</v>
      </c>
      <c r="L3646">
        <v>130660</v>
      </c>
      <c r="M3646">
        <v>131310</v>
      </c>
      <c r="N3646" t="s">
        <v>988</v>
      </c>
    </row>
    <row r="3647" spans="1:14" hidden="1" x14ac:dyDescent="0.3">
      <c r="A3647">
        <v>4993</v>
      </c>
      <c r="B3647" t="s">
        <v>944</v>
      </c>
      <c r="C3647" t="s">
        <v>2670</v>
      </c>
      <c r="D3647" t="s">
        <v>1203</v>
      </c>
      <c r="E3647" t="s">
        <v>1204</v>
      </c>
      <c r="F3647">
        <v>5631</v>
      </c>
      <c r="G3647" t="s">
        <v>2671</v>
      </c>
      <c r="H3647" t="s">
        <v>2665</v>
      </c>
      <c r="I3647">
        <v>79890</v>
      </c>
      <c r="J3647">
        <v>85910</v>
      </c>
      <c r="K3647">
        <v>93100</v>
      </c>
      <c r="L3647">
        <v>97060</v>
      </c>
      <c r="M3647">
        <v>100790</v>
      </c>
      <c r="N3647" t="s">
        <v>988</v>
      </c>
    </row>
    <row r="3648" spans="1:14" hidden="1" x14ac:dyDescent="0.3">
      <c r="A3648">
        <v>4993</v>
      </c>
      <c r="B3648" t="s">
        <v>944</v>
      </c>
      <c r="C3648" t="s">
        <v>2670</v>
      </c>
      <c r="D3648" t="s">
        <v>1203</v>
      </c>
      <c r="E3648" t="s">
        <v>1204</v>
      </c>
      <c r="F3648">
        <v>5631</v>
      </c>
      <c r="G3648" t="s">
        <v>2672</v>
      </c>
      <c r="H3648" t="s">
        <v>2665</v>
      </c>
      <c r="N3648" t="s">
        <v>988</v>
      </c>
    </row>
    <row r="3649" spans="1:14" hidden="1" x14ac:dyDescent="0.3">
      <c r="A3649">
        <v>4993</v>
      </c>
      <c r="B3649" t="s">
        <v>944</v>
      </c>
      <c r="C3649" t="s">
        <v>2670</v>
      </c>
      <c r="D3649" t="s">
        <v>1203</v>
      </c>
      <c r="E3649" t="s">
        <v>1204</v>
      </c>
      <c r="F3649">
        <v>5631</v>
      </c>
      <c r="G3649" t="s">
        <v>2672</v>
      </c>
      <c r="H3649" t="s">
        <v>2664</v>
      </c>
      <c r="N3649" t="s">
        <v>988</v>
      </c>
    </row>
    <row r="3650" spans="1:14" hidden="1" x14ac:dyDescent="0.3">
      <c r="A3650">
        <v>2213</v>
      </c>
      <c r="B3650" t="s">
        <v>1944</v>
      </c>
      <c r="C3650" t="s">
        <v>2670</v>
      </c>
      <c r="D3650" t="s">
        <v>1203</v>
      </c>
      <c r="E3650" t="s">
        <v>1204</v>
      </c>
      <c r="F3650">
        <v>6652</v>
      </c>
      <c r="G3650" t="s">
        <v>2675</v>
      </c>
      <c r="H3650" t="s">
        <v>2664</v>
      </c>
      <c r="I3650">
        <v>8187.7927837999996</v>
      </c>
      <c r="J3650">
        <v>8267.5838679000008</v>
      </c>
      <c r="K3650">
        <v>8298.2727464</v>
      </c>
      <c r="L3650">
        <v>8485.4749052499992</v>
      </c>
      <c r="M3650">
        <v>8543.7837744000008</v>
      </c>
      <c r="N3650" t="s">
        <v>988</v>
      </c>
    </row>
    <row r="3651" spans="1:14" hidden="1" x14ac:dyDescent="0.3">
      <c r="A3651">
        <v>2213</v>
      </c>
      <c r="B3651" t="s">
        <v>1944</v>
      </c>
      <c r="C3651" t="s">
        <v>2670</v>
      </c>
      <c r="D3651" t="s">
        <v>1203</v>
      </c>
      <c r="E3651" t="s">
        <v>1204</v>
      </c>
      <c r="F3651">
        <v>6652</v>
      </c>
      <c r="G3651" t="s">
        <v>2675</v>
      </c>
      <c r="H3651" t="s">
        <v>2665</v>
      </c>
      <c r="I3651">
        <v>8187.7927837999996</v>
      </c>
      <c r="J3651">
        <v>8267.5838679000008</v>
      </c>
      <c r="K3651">
        <v>8298.2727464</v>
      </c>
      <c r="L3651">
        <v>8485.4749052499992</v>
      </c>
      <c r="M3651">
        <v>8543.7837744000008</v>
      </c>
      <c r="N3651" t="s">
        <v>988</v>
      </c>
    </row>
    <row r="3652" spans="1:14" hidden="1" x14ac:dyDescent="0.3">
      <c r="A3652">
        <v>2213</v>
      </c>
      <c r="B3652" t="s">
        <v>1944</v>
      </c>
      <c r="C3652" t="s">
        <v>2670</v>
      </c>
      <c r="D3652" t="s">
        <v>1203</v>
      </c>
      <c r="E3652" t="s">
        <v>1204</v>
      </c>
      <c r="F3652">
        <v>6652</v>
      </c>
      <c r="G3652" t="s">
        <v>2674</v>
      </c>
      <c r="H3652" t="s">
        <v>2664</v>
      </c>
      <c r="I3652">
        <v>8187.7927837999996</v>
      </c>
      <c r="J3652">
        <v>8267.5838679000008</v>
      </c>
      <c r="K3652">
        <v>8298.2727464</v>
      </c>
      <c r="L3652">
        <v>8485.4749052499992</v>
      </c>
      <c r="M3652">
        <v>8543.7837744000008</v>
      </c>
      <c r="N3652" t="s">
        <v>988</v>
      </c>
    </row>
    <row r="3653" spans="1:14" hidden="1" x14ac:dyDescent="0.3">
      <c r="A3653">
        <v>2213</v>
      </c>
      <c r="B3653" t="s">
        <v>1944</v>
      </c>
      <c r="C3653" t="s">
        <v>2670</v>
      </c>
      <c r="D3653" t="s">
        <v>1203</v>
      </c>
      <c r="E3653" t="s">
        <v>1204</v>
      </c>
      <c r="F3653">
        <v>6652</v>
      </c>
      <c r="G3653" t="s">
        <v>2674</v>
      </c>
      <c r="H3653" t="s">
        <v>2665</v>
      </c>
      <c r="I3653">
        <v>8187.7927837999996</v>
      </c>
      <c r="J3653">
        <v>8267.5838679000008</v>
      </c>
      <c r="K3653">
        <v>8298.2727464</v>
      </c>
      <c r="L3653">
        <v>8485.4749052499992</v>
      </c>
      <c r="M3653">
        <v>8543.7837744000008</v>
      </c>
      <c r="N3653" t="s">
        <v>988</v>
      </c>
    </row>
    <row r="3654" spans="1:14" hidden="1" x14ac:dyDescent="0.3">
      <c r="A3654">
        <v>2213</v>
      </c>
      <c r="B3654" t="s">
        <v>1944</v>
      </c>
      <c r="C3654" t="s">
        <v>2670</v>
      </c>
      <c r="D3654" t="s">
        <v>1203</v>
      </c>
      <c r="E3654" t="s">
        <v>1204</v>
      </c>
      <c r="F3654">
        <v>6652</v>
      </c>
      <c r="G3654" t="s">
        <v>2673</v>
      </c>
      <c r="H3654" t="s">
        <v>2664</v>
      </c>
      <c r="I3654">
        <v>8163.2416810000004</v>
      </c>
      <c r="J3654">
        <v>8267.5838679000008</v>
      </c>
      <c r="K3654">
        <v>8298.2727464</v>
      </c>
      <c r="L3654">
        <v>8485.4749052499992</v>
      </c>
      <c r="M3654">
        <v>8543.7837744000008</v>
      </c>
      <c r="N3654" t="s">
        <v>988</v>
      </c>
    </row>
    <row r="3655" spans="1:14" hidden="1" x14ac:dyDescent="0.3">
      <c r="A3655">
        <v>2213</v>
      </c>
      <c r="B3655" t="s">
        <v>1944</v>
      </c>
      <c r="C3655" t="s">
        <v>2670</v>
      </c>
      <c r="D3655" t="s">
        <v>1203</v>
      </c>
      <c r="E3655" t="s">
        <v>1204</v>
      </c>
      <c r="F3655">
        <v>6652</v>
      </c>
      <c r="G3655" t="s">
        <v>2676</v>
      </c>
      <c r="H3655" t="s">
        <v>2665</v>
      </c>
      <c r="I3655">
        <v>8187.7927837999996</v>
      </c>
      <c r="J3655">
        <v>8267.5838679000008</v>
      </c>
      <c r="K3655">
        <v>8298.2727464</v>
      </c>
      <c r="L3655">
        <v>8485.4749052499992</v>
      </c>
      <c r="M3655">
        <v>8543.7837744000008</v>
      </c>
      <c r="N3655" t="s">
        <v>988</v>
      </c>
    </row>
    <row r="3656" spans="1:14" hidden="1" x14ac:dyDescent="0.3">
      <c r="A3656">
        <v>2213</v>
      </c>
      <c r="B3656" t="s">
        <v>1944</v>
      </c>
      <c r="C3656" t="s">
        <v>2670</v>
      </c>
      <c r="D3656" t="s">
        <v>1203</v>
      </c>
      <c r="E3656" t="s">
        <v>1204</v>
      </c>
      <c r="F3656">
        <v>6652</v>
      </c>
      <c r="G3656" t="s">
        <v>2671</v>
      </c>
      <c r="H3656" t="s">
        <v>2664</v>
      </c>
      <c r="I3656">
        <v>5996.6068588999997</v>
      </c>
      <c r="J3656">
        <v>8267.5838679000008</v>
      </c>
      <c r="K3656">
        <v>8298.2727464</v>
      </c>
      <c r="L3656">
        <v>8356.5816155499997</v>
      </c>
      <c r="M3656">
        <v>8356.5816155499997</v>
      </c>
      <c r="N3656" t="s">
        <v>988</v>
      </c>
    </row>
    <row r="3657" spans="1:14" hidden="1" x14ac:dyDescent="0.3">
      <c r="A3657">
        <v>2213</v>
      </c>
      <c r="B3657" t="s">
        <v>1944</v>
      </c>
      <c r="C3657" t="s">
        <v>2670</v>
      </c>
      <c r="D3657" t="s">
        <v>1203</v>
      </c>
      <c r="E3657" t="s">
        <v>1204</v>
      </c>
      <c r="F3657">
        <v>6652</v>
      </c>
      <c r="G3657" t="s">
        <v>2671</v>
      </c>
      <c r="H3657" t="s">
        <v>2665</v>
      </c>
      <c r="I3657">
        <v>8187.7927837999996</v>
      </c>
      <c r="J3657">
        <v>8267.5838679000008</v>
      </c>
      <c r="K3657">
        <v>8298.2727464</v>
      </c>
      <c r="L3657">
        <v>8485.4749052499992</v>
      </c>
      <c r="M3657">
        <v>8543.7837744000008</v>
      </c>
      <c r="N3657" t="s">
        <v>988</v>
      </c>
    </row>
    <row r="3658" spans="1:14" hidden="1" x14ac:dyDescent="0.3">
      <c r="A3658">
        <v>2213</v>
      </c>
      <c r="B3658" t="s">
        <v>1944</v>
      </c>
      <c r="C3658" t="s">
        <v>2670</v>
      </c>
      <c r="D3658" t="s">
        <v>1203</v>
      </c>
      <c r="E3658" t="s">
        <v>1204</v>
      </c>
      <c r="F3658">
        <v>6652</v>
      </c>
      <c r="G3658" t="s">
        <v>2672</v>
      </c>
      <c r="H3658" t="s">
        <v>2664</v>
      </c>
      <c r="N3658" t="s">
        <v>988</v>
      </c>
    </row>
    <row r="3659" spans="1:14" hidden="1" x14ac:dyDescent="0.3">
      <c r="A3659">
        <v>2213</v>
      </c>
      <c r="B3659" t="s">
        <v>1944</v>
      </c>
      <c r="C3659" t="s">
        <v>2670</v>
      </c>
      <c r="D3659" t="s">
        <v>1203</v>
      </c>
      <c r="E3659" t="s">
        <v>1204</v>
      </c>
      <c r="F3659">
        <v>6652</v>
      </c>
      <c r="G3659" t="s">
        <v>2672</v>
      </c>
      <c r="H3659" t="s">
        <v>2665</v>
      </c>
      <c r="N3659" t="s">
        <v>988</v>
      </c>
    </row>
    <row r="3660" spans="1:14" hidden="1" x14ac:dyDescent="0.3">
      <c r="A3660">
        <v>2213</v>
      </c>
      <c r="B3660" t="s">
        <v>1944</v>
      </c>
      <c r="C3660" t="s">
        <v>2670</v>
      </c>
      <c r="D3660" t="s">
        <v>1203</v>
      </c>
      <c r="E3660" t="s">
        <v>1204</v>
      </c>
      <c r="F3660">
        <v>6652</v>
      </c>
      <c r="G3660" t="s">
        <v>2676</v>
      </c>
      <c r="H3660" t="s">
        <v>2664</v>
      </c>
      <c r="I3660">
        <v>8187.7927837999996</v>
      </c>
      <c r="J3660">
        <v>8267.5838679000008</v>
      </c>
      <c r="K3660">
        <v>8298.2727464</v>
      </c>
      <c r="L3660">
        <v>8485.4749052499992</v>
      </c>
      <c r="M3660">
        <v>8543.7837744000008</v>
      </c>
      <c r="N3660" t="s">
        <v>988</v>
      </c>
    </row>
    <row r="3661" spans="1:14" hidden="1" x14ac:dyDescent="0.3">
      <c r="A3661">
        <v>2213</v>
      </c>
      <c r="B3661" t="s">
        <v>1944</v>
      </c>
      <c r="C3661" t="s">
        <v>2670</v>
      </c>
      <c r="D3661" t="s">
        <v>1203</v>
      </c>
      <c r="E3661" t="s">
        <v>1204</v>
      </c>
      <c r="F3661">
        <v>6652</v>
      </c>
      <c r="G3661" t="s">
        <v>2673</v>
      </c>
      <c r="H3661" t="s">
        <v>2665</v>
      </c>
      <c r="I3661">
        <v>8187.7927837999996</v>
      </c>
      <c r="J3661">
        <v>8267.5838679000008</v>
      </c>
      <c r="K3661">
        <v>8298.2727464</v>
      </c>
      <c r="L3661">
        <v>8485.4749052499992</v>
      </c>
      <c r="M3661">
        <v>8543.7837744000008</v>
      </c>
      <c r="N3661" t="s">
        <v>988</v>
      </c>
    </row>
    <row r="3662" spans="1:14" hidden="1" x14ac:dyDescent="0.3">
      <c r="A3662">
        <v>2214</v>
      </c>
      <c r="B3662" t="s">
        <v>1953</v>
      </c>
      <c r="C3662" t="s">
        <v>2670</v>
      </c>
      <c r="D3662" t="s">
        <v>1203</v>
      </c>
      <c r="E3662" t="s">
        <v>1204</v>
      </c>
      <c r="F3662">
        <v>5462</v>
      </c>
      <c r="G3662" t="s">
        <v>2673</v>
      </c>
      <c r="H3662" t="s">
        <v>2664</v>
      </c>
      <c r="I3662">
        <v>10310</v>
      </c>
      <c r="J3662">
        <v>10948</v>
      </c>
      <c r="K3662">
        <v>11142</v>
      </c>
      <c r="L3662">
        <v>11282</v>
      </c>
      <c r="M3662">
        <v>11688</v>
      </c>
      <c r="N3662" t="s">
        <v>988</v>
      </c>
    </row>
    <row r="3663" spans="1:14" hidden="1" x14ac:dyDescent="0.3">
      <c r="A3663">
        <v>2214</v>
      </c>
      <c r="B3663" t="s">
        <v>1953</v>
      </c>
      <c r="C3663" t="s">
        <v>2670</v>
      </c>
      <c r="D3663" t="s">
        <v>1203</v>
      </c>
      <c r="E3663" t="s">
        <v>1204</v>
      </c>
      <c r="F3663">
        <v>5462</v>
      </c>
      <c r="G3663" t="s">
        <v>2673</v>
      </c>
      <c r="H3663" t="s">
        <v>2665</v>
      </c>
      <c r="I3663">
        <v>10310</v>
      </c>
      <c r="J3663">
        <v>10948</v>
      </c>
      <c r="K3663">
        <v>11142</v>
      </c>
      <c r="L3663">
        <v>11282</v>
      </c>
      <c r="M3663">
        <v>11688</v>
      </c>
      <c r="N3663" t="s">
        <v>988</v>
      </c>
    </row>
    <row r="3664" spans="1:14" hidden="1" x14ac:dyDescent="0.3">
      <c r="A3664">
        <v>2214</v>
      </c>
      <c r="B3664" t="s">
        <v>1953</v>
      </c>
      <c r="C3664" t="s">
        <v>2670</v>
      </c>
      <c r="D3664" t="s">
        <v>1203</v>
      </c>
      <c r="E3664" t="s">
        <v>1204</v>
      </c>
      <c r="F3664">
        <v>5462</v>
      </c>
      <c r="G3664" t="s">
        <v>2671</v>
      </c>
      <c r="H3664" t="s">
        <v>2664</v>
      </c>
      <c r="I3664">
        <v>10324</v>
      </c>
      <c r="J3664">
        <v>10963</v>
      </c>
      <c r="K3664">
        <v>11157</v>
      </c>
      <c r="L3664">
        <v>11297</v>
      </c>
      <c r="M3664">
        <v>11703</v>
      </c>
      <c r="N3664" t="s">
        <v>988</v>
      </c>
    </row>
    <row r="3665" spans="1:14" hidden="1" x14ac:dyDescent="0.3">
      <c r="A3665">
        <v>2214</v>
      </c>
      <c r="B3665" t="s">
        <v>1953</v>
      </c>
      <c r="C3665" t="s">
        <v>2670</v>
      </c>
      <c r="D3665" t="s">
        <v>1203</v>
      </c>
      <c r="E3665" t="s">
        <v>1204</v>
      </c>
      <c r="F3665">
        <v>5462</v>
      </c>
      <c r="G3665" t="s">
        <v>2671</v>
      </c>
      <c r="H3665" t="s">
        <v>2665</v>
      </c>
      <c r="I3665">
        <v>10324</v>
      </c>
      <c r="J3665">
        <v>10963</v>
      </c>
      <c r="K3665">
        <v>11157</v>
      </c>
      <c r="L3665">
        <v>11297</v>
      </c>
      <c r="M3665">
        <v>11703</v>
      </c>
      <c r="N3665" t="s">
        <v>988</v>
      </c>
    </row>
    <row r="3666" spans="1:14" hidden="1" x14ac:dyDescent="0.3">
      <c r="A3666">
        <v>2214</v>
      </c>
      <c r="B3666" t="s">
        <v>1953</v>
      </c>
      <c r="C3666" t="s">
        <v>2670</v>
      </c>
      <c r="D3666" t="s">
        <v>1203</v>
      </c>
      <c r="E3666" t="s">
        <v>1204</v>
      </c>
      <c r="F3666">
        <v>5462</v>
      </c>
      <c r="G3666" t="s">
        <v>2672</v>
      </c>
      <c r="H3666" t="s">
        <v>2664</v>
      </c>
      <c r="N3666" t="s">
        <v>988</v>
      </c>
    </row>
    <row r="3667" spans="1:14" hidden="1" x14ac:dyDescent="0.3">
      <c r="A3667">
        <v>2214</v>
      </c>
      <c r="B3667" t="s">
        <v>1953</v>
      </c>
      <c r="C3667" t="s">
        <v>2670</v>
      </c>
      <c r="D3667" t="s">
        <v>1203</v>
      </c>
      <c r="E3667" t="s">
        <v>1204</v>
      </c>
      <c r="F3667">
        <v>5462</v>
      </c>
      <c r="G3667" t="s">
        <v>2674</v>
      </c>
      <c r="H3667" t="s">
        <v>2665</v>
      </c>
      <c r="I3667">
        <v>10272</v>
      </c>
      <c r="J3667">
        <v>10908</v>
      </c>
      <c r="K3667">
        <v>11101</v>
      </c>
      <c r="L3667">
        <v>11241</v>
      </c>
      <c r="M3667">
        <v>11645</v>
      </c>
      <c r="N3667" t="s">
        <v>988</v>
      </c>
    </row>
    <row r="3668" spans="1:14" hidden="1" x14ac:dyDescent="0.3">
      <c r="A3668">
        <v>2214</v>
      </c>
      <c r="B3668" t="s">
        <v>1953</v>
      </c>
      <c r="C3668" t="s">
        <v>2670</v>
      </c>
      <c r="D3668" t="s">
        <v>1203</v>
      </c>
      <c r="E3668" t="s">
        <v>1204</v>
      </c>
      <c r="F3668">
        <v>5462</v>
      </c>
      <c r="G3668" t="s">
        <v>2676</v>
      </c>
      <c r="H3668" t="s">
        <v>2664</v>
      </c>
      <c r="I3668">
        <v>10198</v>
      </c>
      <c r="J3668">
        <v>10829</v>
      </c>
      <c r="K3668">
        <v>11021</v>
      </c>
      <c r="L3668">
        <v>11159</v>
      </c>
      <c r="M3668">
        <v>11560</v>
      </c>
      <c r="N3668" t="s">
        <v>988</v>
      </c>
    </row>
    <row r="3669" spans="1:14" hidden="1" x14ac:dyDescent="0.3">
      <c r="A3669">
        <v>2214</v>
      </c>
      <c r="B3669" t="s">
        <v>1953</v>
      </c>
      <c r="C3669" t="s">
        <v>2670</v>
      </c>
      <c r="D3669" t="s">
        <v>1203</v>
      </c>
      <c r="E3669" t="s">
        <v>1204</v>
      </c>
      <c r="F3669">
        <v>5462</v>
      </c>
      <c r="G3669" t="s">
        <v>2676</v>
      </c>
      <c r="H3669" t="s">
        <v>2665</v>
      </c>
      <c r="I3669">
        <v>10198</v>
      </c>
      <c r="J3669">
        <v>10829</v>
      </c>
      <c r="K3669">
        <v>11021</v>
      </c>
      <c r="L3669">
        <v>11159</v>
      </c>
      <c r="M3669">
        <v>11560</v>
      </c>
      <c r="N3669" t="s">
        <v>988</v>
      </c>
    </row>
    <row r="3670" spans="1:14" hidden="1" x14ac:dyDescent="0.3">
      <c r="A3670">
        <v>2214</v>
      </c>
      <c r="B3670" t="s">
        <v>1953</v>
      </c>
      <c r="C3670" t="s">
        <v>2670</v>
      </c>
      <c r="D3670" t="s">
        <v>1203</v>
      </c>
      <c r="E3670" t="s">
        <v>1204</v>
      </c>
      <c r="F3670">
        <v>5462</v>
      </c>
      <c r="G3670" t="s">
        <v>2675</v>
      </c>
      <c r="H3670" t="s">
        <v>2664</v>
      </c>
      <c r="I3670">
        <v>10235</v>
      </c>
      <c r="J3670">
        <v>10868</v>
      </c>
      <c r="K3670">
        <v>11061</v>
      </c>
      <c r="L3670">
        <v>11200</v>
      </c>
      <c r="M3670">
        <v>11602</v>
      </c>
      <c r="N3670" t="s">
        <v>988</v>
      </c>
    </row>
    <row r="3671" spans="1:14" hidden="1" x14ac:dyDescent="0.3">
      <c r="A3671">
        <v>2214</v>
      </c>
      <c r="B3671" t="s">
        <v>1953</v>
      </c>
      <c r="C3671" t="s">
        <v>2670</v>
      </c>
      <c r="D3671" t="s">
        <v>1203</v>
      </c>
      <c r="E3671" t="s">
        <v>1204</v>
      </c>
      <c r="F3671">
        <v>5462</v>
      </c>
      <c r="G3671" t="s">
        <v>2675</v>
      </c>
      <c r="H3671" t="s">
        <v>2665</v>
      </c>
      <c r="I3671">
        <v>10235</v>
      </c>
      <c r="J3671">
        <v>10868</v>
      </c>
      <c r="K3671">
        <v>11061</v>
      </c>
      <c r="L3671">
        <v>11200</v>
      </c>
      <c r="M3671">
        <v>11602</v>
      </c>
      <c r="N3671" t="s">
        <v>988</v>
      </c>
    </row>
    <row r="3672" spans="1:14" hidden="1" x14ac:dyDescent="0.3">
      <c r="A3672">
        <v>2214</v>
      </c>
      <c r="B3672" t="s">
        <v>1953</v>
      </c>
      <c r="C3672" t="s">
        <v>2670</v>
      </c>
      <c r="D3672" t="s">
        <v>1203</v>
      </c>
      <c r="E3672" t="s">
        <v>1204</v>
      </c>
      <c r="F3672">
        <v>5462</v>
      </c>
      <c r="G3672" t="s">
        <v>2674</v>
      </c>
      <c r="H3672" t="s">
        <v>2664</v>
      </c>
      <c r="I3672">
        <v>10272</v>
      </c>
      <c r="J3672">
        <v>10908</v>
      </c>
      <c r="K3672">
        <v>11101</v>
      </c>
      <c r="L3672">
        <v>11241</v>
      </c>
      <c r="M3672">
        <v>11645</v>
      </c>
      <c r="N3672" t="s">
        <v>988</v>
      </c>
    </row>
    <row r="3673" spans="1:14" hidden="1" x14ac:dyDescent="0.3">
      <c r="A3673">
        <v>2214</v>
      </c>
      <c r="B3673" t="s">
        <v>1953</v>
      </c>
      <c r="C3673" t="s">
        <v>2670</v>
      </c>
      <c r="D3673" t="s">
        <v>1203</v>
      </c>
      <c r="E3673" t="s">
        <v>1204</v>
      </c>
      <c r="F3673">
        <v>5462</v>
      </c>
      <c r="G3673" t="s">
        <v>2672</v>
      </c>
      <c r="H3673" t="s">
        <v>2665</v>
      </c>
      <c r="N3673" t="s">
        <v>988</v>
      </c>
    </row>
    <row r="3674" spans="1:14" hidden="1" x14ac:dyDescent="0.3">
      <c r="A3674">
        <v>2215</v>
      </c>
      <c r="B3674" t="s">
        <v>1954</v>
      </c>
      <c r="C3674" t="s">
        <v>2670</v>
      </c>
      <c r="D3674" t="s">
        <v>1203</v>
      </c>
      <c r="E3674" t="s">
        <v>1204</v>
      </c>
      <c r="F3674">
        <v>5515</v>
      </c>
      <c r="G3674" t="s">
        <v>2674</v>
      </c>
      <c r="H3674" t="s">
        <v>2665</v>
      </c>
      <c r="I3674">
        <v>7837</v>
      </c>
      <c r="J3674">
        <v>8015</v>
      </c>
      <c r="K3674">
        <v>8198</v>
      </c>
      <c r="L3674">
        <v>8386</v>
      </c>
      <c r="M3674">
        <v>8579</v>
      </c>
      <c r="N3674" t="s">
        <v>988</v>
      </c>
    </row>
    <row r="3675" spans="1:14" hidden="1" x14ac:dyDescent="0.3">
      <c r="A3675">
        <v>2215</v>
      </c>
      <c r="B3675" t="s">
        <v>1954</v>
      </c>
      <c r="C3675" t="s">
        <v>2670</v>
      </c>
      <c r="D3675" t="s">
        <v>1203</v>
      </c>
      <c r="E3675" t="s">
        <v>1204</v>
      </c>
      <c r="F3675">
        <v>5515</v>
      </c>
      <c r="G3675" t="s">
        <v>2673</v>
      </c>
      <c r="H3675" t="s">
        <v>2664</v>
      </c>
      <c r="I3675">
        <v>7126</v>
      </c>
      <c r="J3675">
        <v>7288</v>
      </c>
      <c r="K3675">
        <v>7455</v>
      </c>
      <c r="L3675">
        <v>7626</v>
      </c>
      <c r="M3675">
        <v>7801</v>
      </c>
      <c r="N3675" t="s">
        <v>988</v>
      </c>
    </row>
    <row r="3676" spans="1:14" hidden="1" x14ac:dyDescent="0.3">
      <c r="A3676">
        <v>2215</v>
      </c>
      <c r="B3676" t="s">
        <v>1954</v>
      </c>
      <c r="C3676" t="s">
        <v>2670</v>
      </c>
      <c r="D3676" t="s">
        <v>1203</v>
      </c>
      <c r="E3676" t="s">
        <v>1204</v>
      </c>
      <c r="F3676">
        <v>5515</v>
      </c>
      <c r="G3676" t="s">
        <v>2673</v>
      </c>
      <c r="H3676" t="s">
        <v>2665</v>
      </c>
      <c r="I3676">
        <v>7126</v>
      </c>
      <c r="J3676">
        <v>7288</v>
      </c>
      <c r="K3676">
        <v>7455</v>
      </c>
      <c r="L3676">
        <v>7626</v>
      </c>
      <c r="M3676">
        <v>7801</v>
      </c>
      <c r="N3676" t="s">
        <v>988</v>
      </c>
    </row>
    <row r="3677" spans="1:14" hidden="1" x14ac:dyDescent="0.3">
      <c r="A3677">
        <v>2215</v>
      </c>
      <c r="B3677" t="s">
        <v>1954</v>
      </c>
      <c r="C3677" t="s">
        <v>2670</v>
      </c>
      <c r="D3677" t="s">
        <v>1203</v>
      </c>
      <c r="E3677" t="s">
        <v>1204</v>
      </c>
      <c r="F3677">
        <v>5515</v>
      </c>
      <c r="G3677" t="s">
        <v>2671</v>
      </c>
      <c r="H3677" t="s">
        <v>2664</v>
      </c>
      <c r="I3677">
        <v>6515</v>
      </c>
      <c r="J3677">
        <v>6664</v>
      </c>
      <c r="K3677">
        <v>6816</v>
      </c>
      <c r="L3677">
        <v>6972</v>
      </c>
      <c r="M3677">
        <v>7132</v>
      </c>
      <c r="N3677" t="s">
        <v>988</v>
      </c>
    </row>
    <row r="3678" spans="1:14" hidden="1" x14ac:dyDescent="0.3">
      <c r="A3678">
        <v>2215</v>
      </c>
      <c r="B3678" t="s">
        <v>1954</v>
      </c>
      <c r="C3678" t="s">
        <v>2670</v>
      </c>
      <c r="D3678" t="s">
        <v>1203</v>
      </c>
      <c r="E3678" t="s">
        <v>1204</v>
      </c>
      <c r="F3678">
        <v>5515</v>
      </c>
      <c r="G3678" t="s">
        <v>2671</v>
      </c>
      <c r="H3678" t="s">
        <v>2665</v>
      </c>
      <c r="I3678">
        <v>6515</v>
      </c>
      <c r="J3678">
        <v>6664</v>
      </c>
      <c r="K3678">
        <v>6816</v>
      </c>
      <c r="L3678">
        <v>6972</v>
      </c>
      <c r="M3678">
        <v>7132</v>
      </c>
      <c r="N3678" t="s">
        <v>988</v>
      </c>
    </row>
    <row r="3679" spans="1:14" hidden="1" x14ac:dyDescent="0.3">
      <c r="A3679">
        <v>2215</v>
      </c>
      <c r="B3679" t="s">
        <v>1954</v>
      </c>
      <c r="C3679" t="s">
        <v>2670</v>
      </c>
      <c r="D3679" t="s">
        <v>1203</v>
      </c>
      <c r="E3679" t="s">
        <v>1204</v>
      </c>
      <c r="F3679">
        <v>5515</v>
      </c>
      <c r="G3679" t="s">
        <v>2672</v>
      </c>
      <c r="H3679" t="s">
        <v>2664</v>
      </c>
      <c r="N3679" t="s">
        <v>988</v>
      </c>
    </row>
    <row r="3680" spans="1:14" hidden="1" x14ac:dyDescent="0.3">
      <c r="A3680">
        <v>2215</v>
      </c>
      <c r="B3680" t="s">
        <v>1954</v>
      </c>
      <c r="C3680" t="s">
        <v>2670</v>
      </c>
      <c r="D3680" t="s">
        <v>1203</v>
      </c>
      <c r="E3680" t="s">
        <v>1204</v>
      </c>
      <c r="F3680">
        <v>5515</v>
      </c>
      <c r="G3680" t="s">
        <v>2672</v>
      </c>
      <c r="H3680" t="s">
        <v>2665</v>
      </c>
      <c r="N3680" t="s">
        <v>988</v>
      </c>
    </row>
    <row r="3681" spans="1:14" hidden="1" x14ac:dyDescent="0.3">
      <c r="A3681">
        <v>2215</v>
      </c>
      <c r="B3681" t="s">
        <v>1954</v>
      </c>
      <c r="C3681" t="s">
        <v>2670</v>
      </c>
      <c r="D3681" t="s">
        <v>1203</v>
      </c>
      <c r="E3681" t="s">
        <v>1204</v>
      </c>
      <c r="F3681">
        <v>5515</v>
      </c>
      <c r="G3681" t="s">
        <v>2676</v>
      </c>
      <c r="H3681" t="s">
        <v>2664</v>
      </c>
      <c r="I3681">
        <v>7138</v>
      </c>
      <c r="J3681">
        <v>7300</v>
      </c>
      <c r="K3681">
        <v>7467</v>
      </c>
      <c r="L3681">
        <v>7638</v>
      </c>
      <c r="M3681">
        <v>7814</v>
      </c>
      <c r="N3681" t="s">
        <v>988</v>
      </c>
    </row>
    <row r="3682" spans="1:14" hidden="1" x14ac:dyDescent="0.3">
      <c r="A3682">
        <v>2215</v>
      </c>
      <c r="B3682" t="s">
        <v>1954</v>
      </c>
      <c r="C3682" t="s">
        <v>2670</v>
      </c>
      <c r="D3682" t="s">
        <v>1203</v>
      </c>
      <c r="E3682" t="s">
        <v>1204</v>
      </c>
      <c r="F3682">
        <v>5515</v>
      </c>
      <c r="G3682" t="s">
        <v>2676</v>
      </c>
      <c r="H3682" t="s">
        <v>2665</v>
      </c>
      <c r="I3682">
        <v>7138</v>
      </c>
      <c r="J3682">
        <v>7300</v>
      </c>
      <c r="K3682">
        <v>7467</v>
      </c>
      <c r="L3682">
        <v>7638</v>
      </c>
      <c r="M3682">
        <v>7814</v>
      </c>
      <c r="N3682" t="s">
        <v>988</v>
      </c>
    </row>
    <row r="3683" spans="1:14" hidden="1" x14ac:dyDescent="0.3">
      <c r="A3683">
        <v>2215</v>
      </c>
      <c r="B3683" t="s">
        <v>1954</v>
      </c>
      <c r="C3683" t="s">
        <v>2670</v>
      </c>
      <c r="D3683" t="s">
        <v>1203</v>
      </c>
      <c r="E3683" t="s">
        <v>1204</v>
      </c>
      <c r="F3683">
        <v>5515</v>
      </c>
      <c r="G3683" t="s">
        <v>2674</v>
      </c>
      <c r="H3683" t="s">
        <v>2664</v>
      </c>
      <c r="I3683">
        <v>7837</v>
      </c>
      <c r="J3683">
        <v>8015</v>
      </c>
      <c r="K3683">
        <v>8198</v>
      </c>
      <c r="L3683">
        <v>8386</v>
      </c>
      <c r="M3683">
        <v>8579</v>
      </c>
      <c r="N3683" t="s">
        <v>988</v>
      </c>
    </row>
    <row r="3684" spans="1:14" hidden="1" x14ac:dyDescent="0.3">
      <c r="A3684">
        <v>2215</v>
      </c>
      <c r="B3684" t="s">
        <v>1954</v>
      </c>
      <c r="C3684" t="s">
        <v>2670</v>
      </c>
      <c r="D3684" t="s">
        <v>1203</v>
      </c>
      <c r="E3684" t="s">
        <v>1204</v>
      </c>
      <c r="F3684">
        <v>5515</v>
      </c>
      <c r="G3684" t="s">
        <v>2675</v>
      </c>
      <c r="H3684" t="s">
        <v>2665</v>
      </c>
      <c r="I3684">
        <v>7577</v>
      </c>
      <c r="J3684">
        <v>7750</v>
      </c>
      <c r="K3684">
        <v>7927</v>
      </c>
      <c r="L3684">
        <v>8108</v>
      </c>
      <c r="M3684">
        <v>8295</v>
      </c>
      <c r="N3684" t="s">
        <v>988</v>
      </c>
    </row>
    <row r="3685" spans="1:14" hidden="1" x14ac:dyDescent="0.3">
      <c r="A3685">
        <v>2215</v>
      </c>
      <c r="B3685" t="s">
        <v>1954</v>
      </c>
      <c r="C3685" t="s">
        <v>2670</v>
      </c>
      <c r="D3685" t="s">
        <v>1203</v>
      </c>
      <c r="E3685" t="s">
        <v>1204</v>
      </c>
      <c r="F3685">
        <v>5515</v>
      </c>
      <c r="G3685" t="s">
        <v>2675</v>
      </c>
      <c r="H3685" t="s">
        <v>2664</v>
      </c>
      <c r="I3685">
        <v>7577</v>
      </c>
      <c r="J3685">
        <v>7750</v>
      </c>
      <c r="K3685">
        <v>7927</v>
      </c>
      <c r="L3685">
        <v>8108</v>
      </c>
      <c r="M3685">
        <v>8295</v>
      </c>
      <c r="N3685" t="s">
        <v>988</v>
      </c>
    </row>
    <row r="3686" spans="1:14" hidden="1" x14ac:dyDescent="0.3">
      <c r="A3686">
        <v>2217</v>
      </c>
      <c r="B3686" t="s">
        <v>1955</v>
      </c>
      <c r="C3686" t="s">
        <v>2670</v>
      </c>
      <c r="D3686" t="s">
        <v>159</v>
      </c>
      <c r="E3686" t="s">
        <v>159</v>
      </c>
      <c r="F3686">
        <v>5768</v>
      </c>
      <c r="G3686" t="s">
        <v>2671</v>
      </c>
      <c r="H3686" t="s">
        <v>2664</v>
      </c>
      <c r="I3686">
        <v>44692</v>
      </c>
      <c r="J3686">
        <v>49963</v>
      </c>
      <c r="K3686">
        <v>54854</v>
      </c>
      <c r="L3686">
        <v>54909</v>
      </c>
      <c r="M3686">
        <v>54909</v>
      </c>
      <c r="N3686" t="s">
        <v>988</v>
      </c>
    </row>
    <row r="3687" spans="1:14" hidden="1" x14ac:dyDescent="0.3">
      <c r="A3687">
        <v>2217</v>
      </c>
      <c r="B3687" t="s">
        <v>1955</v>
      </c>
      <c r="C3687" t="s">
        <v>2670</v>
      </c>
      <c r="D3687" t="s">
        <v>159</v>
      </c>
      <c r="E3687" t="s">
        <v>159</v>
      </c>
      <c r="F3687">
        <v>5768</v>
      </c>
      <c r="G3687" t="s">
        <v>2671</v>
      </c>
      <c r="H3687" t="s">
        <v>2665</v>
      </c>
      <c r="I3687">
        <v>36976</v>
      </c>
      <c r="J3687">
        <v>39963</v>
      </c>
      <c r="K3687">
        <v>44462</v>
      </c>
      <c r="L3687">
        <v>43916</v>
      </c>
      <c r="M3687">
        <v>43739</v>
      </c>
      <c r="N3687" t="s">
        <v>988</v>
      </c>
    </row>
    <row r="3688" spans="1:14" hidden="1" x14ac:dyDescent="0.3">
      <c r="A3688">
        <v>2217</v>
      </c>
      <c r="B3688" t="s">
        <v>1955</v>
      </c>
      <c r="C3688" t="s">
        <v>2670</v>
      </c>
      <c r="D3688" t="s">
        <v>159</v>
      </c>
      <c r="E3688" t="s">
        <v>159</v>
      </c>
      <c r="F3688">
        <v>5768</v>
      </c>
      <c r="G3688" t="s">
        <v>2673</v>
      </c>
      <c r="H3688" t="s">
        <v>2664</v>
      </c>
      <c r="I3688">
        <v>45832</v>
      </c>
      <c r="J3688">
        <v>51203</v>
      </c>
      <c r="K3688">
        <v>57694</v>
      </c>
      <c r="L3688">
        <v>57749</v>
      </c>
      <c r="M3688">
        <v>57749</v>
      </c>
      <c r="N3688" t="s">
        <v>988</v>
      </c>
    </row>
    <row r="3689" spans="1:14" hidden="1" x14ac:dyDescent="0.3">
      <c r="A3689">
        <v>2217</v>
      </c>
      <c r="B3689" t="s">
        <v>1955</v>
      </c>
      <c r="C3689" t="s">
        <v>2670</v>
      </c>
      <c r="D3689" t="s">
        <v>159</v>
      </c>
      <c r="E3689" t="s">
        <v>159</v>
      </c>
      <c r="F3689">
        <v>5768</v>
      </c>
      <c r="G3689" t="s">
        <v>2674</v>
      </c>
      <c r="H3689" t="s">
        <v>2665</v>
      </c>
      <c r="I3689">
        <v>38724</v>
      </c>
      <c r="J3689">
        <v>41599</v>
      </c>
      <c r="K3689">
        <v>45969</v>
      </c>
      <c r="L3689">
        <v>45359</v>
      </c>
      <c r="M3689">
        <v>45162</v>
      </c>
      <c r="N3689" t="s">
        <v>988</v>
      </c>
    </row>
    <row r="3690" spans="1:14" hidden="1" x14ac:dyDescent="0.3">
      <c r="A3690">
        <v>2217</v>
      </c>
      <c r="B3690" t="s">
        <v>1955</v>
      </c>
      <c r="C3690" t="s">
        <v>2670</v>
      </c>
      <c r="D3690" t="s">
        <v>159</v>
      </c>
      <c r="E3690" t="s">
        <v>159</v>
      </c>
      <c r="F3690">
        <v>5768</v>
      </c>
      <c r="G3690" t="s">
        <v>2674</v>
      </c>
      <c r="H3690" t="s">
        <v>2664</v>
      </c>
      <c r="I3690">
        <v>46972</v>
      </c>
      <c r="J3690">
        <v>53343</v>
      </c>
      <c r="K3690">
        <v>59834</v>
      </c>
      <c r="L3690">
        <v>59889</v>
      </c>
      <c r="M3690">
        <v>59889</v>
      </c>
      <c r="N3690" t="s">
        <v>988</v>
      </c>
    </row>
    <row r="3691" spans="1:14" hidden="1" x14ac:dyDescent="0.3">
      <c r="A3691">
        <v>2217</v>
      </c>
      <c r="B3691" t="s">
        <v>1955</v>
      </c>
      <c r="C3691" t="s">
        <v>2670</v>
      </c>
      <c r="D3691" t="s">
        <v>159</v>
      </c>
      <c r="E3691" t="s">
        <v>159</v>
      </c>
      <c r="F3691">
        <v>5768</v>
      </c>
      <c r="G3691" t="s">
        <v>2675</v>
      </c>
      <c r="H3691" t="s">
        <v>2665</v>
      </c>
      <c r="I3691">
        <v>37547</v>
      </c>
      <c r="J3691">
        <v>40338</v>
      </c>
      <c r="K3691">
        <v>44579</v>
      </c>
      <c r="L3691">
        <v>43987</v>
      </c>
      <c r="M3691">
        <v>43797</v>
      </c>
      <c r="N3691" t="s">
        <v>988</v>
      </c>
    </row>
    <row r="3692" spans="1:14" hidden="1" x14ac:dyDescent="0.3">
      <c r="A3692">
        <v>2217</v>
      </c>
      <c r="B3692" t="s">
        <v>1955</v>
      </c>
      <c r="C3692" t="s">
        <v>2670</v>
      </c>
      <c r="D3692" t="s">
        <v>159</v>
      </c>
      <c r="E3692" t="s">
        <v>159</v>
      </c>
      <c r="F3692">
        <v>5768</v>
      </c>
      <c r="G3692" t="s">
        <v>2675</v>
      </c>
      <c r="H3692" t="s">
        <v>2664</v>
      </c>
      <c r="I3692">
        <v>47812</v>
      </c>
      <c r="J3692">
        <v>55183</v>
      </c>
      <c r="K3692">
        <v>61674</v>
      </c>
      <c r="L3692">
        <v>61729</v>
      </c>
      <c r="M3692">
        <v>61729</v>
      </c>
      <c r="N3692" t="s">
        <v>988</v>
      </c>
    </row>
    <row r="3693" spans="1:14" hidden="1" x14ac:dyDescent="0.3">
      <c r="A3693">
        <v>2217</v>
      </c>
      <c r="B3693" t="s">
        <v>1955</v>
      </c>
      <c r="C3693" t="s">
        <v>2670</v>
      </c>
      <c r="D3693" t="s">
        <v>159</v>
      </c>
      <c r="E3693" t="s">
        <v>159</v>
      </c>
      <c r="F3693">
        <v>5768</v>
      </c>
      <c r="G3693" t="s">
        <v>2676</v>
      </c>
      <c r="H3693" t="s">
        <v>2665</v>
      </c>
      <c r="I3693">
        <v>35853</v>
      </c>
      <c r="J3693">
        <v>38553</v>
      </c>
      <c r="K3693">
        <v>42651</v>
      </c>
      <c r="L3693">
        <v>42091</v>
      </c>
      <c r="M3693">
        <v>41911</v>
      </c>
      <c r="N3693" t="s">
        <v>988</v>
      </c>
    </row>
    <row r="3694" spans="1:14" hidden="1" x14ac:dyDescent="0.3">
      <c r="A3694">
        <v>2217</v>
      </c>
      <c r="B3694" t="s">
        <v>1955</v>
      </c>
      <c r="C3694" t="s">
        <v>2670</v>
      </c>
      <c r="D3694" t="s">
        <v>159</v>
      </c>
      <c r="E3694" t="s">
        <v>159</v>
      </c>
      <c r="F3694">
        <v>5768</v>
      </c>
      <c r="G3694" t="s">
        <v>2673</v>
      </c>
      <c r="H3694" t="s">
        <v>2665</v>
      </c>
      <c r="I3694">
        <v>37811</v>
      </c>
      <c r="J3694">
        <v>40741</v>
      </c>
      <c r="K3694">
        <v>45173</v>
      </c>
      <c r="L3694">
        <v>44596</v>
      </c>
      <c r="M3694">
        <v>44409</v>
      </c>
      <c r="N3694" t="s">
        <v>988</v>
      </c>
    </row>
    <row r="3695" spans="1:14" hidden="1" x14ac:dyDescent="0.3">
      <c r="A3695">
        <v>2217</v>
      </c>
      <c r="B3695" t="s">
        <v>1955</v>
      </c>
      <c r="C3695" t="s">
        <v>2670</v>
      </c>
      <c r="D3695" t="s">
        <v>159</v>
      </c>
      <c r="E3695" t="s">
        <v>159</v>
      </c>
      <c r="F3695">
        <v>5768</v>
      </c>
      <c r="G3695" t="s">
        <v>2672</v>
      </c>
      <c r="H3695" t="s">
        <v>2664</v>
      </c>
      <c r="N3695" t="s">
        <v>988</v>
      </c>
    </row>
    <row r="3696" spans="1:14" hidden="1" x14ac:dyDescent="0.3">
      <c r="A3696">
        <v>2217</v>
      </c>
      <c r="B3696" t="s">
        <v>1955</v>
      </c>
      <c r="C3696" t="s">
        <v>2670</v>
      </c>
      <c r="D3696" t="s">
        <v>159</v>
      </c>
      <c r="E3696" t="s">
        <v>159</v>
      </c>
      <c r="F3696">
        <v>5768</v>
      </c>
      <c r="G3696" t="s">
        <v>2672</v>
      </c>
      <c r="H3696" t="s">
        <v>2665</v>
      </c>
      <c r="N3696" t="s">
        <v>988</v>
      </c>
    </row>
    <row r="3697" spans="1:14" hidden="1" x14ac:dyDescent="0.3">
      <c r="A3697">
        <v>2217</v>
      </c>
      <c r="B3697" t="s">
        <v>1955</v>
      </c>
      <c r="C3697" t="s">
        <v>2670</v>
      </c>
      <c r="D3697" t="s">
        <v>159</v>
      </c>
      <c r="E3697" t="s">
        <v>159</v>
      </c>
      <c r="F3697">
        <v>5768</v>
      </c>
      <c r="G3697" t="s">
        <v>2676</v>
      </c>
      <c r="H3697" t="s">
        <v>2664</v>
      </c>
      <c r="I3697">
        <v>48652</v>
      </c>
      <c r="J3697">
        <v>58523</v>
      </c>
      <c r="K3697">
        <v>65014</v>
      </c>
      <c r="L3697">
        <v>65069</v>
      </c>
      <c r="M3697">
        <v>65069</v>
      </c>
      <c r="N3697" t="s">
        <v>988</v>
      </c>
    </row>
    <row r="3698" spans="1:14" hidden="1" x14ac:dyDescent="0.3">
      <c r="A3698">
        <v>2218</v>
      </c>
      <c r="B3698" t="s">
        <v>1959</v>
      </c>
      <c r="C3698" t="s">
        <v>2670</v>
      </c>
      <c r="D3698" t="s">
        <v>1203</v>
      </c>
      <c r="E3698" t="s">
        <v>1204</v>
      </c>
      <c r="F3698">
        <v>5796</v>
      </c>
      <c r="G3698" t="s">
        <v>2673</v>
      </c>
      <c r="H3698" t="s">
        <v>2665</v>
      </c>
      <c r="I3698">
        <v>15026</v>
      </c>
      <c r="J3698">
        <v>17247</v>
      </c>
      <c r="K3698">
        <v>17869</v>
      </c>
      <c r="L3698">
        <v>18490</v>
      </c>
      <c r="M3698">
        <v>18716</v>
      </c>
      <c r="N3698" t="s">
        <v>988</v>
      </c>
    </row>
    <row r="3699" spans="1:14" hidden="1" x14ac:dyDescent="0.3">
      <c r="A3699">
        <v>2218</v>
      </c>
      <c r="B3699" t="s">
        <v>1959</v>
      </c>
      <c r="C3699" t="s">
        <v>2670</v>
      </c>
      <c r="D3699" t="s">
        <v>1203</v>
      </c>
      <c r="E3699" t="s">
        <v>1204</v>
      </c>
      <c r="F3699">
        <v>5796</v>
      </c>
      <c r="G3699" t="s">
        <v>2673</v>
      </c>
      <c r="H3699" t="s">
        <v>2664</v>
      </c>
      <c r="I3699">
        <v>30126</v>
      </c>
      <c r="J3699">
        <v>30121</v>
      </c>
      <c r="K3699">
        <v>30116</v>
      </c>
      <c r="L3699">
        <v>30111</v>
      </c>
      <c r="M3699">
        <v>30106</v>
      </c>
      <c r="N3699" t="s">
        <v>988</v>
      </c>
    </row>
    <row r="3700" spans="1:14" hidden="1" x14ac:dyDescent="0.3">
      <c r="A3700">
        <v>2218</v>
      </c>
      <c r="B3700" t="s">
        <v>1959</v>
      </c>
      <c r="C3700" t="s">
        <v>2670</v>
      </c>
      <c r="D3700" t="s">
        <v>1203</v>
      </c>
      <c r="E3700" t="s">
        <v>1204</v>
      </c>
      <c r="F3700">
        <v>5796</v>
      </c>
      <c r="G3700" t="s">
        <v>2674</v>
      </c>
      <c r="H3700" t="s">
        <v>2665</v>
      </c>
      <c r="I3700">
        <v>15026</v>
      </c>
      <c r="J3700">
        <v>17247</v>
      </c>
      <c r="K3700">
        <v>17869</v>
      </c>
      <c r="L3700">
        <v>18490</v>
      </c>
      <c r="M3700">
        <v>18716</v>
      </c>
      <c r="N3700" t="s">
        <v>988</v>
      </c>
    </row>
    <row r="3701" spans="1:14" hidden="1" x14ac:dyDescent="0.3">
      <c r="A3701">
        <v>2218</v>
      </c>
      <c r="B3701" t="s">
        <v>1959</v>
      </c>
      <c r="C3701" t="s">
        <v>2670</v>
      </c>
      <c r="D3701" t="s">
        <v>1203</v>
      </c>
      <c r="E3701" t="s">
        <v>1204</v>
      </c>
      <c r="F3701">
        <v>5796</v>
      </c>
      <c r="G3701" t="s">
        <v>2674</v>
      </c>
      <c r="H3701" t="s">
        <v>2664</v>
      </c>
      <c r="I3701">
        <v>27169</v>
      </c>
      <c r="J3701">
        <v>26417</v>
      </c>
      <c r="K3701">
        <v>25665</v>
      </c>
      <c r="L3701">
        <v>24913</v>
      </c>
      <c r="M3701">
        <v>24161</v>
      </c>
      <c r="N3701" t="s">
        <v>988</v>
      </c>
    </row>
    <row r="3702" spans="1:14" hidden="1" x14ac:dyDescent="0.3">
      <c r="A3702">
        <v>2218</v>
      </c>
      <c r="B3702" t="s">
        <v>1959</v>
      </c>
      <c r="C3702" t="s">
        <v>2670</v>
      </c>
      <c r="D3702" t="s">
        <v>1203</v>
      </c>
      <c r="E3702" t="s">
        <v>1204</v>
      </c>
      <c r="F3702">
        <v>5796</v>
      </c>
      <c r="G3702" t="s">
        <v>2675</v>
      </c>
      <c r="H3702" t="s">
        <v>2665</v>
      </c>
      <c r="I3702">
        <v>15026</v>
      </c>
      <c r="J3702">
        <v>17247</v>
      </c>
      <c r="K3702">
        <v>17869</v>
      </c>
      <c r="L3702">
        <v>18490</v>
      </c>
      <c r="M3702">
        <v>18716</v>
      </c>
      <c r="N3702" t="s">
        <v>988</v>
      </c>
    </row>
    <row r="3703" spans="1:14" hidden="1" x14ac:dyDescent="0.3">
      <c r="A3703">
        <v>2218</v>
      </c>
      <c r="B3703" t="s">
        <v>1959</v>
      </c>
      <c r="C3703" t="s">
        <v>2670</v>
      </c>
      <c r="D3703" t="s">
        <v>1203</v>
      </c>
      <c r="E3703" t="s">
        <v>1204</v>
      </c>
      <c r="F3703">
        <v>5796</v>
      </c>
      <c r="G3703" t="s">
        <v>2672</v>
      </c>
      <c r="H3703" t="s">
        <v>2665</v>
      </c>
      <c r="N3703" t="s">
        <v>988</v>
      </c>
    </row>
    <row r="3704" spans="1:14" hidden="1" x14ac:dyDescent="0.3">
      <c r="A3704">
        <v>2218</v>
      </c>
      <c r="B3704" t="s">
        <v>1959</v>
      </c>
      <c r="C3704" t="s">
        <v>2670</v>
      </c>
      <c r="D3704" t="s">
        <v>1203</v>
      </c>
      <c r="E3704" t="s">
        <v>1204</v>
      </c>
      <c r="F3704">
        <v>5796</v>
      </c>
      <c r="G3704" t="s">
        <v>2676</v>
      </c>
      <c r="H3704" t="s">
        <v>2665</v>
      </c>
      <c r="I3704">
        <v>15026</v>
      </c>
      <c r="J3704">
        <v>17247</v>
      </c>
      <c r="K3704">
        <v>17869</v>
      </c>
      <c r="L3704">
        <v>18490</v>
      </c>
      <c r="M3704">
        <v>18716</v>
      </c>
      <c r="N3704" t="s">
        <v>988</v>
      </c>
    </row>
    <row r="3705" spans="1:14" hidden="1" x14ac:dyDescent="0.3">
      <c r="A3705">
        <v>2218</v>
      </c>
      <c r="B3705" t="s">
        <v>1959</v>
      </c>
      <c r="C3705" t="s">
        <v>2670</v>
      </c>
      <c r="D3705" t="s">
        <v>1203</v>
      </c>
      <c r="E3705" t="s">
        <v>1204</v>
      </c>
      <c r="F3705">
        <v>5796</v>
      </c>
      <c r="G3705" t="s">
        <v>2676</v>
      </c>
      <c r="H3705" t="s">
        <v>2664</v>
      </c>
      <c r="I3705">
        <v>29189</v>
      </c>
      <c r="J3705">
        <v>29662</v>
      </c>
      <c r="K3705">
        <v>30136</v>
      </c>
      <c r="L3705">
        <v>30610</v>
      </c>
      <c r="M3705">
        <v>31084</v>
      </c>
      <c r="N3705" t="s">
        <v>988</v>
      </c>
    </row>
    <row r="3706" spans="1:14" hidden="1" x14ac:dyDescent="0.3">
      <c r="A3706">
        <v>2218</v>
      </c>
      <c r="B3706" t="s">
        <v>1959</v>
      </c>
      <c r="C3706" t="s">
        <v>2670</v>
      </c>
      <c r="D3706" t="s">
        <v>1203</v>
      </c>
      <c r="E3706" t="s">
        <v>1204</v>
      </c>
      <c r="F3706">
        <v>5796</v>
      </c>
      <c r="G3706" t="s">
        <v>2671</v>
      </c>
      <c r="H3706" t="s">
        <v>2664</v>
      </c>
      <c r="I3706">
        <v>25735</v>
      </c>
      <c r="J3706">
        <v>25396</v>
      </c>
      <c r="K3706">
        <v>25058</v>
      </c>
      <c r="L3706">
        <v>24720</v>
      </c>
      <c r="M3706">
        <v>24382</v>
      </c>
      <c r="N3706" t="s">
        <v>988</v>
      </c>
    </row>
    <row r="3707" spans="1:14" hidden="1" x14ac:dyDescent="0.3">
      <c r="A3707">
        <v>2218</v>
      </c>
      <c r="B3707" t="s">
        <v>1959</v>
      </c>
      <c r="C3707" t="s">
        <v>2670</v>
      </c>
      <c r="D3707" t="s">
        <v>1203</v>
      </c>
      <c r="E3707" t="s">
        <v>1204</v>
      </c>
      <c r="F3707">
        <v>5796</v>
      </c>
      <c r="G3707" t="s">
        <v>2671</v>
      </c>
      <c r="H3707" t="s">
        <v>2665</v>
      </c>
      <c r="I3707">
        <v>15026</v>
      </c>
      <c r="J3707">
        <v>17247</v>
      </c>
      <c r="K3707">
        <v>17869</v>
      </c>
      <c r="L3707">
        <v>18490</v>
      </c>
      <c r="M3707">
        <v>18716</v>
      </c>
      <c r="N3707" t="s">
        <v>988</v>
      </c>
    </row>
    <row r="3708" spans="1:14" hidden="1" x14ac:dyDescent="0.3">
      <c r="A3708">
        <v>2218</v>
      </c>
      <c r="B3708" t="s">
        <v>1959</v>
      </c>
      <c r="C3708" t="s">
        <v>2670</v>
      </c>
      <c r="D3708" t="s">
        <v>1203</v>
      </c>
      <c r="E3708" t="s">
        <v>1204</v>
      </c>
      <c r="F3708">
        <v>5796</v>
      </c>
      <c r="G3708" t="s">
        <v>2672</v>
      </c>
      <c r="H3708" t="s">
        <v>2664</v>
      </c>
      <c r="N3708" t="s">
        <v>988</v>
      </c>
    </row>
    <row r="3709" spans="1:14" hidden="1" x14ac:dyDescent="0.3">
      <c r="A3709">
        <v>2218</v>
      </c>
      <c r="B3709" t="s">
        <v>1959</v>
      </c>
      <c r="C3709" t="s">
        <v>2670</v>
      </c>
      <c r="D3709" t="s">
        <v>1203</v>
      </c>
      <c r="E3709" t="s">
        <v>1204</v>
      </c>
      <c r="F3709">
        <v>5796</v>
      </c>
      <c r="G3709" t="s">
        <v>2675</v>
      </c>
      <c r="H3709" t="s">
        <v>2664</v>
      </c>
      <c r="I3709">
        <v>29605</v>
      </c>
      <c r="J3709">
        <v>28989</v>
      </c>
      <c r="K3709">
        <v>28374</v>
      </c>
      <c r="L3709">
        <v>27758</v>
      </c>
      <c r="M3709">
        <v>27143</v>
      </c>
      <c r="N3709" t="s">
        <v>988</v>
      </c>
    </row>
    <row r="3710" spans="1:14" hidden="1" x14ac:dyDescent="0.3">
      <c r="A3710">
        <v>2220</v>
      </c>
      <c r="B3710" t="s">
        <v>1962</v>
      </c>
      <c r="C3710" t="s">
        <v>2670</v>
      </c>
      <c r="D3710" t="s">
        <v>159</v>
      </c>
      <c r="E3710" t="s">
        <v>159</v>
      </c>
      <c r="F3710">
        <v>6742</v>
      </c>
      <c r="G3710" t="s">
        <v>2675</v>
      </c>
      <c r="H3710" t="s">
        <v>2665</v>
      </c>
      <c r="I3710">
        <v>14291</v>
      </c>
      <c r="J3710">
        <v>15102</v>
      </c>
      <c r="K3710">
        <v>15177</v>
      </c>
      <c r="L3710">
        <v>15262</v>
      </c>
      <c r="N3710" t="s">
        <v>988</v>
      </c>
    </row>
    <row r="3711" spans="1:14" hidden="1" x14ac:dyDescent="0.3">
      <c r="A3711">
        <v>2220</v>
      </c>
      <c r="B3711" t="s">
        <v>1962</v>
      </c>
      <c r="C3711" t="s">
        <v>2670</v>
      </c>
      <c r="D3711" t="s">
        <v>159</v>
      </c>
      <c r="E3711" t="s">
        <v>159</v>
      </c>
      <c r="F3711">
        <v>6742</v>
      </c>
      <c r="G3711" t="s">
        <v>2675</v>
      </c>
      <c r="H3711" t="s">
        <v>2664</v>
      </c>
      <c r="I3711">
        <v>16787</v>
      </c>
      <c r="J3711">
        <v>16787</v>
      </c>
      <c r="K3711">
        <v>16787</v>
      </c>
      <c r="L3711">
        <v>16787</v>
      </c>
      <c r="N3711" t="s">
        <v>988</v>
      </c>
    </row>
    <row r="3712" spans="1:14" hidden="1" x14ac:dyDescent="0.3">
      <c r="A3712">
        <v>2220</v>
      </c>
      <c r="B3712" t="s">
        <v>1962</v>
      </c>
      <c r="C3712" t="s">
        <v>2670</v>
      </c>
      <c r="D3712" t="s">
        <v>159</v>
      </c>
      <c r="E3712" t="s">
        <v>159</v>
      </c>
      <c r="F3712">
        <v>6742</v>
      </c>
      <c r="G3712" t="s">
        <v>2676</v>
      </c>
      <c r="H3712" t="s">
        <v>2665</v>
      </c>
      <c r="I3712">
        <v>14291</v>
      </c>
      <c r="J3712">
        <v>15102</v>
      </c>
      <c r="K3712">
        <v>15177</v>
      </c>
      <c r="L3712">
        <v>15262</v>
      </c>
      <c r="N3712" t="s">
        <v>988</v>
      </c>
    </row>
    <row r="3713" spans="1:14" hidden="1" x14ac:dyDescent="0.3">
      <c r="A3713">
        <v>2220</v>
      </c>
      <c r="B3713" t="s">
        <v>1962</v>
      </c>
      <c r="C3713" t="s">
        <v>2670</v>
      </c>
      <c r="D3713" t="s">
        <v>159</v>
      </c>
      <c r="E3713" t="s">
        <v>159</v>
      </c>
      <c r="F3713">
        <v>6742</v>
      </c>
      <c r="G3713" t="s">
        <v>2676</v>
      </c>
      <c r="H3713" t="s">
        <v>2664</v>
      </c>
      <c r="I3713">
        <v>17640</v>
      </c>
      <c r="J3713">
        <v>17640</v>
      </c>
      <c r="K3713">
        <v>17640</v>
      </c>
      <c r="L3713">
        <v>17640</v>
      </c>
      <c r="N3713" t="s">
        <v>988</v>
      </c>
    </row>
    <row r="3714" spans="1:14" hidden="1" x14ac:dyDescent="0.3">
      <c r="A3714">
        <v>2220</v>
      </c>
      <c r="B3714" t="s">
        <v>1962</v>
      </c>
      <c r="C3714" t="s">
        <v>2670</v>
      </c>
      <c r="D3714" t="s">
        <v>159</v>
      </c>
      <c r="E3714" t="s">
        <v>159</v>
      </c>
      <c r="F3714">
        <v>6742</v>
      </c>
      <c r="G3714" t="s">
        <v>2672</v>
      </c>
      <c r="H3714" t="s">
        <v>2665</v>
      </c>
      <c r="N3714" t="s">
        <v>988</v>
      </c>
    </row>
    <row r="3715" spans="1:14" hidden="1" x14ac:dyDescent="0.3">
      <c r="A3715">
        <v>2220</v>
      </c>
      <c r="B3715" t="s">
        <v>1962</v>
      </c>
      <c r="C3715" t="s">
        <v>2670</v>
      </c>
      <c r="D3715" t="s">
        <v>159</v>
      </c>
      <c r="E3715" t="s">
        <v>159</v>
      </c>
      <c r="F3715">
        <v>6742</v>
      </c>
      <c r="G3715" t="s">
        <v>2672</v>
      </c>
      <c r="H3715" t="s">
        <v>2664</v>
      </c>
      <c r="N3715" t="s">
        <v>988</v>
      </c>
    </row>
    <row r="3716" spans="1:14" hidden="1" x14ac:dyDescent="0.3">
      <c r="A3716">
        <v>2220</v>
      </c>
      <c r="B3716" t="s">
        <v>1962</v>
      </c>
      <c r="C3716" t="s">
        <v>2670</v>
      </c>
      <c r="D3716" t="s">
        <v>159</v>
      </c>
      <c r="E3716" t="s">
        <v>159</v>
      </c>
      <c r="F3716">
        <v>6742</v>
      </c>
      <c r="G3716" t="s">
        <v>2671</v>
      </c>
      <c r="H3716" t="s">
        <v>2665</v>
      </c>
      <c r="I3716">
        <v>14291</v>
      </c>
      <c r="J3716">
        <v>15102</v>
      </c>
      <c r="K3716">
        <v>15177</v>
      </c>
      <c r="L3716">
        <v>15262</v>
      </c>
      <c r="N3716" t="s">
        <v>988</v>
      </c>
    </row>
    <row r="3717" spans="1:14" hidden="1" x14ac:dyDescent="0.3">
      <c r="A3717">
        <v>2220</v>
      </c>
      <c r="B3717" t="s">
        <v>1962</v>
      </c>
      <c r="C3717" t="s">
        <v>2670</v>
      </c>
      <c r="D3717" t="s">
        <v>159</v>
      </c>
      <c r="E3717" t="s">
        <v>159</v>
      </c>
      <c r="F3717">
        <v>6742</v>
      </c>
      <c r="G3717" t="s">
        <v>2671</v>
      </c>
      <c r="H3717" t="s">
        <v>2664</v>
      </c>
      <c r="I3717">
        <v>15508</v>
      </c>
      <c r="J3717">
        <v>15508</v>
      </c>
      <c r="K3717">
        <v>15508</v>
      </c>
      <c r="L3717">
        <v>15508</v>
      </c>
      <c r="N3717" t="s">
        <v>988</v>
      </c>
    </row>
    <row r="3718" spans="1:14" hidden="1" x14ac:dyDescent="0.3">
      <c r="A3718">
        <v>2220</v>
      </c>
      <c r="B3718" t="s">
        <v>1962</v>
      </c>
      <c r="C3718" t="s">
        <v>2670</v>
      </c>
      <c r="D3718" t="s">
        <v>159</v>
      </c>
      <c r="E3718" t="s">
        <v>159</v>
      </c>
      <c r="F3718">
        <v>6742</v>
      </c>
      <c r="G3718" t="s">
        <v>2673</v>
      </c>
      <c r="H3718" t="s">
        <v>2665</v>
      </c>
      <c r="I3718">
        <v>14291</v>
      </c>
      <c r="J3718">
        <v>15102</v>
      </c>
      <c r="K3718">
        <v>15177</v>
      </c>
      <c r="L3718">
        <v>15262</v>
      </c>
      <c r="N3718" t="s">
        <v>988</v>
      </c>
    </row>
    <row r="3719" spans="1:14" hidden="1" x14ac:dyDescent="0.3">
      <c r="A3719">
        <v>2220</v>
      </c>
      <c r="B3719" t="s">
        <v>1962</v>
      </c>
      <c r="C3719" t="s">
        <v>2670</v>
      </c>
      <c r="D3719" t="s">
        <v>159</v>
      </c>
      <c r="E3719" t="s">
        <v>159</v>
      </c>
      <c r="F3719">
        <v>6742</v>
      </c>
      <c r="G3719" t="s">
        <v>2673</v>
      </c>
      <c r="H3719" t="s">
        <v>2664</v>
      </c>
      <c r="I3719">
        <v>17000</v>
      </c>
      <c r="J3719">
        <v>17000</v>
      </c>
      <c r="K3719">
        <v>17000</v>
      </c>
      <c r="L3719">
        <v>17000</v>
      </c>
      <c r="N3719" t="s">
        <v>988</v>
      </c>
    </row>
    <row r="3720" spans="1:14" hidden="1" x14ac:dyDescent="0.3">
      <c r="A3720">
        <v>2220</v>
      </c>
      <c r="B3720" t="s">
        <v>1962</v>
      </c>
      <c r="C3720" t="s">
        <v>2670</v>
      </c>
      <c r="D3720" t="s">
        <v>159</v>
      </c>
      <c r="E3720" t="s">
        <v>159</v>
      </c>
      <c r="F3720">
        <v>6742</v>
      </c>
      <c r="G3720" t="s">
        <v>2674</v>
      </c>
      <c r="H3720" t="s">
        <v>2665</v>
      </c>
      <c r="I3720">
        <v>14291</v>
      </c>
      <c r="J3720">
        <v>15102</v>
      </c>
      <c r="K3720">
        <v>15177</v>
      </c>
      <c r="L3720">
        <v>15262</v>
      </c>
      <c r="N3720" t="s">
        <v>988</v>
      </c>
    </row>
    <row r="3721" spans="1:14" hidden="1" x14ac:dyDescent="0.3">
      <c r="A3721">
        <v>2220</v>
      </c>
      <c r="B3721" t="s">
        <v>1962</v>
      </c>
      <c r="C3721" t="s">
        <v>2670</v>
      </c>
      <c r="D3721" t="s">
        <v>159</v>
      </c>
      <c r="E3721" t="s">
        <v>159</v>
      </c>
      <c r="F3721">
        <v>6742</v>
      </c>
      <c r="G3721" t="s">
        <v>2674</v>
      </c>
      <c r="H3721" t="s">
        <v>2664</v>
      </c>
      <c r="I3721">
        <v>16893</v>
      </c>
      <c r="J3721">
        <v>16893</v>
      </c>
      <c r="K3721">
        <v>16893</v>
      </c>
      <c r="L3721">
        <v>16893</v>
      </c>
      <c r="N3721" t="s">
        <v>988</v>
      </c>
    </row>
    <row r="3722" spans="1:14" hidden="1" x14ac:dyDescent="0.3">
      <c r="A3722">
        <v>2222</v>
      </c>
      <c r="B3722" t="s">
        <v>1964</v>
      </c>
      <c r="C3722" t="s">
        <v>2670</v>
      </c>
      <c r="D3722" t="s">
        <v>1203</v>
      </c>
      <c r="E3722" t="s">
        <v>1204</v>
      </c>
      <c r="F3722">
        <v>5644</v>
      </c>
      <c r="G3722" t="s">
        <v>2674</v>
      </c>
      <c r="H3722" t="s">
        <v>2665</v>
      </c>
      <c r="I3722">
        <v>4511</v>
      </c>
      <c r="J3722">
        <v>4813</v>
      </c>
      <c r="K3722">
        <v>5115</v>
      </c>
      <c r="L3722">
        <v>5418</v>
      </c>
      <c r="N3722" t="s">
        <v>988</v>
      </c>
    </row>
    <row r="3723" spans="1:14" hidden="1" x14ac:dyDescent="0.3">
      <c r="A3723">
        <v>2222</v>
      </c>
      <c r="B3723" t="s">
        <v>1964</v>
      </c>
      <c r="C3723" t="s">
        <v>2670</v>
      </c>
      <c r="D3723" t="s">
        <v>1203</v>
      </c>
      <c r="E3723" t="s">
        <v>1204</v>
      </c>
      <c r="F3723">
        <v>5644</v>
      </c>
      <c r="G3723" t="s">
        <v>2673</v>
      </c>
      <c r="H3723" t="s">
        <v>2664</v>
      </c>
      <c r="I3723">
        <v>6774</v>
      </c>
      <c r="J3723">
        <v>7333</v>
      </c>
      <c r="K3723">
        <v>7892</v>
      </c>
      <c r="L3723">
        <v>8450</v>
      </c>
      <c r="N3723" t="s">
        <v>988</v>
      </c>
    </row>
    <row r="3724" spans="1:14" hidden="1" x14ac:dyDescent="0.3">
      <c r="A3724">
        <v>2222</v>
      </c>
      <c r="B3724" t="s">
        <v>1964</v>
      </c>
      <c r="C3724" t="s">
        <v>2670</v>
      </c>
      <c r="D3724" t="s">
        <v>1203</v>
      </c>
      <c r="E3724" t="s">
        <v>1204</v>
      </c>
      <c r="F3724">
        <v>5644</v>
      </c>
      <c r="G3724" t="s">
        <v>2673</v>
      </c>
      <c r="H3724" t="s">
        <v>2665</v>
      </c>
      <c r="I3724">
        <v>4511</v>
      </c>
      <c r="J3724">
        <v>4813</v>
      </c>
      <c r="K3724">
        <v>5115</v>
      </c>
      <c r="L3724">
        <v>5418</v>
      </c>
      <c r="N3724" t="s">
        <v>988</v>
      </c>
    </row>
    <row r="3725" spans="1:14" hidden="1" x14ac:dyDescent="0.3">
      <c r="A3725">
        <v>2222</v>
      </c>
      <c r="B3725" t="s">
        <v>1964</v>
      </c>
      <c r="C3725" t="s">
        <v>2670</v>
      </c>
      <c r="D3725" t="s">
        <v>1203</v>
      </c>
      <c r="E3725" t="s">
        <v>1204</v>
      </c>
      <c r="F3725">
        <v>5644</v>
      </c>
      <c r="G3725" t="s">
        <v>2671</v>
      </c>
      <c r="H3725" t="s">
        <v>2664</v>
      </c>
      <c r="I3725">
        <v>6774</v>
      </c>
      <c r="J3725">
        <v>7333</v>
      </c>
      <c r="K3725">
        <v>7892</v>
      </c>
      <c r="L3725">
        <v>8450</v>
      </c>
      <c r="N3725" t="s">
        <v>988</v>
      </c>
    </row>
    <row r="3726" spans="1:14" hidden="1" x14ac:dyDescent="0.3">
      <c r="A3726">
        <v>2222</v>
      </c>
      <c r="B3726" t="s">
        <v>1964</v>
      </c>
      <c r="C3726" t="s">
        <v>2670</v>
      </c>
      <c r="D3726" t="s">
        <v>1203</v>
      </c>
      <c r="E3726" t="s">
        <v>1204</v>
      </c>
      <c r="F3726">
        <v>5644</v>
      </c>
      <c r="G3726" t="s">
        <v>2671</v>
      </c>
      <c r="H3726" t="s">
        <v>2665</v>
      </c>
      <c r="I3726">
        <v>4511</v>
      </c>
      <c r="J3726">
        <v>4813</v>
      </c>
      <c r="K3726">
        <v>5115</v>
      </c>
      <c r="L3726">
        <v>5418</v>
      </c>
      <c r="N3726" t="s">
        <v>988</v>
      </c>
    </row>
    <row r="3727" spans="1:14" hidden="1" x14ac:dyDescent="0.3">
      <c r="A3727">
        <v>2222</v>
      </c>
      <c r="B3727" t="s">
        <v>1964</v>
      </c>
      <c r="C3727" t="s">
        <v>2670</v>
      </c>
      <c r="D3727" t="s">
        <v>1203</v>
      </c>
      <c r="E3727" t="s">
        <v>1204</v>
      </c>
      <c r="F3727">
        <v>5644</v>
      </c>
      <c r="G3727" t="s">
        <v>2674</v>
      </c>
      <c r="H3727" t="s">
        <v>2664</v>
      </c>
      <c r="I3727">
        <v>6774</v>
      </c>
      <c r="J3727">
        <v>7333</v>
      </c>
      <c r="K3727">
        <v>7892</v>
      </c>
      <c r="L3727">
        <v>8450</v>
      </c>
      <c r="N3727" t="s">
        <v>988</v>
      </c>
    </row>
    <row r="3728" spans="1:14" hidden="1" x14ac:dyDescent="0.3">
      <c r="A3728">
        <v>2222</v>
      </c>
      <c r="B3728" t="s">
        <v>1964</v>
      </c>
      <c r="C3728" t="s">
        <v>2670</v>
      </c>
      <c r="D3728" t="s">
        <v>1203</v>
      </c>
      <c r="E3728" t="s">
        <v>1204</v>
      </c>
      <c r="F3728">
        <v>5644</v>
      </c>
      <c r="G3728" t="s">
        <v>2672</v>
      </c>
      <c r="H3728" t="s">
        <v>2665</v>
      </c>
      <c r="N3728" t="s">
        <v>988</v>
      </c>
    </row>
    <row r="3729" spans="1:14" hidden="1" x14ac:dyDescent="0.3">
      <c r="A3729">
        <v>2222</v>
      </c>
      <c r="B3729" t="s">
        <v>1964</v>
      </c>
      <c r="C3729" t="s">
        <v>2670</v>
      </c>
      <c r="D3729" t="s">
        <v>1203</v>
      </c>
      <c r="E3729" t="s">
        <v>1204</v>
      </c>
      <c r="F3729">
        <v>5644</v>
      </c>
      <c r="G3729" t="s">
        <v>2676</v>
      </c>
      <c r="H3729" t="s">
        <v>2664</v>
      </c>
      <c r="I3729">
        <v>6774</v>
      </c>
      <c r="J3729">
        <v>7333</v>
      </c>
      <c r="K3729">
        <v>7892</v>
      </c>
      <c r="L3729">
        <v>8450</v>
      </c>
      <c r="N3729" t="s">
        <v>988</v>
      </c>
    </row>
    <row r="3730" spans="1:14" hidden="1" x14ac:dyDescent="0.3">
      <c r="A3730">
        <v>2222</v>
      </c>
      <c r="B3730" t="s">
        <v>1964</v>
      </c>
      <c r="C3730" t="s">
        <v>2670</v>
      </c>
      <c r="D3730" t="s">
        <v>1203</v>
      </c>
      <c r="E3730" t="s">
        <v>1204</v>
      </c>
      <c r="F3730">
        <v>5644</v>
      </c>
      <c r="G3730" t="s">
        <v>2676</v>
      </c>
      <c r="H3730" t="s">
        <v>2665</v>
      </c>
      <c r="I3730">
        <v>4511</v>
      </c>
      <c r="J3730">
        <v>4813</v>
      </c>
      <c r="K3730">
        <v>5115</v>
      </c>
      <c r="L3730">
        <v>5418</v>
      </c>
      <c r="N3730" t="s">
        <v>988</v>
      </c>
    </row>
    <row r="3731" spans="1:14" hidden="1" x14ac:dyDescent="0.3">
      <c r="A3731">
        <v>2222</v>
      </c>
      <c r="B3731" t="s">
        <v>1964</v>
      </c>
      <c r="C3731" t="s">
        <v>2670</v>
      </c>
      <c r="D3731" t="s">
        <v>1203</v>
      </c>
      <c r="E3731" t="s">
        <v>1204</v>
      </c>
      <c r="F3731">
        <v>5644</v>
      </c>
      <c r="G3731" t="s">
        <v>2675</v>
      </c>
      <c r="H3731" t="s">
        <v>2664</v>
      </c>
      <c r="I3731">
        <v>6774</v>
      </c>
      <c r="J3731">
        <v>7333</v>
      </c>
      <c r="K3731">
        <v>7892</v>
      </c>
      <c r="L3731">
        <v>8450</v>
      </c>
      <c r="N3731" t="s">
        <v>988</v>
      </c>
    </row>
    <row r="3732" spans="1:14" hidden="1" x14ac:dyDescent="0.3">
      <c r="A3732">
        <v>2222</v>
      </c>
      <c r="B3732" t="s">
        <v>1964</v>
      </c>
      <c r="C3732" t="s">
        <v>2670</v>
      </c>
      <c r="D3732" t="s">
        <v>1203</v>
      </c>
      <c r="E3732" t="s">
        <v>1204</v>
      </c>
      <c r="F3732">
        <v>5644</v>
      </c>
      <c r="G3732" t="s">
        <v>2675</v>
      </c>
      <c r="H3732" t="s">
        <v>2665</v>
      </c>
      <c r="I3732">
        <v>4511</v>
      </c>
      <c r="J3732">
        <v>4813</v>
      </c>
      <c r="K3732">
        <v>5115</v>
      </c>
      <c r="L3732">
        <v>5418</v>
      </c>
      <c r="N3732" t="s">
        <v>988</v>
      </c>
    </row>
    <row r="3733" spans="1:14" hidden="1" x14ac:dyDescent="0.3">
      <c r="A3733">
        <v>2222</v>
      </c>
      <c r="B3733" t="s">
        <v>1964</v>
      </c>
      <c r="C3733" t="s">
        <v>2670</v>
      </c>
      <c r="D3733" t="s">
        <v>1203</v>
      </c>
      <c r="E3733" t="s">
        <v>1204</v>
      </c>
      <c r="F3733">
        <v>5644</v>
      </c>
      <c r="G3733" t="s">
        <v>2672</v>
      </c>
      <c r="H3733" t="s">
        <v>2664</v>
      </c>
      <c r="N3733" t="s">
        <v>988</v>
      </c>
    </row>
    <row r="3734" spans="1:14" hidden="1" x14ac:dyDescent="0.3">
      <c r="A3734">
        <v>2224</v>
      </c>
      <c r="B3734" t="s">
        <v>1966</v>
      </c>
      <c r="C3734" t="s">
        <v>2670</v>
      </c>
      <c r="D3734" t="s">
        <v>159</v>
      </c>
      <c r="E3734" t="s">
        <v>159</v>
      </c>
      <c r="F3734">
        <v>5774</v>
      </c>
      <c r="G3734" t="s">
        <v>2674</v>
      </c>
      <c r="H3734" t="s">
        <v>2665</v>
      </c>
      <c r="I3734">
        <v>21660</v>
      </c>
      <c r="J3734">
        <v>23083</v>
      </c>
      <c r="K3734">
        <v>23652</v>
      </c>
      <c r="L3734">
        <v>24329</v>
      </c>
      <c r="M3734">
        <v>25097</v>
      </c>
      <c r="N3734" t="s">
        <v>988</v>
      </c>
    </row>
    <row r="3735" spans="1:14" hidden="1" x14ac:dyDescent="0.3">
      <c r="A3735">
        <v>2224</v>
      </c>
      <c r="B3735" t="s">
        <v>1966</v>
      </c>
      <c r="C3735" t="s">
        <v>2670</v>
      </c>
      <c r="D3735" t="s">
        <v>159</v>
      </c>
      <c r="E3735" t="s">
        <v>159</v>
      </c>
      <c r="F3735">
        <v>5774</v>
      </c>
      <c r="G3735" t="s">
        <v>2673</v>
      </c>
      <c r="H3735" t="s">
        <v>2664</v>
      </c>
      <c r="I3735">
        <v>22660</v>
      </c>
      <c r="J3735">
        <v>24083</v>
      </c>
      <c r="K3735">
        <v>24652</v>
      </c>
      <c r="L3735">
        <v>25329</v>
      </c>
      <c r="M3735">
        <v>26097</v>
      </c>
      <c r="N3735" t="s">
        <v>988</v>
      </c>
    </row>
    <row r="3736" spans="1:14" hidden="1" x14ac:dyDescent="0.3">
      <c r="A3736">
        <v>2224</v>
      </c>
      <c r="B3736" t="s">
        <v>1966</v>
      </c>
      <c r="C3736" t="s">
        <v>2670</v>
      </c>
      <c r="D3736" t="s">
        <v>159</v>
      </c>
      <c r="E3736" t="s">
        <v>159</v>
      </c>
      <c r="F3736">
        <v>5774</v>
      </c>
      <c r="G3736" t="s">
        <v>2673</v>
      </c>
      <c r="H3736" t="s">
        <v>2665</v>
      </c>
      <c r="I3736">
        <v>21660</v>
      </c>
      <c r="J3736">
        <v>23083</v>
      </c>
      <c r="K3736">
        <v>23652</v>
      </c>
      <c r="L3736">
        <v>24329</v>
      </c>
      <c r="M3736">
        <v>25097</v>
      </c>
      <c r="N3736" t="s">
        <v>988</v>
      </c>
    </row>
    <row r="3737" spans="1:14" hidden="1" x14ac:dyDescent="0.3">
      <c r="A3737">
        <v>2224</v>
      </c>
      <c r="B3737" t="s">
        <v>1966</v>
      </c>
      <c r="C3737" t="s">
        <v>2670</v>
      </c>
      <c r="D3737" t="s">
        <v>159</v>
      </c>
      <c r="E3737" t="s">
        <v>159</v>
      </c>
      <c r="F3737">
        <v>5774</v>
      </c>
      <c r="G3737" t="s">
        <v>2671</v>
      </c>
      <c r="H3737" t="s">
        <v>2664</v>
      </c>
      <c r="I3737">
        <v>22660</v>
      </c>
      <c r="J3737">
        <v>24083</v>
      </c>
      <c r="K3737">
        <v>24652</v>
      </c>
      <c r="L3737">
        <v>25329</v>
      </c>
      <c r="M3737">
        <v>26097</v>
      </c>
      <c r="N3737" t="s">
        <v>988</v>
      </c>
    </row>
    <row r="3738" spans="1:14" hidden="1" x14ac:dyDescent="0.3">
      <c r="A3738">
        <v>2224</v>
      </c>
      <c r="B3738" t="s">
        <v>1966</v>
      </c>
      <c r="C3738" t="s">
        <v>2670</v>
      </c>
      <c r="D3738" t="s">
        <v>159</v>
      </c>
      <c r="E3738" t="s">
        <v>159</v>
      </c>
      <c r="F3738">
        <v>5774</v>
      </c>
      <c r="G3738" t="s">
        <v>2671</v>
      </c>
      <c r="H3738" t="s">
        <v>2665</v>
      </c>
      <c r="I3738">
        <v>21660</v>
      </c>
      <c r="J3738">
        <v>23083</v>
      </c>
      <c r="K3738">
        <v>23652</v>
      </c>
      <c r="L3738">
        <v>24329</v>
      </c>
      <c r="M3738">
        <v>25097</v>
      </c>
      <c r="N3738" t="s">
        <v>988</v>
      </c>
    </row>
    <row r="3739" spans="1:14" hidden="1" x14ac:dyDescent="0.3">
      <c r="A3739">
        <v>2224</v>
      </c>
      <c r="B3739" t="s">
        <v>1966</v>
      </c>
      <c r="C3739" t="s">
        <v>2670</v>
      </c>
      <c r="D3739" t="s">
        <v>159</v>
      </c>
      <c r="E3739" t="s">
        <v>159</v>
      </c>
      <c r="F3739">
        <v>5774</v>
      </c>
      <c r="G3739" t="s">
        <v>2672</v>
      </c>
      <c r="H3739" t="s">
        <v>2664</v>
      </c>
      <c r="I3739">
        <v>22660</v>
      </c>
      <c r="J3739">
        <v>24083</v>
      </c>
      <c r="K3739">
        <v>24652</v>
      </c>
      <c r="L3739">
        <v>25329</v>
      </c>
      <c r="M3739">
        <v>26097</v>
      </c>
      <c r="N3739" t="s">
        <v>988</v>
      </c>
    </row>
    <row r="3740" spans="1:14" hidden="1" x14ac:dyDescent="0.3">
      <c r="A3740">
        <v>2224</v>
      </c>
      <c r="B3740" t="s">
        <v>1966</v>
      </c>
      <c r="C3740" t="s">
        <v>2670</v>
      </c>
      <c r="D3740" t="s">
        <v>159</v>
      </c>
      <c r="E3740" t="s">
        <v>159</v>
      </c>
      <c r="F3740">
        <v>5774</v>
      </c>
      <c r="G3740" t="s">
        <v>2672</v>
      </c>
      <c r="H3740" t="s">
        <v>2665</v>
      </c>
      <c r="I3740">
        <v>21660</v>
      </c>
      <c r="J3740">
        <v>23083</v>
      </c>
      <c r="K3740">
        <v>23652</v>
      </c>
      <c r="L3740">
        <v>24329</v>
      </c>
      <c r="M3740">
        <v>25097</v>
      </c>
      <c r="N3740" t="s">
        <v>988</v>
      </c>
    </row>
    <row r="3741" spans="1:14" hidden="1" x14ac:dyDescent="0.3">
      <c r="A3741">
        <v>2224</v>
      </c>
      <c r="B3741" t="s">
        <v>1966</v>
      </c>
      <c r="C3741" t="s">
        <v>2670</v>
      </c>
      <c r="D3741" t="s">
        <v>159</v>
      </c>
      <c r="E3741" t="s">
        <v>159</v>
      </c>
      <c r="F3741">
        <v>5774</v>
      </c>
      <c r="G3741" t="s">
        <v>2676</v>
      </c>
      <c r="H3741" t="s">
        <v>2664</v>
      </c>
      <c r="I3741">
        <v>22660</v>
      </c>
      <c r="J3741">
        <v>24083</v>
      </c>
      <c r="K3741">
        <v>24652</v>
      </c>
      <c r="L3741">
        <v>25329</v>
      </c>
      <c r="M3741">
        <v>26097</v>
      </c>
      <c r="N3741" t="s">
        <v>988</v>
      </c>
    </row>
    <row r="3742" spans="1:14" hidden="1" x14ac:dyDescent="0.3">
      <c r="A3742">
        <v>2224</v>
      </c>
      <c r="B3742" t="s">
        <v>1966</v>
      </c>
      <c r="C3742" t="s">
        <v>2670</v>
      </c>
      <c r="D3742" t="s">
        <v>159</v>
      </c>
      <c r="E3742" t="s">
        <v>159</v>
      </c>
      <c r="F3742">
        <v>5774</v>
      </c>
      <c r="G3742" t="s">
        <v>2676</v>
      </c>
      <c r="H3742" t="s">
        <v>2665</v>
      </c>
      <c r="I3742">
        <v>21660</v>
      </c>
      <c r="J3742">
        <v>23083</v>
      </c>
      <c r="K3742">
        <v>23652</v>
      </c>
      <c r="L3742">
        <v>24329</v>
      </c>
      <c r="M3742">
        <v>25097</v>
      </c>
      <c r="N3742" t="s">
        <v>988</v>
      </c>
    </row>
    <row r="3743" spans="1:14" hidden="1" x14ac:dyDescent="0.3">
      <c r="A3743">
        <v>2224</v>
      </c>
      <c r="B3743" t="s">
        <v>1966</v>
      </c>
      <c r="C3743" t="s">
        <v>2670</v>
      </c>
      <c r="D3743" t="s">
        <v>159</v>
      </c>
      <c r="E3743" t="s">
        <v>159</v>
      </c>
      <c r="F3743">
        <v>5774</v>
      </c>
      <c r="G3743" t="s">
        <v>2674</v>
      </c>
      <c r="H3743" t="s">
        <v>2664</v>
      </c>
      <c r="I3743">
        <v>22660</v>
      </c>
      <c r="J3743">
        <v>24083</v>
      </c>
      <c r="K3743">
        <v>24652</v>
      </c>
      <c r="L3743">
        <v>25329</v>
      </c>
      <c r="M3743">
        <v>26097</v>
      </c>
      <c r="N3743" t="s">
        <v>988</v>
      </c>
    </row>
    <row r="3744" spans="1:14" hidden="1" x14ac:dyDescent="0.3">
      <c r="A3744">
        <v>2224</v>
      </c>
      <c r="B3744" t="s">
        <v>1966</v>
      </c>
      <c r="C3744" t="s">
        <v>2670</v>
      </c>
      <c r="D3744" t="s">
        <v>159</v>
      </c>
      <c r="E3744" t="s">
        <v>159</v>
      </c>
      <c r="F3744">
        <v>5774</v>
      </c>
      <c r="G3744" t="s">
        <v>2675</v>
      </c>
      <c r="H3744" t="s">
        <v>2665</v>
      </c>
      <c r="I3744">
        <v>21660</v>
      </c>
      <c r="J3744">
        <v>23083</v>
      </c>
      <c r="K3744">
        <v>23652</v>
      </c>
      <c r="L3744">
        <v>24329</v>
      </c>
      <c r="M3744">
        <v>25097</v>
      </c>
      <c r="N3744" t="s">
        <v>988</v>
      </c>
    </row>
    <row r="3745" spans="1:14" hidden="1" x14ac:dyDescent="0.3">
      <c r="A3745">
        <v>2224</v>
      </c>
      <c r="B3745" t="s">
        <v>1966</v>
      </c>
      <c r="C3745" t="s">
        <v>2670</v>
      </c>
      <c r="D3745" t="s">
        <v>159</v>
      </c>
      <c r="E3745" t="s">
        <v>159</v>
      </c>
      <c r="F3745">
        <v>5774</v>
      </c>
      <c r="G3745" t="s">
        <v>2675</v>
      </c>
      <c r="H3745" t="s">
        <v>2664</v>
      </c>
      <c r="I3745">
        <v>22660</v>
      </c>
      <c r="J3745">
        <v>24083</v>
      </c>
      <c r="K3745">
        <v>24652</v>
      </c>
      <c r="L3745">
        <v>25329</v>
      </c>
      <c r="M3745">
        <v>26097</v>
      </c>
      <c r="N3745" t="s">
        <v>988</v>
      </c>
    </row>
    <row r="3746" spans="1:14" hidden="1" x14ac:dyDescent="0.3">
      <c r="A3746">
        <v>2237</v>
      </c>
      <c r="B3746" t="s">
        <v>1969</v>
      </c>
      <c r="C3746" t="s">
        <v>2670</v>
      </c>
      <c r="D3746" t="s">
        <v>1203</v>
      </c>
      <c r="E3746" t="s">
        <v>1204</v>
      </c>
      <c r="F3746">
        <v>5524</v>
      </c>
      <c r="G3746" t="s">
        <v>2675</v>
      </c>
      <c r="H3746" t="s">
        <v>2665</v>
      </c>
      <c r="I3746">
        <v>1112</v>
      </c>
      <c r="J3746">
        <v>1116</v>
      </c>
      <c r="K3746">
        <v>1120</v>
      </c>
      <c r="L3746">
        <v>1128</v>
      </c>
      <c r="N3746" t="s">
        <v>988</v>
      </c>
    </row>
    <row r="3747" spans="1:14" hidden="1" x14ac:dyDescent="0.3">
      <c r="A3747">
        <v>2237</v>
      </c>
      <c r="B3747" t="s">
        <v>1969</v>
      </c>
      <c r="C3747" t="s">
        <v>2670</v>
      </c>
      <c r="D3747" t="s">
        <v>1203</v>
      </c>
      <c r="E3747" t="s">
        <v>1204</v>
      </c>
      <c r="F3747">
        <v>5524</v>
      </c>
      <c r="G3747" t="s">
        <v>2675</v>
      </c>
      <c r="H3747" t="s">
        <v>2664</v>
      </c>
      <c r="I3747">
        <v>1300</v>
      </c>
      <c r="J3747">
        <v>1300</v>
      </c>
      <c r="K3747">
        <v>1300</v>
      </c>
      <c r="L3747">
        <v>1300</v>
      </c>
      <c r="N3747" t="s">
        <v>988</v>
      </c>
    </row>
    <row r="3748" spans="1:14" hidden="1" x14ac:dyDescent="0.3">
      <c r="A3748">
        <v>2237</v>
      </c>
      <c r="B3748" t="s">
        <v>1969</v>
      </c>
      <c r="C3748" t="s">
        <v>2670</v>
      </c>
      <c r="D3748" t="s">
        <v>1203</v>
      </c>
      <c r="E3748" t="s">
        <v>1204</v>
      </c>
      <c r="F3748">
        <v>5524</v>
      </c>
      <c r="G3748" t="s">
        <v>2676</v>
      </c>
      <c r="H3748" t="s">
        <v>2665</v>
      </c>
      <c r="I3748">
        <v>1111</v>
      </c>
      <c r="J3748">
        <v>1115</v>
      </c>
      <c r="K3748">
        <v>1119</v>
      </c>
      <c r="L3748">
        <v>1123</v>
      </c>
      <c r="M3748">
        <v>1144</v>
      </c>
      <c r="N3748" t="s">
        <v>988</v>
      </c>
    </row>
    <row r="3749" spans="1:14" hidden="1" x14ac:dyDescent="0.3">
      <c r="A3749">
        <v>2237</v>
      </c>
      <c r="B3749" t="s">
        <v>1969</v>
      </c>
      <c r="C3749" t="s">
        <v>2670</v>
      </c>
      <c r="D3749" t="s">
        <v>1203</v>
      </c>
      <c r="E3749" t="s">
        <v>1204</v>
      </c>
      <c r="F3749">
        <v>5524</v>
      </c>
      <c r="G3749" t="s">
        <v>2676</v>
      </c>
      <c r="H3749" t="s">
        <v>2664</v>
      </c>
      <c r="I3749">
        <v>1300</v>
      </c>
      <c r="J3749">
        <v>1300</v>
      </c>
      <c r="K3749">
        <v>1300</v>
      </c>
      <c r="L3749">
        <v>1300</v>
      </c>
      <c r="M3749">
        <v>1300</v>
      </c>
      <c r="N3749" t="s">
        <v>988</v>
      </c>
    </row>
    <row r="3750" spans="1:14" hidden="1" x14ac:dyDescent="0.3">
      <c r="A3750">
        <v>2237</v>
      </c>
      <c r="B3750" t="s">
        <v>1969</v>
      </c>
      <c r="C3750" t="s">
        <v>2670</v>
      </c>
      <c r="D3750" t="s">
        <v>1203</v>
      </c>
      <c r="E3750" t="s">
        <v>1204</v>
      </c>
      <c r="F3750">
        <v>5524</v>
      </c>
      <c r="G3750" t="s">
        <v>2672</v>
      </c>
      <c r="H3750" t="s">
        <v>2665</v>
      </c>
      <c r="N3750" t="s">
        <v>988</v>
      </c>
    </row>
    <row r="3751" spans="1:14" hidden="1" x14ac:dyDescent="0.3">
      <c r="A3751">
        <v>2237</v>
      </c>
      <c r="B3751" t="s">
        <v>1969</v>
      </c>
      <c r="C3751" t="s">
        <v>2670</v>
      </c>
      <c r="D3751" t="s">
        <v>1203</v>
      </c>
      <c r="E3751" t="s">
        <v>1204</v>
      </c>
      <c r="F3751">
        <v>5524</v>
      </c>
      <c r="G3751" t="s">
        <v>2674</v>
      </c>
      <c r="H3751" t="s">
        <v>2664</v>
      </c>
      <c r="I3751">
        <v>1300</v>
      </c>
      <c r="J3751">
        <v>1300</v>
      </c>
      <c r="K3751">
        <v>1300</v>
      </c>
      <c r="L3751">
        <v>1300</v>
      </c>
      <c r="N3751" t="s">
        <v>988</v>
      </c>
    </row>
    <row r="3752" spans="1:14" hidden="1" x14ac:dyDescent="0.3">
      <c r="A3752">
        <v>2237</v>
      </c>
      <c r="B3752" t="s">
        <v>1969</v>
      </c>
      <c r="C3752" t="s">
        <v>2670</v>
      </c>
      <c r="D3752" t="s">
        <v>1203</v>
      </c>
      <c r="E3752" t="s">
        <v>1204</v>
      </c>
      <c r="F3752">
        <v>5524</v>
      </c>
      <c r="G3752" t="s">
        <v>2671</v>
      </c>
      <c r="H3752" t="s">
        <v>2665</v>
      </c>
      <c r="I3752">
        <v>1114</v>
      </c>
      <c r="J3752">
        <v>1119</v>
      </c>
      <c r="K3752">
        <v>1123</v>
      </c>
      <c r="L3752">
        <v>1140</v>
      </c>
      <c r="N3752" t="s">
        <v>988</v>
      </c>
    </row>
    <row r="3753" spans="1:14" hidden="1" x14ac:dyDescent="0.3">
      <c r="A3753">
        <v>2237</v>
      </c>
      <c r="B3753" t="s">
        <v>1969</v>
      </c>
      <c r="C3753" t="s">
        <v>2670</v>
      </c>
      <c r="D3753" t="s">
        <v>1203</v>
      </c>
      <c r="E3753" t="s">
        <v>1204</v>
      </c>
      <c r="F3753">
        <v>5524</v>
      </c>
      <c r="G3753" t="s">
        <v>2671</v>
      </c>
      <c r="H3753" t="s">
        <v>2664</v>
      </c>
      <c r="I3753">
        <v>1300</v>
      </c>
      <c r="J3753">
        <v>1300</v>
      </c>
      <c r="K3753">
        <v>1300</v>
      </c>
      <c r="L3753">
        <v>1300</v>
      </c>
      <c r="N3753" t="s">
        <v>988</v>
      </c>
    </row>
    <row r="3754" spans="1:14" hidden="1" x14ac:dyDescent="0.3">
      <c r="A3754">
        <v>2237</v>
      </c>
      <c r="B3754" t="s">
        <v>1969</v>
      </c>
      <c r="C3754" t="s">
        <v>2670</v>
      </c>
      <c r="D3754" t="s">
        <v>1203</v>
      </c>
      <c r="E3754" t="s">
        <v>1204</v>
      </c>
      <c r="F3754">
        <v>5524</v>
      </c>
      <c r="G3754" t="s">
        <v>2673</v>
      </c>
      <c r="H3754" t="s">
        <v>2665</v>
      </c>
      <c r="I3754">
        <v>1114</v>
      </c>
      <c r="J3754">
        <v>1118</v>
      </c>
      <c r="K3754">
        <v>1122</v>
      </c>
      <c r="L3754">
        <v>1136</v>
      </c>
      <c r="N3754" t="s">
        <v>988</v>
      </c>
    </row>
    <row r="3755" spans="1:14" hidden="1" x14ac:dyDescent="0.3">
      <c r="A3755">
        <v>2237</v>
      </c>
      <c r="B3755" t="s">
        <v>1969</v>
      </c>
      <c r="C3755" t="s">
        <v>2670</v>
      </c>
      <c r="D3755" t="s">
        <v>1203</v>
      </c>
      <c r="E3755" t="s">
        <v>1204</v>
      </c>
      <c r="F3755">
        <v>5524</v>
      </c>
      <c r="G3755" t="s">
        <v>2673</v>
      </c>
      <c r="H3755" t="s">
        <v>2664</v>
      </c>
      <c r="I3755">
        <v>1300</v>
      </c>
      <c r="J3755">
        <v>1300</v>
      </c>
      <c r="K3755">
        <v>1300</v>
      </c>
      <c r="L3755">
        <v>1300</v>
      </c>
      <c r="N3755" t="s">
        <v>988</v>
      </c>
    </row>
    <row r="3756" spans="1:14" hidden="1" x14ac:dyDescent="0.3">
      <c r="A3756">
        <v>2237</v>
      </c>
      <c r="B3756" t="s">
        <v>1969</v>
      </c>
      <c r="C3756" t="s">
        <v>2670</v>
      </c>
      <c r="D3756" t="s">
        <v>1203</v>
      </c>
      <c r="E3756" t="s">
        <v>1204</v>
      </c>
      <c r="F3756">
        <v>5524</v>
      </c>
      <c r="G3756" t="s">
        <v>2674</v>
      </c>
      <c r="H3756" t="s">
        <v>2665</v>
      </c>
      <c r="I3756">
        <v>1113</v>
      </c>
      <c r="J3756">
        <v>1117</v>
      </c>
      <c r="K3756">
        <v>1121</v>
      </c>
      <c r="L3756">
        <v>1132</v>
      </c>
      <c r="N3756" t="s">
        <v>988</v>
      </c>
    </row>
    <row r="3757" spans="1:14" hidden="1" x14ac:dyDescent="0.3">
      <c r="A3757">
        <v>2237</v>
      </c>
      <c r="B3757" t="s">
        <v>1969</v>
      </c>
      <c r="C3757" t="s">
        <v>2670</v>
      </c>
      <c r="D3757" t="s">
        <v>1203</v>
      </c>
      <c r="E3757" t="s">
        <v>1204</v>
      </c>
      <c r="F3757">
        <v>5524</v>
      </c>
      <c r="G3757" t="s">
        <v>2672</v>
      </c>
      <c r="H3757" t="s">
        <v>2664</v>
      </c>
      <c r="N3757" t="s">
        <v>988</v>
      </c>
    </row>
    <row r="3758" spans="1:14" hidden="1" x14ac:dyDescent="0.3">
      <c r="A3758">
        <v>2241</v>
      </c>
      <c r="B3758" t="s">
        <v>1971</v>
      </c>
      <c r="C3758" t="s">
        <v>2670</v>
      </c>
      <c r="D3758" t="s">
        <v>159</v>
      </c>
      <c r="E3758" t="s">
        <v>159</v>
      </c>
      <c r="F3758">
        <v>7852</v>
      </c>
      <c r="G3758" t="s">
        <v>2675</v>
      </c>
      <c r="H3758" t="s">
        <v>2665</v>
      </c>
      <c r="I3758">
        <v>3428</v>
      </c>
      <c r="J3758">
        <v>3447</v>
      </c>
      <c r="K3758">
        <v>3559</v>
      </c>
      <c r="L3758">
        <v>3532</v>
      </c>
      <c r="M3758">
        <v>3511</v>
      </c>
      <c r="N3758" t="s">
        <v>988</v>
      </c>
    </row>
    <row r="3759" spans="1:14" hidden="1" x14ac:dyDescent="0.3">
      <c r="A3759">
        <v>2241</v>
      </c>
      <c r="B3759" t="s">
        <v>1971</v>
      </c>
      <c r="C3759" t="s">
        <v>2670</v>
      </c>
      <c r="D3759" t="s">
        <v>159</v>
      </c>
      <c r="E3759" t="s">
        <v>159</v>
      </c>
      <c r="F3759">
        <v>7852</v>
      </c>
      <c r="G3759" t="s">
        <v>2675</v>
      </c>
      <c r="H3759" t="s">
        <v>2664</v>
      </c>
      <c r="I3759">
        <v>3428</v>
      </c>
      <c r="J3759">
        <v>3447</v>
      </c>
      <c r="K3759">
        <v>3559</v>
      </c>
      <c r="L3759">
        <v>3532</v>
      </c>
      <c r="M3759">
        <v>3511</v>
      </c>
      <c r="N3759" t="s">
        <v>988</v>
      </c>
    </row>
    <row r="3760" spans="1:14" hidden="1" x14ac:dyDescent="0.3">
      <c r="A3760">
        <v>2241</v>
      </c>
      <c r="B3760" t="s">
        <v>1971</v>
      </c>
      <c r="C3760" t="s">
        <v>2670</v>
      </c>
      <c r="D3760" t="s">
        <v>159</v>
      </c>
      <c r="E3760" t="s">
        <v>159</v>
      </c>
      <c r="F3760">
        <v>7852</v>
      </c>
      <c r="G3760" t="s">
        <v>2676</v>
      </c>
      <c r="H3760" t="s">
        <v>2665</v>
      </c>
      <c r="I3760">
        <v>3448</v>
      </c>
      <c r="J3760">
        <v>3407</v>
      </c>
      <c r="K3760">
        <v>3564</v>
      </c>
      <c r="L3760">
        <v>3538</v>
      </c>
      <c r="M3760">
        <v>3514</v>
      </c>
      <c r="N3760" t="s">
        <v>988</v>
      </c>
    </row>
    <row r="3761" spans="1:14" hidden="1" x14ac:dyDescent="0.3">
      <c r="A3761">
        <v>2241</v>
      </c>
      <c r="B3761" t="s">
        <v>1971</v>
      </c>
      <c r="C3761" t="s">
        <v>2670</v>
      </c>
      <c r="D3761" t="s">
        <v>159</v>
      </c>
      <c r="E3761" t="s">
        <v>159</v>
      </c>
      <c r="F3761">
        <v>7852</v>
      </c>
      <c r="G3761" t="s">
        <v>2676</v>
      </c>
      <c r="H3761" t="s">
        <v>2664</v>
      </c>
      <c r="I3761">
        <v>3448</v>
      </c>
      <c r="J3761">
        <v>3407</v>
      </c>
      <c r="K3761">
        <v>3564</v>
      </c>
      <c r="L3761">
        <v>3538</v>
      </c>
      <c r="M3761">
        <v>3514</v>
      </c>
      <c r="N3761" t="s">
        <v>988</v>
      </c>
    </row>
    <row r="3762" spans="1:14" hidden="1" x14ac:dyDescent="0.3">
      <c r="A3762">
        <v>2241</v>
      </c>
      <c r="B3762" t="s">
        <v>1971</v>
      </c>
      <c r="C3762" t="s">
        <v>2670</v>
      </c>
      <c r="D3762" t="s">
        <v>159</v>
      </c>
      <c r="E3762" t="s">
        <v>159</v>
      </c>
      <c r="F3762">
        <v>7852</v>
      </c>
      <c r="G3762" t="s">
        <v>2672</v>
      </c>
      <c r="H3762" t="s">
        <v>2665</v>
      </c>
      <c r="N3762" t="s">
        <v>988</v>
      </c>
    </row>
    <row r="3763" spans="1:14" hidden="1" x14ac:dyDescent="0.3">
      <c r="A3763">
        <v>2241</v>
      </c>
      <c r="B3763" t="s">
        <v>1971</v>
      </c>
      <c r="C3763" t="s">
        <v>2670</v>
      </c>
      <c r="D3763" t="s">
        <v>159</v>
      </c>
      <c r="E3763" t="s">
        <v>159</v>
      </c>
      <c r="F3763">
        <v>7852</v>
      </c>
      <c r="G3763" t="s">
        <v>2672</v>
      </c>
      <c r="H3763" t="s">
        <v>2664</v>
      </c>
      <c r="N3763" t="s">
        <v>988</v>
      </c>
    </row>
    <row r="3764" spans="1:14" hidden="1" x14ac:dyDescent="0.3">
      <c r="A3764">
        <v>2241</v>
      </c>
      <c r="B3764" t="s">
        <v>1971</v>
      </c>
      <c r="C3764" t="s">
        <v>2670</v>
      </c>
      <c r="D3764" t="s">
        <v>159</v>
      </c>
      <c r="E3764" t="s">
        <v>159</v>
      </c>
      <c r="F3764">
        <v>7852</v>
      </c>
      <c r="G3764" t="s">
        <v>2671</v>
      </c>
      <c r="H3764" t="s">
        <v>2665</v>
      </c>
      <c r="I3764">
        <v>3366</v>
      </c>
      <c r="J3764">
        <v>3570</v>
      </c>
      <c r="K3764">
        <v>3543</v>
      </c>
      <c r="L3764">
        <v>3516</v>
      </c>
      <c r="M3764">
        <v>3504</v>
      </c>
      <c r="N3764" t="s">
        <v>988</v>
      </c>
    </row>
    <row r="3765" spans="1:14" hidden="1" x14ac:dyDescent="0.3">
      <c r="A3765">
        <v>2241</v>
      </c>
      <c r="B3765" t="s">
        <v>1971</v>
      </c>
      <c r="C3765" t="s">
        <v>2670</v>
      </c>
      <c r="D3765" t="s">
        <v>159</v>
      </c>
      <c r="E3765" t="s">
        <v>159</v>
      </c>
      <c r="F3765">
        <v>7852</v>
      </c>
      <c r="G3765" t="s">
        <v>2671</v>
      </c>
      <c r="H3765" t="s">
        <v>2664</v>
      </c>
      <c r="I3765">
        <v>3366</v>
      </c>
      <c r="J3765">
        <v>3570</v>
      </c>
      <c r="K3765">
        <v>3543</v>
      </c>
      <c r="L3765">
        <v>3516</v>
      </c>
      <c r="M3765">
        <v>3504</v>
      </c>
      <c r="N3765" t="s">
        <v>988</v>
      </c>
    </row>
    <row r="3766" spans="1:14" hidden="1" x14ac:dyDescent="0.3">
      <c r="A3766">
        <v>2241</v>
      </c>
      <c r="B3766" t="s">
        <v>1971</v>
      </c>
      <c r="C3766" t="s">
        <v>2670</v>
      </c>
      <c r="D3766" t="s">
        <v>159</v>
      </c>
      <c r="E3766" t="s">
        <v>159</v>
      </c>
      <c r="F3766">
        <v>7852</v>
      </c>
      <c r="G3766" t="s">
        <v>2673</v>
      </c>
      <c r="H3766" t="s">
        <v>2665</v>
      </c>
      <c r="I3766">
        <v>3386</v>
      </c>
      <c r="J3766">
        <v>3529</v>
      </c>
      <c r="K3766">
        <v>3548</v>
      </c>
      <c r="L3766">
        <v>3521</v>
      </c>
      <c r="M3766">
        <v>3507</v>
      </c>
      <c r="N3766" t="s">
        <v>988</v>
      </c>
    </row>
    <row r="3767" spans="1:14" hidden="1" x14ac:dyDescent="0.3">
      <c r="A3767">
        <v>2241</v>
      </c>
      <c r="B3767" t="s">
        <v>1971</v>
      </c>
      <c r="C3767" t="s">
        <v>2670</v>
      </c>
      <c r="D3767" t="s">
        <v>159</v>
      </c>
      <c r="E3767" t="s">
        <v>159</v>
      </c>
      <c r="F3767">
        <v>7852</v>
      </c>
      <c r="G3767" t="s">
        <v>2673</v>
      </c>
      <c r="H3767" t="s">
        <v>2664</v>
      </c>
      <c r="I3767">
        <v>3386</v>
      </c>
      <c r="J3767">
        <v>3529</v>
      </c>
      <c r="K3767">
        <v>3548</v>
      </c>
      <c r="L3767">
        <v>3521</v>
      </c>
      <c r="M3767">
        <v>3507</v>
      </c>
      <c r="N3767" t="s">
        <v>988</v>
      </c>
    </row>
    <row r="3768" spans="1:14" hidden="1" x14ac:dyDescent="0.3">
      <c r="A3768">
        <v>2241</v>
      </c>
      <c r="B3768" t="s">
        <v>1971</v>
      </c>
      <c r="C3768" t="s">
        <v>2670</v>
      </c>
      <c r="D3768" t="s">
        <v>159</v>
      </c>
      <c r="E3768" t="s">
        <v>159</v>
      </c>
      <c r="F3768">
        <v>7852</v>
      </c>
      <c r="G3768" t="s">
        <v>2674</v>
      </c>
      <c r="H3768" t="s">
        <v>2665</v>
      </c>
      <c r="I3768">
        <v>3407</v>
      </c>
      <c r="J3768">
        <v>3488</v>
      </c>
      <c r="K3768">
        <v>3554</v>
      </c>
      <c r="L3768">
        <v>3527</v>
      </c>
      <c r="M3768">
        <v>3509</v>
      </c>
      <c r="N3768" t="s">
        <v>988</v>
      </c>
    </row>
    <row r="3769" spans="1:14" hidden="1" x14ac:dyDescent="0.3">
      <c r="A3769">
        <v>2241</v>
      </c>
      <c r="B3769" t="s">
        <v>1971</v>
      </c>
      <c r="C3769" t="s">
        <v>2670</v>
      </c>
      <c r="D3769" t="s">
        <v>159</v>
      </c>
      <c r="E3769" t="s">
        <v>159</v>
      </c>
      <c r="F3769">
        <v>7852</v>
      </c>
      <c r="G3769" t="s">
        <v>2674</v>
      </c>
      <c r="H3769" t="s">
        <v>2664</v>
      </c>
      <c r="I3769">
        <v>3407</v>
      </c>
      <c r="J3769">
        <v>3488</v>
      </c>
      <c r="K3769">
        <v>3554</v>
      </c>
      <c r="L3769">
        <v>3527</v>
      </c>
      <c r="M3769">
        <v>3509</v>
      </c>
      <c r="N3769" t="s">
        <v>988</v>
      </c>
    </row>
    <row r="3770" spans="1:14" hidden="1" x14ac:dyDescent="0.3">
      <c r="A3770">
        <v>2251</v>
      </c>
      <c r="B3770" t="s">
        <v>1975</v>
      </c>
      <c r="C3770" t="s">
        <v>2670</v>
      </c>
      <c r="D3770" t="s">
        <v>159</v>
      </c>
      <c r="E3770" t="s">
        <v>159</v>
      </c>
      <c r="F3770">
        <v>7898</v>
      </c>
      <c r="G3770" t="s">
        <v>2672</v>
      </c>
      <c r="H3770" t="s">
        <v>2665</v>
      </c>
      <c r="N3770" t="s">
        <v>988</v>
      </c>
    </row>
    <row r="3771" spans="1:14" hidden="1" x14ac:dyDescent="0.3">
      <c r="A3771">
        <v>2251</v>
      </c>
      <c r="B3771" t="s">
        <v>1975</v>
      </c>
      <c r="C3771" t="s">
        <v>2670</v>
      </c>
      <c r="D3771" t="s">
        <v>159</v>
      </c>
      <c r="E3771" t="s">
        <v>159</v>
      </c>
      <c r="F3771">
        <v>7898</v>
      </c>
      <c r="G3771" t="s">
        <v>2672</v>
      </c>
      <c r="H3771" t="s">
        <v>2664</v>
      </c>
      <c r="N3771" t="s">
        <v>988</v>
      </c>
    </row>
    <row r="3772" spans="1:14" hidden="1" x14ac:dyDescent="0.3">
      <c r="A3772">
        <v>2251</v>
      </c>
      <c r="B3772" t="s">
        <v>1975</v>
      </c>
      <c r="C3772" t="s">
        <v>2670</v>
      </c>
      <c r="D3772" t="s">
        <v>159</v>
      </c>
      <c r="E3772" t="s">
        <v>159</v>
      </c>
      <c r="F3772">
        <v>7898</v>
      </c>
      <c r="G3772" t="s">
        <v>2671</v>
      </c>
      <c r="H3772" t="s">
        <v>2665</v>
      </c>
      <c r="I3772">
        <v>4248</v>
      </c>
      <c r="J3772">
        <v>4304</v>
      </c>
      <c r="K3772">
        <v>4356</v>
      </c>
      <c r="L3772">
        <v>4389</v>
      </c>
      <c r="N3772" t="s">
        <v>988</v>
      </c>
    </row>
    <row r="3773" spans="1:14" hidden="1" x14ac:dyDescent="0.3">
      <c r="A3773">
        <v>2251</v>
      </c>
      <c r="B3773" t="s">
        <v>1975</v>
      </c>
      <c r="C3773" t="s">
        <v>2670</v>
      </c>
      <c r="D3773" t="s">
        <v>159</v>
      </c>
      <c r="E3773" t="s">
        <v>159</v>
      </c>
      <c r="F3773">
        <v>7898</v>
      </c>
      <c r="G3773" t="s">
        <v>2671</v>
      </c>
      <c r="H3773" t="s">
        <v>2664</v>
      </c>
      <c r="I3773">
        <v>4248</v>
      </c>
      <c r="J3773">
        <v>4304</v>
      </c>
      <c r="K3773">
        <v>4356</v>
      </c>
      <c r="L3773">
        <v>4389</v>
      </c>
      <c r="N3773" t="s">
        <v>988</v>
      </c>
    </row>
    <row r="3774" spans="1:14" hidden="1" x14ac:dyDescent="0.3">
      <c r="A3774">
        <v>2251</v>
      </c>
      <c r="B3774" t="s">
        <v>1975</v>
      </c>
      <c r="C3774" t="s">
        <v>2670</v>
      </c>
      <c r="D3774" t="s">
        <v>159</v>
      </c>
      <c r="E3774" t="s">
        <v>159</v>
      </c>
      <c r="F3774">
        <v>7898</v>
      </c>
      <c r="G3774" t="s">
        <v>2673</v>
      </c>
      <c r="H3774" t="s">
        <v>2665</v>
      </c>
      <c r="I3774">
        <v>4294</v>
      </c>
      <c r="J3774">
        <v>4346</v>
      </c>
      <c r="K3774">
        <v>4383</v>
      </c>
      <c r="L3774">
        <v>4394</v>
      </c>
      <c r="N3774" t="s">
        <v>988</v>
      </c>
    </row>
    <row r="3775" spans="1:14" hidden="1" x14ac:dyDescent="0.3">
      <c r="A3775">
        <v>2251</v>
      </c>
      <c r="B3775" t="s">
        <v>1975</v>
      </c>
      <c r="C3775" t="s">
        <v>2670</v>
      </c>
      <c r="D3775" t="s">
        <v>159</v>
      </c>
      <c r="E3775" t="s">
        <v>159</v>
      </c>
      <c r="F3775">
        <v>7898</v>
      </c>
      <c r="G3775" t="s">
        <v>2676</v>
      </c>
      <c r="H3775" t="s">
        <v>2664</v>
      </c>
      <c r="I3775">
        <v>4442</v>
      </c>
      <c r="J3775">
        <v>4497</v>
      </c>
      <c r="K3775">
        <v>4553</v>
      </c>
      <c r="L3775">
        <v>4582</v>
      </c>
      <c r="N3775" t="s">
        <v>988</v>
      </c>
    </row>
    <row r="3776" spans="1:14" hidden="1" x14ac:dyDescent="0.3">
      <c r="A3776">
        <v>2251</v>
      </c>
      <c r="B3776" t="s">
        <v>1975</v>
      </c>
      <c r="C3776" t="s">
        <v>2670</v>
      </c>
      <c r="D3776" t="s">
        <v>159</v>
      </c>
      <c r="E3776" t="s">
        <v>159</v>
      </c>
      <c r="F3776">
        <v>7898</v>
      </c>
      <c r="G3776" t="s">
        <v>2674</v>
      </c>
      <c r="H3776" t="s">
        <v>2665</v>
      </c>
      <c r="I3776">
        <v>4283</v>
      </c>
      <c r="J3776">
        <v>4335</v>
      </c>
      <c r="K3776">
        <v>4378</v>
      </c>
      <c r="L3776">
        <v>4394</v>
      </c>
      <c r="N3776" t="s">
        <v>988</v>
      </c>
    </row>
    <row r="3777" spans="1:14" hidden="1" x14ac:dyDescent="0.3">
      <c r="A3777">
        <v>2251</v>
      </c>
      <c r="B3777" t="s">
        <v>1975</v>
      </c>
      <c r="C3777" t="s">
        <v>2670</v>
      </c>
      <c r="D3777" t="s">
        <v>159</v>
      </c>
      <c r="E3777" t="s">
        <v>159</v>
      </c>
      <c r="F3777">
        <v>7898</v>
      </c>
      <c r="G3777" t="s">
        <v>2674</v>
      </c>
      <c r="H3777" t="s">
        <v>2664</v>
      </c>
      <c r="I3777">
        <v>4283</v>
      </c>
      <c r="J3777">
        <v>4335</v>
      </c>
      <c r="K3777">
        <v>4378</v>
      </c>
      <c r="L3777">
        <v>4394</v>
      </c>
      <c r="N3777" t="s">
        <v>988</v>
      </c>
    </row>
    <row r="3778" spans="1:14" hidden="1" x14ac:dyDescent="0.3">
      <c r="A3778">
        <v>2251</v>
      </c>
      <c r="B3778" t="s">
        <v>1975</v>
      </c>
      <c r="C3778" t="s">
        <v>2670</v>
      </c>
      <c r="D3778" t="s">
        <v>159</v>
      </c>
      <c r="E3778" t="s">
        <v>159</v>
      </c>
      <c r="F3778">
        <v>7898</v>
      </c>
      <c r="G3778" t="s">
        <v>2675</v>
      </c>
      <c r="H3778" t="s">
        <v>2665</v>
      </c>
      <c r="I3778">
        <v>4362</v>
      </c>
      <c r="J3778">
        <v>4415</v>
      </c>
      <c r="K3778">
        <v>4464</v>
      </c>
      <c r="L3778">
        <v>4487</v>
      </c>
      <c r="N3778" t="s">
        <v>988</v>
      </c>
    </row>
    <row r="3779" spans="1:14" hidden="1" x14ac:dyDescent="0.3">
      <c r="A3779">
        <v>2251</v>
      </c>
      <c r="B3779" t="s">
        <v>1975</v>
      </c>
      <c r="C3779" t="s">
        <v>2670</v>
      </c>
      <c r="D3779" t="s">
        <v>159</v>
      </c>
      <c r="E3779" t="s">
        <v>159</v>
      </c>
      <c r="F3779">
        <v>7898</v>
      </c>
      <c r="G3779" t="s">
        <v>2675</v>
      </c>
      <c r="H3779" t="s">
        <v>2664</v>
      </c>
      <c r="I3779">
        <v>4362</v>
      </c>
      <c r="J3779">
        <v>4415</v>
      </c>
      <c r="K3779">
        <v>4464</v>
      </c>
      <c r="L3779">
        <v>4487</v>
      </c>
      <c r="N3779" t="s">
        <v>988</v>
      </c>
    </row>
    <row r="3780" spans="1:14" hidden="1" x14ac:dyDescent="0.3">
      <c r="A3780">
        <v>2251</v>
      </c>
      <c r="B3780" t="s">
        <v>1975</v>
      </c>
      <c r="C3780" t="s">
        <v>2670</v>
      </c>
      <c r="D3780" t="s">
        <v>159</v>
      </c>
      <c r="E3780" t="s">
        <v>159</v>
      </c>
      <c r="F3780">
        <v>7898</v>
      </c>
      <c r="G3780" t="s">
        <v>2676</v>
      </c>
      <c r="H3780" t="s">
        <v>2665</v>
      </c>
      <c r="I3780">
        <v>4442</v>
      </c>
      <c r="J3780">
        <v>4497</v>
      </c>
      <c r="K3780">
        <v>4553</v>
      </c>
      <c r="L3780">
        <v>4582</v>
      </c>
      <c r="N3780" t="s">
        <v>988</v>
      </c>
    </row>
    <row r="3781" spans="1:14" hidden="1" x14ac:dyDescent="0.3">
      <c r="A3781">
        <v>2251</v>
      </c>
      <c r="B3781" t="s">
        <v>1975</v>
      </c>
      <c r="C3781" t="s">
        <v>2670</v>
      </c>
      <c r="D3781" t="s">
        <v>159</v>
      </c>
      <c r="E3781" t="s">
        <v>159</v>
      </c>
      <c r="F3781">
        <v>7898</v>
      </c>
      <c r="G3781" t="s">
        <v>2673</v>
      </c>
      <c r="H3781" t="s">
        <v>2664</v>
      </c>
      <c r="I3781">
        <v>4294</v>
      </c>
      <c r="J3781">
        <v>4346</v>
      </c>
      <c r="K3781">
        <v>4383</v>
      </c>
      <c r="L3781">
        <v>4394</v>
      </c>
      <c r="N3781" t="s">
        <v>988</v>
      </c>
    </row>
    <row r="3782" spans="1:14" hidden="1" x14ac:dyDescent="0.3">
      <c r="A3782">
        <v>2260</v>
      </c>
      <c r="B3782" t="s">
        <v>1976</v>
      </c>
      <c r="C3782" t="s">
        <v>2670</v>
      </c>
      <c r="D3782" t="s">
        <v>159</v>
      </c>
      <c r="E3782" t="s">
        <v>159</v>
      </c>
      <c r="F3782">
        <v>7916</v>
      </c>
      <c r="G3782" t="s">
        <v>2672</v>
      </c>
      <c r="H3782" t="s">
        <v>2665</v>
      </c>
      <c r="N3782" t="s">
        <v>988</v>
      </c>
    </row>
    <row r="3783" spans="1:14" hidden="1" x14ac:dyDescent="0.3">
      <c r="A3783">
        <v>2260</v>
      </c>
      <c r="B3783" t="s">
        <v>1976</v>
      </c>
      <c r="C3783" t="s">
        <v>2670</v>
      </c>
      <c r="D3783" t="s">
        <v>159</v>
      </c>
      <c r="E3783" t="s">
        <v>159</v>
      </c>
      <c r="F3783">
        <v>7916</v>
      </c>
      <c r="G3783" t="s">
        <v>2672</v>
      </c>
      <c r="H3783" t="s">
        <v>2664</v>
      </c>
      <c r="N3783" t="s">
        <v>988</v>
      </c>
    </row>
    <row r="3784" spans="1:14" hidden="1" x14ac:dyDescent="0.3">
      <c r="A3784">
        <v>2260</v>
      </c>
      <c r="B3784" t="s">
        <v>1976</v>
      </c>
      <c r="C3784" t="s">
        <v>2670</v>
      </c>
      <c r="D3784" t="s">
        <v>159</v>
      </c>
      <c r="E3784" t="s">
        <v>159</v>
      </c>
      <c r="F3784">
        <v>7916</v>
      </c>
      <c r="G3784" t="s">
        <v>2676</v>
      </c>
      <c r="H3784" t="s">
        <v>2664</v>
      </c>
      <c r="I3784">
        <v>5674.37363465</v>
      </c>
      <c r="J3784">
        <v>5744.9580551999998</v>
      </c>
      <c r="K3784">
        <v>6150.0512514000002</v>
      </c>
      <c r="L3784">
        <v>6567.4199989999997</v>
      </c>
      <c r="M3784">
        <v>7040.0287279000004</v>
      </c>
      <c r="N3784" t="s">
        <v>988</v>
      </c>
    </row>
    <row r="3785" spans="1:14" hidden="1" x14ac:dyDescent="0.3">
      <c r="A3785">
        <v>2260</v>
      </c>
      <c r="B3785" t="s">
        <v>1976</v>
      </c>
      <c r="C3785" t="s">
        <v>2670</v>
      </c>
      <c r="D3785" t="s">
        <v>159</v>
      </c>
      <c r="E3785" t="s">
        <v>159</v>
      </c>
      <c r="F3785">
        <v>7916</v>
      </c>
      <c r="G3785" t="s">
        <v>2676</v>
      </c>
      <c r="H3785" t="s">
        <v>2665</v>
      </c>
      <c r="I3785">
        <v>5622.2025412000003</v>
      </c>
      <c r="J3785">
        <v>5622.2025412000003</v>
      </c>
      <c r="K3785">
        <v>5622.2025412000003</v>
      </c>
      <c r="L3785">
        <v>5622.2025412000003</v>
      </c>
      <c r="M3785">
        <v>5622.2025412000003</v>
      </c>
      <c r="N3785" t="s">
        <v>988</v>
      </c>
    </row>
    <row r="3786" spans="1:14" hidden="1" x14ac:dyDescent="0.3">
      <c r="A3786">
        <v>2260</v>
      </c>
      <c r="B3786" t="s">
        <v>1976</v>
      </c>
      <c r="C3786" t="s">
        <v>2670</v>
      </c>
      <c r="D3786" t="s">
        <v>159</v>
      </c>
      <c r="E3786" t="s">
        <v>159</v>
      </c>
      <c r="F3786">
        <v>7916</v>
      </c>
      <c r="G3786" t="s">
        <v>2675</v>
      </c>
      <c r="H3786" t="s">
        <v>2664</v>
      </c>
      <c r="I3786">
        <v>6364.8734009</v>
      </c>
      <c r="J3786">
        <v>6371.0111766</v>
      </c>
      <c r="K3786">
        <v>6315.7711952999998</v>
      </c>
      <c r="L3786">
        <v>6659.4866345</v>
      </c>
      <c r="M3786">
        <v>7144.3709147999998</v>
      </c>
      <c r="N3786" t="s">
        <v>988</v>
      </c>
    </row>
    <row r="3787" spans="1:14" hidden="1" x14ac:dyDescent="0.3">
      <c r="A3787">
        <v>2260</v>
      </c>
      <c r="B3787" t="s">
        <v>1976</v>
      </c>
      <c r="C3787" t="s">
        <v>2670</v>
      </c>
      <c r="D3787" t="s">
        <v>159</v>
      </c>
      <c r="E3787" t="s">
        <v>159</v>
      </c>
      <c r="F3787">
        <v>7916</v>
      </c>
      <c r="G3787" t="s">
        <v>2675</v>
      </c>
      <c r="H3787" t="s">
        <v>2665</v>
      </c>
      <c r="I3787">
        <v>6266.6689896999997</v>
      </c>
      <c r="J3787">
        <v>6266.6689896999997</v>
      </c>
      <c r="K3787">
        <v>6266.6689896999997</v>
      </c>
      <c r="L3787">
        <v>6266.6689896999997</v>
      </c>
      <c r="M3787">
        <v>6266.6689896999997</v>
      </c>
      <c r="N3787" t="s">
        <v>988</v>
      </c>
    </row>
    <row r="3788" spans="1:14" hidden="1" x14ac:dyDescent="0.3">
      <c r="A3788">
        <v>2260</v>
      </c>
      <c r="B3788" t="s">
        <v>1976</v>
      </c>
      <c r="C3788" t="s">
        <v>2670</v>
      </c>
      <c r="D3788" t="s">
        <v>159</v>
      </c>
      <c r="E3788" t="s">
        <v>159</v>
      </c>
      <c r="F3788">
        <v>7916</v>
      </c>
      <c r="G3788" t="s">
        <v>2674</v>
      </c>
      <c r="H3788" t="s">
        <v>2664</v>
      </c>
      <c r="I3788">
        <v>6226.77344765</v>
      </c>
      <c r="J3788">
        <v>6217.5667841000004</v>
      </c>
      <c r="K3788">
        <v>6312.7023074500003</v>
      </c>
      <c r="L3788">
        <v>6751.5532700000003</v>
      </c>
      <c r="M3788">
        <v>7248.7131017000002</v>
      </c>
      <c r="N3788" t="s">
        <v>988</v>
      </c>
    </row>
    <row r="3789" spans="1:14" hidden="1" x14ac:dyDescent="0.3">
      <c r="A3789">
        <v>2260</v>
      </c>
      <c r="B3789" t="s">
        <v>1976</v>
      </c>
      <c r="C3789" t="s">
        <v>2670</v>
      </c>
      <c r="D3789" t="s">
        <v>159</v>
      </c>
      <c r="E3789" t="s">
        <v>159</v>
      </c>
      <c r="F3789">
        <v>7916</v>
      </c>
      <c r="G3789" t="s">
        <v>2674</v>
      </c>
      <c r="H3789" t="s">
        <v>2665</v>
      </c>
      <c r="I3789">
        <v>6137.7757000000001</v>
      </c>
      <c r="J3789">
        <v>6137.7757000000001</v>
      </c>
      <c r="K3789">
        <v>6137.7757000000001</v>
      </c>
      <c r="L3789">
        <v>6137.7757000000001</v>
      </c>
      <c r="M3789">
        <v>6137.7757000000001</v>
      </c>
      <c r="N3789" t="s">
        <v>988</v>
      </c>
    </row>
    <row r="3790" spans="1:14" hidden="1" x14ac:dyDescent="0.3">
      <c r="A3790">
        <v>2260</v>
      </c>
      <c r="B3790" t="s">
        <v>1976</v>
      </c>
      <c r="C3790" t="s">
        <v>2670</v>
      </c>
      <c r="D3790" t="s">
        <v>159</v>
      </c>
      <c r="E3790" t="s">
        <v>159</v>
      </c>
      <c r="F3790">
        <v>7916</v>
      </c>
      <c r="G3790" t="s">
        <v>2673</v>
      </c>
      <c r="H3790" t="s">
        <v>2664</v>
      </c>
      <c r="I3790">
        <v>6082.5357187</v>
      </c>
      <c r="J3790">
        <v>5987.4001953500001</v>
      </c>
      <c r="K3790">
        <v>6392.4933915499996</v>
      </c>
      <c r="L3790">
        <v>6843.6199054999997</v>
      </c>
      <c r="M3790">
        <v>7353.0552885999996</v>
      </c>
      <c r="N3790" t="s">
        <v>988</v>
      </c>
    </row>
    <row r="3791" spans="1:14" hidden="1" x14ac:dyDescent="0.3">
      <c r="A3791">
        <v>2260</v>
      </c>
      <c r="B3791" t="s">
        <v>1976</v>
      </c>
      <c r="C3791" t="s">
        <v>2670</v>
      </c>
      <c r="D3791" t="s">
        <v>159</v>
      </c>
      <c r="E3791" t="s">
        <v>159</v>
      </c>
      <c r="F3791">
        <v>7916</v>
      </c>
      <c r="G3791" t="s">
        <v>2673</v>
      </c>
      <c r="H3791" t="s">
        <v>2665</v>
      </c>
      <c r="I3791">
        <v>5938.2979897499999</v>
      </c>
      <c r="J3791">
        <v>5938.2979897499999</v>
      </c>
      <c r="K3791">
        <v>5938.2979897499999</v>
      </c>
      <c r="L3791">
        <v>5938.2979897499999</v>
      </c>
      <c r="M3791">
        <v>5938.2979897499999</v>
      </c>
      <c r="N3791" t="s">
        <v>988</v>
      </c>
    </row>
    <row r="3792" spans="1:14" hidden="1" x14ac:dyDescent="0.3">
      <c r="A3792">
        <v>2260</v>
      </c>
      <c r="B3792" t="s">
        <v>1976</v>
      </c>
      <c r="C3792" t="s">
        <v>2670</v>
      </c>
      <c r="D3792" t="s">
        <v>159</v>
      </c>
      <c r="E3792" t="s">
        <v>159</v>
      </c>
      <c r="F3792">
        <v>7916</v>
      </c>
      <c r="G3792" t="s">
        <v>2671</v>
      </c>
      <c r="H3792" t="s">
        <v>2664</v>
      </c>
      <c r="I3792">
        <v>5665.1669711000004</v>
      </c>
      <c r="J3792">
        <v>6070.2601672999999</v>
      </c>
      <c r="K3792">
        <v>6472.2844756499999</v>
      </c>
      <c r="L3792">
        <v>6935.686541</v>
      </c>
      <c r="M3792">
        <v>7457.3974754999999</v>
      </c>
      <c r="N3792" t="s">
        <v>988</v>
      </c>
    </row>
    <row r="3793" spans="1:14" hidden="1" x14ac:dyDescent="0.3">
      <c r="A3793">
        <v>2260</v>
      </c>
      <c r="B3793" t="s">
        <v>1976</v>
      </c>
      <c r="C3793" t="s">
        <v>2670</v>
      </c>
      <c r="D3793" t="s">
        <v>159</v>
      </c>
      <c r="E3793" t="s">
        <v>159</v>
      </c>
      <c r="F3793">
        <v>7916</v>
      </c>
      <c r="G3793" t="s">
        <v>2671</v>
      </c>
      <c r="H3793" t="s">
        <v>2665</v>
      </c>
      <c r="I3793">
        <v>5609.9269898000002</v>
      </c>
      <c r="J3793">
        <v>5609.9269898000002</v>
      </c>
      <c r="K3793">
        <v>5609.9269898000002</v>
      </c>
      <c r="L3793">
        <v>5609.9269898000002</v>
      </c>
      <c r="M3793">
        <v>5609.9269898000002</v>
      </c>
      <c r="N3793" t="s">
        <v>988</v>
      </c>
    </row>
    <row r="3794" spans="1:14" hidden="1" x14ac:dyDescent="0.3">
      <c r="A3794">
        <v>2273</v>
      </c>
      <c r="B3794" t="s">
        <v>889</v>
      </c>
      <c r="C3794" t="s">
        <v>2670</v>
      </c>
      <c r="D3794" t="s">
        <v>1203</v>
      </c>
      <c r="E3794" t="s">
        <v>1204</v>
      </c>
      <c r="F3794">
        <v>5534</v>
      </c>
      <c r="G3794" t="s">
        <v>2672</v>
      </c>
      <c r="H3794" t="s">
        <v>2665</v>
      </c>
      <c r="N3794" t="s">
        <v>988</v>
      </c>
    </row>
    <row r="3795" spans="1:14" hidden="1" x14ac:dyDescent="0.3">
      <c r="A3795">
        <v>2273</v>
      </c>
      <c r="B3795" t="s">
        <v>889</v>
      </c>
      <c r="C3795" t="s">
        <v>2670</v>
      </c>
      <c r="D3795" t="s">
        <v>1203</v>
      </c>
      <c r="E3795" t="s">
        <v>1204</v>
      </c>
      <c r="F3795">
        <v>5534</v>
      </c>
      <c r="G3795" t="s">
        <v>2676</v>
      </c>
      <c r="H3795" t="s">
        <v>2665</v>
      </c>
      <c r="I3795">
        <v>2785</v>
      </c>
      <c r="J3795">
        <v>2922</v>
      </c>
      <c r="K3795">
        <v>3066</v>
      </c>
      <c r="L3795">
        <v>3218</v>
      </c>
      <c r="M3795">
        <v>3377</v>
      </c>
      <c r="N3795" t="s">
        <v>988</v>
      </c>
    </row>
    <row r="3796" spans="1:14" hidden="1" x14ac:dyDescent="0.3">
      <c r="A3796">
        <v>2273</v>
      </c>
      <c r="B3796" t="s">
        <v>889</v>
      </c>
      <c r="C3796" t="s">
        <v>2670</v>
      </c>
      <c r="D3796" t="s">
        <v>1203</v>
      </c>
      <c r="E3796" t="s">
        <v>1204</v>
      </c>
      <c r="F3796">
        <v>5534</v>
      </c>
      <c r="G3796" t="s">
        <v>2675</v>
      </c>
      <c r="H3796" t="s">
        <v>2664</v>
      </c>
      <c r="I3796">
        <v>4633</v>
      </c>
      <c r="J3796">
        <v>4633</v>
      </c>
      <c r="K3796">
        <v>4633</v>
      </c>
      <c r="L3796">
        <v>4633</v>
      </c>
      <c r="M3796">
        <v>4633</v>
      </c>
      <c r="N3796" t="s">
        <v>988</v>
      </c>
    </row>
    <row r="3797" spans="1:14" hidden="1" x14ac:dyDescent="0.3">
      <c r="A3797">
        <v>2273</v>
      </c>
      <c r="B3797" t="s">
        <v>889</v>
      </c>
      <c r="C3797" t="s">
        <v>2670</v>
      </c>
      <c r="D3797" t="s">
        <v>1203</v>
      </c>
      <c r="E3797" t="s">
        <v>1204</v>
      </c>
      <c r="F3797">
        <v>5534</v>
      </c>
      <c r="G3797" t="s">
        <v>2675</v>
      </c>
      <c r="H3797" t="s">
        <v>2665</v>
      </c>
      <c r="I3797">
        <v>2785</v>
      </c>
      <c r="J3797">
        <v>2922</v>
      </c>
      <c r="K3797">
        <v>3066</v>
      </c>
      <c r="L3797">
        <v>3218</v>
      </c>
      <c r="M3797">
        <v>3377</v>
      </c>
      <c r="N3797" t="s">
        <v>988</v>
      </c>
    </row>
    <row r="3798" spans="1:14" hidden="1" x14ac:dyDescent="0.3">
      <c r="A3798">
        <v>2273</v>
      </c>
      <c r="B3798" t="s">
        <v>889</v>
      </c>
      <c r="C3798" t="s">
        <v>2670</v>
      </c>
      <c r="D3798" t="s">
        <v>1203</v>
      </c>
      <c r="E3798" t="s">
        <v>1204</v>
      </c>
      <c r="F3798">
        <v>5534</v>
      </c>
      <c r="G3798" t="s">
        <v>2674</v>
      </c>
      <c r="H3798" t="s">
        <v>2664</v>
      </c>
      <c r="I3798">
        <v>3539</v>
      </c>
      <c r="J3798">
        <v>3539</v>
      </c>
      <c r="K3798">
        <v>3539</v>
      </c>
      <c r="L3798">
        <v>3539</v>
      </c>
      <c r="M3798">
        <v>3539</v>
      </c>
      <c r="N3798" t="s">
        <v>988</v>
      </c>
    </row>
    <row r="3799" spans="1:14" hidden="1" x14ac:dyDescent="0.3">
      <c r="A3799">
        <v>2273</v>
      </c>
      <c r="B3799" t="s">
        <v>889</v>
      </c>
      <c r="C3799" t="s">
        <v>2670</v>
      </c>
      <c r="D3799" t="s">
        <v>1203</v>
      </c>
      <c r="E3799" t="s">
        <v>1204</v>
      </c>
      <c r="F3799">
        <v>5534</v>
      </c>
      <c r="G3799" t="s">
        <v>2676</v>
      </c>
      <c r="H3799" t="s">
        <v>2664</v>
      </c>
      <c r="I3799">
        <v>5090</v>
      </c>
      <c r="J3799">
        <v>5090</v>
      </c>
      <c r="K3799">
        <v>5090</v>
      </c>
      <c r="L3799">
        <v>5090</v>
      </c>
      <c r="M3799">
        <v>5090</v>
      </c>
      <c r="N3799" t="s">
        <v>988</v>
      </c>
    </row>
    <row r="3800" spans="1:14" hidden="1" x14ac:dyDescent="0.3">
      <c r="A3800">
        <v>2273</v>
      </c>
      <c r="B3800" t="s">
        <v>889</v>
      </c>
      <c r="C3800" t="s">
        <v>2670</v>
      </c>
      <c r="D3800" t="s">
        <v>1203</v>
      </c>
      <c r="E3800" t="s">
        <v>1204</v>
      </c>
      <c r="F3800">
        <v>5534</v>
      </c>
      <c r="G3800" t="s">
        <v>2673</v>
      </c>
      <c r="H3800" t="s">
        <v>2664</v>
      </c>
      <c r="I3800">
        <v>2980</v>
      </c>
      <c r="J3800">
        <v>2980</v>
      </c>
      <c r="K3800">
        <v>2980</v>
      </c>
      <c r="L3800">
        <v>2980</v>
      </c>
      <c r="M3800">
        <v>2980</v>
      </c>
      <c r="N3800" t="s">
        <v>988</v>
      </c>
    </row>
    <row r="3801" spans="1:14" hidden="1" x14ac:dyDescent="0.3">
      <c r="A3801">
        <v>2273</v>
      </c>
      <c r="B3801" t="s">
        <v>889</v>
      </c>
      <c r="C3801" t="s">
        <v>2670</v>
      </c>
      <c r="D3801" t="s">
        <v>1203</v>
      </c>
      <c r="E3801" t="s">
        <v>1204</v>
      </c>
      <c r="F3801">
        <v>5534</v>
      </c>
      <c r="G3801" t="s">
        <v>2673</v>
      </c>
      <c r="H3801" t="s">
        <v>2665</v>
      </c>
      <c r="I3801">
        <v>2785</v>
      </c>
      <c r="J3801">
        <v>2922</v>
      </c>
      <c r="K3801">
        <v>3066</v>
      </c>
      <c r="L3801">
        <v>3218</v>
      </c>
      <c r="M3801">
        <v>3377</v>
      </c>
      <c r="N3801" t="s">
        <v>988</v>
      </c>
    </row>
    <row r="3802" spans="1:14" hidden="1" x14ac:dyDescent="0.3">
      <c r="A3802">
        <v>2273</v>
      </c>
      <c r="B3802" t="s">
        <v>889</v>
      </c>
      <c r="C3802" t="s">
        <v>2670</v>
      </c>
      <c r="D3802" t="s">
        <v>1203</v>
      </c>
      <c r="E3802" t="s">
        <v>1204</v>
      </c>
      <c r="F3802">
        <v>5534</v>
      </c>
      <c r="G3802" t="s">
        <v>2671</v>
      </c>
      <c r="H3802" t="s">
        <v>2664</v>
      </c>
      <c r="I3802">
        <v>3243</v>
      </c>
      <c r="J3802">
        <v>3243</v>
      </c>
      <c r="K3802">
        <v>3243</v>
      </c>
      <c r="L3802">
        <v>3243</v>
      </c>
      <c r="M3802">
        <v>3243</v>
      </c>
      <c r="N3802" t="s">
        <v>988</v>
      </c>
    </row>
    <row r="3803" spans="1:14" hidden="1" x14ac:dyDescent="0.3">
      <c r="A3803">
        <v>2273</v>
      </c>
      <c r="B3803" t="s">
        <v>889</v>
      </c>
      <c r="C3803" t="s">
        <v>2670</v>
      </c>
      <c r="D3803" t="s">
        <v>1203</v>
      </c>
      <c r="E3803" t="s">
        <v>1204</v>
      </c>
      <c r="F3803">
        <v>5534</v>
      </c>
      <c r="G3803" t="s">
        <v>2671</v>
      </c>
      <c r="H3803" t="s">
        <v>2665</v>
      </c>
      <c r="I3803">
        <v>2785</v>
      </c>
      <c r="J3803">
        <v>2922</v>
      </c>
      <c r="K3803">
        <v>3066</v>
      </c>
      <c r="L3803">
        <v>3218</v>
      </c>
      <c r="M3803">
        <v>3377</v>
      </c>
      <c r="N3803" t="s">
        <v>988</v>
      </c>
    </row>
    <row r="3804" spans="1:14" hidden="1" x14ac:dyDescent="0.3">
      <c r="A3804">
        <v>2273</v>
      </c>
      <c r="B3804" t="s">
        <v>889</v>
      </c>
      <c r="C3804" t="s">
        <v>2670</v>
      </c>
      <c r="D3804" t="s">
        <v>1203</v>
      </c>
      <c r="E3804" t="s">
        <v>1204</v>
      </c>
      <c r="F3804">
        <v>5534</v>
      </c>
      <c r="G3804" t="s">
        <v>2672</v>
      </c>
      <c r="H3804" t="s">
        <v>2664</v>
      </c>
      <c r="N3804" t="s">
        <v>988</v>
      </c>
    </row>
    <row r="3805" spans="1:14" hidden="1" x14ac:dyDescent="0.3">
      <c r="A3805">
        <v>2273</v>
      </c>
      <c r="B3805" t="s">
        <v>889</v>
      </c>
      <c r="C3805" t="s">
        <v>2670</v>
      </c>
      <c r="D3805" t="s">
        <v>1203</v>
      </c>
      <c r="E3805" t="s">
        <v>1204</v>
      </c>
      <c r="F3805">
        <v>5534</v>
      </c>
      <c r="G3805" t="s">
        <v>2674</v>
      </c>
      <c r="H3805" t="s">
        <v>2665</v>
      </c>
      <c r="I3805">
        <v>2785</v>
      </c>
      <c r="J3805">
        <v>2922</v>
      </c>
      <c r="K3805">
        <v>3066</v>
      </c>
      <c r="L3805">
        <v>3218</v>
      </c>
      <c r="M3805">
        <v>3377</v>
      </c>
      <c r="N3805" t="s">
        <v>988</v>
      </c>
    </row>
    <row r="3806" spans="1:14" hidden="1" x14ac:dyDescent="0.3">
      <c r="A3806">
        <v>2290</v>
      </c>
      <c r="B3806" t="s">
        <v>1979</v>
      </c>
      <c r="C3806" t="s">
        <v>2670</v>
      </c>
      <c r="D3806" t="s">
        <v>1203</v>
      </c>
      <c r="E3806" t="s">
        <v>1204</v>
      </c>
      <c r="F3806">
        <v>5817</v>
      </c>
      <c r="G3806" t="s">
        <v>2676</v>
      </c>
      <c r="H3806" t="s">
        <v>2664</v>
      </c>
      <c r="I3806">
        <v>2793</v>
      </c>
      <c r="J3806">
        <v>2806</v>
      </c>
      <c r="K3806">
        <v>2819</v>
      </c>
      <c r="L3806">
        <v>2833</v>
      </c>
      <c r="M3806">
        <v>2846</v>
      </c>
      <c r="N3806" t="s">
        <v>988</v>
      </c>
    </row>
    <row r="3807" spans="1:14" hidden="1" x14ac:dyDescent="0.3">
      <c r="A3807">
        <v>2290</v>
      </c>
      <c r="B3807" t="s">
        <v>1979</v>
      </c>
      <c r="C3807" t="s">
        <v>2670</v>
      </c>
      <c r="D3807" t="s">
        <v>1203</v>
      </c>
      <c r="E3807" t="s">
        <v>1204</v>
      </c>
      <c r="F3807">
        <v>5817</v>
      </c>
      <c r="G3807" t="s">
        <v>2672</v>
      </c>
      <c r="H3807" t="s">
        <v>2665</v>
      </c>
      <c r="N3807" t="s">
        <v>988</v>
      </c>
    </row>
    <row r="3808" spans="1:14" hidden="1" x14ac:dyDescent="0.3">
      <c r="A3808">
        <v>2290</v>
      </c>
      <c r="B3808" t="s">
        <v>1979</v>
      </c>
      <c r="C3808" t="s">
        <v>2670</v>
      </c>
      <c r="D3808" t="s">
        <v>1203</v>
      </c>
      <c r="E3808" t="s">
        <v>1204</v>
      </c>
      <c r="F3808">
        <v>5817</v>
      </c>
      <c r="G3808" t="s">
        <v>2676</v>
      </c>
      <c r="H3808" t="s">
        <v>2665</v>
      </c>
      <c r="I3808">
        <v>2793</v>
      </c>
      <c r="J3808">
        <v>2806</v>
      </c>
      <c r="K3808">
        <v>2819</v>
      </c>
      <c r="L3808">
        <v>2833</v>
      </c>
      <c r="M3808">
        <v>2846</v>
      </c>
      <c r="N3808" t="s">
        <v>988</v>
      </c>
    </row>
    <row r="3809" spans="1:14" hidden="1" x14ac:dyDescent="0.3">
      <c r="A3809">
        <v>2290</v>
      </c>
      <c r="B3809" t="s">
        <v>1979</v>
      </c>
      <c r="C3809" t="s">
        <v>2670</v>
      </c>
      <c r="D3809" t="s">
        <v>1203</v>
      </c>
      <c r="E3809" t="s">
        <v>1204</v>
      </c>
      <c r="F3809">
        <v>5817</v>
      </c>
      <c r="G3809" t="s">
        <v>2675</v>
      </c>
      <c r="H3809" t="s">
        <v>2664</v>
      </c>
      <c r="I3809">
        <v>2954</v>
      </c>
      <c r="J3809">
        <v>2968</v>
      </c>
      <c r="K3809">
        <v>2982</v>
      </c>
      <c r="L3809">
        <v>2996</v>
      </c>
      <c r="M3809">
        <v>3010</v>
      </c>
      <c r="N3809" t="s">
        <v>988</v>
      </c>
    </row>
    <row r="3810" spans="1:14" hidden="1" x14ac:dyDescent="0.3">
      <c r="A3810">
        <v>2290</v>
      </c>
      <c r="B3810" t="s">
        <v>1979</v>
      </c>
      <c r="C3810" t="s">
        <v>2670</v>
      </c>
      <c r="D3810" t="s">
        <v>1203</v>
      </c>
      <c r="E3810" t="s">
        <v>1204</v>
      </c>
      <c r="F3810">
        <v>5817</v>
      </c>
      <c r="G3810" t="s">
        <v>2675</v>
      </c>
      <c r="H3810" t="s">
        <v>2665</v>
      </c>
      <c r="I3810">
        <v>2954</v>
      </c>
      <c r="J3810">
        <v>2968</v>
      </c>
      <c r="K3810">
        <v>2982</v>
      </c>
      <c r="L3810">
        <v>2996</v>
      </c>
      <c r="M3810">
        <v>3010</v>
      </c>
      <c r="N3810" t="s">
        <v>988</v>
      </c>
    </row>
    <row r="3811" spans="1:14" hidden="1" x14ac:dyDescent="0.3">
      <c r="A3811">
        <v>2290</v>
      </c>
      <c r="B3811" t="s">
        <v>1979</v>
      </c>
      <c r="C3811" t="s">
        <v>2670</v>
      </c>
      <c r="D3811" t="s">
        <v>1203</v>
      </c>
      <c r="E3811" t="s">
        <v>1204</v>
      </c>
      <c r="F3811">
        <v>5817</v>
      </c>
      <c r="G3811" t="s">
        <v>2674</v>
      </c>
      <c r="H3811" t="s">
        <v>2664</v>
      </c>
      <c r="I3811">
        <v>2599</v>
      </c>
      <c r="J3811">
        <v>2611</v>
      </c>
      <c r="K3811">
        <v>2623</v>
      </c>
      <c r="L3811">
        <v>2635</v>
      </c>
      <c r="M3811">
        <v>2647</v>
      </c>
      <c r="N3811" t="s">
        <v>988</v>
      </c>
    </row>
    <row r="3812" spans="1:14" hidden="1" x14ac:dyDescent="0.3">
      <c r="A3812">
        <v>2290</v>
      </c>
      <c r="B3812" t="s">
        <v>1979</v>
      </c>
      <c r="C3812" t="s">
        <v>2670</v>
      </c>
      <c r="D3812" t="s">
        <v>1203</v>
      </c>
      <c r="E3812" t="s">
        <v>1204</v>
      </c>
      <c r="F3812">
        <v>5817</v>
      </c>
      <c r="G3812" t="s">
        <v>2674</v>
      </c>
      <c r="H3812" t="s">
        <v>2665</v>
      </c>
      <c r="I3812">
        <v>2599</v>
      </c>
      <c r="J3812">
        <v>2611</v>
      </c>
      <c r="K3812">
        <v>2623</v>
      </c>
      <c r="L3812">
        <v>2635</v>
      </c>
      <c r="M3812">
        <v>2647</v>
      </c>
      <c r="N3812" t="s">
        <v>988</v>
      </c>
    </row>
    <row r="3813" spans="1:14" hidden="1" x14ac:dyDescent="0.3">
      <c r="A3813">
        <v>2290</v>
      </c>
      <c r="B3813" t="s">
        <v>1979</v>
      </c>
      <c r="C3813" t="s">
        <v>2670</v>
      </c>
      <c r="D3813" t="s">
        <v>1203</v>
      </c>
      <c r="E3813" t="s">
        <v>1204</v>
      </c>
      <c r="F3813">
        <v>5817</v>
      </c>
      <c r="G3813" t="s">
        <v>2673</v>
      </c>
      <c r="H3813" t="s">
        <v>2664</v>
      </c>
      <c r="I3813">
        <v>2210</v>
      </c>
      <c r="J3813">
        <v>2220</v>
      </c>
      <c r="K3813">
        <v>2230</v>
      </c>
      <c r="L3813">
        <v>2241</v>
      </c>
      <c r="M3813">
        <v>2251</v>
      </c>
      <c r="N3813" t="s">
        <v>988</v>
      </c>
    </row>
    <row r="3814" spans="1:14" hidden="1" x14ac:dyDescent="0.3">
      <c r="A3814">
        <v>2290</v>
      </c>
      <c r="B3814" t="s">
        <v>1979</v>
      </c>
      <c r="C3814" t="s">
        <v>2670</v>
      </c>
      <c r="D3814" t="s">
        <v>1203</v>
      </c>
      <c r="E3814" t="s">
        <v>1204</v>
      </c>
      <c r="F3814">
        <v>5817</v>
      </c>
      <c r="G3814" t="s">
        <v>2673</v>
      </c>
      <c r="H3814" t="s">
        <v>2665</v>
      </c>
      <c r="I3814">
        <v>2210</v>
      </c>
      <c r="J3814">
        <v>2220</v>
      </c>
      <c r="K3814">
        <v>2230</v>
      </c>
      <c r="L3814">
        <v>2241</v>
      </c>
      <c r="M3814">
        <v>2251</v>
      </c>
      <c r="N3814" t="s">
        <v>988</v>
      </c>
    </row>
    <row r="3815" spans="1:14" hidden="1" x14ac:dyDescent="0.3">
      <c r="A3815">
        <v>2290</v>
      </c>
      <c r="B3815" t="s">
        <v>1979</v>
      </c>
      <c r="C3815" t="s">
        <v>2670</v>
      </c>
      <c r="D3815" t="s">
        <v>1203</v>
      </c>
      <c r="E3815" t="s">
        <v>1204</v>
      </c>
      <c r="F3815">
        <v>5817</v>
      </c>
      <c r="G3815" t="s">
        <v>2671</v>
      </c>
      <c r="H3815" t="s">
        <v>2664</v>
      </c>
      <c r="I3815">
        <v>2299</v>
      </c>
      <c r="J3815">
        <v>2310</v>
      </c>
      <c r="K3815">
        <v>2320</v>
      </c>
      <c r="L3815">
        <v>2331</v>
      </c>
      <c r="M3815">
        <v>2342</v>
      </c>
      <c r="N3815" t="s">
        <v>988</v>
      </c>
    </row>
    <row r="3816" spans="1:14" hidden="1" x14ac:dyDescent="0.3">
      <c r="A3816">
        <v>2290</v>
      </c>
      <c r="B3816" t="s">
        <v>1979</v>
      </c>
      <c r="C3816" t="s">
        <v>2670</v>
      </c>
      <c r="D3816" t="s">
        <v>1203</v>
      </c>
      <c r="E3816" t="s">
        <v>1204</v>
      </c>
      <c r="F3816">
        <v>5817</v>
      </c>
      <c r="G3816" t="s">
        <v>2671</v>
      </c>
      <c r="H3816" t="s">
        <v>2665</v>
      </c>
      <c r="I3816">
        <v>2299</v>
      </c>
      <c r="J3816">
        <v>2310</v>
      </c>
      <c r="K3816">
        <v>2320</v>
      </c>
      <c r="L3816">
        <v>2331</v>
      </c>
      <c r="M3816">
        <v>2342</v>
      </c>
      <c r="N3816" t="s">
        <v>988</v>
      </c>
    </row>
    <row r="3817" spans="1:14" hidden="1" x14ac:dyDescent="0.3">
      <c r="A3817">
        <v>2290</v>
      </c>
      <c r="B3817" t="s">
        <v>1979</v>
      </c>
      <c r="C3817" t="s">
        <v>2670</v>
      </c>
      <c r="D3817" t="s">
        <v>1203</v>
      </c>
      <c r="E3817" t="s">
        <v>1204</v>
      </c>
      <c r="F3817">
        <v>5817</v>
      </c>
      <c r="G3817" t="s">
        <v>2672</v>
      </c>
      <c r="H3817" t="s">
        <v>2664</v>
      </c>
      <c r="N3817" t="s">
        <v>988</v>
      </c>
    </row>
    <row r="3818" spans="1:14" hidden="1" x14ac:dyDescent="0.3">
      <c r="A3818">
        <v>2298</v>
      </c>
      <c r="B3818" t="s">
        <v>1981</v>
      </c>
      <c r="C3818" t="s">
        <v>2670</v>
      </c>
      <c r="D3818" t="s">
        <v>1203</v>
      </c>
      <c r="E3818" t="s">
        <v>1204</v>
      </c>
      <c r="F3818">
        <v>6753</v>
      </c>
      <c r="G3818" t="s">
        <v>2675</v>
      </c>
      <c r="H3818" t="s">
        <v>2665</v>
      </c>
      <c r="I3818">
        <v>2257</v>
      </c>
      <c r="J3818">
        <v>2284</v>
      </c>
      <c r="K3818">
        <v>2311</v>
      </c>
      <c r="L3818">
        <v>2344</v>
      </c>
      <c r="N3818" t="s">
        <v>988</v>
      </c>
    </row>
    <row r="3819" spans="1:14" hidden="1" x14ac:dyDescent="0.3">
      <c r="A3819">
        <v>2298</v>
      </c>
      <c r="B3819" t="s">
        <v>1981</v>
      </c>
      <c r="C3819" t="s">
        <v>2670</v>
      </c>
      <c r="D3819" t="s">
        <v>1203</v>
      </c>
      <c r="E3819" t="s">
        <v>1204</v>
      </c>
      <c r="F3819">
        <v>6753</v>
      </c>
      <c r="G3819" t="s">
        <v>2674</v>
      </c>
      <c r="H3819" t="s">
        <v>2665</v>
      </c>
      <c r="I3819">
        <v>2139</v>
      </c>
      <c r="J3819">
        <v>2166</v>
      </c>
      <c r="K3819">
        <v>2193</v>
      </c>
      <c r="L3819">
        <v>2226</v>
      </c>
      <c r="N3819" t="s">
        <v>988</v>
      </c>
    </row>
    <row r="3820" spans="1:14" hidden="1" x14ac:dyDescent="0.3">
      <c r="A3820">
        <v>2298</v>
      </c>
      <c r="B3820" t="s">
        <v>1981</v>
      </c>
      <c r="C3820" t="s">
        <v>2670</v>
      </c>
      <c r="D3820" t="s">
        <v>1203</v>
      </c>
      <c r="E3820" t="s">
        <v>1204</v>
      </c>
      <c r="F3820">
        <v>6753</v>
      </c>
      <c r="G3820" t="s">
        <v>2673</v>
      </c>
      <c r="H3820" t="s">
        <v>2664</v>
      </c>
      <c r="I3820">
        <v>4322</v>
      </c>
      <c r="J3820">
        <v>4322</v>
      </c>
      <c r="K3820">
        <v>4322</v>
      </c>
      <c r="L3820">
        <v>4322</v>
      </c>
      <c r="N3820" t="s">
        <v>988</v>
      </c>
    </row>
    <row r="3821" spans="1:14" hidden="1" x14ac:dyDescent="0.3">
      <c r="A3821">
        <v>2298</v>
      </c>
      <c r="B3821" t="s">
        <v>1981</v>
      </c>
      <c r="C3821" t="s">
        <v>2670</v>
      </c>
      <c r="D3821" t="s">
        <v>1203</v>
      </c>
      <c r="E3821" t="s">
        <v>1204</v>
      </c>
      <c r="F3821">
        <v>6753</v>
      </c>
      <c r="G3821" t="s">
        <v>2673</v>
      </c>
      <c r="H3821" t="s">
        <v>2665</v>
      </c>
      <c r="I3821">
        <v>2034</v>
      </c>
      <c r="J3821">
        <v>2061</v>
      </c>
      <c r="K3821">
        <v>2088</v>
      </c>
      <c r="L3821">
        <v>2121</v>
      </c>
      <c r="N3821" t="s">
        <v>988</v>
      </c>
    </row>
    <row r="3822" spans="1:14" hidden="1" x14ac:dyDescent="0.3">
      <c r="A3822">
        <v>2298</v>
      </c>
      <c r="B3822" t="s">
        <v>1981</v>
      </c>
      <c r="C3822" t="s">
        <v>2670</v>
      </c>
      <c r="D3822" t="s">
        <v>1203</v>
      </c>
      <c r="E3822" t="s">
        <v>1204</v>
      </c>
      <c r="F3822">
        <v>6753</v>
      </c>
      <c r="G3822" t="s">
        <v>2671</v>
      </c>
      <c r="H3822" t="s">
        <v>2664</v>
      </c>
      <c r="I3822">
        <v>4322</v>
      </c>
      <c r="J3822">
        <v>4322</v>
      </c>
      <c r="K3822">
        <v>4322</v>
      </c>
      <c r="L3822">
        <v>4322</v>
      </c>
      <c r="N3822" t="s">
        <v>988</v>
      </c>
    </row>
    <row r="3823" spans="1:14" hidden="1" x14ac:dyDescent="0.3">
      <c r="A3823">
        <v>2298</v>
      </c>
      <c r="B3823" t="s">
        <v>1981</v>
      </c>
      <c r="C3823" t="s">
        <v>2670</v>
      </c>
      <c r="D3823" t="s">
        <v>1203</v>
      </c>
      <c r="E3823" t="s">
        <v>1204</v>
      </c>
      <c r="F3823">
        <v>6753</v>
      </c>
      <c r="G3823" t="s">
        <v>2674</v>
      </c>
      <c r="H3823" t="s">
        <v>2664</v>
      </c>
      <c r="I3823">
        <v>4322</v>
      </c>
      <c r="J3823">
        <v>4322</v>
      </c>
      <c r="K3823">
        <v>4322</v>
      </c>
      <c r="L3823">
        <v>4322</v>
      </c>
      <c r="N3823" t="s">
        <v>988</v>
      </c>
    </row>
    <row r="3824" spans="1:14" hidden="1" x14ac:dyDescent="0.3">
      <c r="A3824">
        <v>2298</v>
      </c>
      <c r="B3824" t="s">
        <v>1981</v>
      </c>
      <c r="C3824" t="s">
        <v>2670</v>
      </c>
      <c r="D3824" t="s">
        <v>1203</v>
      </c>
      <c r="E3824" t="s">
        <v>1204</v>
      </c>
      <c r="F3824">
        <v>6753</v>
      </c>
      <c r="G3824" t="s">
        <v>2672</v>
      </c>
      <c r="H3824" t="s">
        <v>2664</v>
      </c>
      <c r="N3824" t="s">
        <v>988</v>
      </c>
    </row>
    <row r="3825" spans="1:14" hidden="1" x14ac:dyDescent="0.3">
      <c r="A3825">
        <v>2298</v>
      </c>
      <c r="B3825" t="s">
        <v>1981</v>
      </c>
      <c r="C3825" t="s">
        <v>2670</v>
      </c>
      <c r="D3825" t="s">
        <v>1203</v>
      </c>
      <c r="E3825" t="s">
        <v>1204</v>
      </c>
      <c r="F3825">
        <v>6753</v>
      </c>
      <c r="G3825" t="s">
        <v>2672</v>
      </c>
      <c r="H3825" t="s">
        <v>2665</v>
      </c>
      <c r="N3825" t="s">
        <v>988</v>
      </c>
    </row>
    <row r="3826" spans="1:14" hidden="1" x14ac:dyDescent="0.3">
      <c r="A3826">
        <v>2298</v>
      </c>
      <c r="B3826" t="s">
        <v>1981</v>
      </c>
      <c r="C3826" t="s">
        <v>2670</v>
      </c>
      <c r="D3826" t="s">
        <v>1203</v>
      </c>
      <c r="E3826" t="s">
        <v>1204</v>
      </c>
      <c r="F3826">
        <v>6753</v>
      </c>
      <c r="G3826" t="s">
        <v>2676</v>
      </c>
      <c r="H3826" t="s">
        <v>2664</v>
      </c>
      <c r="I3826">
        <v>4322</v>
      </c>
      <c r="J3826">
        <v>4322</v>
      </c>
      <c r="K3826">
        <v>4322</v>
      </c>
      <c r="L3826">
        <v>4322</v>
      </c>
      <c r="N3826" t="s">
        <v>988</v>
      </c>
    </row>
    <row r="3827" spans="1:14" hidden="1" x14ac:dyDescent="0.3">
      <c r="A3827">
        <v>2298</v>
      </c>
      <c r="B3827" t="s">
        <v>1981</v>
      </c>
      <c r="C3827" t="s">
        <v>2670</v>
      </c>
      <c r="D3827" t="s">
        <v>1203</v>
      </c>
      <c r="E3827" t="s">
        <v>1204</v>
      </c>
      <c r="F3827">
        <v>6753</v>
      </c>
      <c r="G3827" t="s">
        <v>2676</v>
      </c>
      <c r="H3827" t="s">
        <v>2665</v>
      </c>
      <c r="I3827">
        <v>2207</v>
      </c>
      <c r="J3827">
        <v>2234</v>
      </c>
      <c r="K3827">
        <v>2261</v>
      </c>
      <c r="L3827">
        <v>2294</v>
      </c>
      <c r="N3827" t="s">
        <v>988</v>
      </c>
    </row>
    <row r="3828" spans="1:14" hidden="1" x14ac:dyDescent="0.3">
      <c r="A3828">
        <v>2298</v>
      </c>
      <c r="B3828" t="s">
        <v>1981</v>
      </c>
      <c r="C3828" t="s">
        <v>2670</v>
      </c>
      <c r="D3828" t="s">
        <v>1203</v>
      </c>
      <c r="E3828" t="s">
        <v>1204</v>
      </c>
      <c r="F3828">
        <v>6753</v>
      </c>
      <c r="G3828" t="s">
        <v>2675</v>
      </c>
      <c r="H3828" t="s">
        <v>2664</v>
      </c>
      <c r="I3828">
        <v>4322</v>
      </c>
      <c r="J3828">
        <v>4322</v>
      </c>
      <c r="K3828">
        <v>4322</v>
      </c>
      <c r="L3828">
        <v>4322</v>
      </c>
      <c r="N3828" t="s">
        <v>988</v>
      </c>
    </row>
    <row r="3829" spans="1:14" hidden="1" x14ac:dyDescent="0.3">
      <c r="A3829">
        <v>2298</v>
      </c>
      <c r="B3829" t="s">
        <v>1981</v>
      </c>
      <c r="C3829" t="s">
        <v>2670</v>
      </c>
      <c r="D3829" t="s">
        <v>1203</v>
      </c>
      <c r="E3829" t="s">
        <v>1204</v>
      </c>
      <c r="F3829">
        <v>6753</v>
      </c>
      <c r="G3829" t="s">
        <v>2671</v>
      </c>
      <c r="H3829" t="s">
        <v>2665</v>
      </c>
      <c r="I3829">
        <v>1934</v>
      </c>
      <c r="J3829">
        <v>1961</v>
      </c>
      <c r="K3829">
        <v>1988</v>
      </c>
      <c r="L3829">
        <v>2021</v>
      </c>
      <c r="N3829" t="s">
        <v>988</v>
      </c>
    </row>
    <row r="3830" spans="1:14" hidden="1" x14ac:dyDescent="0.3">
      <c r="A3830">
        <v>2323</v>
      </c>
      <c r="B3830" t="s">
        <v>1983</v>
      </c>
      <c r="C3830" t="s">
        <v>2670</v>
      </c>
      <c r="D3830" t="s">
        <v>1203</v>
      </c>
      <c r="E3830" t="s">
        <v>1204</v>
      </c>
      <c r="F3830">
        <v>5912</v>
      </c>
      <c r="G3830" t="s">
        <v>2673</v>
      </c>
      <c r="H3830" t="s">
        <v>2665</v>
      </c>
      <c r="I3830">
        <v>2162</v>
      </c>
      <c r="J3830">
        <v>2210</v>
      </c>
      <c r="K3830">
        <v>2492</v>
      </c>
      <c r="L3830">
        <v>2769</v>
      </c>
      <c r="M3830">
        <v>3327</v>
      </c>
      <c r="N3830" t="s">
        <v>988</v>
      </c>
    </row>
    <row r="3831" spans="1:14" hidden="1" x14ac:dyDescent="0.3">
      <c r="A3831">
        <v>2323</v>
      </c>
      <c r="B3831" t="s">
        <v>1983</v>
      </c>
      <c r="C3831" t="s">
        <v>2670</v>
      </c>
      <c r="D3831" t="s">
        <v>1203</v>
      </c>
      <c r="E3831" t="s">
        <v>1204</v>
      </c>
      <c r="F3831">
        <v>5912</v>
      </c>
      <c r="G3831" t="s">
        <v>2673</v>
      </c>
      <c r="H3831" t="s">
        <v>2664</v>
      </c>
      <c r="I3831">
        <v>148049</v>
      </c>
      <c r="J3831">
        <v>148055</v>
      </c>
      <c r="K3831">
        <v>148065</v>
      </c>
      <c r="L3831">
        <v>148070</v>
      </c>
      <c r="M3831">
        <v>148080</v>
      </c>
      <c r="N3831" t="s">
        <v>988</v>
      </c>
    </row>
    <row r="3832" spans="1:14" hidden="1" x14ac:dyDescent="0.3">
      <c r="A3832">
        <v>2323</v>
      </c>
      <c r="B3832" t="s">
        <v>1983</v>
      </c>
      <c r="C3832" t="s">
        <v>2670</v>
      </c>
      <c r="D3832" t="s">
        <v>1203</v>
      </c>
      <c r="E3832" t="s">
        <v>1204</v>
      </c>
      <c r="F3832">
        <v>5912</v>
      </c>
      <c r="G3832" t="s">
        <v>2671</v>
      </c>
      <c r="H3832" t="s">
        <v>2664</v>
      </c>
      <c r="I3832">
        <v>148049</v>
      </c>
      <c r="J3832">
        <v>148055</v>
      </c>
      <c r="K3832">
        <v>148065</v>
      </c>
      <c r="L3832">
        <v>148070</v>
      </c>
      <c r="M3832">
        <v>148080</v>
      </c>
      <c r="N3832" t="s">
        <v>988</v>
      </c>
    </row>
    <row r="3833" spans="1:14" hidden="1" x14ac:dyDescent="0.3">
      <c r="A3833">
        <v>2323</v>
      </c>
      <c r="B3833" t="s">
        <v>1983</v>
      </c>
      <c r="C3833" t="s">
        <v>2670</v>
      </c>
      <c r="D3833" t="s">
        <v>1203</v>
      </c>
      <c r="E3833" t="s">
        <v>1204</v>
      </c>
      <c r="F3833">
        <v>5912</v>
      </c>
      <c r="G3833" t="s">
        <v>2671</v>
      </c>
      <c r="H3833" t="s">
        <v>2665</v>
      </c>
      <c r="I3833">
        <v>2059</v>
      </c>
      <c r="J3833">
        <v>2104</v>
      </c>
      <c r="K3833">
        <v>2373</v>
      </c>
      <c r="L3833">
        <v>2638</v>
      </c>
      <c r="M3833">
        <v>3168</v>
      </c>
      <c r="N3833" t="s">
        <v>988</v>
      </c>
    </row>
    <row r="3834" spans="1:14" hidden="1" x14ac:dyDescent="0.3">
      <c r="A3834">
        <v>2323</v>
      </c>
      <c r="B3834" t="s">
        <v>1983</v>
      </c>
      <c r="C3834" t="s">
        <v>2670</v>
      </c>
      <c r="D3834" t="s">
        <v>1203</v>
      </c>
      <c r="E3834" t="s">
        <v>1204</v>
      </c>
      <c r="F3834">
        <v>5912</v>
      </c>
      <c r="G3834" t="s">
        <v>2672</v>
      </c>
      <c r="H3834" t="s">
        <v>2664</v>
      </c>
      <c r="N3834" t="s">
        <v>988</v>
      </c>
    </row>
    <row r="3835" spans="1:14" hidden="1" x14ac:dyDescent="0.3">
      <c r="A3835">
        <v>2323</v>
      </c>
      <c r="B3835" t="s">
        <v>1983</v>
      </c>
      <c r="C3835" t="s">
        <v>2670</v>
      </c>
      <c r="D3835" t="s">
        <v>1203</v>
      </c>
      <c r="E3835" t="s">
        <v>1204</v>
      </c>
      <c r="F3835">
        <v>5912</v>
      </c>
      <c r="G3835" t="s">
        <v>2672</v>
      </c>
      <c r="H3835" t="s">
        <v>2665</v>
      </c>
      <c r="N3835" t="s">
        <v>988</v>
      </c>
    </row>
    <row r="3836" spans="1:14" hidden="1" x14ac:dyDescent="0.3">
      <c r="A3836">
        <v>2323</v>
      </c>
      <c r="B3836" t="s">
        <v>1983</v>
      </c>
      <c r="C3836" t="s">
        <v>2670</v>
      </c>
      <c r="D3836" t="s">
        <v>1203</v>
      </c>
      <c r="E3836" t="s">
        <v>1204</v>
      </c>
      <c r="F3836">
        <v>5912</v>
      </c>
      <c r="G3836" t="s">
        <v>2676</v>
      </c>
      <c r="H3836" t="s">
        <v>2664</v>
      </c>
      <c r="I3836">
        <v>148049</v>
      </c>
      <c r="J3836">
        <v>148055</v>
      </c>
      <c r="K3836">
        <v>148065</v>
      </c>
      <c r="L3836">
        <v>148070</v>
      </c>
      <c r="M3836">
        <v>148080</v>
      </c>
      <c r="N3836" t="s">
        <v>988</v>
      </c>
    </row>
    <row r="3837" spans="1:14" hidden="1" x14ac:dyDescent="0.3">
      <c r="A3837">
        <v>2323</v>
      </c>
      <c r="B3837" t="s">
        <v>1983</v>
      </c>
      <c r="C3837" t="s">
        <v>2670</v>
      </c>
      <c r="D3837" t="s">
        <v>1203</v>
      </c>
      <c r="E3837" t="s">
        <v>1204</v>
      </c>
      <c r="F3837">
        <v>5912</v>
      </c>
      <c r="G3837" t="s">
        <v>2676</v>
      </c>
      <c r="H3837" t="s">
        <v>2665</v>
      </c>
      <c r="I3837">
        <v>2503</v>
      </c>
      <c r="J3837">
        <v>2558</v>
      </c>
      <c r="K3837">
        <v>2885</v>
      </c>
      <c r="L3837">
        <v>3206</v>
      </c>
      <c r="M3837">
        <v>3851</v>
      </c>
      <c r="N3837" t="s">
        <v>988</v>
      </c>
    </row>
    <row r="3838" spans="1:14" hidden="1" x14ac:dyDescent="0.3">
      <c r="A3838">
        <v>2323</v>
      </c>
      <c r="B3838" t="s">
        <v>1983</v>
      </c>
      <c r="C3838" t="s">
        <v>2670</v>
      </c>
      <c r="D3838" t="s">
        <v>1203</v>
      </c>
      <c r="E3838" t="s">
        <v>1204</v>
      </c>
      <c r="F3838">
        <v>5912</v>
      </c>
      <c r="G3838" t="s">
        <v>2675</v>
      </c>
      <c r="H3838" t="s">
        <v>2664</v>
      </c>
      <c r="I3838">
        <v>148049</v>
      </c>
      <c r="J3838">
        <v>148055</v>
      </c>
      <c r="K3838">
        <v>148065</v>
      </c>
      <c r="L3838">
        <v>148070</v>
      </c>
      <c r="M3838">
        <v>148080</v>
      </c>
      <c r="N3838" t="s">
        <v>988</v>
      </c>
    </row>
    <row r="3839" spans="1:14" hidden="1" x14ac:dyDescent="0.3">
      <c r="A3839">
        <v>2323</v>
      </c>
      <c r="B3839" t="s">
        <v>1983</v>
      </c>
      <c r="C3839" t="s">
        <v>2670</v>
      </c>
      <c r="D3839" t="s">
        <v>1203</v>
      </c>
      <c r="E3839" t="s">
        <v>1204</v>
      </c>
      <c r="F3839">
        <v>5912</v>
      </c>
      <c r="G3839" t="s">
        <v>2675</v>
      </c>
      <c r="H3839" t="s">
        <v>2665</v>
      </c>
      <c r="I3839">
        <v>2384</v>
      </c>
      <c r="J3839">
        <v>2436</v>
      </c>
      <c r="K3839">
        <v>2748</v>
      </c>
      <c r="L3839">
        <v>3053</v>
      </c>
      <c r="M3839">
        <v>3668</v>
      </c>
      <c r="N3839" t="s">
        <v>988</v>
      </c>
    </row>
    <row r="3840" spans="1:14" hidden="1" x14ac:dyDescent="0.3">
      <c r="A3840">
        <v>2323</v>
      </c>
      <c r="B3840" t="s">
        <v>1983</v>
      </c>
      <c r="C3840" t="s">
        <v>2670</v>
      </c>
      <c r="D3840" t="s">
        <v>1203</v>
      </c>
      <c r="E3840" t="s">
        <v>1204</v>
      </c>
      <c r="F3840">
        <v>5912</v>
      </c>
      <c r="G3840" t="s">
        <v>2674</v>
      </c>
      <c r="H3840" t="s">
        <v>2664</v>
      </c>
      <c r="I3840">
        <v>148049</v>
      </c>
      <c r="J3840">
        <v>148055</v>
      </c>
      <c r="K3840">
        <v>148065</v>
      </c>
      <c r="L3840">
        <v>148070</v>
      </c>
      <c r="M3840">
        <v>148080</v>
      </c>
      <c r="N3840" t="s">
        <v>988</v>
      </c>
    </row>
    <row r="3841" spans="1:14" hidden="1" x14ac:dyDescent="0.3">
      <c r="A3841">
        <v>2323</v>
      </c>
      <c r="B3841" t="s">
        <v>1983</v>
      </c>
      <c r="C3841" t="s">
        <v>2670</v>
      </c>
      <c r="D3841" t="s">
        <v>1203</v>
      </c>
      <c r="E3841" t="s">
        <v>1204</v>
      </c>
      <c r="F3841">
        <v>5912</v>
      </c>
      <c r="G3841" t="s">
        <v>2674</v>
      </c>
      <c r="H3841" t="s">
        <v>2665</v>
      </c>
      <c r="I3841">
        <v>2270</v>
      </c>
      <c r="J3841">
        <v>2320</v>
      </c>
      <c r="K3841">
        <v>2617</v>
      </c>
      <c r="L3841">
        <v>2908</v>
      </c>
      <c r="M3841">
        <v>3493</v>
      </c>
      <c r="N3841" t="s">
        <v>988</v>
      </c>
    </row>
    <row r="3842" spans="1:14" hidden="1" x14ac:dyDescent="0.3">
      <c r="A3842">
        <v>2326</v>
      </c>
      <c r="B3842" t="s">
        <v>1985</v>
      </c>
      <c r="C3842" t="s">
        <v>2670</v>
      </c>
      <c r="D3842" t="s">
        <v>1203</v>
      </c>
      <c r="E3842" t="s">
        <v>1204</v>
      </c>
      <c r="F3842">
        <v>5567</v>
      </c>
      <c r="G3842" t="s">
        <v>2672</v>
      </c>
      <c r="H3842" t="s">
        <v>2665</v>
      </c>
      <c r="I3842">
        <v>2273</v>
      </c>
      <c r="J3842">
        <v>2299</v>
      </c>
      <c r="K3842">
        <v>2302</v>
      </c>
      <c r="L3842">
        <v>2318</v>
      </c>
      <c r="M3842">
        <v>2338</v>
      </c>
      <c r="N3842" t="s">
        <v>988</v>
      </c>
    </row>
    <row r="3843" spans="1:14" hidden="1" x14ac:dyDescent="0.3">
      <c r="A3843">
        <v>2326</v>
      </c>
      <c r="B3843" t="s">
        <v>1985</v>
      </c>
      <c r="C3843" t="s">
        <v>2670</v>
      </c>
      <c r="D3843" t="s">
        <v>1203</v>
      </c>
      <c r="E3843" t="s">
        <v>1204</v>
      </c>
      <c r="F3843">
        <v>5567</v>
      </c>
      <c r="G3843" t="s">
        <v>2676</v>
      </c>
      <c r="H3843" t="s">
        <v>2665</v>
      </c>
      <c r="I3843">
        <v>2273</v>
      </c>
      <c r="J3843">
        <v>2299</v>
      </c>
      <c r="K3843">
        <v>2302</v>
      </c>
      <c r="L3843">
        <v>2318</v>
      </c>
      <c r="M3843">
        <v>2338</v>
      </c>
      <c r="N3843" t="s">
        <v>988</v>
      </c>
    </row>
    <row r="3844" spans="1:14" hidden="1" x14ac:dyDescent="0.3">
      <c r="A3844">
        <v>2326</v>
      </c>
      <c r="B3844" t="s">
        <v>1985</v>
      </c>
      <c r="C3844" t="s">
        <v>2670</v>
      </c>
      <c r="D3844" t="s">
        <v>1203</v>
      </c>
      <c r="E3844" t="s">
        <v>1204</v>
      </c>
      <c r="F3844">
        <v>5567</v>
      </c>
      <c r="G3844" t="s">
        <v>2675</v>
      </c>
      <c r="H3844" t="s">
        <v>2664</v>
      </c>
      <c r="I3844">
        <v>3293</v>
      </c>
      <c r="J3844">
        <v>3293</v>
      </c>
      <c r="K3844">
        <v>3293</v>
      </c>
      <c r="L3844">
        <v>3293</v>
      </c>
      <c r="M3844">
        <v>3293</v>
      </c>
      <c r="N3844" t="s">
        <v>988</v>
      </c>
    </row>
    <row r="3845" spans="1:14" hidden="1" x14ac:dyDescent="0.3">
      <c r="A3845">
        <v>2326</v>
      </c>
      <c r="B3845" t="s">
        <v>1985</v>
      </c>
      <c r="C3845" t="s">
        <v>2670</v>
      </c>
      <c r="D3845" t="s">
        <v>1203</v>
      </c>
      <c r="E3845" t="s">
        <v>1204</v>
      </c>
      <c r="F3845">
        <v>5567</v>
      </c>
      <c r="G3845" t="s">
        <v>2675</v>
      </c>
      <c r="H3845" t="s">
        <v>2665</v>
      </c>
      <c r="I3845">
        <v>2273</v>
      </c>
      <c r="J3845">
        <v>2299</v>
      </c>
      <c r="K3845">
        <v>2302</v>
      </c>
      <c r="L3845">
        <v>2318</v>
      </c>
      <c r="M3845">
        <v>2338</v>
      </c>
      <c r="N3845" t="s">
        <v>988</v>
      </c>
    </row>
    <row r="3846" spans="1:14" hidden="1" x14ac:dyDescent="0.3">
      <c r="A3846">
        <v>2326</v>
      </c>
      <c r="B3846" t="s">
        <v>1985</v>
      </c>
      <c r="C3846" t="s">
        <v>2670</v>
      </c>
      <c r="D3846" t="s">
        <v>1203</v>
      </c>
      <c r="E3846" t="s">
        <v>1204</v>
      </c>
      <c r="F3846">
        <v>5567</v>
      </c>
      <c r="G3846" t="s">
        <v>2674</v>
      </c>
      <c r="H3846" t="s">
        <v>2664</v>
      </c>
      <c r="I3846">
        <v>3293</v>
      </c>
      <c r="J3846">
        <v>3293</v>
      </c>
      <c r="K3846">
        <v>3293</v>
      </c>
      <c r="L3846">
        <v>3293</v>
      </c>
      <c r="M3846">
        <v>3293</v>
      </c>
      <c r="N3846" t="s">
        <v>988</v>
      </c>
    </row>
    <row r="3847" spans="1:14" hidden="1" x14ac:dyDescent="0.3">
      <c r="A3847">
        <v>2326</v>
      </c>
      <c r="B3847" t="s">
        <v>1985</v>
      </c>
      <c r="C3847" t="s">
        <v>2670</v>
      </c>
      <c r="D3847" t="s">
        <v>1203</v>
      </c>
      <c r="E3847" t="s">
        <v>1204</v>
      </c>
      <c r="F3847">
        <v>5567</v>
      </c>
      <c r="G3847" t="s">
        <v>2676</v>
      </c>
      <c r="H3847" t="s">
        <v>2664</v>
      </c>
      <c r="I3847">
        <v>3293</v>
      </c>
      <c r="J3847">
        <v>3293</v>
      </c>
      <c r="K3847">
        <v>3293</v>
      </c>
      <c r="L3847">
        <v>3293</v>
      </c>
      <c r="M3847">
        <v>3293</v>
      </c>
      <c r="N3847" t="s">
        <v>988</v>
      </c>
    </row>
    <row r="3848" spans="1:14" hidden="1" x14ac:dyDescent="0.3">
      <c r="A3848">
        <v>2326</v>
      </c>
      <c r="B3848" t="s">
        <v>1985</v>
      </c>
      <c r="C3848" t="s">
        <v>2670</v>
      </c>
      <c r="D3848" t="s">
        <v>1203</v>
      </c>
      <c r="E3848" t="s">
        <v>1204</v>
      </c>
      <c r="F3848">
        <v>5567</v>
      </c>
      <c r="G3848" t="s">
        <v>2673</v>
      </c>
      <c r="H3848" t="s">
        <v>2664</v>
      </c>
      <c r="I3848">
        <v>3293</v>
      </c>
      <c r="J3848">
        <v>3293</v>
      </c>
      <c r="K3848">
        <v>3293</v>
      </c>
      <c r="L3848">
        <v>3293</v>
      </c>
      <c r="M3848">
        <v>3293</v>
      </c>
      <c r="N3848" t="s">
        <v>988</v>
      </c>
    </row>
    <row r="3849" spans="1:14" hidden="1" x14ac:dyDescent="0.3">
      <c r="A3849">
        <v>2326</v>
      </c>
      <c r="B3849" t="s">
        <v>1985</v>
      </c>
      <c r="C3849" t="s">
        <v>2670</v>
      </c>
      <c r="D3849" t="s">
        <v>1203</v>
      </c>
      <c r="E3849" t="s">
        <v>1204</v>
      </c>
      <c r="F3849">
        <v>5567</v>
      </c>
      <c r="G3849" t="s">
        <v>2673</v>
      </c>
      <c r="H3849" t="s">
        <v>2665</v>
      </c>
      <c r="I3849">
        <v>2273</v>
      </c>
      <c r="J3849">
        <v>2299</v>
      </c>
      <c r="K3849">
        <v>2302</v>
      </c>
      <c r="L3849">
        <v>2318</v>
      </c>
      <c r="M3849">
        <v>2338</v>
      </c>
      <c r="N3849" t="s">
        <v>988</v>
      </c>
    </row>
    <row r="3850" spans="1:14" hidden="1" x14ac:dyDescent="0.3">
      <c r="A3850">
        <v>2326</v>
      </c>
      <c r="B3850" t="s">
        <v>1985</v>
      </c>
      <c r="C3850" t="s">
        <v>2670</v>
      </c>
      <c r="D3850" t="s">
        <v>1203</v>
      </c>
      <c r="E3850" t="s">
        <v>1204</v>
      </c>
      <c r="F3850">
        <v>5567</v>
      </c>
      <c r="G3850" t="s">
        <v>2671</v>
      </c>
      <c r="H3850" t="s">
        <v>2664</v>
      </c>
      <c r="I3850">
        <v>3293</v>
      </c>
      <c r="J3850">
        <v>3293</v>
      </c>
      <c r="K3850">
        <v>3293</v>
      </c>
      <c r="L3850">
        <v>3293</v>
      </c>
      <c r="M3850">
        <v>3293</v>
      </c>
      <c r="N3850" t="s">
        <v>988</v>
      </c>
    </row>
    <row r="3851" spans="1:14" hidden="1" x14ac:dyDescent="0.3">
      <c r="A3851">
        <v>2326</v>
      </c>
      <c r="B3851" t="s">
        <v>1985</v>
      </c>
      <c r="C3851" t="s">
        <v>2670</v>
      </c>
      <c r="D3851" t="s">
        <v>1203</v>
      </c>
      <c r="E3851" t="s">
        <v>1204</v>
      </c>
      <c r="F3851">
        <v>5567</v>
      </c>
      <c r="G3851" t="s">
        <v>2671</v>
      </c>
      <c r="H3851" t="s">
        <v>2665</v>
      </c>
      <c r="I3851">
        <v>2273</v>
      </c>
      <c r="J3851">
        <v>2299</v>
      </c>
      <c r="K3851">
        <v>2302</v>
      </c>
      <c r="L3851">
        <v>2318</v>
      </c>
      <c r="M3851">
        <v>2338</v>
      </c>
      <c r="N3851" t="s">
        <v>988</v>
      </c>
    </row>
    <row r="3852" spans="1:14" hidden="1" x14ac:dyDescent="0.3">
      <c r="A3852">
        <v>2326</v>
      </c>
      <c r="B3852" t="s">
        <v>1985</v>
      </c>
      <c r="C3852" t="s">
        <v>2670</v>
      </c>
      <c r="D3852" t="s">
        <v>1203</v>
      </c>
      <c r="E3852" t="s">
        <v>1204</v>
      </c>
      <c r="F3852">
        <v>5567</v>
      </c>
      <c r="G3852" t="s">
        <v>2672</v>
      </c>
      <c r="H3852" t="s">
        <v>2664</v>
      </c>
      <c r="I3852">
        <v>3293</v>
      </c>
      <c r="J3852">
        <v>3293</v>
      </c>
      <c r="K3852">
        <v>3293</v>
      </c>
      <c r="L3852">
        <v>3293</v>
      </c>
      <c r="M3852">
        <v>3293</v>
      </c>
      <c r="N3852" t="s">
        <v>988</v>
      </c>
    </row>
    <row r="3853" spans="1:14" hidden="1" x14ac:dyDescent="0.3">
      <c r="A3853">
        <v>2326</v>
      </c>
      <c r="B3853" t="s">
        <v>1985</v>
      </c>
      <c r="C3853" t="s">
        <v>2670</v>
      </c>
      <c r="D3853" t="s">
        <v>1203</v>
      </c>
      <c r="E3853" t="s">
        <v>1204</v>
      </c>
      <c r="F3853">
        <v>5567</v>
      </c>
      <c r="G3853" t="s">
        <v>2674</v>
      </c>
      <c r="H3853" t="s">
        <v>2665</v>
      </c>
      <c r="I3853">
        <v>2273</v>
      </c>
      <c r="J3853">
        <v>2299</v>
      </c>
      <c r="K3853">
        <v>2302</v>
      </c>
      <c r="L3853">
        <v>2318</v>
      </c>
      <c r="M3853">
        <v>2338</v>
      </c>
      <c r="N3853" t="s">
        <v>988</v>
      </c>
    </row>
    <row r="3854" spans="1:14" hidden="1" x14ac:dyDescent="0.3">
      <c r="A3854">
        <v>2330</v>
      </c>
      <c r="B3854" t="s">
        <v>1987</v>
      </c>
      <c r="C3854" t="s">
        <v>2670</v>
      </c>
      <c r="D3854" t="s">
        <v>159</v>
      </c>
      <c r="E3854" t="s">
        <v>159</v>
      </c>
      <c r="F3854">
        <v>7828</v>
      </c>
      <c r="G3854" t="s">
        <v>2673</v>
      </c>
      <c r="H3854" t="s">
        <v>2665</v>
      </c>
      <c r="I3854">
        <v>3402</v>
      </c>
      <c r="J3854">
        <v>3363</v>
      </c>
      <c r="K3854">
        <v>3292</v>
      </c>
      <c r="N3854" t="s">
        <v>988</v>
      </c>
    </row>
    <row r="3855" spans="1:14" hidden="1" x14ac:dyDescent="0.3">
      <c r="A3855">
        <v>2330</v>
      </c>
      <c r="B3855" t="s">
        <v>1987</v>
      </c>
      <c r="C3855" t="s">
        <v>2670</v>
      </c>
      <c r="D3855" t="s">
        <v>159</v>
      </c>
      <c r="E3855" t="s">
        <v>159</v>
      </c>
      <c r="F3855">
        <v>7828</v>
      </c>
      <c r="G3855" t="s">
        <v>2673</v>
      </c>
      <c r="H3855" t="s">
        <v>2664</v>
      </c>
      <c r="I3855">
        <v>3402</v>
      </c>
      <c r="J3855">
        <v>3363</v>
      </c>
      <c r="K3855">
        <v>3292</v>
      </c>
      <c r="N3855" t="s">
        <v>988</v>
      </c>
    </row>
    <row r="3856" spans="1:14" hidden="1" x14ac:dyDescent="0.3">
      <c r="A3856">
        <v>2330</v>
      </c>
      <c r="B3856" t="s">
        <v>1987</v>
      </c>
      <c r="C3856" t="s">
        <v>2670</v>
      </c>
      <c r="D3856" t="s">
        <v>159</v>
      </c>
      <c r="E3856" t="s">
        <v>159</v>
      </c>
      <c r="F3856">
        <v>7828</v>
      </c>
      <c r="G3856" t="s">
        <v>2674</v>
      </c>
      <c r="H3856" t="s">
        <v>2665</v>
      </c>
      <c r="I3856">
        <v>3363</v>
      </c>
      <c r="J3856">
        <v>3325</v>
      </c>
      <c r="K3856">
        <v>3255</v>
      </c>
      <c r="N3856" t="s">
        <v>988</v>
      </c>
    </row>
    <row r="3857" spans="1:14" hidden="1" x14ac:dyDescent="0.3">
      <c r="A3857">
        <v>2330</v>
      </c>
      <c r="B3857" t="s">
        <v>1987</v>
      </c>
      <c r="C3857" t="s">
        <v>2670</v>
      </c>
      <c r="D3857" t="s">
        <v>159</v>
      </c>
      <c r="E3857" t="s">
        <v>159</v>
      </c>
      <c r="F3857">
        <v>7828</v>
      </c>
      <c r="G3857" t="s">
        <v>2674</v>
      </c>
      <c r="H3857" t="s">
        <v>2664</v>
      </c>
      <c r="I3857">
        <v>3363</v>
      </c>
      <c r="J3857">
        <v>3325</v>
      </c>
      <c r="K3857">
        <v>3255</v>
      </c>
      <c r="N3857" t="s">
        <v>988</v>
      </c>
    </row>
    <row r="3858" spans="1:14" hidden="1" x14ac:dyDescent="0.3">
      <c r="A3858">
        <v>2330</v>
      </c>
      <c r="B3858" t="s">
        <v>1987</v>
      </c>
      <c r="C3858" t="s">
        <v>2670</v>
      </c>
      <c r="D3858" t="s">
        <v>159</v>
      </c>
      <c r="E3858" t="s">
        <v>159</v>
      </c>
      <c r="F3858">
        <v>7828</v>
      </c>
      <c r="G3858" t="s">
        <v>2675</v>
      </c>
      <c r="H3858" t="s">
        <v>2665</v>
      </c>
      <c r="I3858">
        <v>3170</v>
      </c>
      <c r="J3858">
        <v>3134</v>
      </c>
      <c r="K3858">
        <v>3068</v>
      </c>
      <c r="N3858" t="s">
        <v>988</v>
      </c>
    </row>
    <row r="3859" spans="1:14" hidden="1" x14ac:dyDescent="0.3">
      <c r="A3859">
        <v>2330</v>
      </c>
      <c r="B3859" t="s">
        <v>1987</v>
      </c>
      <c r="C3859" t="s">
        <v>2670</v>
      </c>
      <c r="D3859" t="s">
        <v>159</v>
      </c>
      <c r="E3859" t="s">
        <v>159</v>
      </c>
      <c r="F3859">
        <v>7828</v>
      </c>
      <c r="G3859" t="s">
        <v>2675</v>
      </c>
      <c r="H3859" t="s">
        <v>2664</v>
      </c>
      <c r="I3859">
        <v>3170</v>
      </c>
      <c r="J3859">
        <v>3134</v>
      </c>
      <c r="K3859">
        <v>3068</v>
      </c>
      <c r="N3859" t="s">
        <v>988</v>
      </c>
    </row>
    <row r="3860" spans="1:14" hidden="1" x14ac:dyDescent="0.3">
      <c r="A3860">
        <v>2330</v>
      </c>
      <c r="B3860" t="s">
        <v>1987</v>
      </c>
      <c r="C3860" t="s">
        <v>2670</v>
      </c>
      <c r="D3860" t="s">
        <v>159</v>
      </c>
      <c r="E3860" t="s">
        <v>159</v>
      </c>
      <c r="F3860">
        <v>7828</v>
      </c>
      <c r="G3860" t="s">
        <v>2676</v>
      </c>
      <c r="H3860" t="s">
        <v>2665</v>
      </c>
      <c r="I3860">
        <v>3170</v>
      </c>
      <c r="J3860">
        <v>3134</v>
      </c>
      <c r="K3860">
        <v>3068</v>
      </c>
      <c r="L3860">
        <v>2997</v>
      </c>
      <c r="N3860" t="s">
        <v>988</v>
      </c>
    </row>
    <row r="3861" spans="1:14" hidden="1" x14ac:dyDescent="0.3">
      <c r="A3861">
        <v>2330</v>
      </c>
      <c r="B3861" t="s">
        <v>1987</v>
      </c>
      <c r="C3861" t="s">
        <v>2670</v>
      </c>
      <c r="D3861" t="s">
        <v>159</v>
      </c>
      <c r="E3861" t="s">
        <v>159</v>
      </c>
      <c r="F3861">
        <v>7828</v>
      </c>
      <c r="G3861" t="s">
        <v>2676</v>
      </c>
      <c r="H3861" t="s">
        <v>2664</v>
      </c>
      <c r="I3861">
        <v>3170</v>
      </c>
      <c r="J3861">
        <v>3134</v>
      </c>
      <c r="K3861">
        <v>3068</v>
      </c>
      <c r="L3861">
        <v>2997</v>
      </c>
      <c r="N3861" t="s">
        <v>988</v>
      </c>
    </row>
    <row r="3862" spans="1:14" hidden="1" x14ac:dyDescent="0.3">
      <c r="A3862">
        <v>2330</v>
      </c>
      <c r="B3862" t="s">
        <v>1987</v>
      </c>
      <c r="C3862" t="s">
        <v>2670</v>
      </c>
      <c r="D3862" t="s">
        <v>159</v>
      </c>
      <c r="E3862" t="s">
        <v>159</v>
      </c>
      <c r="F3862">
        <v>7828</v>
      </c>
      <c r="G3862" t="s">
        <v>2672</v>
      </c>
      <c r="H3862" t="s">
        <v>2665</v>
      </c>
      <c r="N3862" t="s">
        <v>988</v>
      </c>
    </row>
    <row r="3863" spans="1:14" hidden="1" x14ac:dyDescent="0.3">
      <c r="A3863">
        <v>2330</v>
      </c>
      <c r="B3863" t="s">
        <v>1987</v>
      </c>
      <c r="C3863" t="s">
        <v>2670</v>
      </c>
      <c r="D3863" t="s">
        <v>159</v>
      </c>
      <c r="E3863" t="s">
        <v>159</v>
      </c>
      <c r="F3863">
        <v>7828</v>
      </c>
      <c r="G3863" t="s">
        <v>2672</v>
      </c>
      <c r="H3863" t="s">
        <v>2664</v>
      </c>
      <c r="N3863" t="s">
        <v>988</v>
      </c>
    </row>
    <row r="3864" spans="1:14" hidden="1" x14ac:dyDescent="0.3">
      <c r="A3864">
        <v>2330</v>
      </c>
      <c r="B3864" t="s">
        <v>1987</v>
      </c>
      <c r="C3864" t="s">
        <v>2670</v>
      </c>
      <c r="D3864" t="s">
        <v>159</v>
      </c>
      <c r="E3864" t="s">
        <v>159</v>
      </c>
      <c r="F3864">
        <v>7828</v>
      </c>
      <c r="G3864" t="s">
        <v>2671</v>
      </c>
      <c r="H3864" t="s">
        <v>2665</v>
      </c>
      <c r="I3864">
        <v>3286</v>
      </c>
      <c r="J3864">
        <v>3249</v>
      </c>
      <c r="K3864">
        <v>3180</v>
      </c>
      <c r="N3864" t="s">
        <v>988</v>
      </c>
    </row>
    <row r="3865" spans="1:14" hidden="1" x14ac:dyDescent="0.3">
      <c r="A3865">
        <v>2330</v>
      </c>
      <c r="B3865" t="s">
        <v>1987</v>
      </c>
      <c r="C3865" t="s">
        <v>2670</v>
      </c>
      <c r="D3865" t="s">
        <v>159</v>
      </c>
      <c r="E3865" t="s">
        <v>159</v>
      </c>
      <c r="F3865">
        <v>7828</v>
      </c>
      <c r="G3865" t="s">
        <v>2671</v>
      </c>
      <c r="H3865" t="s">
        <v>2664</v>
      </c>
      <c r="I3865">
        <v>3286</v>
      </c>
      <c r="J3865">
        <v>3249</v>
      </c>
      <c r="K3865">
        <v>3180</v>
      </c>
      <c r="N3865" t="s">
        <v>988</v>
      </c>
    </row>
    <row r="3866" spans="1:14" hidden="1" x14ac:dyDescent="0.3">
      <c r="A3866">
        <v>2334</v>
      </c>
      <c r="B3866" t="s">
        <v>1990</v>
      </c>
      <c r="C3866" t="s">
        <v>2670</v>
      </c>
      <c r="D3866" t="s">
        <v>159</v>
      </c>
      <c r="E3866" t="s">
        <v>159</v>
      </c>
      <c r="F3866">
        <v>5637</v>
      </c>
      <c r="G3866" t="s">
        <v>2673</v>
      </c>
      <c r="H3866" t="s">
        <v>2665</v>
      </c>
      <c r="I3866">
        <v>7094</v>
      </c>
      <c r="J3866">
        <v>7444</v>
      </c>
      <c r="K3866">
        <v>7635</v>
      </c>
      <c r="L3866">
        <v>7695</v>
      </c>
      <c r="M3866">
        <v>7705</v>
      </c>
      <c r="N3866" t="s">
        <v>988</v>
      </c>
    </row>
    <row r="3867" spans="1:14" hidden="1" x14ac:dyDescent="0.3">
      <c r="A3867">
        <v>2334</v>
      </c>
      <c r="B3867" t="s">
        <v>1990</v>
      </c>
      <c r="C3867" t="s">
        <v>2670</v>
      </c>
      <c r="D3867" t="s">
        <v>159</v>
      </c>
      <c r="E3867" t="s">
        <v>159</v>
      </c>
      <c r="F3867">
        <v>5637</v>
      </c>
      <c r="G3867" t="s">
        <v>2673</v>
      </c>
      <c r="H3867" t="s">
        <v>2664</v>
      </c>
      <c r="I3867">
        <v>7094</v>
      </c>
      <c r="J3867">
        <v>7444</v>
      </c>
      <c r="K3867">
        <v>7635</v>
      </c>
      <c r="L3867">
        <v>7695</v>
      </c>
      <c r="M3867">
        <v>7705</v>
      </c>
      <c r="N3867" t="s">
        <v>988</v>
      </c>
    </row>
    <row r="3868" spans="1:14" hidden="1" x14ac:dyDescent="0.3">
      <c r="A3868">
        <v>2334</v>
      </c>
      <c r="B3868" t="s">
        <v>1990</v>
      </c>
      <c r="C3868" t="s">
        <v>2670</v>
      </c>
      <c r="D3868" t="s">
        <v>159</v>
      </c>
      <c r="E3868" t="s">
        <v>159</v>
      </c>
      <c r="F3868">
        <v>5637</v>
      </c>
      <c r="G3868" t="s">
        <v>2674</v>
      </c>
      <c r="H3868" t="s">
        <v>2665</v>
      </c>
      <c r="I3868">
        <v>7016</v>
      </c>
      <c r="J3868">
        <v>7376</v>
      </c>
      <c r="K3868">
        <v>7604</v>
      </c>
      <c r="L3868">
        <v>7687</v>
      </c>
      <c r="M3868">
        <v>7704</v>
      </c>
      <c r="N3868" t="s">
        <v>988</v>
      </c>
    </row>
    <row r="3869" spans="1:14" hidden="1" x14ac:dyDescent="0.3">
      <c r="A3869">
        <v>2334</v>
      </c>
      <c r="B3869" t="s">
        <v>1990</v>
      </c>
      <c r="C3869" t="s">
        <v>2670</v>
      </c>
      <c r="D3869" t="s">
        <v>159</v>
      </c>
      <c r="E3869" t="s">
        <v>159</v>
      </c>
      <c r="F3869">
        <v>5637</v>
      </c>
      <c r="G3869" t="s">
        <v>2674</v>
      </c>
      <c r="H3869" t="s">
        <v>2664</v>
      </c>
      <c r="I3869">
        <v>7016</v>
      </c>
      <c r="J3869">
        <v>7376</v>
      </c>
      <c r="K3869">
        <v>7604</v>
      </c>
      <c r="L3869">
        <v>7687</v>
      </c>
      <c r="M3869">
        <v>7704</v>
      </c>
      <c r="N3869" t="s">
        <v>988</v>
      </c>
    </row>
    <row r="3870" spans="1:14" hidden="1" x14ac:dyDescent="0.3">
      <c r="A3870">
        <v>2334</v>
      </c>
      <c r="B3870" t="s">
        <v>1990</v>
      </c>
      <c r="C3870" t="s">
        <v>2670</v>
      </c>
      <c r="D3870" t="s">
        <v>159</v>
      </c>
      <c r="E3870" t="s">
        <v>159</v>
      </c>
      <c r="F3870">
        <v>5637</v>
      </c>
      <c r="G3870" t="s">
        <v>2675</v>
      </c>
      <c r="H3870" t="s">
        <v>2665</v>
      </c>
      <c r="I3870">
        <v>6938</v>
      </c>
      <c r="J3870">
        <v>7308</v>
      </c>
      <c r="K3870">
        <v>7574</v>
      </c>
      <c r="L3870">
        <v>7680</v>
      </c>
      <c r="M3870">
        <v>7704</v>
      </c>
      <c r="N3870" t="s">
        <v>988</v>
      </c>
    </row>
    <row r="3871" spans="1:14" hidden="1" x14ac:dyDescent="0.3">
      <c r="A3871">
        <v>2334</v>
      </c>
      <c r="B3871" t="s">
        <v>1990</v>
      </c>
      <c r="C3871" t="s">
        <v>2670</v>
      </c>
      <c r="D3871" t="s">
        <v>159</v>
      </c>
      <c r="E3871" t="s">
        <v>159</v>
      </c>
      <c r="F3871">
        <v>5637</v>
      </c>
      <c r="G3871" t="s">
        <v>2675</v>
      </c>
      <c r="H3871" t="s">
        <v>2664</v>
      </c>
      <c r="I3871">
        <v>6938</v>
      </c>
      <c r="J3871">
        <v>7308</v>
      </c>
      <c r="K3871">
        <v>7574</v>
      </c>
      <c r="L3871">
        <v>7680</v>
      </c>
      <c r="M3871">
        <v>7704</v>
      </c>
      <c r="N3871" t="s">
        <v>988</v>
      </c>
    </row>
    <row r="3872" spans="1:14" hidden="1" x14ac:dyDescent="0.3">
      <c r="A3872">
        <v>2334</v>
      </c>
      <c r="B3872" t="s">
        <v>1990</v>
      </c>
      <c r="C3872" t="s">
        <v>2670</v>
      </c>
      <c r="D3872" t="s">
        <v>159</v>
      </c>
      <c r="E3872" t="s">
        <v>159</v>
      </c>
      <c r="F3872">
        <v>5637</v>
      </c>
      <c r="G3872" t="s">
        <v>2676</v>
      </c>
      <c r="H3872" t="s">
        <v>2665</v>
      </c>
      <c r="I3872">
        <v>6859</v>
      </c>
      <c r="J3872">
        <v>7240</v>
      </c>
      <c r="K3872">
        <v>7543</v>
      </c>
      <c r="L3872">
        <v>7673</v>
      </c>
      <c r="M3872">
        <v>7703</v>
      </c>
      <c r="N3872" t="s">
        <v>988</v>
      </c>
    </row>
    <row r="3873" spans="1:14" hidden="1" x14ac:dyDescent="0.3">
      <c r="A3873">
        <v>2334</v>
      </c>
      <c r="B3873" t="s">
        <v>1990</v>
      </c>
      <c r="C3873" t="s">
        <v>2670</v>
      </c>
      <c r="D3873" t="s">
        <v>159</v>
      </c>
      <c r="E3873" t="s">
        <v>159</v>
      </c>
      <c r="F3873">
        <v>5637</v>
      </c>
      <c r="G3873" t="s">
        <v>2676</v>
      </c>
      <c r="H3873" t="s">
        <v>2664</v>
      </c>
      <c r="I3873">
        <v>6859</v>
      </c>
      <c r="J3873">
        <v>7240</v>
      </c>
      <c r="K3873">
        <v>7543</v>
      </c>
      <c r="L3873">
        <v>7673</v>
      </c>
      <c r="M3873">
        <v>7703</v>
      </c>
      <c r="N3873" t="s">
        <v>988</v>
      </c>
    </row>
    <row r="3874" spans="1:14" hidden="1" x14ac:dyDescent="0.3">
      <c r="A3874">
        <v>2334</v>
      </c>
      <c r="B3874" t="s">
        <v>1990</v>
      </c>
      <c r="C3874" t="s">
        <v>2670</v>
      </c>
      <c r="D3874" t="s">
        <v>159</v>
      </c>
      <c r="E3874" t="s">
        <v>159</v>
      </c>
      <c r="F3874">
        <v>5637</v>
      </c>
      <c r="G3874" t="s">
        <v>2672</v>
      </c>
      <c r="H3874" t="s">
        <v>2665</v>
      </c>
      <c r="N3874" t="s">
        <v>988</v>
      </c>
    </row>
    <row r="3875" spans="1:14" hidden="1" x14ac:dyDescent="0.3">
      <c r="A3875">
        <v>2334</v>
      </c>
      <c r="B3875" t="s">
        <v>1990</v>
      </c>
      <c r="C3875" t="s">
        <v>2670</v>
      </c>
      <c r="D3875" t="s">
        <v>159</v>
      </c>
      <c r="E3875" t="s">
        <v>159</v>
      </c>
      <c r="F3875">
        <v>5637</v>
      </c>
      <c r="G3875" t="s">
        <v>2672</v>
      </c>
      <c r="H3875" t="s">
        <v>2664</v>
      </c>
      <c r="N3875" t="s">
        <v>988</v>
      </c>
    </row>
    <row r="3876" spans="1:14" hidden="1" x14ac:dyDescent="0.3">
      <c r="A3876">
        <v>2334</v>
      </c>
      <c r="B3876" t="s">
        <v>1990</v>
      </c>
      <c r="C3876" t="s">
        <v>2670</v>
      </c>
      <c r="D3876" t="s">
        <v>159</v>
      </c>
      <c r="E3876" t="s">
        <v>159</v>
      </c>
      <c r="F3876">
        <v>5637</v>
      </c>
      <c r="G3876" t="s">
        <v>2671</v>
      </c>
      <c r="H3876" t="s">
        <v>2665</v>
      </c>
      <c r="I3876">
        <v>7172</v>
      </c>
      <c r="J3876">
        <v>7512</v>
      </c>
      <c r="K3876">
        <v>7666</v>
      </c>
      <c r="L3876">
        <v>7702</v>
      </c>
      <c r="M3876">
        <v>7706</v>
      </c>
      <c r="N3876" t="s">
        <v>988</v>
      </c>
    </row>
    <row r="3877" spans="1:14" hidden="1" x14ac:dyDescent="0.3">
      <c r="A3877">
        <v>2334</v>
      </c>
      <c r="B3877" t="s">
        <v>1990</v>
      </c>
      <c r="C3877" t="s">
        <v>2670</v>
      </c>
      <c r="D3877" t="s">
        <v>159</v>
      </c>
      <c r="E3877" t="s">
        <v>159</v>
      </c>
      <c r="F3877">
        <v>5637</v>
      </c>
      <c r="G3877" t="s">
        <v>2671</v>
      </c>
      <c r="H3877" t="s">
        <v>2664</v>
      </c>
      <c r="I3877">
        <v>7172</v>
      </c>
      <c r="J3877">
        <v>7512</v>
      </c>
      <c r="K3877">
        <v>7666</v>
      </c>
      <c r="L3877">
        <v>7702</v>
      </c>
      <c r="M3877">
        <v>7706</v>
      </c>
      <c r="N3877" t="s">
        <v>988</v>
      </c>
    </row>
    <row r="3878" spans="1:14" hidden="1" x14ac:dyDescent="0.3">
      <c r="A3878">
        <v>2337</v>
      </c>
      <c r="B3878" t="s">
        <v>1993</v>
      </c>
      <c r="C3878" t="s">
        <v>2670</v>
      </c>
      <c r="D3878" t="s">
        <v>1203</v>
      </c>
      <c r="E3878" t="s">
        <v>1204</v>
      </c>
      <c r="F3878">
        <v>5742</v>
      </c>
      <c r="G3878" t="s">
        <v>2673</v>
      </c>
      <c r="H3878" t="s">
        <v>2665</v>
      </c>
      <c r="I3878">
        <v>9074.7013724499993</v>
      </c>
      <c r="J3878">
        <v>9442.9679144500005</v>
      </c>
      <c r="K3878">
        <v>9829.6477835500009</v>
      </c>
      <c r="L3878">
        <v>10231.6720919</v>
      </c>
      <c r="M3878">
        <v>10642.9030638</v>
      </c>
      <c r="N3878" t="s">
        <v>988</v>
      </c>
    </row>
    <row r="3879" spans="1:14" hidden="1" x14ac:dyDescent="0.3">
      <c r="A3879">
        <v>2337</v>
      </c>
      <c r="B3879" t="s">
        <v>1993</v>
      </c>
      <c r="C3879" t="s">
        <v>2670</v>
      </c>
      <c r="D3879" t="s">
        <v>1203</v>
      </c>
      <c r="E3879" t="s">
        <v>1204</v>
      </c>
      <c r="F3879">
        <v>5742</v>
      </c>
      <c r="G3879" t="s">
        <v>2671</v>
      </c>
      <c r="H3879" t="s">
        <v>2664</v>
      </c>
      <c r="I3879">
        <v>236516.11771165</v>
      </c>
      <c r="J3879">
        <v>236516.11771165</v>
      </c>
      <c r="K3879">
        <v>236516.11771165</v>
      </c>
      <c r="L3879">
        <v>236516.11771165</v>
      </c>
      <c r="M3879">
        <v>236516.11771165</v>
      </c>
      <c r="N3879" t="s">
        <v>988</v>
      </c>
    </row>
    <row r="3880" spans="1:14" hidden="1" x14ac:dyDescent="0.3">
      <c r="A3880">
        <v>2337</v>
      </c>
      <c r="B3880" t="s">
        <v>1993</v>
      </c>
      <c r="C3880" t="s">
        <v>2670</v>
      </c>
      <c r="D3880" t="s">
        <v>1203</v>
      </c>
      <c r="E3880" t="s">
        <v>1204</v>
      </c>
      <c r="F3880">
        <v>5742</v>
      </c>
      <c r="G3880" t="s">
        <v>2676</v>
      </c>
      <c r="H3880" t="s">
        <v>2665</v>
      </c>
      <c r="I3880">
        <v>9074.7013724499993</v>
      </c>
      <c r="J3880">
        <v>9442.9679144500005</v>
      </c>
      <c r="K3880">
        <v>9829.6477835500009</v>
      </c>
      <c r="L3880">
        <v>10231.6720919</v>
      </c>
      <c r="M3880">
        <v>10642.9030638</v>
      </c>
      <c r="N3880" t="s">
        <v>988</v>
      </c>
    </row>
    <row r="3881" spans="1:14" hidden="1" x14ac:dyDescent="0.3">
      <c r="A3881">
        <v>2337</v>
      </c>
      <c r="B3881" t="s">
        <v>1993</v>
      </c>
      <c r="C3881" t="s">
        <v>2670</v>
      </c>
      <c r="D3881" t="s">
        <v>1203</v>
      </c>
      <c r="E3881" t="s">
        <v>1204</v>
      </c>
      <c r="F3881">
        <v>5742</v>
      </c>
      <c r="G3881" t="s">
        <v>2676</v>
      </c>
      <c r="H3881" t="s">
        <v>2664</v>
      </c>
      <c r="I3881">
        <v>61058.5926636</v>
      </c>
      <c r="J3881">
        <v>61058.5926636</v>
      </c>
      <c r="K3881">
        <v>61058.5926636</v>
      </c>
      <c r="L3881">
        <v>61058.5926636</v>
      </c>
      <c r="M3881">
        <v>61058.5926636</v>
      </c>
      <c r="N3881" t="s">
        <v>988</v>
      </c>
    </row>
    <row r="3882" spans="1:14" hidden="1" x14ac:dyDescent="0.3">
      <c r="A3882">
        <v>2337</v>
      </c>
      <c r="B3882" t="s">
        <v>1993</v>
      </c>
      <c r="C3882" t="s">
        <v>2670</v>
      </c>
      <c r="D3882" t="s">
        <v>1203</v>
      </c>
      <c r="E3882" t="s">
        <v>1204</v>
      </c>
      <c r="F3882">
        <v>5742</v>
      </c>
      <c r="G3882" t="s">
        <v>2675</v>
      </c>
      <c r="H3882" t="s">
        <v>2664</v>
      </c>
      <c r="I3882">
        <v>203697.43104375</v>
      </c>
      <c r="J3882">
        <v>203697.43104375</v>
      </c>
      <c r="K3882">
        <v>203697.43104375</v>
      </c>
      <c r="L3882">
        <v>203697.43104375</v>
      </c>
      <c r="M3882">
        <v>203697.43104375</v>
      </c>
      <c r="N3882" t="s">
        <v>988</v>
      </c>
    </row>
    <row r="3883" spans="1:14" hidden="1" x14ac:dyDescent="0.3">
      <c r="A3883">
        <v>2337</v>
      </c>
      <c r="B3883" t="s">
        <v>1993</v>
      </c>
      <c r="C3883" t="s">
        <v>2670</v>
      </c>
      <c r="D3883" t="s">
        <v>1203</v>
      </c>
      <c r="E3883" t="s">
        <v>1204</v>
      </c>
      <c r="F3883">
        <v>5742</v>
      </c>
      <c r="G3883" t="s">
        <v>2675</v>
      </c>
      <c r="H3883" t="s">
        <v>2665</v>
      </c>
      <c r="I3883">
        <v>9074.7013724499993</v>
      </c>
      <c r="J3883">
        <v>9442.9679144500005</v>
      </c>
      <c r="K3883">
        <v>9829.6477835500009</v>
      </c>
      <c r="L3883">
        <v>10231.6720919</v>
      </c>
      <c r="M3883">
        <v>10642.9030638</v>
      </c>
      <c r="N3883" t="s">
        <v>988</v>
      </c>
    </row>
    <row r="3884" spans="1:14" hidden="1" x14ac:dyDescent="0.3">
      <c r="A3884">
        <v>2337</v>
      </c>
      <c r="B3884" t="s">
        <v>1993</v>
      </c>
      <c r="C3884" t="s">
        <v>2670</v>
      </c>
      <c r="D3884" t="s">
        <v>1203</v>
      </c>
      <c r="E3884" t="s">
        <v>1204</v>
      </c>
      <c r="F3884">
        <v>5742</v>
      </c>
      <c r="G3884" t="s">
        <v>2674</v>
      </c>
      <c r="H3884" t="s">
        <v>2664</v>
      </c>
      <c r="I3884">
        <v>98937.875396150004</v>
      </c>
      <c r="J3884">
        <v>98937.875396150004</v>
      </c>
      <c r="K3884">
        <v>98937.875396150004</v>
      </c>
      <c r="L3884">
        <v>98937.875396150004</v>
      </c>
      <c r="M3884">
        <v>98937.875396150004</v>
      </c>
      <c r="N3884" t="s">
        <v>988</v>
      </c>
    </row>
    <row r="3885" spans="1:14" hidden="1" x14ac:dyDescent="0.3">
      <c r="A3885">
        <v>2337</v>
      </c>
      <c r="B3885" t="s">
        <v>1993</v>
      </c>
      <c r="C3885" t="s">
        <v>2670</v>
      </c>
      <c r="D3885" t="s">
        <v>1203</v>
      </c>
      <c r="E3885" t="s">
        <v>1204</v>
      </c>
      <c r="F3885">
        <v>5742</v>
      </c>
      <c r="G3885" t="s">
        <v>2674</v>
      </c>
      <c r="H3885" t="s">
        <v>2665</v>
      </c>
      <c r="I3885">
        <v>9074.7013724499993</v>
      </c>
      <c r="J3885">
        <v>9442.9679144500005</v>
      </c>
      <c r="K3885">
        <v>9829.6477835500009</v>
      </c>
      <c r="L3885">
        <v>10231.6720919</v>
      </c>
      <c r="M3885">
        <v>10642.9030638</v>
      </c>
      <c r="N3885" t="s">
        <v>988</v>
      </c>
    </row>
    <row r="3886" spans="1:14" hidden="1" x14ac:dyDescent="0.3">
      <c r="A3886">
        <v>2337</v>
      </c>
      <c r="B3886" t="s">
        <v>1993</v>
      </c>
      <c r="C3886" t="s">
        <v>2670</v>
      </c>
      <c r="D3886" t="s">
        <v>1203</v>
      </c>
      <c r="E3886" t="s">
        <v>1204</v>
      </c>
      <c r="F3886">
        <v>5742</v>
      </c>
      <c r="G3886" t="s">
        <v>2673</v>
      </c>
      <c r="H3886" t="s">
        <v>2664</v>
      </c>
      <c r="I3886">
        <v>111713.6555157</v>
      </c>
      <c r="J3886">
        <v>111713.6555157</v>
      </c>
      <c r="K3886">
        <v>111713.6555157</v>
      </c>
      <c r="L3886">
        <v>111713.6555157</v>
      </c>
      <c r="M3886">
        <v>111713.6555157</v>
      </c>
      <c r="N3886" t="s">
        <v>988</v>
      </c>
    </row>
    <row r="3887" spans="1:14" hidden="1" x14ac:dyDescent="0.3">
      <c r="A3887">
        <v>2337</v>
      </c>
      <c r="B3887" t="s">
        <v>1993</v>
      </c>
      <c r="C3887" t="s">
        <v>2670</v>
      </c>
      <c r="D3887" t="s">
        <v>1203</v>
      </c>
      <c r="E3887" t="s">
        <v>1204</v>
      </c>
      <c r="F3887">
        <v>5742</v>
      </c>
      <c r="G3887" t="s">
        <v>2672</v>
      </c>
      <c r="H3887" t="s">
        <v>2665</v>
      </c>
      <c r="N3887" t="s">
        <v>988</v>
      </c>
    </row>
    <row r="3888" spans="1:14" hidden="1" x14ac:dyDescent="0.3">
      <c r="A3888">
        <v>2337</v>
      </c>
      <c r="B3888" t="s">
        <v>1993</v>
      </c>
      <c r="C3888" t="s">
        <v>2670</v>
      </c>
      <c r="D3888" t="s">
        <v>1203</v>
      </c>
      <c r="E3888" t="s">
        <v>1204</v>
      </c>
      <c r="F3888">
        <v>5742</v>
      </c>
      <c r="G3888" t="s">
        <v>2672</v>
      </c>
      <c r="H3888" t="s">
        <v>2664</v>
      </c>
      <c r="N3888" t="s">
        <v>988</v>
      </c>
    </row>
    <row r="3889" spans="1:14" hidden="1" x14ac:dyDescent="0.3">
      <c r="A3889">
        <v>2337</v>
      </c>
      <c r="B3889" t="s">
        <v>1993</v>
      </c>
      <c r="C3889" t="s">
        <v>2670</v>
      </c>
      <c r="D3889" t="s">
        <v>1203</v>
      </c>
      <c r="E3889" t="s">
        <v>1204</v>
      </c>
      <c r="F3889">
        <v>5742</v>
      </c>
      <c r="G3889" t="s">
        <v>2671</v>
      </c>
      <c r="H3889" t="s">
        <v>2665</v>
      </c>
      <c r="I3889">
        <v>9074.7013724499993</v>
      </c>
      <c r="J3889">
        <v>9442.9679144500005</v>
      </c>
      <c r="K3889">
        <v>9829.6477835500009</v>
      </c>
      <c r="L3889">
        <v>10231.6720919</v>
      </c>
      <c r="M3889">
        <v>10642.9030638</v>
      </c>
      <c r="N3889" t="s">
        <v>988</v>
      </c>
    </row>
    <row r="3890" spans="1:14" hidden="1" x14ac:dyDescent="0.3">
      <c r="A3890">
        <v>2341</v>
      </c>
      <c r="B3890" t="s">
        <v>1994</v>
      </c>
      <c r="C3890" t="s">
        <v>2670</v>
      </c>
      <c r="D3890" t="s">
        <v>159</v>
      </c>
      <c r="E3890" t="s">
        <v>159</v>
      </c>
      <c r="F3890">
        <v>6850</v>
      </c>
      <c r="G3890" t="s">
        <v>2672</v>
      </c>
      <c r="H3890" t="s">
        <v>2665</v>
      </c>
      <c r="N3890" t="s">
        <v>988</v>
      </c>
    </row>
    <row r="3891" spans="1:14" hidden="1" x14ac:dyDescent="0.3">
      <c r="A3891">
        <v>2341</v>
      </c>
      <c r="B3891" t="s">
        <v>1994</v>
      </c>
      <c r="C3891" t="s">
        <v>2670</v>
      </c>
      <c r="D3891" t="s">
        <v>159</v>
      </c>
      <c r="E3891" t="s">
        <v>159</v>
      </c>
      <c r="F3891">
        <v>6850</v>
      </c>
      <c r="G3891" t="s">
        <v>2676</v>
      </c>
      <c r="H3891" t="s">
        <v>2665</v>
      </c>
      <c r="I3891">
        <v>7735.34</v>
      </c>
      <c r="J3891">
        <v>7751.71</v>
      </c>
      <c r="K3891">
        <v>7768.12</v>
      </c>
      <c r="L3891">
        <v>7784.56</v>
      </c>
      <c r="M3891">
        <v>7801.04</v>
      </c>
      <c r="N3891" t="s">
        <v>988</v>
      </c>
    </row>
    <row r="3892" spans="1:14" hidden="1" x14ac:dyDescent="0.3">
      <c r="A3892">
        <v>2341</v>
      </c>
      <c r="B3892" t="s">
        <v>1994</v>
      </c>
      <c r="C3892" t="s">
        <v>2670</v>
      </c>
      <c r="D3892" t="s">
        <v>159</v>
      </c>
      <c r="E3892" t="s">
        <v>159</v>
      </c>
      <c r="F3892">
        <v>6850</v>
      </c>
      <c r="G3892" t="s">
        <v>2675</v>
      </c>
      <c r="H3892" t="s">
        <v>2664</v>
      </c>
      <c r="I3892">
        <v>11383</v>
      </c>
      <c r="J3892">
        <v>11383</v>
      </c>
      <c r="K3892">
        <v>11383</v>
      </c>
      <c r="L3892">
        <v>11383</v>
      </c>
      <c r="M3892">
        <v>11383</v>
      </c>
      <c r="N3892" t="s">
        <v>988</v>
      </c>
    </row>
    <row r="3893" spans="1:14" hidden="1" x14ac:dyDescent="0.3">
      <c r="A3893">
        <v>2341</v>
      </c>
      <c r="B3893" t="s">
        <v>1994</v>
      </c>
      <c r="C3893" t="s">
        <v>2670</v>
      </c>
      <c r="D3893" t="s">
        <v>159</v>
      </c>
      <c r="E3893" t="s">
        <v>159</v>
      </c>
      <c r="F3893">
        <v>6850</v>
      </c>
      <c r="G3893" t="s">
        <v>2675</v>
      </c>
      <c r="H3893" t="s">
        <v>2665</v>
      </c>
      <c r="I3893">
        <v>7684.95</v>
      </c>
      <c r="J3893">
        <v>7701.22</v>
      </c>
      <c r="K3893">
        <v>7717.52</v>
      </c>
      <c r="L3893">
        <v>7733.85</v>
      </c>
      <c r="M3893">
        <v>7750.22</v>
      </c>
      <c r="N3893" t="s">
        <v>988</v>
      </c>
    </row>
    <row r="3894" spans="1:14" hidden="1" x14ac:dyDescent="0.3">
      <c r="A3894">
        <v>2341</v>
      </c>
      <c r="B3894" t="s">
        <v>1994</v>
      </c>
      <c r="C3894" t="s">
        <v>2670</v>
      </c>
      <c r="D3894" t="s">
        <v>159</v>
      </c>
      <c r="E3894" t="s">
        <v>159</v>
      </c>
      <c r="F3894">
        <v>6850</v>
      </c>
      <c r="G3894" t="s">
        <v>2674</v>
      </c>
      <c r="H3894" t="s">
        <v>2664</v>
      </c>
      <c r="I3894">
        <v>11383</v>
      </c>
      <c r="J3894">
        <v>11383</v>
      </c>
      <c r="K3894">
        <v>11383</v>
      </c>
      <c r="L3894">
        <v>11383</v>
      </c>
      <c r="M3894">
        <v>11383</v>
      </c>
      <c r="N3894" t="s">
        <v>988</v>
      </c>
    </row>
    <row r="3895" spans="1:14" hidden="1" x14ac:dyDescent="0.3">
      <c r="A3895">
        <v>2341</v>
      </c>
      <c r="B3895" t="s">
        <v>1994</v>
      </c>
      <c r="C3895" t="s">
        <v>2670</v>
      </c>
      <c r="D3895" t="s">
        <v>159</v>
      </c>
      <c r="E3895" t="s">
        <v>159</v>
      </c>
      <c r="F3895">
        <v>6850</v>
      </c>
      <c r="G3895" t="s">
        <v>2676</v>
      </c>
      <c r="H3895" t="s">
        <v>2664</v>
      </c>
      <c r="I3895">
        <v>11383</v>
      </c>
      <c r="J3895">
        <v>11383</v>
      </c>
      <c r="K3895">
        <v>11383</v>
      </c>
      <c r="L3895">
        <v>11383</v>
      </c>
      <c r="M3895">
        <v>11383</v>
      </c>
      <c r="N3895" t="s">
        <v>988</v>
      </c>
    </row>
    <row r="3896" spans="1:14" hidden="1" x14ac:dyDescent="0.3">
      <c r="A3896">
        <v>2341</v>
      </c>
      <c r="B3896" t="s">
        <v>1994</v>
      </c>
      <c r="C3896" t="s">
        <v>2670</v>
      </c>
      <c r="D3896" t="s">
        <v>159</v>
      </c>
      <c r="E3896" t="s">
        <v>159</v>
      </c>
      <c r="F3896">
        <v>6850</v>
      </c>
      <c r="G3896" t="s">
        <v>2673</v>
      </c>
      <c r="H3896" t="s">
        <v>2664</v>
      </c>
      <c r="I3896">
        <v>11383</v>
      </c>
      <c r="J3896">
        <v>11383</v>
      </c>
      <c r="K3896">
        <v>11383</v>
      </c>
      <c r="L3896">
        <v>11383</v>
      </c>
      <c r="M3896">
        <v>11383</v>
      </c>
      <c r="N3896" t="s">
        <v>988</v>
      </c>
    </row>
    <row r="3897" spans="1:14" hidden="1" x14ac:dyDescent="0.3">
      <c r="A3897">
        <v>2341</v>
      </c>
      <c r="B3897" t="s">
        <v>1994</v>
      </c>
      <c r="C3897" t="s">
        <v>2670</v>
      </c>
      <c r="D3897" t="s">
        <v>159</v>
      </c>
      <c r="E3897" t="s">
        <v>159</v>
      </c>
      <c r="F3897">
        <v>6850</v>
      </c>
      <c r="G3897" t="s">
        <v>2673</v>
      </c>
      <c r="H3897" t="s">
        <v>2665</v>
      </c>
      <c r="I3897">
        <v>7416.17</v>
      </c>
      <c r="J3897">
        <v>7431.86</v>
      </c>
      <c r="K3897">
        <v>7447.59</v>
      </c>
      <c r="L3897">
        <v>7463.36</v>
      </c>
      <c r="M3897">
        <v>7479.15</v>
      </c>
      <c r="N3897" t="s">
        <v>988</v>
      </c>
    </row>
    <row r="3898" spans="1:14" hidden="1" x14ac:dyDescent="0.3">
      <c r="A3898">
        <v>2341</v>
      </c>
      <c r="B3898" t="s">
        <v>1994</v>
      </c>
      <c r="C3898" t="s">
        <v>2670</v>
      </c>
      <c r="D3898" t="s">
        <v>159</v>
      </c>
      <c r="E3898" t="s">
        <v>159</v>
      </c>
      <c r="F3898">
        <v>6850</v>
      </c>
      <c r="G3898" t="s">
        <v>2671</v>
      </c>
      <c r="H3898" t="s">
        <v>2664</v>
      </c>
      <c r="I3898">
        <v>11383</v>
      </c>
      <c r="J3898">
        <v>11383</v>
      </c>
      <c r="K3898">
        <v>11383</v>
      </c>
      <c r="L3898">
        <v>11383</v>
      </c>
      <c r="M3898">
        <v>11383</v>
      </c>
      <c r="N3898" t="s">
        <v>988</v>
      </c>
    </row>
    <row r="3899" spans="1:14" hidden="1" x14ac:dyDescent="0.3">
      <c r="A3899">
        <v>2341</v>
      </c>
      <c r="B3899" t="s">
        <v>1994</v>
      </c>
      <c r="C3899" t="s">
        <v>2670</v>
      </c>
      <c r="D3899" t="s">
        <v>159</v>
      </c>
      <c r="E3899" t="s">
        <v>159</v>
      </c>
      <c r="F3899">
        <v>6850</v>
      </c>
      <c r="G3899" t="s">
        <v>2671</v>
      </c>
      <c r="H3899" t="s">
        <v>2665</v>
      </c>
      <c r="I3899">
        <v>6918.55</v>
      </c>
      <c r="J3899">
        <v>6933.19</v>
      </c>
      <c r="K3899">
        <v>6947.87</v>
      </c>
      <c r="L3899">
        <v>6962.57</v>
      </c>
      <c r="M3899">
        <v>6977.31</v>
      </c>
      <c r="N3899" t="s">
        <v>988</v>
      </c>
    </row>
    <row r="3900" spans="1:14" hidden="1" x14ac:dyDescent="0.3">
      <c r="A3900">
        <v>2341</v>
      </c>
      <c r="B3900" t="s">
        <v>1994</v>
      </c>
      <c r="C3900" t="s">
        <v>2670</v>
      </c>
      <c r="D3900" t="s">
        <v>159</v>
      </c>
      <c r="E3900" t="s">
        <v>159</v>
      </c>
      <c r="F3900">
        <v>6850</v>
      </c>
      <c r="G3900" t="s">
        <v>2672</v>
      </c>
      <c r="H3900" t="s">
        <v>2664</v>
      </c>
      <c r="N3900" t="s">
        <v>988</v>
      </c>
    </row>
    <row r="3901" spans="1:14" hidden="1" x14ac:dyDescent="0.3">
      <c r="A3901">
        <v>2341</v>
      </c>
      <c r="B3901" t="s">
        <v>1994</v>
      </c>
      <c r="C3901" t="s">
        <v>2670</v>
      </c>
      <c r="D3901" t="s">
        <v>159</v>
      </c>
      <c r="E3901" t="s">
        <v>159</v>
      </c>
      <c r="F3901">
        <v>6850</v>
      </c>
      <c r="G3901" t="s">
        <v>2674</v>
      </c>
      <c r="H3901" t="s">
        <v>2665</v>
      </c>
      <c r="I3901">
        <v>7687.69</v>
      </c>
      <c r="J3901">
        <v>7703.96</v>
      </c>
      <c r="K3901">
        <v>7720.26</v>
      </c>
      <c r="L3901">
        <v>7736.6</v>
      </c>
      <c r="M3901">
        <v>7752.98</v>
      </c>
      <c r="N3901" t="s">
        <v>988</v>
      </c>
    </row>
    <row r="3902" spans="1:14" hidden="1" x14ac:dyDescent="0.3">
      <c r="A3902">
        <v>2343</v>
      </c>
      <c r="B3902" t="s">
        <v>1995</v>
      </c>
      <c r="C3902" t="s">
        <v>2670</v>
      </c>
      <c r="D3902" t="s">
        <v>1203</v>
      </c>
      <c r="E3902" t="s">
        <v>1204</v>
      </c>
      <c r="F3902">
        <v>5812</v>
      </c>
      <c r="G3902" t="s">
        <v>2675</v>
      </c>
      <c r="H3902" t="s">
        <v>2665</v>
      </c>
      <c r="I3902">
        <v>2618</v>
      </c>
      <c r="J3902">
        <v>2749</v>
      </c>
      <c r="K3902">
        <v>2886</v>
      </c>
      <c r="L3902">
        <v>3031</v>
      </c>
      <c r="M3902">
        <v>3182</v>
      </c>
      <c r="N3902" t="s">
        <v>988</v>
      </c>
    </row>
    <row r="3903" spans="1:14" hidden="1" x14ac:dyDescent="0.3">
      <c r="A3903">
        <v>2343</v>
      </c>
      <c r="B3903" t="s">
        <v>1995</v>
      </c>
      <c r="C3903" t="s">
        <v>2670</v>
      </c>
      <c r="D3903" t="s">
        <v>1203</v>
      </c>
      <c r="E3903" t="s">
        <v>1204</v>
      </c>
      <c r="F3903">
        <v>5812</v>
      </c>
      <c r="G3903" t="s">
        <v>2674</v>
      </c>
      <c r="H3903" t="s">
        <v>2664</v>
      </c>
      <c r="I3903">
        <v>2618</v>
      </c>
      <c r="J3903">
        <v>2749</v>
      </c>
      <c r="K3903">
        <v>2886</v>
      </c>
      <c r="L3903">
        <v>3031</v>
      </c>
      <c r="M3903">
        <v>3182</v>
      </c>
      <c r="N3903" t="s">
        <v>988</v>
      </c>
    </row>
    <row r="3904" spans="1:14" hidden="1" x14ac:dyDescent="0.3">
      <c r="A3904">
        <v>2343</v>
      </c>
      <c r="B3904" t="s">
        <v>1995</v>
      </c>
      <c r="C3904" t="s">
        <v>2670</v>
      </c>
      <c r="D3904" t="s">
        <v>1203</v>
      </c>
      <c r="E3904" t="s">
        <v>1204</v>
      </c>
      <c r="F3904">
        <v>5812</v>
      </c>
      <c r="G3904" t="s">
        <v>2674</v>
      </c>
      <c r="H3904" t="s">
        <v>2665</v>
      </c>
      <c r="I3904">
        <v>2618</v>
      </c>
      <c r="J3904">
        <v>2749</v>
      </c>
      <c r="K3904">
        <v>2886</v>
      </c>
      <c r="L3904">
        <v>3031</v>
      </c>
      <c r="M3904">
        <v>3182</v>
      </c>
      <c r="N3904" t="s">
        <v>988</v>
      </c>
    </row>
    <row r="3905" spans="1:14" hidden="1" x14ac:dyDescent="0.3">
      <c r="A3905">
        <v>2343</v>
      </c>
      <c r="B3905" t="s">
        <v>1995</v>
      </c>
      <c r="C3905" t="s">
        <v>2670</v>
      </c>
      <c r="D3905" t="s">
        <v>1203</v>
      </c>
      <c r="E3905" t="s">
        <v>1204</v>
      </c>
      <c r="F3905">
        <v>5812</v>
      </c>
      <c r="G3905" t="s">
        <v>2673</v>
      </c>
      <c r="H3905" t="s">
        <v>2664</v>
      </c>
      <c r="I3905">
        <v>2618</v>
      </c>
      <c r="J3905">
        <v>2749</v>
      </c>
      <c r="K3905">
        <v>2886</v>
      </c>
      <c r="L3905">
        <v>3031</v>
      </c>
      <c r="M3905">
        <v>3182</v>
      </c>
      <c r="N3905" t="s">
        <v>988</v>
      </c>
    </row>
    <row r="3906" spans="1:14" hidden="1" x14ac:dyDescent="0.3">
      <c r="A3906">
        <v>2343</v>
      </c>
      <c r="B3906" t="s">
        <v>1995</v>
      </c>
      <c r="C3906" t="s">
        <v>2670</v>
      </c>
      <c r="D3906" t="s">
        <v>1203</v>
      </c>
      <c r="E3906" t="s">
        <v>1204</v>
      </c>
      <c r="F3906">
        <v>5812</v>
      </c>
      <c r="G3906" t="s">
        <v>2673</v>
      </c>
      <c r="H3906" t="s">
        <v>2665</v>
      </c>
      <c r="I3906">
        <v>2618</v>
      </c>
      <c r="J3906">
        <v>2749</v>
      </c>
      <c r="K3906">
        <v>2886</v>
      </c>
      <c r="L3906">
        <v>3031</v>
      </c>
      <c r="M3906">
        <v>3182</v>
      </c>
      <c r="N3906" t="s">
        <v>988</v>
      </c>
    </row>
    <row r="3907" spans="1:14" hidden="1" x14ac:dyDescent="0.3">
      <c r="A3907">
        <v>2343</v>
      </c>
      <c r="B3907" t="s">
        <v>1995</v>
      </c>
      <c r="C3907" t="s">
        <v>2670</v>
      </c>
      <c r="D3907" t="s">
        <v>1203</v>
      </c>
      <c r="E3907" t="s">
        <v>1204</v>
      </c>
      <c r="F3907">
        <v>5812</v>
      </c>
      <c r="G3907" t="s">
        <v>2675</v>
      </c>
      <c r="H3907" t="s">
        <v>2664</v>
      </c>
      <c r="I3907">
        <v>2618</v>
      </c>
      <c r="J3907">
        <v>2749</v>
      </c>
      <c r="K3907">
        <v>2886</v>
      </c>
      <c r="L3907">
        <v>3031</v>
      </c>
      <c r="M3907">
        <v>3182</v>
      </c>
      <c r="N3907" t="s">
        <v>988</v>
      </c>
    </row>
    <row r="3908" spans="1:14" hidden="1" x14ac:dyDescent="0.3">
      <c r="A3908">
        <v>2343</v>
      </c>
      <c r="B3908" t="s">
        <v>1995</v>
      </c>
      <c r="C3908" t="s">
        <v>2670</v>
      </c>
      <c r="D3908" t="s">
        <v>1203</v>
      </c>
      <c r="E3908" t="s">
        <v>1204</v>
      </c>
      <c r="F3908">
        <v>5812</v>
      </c>
      <c r="G3908" t="s">
        <v>2671</v>
      </c>
      <c r="H3908" t="s">
        <v>2664</v>
      </c>
      <c r="I3908">
        <v>2618</v>
      </c>
      <c r="J3908">
        <v>2749</v>
      </c>
      <c r="K3908">
        <v>2886</v>
      </c>
      <c r="L3908">
        <v>3031</v>
      </c>
      <c r="M3908">
        <v>3182</v>
      </c>
      <c r="N3908" t="s">
        <v>988</v>
      </c>
    </row>
    <row r="3909" spans="1:14" hidden="1" x14ac:dyDescent="0.3">
      <c r="A3909">
        <v>2343</v>
      </c>
      <c r="B3909" t="s">
        <v>1995</v>
      </c>
      <c r="C3909" t="s">
        <v>2670</v>
      </c>
      <c r="D3909" t="s">
        <v>1203</v>
      </c>
      <c r="E3909" t="s">
        <v>1204</v>
      </c>
      <c r="F3909">
        <v>5812</v>
      </c>
      <c r="G3909" t="s">
        <v>2671</v>
      </c>
      <c r="H3909" t="s">
        <v>2665</v>
      </c>
      <c r="I3909">
        <v>2618</v>
      </c>
      <c r="J3909">
        <v>2749</v>
      </c>
      <c r="K3909">
        <v>2886</v>
      </c>
      <c r="L3909">
        <v>3031</v>
      </c>
      <c r="M3909">
        <v>3182</v>
      </c>
      <c r="N3909" t="s">
        <v>988</v>
      </c>
    </row>
    <row r="3910" spans="1:14" hidden="1" x14ac:dyDescent="0.3">
      <c r="A3910">
        <v>2343</v>
      </c>
      <c r="B3910" t="s">
        <v>1995</v>
      </c>
      <c r="C3910" t="s">
        <v>2670</v>
      </c>
      <c r="D3910" t="s">
        <v>1203</v>
      </c>
      <c r="E3910" t="s">
        <v>1204</v>
      </c>
      <c r="F3910">
        <v>5812</v>
      </c>
      <c r="G3910" t="s">
        <v>2672</v>
      </c>
      <c r="H3910" t="s">
        <v>2664</v>
      </c>
      <c r="I3910">
        <v>2618</v>
      </c>
      <c r="J3910">
        <v>2749</v>
      </c>
      <c r="K3910">
        <v>2886</v>
      </c>
      <c r="L3910">
        <v>3031</v>
      </c>
      <c r="M3910">
        <v>3182</v>
      </c>
      <c r="N3910" t="s">
        <v>988</v>
      </c>
    </row>
    <row r="3911" spans="1:14" hidden="1" x14ac:dyDescent="0.3">
      <c r="A3911">
        <v>2343</v>
      </c>
      <c r="B3911" t="s">
        <v>1995</v>
      </c>
      <c r="C3911" t="s">
        <v>2670</v>
      </c>
      <c r="D3911" t="s">
        <v>1203</v>
      </c>
      <c r="E3911" t="s">
        <v>1204</v>
      </c>
      <c r="F3911">
        <v>5812</v>
      </c>
      <c r="G3911" t="s">
        <v>2672</v>
      </c>
      <c r="H3911" t="s">
        <v>2665</v>
      </c>
      <c r="I3911">
        <v>2618</v>
      </c>
      <c r="J3911">
        <v>2749</v>
      </c>
      <c r="K3911">
        <v>2886</v>
      </c>
      <c r="L3911">
        <v>3031</v>
      </c>
      <c r="M3911">
        <v>3182</v>
      </c>
      <c r="N3911" t="s">
        <v>988</v>
      </c>
    </row>
    <row r="3912" spans="1:14" hidden="1" x14ac:dyDescent="0.3">
      <c r="A3912">
        <v>2343</v>
      </c>
      <c r="B3912" t="s">
        <v>1995</v>
      </c>
      <c r="C3912" t="s">
        <v>2670</v>
      </c>
      <c r="D3912" t="s">
        <v>1203</v>
      </c>
      <c r="E3912" t="s">
        <v>1204</v>
      </c>
      <c r="F3912">
        <v>5812</v>
      </c>
      <c r="G3912" t="s">
        <v>2676</v>
      </c>
      <c r="H3912" t="s">
        <v>2664</v>
      </c>
      <c r="I3912">
        <v>2618</v>
      </c>
      <c r="J3912">
        <v>2749</v>
      </c>
      <c r="K3912">
        <v>2886</v>
      </c>
      <c r="L3912">
        <v>3031</v>
      </c>
      <c r="M3912">
        <v>3182</v>
      </c>
      <c r="N3912" t="s">
        <v>988</v>
      </c>
    </row>
    <row r="3913" spans="1:14" hidden="1" x14ac:dyDescent="0.3">
      <c r="A3913">
        <v>2343</v>
      </c>
      <c r="B3913" t="s">
        <v>1995</v>
      </c>
      <c r="C3913" t="s">
        <v>2670</v>
      </c>
      <c r="D3913" t="s">
        <v>1203</v>
      </c>
      <c r="E3913" t="s">
        <v>1204</v>
      </c>
      <c r="F3913">
        <v>5812</v>
      </c>
      <c r="G3913" t="s">
        <v>2676</v>
      </c>
      <c r="H3913" t="s">
        <v>2665</v>
      </c>
      <c r="I3913">
        <v>2618</v>
      </c>
      <c r="J3913">
        <v>2749</v>
      </c>
      <c r="K3913">
        <v>2886</v>
      </c>
      <c r="L3913">
        <v>3031</v>
      </c>
      <c r="M3913">
        <v>3182</v>
      </c>
      <c r="N3913" t="s">
        <v>988</v>
      </c>
    </row>
    <row r="3914" spans="1:14" hidden="1" x14ac:dyDescent="0.3">
      <c r="A3914">
        <v>2345</v>
      </c>
      <c r="B3914" t="s">
        <v>1997</v>
      </c>
      <c r="C3914" t="s">
        <v>2670</v>
      </c>
      <c r="D3914" t="s">
        <v>1203</v>
      </c>
      <c r="E3914" t="s">
        <v>1204</v>
      </c>
      <c r="F3914">
        <v>5554</v>
      </c>
      <c r="G3914" t="s">
        <v>2674</v>
      </c>
      <c r="H3914" t="s">
        <v>2665</v>
      </c>
      <c r="I3914">
        <v>5372</v>
      </c>
      <c r="J3914">
        <v>5414</v>
      </c>
      <c r="K3914">
        <v>5456</v>
      </c>
      <c r="L3914">
        <v>5499</v>
      </c>
      <c r="M3914">
        <v>5542</v>
      </c>
      <c r="N3914" t="s">
        <v>988</v>
      </c>
    </row>
    <row r="3915" spans="1:14" hidden="1" x14ac:dyDescent="0.3">
      <c r="A3915">
        <v>2345</v>
      </c>
      <c r="B3915" t="s">
        <v>1997</v>
      </c>
      <c r="C3915" t="s">
        <v>2670</v>
      </c>
      <c r="D3915" t="s">
        <v>1203</v>
      </c>
      <c r="E3915" t="s">
        <v>1204</v>
      </c>
      <c r="F3915">
        <v>5554</v>
      </c>
      <c r="G3915" t="s">
        <v>2673</v>
      </c>
      <c r="H3915" t="s">
        <v>2664</v>
      </c>
      <c r="I3915">
        <v>4550</v>
      </c>
      <c r="J3915">
        <v>4586</v>
      </c>
      <c r="K3915">
        <v>4622</v>
      </c>
      <c r="L3915">
        <v>4658</v>
      </c>
      <c r="M3915">
        <v>4694</v>
      </c>
      <c r="N3915" t="s">
        <v>988</v>
      </c>
    </row>
    <row r="3916" spans="1:14" hidden="1" x14ac:dyDescent="0.3">
      <c r="A3916">
        <v>2345</v>
      </c>
      <c r="B3916" t="s">
        <v>1997</v>
      </c>
      <c r="C3916" t="s">
        <v>2670</v>
      </c>
      <c r="D3916" t="s">
        <v>1203</v>
      </c>
      <c r="E3916" t="s">
        <v>1204</v>
      </c>
      <c r="F3916">
        <v>5554</v>
      </c>
      <c r="G3916" t="s">
        <v>2672</v>
      </c>
      <c r="H3916" t="s">
        <v>2665</v>
      </c>
      <c r="N3916" t="s">
        <v>988</v>
      </c>
    </row>
    <row r="3917" spans="1:14" hidden="1" x14ac:dyDescent="0.3">
      <c r="A3917">
        <v>2345</v>
      </c>
      <c r="B3917" t="s">
        <v>1997</v>
      </c>
      <c r="C3917" t="s">
        <v>2670</v>
      </c>
      <c r="D3917" t="s">
        <v>1203</v>
      </c>
      <c r="E3917" t="s">
        <v>1204</v>
      </c>
      <c r="F3917">
        <v>5554</v>
      </c>
      <c r="G3917" t="s">
        <v>2672</v>
      </c>
      <c r="H3917" t="s">
        <v>2664</v>
      </c>
      <c r="N3917" t="s">
        <v>988</v>
      </c>
    </row>
    <row r="3918" spans="1:14" hidden="1" x14ac:dyDescent="0.3">
      <c r="A3918">
        <v>2345</v>
      </c>
      <c r="B3918" t="s">
        <v>1997</v>
      </c>
      <c r="C3918" t="s">
        <v>2670</v>
      </c>
      <c r="D3918" t="s">
        <v>1203</v>
      </c>
      <c r="E3918" t="s">
        <v>1204</v>
      </c>
      <c r="F3918">
        <v>5554</v>
      </c>
      <c r="G3918" t="s">
        <v>2671</v>
      </c>
      <c r="H3918" t="s">
        <v>2665</v>
      </c>
      <c r="I3918">
        <v>3898</v>
      </c>
      <c r="J3918">
        <v>3928</v>
      </c>
      <c r="K3918">
        <v>3959</v>
      </c>
      <c r="L3918">
        <v>3990</v>
      </c>
      <c r="M3918">
        <v>4021</v>
      </c>
      <c r="N3918" t="s">
        <v>988</v>
      </c>
    </row>
    <row r="3919" spans="1:14" hidden="1" x14ac:dyDescent="0.3">
      <c r="A3919">
        <v>2345</v>
      </c>
      <c r="B3919" t="s">
        <v>1997</v>
      </c>
      <c r="C3919" t="s">
        <v>2670</v>
      </c>
      <c r="D3919" t="s">
        <v>1203</v>
      </c>
      <c r="E3919" t="s">
        <v>1204</v>
      </c>
      <c r="F3919">
        <v>5554</v>
      </c>
      <c r="G3919" t="s">
        <v>2674</v>
      </c>
      <c r="H3919" t="s">
        <v>2664</v>
      </c>
      <c r="I3919">
        <v>5372</v>
      </c>
      <c r="J3919">
        <v>5414</v>
      </c>
      <c r="K3919">
        <v>5456</v>
      </c>
      <c r="L3919">
        <v>5499</v>
      </c>
      <c r="M3919">
        <v>5542</v>
      </c>
      <c r="N3919" t="s">
        <v>988</v>
      </c>
    </row>
    <row r="3920" spans="1:14" hidden="1" x14ac:dyDescent="0.3">
      <c r="A3920">
        <v>2345</v>
      </c>
      <c r="B3920" t="s">
        <v>1997</v>
      </c>
      <c r="C3920" t="s">
        <v>2670</v>
      </c>
      <c r="D3920" t="s">
        <v>1203</v>
      </c>
      <c r="E3920" t="s">
        <v>1204</v>
      </c>
      <c r="F3920">
        <v>5554</v>
      </c>
      <c r="G3920" t="s">
        <v>2673</v>
      </c>
      <c r="H3920" t="s">
        <v>2665</v>
      </c>
      <c r="I3920">
        <v>4550</v>
      </c>
      <c r="J3920">
        <v>4586</v>
      </c>
      <c r="K3920">
        <v>4622</v>
      </c>
      <c r="L3920">
        <v>4658</v>
      </c>
      <c r="M3920">
        <v>4694</v>
      </c>
      <c r="N3920" t="s">
        <v>988</v>
      </c>
    </row>
    <row r="3921" spans="1:14" hidden="1" x14ac:dyDescent="0.3">
      <c r="A3921">
        <v>2345</v>
      </c>
      <c r="B3921" t="s">
        <v>1997</v>
      </c>
      <c r="C3921" t="s">
        <v>2670</v>
      </c>
      <c r="D3921" t="s">
        <v>1203</v>
      </c>
      <c r="E3921" t="s">
        <v>1204</v>
      </c>
      <c r="F3921">
        <v>5554</v>
      </c>
      <c r="G3921" t="s">
        <v>2676</v>
      </c>
      <c r="H3921" t="s">
        <v>2664</v>
      </c>
      <c r="I3921">
        <v>5225</v>
      </c>
      <c r="J3921">
        <v>5266</v>
      </c>
      <c r="K3921">
        <v>5307</v>
      </c>
      <c r="L3921">
        <v>5348</v>
      </c>
      <c r="M3921">
        <v>5390</v>
      </c>
      <c r="N3921" t="s">
        <v>988</v>
      </c>
    </row>
    <row r="3922" spans="1:14" hidden="1" x14ac:dyDescent="0.3">
      <c r="A3922">
        <v>2345</v>
      </c>
      <c r="B3922" t="s">
        <v>1997</v>
      </c>
      <c r="C3922" t="s">
        <v>2670</v>
      </c>
      <c r="D3922" t="s">
        <v>1203</v>
      </c>
      <c r="E3922" t="s">
        <v>1204</v>
      </c>
      <c r="F3922">
        <v>5554</v>
      </c>
      <c r="G3922" t="s">
        <v>2676</v>
      </c>
      <c r="H3922" t="s">
        <v>2665</v>
      </c>
      <c r="I3922">
        <v>5225</v>
      </c>
      <c r="J3922">
        <v>5266</v>
      </c>
      <c r="K3922">
        <v>5307</v>
      </c>
      <c r="L3922">
        <v>5348</v>
      </c>
      <c r="M3922">
        <v>5390</v>
      </c>
      <c r="N3922" t="s">
        <v>988</v>
      </c>
    </row>
    <row r="3923" spans="1:14" hidden="1" x14ac:dyDescent="0.3">
      <c r="A3923">
        <v>2345</v>
      </c>
      <c r="B3923" t="s">
        <v>1997</v>
      </c>
      <c r="C3923" t="s">
        <v>2670</v>
      </c>
      <c r="D3923" t="s">
        <v>1203</v>
      </c>
      <c r="E3923" t="s">
        <v>1204</v>
      </c>
      <c r="F3923">
        <v>5554</v>
      </c>
      <c r="G3923" t="s">
        <v>2675</v>
      </c>
      <c r="H3923" t="s">
        <v>2664</v>
      </c>
      <c r="I3923">
        <v>5369</v>
      </c>
      <c r="J3923">
        <v>5411</v>
      </c>
      <c r="K3923">
        <v>5453</v>
      </c>
      <c r="L3923">
        <v>5496</v>
      </c>
      <c r="M3923">
        <v>5539</v>
      </c>
      <c r="N3923" t="s">
        <v>988</v>
      </c>
    </row>
    <row r="3924" spans="1:14" hidden="1" x14ac:dyDescent="0.3">
      <c r="A3924">
        <v>2345</v>
      </c>
      <c r="B3924" t="s">
        <v>1997</v>
      </c>
      <c r="C3924" t="s">
        <v>2670</v>
      </c>
      <c r="D3924" t="s">
        <v>1203</v>
      </c>
      <c r="E3924" t="s">
        <v>1204</v>
      </c>
      <c r="F3924">
        <v>5554</v>
      </c>
      <c r="G3924" t="s">
        <v>2675</v>
      </c>
      <c r="H3924" t="s">
        <v>2665</v>
      </c>
      <c r="I3924">
        <v>5369</v>
      </c>
      <c r="J3924">
        <v>5411</v>
      </c>
      <c r="K3924">
        <v>5453</v>
      </c>
      <c r="L3924">
        <v>5496</v>
      </c>
      <c r="M3924">
        <v>5539</v>
      </c>
      <c r="N3924" t="s">
        <v>988</v>
      </c>
    </row>
    <row r="3925" spans="1:14" hidden="1" x14ac:dyDescent="0.3">
      <c r="A3925">
        <v>2345</v>
      </c>
      <c r="B3925" t="s">
        <v>1997</v>
      </c>
      <c r="C3925" t="s">
        <v>2670</v>
      </c>
      <c r="D3925" t="s">
        <v>1203</v>
      </c>
      <c r="E3925" t="s">
        <v>1204</v>
      </c>
      <c r="F3925">
        <v>5554</v>
      </c>
      <c r="G3925" t="s">
        <v>2671</v>
      </c>
      <c r="H3925" t="s">
        <v>2664</v>
      </c>
      <c r="I3925">
        <v>3898</v>
      </c>
      <c r="J3925">
        <v>3928</v>
      </c>
      <c r="K3925">
        <v>3959</v>
      </c>
      <c r="L3925">
        <v>3990</v>
      </c>
      <c r="M3925">
        <v>4021</v>
      </c>
      <c r="N3925" t="s">
        <v>988</v>
      </c>
    </row>
    <row r="3926" spans="1:14" hidden="1" x14ac:dyDescent="0.3">
      <c r="A3926">
        <v>2348</v>
      </c>
      <c r="B3926" t="s">
        <v>1998</v>
      </c>
      <c r="C3926" t="s">
        <v>2670</v>
      </c>
      <c r="D3926" t="s">
        <v>159</v>
      </c>
      <c r="E3926" t="s">
        <v>159</v>
      </c>
      <c r="F3926">
        <v>6953</v>
      </c>
      <c r="G3926" t="s">
        <v>2673</v>
      </c>
      <c r="H3926" t="s">
        <v>2665</v>
      </c>
      <c r="I3926">
        <v>5952</v>
      </c>
      <c r="J3926">
        <v>6063</v>
      </c>
      <c r="K3926">
        <v>6176</v>
      </c>
      <c r="L3926">
        <v>6291</v>
      </c>
      <c r="M3926">
        <v>6409</v>
      </c>
      <c r="N3926" t="s">
        <v>988</v>
      </c>
    </row>
    <row r="3927" spans="1:14" hidden="1" x14ac:dyDescent="0.3">
      <c r="A3927">
        <v>2348</v>
      </c>
      <c r="B3927" t="s">
        <v>1998</v>
      </c>
      <c r="C3927" t="s">
        <v>2670</v>
      </c>
      <c r="D3927" t="s">
        <v>159</v>
      </c>
      <c r="E3927" t="s">
        <v>159</v>
      </c>
      <c r="F3927">
        <v>6953</v>
      </c>
      <c r="G3927" t="s">
        <v>2673</v>
      </c>
      <c r="H3927" t="s">
        <v>2664</v>
      </c>
      <c r="I3927">
        <v>18125</v>
      </c>
      <c r="J3927">
        <v>18125</v>
      </c>
      <c r="K3927">
        <v>18125</v>
      </c>
      <c r="L3927">
        <v>18125</v>
      </c>
      <c r="M3927">
        <v>18125</v>
      </c>
      <c r="N3927" t="s">
        <v>988</v>
      </c>
    </row>
    <row r="3928" spans="1:14" hidden="1" x14ac:dyDescent="0.3">
      <c r="A3928">
        <v>2348</v>
      </c>
      <c r="B3928" t="s">
        <v>1998</v>
      </c>
      <c r="C3928" t="s">
        <v>2670</v>
      </c>
      <c r="D3928" t="s">
        <v>159</v>
      </c>
      <c r="E3928" t="s">
        <v>159</v>
      </c>
      <c r="F3928">
        <v>6953</v>
      </c>
      <c r="G3928" t="s">
        <v>2671</v>
      </c>
      <c r="H3928" t="s">
        <v>2664</v>
      </c>
      <c r="I3928">
        <v>13851</v>
      </c>
      <c r="J3928">
        <v>13851</v>
      </c>
      <c r="K3928">
        <v>13851</v>
      </c>
      <c r="L3928">
        <v>13851</v>
      </c>
      <c r="M3928">
        <v>13851</v>
      </c>
      <c r="N3928" t="s">
        <v>988</v>
      </c>
    </row>
    <row r="3929" spans="1:14" hidden="1" x14ac:dyDescent="0.3">
      <c r="A3929">
        <v>2348</v>
      </c>
      <c r="B3929" t="s">
        <v>1998</v>
      </c>
      <c r="C3929" t="s">
        <v>2670</v>
      </c>
      <c r="D3929" t="s">
        <v>159</v>
      </c>
      <c r="E3929" t="s">
        <v>159</v>
      </c>
      <c r="F3929">
        <v>6953</v>
      </c>
      <c r="G3929" t="s">
        <v>2671</v>
      </c>
      <c r="H3929" t="s">
        <v>2665</v>
      </c>
      <c r="I3929">
        <v>5974</v>
      </c>
      <c r="J3929">
        <v>6085</v>
      </c>
      <c r="K3929">
        <v>6199</v>
      </c>
      <c r="L3929">
        <v>6315</v>
      </c>
      <c r="M3929">
        <v>6432</v>
      </c>
      <c r="N3929" t="s">
        <v>988</v>
      </c>
    </row>
    <row r="3930" spans="1:14" hidden="1" x14ac:dyDescent="0.3">
      <c r="A3930">
        <v>2348</v>
      </c>
      <c r="B3930" t="s">
        <v>1998</v>
      </c>
      <c r="C3930" t="s">
        <v>2670</v>
      </c>
      <c r="D3930" t="s">
        <v>159</v>
      </c>
      <c r="E3930" t="s">
        <v>159</v>
      </c>
      <c r="F3930">
        <v>6953</v>
      </c>
      <c r="G3930" t="s">
        <v>2672</v>
      </c>
      <c r="H3930" t="s">
        <v>2664</v>
      </c>
      <c r="N3930" t="s">
        <v>988</v>
      </c>
    </row>
    <row r="3931" spans="1:14" hidden="1" x14ac:dyDescent="0.3">
      <c r="A3931">
        <v>2348</v>
      </c>
      <c r="B3931" t="s">
        <v>1998</v>
      </c>
      <c r="C3931" t="s">
        <v>2670</v>
      </c>
      <c r="D3931" t="s">
        <v>159</v>
      </c>
      <c r="E3931" t="s">
        <v>159</v>
      </c>
      <c r="F3931">
        <v>6953</v>
      </c>
      <c r="G3931" t="s">
        <v>2672</v>
      </c>
      <c r="H3931" t="s">
        <v>2665</v>
      </c>
      <c r="N3931" t="s">
        <v>988</v>
      </c>
    </row>
    <row r="3932" spans="1:14" hidden="1" x14ac:dyDescent="0.3">
      <c r="A3932">
        <v>2348</v>
      </c>
      <c r="B3932" t="s">
        <v>1998</v>
      </c>
      <c r="C3932" t="s">
        <v>2670</v>
      </c>
      <c r="D3932" t="s">
        <v>159</v>
      </c>
      <c r="E3932" t="s">
        <v>159</v>
      </c>
      <c r="F3932">
        <v>6953</v>
      </c>
      <c r="G3932" t="s">
        <v>2676</v>
      </c>
      <c r="H3932" t="s">
        <v>2664</v>
      </c>
      <c r="I3932">
        <v>32050</v>
      </c>
      <c r="J3932">
        <v>32050</v>
      </c>
      <c r="K3932">
        <v>32050</v>
      </c>
      <c r="L3932">
        <v>32050</v>
      </c>
      <c r="M3932">
        <v>32050</v>
      </c>
      <c r="N3932" t="s">
        <v>988</v>
      </c>
    </row>
    <row r="3933" spans="1:14" hidden="1" x14ac:dyDescent="0.3">
      <c r="A3933">
        <v>2348</v>
      </c>
      <c r="B3933" t="s">
        <v>1998</v>
      </c>
      <c r="C3933" t="s">
        <v>2670</v>
      </c>
      <c r="D3933" t="s">
        <v>159</v>
      </c>
      <c r="E3933" t="s">
        <v>159</v>
      </c>
      <c r="F3933">
        <v>6953</v>
      </c>
      <c r="G3933" t="s">
        <v>2676</v>
      </c>
      <c r="H3933" t="s">
        <v>2665</v>
      </c>
      <c r="I3933">
        <v>5885.89</v>
      </c>
      <c r="J3933">
        <v>5995.79</v>
      </c>
      <c r="K3933">
        <v>6107.74</v>
      </c>
      <c r="L3933">
        <v>6221.79</v>
      </c>
      <c r="M3933">
        <v>6337.96</v>
      </c>
      <c r="N3933" t="s">
        <v>988</v>
      </c>
    </row>
    <row r="3934" spans="1:14" hidden="1" x14ac:dyDescent="0.3">
      <c r="A3934">
        <v>2348</v>
      </c>
      <c r="B3934" t="s">
        <v>1998</v>
      </c>
      <c r="C3934" t="s">
        <v>2670</v>
      </c>
      <c r="D3934" t="s">
        <v>159</v>
      </c>
      <c r="E3934" t="s">
        <v>159</v>
      </c>
      <c r="F3934">
        <v>6953</v>
      </c>
      <c r="G3934" t="s">
        <v>2675</v>
      </c>
      <c r="H3934" t="s">
        <v>2665</v>
      </c>
      <c r="I3934">
        <v>5908</v>
      </c>
      <c r="J3934">
        <v>6018</v>
      </c>
      <c r="K3934">
        <v>6130</v>
      </c>
      <c r="L3934">
        <v>6245</v>
      </c>
      <c r="M3934">
        <v>6361</v>
      </c>
      <c r="N3934" t="s">
        <v>988</v>
      </c>
    </row>
    <row r="3935" spans="1:14" hidden="1" x14ac:dyDescent="0.3">
      <c r="A3935">
        <v>2348</v>
      </c>
      <c r="B3935" t="s">
        <v>1998</v>
      </c>
      <c r="C3935" t="s">
        <v>2670</v>
      </c>
      <c r="D3935" t="s">
        <v>159</v>
      </c>
      <c r="E3935" t="s">
        <v>159</v>
      </c>
      <c r="F3935">
        <v>6953</v>
      </c>
      <c r="G3935" t="s">
        <v>2674</v>
      </c>
      <c r="H3935" t="s">
        <v>2664</v>
      </c>
      <c r="I3935">
        <v>22355</v>
      </c>
      <c r="J3935">
        <v>22355</v>
      </c>
      <c r="K3935">
        <v>22355</v>
      </c>
      <c r="L3935">
        <v>22355</v>
      </c>
      <c r="M3935">
        <v>22355</v>
      </c>
      <c r="N3935" t="s">
        <v>988</v>
      </c>
    </row>
    <row r="3936" spans="1:14" hidden="1" x14ac:dyDescent="0.3">
      <c r="A3936">
        <v>2348</v>
      </c>
      <c r="B3936" t="s">
        <v>1998</v>
      </c>
      <c r="C3936" t="s">
        <v>2670</v>
      </c>
      <c r="D3936" t="s">
        <v>159</v>
      </c>
      <c r="E3936" t="s">
        <v>159</v>
      </c>
      <c r="F3936">
        <v>6953</v>
      </c>
      <c r="G3936" t="s">
        <v>2674</v>
      </c>
      <c r="H3936" t="s">
        <v>2665</v>
      </c>
      <c r="I3936">
        <v>5930</v>
      </c>
      <c r="J3936">
        <v>6040</v>
      </c>
      <c r="K3936">
        <v>6153</v>
      </c>
      <c r="L3936">
        <v>6268</v>
      </c>
      <c r="M3936">
        <v>6385</v>
      </c>
      <c r="N3936" t="s">
        <v>988</v>
      </c>
    </row>
    <row r="3937" spans="1:14" hidden="1" x14ac:dyDescent="0.3">
      <c r="A3937">
        <v>2348</v>
      </c>
      <c r="B3937" t="s">
        <v>1998</v>
      </c>
      <c r="C3937" t="s">
        <v>2670</v>
      </c>
      <c r="D3937" t="s">
        <v>159</v>
      </c>
      <c r="E3937" t="s">
        <v>159</v>
      </c>
      <c r="F3937">
        <v>6953</v>
      </c>
      <c r="G3937" t="s">
        <v>2675</v>
      </c>
      <c r="H3937" t="s">
        <v>2664</v>
      </c>
      <c r="I3937">
        <v>28131</v>
      </c>
      <c r="J3937">
        <v>28131</v>
      </c>
      <c r="K3937">
        <v>28131</v>
      </c>
      <c r="L3937">
        <v>28131</v>
      </c>
      <c r="M3937">
        <v>28131</v>
      </c>
      <c r="N3937" t="s">
        <v>988</v>
      </c>
    </row>
    <row r="3938" spans="1:14" hidden="1" x14ac:dyDescent="0.3">
      <c r="A3938">
        <v>2381</v>
      </c>
      <c r="B3938" t="s">
        <v>2000</v>
      </c>
      <c r="C3938" t="s">
        <v>2670</v>
      </c>
      <c r="D3938" t="s">
        <v>159</v>
      </c>
      <c r="E3938" t="s">
        <v>159</v>
      </c>
      <c r="F3938">
        <v>7791</v>
      </c>
      <c r="G3938" t="s">
        <v>2672</v>
      </c>
      <c r="H3938" t="s">
        <v>2665</v>
      </c>
      <c r="N3938" t="s">
        <v>988</v>
      </c>
    </row>
    <row r="3939" spans="1:14" hidden="1" x14ac:dyDescent="0.3">
      <c r="A3939">
        <v>2381</v>
      </c>
      <c r="B3939" t="s">
        <v>2000</v>
      </c>
      <c r="C3939" t="s">
        <v>2670</v>
      </c>
      <c r="D3939" t="s">
        <v>159</v>
      </c>
      <c r="E3939" t="s">
        <v>159</v>
      </c>
      <c r="F3939">
        <v>7791</v>
      </c>
      <c r="G3939" t="s">
        <v>2672</v>
      </c>
      <c r="H3939" t="s">
        <v>2664</v>
      </c>
      <c r="N3939" t="s">
        <v>988</v>
      </c>
    </row>
    <row r="3940" spans="1:14" hidden="1" x14ac:dyDescent="0.3">
      <c r="A3940">
        <v>2381</v>
      </c>
      <c r="B3940" t="s">
        <v>2000</v>
      </c>
      <c r="C3940" t="s">
        <v>2670</v>
      </c>
      <c r="D3940" t="s">
        <v>159</v>
      </c>
      <c r="E3940" t="s">
        <v>159</v>
      </c>
      <c r="F3940">
        <v>7791</v>
      </c>
      <c r="G3940" t="s">
        <v>2671</v>
      </c>
      <c r="H3940" t="s">
        <v>2665</v>
      </c>
      <c r="I3940">
        <v>37260</v>
      </c>
      <c r="J3940">
        <v>42104</v>
      </c>
      <c r="K3940">
        <v>47387</v>
      </c>
      <c r="L3940">
        <v>48444</v>
      </c>
      <c r="M3940">
        <v>48444</v>
      </c>
      <c r="N3940" t="s">
        <v>988</v>
      </c>
    </row>
    <row r="3941" spans="1:14" hidden="1" x14ac:dyDescent="0.3">
      <c r="A3941">
        <v>2381</v>
      </c>
      <c r="B3941" t="s">
        <v>2000</v>
      </c>
      <c r="C3941" t="s">
        <v>2670</v>
      </c>
      <c r="D3941" t="s">
        <v>159</v>
      </c>
      <c r="E3941" t="s">
        <v>159</v>
      </c>
      <c r="F3941">
        <v>7791</v>
      </c>
      <c r="G3941" t="s">
        <v>2671</v>
      </c>
      <c r="H3941" t="s">
        <v>2664</v>
      </c>
      <c r="I3941">
        <v>78300</v>
      </c>
      <c r="J3941">
        <v>86300</v>
      </c>
      <c r="K3941">
        <v>86500</v>
      </c>
      <c r="L3941">
        <v>86500</v>
      </c>
      <c r="M3941">
        <v>86500</v>
      </c>
      <c r="N3941" t="s">
        <v>988</v>
      </c>
    </row>
    <row r="3942" spans="1:14" hidden="1" x14ac:dyDescent="0.3">
      <c r="A3942">
        <v>2381</v>
      </c>
      <c r="B3942" t="s">
        <v>2000</v>
      </c>
      <c r="C3942" t="s">
        <v>2670</v>
      </c>
      <c r="D3942" t="s">
        <v>159</v>
      </c>
      <c r="E3942" t="s">
        <v>159</v>
      </c>
      <c r="F3942">
        <v>7791</v>
      </c>
      <c r="G3942" t="s">
        <v>2673</v>
      </c>
      <c r="H3942" t="s">
        <v>2665</v>
      </c>
      <c r="I3942">
        <v>36642</v>
      </c>
      <c r="J3942">
        <v>41048</v>
      </c>
      <c r="K3942">
        <v>46331</v>
      </c>
      <c r="L3942">
        <v>48444</v>
      </c>
      <c r="M3942">
        <v>48444</v>
      </c>
      <c r="N3942" t="s">
        <v>988</v>
      </c>
    </row>
    <row r="3943" spans="1:14" hidden="1" x14ac:dyDescent="0.3">
      <c r="A3943">
        <v>2381</v>
      </c>
      <c r="B3943" t="s">
        <v>2000</v>
      </c>
      <c r="C3943" t="s">
        <v>2670</v>
      </c>
      <c r="D3943" t="s">
        <v>159</v>
      </c>
      <c r="E3943" t="s">
        <v>159</v>
      </c>
      <c r="F3943">
        <v>7791</v>
      </c>
      <c r="G3943" t="s">
        <v>2676</v>
      </c>
      <c r="H3943" t="s">
        <v>2664</v>
      </c>
      <c r="I3943">
        <v>74800</v>
      </c>
      <c r="J3943">
        <v>82500</v>
      </c>
      <c r="K3943">
        <v>82700</v>
      </c>
      <c r="L3943">
        <v>82700</v>
      </c>
      <c r="M3943">
        <v>82700</v>
      </c>
      <c r="N3943" t="s">
        <v>988</v>
      </c>
    </row>
    <row r="3944" spans="1:14" hidden="1" x14ac:dyDescent="0.3">
      <c r="A3944">
        <v>2381</v>
      </c>
      <c r="B3944" t="s">
        <v>2000</v>
      </c>
      <c r="C3944" t="s">
        <v>2670</v>
      </c>
      <c r="D3944" t="s">
        <v>159</v>
      </c>
      <c r="E3944" t="s">
        <v>159</v>
      </c>
      <c r="F3944">
        <v>7791</v>
      </c>
      <c r="G3944" t="s">
        <v>2674</v>
      </c>
      <c r="H3944" t="s">
        <v>2665</v>
      </c>
      <c r="I3944">
        <v>36025</v>
      </c>
      <c r="J3944">
        <v>39991</v>
      </c>
      <c r="K3944">
        <v>45274</v>
      </c>
      <c r="L3944">
        <v>48444</v>
      </c>
      <c r="M3944">
        <v>48444</v>
      </c>
      <c r="N3944" t="s">
        <v>988</v>
      </c>
    </row>
    <row r="3945" spans="1:14" hidden="1" x14ac:dyDescent="0.3">
      <c r="A3945">
        <v>2381</v>
      </c>
      <c r="B3945" t="s">
        <v>2000</v>
      </c>
      <c r="C3945" t="s">
        <v>2670</v>
      </c>
      <c r="D3945" t="s">
        <v>159</v>
      </c>
      <c r="E3945" t="s">
        <v>159</v>
      </c>
      <c r="F3945">
        <v>7791</v>
      </c>
      <c r="G3945" t="s">
        <v>2674</v>
      </c>
      <c r="H3945" t="s">
        <v>2664</v>
      </c>
      <c r="I3945">
        <v>56100</v>
      </c>
      <c r="J3945">
        <v>61900</v>
      </c>
      <c r="K3945">
        <v>62100</v>
      </c>
      <c r="L3945">
        <v>62100</v>
      </c>
      <c r="M3945">
        <v>62100</v>
      </c>
      <c r="N3945" t="s">
        <v>988</v>
      </c>
    </row>
    <row r="3946" spans="1:14" hidden="1" x14ac:dyDescent="0.3">
      <c r="A3946">
        <v>2381</v>
      </c>
      <c r="B3946" t="s">
        <v>2000</v>
      </c>
      <c r="C3946" t="s">
        <v>2670</v>
      </c>
      <c r="D3946" t="s">
        <v>159</v>
      </c>
      <c r="E3946" t="s">
        <v>159</v>
      </c>
      <c r="F3946">
        <v>7791</v>
      </c>
      <c r="G3946" t="s">
        <v>2675</v>
      </c>
      <c r="H3946" t="s">
        <v>2665</v>
      </c>
      <c r="I3946">
        <v>35407</v>
      </c>
      <c r="J3946">
        <v>38935</v>
      </c>
      <c r="K3946">
        <v>44218</v>
      </c>
      <c r="L3946">
        <v>48444</v>
      </c>
      <c r="M3946">
        <v>48444</v>
      </c>
      <c r="N3946" t="s">
        <v>988</v>
      </c>
    </row>
    <row r="3947" spans="1:14" hidden="1" x14ac:dyDescent="0.3">
      <c r="A3947">
        <v>2381</v>
      </c>
      <c r="B3947" t="s">
        <v>2000</v>
      </c>
      <c r="C3947" t="s">
        <v>2670</v>
      </c>
      <c r="D3947" t="s">
        <v>159</v>
      </c>
      <c r="E3947" t="s">
        <v>159</v>
      </c>
      <c r="F3947">
        <v>7791</v>
      </c>
      <c r="G3947" t="s">
        <v>2675</v>
      </c>
      <c r="H3947" t="s">
        <v>2664</v>
      </c>
      <c r="I3947">
        <v>66800</v>
      </c>
      <c r="J3947">
        <v>74600</v>
      </c>
      <c r="K3947">
        <v>74800</v>
      </c>
      <c r="L3947">
        <v>74800</v>
      </c>
      <c r="M3947">
        <v>74800</v>
      </c>
      <c r="N3947" t="s">
        <v>988</v>
      </c>
    </row>
    <row r="3948" spans="1:14" hidden="1" x14ac:dyDescent="0.3">
      <c r="A3948">
        <v>2381</v>
      </c>
      <c r="B3948" t="s">
        <v>2000</v>
      </c>
      <c r="C3948" t="s">
        <v>2670</v>
      </c>
      <c r="D3948" t="s">
        <v>159</v>
      </c>
      <c r="E3948" t="s">
        <v>159</v>
      </c>
      <c r="F3948">
        <v>7791</v>
      </c>
      <c r="G3948" t="s">
        <v>2676</v>
      </c>
      <c r="H3948" t="s">
        <v>2665</v>
      </c>
      <c r="I3948">
        <v>34789</v>
      </c>
      <c r="J3948">
        <v>37878</v>
      </c>
      <c r="K3948">
        <v>43161</v>
      </c>
      <c r="L3948">
        <v>48444</v>
      </c>
      <c r="M3948">
        <v>48444</v>
      </c>
      <c r="N3948" t="s">
        <v>988</v>
      </c>
    </row>
    <row r="3949" spans="1:14" hidden="1" x14ac:dyDescent="0.3">
      <c r="A3949">
        <v>2381</v>
      </c>
      <c r="B3949" t="s">
        <v>2000</v>
      </c>
      <c r="C3949" t="s">
        <v>2670</v>
      </c>
      <c r="D3949" t="s">
        <v>159</v>
      </c>
      <c r="E3949" t="s">
        <v>159</v>
      </c>
      <c r="F3949">
        <v>7791</v>
      </c>
      <c r="G3949" t="s">
        <v>2673</v>
      </c>
      <c r="H3949" t="s">
        <v>2664</v>
      </c>
      <c r="I3949">
        <v>55000</v>
      </c>
      <c r="J3949">
        <v>60700</v>
      </c>
      <c r="K3949">
        <v>60900</v>
      </c>
      <c r="L3949">
        <v>60900</v>
      </c>
      <c r="M3949">
        <v>60900</v>
      </c>
      <c r="N3949" t="s">
        <v>988</v>
      </c>
    </row>
    <row r="3950" spans="1:14" hidden="1" x14ac:dyDescent="0.3">
      <c r="A3950">
        <v>2401</v>
      </c>
      <c r="B3950" t="s">
        <v>2006</v>
      </c>
      <c r="C3950" t="s">
        <v>2670</v>
      </c>
      <c r="D3950" t="s">
        <v>1203</v>
      </c>
      <c r="E3950" t="s">
        <v>1204</v>
      </c>
      <c r="F3950">
        <v>5710</v>
      </c>
      <c r="G3950" t="s">
        <v>2671</v>
      </c>
      <c r="H3950" t="s">
        <v>2665</v>
      </c>
      <c r="I3950">
        <v>24373.8</v>
      </c>
      <c r="J3950">
        <v>24609.5</v>
      </c>
      <c r="K3950">
        <v>24847.599999999999</v>
      </c>
      <c r="L3950">
        <v>25088.1</v>
      </c>
      <c r="M3950">
        <v>25330.9</v>
      </c>
      <c r="N3950" t="s">
        <v>988</v>
      </c>
    </row>
    <row r="3951" spans="1:14" hidden="1" x14ac:dyDescent="0.3">
      <c r="A3951">
        <v>2401</v>
      </c>
      <c r="B3951" t="s">
        <v>2006</v>
      </c>
      <c r="C3951" t="s">
        <v>2670</v>
      </c>
      <c r="D3951" t="s">
        <v>1203</v>
      </c>
      <c r="E3951" t="s">
        <v>1204</v>
      </c>
      <c r="F3951">
        <v>5710</v>
      </c>
      <c r="G3951" t="s">
        <v>2672</v>
      </c>
      <c r="H3951" t="s">
        <v>2664</v>
      </c>
      <c r="N3951" t="s">
        <v>988</v>
      </c>
    </row>
    <row r="3952" spans="1:14" hidden="1" x14ac:dyDescent="0.3">
      <c r="A3952">
        <v>2401</v>
      </c>
      <c r="B3952" t="s">
        <v>2006</v>
      </c>
      <c r="C3952" t="s">
        <v>2670</v>
      </c>
      <c r="D3952" t="s">
        <v>1203</v>
      </c>
      <c r="E3952" t="s">
        <v>1204</v>
      </c>
      <c r="F3952">
        <v>5710</v>
      </c>
      <c r="G3952" t="s">
        <v>2672</v>
      </c>
      <c r="H3952" t="s">
        <v>2665</v>
      </c>
      <c r="N3952" t="s">
        <v>988</v>
      </c>
    </row>
    <row r="3953" spans="1:14" hidden="1" x14ac:dyDescent="0.3">
      <c r="A3953">
        <v>2401</v>
      </c>
      <c r="B3953" t="s">
        <v>2006</v>
      </c>
      <c r="C3953" t="s">
        <v>2670</v>
      </c>
      <c r="D3953" t="s">
        <v>1203</v>
      </c>
      <c r="E3953" t="s">
        <v>1204</v>
      </c>
      <c r="F3953">
        <v>5710</v>
      </c>
      <c r="G3953" t="s">
        <v>2676</v>
      </c>
      <c r="H3953" t="s">
        <v>2664</v>
      </c>
      <c r="I3953">
        <v>33945.199999999997</v>
      </c>
      <c r="J3953">
        <v>33945.199999999997</v>
      </c>
      <c r="K3953">
        <v>33945.199999999997</v>
      </c>
      <c r="L3953">
        <v>33945.199999999997</v>
      </c>
      <c r="M3953">
        <v>33945.199999999997</v>
      </c>
      <c r="N3953" t="s">
        <v>988</v>
      </c>
    </row>
    <row r="3954" spans="1:14" hidden="1" x14ac:dyDescent="0.3">
      <c r="A3954">
        <v>2401</v>
      </c>
      <c r="B3954" t="s">
        <v>2006</v>
      </c>
      <c r="C3954" t="s">
        <v>2670</v>
      </c>
      <c r="D3954" t="s">
        <v>1203</v>
      </c>
      <c r="E3954" t="s">
        <v>1204</v>
      </c>
      <c r="F3954">
        <v>5710</v>
      </c>
      <c r="G3954" t="s">
        <v>2676</v>
      </c>
      <c r="H3954" t="s">
        <v>2665</v>
      </c>
      <c r="I3954">
        <v>24373.8</v>
      </c>
      <c r="J3954">
        <v>24609.5</v>
      </c>
      <c r="K3954">
        <v>24847.599999999999</v>
      </c>
      <c r="L3954">
        <v>25088.1</v>
      </c>
      <c r="M3954">
        <v>25330.9</v>
      </c>
      <c r="N3954" t="s">
        <v>988</v>
      </c>
    </row>
    <row r="3955" spans="1:14" hidden="1" x14ac:dyDescent="0.3">
      <c r="A3955">
        <v>2401</v>
      </c>
      <c r="B3955" t="s">
        <v>2006</v>
      </c>
      <c r="C3955" t="s">
        <v>2670</v>
      </c>
      <c r="D3955" t="s">
        <v>1203</v>
      </c>
      <c r="E3955" t="s">
        <v>1204</v>
      </c>
      <c r="F3955">
        <v>5710</v>
      </c>
      <c r="G3955" t="s">
        <v>2671</v>
      </c>
      <c r="H3955" t="s">
        <v>2664</v>
      </c>
      <c r="I3955">
        <v>36662.400000000001</v>
      </c>
      <c r="J3955">
        <v>36662.400000000001</v>
      </c>
      <c r="K3955">
        <v>36662.400000000001</v>
      </c>
      <c r="L3955">
        <v>36662.400000000001</v>
      </c>
      <c r="M3955">
        <v>36662.400000000001</v>
      </c>
      <c r="N3955" t="s">
        <v>988</v>
      </c>
    </row>
    <row r="3956" spans="1:14" hidden="1" x14ac:dyDescent="0.3">
      <c r="A3956">
        <v>2401</v>
      </c>
      <c r="B3956" t="s">
        <v>2006</v>
      </c>
      <c r="C3956" t="s">
        <v>2670</v>
      </c>
      <c r="D3956" t="s">
        <v>1203</v>
      </c>
      <c r="E3956" t="s">
        <v>1204</v>
      </c>
      <c r="F3956">
        <v>5710</v>
      </c>
      <c r="G3956" t="s">
        <v>2675</v>
      </c>
      <c r="H3956" t="s">
        <v>2665</v>
      </c>
      <c r="I3956">
        <v>24373.8</v>
      </c>
      <c r="J3956">
        <v>24609.5</v>
      </c>
      <c r="K3956">
        <v>24847.599999999999</v>
      </c>
      <c r="L3956">
        <v>25088.1</v>
      </c>
      <c r="M3956">
        <v>25330.9</v>
      </c>
      <c r="N3956" t="s">
        <v>988</v>
      </c>
    </row>
    <row r="3957" spans="1:14" hidden="1" x14ac:dyDescent="0.3">
      <c r="A3957">
        <v>2401</v>
      </c>
      <c r="B3957" t="s">
        <v>2006</v>
      </c>
      <c r="C3957" t="s">
        <v>2670</v>
      </c>
      <c r="D3957" t="s">
        <v>1203</v>
      </c>
      <c r="E3957" t="s">
        <v>1204</v>
      </c>
      <c r="F3957">
        <v>5710</v>
      </c>
      <c r="G3957" t="s">
        <v>2674</v>
      </c>
      <c r="H3957" t="s">
        <v>2664</v>
      </c>
      <c r="I3957">
        <v>32481.1</v>
      </c>
      <c r="J3957">
        <v>32481.1</v>
      </c>
      <c r="K3957">
        <v>32481.1</v>
      </c>
      <c r="L3957">
        <v>32481.1</v>
      </c>
      <c r="M3957">
        <v>32481.1</v>
      </c>
      <c r="N3957" t="s">
        <v>988</v>
      </c>
    </row>
    <row r="3958" spans="1:14" hidden="1" x14ac:dyDescent="0.3">
      <c r="A3958">
        <v>2401</v>
      </c>
      <c r="B3958" t="s">
        <v>2006</v>
      </c>
      <c r="C3958" t="s">
        <v>2670</v>
      </c>
      <c r="D3958" t="s">
        <v>1203</v>
      </c>
      <c r="E3958" t="s">
        <v>1204</v>
      </c>
      <c r="F3958">
        <v>5710</v>
      </c>
      <c r="G3958" t="s">
        <v>2674</v>
      </c>
      <c r="H3958" t="s">
        <v>2665</v>
      </c>
      <c r="I3958">
        <v>24373.8</v>
      </c>
      <c r="J3958">
        <v>24609.5</v>
      </c>
      <c r="K3958">
        <v>24847.599999999999</v>
      </c>
      <c r="L3958">
        <v>25088.1</v>
      </c>
      <c r="M3958">
        <v>25330.9</v>
      </c>
      <c r="N3958" t="s">
        <v>988</v>
      </c>
    </row>
    <row r="3959" spans="1:14" hidden="1" x14ac:dyDescent="0.3">
      <c r="A3959">
        <v>2401</v>
      </c>
      <c r="B3959" t="s">
        <v>2006</v>
      </c>
      <c r="C3959" t="s">
        <v>2670</v>
      </c>
      <c r="D3959" t="s">
        <v>1203</v>
      </c>
      <c r="E3959" t="s">
        <v>1204</v>
      </c>
      <c r="F3959">
        <v>5710</v>
      </c>
      <c r="G3959" t="s">
        <v>2673</v>
      </c>
      <c r="H3959" t="s">
        <v>2664</v>
      </c>
      <c r="I3959">
        <v>29578.799999999999</v>
      </c>
      <c r="J3959">
        <v>29578.799999999999</v>
      </c>
      <c r="K3959">
        <v>29578.799999999999</v>
      </c>
      <c r="L3959">
        <v>29578.799999999999</v>
      </c>
      <c r="M3959">
        <v>29578.799999999999</v>
      </c>
      <c r="N3959" t="s">
        <v>988</v>
      </c>
    </row>
    <row r="3960" spans="1:14" hidden="1" x14ac:dyDescent="0.3">
      <c r="A3960">
        <v>2401</v>
      </c>
      <c r="B3960" t="s">
        <v>2006</v>
      </c>
      <c r="C3960" t="s">
        <v>2670</v>
      </c>
      <c r="D3960" t="s">
        <v>1203</v>
      </c>
      <c r="E3960" t="s">
        <v>1204</v>
      </c>
      <c r="F3960">
        <v>5710</v>
      </c>
      <c r="G3960" t="s">
        <v>2673</v>
      </c>
      <c r="H3960" t="s">
        <v>2665</v>
      </c>
      <c r="I3960">
        <v>24373.8</v>
      </c>
      <c r="J3960">
        <v>24609.5</v>
      </c>
      <c r="K3960">
        <v>24847.599999999999</v>
      </c>
      <c r="L3960">
        <v>25088.1</v>
      </c>
      <c r="M3960">
        <v>25330.9</v>
      </c>
      <c r="N3960" t="s">
        <v>988</v>
      </c>
    </row>
    <row r="3961" spans="1:14" hidden="1" x14ac:dyDescent="0.3">
      <c r="A3961">
        <v>2401</v>
      </c>
      <c r="B3961" t="s">
        <v>2006</v>
      </c>
      <c r="C3961" t="s">
        <v>2670</v>
      </c>
      <c r="D3961" t="s">
        <v>1203</v>
      </c>
      <c r="E3961" t="s">
        <v>1204</v>
      </c>
      <c r="F3961">
        <v>5710</v>
      </c>
      <c r="G3961" t="s">
        <v>2675</v>
      </c>
      <c r="H3961" t="s">
        <v>2664</v>
      </c>
      <c r="I3961">
        <v>32893.199999999997</v>
      </c>
      <c r="J3961">
        <v>32893.199999999997</v>
      </c>
      <c r="K3961">
        <v>32893.199999999997</v>
      </c>
      <c r="L3961">
        <v>32893.199999999997</v>
      </c>
      <c r="M3961">
        <v>32893.199999999997</v>
      </c>
      <c r="N3961" t="s">
        <v>988</v>
      </c>
    </row>
    <row r="3962" spans="1:14" hidden="1" x14ac:dyDescent="0.3">
      <c r="A3962">
        <v>2402</v>
      </c>
      <c r="B3962" t="s">
        <v>2008</v>
      </c>
      <c r="C3962" t="s">
        <v>2670</v>
      </c>
      <c r="D3962" t="s">
        <v>1203</v>
      </c>
      <c r="E3962" t="s">
        <v>1204</v>
      </c>
      <c r="F3962">
        <v>5714</v>
      </c>
      <c r="G3962" t="s">
        <v>2676</v>
      </c>
      <c r="H3962" t="s">
        <v>2664</v>
      </c>
      <c r="I3962">
        <v>21503.5</v>
      </c>
      <c r="J3962">
        <v>21503.5</v>
      </c>
      <c r="K3962">
        <v>21503.5</v>
      </c>
      <c r="L3962">
        <v>21503.5</v>
      </c>
      <c r="M3962">
        <v>21503.5</v>
      </c>
      <c r="N3962" t="s">
        <v>988</v>
      </c>
    </row>
    <row r="3963" spans="1:14" hidden="1" x14ac:dyDescent="0.3">
      <c r="A3963">
        <v>2402</v>
      </c>
      <c r="B3963" t="s">
        <v>2008</v>
      </c>
      <c r="C3963" t="s">
        <v>2670</v>
      </c>
      <c r="D3963" t="s">
        <v>1203</v>
      </c>
      <c r="E3963" t="s">
        <v>1204</v>
      </c>
      <c r="F3963">
        <v>5714</v>
      </c>
      <c r="G3963" t="s">
        <v>2672</v>
      </c>
      <c r="H3963" t="s">
        <v>2665</v>
      </c>
      <c r="N3963" t="s">
        <v>988</v>
      </c>
    </row>
    <row r="3964" spans="1:14" hidden="1" x14ac:dyDescent="0.3">
      <c r="A3964">
        <v>2402</v>
      </c>
      <c r="B3964" t="s">
        <v>2008</v>
      </c>
      <c r="C3964" t="s">
        <v>2670</v>
      </c>
      <c r="D3964" t="s">
        <v>1203</v>
      </c>
      <c r="E3964" t="s">
        <v>1204</v>
      </c>
      <c r="F3964">
        <v>5714</v>
      </c>
      <c r="G3964" t="s">
        <v>2672</v>
      </c>
      <c r="H3964" t="s">
        <v>2664</v>
      </c>
      <c r="N3964" t="s">
        <v>988</v>
      </c>
    </row>
    <row r="3965" spans="1:14" hidden="1" x14ac:dyDescent="0.3">
      <c r="A3965">
        <v>2402</v>
      </c>
      <c r="B3965" t="s">
        <v>2008</v>
      </c>
      <c r="C3965" t="s">
        <v>2670</v>
      </c>
      <c r="D3965" t="s">
        <v>1203</v>
      </c>
      <c r="E3965" t="s">
        <v>1204</v>
      </c>
      <c r="F3965">
        <v>5714</v>
      </c>
      <c r="G3965" t="s">
        <v>2671</v>
      </c>
      <c r="H3965" t="s">
        <v>2665</v>
      </c>
      <c r="I3965">
        <v>19687.7</v>
      </c>
      <c r="J3965">
        <v>19835.7</v>
      </c>
      <c r="K3965">
        <v>19984.900000000001</v>
      </c>
      <c r="L3965">
        <v>20135.2</v>
      </c>
      <c r="M3965">
        <v>20286.7</v>
      </c>
      <c r="N3965" t="s">
        <v>988</v>
      </c>
    </row>
    <row r="3966" spans="1:14" hidden="1" x14ac:dyDescent="0.3">
      <c r="A3966">
        <v>2402</v>
      </c>
      <c r="B3966" t="s">
        <v>2008</v>
      </c>
      <c r="C3966" t="s">
        <v>2670</v>
      </c>
      <c r="D3966" t="s">
        <v>1203</v>
      </c>
      <c r="E3966" t="s">
        <v>1204</v>
      </c>
      <c r="F3966">
        <v>5714</v>
      </c>
      <c r="G3966" t="s">
        <v>2671</v>
      </c>
      <c r="H3966" t="s">
        <v>2664</v>
      </c>
      <c r="I3966">
        <v>20104</v>
      </c>
      <c r="J3966">
        <v>20104</v>
      </c>
      <c r="K3966">
        <v>20104</v>
      </c>
      <c r="L3966">
        <v>20104</v>
      </c>
      <c r="M3966">
        <v>20104</v>
      </c>
      <c r="N3966" t="s">
        <v>988</v>
      </c>
    </row>
    <row r="3967" spans="1:14" hidden="1" x14ac:dyDescent="0.3">
      <c r="A3967">
        <v>2402</v>
      </c>
      <c r="B3967" t="s">
        <v>2008</v>
      </c>
      <c r="C3967" t="s">
        <v>2670</v>
      </c>
      <c r="D3967" t="s">
        <v>1203</v>
      </c>
      <c r="E3967" t="s">
        <v>1204</v>
      </c>
      <c r="F3967">
        <v>5714</v>
      </c>
      <c r="G3967" t="s">
        <v>2673</v>
      </c>
      <c r="H3967" t="s">
        <v>2665</v>
      </c>
      <c r="I3967">
        <v>19687.7</v>
      </c>
      <c r="J3967">
        <v>19835.7</v>
      </c>
      <c r="K3967">
        <v>19984.900000000001</v>
      </c>
      <c r="L3967">
        <v>20135.2</v>
      </c>
      <c r="M3967">
        <v>20286.7</v>
      </c>
      <c r="N3967" t="s">
        <v>988</v>
      </c>
    </row>
    <row r="3968" spans="1:14" hidden="1" x14ac:dyDescent="0.3">
      <c r="A3968">
        <v>2402</v>
      </c>
      <c r="B3968" t="s">
        <v>2008</v>
      </c>
      <c r="C3968" t="s">
        <v>2670</v>
      </c>
      <c r="D3968" t="s">
        <v>1203</v>
      </c>
      <c r="E3968" t="s">
        <v>1204</v>
      </c>
      <c r="F3968">
        <v>5714</v>
      </c>
      <c r="G3968" t="s">
        <v>2673</v>
      </c>
      <c r="H3968" t="s">
        <v>2664</v>
      </c>
      <c r="I3968">
        <v>17914.2</v>
      </c>
      <c r="J3968">
        <v>17914.2</v>
      </c>
      <c r="K3968">
        <v>17914.2</v>
      </c>
      <c r="L3968">
        <v>17914.2</v>
      </c>
      <c r="M3968">
        <v>17914.2</v>
      </c>
      <c r="N3968" t="s">
        <v>988</v>
      </c>
    </row>
    <row r="3969" spans="1:14" hidden="1" x14ac:dyDescent="0.3">
      <c r="A3969">
        <v>2402</v>
      </c>
      <c r="B3969" t="s">
        <v>2008</v>
      </c>
      <c r="C3969" t="s">
        <v>2670</v>
      </c>
      <c r="D3969" t="s">
        <v>1203</v>
      </c>
      <c r="E3969" t="s">
        <v>1204</v>
      </c>
      <c r="F3969">
        <v>5714</v>
      </c>
      <c r="G3969" t="s">
        <v>2674</v>
      </c>
      <c r="H3969" t="s">
        <v>2665</v>
      </c>
      <c r="I3969">
        <v>19687.7</v>
      </c>
      <c r="J3969">
        <v>19835.7</v>
      </c>
      <c r="K3969">
        <v>19984.900000000001</v>
      </c>
      <c r="L3969">
        <v>20135.2</v>
      </c>
      <c r="M3969">
        <v>20286.7</v>
      </c>
      <c r="N3969" t="s">
        <v>988</v>
      </c>
    </row>
    <row r="3970" spans="1:14" hidden="1" x14ac:dyDescent="0.3">
      <c r="A3970">
        <v>2402</v>
      </c>
      <c r="B3970" t="s">
        <v>2008</v>
      </c>
      <c r="C3970" t="s">
        <v>2670</v>
      </c>
      <c r="D3970" t="s">
        <v>1203</v>
      </c>
      <c r="E3970" t="s">
        <v>1204</v>
      </c>
      <c r="F3970">
        <v>5714</v>
      </c>
      <c r="G3970" t="s">
        <v>2674</v>
      </c>
      <c r="H3970" t="s">
        <v>2664</v>
      </c>
      <c r="I3970">
        <v>20031.900000000001</v>
      </c>
      <c r="J3970">
        <v>20031.900000000001</v>
      </c>
      <c r="K3970">
        <v>20031.900000000001</v>
      </c>
      <c r="L3970">
        <v>20031.900000000001</v>
      </c>
      <c r="M3970">
        <v>20031.900000000001</v>
      </c>
      <c r="N3970" t="s">
        <v>988</v>
      </c>
    </row>
    <row r="3971" spans="1:14" hidden="1" x14ac:dyDescent="0.3">
      <c r="A3971">
        <v>2402</v>
      </c>
      <c r="B3971" t="s">
        <v>2008</v>
      </c>
      <c r="C3971" t="s">
        <v>2670</v>
      </c>
      <c r="D3971" t="s">
        <v>1203</v>
      </c>
      <c r="E3971" t="s">
        <v>1204</v>
      </c>
      <c r="F3971">
        <v>5714</v>
      </c>
      <c r="G3971" t="s">
        <v>2675</v>
      </c>
      <c r="H3971" t="s">
        <v>2665</v>
      </c>
      <c r="I3971">
        <v>19687.7</v>
      </c>
      <c r="J3971">
        <v>19835.7</v>
      </c>
      <c r="K3971">
        <v>19984.900000000001</v>
      </c>
      <c r="L3971">
        <v>20135.2</v>
      </c>
      <c r="M3971">
        <v>20286.7</v>
      </c>
      <c r="N3971" t="s">
        <v>988</v>
      </c>
    </row>
    <row r="3972" spans="1:14" hidden="1" x14ac:dyDescent="0.3">
      <c r="A3972">
        <v>2402</v>
      </c>
      <c r="B3972" t="s">
        <v>2008</v>
      </c>
      <c r="C3972" t="s">
        <v>2670</v>
      </c>
      <c r="D3972" t="s">
        <v>1203</v>
      </c>
      <c r="E3972" t="s">
        <v>1204</v>
      </c>
      <c r="F3972">
        <v>5714</v>
      </c>
      <c r="G3972" t="s">
        <v>2676</v>
      </c>
      <c r="H3972" t="s">
        <v>2665</v>
      </c>
      <c r="I3972">
        <v>19687.7</v>
      </c>
      <c r="J3972">
        <v>19835.7</v>
      </c>
      <c r="K3972">
        <v>19984.900000000001</v>
      </c>
      <c r="L3972">
        <v>20135.2</v>
      </c>
      <c r="M3972">
        <v>20286.7</v>
      </c>
      <c r="N3972" t="s">
        <v>988</v>
      </c>
    </row>
    <row r="3973" spans="1:14" hidden="1" x14ac:dyDescent="0.3">
      <c r="A3973">
        <v>2402</v>
      </c>
      <c r="B3973" t="s">
        <v>2008</v>
      </c>
      <c r="C3973" t="s">
        <v>2670</v>
      </c>
      <c r="D3973" t="s">
        <v>1203</v>
      </c>
      <c r="E3973" t="s">
        <v>1204</v>
      </c>
      <c r="F3973">
        <v>5714</v>
      </c>
      <c r="G3973" t="s">
        <v>2675</v>
      </c>
      <c r="H3973" t="s">
        <v>2664</v>
      </c>
      <c r="I3973">
        <v>21996.400000000001</v>
      </c>
      <c r="J3973">
        <v>21996.400000000001</v>
      </c>
      <c r="K3973">
        <v>21996.400000000001</v>
      </c>
      <c r="L3973">
        <v>21996.400000000001</v>
      </c>
      <c r="M3973">
        <v>21996.400000000001</v>
      </c>
      <c r="N3973" t="s">
        <v>988</v>
      </c>
    </row>
    <row r="3974" spans="1:14" hidden="1" x14ac:dyDescent="0.3">
      <c r="A3974">
        <v>2419</v>
      </c>
      <c r="B3974" t="s">
        <v>2009</v>
      </c>
      <c r="C3974" t="s">
        <v>2670</v>
      </c>
      <c r="D3974" t="s">
        <v>1203</v>
      </c>
      <c r="E3974" t="s">
        <v>1204</v>
      </c>
      <c r="F3974">
        <v>5537</v>
      </c>
      <c r="G3974" t="s">
        <v>2676</v>
      </c>
      <c r="H3974" t="s">
        <v>2664</v>
      </c>
      <c r="I3974">
        <v>4384</v>
      </c>
      <c r="J3974">
        <v>4517</v>
      </c>
      <c r="K3974">
        <v>4653</v>
      </c>
      <c r="L3974">
        <v>4793</v>
      </c>
      <c r="M3974">
        <v>4909</v>
      </c>
      <c r="N3974" t="s">
        <v>988</v>
      </c>
    </row>
    <row r="3975" spans="1:14" hidden="1" x14ac:dyDescent="0.3">
      <c r="A3975">
        <v>2419</v>
      </c>
      <c r="B3975" t="s">
        <v>2009</v>
      </c>
      <c r="C3975" t="s">
        <v>2670</v>
      </c>
      <c r="D3975" t="s">
        <v>1203</v>
      </c>
      <c r="E3975" t="s">
        <v>1204</v>
      </c>
      <c r="F3975">
        <v>5537</v>
      </c>
      <c r="G3975" t="s">
        <v>2676</v>
      </c>
      <c r="H3975" t="s">
        <v>2665</v>
      </c>
      <c r="I3975">
        <v>4384</v>
      </c>
      <c r="J3975">
        <v>4517</v>
      </c>
      <c r="K3975">
        <v>4653</v>
      </c>
      <c r="L3975">
        <v>4793</v>
      </c>
      <c r="M3975">
        <v>4909</v>
      </c>
      <c r="N3975" t="s">
        <v>988</v>
      </c>
    </row>
    <row r="3976" spans="1:14" hidden="1" x14ac:dyDescent="0.3">
      <c r="A3976">
        <v>2419</v>
      </c>
      <c r="B3976" t="s">
        <v>2009</v>
      </c>
      <c r="C3976" t="s">
        <v>2670</v>
      </c>
      <c r="D3976" t="s">
        <v>1203</v>
      </c>
      <c r="E3976" t="s">
        <v>1204</v>
      </c>
      <c r="F3976">
        <v>5537</v>
      </c>
      <c r="G3976" t="s">
        <v>2675</v>
      </c>
      <c r="H3976" t="s">
        <v>2664</v>
      </c>
      <c r="I3976">
        <v>4641</v>
      </c>
      <c r="J3976">
        <v>4781</v>
      </c>
      <c r="K3976">
        <v>4925</v>
      </c>
      <c r="L3976">
        <v>5074</v>
      </c>
      <c r="M3976">
        <v>5196</v>
      </c>
      <c r="N3976" t="s">
        <v>988</v>
      </c>
    </row>
    <row r="3977" spans="1:14" hidden="1" x14ac:dyDescent="0.3">
      <c r="A3977">
        <v>2419</v>
      </c>
      <c r="B3977" t="s">
        <v>2009</v>
      </c>
      <c r="C3977" t="s">
        <v>2670</v>
      </c>
      <c r="D3977" t="s">
        <v>1203</v>
      </c>
      <c r="E3977" t="s">
        <v>1204</v>
      </c>
      <c r="F3977">
        <v>5537</v>
      </c>
      <c r="G3977" t="s">
        <v>2675</v>
      </c>
      <c r="H3977" t="s">
        <v>2665</v>
      </c>
      <c r="I3977">
        <v>4641</v>
      </c>
      <c r="J3977">
        <v>4781</v>
      </c>
      <c r="K3977">
        <v>4925</v>
      </c>
      <c r="L3977">
        <v>5074</v>
      </c>
      <c r="M3977">
        <v>5196</v>
      </c>
      <c r="N3977" t="s">
        <v>988</v>
      </c>
    </row>
    <row r="3978" spans="1:14" hidden="1" x14ac:dyDescent="0.3">
      <c r="A3978">
        <v>2419</v>
      </c>
      <c r="B3978" t="s">
        <v>2009</v>
      </c>
      <c r="C3978" t="s">
        <v>2670</v>
      </c>
      <c r="D3978" t="s">
        <v>1203</v>
      </c>
      <c r="E3978" t="s">
        <v>1204</v>
      </c>
      <c r="F3978">
        <v>5537</v>
      </c>
      <c r="G3978" t="s">
        <v>2674</v>
      </c>
      <c r="H3978" t="s">
        <v>2664</v>
      </c>
      <c r="I3978">
        <v>4771</v>
      </c>
      <c r="J3978">
        <v>4915</v>
      </c>
      <c r="K3978">
        <v>5064</v>
      </c>
      <c r="L3978">
        <v>5216</v>
      </c>
      <c r="M3978">
        <v>5342</v>
      </c>
      <c r="N3978" t="s">
        <v>988</v>
      </c>
    </row>
    <row r="3979" spans="1:14" hidden="1" x14ac:dyDescent="0.3">
      <c r="A3979">
        <v>2419</v>
      </c>
      <c r="B3979" t="s">
        <v>2009</v>
      </c>
      <c r="C3979" t="s">
        <v>2670</v>
      </c>
      <c r="D3979" t="s">
        <v>1203</v>
      </c>
      <c r="E3979" t="s">
        <v>1204</v>
      </c>
      <c r="F3979">
        <v>5537</v>
      </c>
      <c r="G3979" t="s">
        <v>2674</v>
      </c>
      <c r="H3979" t="s">
        <v>2665</v>
      </c>
      <c r="I3979">
        <v>4771</v>
      </c>
      <c r="J3979">
        <v>4915</v>
      </c>
      <c r="K3979">
        <v>5064</v>
      </c>
      <c r="L3979">
        <v>5216</v>
      </c>
      <c r="M3979">
        <v>5342</v>
      </c>
      <c r="N3979" t="s">
        <v>988</v>
      </c>
    </row>
    <row r="3980" spans="1:14" hidden="1" x14ac:dyDescent="0.3">
      <c r="A3980">
        <v>2419</v>
      </c>
      <c r="B3980" t="s">
        <v>2009</v>
      </c>
      <c r="C3980" t="s">
        <v>2670</v>
      </c>
      <c r="D3980" t="s">
        <v>1203</v>
      </c>
      <c r="E3980" t="s">
        <v>1204</v>
      </c>
      <c r="F3980">
        <v>5537</v>
      </c>
      <c r="G3980" t="s">
        <v>2673</v>
      </c>
      <c r="H3980" t="s">
        <v>2664</v>
      </c>
      <c r="I3980">
        <v>4555</v>
      </c>
      <c r="J3980">
        <v>4692</v>
      </c>
      <c r="K3980">
        <v>4834</v>
      </c>
      <c r="L3980">
        <v>4980</v>
      </c>
      <c r="M3980">
        <v>5099</v>
      </c>
      <c r="N3980" t="s">
        <v>988</v>
      </c>
    </row>
    <row r="3981" spans="1:14" hidden="1" x14ac:dyDescent="0.3">
      <c r="A3981">
        <v>2419</v>
      </c>
      <c r="B3981" t="s">
        <v>2009</v>
      </c>
      <c r="C3981" t="s">
        <v>2670</v>
      </c>
      <c r="D3981" t="s">
        <v>1203</v>
      </c>
      <c r="E3981" t="s">
        <v>1204</v>
      </c>
      <c r="F3981">
        <v>5537</v>
      </c>
      <c r="G3981" t="s">
        <v>2673</v>
      </c>
      <c r="H3981" t="s">
        <v>2665</v>
      </c>
      <c r="I3981">
        <v>4555</v>
      </c>
      <c r="J3981">
        <v>4692</v>
      </c>
      <c r="K3981">
        <v>4834</v>
      </c>
      <c r="L3981">
        <v>4980</v>
      </c>
      <c r="M3981">
        <v>5099</v>
      </c>
      <c r="N3981" t="s">
        <v>988</v>
      </c>
    </row>
    <row r="3982" spans="1:14" hidden="1" x14ac:dyDescent="0.3">
      <c r="A3982">
        <v>2419</v>
      </c>
      <c r="B3982" t="s">
        <v>2009</v>
      </c>
      <c r="C3982" t="s">
        <v>2670</v>
      </c>
      <c r="D3982" t="s">
        <v>1203</v>
      </c>
      <c r="E3982" t="s">
        <v>1204</v>
      </c>
      <c r="F3982">
        <v>5537</v>
      </c>
      <c r="G3982" t="s">
        <v>2671</v>
      </c>
      <c r="H3982" t="s">
        <v>2664</v>
      </c>
      <c r="I3982">
        <v>3684</v>
      </c>
      <c r="J3982">
        <v>3795</v>
      </c>
      <c r="K3982">
        <v>3910</v>
      </c>
      <c r="L3982">
        <v>4028</v>
      </c>
      <c r="M3982">
        <v>4125</v>
      </c>
      <c r="N3982" t="s">
        <v>988</v>
      </c>
    </row>
    <row r="3983" spans="1:14" hidden="1" x14ac:dyDescent="0.3">
      <c r="A3983">
        <v>2419</v>
      </c>
      <c r="B3983" t="s">
        <v>2009</v>
      </c>
      <c r="C3983" t="s">
        <v>2670</v>
      </c>
      <c r="D3983" t="s">
        <v>1203</v>
      </c>
      <c r="E3983" t="s">
        <v>1204</v>
      </c>
      <c r="F3983">
        <v>5537</v>
      </c>
      <c r="G3983" t="s">
        <v>2671</v>
      </c>
      <c r="H3983" t="s">
        <v>2665</v>
      </c>
      <c r="I3983">
        <v>3684</v>
      </c>
      <c r="J3983">
        <v>3795</v>
      </c>
      <c r="K3983">
        <v>3910</v>
      </c>
      <c r="L3983">
        <v>4028</v>
      </c>
      <c r="M3983">
        <v>4125</v>
      </c>
      <c r="N3983" t="s">
        <v>988</v>
      </c>
    </row>
    <row r="3984" spans="1:14" hidden="1" x14ac:dyDescent="0.3">
      <c r="A3984">
        <v>2419</v>
      </c>
      <c r="B3984" t="s">
        <v>2009</v>
      </c>
      <c r="C3984" t="s">
        <v>2670</v>
      </c>
      <c r="D3984" t="s">
        <v>1203</v>
      </c>
      <c r="E3984" t="s">
        <v>1204</v>
      </c>
      <c r="F3984">
        <v>5537</v>
      </c>
      <c r="G3984" t="s">
        <v>2672</v>
      </c>
      <c r="H3984" t="s">
        <v>2665</v>
      </c>
      <c r="N3984" t="s">
        <v>988</v>
      </c>
    </row>
    <row r="3985" spans="1:14" hidden="1" x14ac:dyDescent="0.3">
      <c r="A3985">
        <v>2419</v>
      </c>
      <c r="B3985" t="s">
        <v>2009</v>
      </c>
      <c r="C3985" t="s">
        <v>2670</v>
      </c>
      <c r="D3985" t="s">
        <v>1203</v>
      </c>
      <c r="E3985" t="s">
        <v>1204</v>
      </c>
      <c r="F3985">
        <v>5537</v>
      </c>
      <c r="G3985" t="s">
        <v>2672</v>
      </c>
      <c r="H3985" t="s">
        <v>2664</v>
      </c>
      <c r="N3985" t="s">
        <v>988</v>
      </c>
    </row>
    <row r="3986" spans="1:14" hidden="1" x14ac:dyDescent="0.3">
      <c r="A3986">
        <v>2424</v>
      </c>
      <c r="B3986" t="s">
        <v>2010</v>
      </c>
      <c r="C3986" t="s">
        <v>2670</v>
      </c>
      <c r="D3986" t="s">
        <v>1203</v>
      </c>
      <c r="E3986" t="s">
        <v>1204</v>
      </c>
      <c r="F3986">
        <v>7812</v>
      </c>
      <c r="G3986" t="s">
        <v>2672</v>
      </c>
      <c r="H3986" t="s">
        <v>2665</v>
      </c>
      <c r="N3986" t="s">
        <v>988</v>
      </c>
    </row>
    <row r="3987" spans="1:14" hidden="1" x14ac:dyDescent="0.3">
      <c r="A3987">
        <v>2424</v>
      </c>
      <c r="B3987" t="s">
        <v>2010</v>
      </c>
      <c r="C3987" t="s">
        <v>2670</v>
      </c>
      <c r="D3987" t="s">
        <v>1203</v>
      </c>
      <c r="E3987" t="s">
        <v>1204</v>
      </c>
      <c r="F3987">
        <v>7812</v>
      </c>
      <c r="G3987" t="s">
        <v>2672</v>
      </c>
      <c r="H3987" t="s">
        <v>2664</v>
      </c>
      <c r="N3987" t="s">
        <v>988</v>
      </c>
    </row>
    <row r="3988" spans="1:14" hidden="1" x14ac:dyDescent="0.3">
      <c r="A3988">
        <v>2424</v>
      </c>
      <c r="B3988" t="s">
        <v>2010</v>
      </c>
      <c r="C3988" t="s">
        <v>2670</v>
      </c>
      <c r="D3988" t="s">
        <v>1203</v>
      </c>
      <c r="E3988" t="s">
        <v>1204</v>
      </c>
      <c r="F3988">
        <v>7812</v>
      </c>
      <c r="G3988" t="s">
        <v>2676</v>
      </c>
      <c r="H3988" t="s">
        <v>2664</v>
      </c>
      <c r="I3988">
        <v>6271</v>
      </c>
      <c r="J3988">
        <v>7334</v>
      </c>
      <c r="K3988">
        <v>8536</v>
      </c>
      <c r="L3988">
        <v>9771</v>
      </c>
      <c r="N3988" t="s">
        <v>988</v>
      </c>
    </row>
    <row r="3989" spans="1:14" hidden="1" x14ac:dyDescent="0.3">
      <c r="A3989">
        <v>2424</v>
      </c>
      <c r="B3989" t="s">
        <v>2010</v>
      </c>
      <c r="C3989" t="s">
        <v>2670</v>
      </c>
      <c r="D3989" t="s">
        <v>1203</v>
      </c>
      <c r="E3989" t="s">
        <v>1204</v>
      </c>
      <c r="F3989">
        <v>7812</v>
      </c>
      <c r="G3989" t="s">
        <v>2676</v>
      </c>
      <c r="H3989" t="s">
        <v>2665</v>
      </c>
      <c r="I3989">
        <v>6271</v>
      </c>
      <c r="J3989">
        <v>7334</v>
      </c>
      <c r="K3989">
        <v>8536</v>
      </c>
      <c r="L3989">
        <v>9771</v>
      </c>
      <c r="N3989" t="s">
        <v>988</v>
      </c>
    </row>
    <row r="3990" spans="1:14" hidden="1" x14ac:dyDescent="0.3">
      <c r="A3990">
        <v>2424</v>
      </c>
      <c r="B3990" t="s">
        <v>2010</v>
      </c>
      <c r="C3990" t="s">
        <v>2670</v>
      </c>
      <c r="D3990" t="s">
        <v>1203</v>
      </c>
      <c r="E3990" t="s">
        <v>1204</v>
      </c>
      <c r="F3990">
        <v>7812</v>
      </c>
      <c r="G3990" t="s">
        <v>2675</v>
      </c>
      <c r="H3990" t="s">
        <v>2664</v>
      </c>
      <c r="I3990">
        <v>6271</v>
      </c>
      <c r="J3990">
        <v>7334</v>
      </c>
      <c r="K3990">
        <v>8536</v>
      </c>
      <c r="L3990">
        <v>9771</v>
      </c>
      <c r="N3990" t="s">
        <v>988</v>
      </c>
    </row>
    <row r="3991" spans="1:14" hidden="1" x14ac:dyDescent="0.3">
      <c r="A3991">
        <v>2424</v>
      </c>
      <c r="B3991" t="s">
        <v>2010</v>
      </c>
      <c r="C3991" t="s">
        <v>2670</v>
      </c>
      <c r="D3991" t="s">
        <v>1203</v>
      </c>
      <c r="E3991" t="s">
        <v>1204</v>
      </c>
      <c r="F3991">
        <v>7812</v>
      </c>
      <c r="G3991" t="s">
        <v>2675</v>
      </c>
      <c r="H3991" t="s">
        <v>2665</v>
      </c>
      <c r="I3991">
        <v>6271</v>
      </c>
      <c r="J3991">
        <v>7334</v>
      </c>
      <c r="K3991">
        <v>8536</v>
      </c>
      <c r="L3991">
        <v>9771</v>
      </c>
      <c r="N3991" t="s">
        <v>988</v>
      </c>
    </row>
    <row r="3992" spans="1:14" hidden="1" x14ac:dyDescent="0.3">
      <c r="A3992">
        <v>2424</v>
      </c>
      <c r="B3992" t="s">
        <v>2010</v>
      </c>
      <c r="C3992" t="s">
        <v>2670</v>
      </c>
      <c r="D3992" t="s">
        <v>1203</v>
      </c>
      <c r="E3992" t="s">
        <v>1204</v>
      </c>
      <c r="F3992">
        <v>7812</v>
      </c>
      <c r="G3992" t="s">
        <v>2674</v>
      </c>
      <c r="H3992" t="s">
        <v>2664</v>
      </c>
      <c r="I3992">
        <v>6271</v>
      </c>
      <c r="J3992">
        <v>7334</v>
      </c>
      <c r="K3992">
        <v>8536</v>
      </c>
      <c r="L3992">
        <v>9771</v>
      </c>
      <c r="N3992" t="s">
        <v>988</v>
      </c>
    </row>
    <row r="3993" spans="1:14" hidden="1" x14ac:dyDescent="0.3">
      <c r="A3993">
        <v>2424</v>
      </c>
      <c r="B3993" t="s">
        <v>2010</v>
      </c>
      <c r="C3993" t="s">
        <v>2670</v>
      </c>
      <c r="D3993" t="s">
        <v>1203</v>
      </c>
      <c r="E3993" t="s">
        <v>1204</v>
      </c>
      <c r="F3993">
        <v>7812</v>
      </c>
      <c r="G3993" t="s">
        <v>2674</v>
      </c>
      <c r="H3993" t="s">
        <v>2665</v>
      </c>
      <c r="I3993">
        <v>6271</v>
      </c>
      <c r="J3993">
        <v>7334</v>
      </c>
      <c r="K3993">
        <v>8536</v>
      </c>
      <c r="L3993">
        <v>9771</v>
      </c>
      <c r="N3993" t="s">
        <v>988</v>
      </c>
    </row>
    <row r="3994" spans="1:14" hidden="1" x14ac:dyDescent="0.3">
      <c r="A3994">
        <v>2424</v>
      </c>
      <c r="B3994" t="s">
        <v>2010</v>
      </c>
      <c r="C3994" t="s">
        <v>2670</v>
      </c>
      <c r="D3994" t="s">
        <v>1203</v>
      </c>
      <c r="E3994" t="s">
        <v>1204</v>
      </c>
      <c r="F3994">
        <v>7812</v>
      </c>
      <c r="G3994" t="s">
        <v>2673</v>
      </c>
      <c r="H3994" t="s">
        <v>2664</v>
      </c>
      <c r="I3994">
        <v>6271</v>
      </c>
      <c r="J3994">
        <v>7334</v>
      </c>
      <c r="K3994">
        <v>8536</v>
      </c>
      <c r="L3994">
        <v>9771</v>
      </c>
      <c r="N3994" t="s">
        <v>988</v>
      </c>
    </row>
    <row r="3995" spans="1:14" hidden="1" x14ac:dyDescent="0.3">
      <c r="A3995">
        <v>2424</v>
      </c>
      <c r="B3995" t="s">
        <v>2010</v>
      </c>
      <c r="C3995" t="s">
        <v>2670</v>
      </c>
      <c r="D3995" t="s">
        <v>1203</v>
      </c>
      <c r="E3995" t="s">
        <v>1204</v>
      </c>
      <c r="F3995">
        <v>7812</v>
      </c>
      <c r="G3995" t="s">
        <v>2673</v>
      </c>
      <c r="H3995" t="s">
        <v>2665</v>
      </c>
      <c r="I3995">
        <v>6271</v>
      </c>
      <c r="J3995">
        <v>7334</v>
      </c>
      <c r="K3995">
        <v>8536</v>
      </c>
      <c r="L3995">
        <v>9771</v>
      </c>
      <c r="N3995" t="s">
        <v>988</v>
      </c>
    </row>
    <row r="3996" spans="1:14" hidden="1" x14ac:dyDescent="0.3">
      <c r="A3996">
        <v>2424</v>
      </c>
      <c r="B3996" t="s">
        <v>2010</v>
      </c>
      <c r="C3996" t="s">
        <v>2670</v>
      </c>
      <c r="D3996" t="s">
        <v>1203</v>
      </c>
      <c r="E3996" t="s">
        <v>1204</v>
      </c>
      <c r="F3996">
        <v>7812</v>
      </c>
      <c r="G3996" t="s">
        <v>2671</v>
      </c>
      <c r="H3996" t="s">
        <v>2664</v>
      </c>
      <c r="I3996">
        <v>6271</v>
      </c>
      <c r="J3996">
        <v>7334</v>
      </c>
      <c r="K3996">
        <v>8536</v>
      </c>
      <c r="L3996">
        <v>9771</v>
      </c>
      <c r="N3996" t="s">
        <v>988</v>
      </c>
    </row>
    <row r="3997" spans="1:14" hidden="1" x14ac:dyDescent="0.3">
      <c r="A3997">
        <v>2424</v>
      </c>
      <c r="B3997" t="s">
        <v>2010</v>
      </c>
      <c r="C3997" t="s">
        <v>2670</v>
      </c>
      <c r="D3997" t="s">
        <v>1203</v>
      </c>
      <c r="E3997" t="s">
        <v>1204</v>
      </c>
      <c r="F3997">
        <v>7812</v>
      </c>
      <c r="G3997" t="s">
        <v>2671</v>
      </c>
      <c r="H3997" t="s">
        <v>2665</v>
      </c>
      <c r="I3997">
        <v>6271</v>
      </c>
      <c r="J3997">
        <v>7334</v>
      </c>
      <c r="K3997">
        <v>8536</v>
      </c>
      <c r="L3997">
        <v>9771</v>
      </c>
      <c r="N3997" t="s">
        <v>988</v>
      </c>
    </row>
    <row r="3998" spans="1:14" hidden="1" x14ac:dyDescent="0.3">
      <c r="A3998">
        <v>2425</v>
      </c>
      <c r="B3998" t="s">
        <v>2012</v>
      </c>
      <c r="C3998" t="s">
        <v>2670</v>
      </c>
      <c r="D3998" t="s">
        <v>159</v>
      </c>
      <c r="E3998" t="s">
        <v>159</v>
      </c>
      <c r="F3998">
        <v>6886</v>
      </c>
      <c r="G3998" t="s">
        <v>2672</v>
      </c>
      <c r="H3998" t="s">
        <v>2665</v>
      </c>
      <c r="N3998" t="s">
        <v>988</v>
      </c>
    </row>
    <row r="3999" spans="1:14" hidden="1" x14ac:dyDescent="0.3">
      <c r="A3999">
        <v>2425</v>
      </c>
      <c r="B3999" t="s">
        <v>2012</v>
      </c>
      <c r="C3999" t="s">
        <v>2670</v>
      </c>
      <c r="D3999" t="s">
        <v>159</v>
      </c>
      <c r="E3999" t="s">
        <v>159</v>
      </c>
      <c r="F3999">
        <v>6886</v>
      </c>
      <c r="G3999" t="s">
        <v>2676</v>
      </c>
      <c r="H3999" t="s">
        <v>2665</v>
      </c>
      <c r="I3999">
        <v>20183</v>
      </c>
      <c r="J3999">
        <v>20649</v>
      </c>
      <c r="K3999">
        <v>24021</v>
      </c>
      <c r="L3999">
        <v>25618</v>
      </c>
      <c r="N3999" t="s">
        <v>988</v>
      </c>
    </row>
    <row r="4000" spans="1:14" hidden="1" x14ac:dyDescent="0.3">
      <c r="A4000">
        <v>2425</v>
      </c>
      <c r="B4000" t="s">
        <v>2012</v>
      </c>
      <c r="C4000" t="s">
        <v>2670</v>
      </c>
      <c r="D4000" t="s">
        <v>159</v>
      </c>
      <c r="E4000" t="s">
        <v>159</v>
      </c>
      <c r="F4000">
        <v>6886</v>
      </c>
      <c r="G4000" t="s">
        <v>2675</v>
      </c>
      <c r="H4000" t="s">
        <v>2664</v>
      </c>
      <c r="I4000">
        <v>25866</v>
      </c>
      <c r="J4000">
        <v>26103</v>
      </c>
      <c r="K4000">
        <v>27960</v>
      </c>
      <c r="L4000">
        <v>28769</v>
      </c>
      <c r="N4000" t="s">
        <v>988</v>
      </c>
    </row>
    <row r="4001" spans="1:14" hidden="1" x14ac:dyDescent="0.3">
      <c r="A4001">
        <v>2425</v>
      </c>
      <c r="B4001" t="s">
        <v>2012</v>
      </c>
      <c r="C4001" t="s">
        <v>2670</v>
      </c>
      <c r="D4001" t="s">
        <v>159</v>
      </c>
      <c r="E4001" t="s">
        <v>159</v>
      </c>
      <c r="F4001">
        <v>6886</v>
      </c>
      <c r="G4001" t="s">
        <v>2675</v>
      </c>
      <c r="H4001" t="s">
        <v>2665</v>
      </c>
      <c r="I4001">
        <v>20183</v>
      </c>
      <c r="J4001">
        <v>20649</v>
      </c>
      <c r="K4001">
        <v>24021</v>
      </c>
      <c r="L4001">
        <v>25618</v>
      </c>
      <c r="N4001" t="s">
        <v>988</v>
      </c>
    </row>
    <row r="4002" spans="1:14" hidden="1" x14ac:dyDescent="0.3">
      <c r="A4002">
        <v>2425</v>
      </c>
      <c r="B4002" t="s">
        <v>2012</v>
      </c>
      <c r="C4002" t="s">
        <v>2670</v>
      </c>
      <c r="D4002" t="s">
        <v>159</v>
      </c>
      <c r="E4002" t="s">
        <v>159</v>
      </c>
      <c r="F4002">
        <v>6886</v>
      </c>
      <c r="G4002" t="s">
        <v>2674</v>
      </c>
      <c r="H4002" t="s">
        <v>2664</v>
      </c>
      <c r="I4002">
        <v>25866</v>
      </c>
      <c r="J4002">
        <v>26103</v>
      </c>
      <c r="K4002">
        <v>27960</v>
      </c>
      <c r="L4002">
        <v>28769</v>
      </c>
      <c r="N4002" t="s">
        <v>988</v>
      </c>
    </row>
    <row r="4003" spans="1:14" hidden="1" x14ac:dyDescent="0.3">
      <c r="A4003">
        <v>2425</v>
      </c>
      <c r="B4003" t="s">
        <v>2012</v>
      </c>
      <c r="C4003" t="s">
        <v>2670</v>
      </c>
      <c r="D4003" t="s">
        <v>159</v>
      </c>
      <c r="E4003" t="s">
        <v>159</v>
      </c>
      <c r="F4003">
        <v>6886</v>
      </c>
      <c r="G4003" t="s">
        <v>2676</v>
      </c>
      <c r="H4003" t="s">
        <v>2664</v>
      </c>
      <c r="I4003">
        <v>27135</v>
      </c>
      <c r="J4003">
        <v>27372</v>
      </c>
      <c r="K4003">
        <v>29370</v>
      </c>
      <c r="L4003">
        <v>30038</v>
      </c>
      <c r="N4003" t="s">
        <v>988</v>
      </c>
    </row>
    <row r="4004" spans="1:14" hidden="1" x14ac:dyDescent="0.3">
      <c r="A4004">
        <v>2425</v>
      </c>
      <c r="B4004" t="s">
        <v>2012</v>
      </c>
      <c r="C4004" t="s">
        <v>2670</v>
      </c>
      <c r="D4004" t="s">
        <v>159</v>
      </c>
      <c r="E4004" t="s">
        <v>159</v>
      </c>
      <c r="F4004">
        <v>6886</v>
      </c>
      <c r="G4004" t="s">
        <v>2673</v>
      </c>
      <c r="H4004" t="s">
        <v>2664</v>
      </c>
      <c r="I4004">
        <v>25866</v>
      </c>
      <c r="J4004">
        <v>26103</v>
      </c>
      <c r="K4004">
        <v>27960</v>
      </c>
      <c r="L4004">
        <v>27923</v>
      </c>
      <c r="N4004" t="s">
        <v>988</v>
      </c>
    </row>
    <row r="4005" spans="1:14" hidden="1" x14ac:dyDescent="0.3">
      <c r="A4005">
        <v>2425</v>
      </c>
      <c r="B4005" t="s">
        <v>2012</v>
      </c>
      <c r="C4005" t="s">
        <v>2670</v>
      </c>
      <c r="D4005" t="s">
        <v>159</v>
      </c>
      <c r="E4005" t="s">
        <v>159</v>
      </c>
      <c r="F4005">
        <v>6886</v>
      </c>
      <c r="G4005" t="s">
        <v>2673</v>
      </c>
      <c r="H4005" t="s">
        <v>2665</v>
      </c>
      <c r="I4005">
        <v>20183</v>
      </c>
      <c r="J4005">
        <v>20649</v>
      </c>
      <c r="K4005">
        <v>24021</v>
      </c>
      <c r="L4005">
        <v>25618</v>
      </c>
      <c r="N4005" t="s">
        <v>988</v>
      </c>
    </row>
    <row r="4006" spans="1:14" hidden="1" x14ac:dyDescent="0.3">
      <c r="A4006">
        <v>2425</v>
      </c>
      <c r="B4006" t="s">
        <v>2012</v>
      </c>
      <c r="C4006" t="s">
        <v>2670</v>
      </c>
      <c r="D4006" t="s">
        <v>159</v>
      </c>
      <c r="E4006" t="s">
        <v>159</v>
      </c>
      <c r="F4006">
        <v>6886</v>
      </c>
      <c r="G4006" t="s">
        <v>2671</v>
      </c>
      <c r="H4006" t="s">
        <v>2664</v>
      </c>
      <c r="I4006">
        <v>25866</v>
      </c>
      <c r="J4006">
        <v>26103</v>
      </c>
      <c r="K4006">
        <v>27396</v>
      </c>
      <c r="L4006">
        <v>27923</v>
      </c>
      <c r="N4006" t="s">
        <v>988</v>
      </c>
    </row>
    <row r="4007" spans="1:14" hidden="1" x14ac:dyDescent="0.3">
      <c r="A4007">
        <v>2425</v>
      </c>
      <c r="B4007" t="s">
        <v>2012</v>
      </c>
      <c r="C4007" t="s">
        <v>2670</v>
      </c>
      <c r="D4007" t="s">
        <v>159</v>
      </c>
      <c r="E4007" t="s">
        <v>159</v>
      </c>
      <c r="F4007">
        <v>6886</v>
      </c>
      <c r="G4007" t="s">
        <v>2671</v>
      </c>
      <c r="H4007" t="s">
        <v>2665</v>
      </c>
      <c r="I4007">
        <v>20183</v>
      </c>
      <c r="J4007">
        <v>20649</v>
      </c>
      <c r="K4007">
        <v>24021</v>
      </c>
      <c r="L4007">
        <v>25618</v>
      </c>
      <c r="N4007" t="s">
        <v>988</v>
      </c>
    </row>
    <row r="4008" spans="1:14" hidden="1" x14ac:dyDescent="0.3">
      <c r="A4008">
        <v>2425</v>
      </c>
      <c r="B4008" t="s">
        <v>2012</v>
      </c>
      <c r="C4008" t="s">
        <v>2670</v>
      </c>
      <c r="D4008" t="s">
        <v>159</v>
      </c>
      <c r="E4008" t="s">
        <v>159</v>
      </c>
      <c r="F4008">
        <v>6886</v>
      </c>
      <c r="G4008" t="s">
        <v>2672</v>
      </c>
      <c r="H4008" t="s">
        <v>2664</v>
      </c>
      <c r="N4008" t="s">
        <v>988</v>
      </c>
    </row>
    <row r="4009" spans="1:14" hidden="1" x14ac:dyDescent="0.3">
      <c r="A4009">
        <v>2425</v>
      </c>
      <c r="B4009" t="s">
        <v>2012</v>
      </c>
      <c r="C4009" t="s">
        <v>2670</v>
      </c>
      <c r="D4009" t="s">
        <v>159</v>
      </c>
      <c r="E4009" t="s">
        <v>159</v>
      </c>
      <c r="F4009">
        <v>6886</v>
      </c>
      <c r="G4009" t="s">
        <v>2674</v>
      </c>
      <c r="H4009" t="s">
        <v>2665</v>
      </c>
      <c r="I4009">
        <v>20183</v>
      </c>
      <c r="J4009">
        <v>20649</v>
      </c>
      <c r="K4009">
        <v>24021</v>
      </c>
      <c r="L4009">
        <v>25618</v>
      </c>
      <c r="N4009" t="s">
        <v>988</v>
      </c>
    </row>
    <row r="4010" spans="1:14" hidden="1" x14ac:dyDescent="0.3">
      <c r="A4010">
        <v>2437</v>
      </c>
      <c r="B4010" t="s">
        <v>2015</v>
      </c>
      <c r="C4010" t="s">
        <v>2670</v>
      </c>
      <c r="D4010" t="s">
        <v>1203</v>
      </c>
      <c r="E4010" t="s">
        <v>1204</v>
      </c>
      <c r="F4010">
        <v>5575</v>
      </c>
      <c r="G4010" t="s">
        <v>2676</v>
      </c>
      <c r="H4010" t="s">
        <v>2665</v>
      </c>
      <c r="I4010">
        <v>22581</v>
      </c>
      <c r="J4010">
        <v>23092</v>
      </c>
      <c r="K4010">
        <v>23601</v>
      </c>
      <c r="L4010">
        <v>24643</v>
      </c>
      <c r="M4010">
        <v>25315</v>
      </c>
      <c r="N4010" t="s">
        <v>988</v>
      </c>
    </row>
    <row r="4011" spans="1:14" hidden="1" x14ac:dyDescent="0.3">
      <c r="A4011">
        <v>2437</v>
      </c>
      <c r="B4011" t="s">
        <v>2015</v>
      </c>
      <c r="C4011" t="s">
        <v>2670</v>
      </c>
      <c r="D4011" t="s">
        <v>1203</v>
      </c>
      <c r="E4011" t="s">
        <v>1204</v>
      </c>
      <c r="F4011">
        <v>5575</v>
      </c>
      <c r="G4011" t="s">
        <v>2675</v>
      </c>
      <c r="H4011" t="s">
        <v>2664</v>
      </c>
      <c r="I4011">
        <v>22792</v>
      </c>
      <c r="J4011">
        <v>23307</v>
      </c>
      <c r="K4011">
        <v>23822</v>
      </c>
      <c r="L4011">
        <v>24873</v>
      </c>
      <c r="M4011">
        <v>25552</v>
      </c>
      <c r="N4011" t="s">
        <v>988</v>
      </c>
    </row>
    <row r="4012" spans="1:14" hidden="1" x14ac:dyDescent="0.3">
      <c r="A4012">
        <v>2437</v>
      </c>
      <c r="B4012" t="s">
        <v>2015</v>
      </c>
      <c r="C4012" t="s">
        <v>2670</v>
      </c>
      <c r="D4012" t="s">
        <v>1203</v>
      </c>
      <c r="E4012" t="s">
        <v>1204</v>
      </c>
      <c r="F4012">
        <v>5575</v>
      </c>
      <c r="G4012" t="s">
        <v>2675</v>
      </c>
      <c r="H4012" t="s">
        <v>2665</v>
      </c>
      <c r="I4012">
        <v>22792</v>
      </c>
      <c r="J4012">
        <v>23307</v>
      </c>
      <c r="K4012">
        <v>23822</v>
      </c>
      <c r="L4012">
        <v>24873</v>
      </c>
      <c r="M4012">
        <v>25552</v>
      </c>
      <c r="N4012" t="s">
        <v>988</v>
      </c>
    </row>
    <row r="4013" spans="1:14" hidden="1" x14ac:dyDescent="0.3">
      <c r="A4013">
        <v>2437</v>
      </c>
      <c r="B4013" t="s">
        <v>2015</v>
      </c>
      <c r="C4013" t="s">
        <v>2670</v>
      </c>
      <c r="D4013" t="s">
        <v>1203</v>
      </c>
      <c r="E4013" t="s">
        <v>1204</v>
      </c>
      <c r="F4013">
        <v>5575</v>
      </c>
      <c r="G4013" t="s">
        <v>2674</v>
      </c>
      <c r="H4013" t="s">
        <v>2664</v>
      </c>
      <c r="I4013">
        <v>22792</v>
      </c>
      <c r="J4013">
        <v>23307</v>
      </c>
      <c r="K4013">
        <v>23822</v>
      </c>
      <c r="L4013">
        <v>24873</v>
      </c>
      <c r="M4013">
        <v>25552</v>
      </c>
      <c r="N4013" t="s">
        <v>988</v>
      </c>
    </row>
    <row r="4014" spans="1:14" hidden="1" x14ac:dyDescent="0.3">
      <c r="A4014">
        <v>2437</v>
      </c>
      <c r="B4014" t="s">
        <v>2015</v>
      </c>
      <c r="C4014" t="s">
        <v>2670</v>
      </c>
      <c r="D4014" t="s">
        <v>1203</v>
      </c>
      <c r="E4014" t="s">
        <v>1204</v>
      </c>
      <c r="F4014">
        <v>5575</v>
      </c>
      <c r="G4014" t="s">
        <v>2674</v>
      </c>
      <c r="H4014" t="s">
        <v>2665</v>
      </c>
      <c r="I4014">
        <v>22792</v>
      </c>
      <c r="J4014">
        <v>23307</v>
      </c>
      <c r="K4014">
        <v>23822</v>
      </c>
      <c r="L4014">
        <v>24873</v>
      </c>
      <c r="M4014">
        <v>25552</v>
      </c>
      <c r="N4014" t="s">
        <v>988</v>
      </c>
    </row>
    <row r="4015" spans="1:14" hidden="1" x14ac:dyDescent="0.3">
      <c r="A4015">
        <v>2437</v>
      </c>
      <c r="B4015" t="s">
        <v>2015</v>
      </c>
      <c r="C4015" t="s">
        <v>2670</v>
      </c>
      <c r="D4015" t="s">
        <v>1203</v>
      </c>
      <c r="E4015" t="s">
        <v>1204</v>
      </c>
      <c r="F4015">
        <v>5575</v>
      </c>
      <c r="G4015" t="s">
        <v>2676</v>
      </c>
      <c r="H4015" t="s">
        <v>2664</v>
      </c>
      <c r="I4015">
        <v>22581</v>
      </c>
      <c r="J4015">
        <v>23092</v>
      </c>
      <c r="K4015">
        <v>23601</v>
      </c>
      <c r="L4015">
        <v>24643</v>
      </c>
      <c r="M4015">
        <v>25315</v>
      </c>
      <c r="N4015" t="s">
        <v>988</v>
      </c>
    </row>
    <row r="4016" spans="1:14" hidden="1" x14ac:dyDescent="0.3">
      <c r="A4016">
        <v>2437</v>
      </c>
      <c r="B4016" t="s">
        <v>2015</v>
      </c>
      <c r="C4016" t="s">
        <v>2670</v>
      </c>
      <c r="D4016" t="s">
        <v>1203</v>
      </c>
      <c r="E4016" t="s">
        <v>1204</v>
      </c>
      <c r="F4016">
        <v>5575</v>
      </c>
      <c r="G4016" t="s">
        <v>2673</v>
      </c>
      <c r="H4016" t="s">
        <v>2665</v>
      </c>
      <c r="I4016">
        <v>23003</v>
      </c>
      <c r="J4016">
        <v>23523</v>
      </c>
      <c r="K4016">
        <v>24042</v>
      </c>
      <c r="L4016">
        <v>25104</v>
      </c>
      <c r="M4016">
        <v>25788</v>
      </c>
      <c r="N4016" t="s">
        <v>988</v>
      </c>
    </row>
    <row r="4017" spans="1:14" hidden="1" x14ac:dyDescent="0.3">
      <c r="A4017">
        <v>2437</v>
      </c>
      <c r="B4017" t="s">
        <v>2015</v>
      </c>
      <c r="C4017" t="s">
        <v>2670</v>
      </c>
      <c r="D4017" t="s">
        <v>1203</v>
      </c>
      <c r="E4017" t="s">
        <v>1204</v>
      </c>
      <c r="F4017">
        <v>5575</v>
      </c>
      <c r="G4017" t="s">
        <v>2671</v>
      </c>
      <c r="H4017" t="s">
        <v>2664</v>
      </c>
      <c r="I4017">
        <v>23003</v>
      </c>
      <c r="J4017">
        <v>23523</v>
      </c>
      <c r="K4017">
        <v>24042</v>
      </c>
      <c r="L4017">
        <v>25104</v>
      </c>
      <c r="M4017">
        <v>25788</v>
      </c>
      <c r="N4017" t="s">
        <v>988</v>
      </c>
    </row>
    <row r="4018" spans="1:14" hidden="1" x14ac:dyDescent="0.3">
      <c r="A4018">
        <v>2437</v>
      </c>
      <c r="B4018" t="s">
        <v>2015</v>
      </c>
      <c r="C4018" t="s">
        <v>2670</v>
      </c>
      <c r="D4018" t="s">
        <v>1203</v>
      </c>
      <c r="E4018" t="s">
        <v>1204</v>
      </c>
      <c r="F4018">
        <v>5575</v>
      </c>
      <c r="G4018" t="s">
        <v>2671</v>
      </c>
      <c r="H4018" t="s">
        <v>2665</v>
      </c>
      <c r="I4018">
        <v>23003</v>
      </c>
      <c r="J4018">
        <v>23523</v>
      </c>
      <c r="K4018">
        <v>24042</v>
      </c>
      <c r="L4018">
        <v>25104</v>
      </c>
      <c r="M4018">
        <v>25788</v>
      </c>
      <c r="N4018" t="s">
        <v>988</v>
      </c>
    </row>
    <row r="4019" spans="1:14" hidden="1" x14ac:dyDescent="0.3">
      <c r="A4019">
        <v>2437</v>
      </c>
      <c r="B4019" t="s">
        <v>2015</v>
      </c>
      <c r="C4019" t="s">
        <v>2670</v>
      </c>
      <c r="D4019" t="s">
        <v>1203</v>
      </c>
      <c r="E4019" t="s">
        <v>1204</v>
      </c>
      <c r="F4019">
        <v>5575</v>
      </c>
      <c r="G4019" t="s">
        <v>2672</v>
      </c>
      <c r="H4019" t="s">
        <v>2664</v>
      </c>
      <c r="N4019" t="s">
        <v>988</v>
      </c>
    </row>
    <row r="4020" spans="1:14" hidden="1" x14ac:dyDescent="0.3">
      <c r="A4020">
        <v>2437</v>
      </c>
      <c r="B4020" t="s">
        <v>2015</v>
      </c>
      <c r="C4020" t="s">
        <v>2670</v>
      </c>
      <c r="D4020" t="s">
        <v>1203</v>
      </c>
      <c r="E4020" t="s">
        <v>1204</v>
      </c>
      <c r="F4020">
        <v>5575</v>
      </c>
      <c r="G4020" t="s">
        <v>2672</v>
      </c>
      <c r="H4020" t="s">
        <v>2665</v>
      </c>
      <c r="N4020" t="s">
        <v>988</v>
      </c>
    </row>
    <row r="4021" spans="1:14" hidden="1" x14ac:dyDescent="0.3">
      <c r="A4021">
        <v>2437</v>
      </c>
      <c r="B4021" t="s">
        <v>2015</v>
      </c>
      <c r="C4021" t="s">
        <v>2670</v>
      </c>
      <c r="D4021" t="s">
        <v>1203</v>
      </c>
      <c r="E4021" t="s">
        <v>1204</v>
      </c>
      <c r="F4021">
        <v>5575</v>
      </c>
      <c r="G4021" t="s">
        <v>2673</v>
      </c>
      <c r="H4021" t="s">
        <v>2664</v>
      </c>
      <c r="I4021">
        <v>23003</v>
      </c>
      <c r="J4021">
        <v>23523</v>
      </c>
      <c r="K4021">
        <v>24042</v>
      </c>
      <c r="L4021">
        <v>25104</v>
      </c>
      <c r="M4021">
        <v>25788</v>
      </c>
      <c r="N4021" t="s">
        <v>988</v>
      </c>
    </row>
    <row r="4022" spans="1:14" hidden="1" x14ac:dyDescent="0.3">
      <c r="A4022">
        <v>2438</v>
      </c>
      <c r="B4022" t="s">
        <v>2016</v>
      </c>
      <c r="C4022" t="s">
        <v>2670</v>
      </c>
      <c r="D4022" t="s">
        <v>1203</v>
      </c>
      <c r="E4022" t="s">
        <v>1204</v>
      </c>
      <c r="F4022">
        <v>5538</v>
      </c>
      <c r="G4022" t="s">
        <v>2676</v>
      </c>
      <c r="H4022" t="s">
        <v>2664</v>
      </c>
      <c r="I4022">
        <v>1137</v>
      </c>
      <c r="J4022">
        <v>1137</v>
      </c>
      <c r="K4022">
        <v>1137</v>
      </c>
      <c r="L4022">
        <v>1137</v>
      </c>
      <c r="N4022" t="s">
        <v>988</v>
      </c>
    </row>
    <row r="4023" spans="1:14" hidden="1" x14ac:dyDescent="0.3">
      <c r="A4023">
        <v>2438</v>
      </c>
      <c r="B4023" t="s">
        <v>2016</v>
      </c>
      <c r="C4023" t="s">
        <v>2670</v>
      </c>
      <c r="D4023" t="s">
        <v>1203</v>
      </c>
      <c r="E4023" t="s">
        <v>1204</v>
      </c>
      <c r="F4023">
        <v>5538</v>
      </c>
      <c r="G4023" t="s">
        <v>2676</v>
      </c>
      <c r="H4023" t="s">
        <v>2665</v>
      </c>
      <c r="I4023">
        <v>720</v>
      </c>
      <c r="J4023">
        <v>724</v>
      </c>
      <c r="K4023">
        <v>727</v>
      </c>
      <c r="L4023">
        <v>730</v>
      </c>
      <c r="N4023" t="s">
        <v>988</v>
      </c>
    </row>
    <row r="4024" spans="1:14" hidden="1" x14ac:dyDescent="0.3">
      <c r="A4024">
        <v>2438</v>
      </c>
      <c r="B4024" t="s">
        <v>2016</v>
      </c>
      <c r="C4024" t="s">
        <v>2670</v>
      </c>
      <c r="D4024" t="s">
        <v>1203</v>
      </c>
      <c r="E4024" t="s">
        <v>1204</v>
      </c>
      <c r="F4024">
        <v>5538</v>
      </c>
      <c r="G4024" t="s">
        <v>2675</v>
      </c>
      <c r="H4024" t="s">
        <v>2664</v>
      </c>
      <c r="I4024">
        <v>1137</v>
      </c>
      <c r="J4024">
        <v>1137</v>
      </c>
      <c r="K4024">
        <v>1137</v>
      </c>
      <c r="L4024">
        <v>1137</v>
      </c>
      <c r="N4024" t="s">
        <v>988</v>
      </c>
    </row>
    <row r="4025" spans="1:14" hidden="1" x14ac:dyDescent="0.3">
      <c r="A4025">
        <v>2438</v>
      </c>
      <c r="B4025" t="s">
        <v>2016</v>
      </c>
      <c r="C4025" t="s">
        <v>2670</v>
      </c>
      <c r="D4025" t="s">
        <v>1203</v>
      </c>
      <c r="E4025" t="s">
        <v>1204</v>
      </c>
      <c r="F4025">
        <v>5538</v>
      </c>
      <c r="G4025" t="s">
        <v>2675</v>
      </c>
      <c r="H4025" t="s">
        <v>2665</v>
      </c>
      <c r="I4025">
        <v>576</v>
      </c>
      <c r="J4025">
        <v>579</v>
      </c>
      <c r="K4025">
        <v>581</v>
      </c>
      <c r="L4025">
        <v>584</v>
      </c>
      <c r="N4025" t="s">
        <v>988</v>
      </c>
    </row>
    <row r="4026" spans="1:14" hidden="1" x14ac:dyDescent="0.3">
      <c r="A4026">
        <v>2438</v>
      </c>
      <c r="B4026" t="s">
        <v>2016</v>
      </c>
      <c r="C4026" t="s">
        <v>2670</v>
      </c>
      <c r="D4026" t="s">
        <v>1203</v>
      </c>
      <c r="E4026" t="s">
        <v>1204</v>
      </c>
      <c r="F4026">
        <v>5538</v>
      </c>
      <c r="G4026" t="s">
        <v>2674</v>
      </c>
      <c r="H4026" t="s">
        <v>2664</v>
      </c>
      <c r="I4026">
        <v>796</v>
      </c>
      <c r="J4026">
        <v>796</v>
      </c>
      <c r="K4026">
        <v>796</v>
      </c>
      <c r="L4026">
        <v>796</v>
      </c>
      <c r="N4026" t="s">
        <v>988</v>
      </c>
    </row>
    <row r="4027" spans="1:14" hidden="1" x14ac:dyDescent="0.3">
      <c r="A4027">
        <v>2438</v>
      </c>
      <c r="B4027" t="s">
        <v>2016</v>
      </c>
      <c r="C4027" t="s">
        <v>2670</v>
      </c>
      <c r="D4027" t="s">
        <v>1203</v>
      </c>
      <c r="E4027" t="s">
        <v>1204</v>
      </c>
      <c r="F4027">
        <v>5538</v>
      </c>
      <c r="G4027" t="s">
        <v>2674</v>
      </c>
      <c r="H4027" t="s">
        <v>2665</v>
      </c>
      <c r="I4027">
        <v>540</v>
      </c>
      <c r="J4027">
        <v>543</v>
      </c>
      <c r="K4027">
        <v>545</v>
      </c>
      <c r="L4027">
        <v>548</v>
      </c>
      <c r="N4027" t="s">
        <v>988</v>
      </c>
    </row>
    <row r="4028" spans="1:14" hidden="1" x14ac:dyDescent="0.3">
      <c r="A4028">
        <v>2438</v>
      </c>
      <c r="B4028" t="s">
        <v>2016</v>
      </c>
      <c r="C4028" t="s">
        <v>2670</v>
      </c>
      <c r="D4028" t="s">
        <v>1203</v>
      </c>
      <c r="E4028" t="s">
        <v>1204</v>
      </c>
      <c r="F4028">
        <v>5538</v>
      </c>
      <c r="G4028" t="s">
        <v>2673</v>
      </c>
      <c r="H4028" t="s">
        <v>2664</v>
      </c>
      <c r="I4028">
        <v>570</v>
      </c>
      <c r="J4028">
        <v>570</v>
      </c>
      <c r="K4028">
        <v>570</v>
      </c>
      <c r="L4028">
        <v>570</v>
      </c>
      <c r="N4028" t="s">
        <v>988</v>
      </c>
    </row>
    <row r="4029" spans="1:14" hidden="1" x14ac:dyDescent="0.3">
      <c r="A4029">
        <v>2438</v>
      </c>
      <c r="B4029" t="s">
        <v>2016</v>
      </c>
      <c r="C4029" t="s">
        <v>2670</v>
      </c>
      <c r="D4029" t="s">
        <v>1203</v>
      </c>
      <c r="E4029" t="s">
        <v>1204</v>
      </c>
      <c r="F4029">
        <v>5538</v>
      </c>
      <c r="G4029" t="s">
        <v>2673</v>
      </c>
      <c r="H4029" t="s">
        <v>2665</v>
      </c>
      <c r="I4029">
        <v>414</v>
      </c>
      <c r="J4029">
        <v>418</v>
      </c>
      <c r="K4029">
        <v>421</v>
      </c>
      <c r="L4029">
        <v>424</v>
      </c>
      <c r="N4029" t="s">
        <v>988</v>
      </c>
    </row>
    <row r="4030" spans="1:14" hidden="1" x14ac:dyDescent="0.3">
      <c r="A4030">
        <v>2438</v>
      </c>
      <c r="B4030" t="s">
        <v>2016</v>
      </c>
      <c r="C4030" t="s">
        <v>2670</v>
      </c>
      <c r="D4030" t="s">
        <v>1203</v>
      </c>
      <c r="E4030" t="s">
        <v>1204</v>
      </c>
      <c r="F4030">
        <v>5538</v>
      </c>
      <c r="G4030" t="s">
        <v>2671</v>
      </c>
      <c r="H4030" t="s">
        <v>2664</v>
      </c>
      <c r="I4030">
        <v>570</v>
      </c>
      <c r="J4030">
        <v>570</v>
      </c>
      <c r="K4030">
        <v>570</v>
      </c>
      <c r="L4030">
        <v>570</v>
      </c>
      <c r="N4030" t="s">
        <v>988</v>
      </c>
    </row>
    <row r="4031" spans="1:14" hidden="1" x14ac:dyDescent="0.3">
      <c r="A4031">
        <v>2438</v>
      </c>
      <c r="B4031" t="s">
        <v>2016</v>
      </c>
      <c r="C4031" t="s">
        <v>2670</v>
      </c>
      <c r="D4031" t="s">
        <v>1203</v>
      </c>
      <c r="E4031" t="s">
        <v>1204</v>
      </c>
      <c r="F4031">
        <v>5538</v>
      </c>
      <c r="G4031" t="s">
        <v>2671</v>
      </c>
      <c r="H4031" t="s">
        <v>2665</v>
      </c>
      <c r="I4031">
        <v>414</v>
      </c>
      <c r="J4031">
        <v>418</v>
      </c>
      <c r="K4031">
        <v>421</v>
      </c>
      <c r="L4031">
        <v>424</v>
      </c>
      <c r="N4031" t="s">
        <v>988</v>
      </c>
    </row>
    <row r="4032" spans="1:14" hidden="1" x14ac:dyDescent="0.3">
      <c r="A4032">
        <v>2438</v>
      </c>
      <c r="B4032" t="s">
        <v>2016</v>
      </c>
      <c r="C4032" t="s">
        <v>2670</v>
      </c>
      <c r="D4032" t="s">
        <v>1203</v>
      </c>
      <c r="E4032" t="s">
        <v>1204</v>
      </c>
      <c r="F4032">
        <v>5538</v>
      </c>
      <c r="G4032" t="s">
        <v>2672</v>
      </c>
      <c r="H4032" t="s">
        <v>2665</v>
      </c>
      <c r="N4032" t="s">
        <v>988</v>
      </c>
    </row>
    <row r="4033" spans="1:14" hidden="1" x14ac:dyDescent="0.3">
      <c r="A4033">
        <v>2438</v>
      </c>
      <c r="B4033" t="s">
        <v>2016</v>
      </c>
      <c r="C4033" t="s">
        <v>2670</v>
      </c>
      <c r="D4033" t="s">
        <v>1203</v>
      </c>
      <c r="E4033" t="s">
        <v>1204</v>
      </c>
      <c r="F4033">
        <v>5538</v>
      </c>
      <c r="G4033" t="s">
        <v>2672</v>
      </c>
      <c r="H4033" t="s">
        <v>2664</v>
      </c>
      <c r="N4033" t="s">
        <v>988</v>
      </c>
    </row>
    <row r="4034" spans="1:14" hidden="1" x14ac:dyDescent="0.3">
      <c r="A4034">
        <v>2444</v>
      </c>
      <c r="B4034" t="s">
        <v>2018</v>
      </c>
      <c r="C4034" t="s">
        <v>2670</v>
      </c>
      <c r="D4034" t="s">
        <v>1203</v>
      </c>
      <c r="E4034" t="s">
        <v>1204</v>
      </c>
      <c r="F4034">
        <v>6949</v>
      </c>
      <c r="G4034" t="s">
        <v>2672</v>
      </c>
      <c r="H4034" t="s">
        <v>2665</v>
      </c>
      <c r="N4034" t="s">
        <v>988</v>
      </c>
    </row>
    <row r="4035" spans="1:14" hidden="1" x14ac:dyDescent="0.3">
      <c r="A4035">
        <v>2444</v>
      </c>
      <c r="B4035" t="s">
        <v>2018</v>
      </c>
      <c r="C4035" t="s">
        <v>2670</v>
      </c>
      <c r="D4035" t="s">
        <v>1203</v>
      </c>
      <c r="E4035" t="s">
        <v>1204</v>
      </c>
      <c r="F4035">
        <v>6949</v>
      </c>
      <c r="G4035" t="s">
        <v>2672</v>
      </c>
      <c r="H4035" t="s">
        <v>2664</v>
      </c>
      <c r="N4035" t="s">
        <v>988</v>
      </c>
    </row>
    <row r="4036" spans="1:14" hidden="1" x14ac:dyDescent="0.3">
      <c r="A4036">
        <v>2444</v>
      </c>
      <c r="B4036" t="s">
        <v>2018</v>
      </c>
      <c r="C4036" t="s">
        <v>2670</v>
      </c>
      <c r="D4036" t="s">
        <v>1203</v>
      </c>
      <c r="E4036" t="s">
        <v>1204</v>
      </c>
      <c r="F4036">
        <v>6949</v>
      </c>
      <c r="G4036" t="s">
        <v>2671</v>
      </c>
      <c r="H4036" t="s">
        <v>2665</v>
      </c>
      <c r="I4036">
        <v>1730.8527474</v>
      </c>
      <c r="J4036">
        <v>1694.0260932000001</v>
      </c>
      <c r="K4036">
        <v>1715.5083081499999</v>
      </c>
      <c r="L4036">
        <v>1740.05941095</v>
      </c>
      <c r="N4036" t="s">
        <v>988</v>
      </c>
    </row>
    <row r="4037" spans="1:14" hidden="1" x14ac:dyDescent="0.3">
      <c r="A4037">
        <v>2444</v>
      </c>
      <c r="B4037" t="s">
        <v>2018</v>
      </c>
      <c r="C4037" t="s">
        <v>2670</v>
      </c>
      <c r="D4037" t="s">
        <v>1203</v>
      </c>
      <c r="E4037" t="s">
        <v>1204</v>
      </c>
      <c r="F4037">
        <v>6949</v>
      </c>
      <c r="G4037" t="s">
        <v>2671</v>
      </c>
      <c r="H4037" t="s">
        <v>2664</v>
      </c>
      <c r="I4037">
        <v>3624.3565508500001</v>
      </c>
      <c r="J4037">
        <v>3624.3565508500001</v>
      </c>
      <c r="K4037">
        <v>3624.3565508500001</v>
      </c>
      <c r="L4037">
        <v>3624.3565508500001</v>
      </c>
      <c r="N4037" t="s">
        <v>988</v>
      </c>
    </row>
    <row r="4038" spans="1:14" hidden="1" x14ac:dyDescent="0.3">
      <c r="A4038">
        <v>2444</v>
      </c>
      <c r="B4038" t="s">
        <v>2018</v>
      </c>
      <c r="C4038" t="s">
        <v>2670</v>
      </c>
      <c r="D4038" t="s">
        <v>1203</v>
      </c>
      <c r="E4038" t="s">
        <v>1204</v>
      </c>
      <c r="F4038">
        <v>6949</v>
      </c>
      <c r="G4038" t="s">
        <v>2673</v>
      </c>
      <c r="H4038" t="s">
        <v>2665</v>
      </c>
      <c r="I4038">
        <v>1730.8527474</v>
      </c>
      <c r="J4038">
        <v>1694.0260932000001</v>
      </c>
      <c r="K4038">
        <v>1715.5083081499999</v>
      </c>
      <c r="L4038">
        <v>1740.05941095</v>
      </c>
      <c r="N4038" t="s">
        <v>988</v>
      </c>
    </row>
    <row r="4039" spans="1:14" hidden="1" x14ac:dyDescent="0.3">
      <c r="A4039">
        <v>2444</v>
      </c>
      <c r="B4039" t="s">
        <v>2018</v>
      </c>
      <c r="C4039" t="s">
        <v>2670</v>
      </c>
      <c r="D4039" t="s">
        <v>1203</v>
      </c>
      <c r="E4039" t="s">
        <v>1204</v>
      </c>
      <c r="F4039">
        <v>6949</v>
      </c>
      <c r="G4039" t="s">
        <v>2676</v>
      </c>
      <c r="H4039" t="s">
        <v>2665</v>
      </c>
      <c r="I4039">
        <v>1730.8527474</v>
      </c>
      <c r="J4039">
        <v>1694.0260932000001</v>
      </c>
      <c r="K4039">
        <v>1715.5083081499999</v>
      </c>
      <c r="L4039">
        <v>1740.05941095</v>
      </c>
      <c r="N4039" t="s">
        <v>988</v>
      </c>
    </row>
    <row r="4040" spans="1:14" hidden="1" x14ac:dyDescent="0.3">
      <c r="A4040">
        <v>2444</v>
      </c>
      <c r="B4040" t="s">
        <v>2018</v>
      </c>
      <c r="C4040" t="s">
        <v>2670</v>
      </c>
      <c r="D4040" t="s">
        <v>1203</v>
      </c>
      <c r="E4040" t="s">
        <v>1204</v>
      </c>
      <c r="F4040">
        <v>6949</v>
      </c>
      <c r="G4040" t="s">
        <v>2674</v>
      </c>
      <c r="H4040" t="s">
        <v>2665</v>
      </c>
      <c r="I4040">
        <v>1730.8527474</v>
      </c>
      <c r="J4040">
        <v>1694.0260932000001</v>
      </c>
      <c r="K4040">
        <v>1715.5083081499999</v>
      </c>
      <c r="L4040">
        <v>1740.05941095</v>
      </c>
      <c r="N4040" t="s">
        <v>988</v>
      </c>
    </row>
    <row r="4041" spans="1:14" hidden="1" x14ac:dyDescent="0.3">
      <c r="A4041">
        <v>2444</v>
      </c>
      <c r="B4041" t="s">
        <v>2018</v>
      </c>
      <c r="C4041" t="s">
        <v>2670</v>
      </c>
      <c r="D4041" t="s">
        <v>1203</v>
      </c>
      <c r="E4041" t="s">
        <v>1204</v>
      </c>
      <c r="F4041">
        <v>6949</v>
      </c>
      <c r="G4041" t="s">
        <v>2676</v>
      </c>
      <c r="H4041" t="s">
        <v>2664</v>
      </c>
      <c r="I4041">
        <v>3624.3565508500001</v>
      </c>
      <c r="J4041">
        <v>3624.3565508500001</v>
      </c>
      <c r="K4041">
        <v>3624.3565508500001</v>
      </c>
      <c r="L4041">
        <v>3624.3565508500001</v>
      </c>
      <c r="N4041" t="s">
        <v>988</v>
      </c>
    </row>
    <row r="4042" spans="1:14" hidden="1" x14ac:dyDescent="0.3">
      <c r="A4042">
        <v>2444</v>
      </c>
      <c r="B4042" t="s">
        <v>2018</v>
      </c>
      <c r="C4042" t="s">
        <v>2670</v>
      </c>
      <c r="D4042" t="s">
        <v>1203</v>
      </c>
      <c r="E4042" t="s">
        <v>1204</v>
      </c>
      <c r="F4042">
        <v>6949</v>
      </c>
      <c r="G4042" t="s">
        <v>2674</v>
      </c>
      <c r="H4042" t="s">
        <v>2664</v>
      </c>
      <c r="I4042">
        <v>3624.3565508500001</v>
      </c>
      <c r="J4042">
        <v>3624.3565508500001</v>
      </c>
      <c r="K4042">
        <v>3624.3565508500001</v>
      </c>
      <c r="L4042">
        <v>3624.3565508500001</v>
      </c>
      <c r="N4042" t="s">
        <v>988</v>
      </c>
    </row>
    <row r="4043" spans="1:14" hidden="1" x14ac:dyDescent="0.3">
      <c r="A4043">
        <v>2444</v>
      </c>
      <c r="B4043" t="s">
        <v>2018</v>
      </c>
      <c r="C4043" t="s">
        <v>2670</v>
      </c>
      <c r="D4043" t="s">
        <v>1203</v>
      </c>
      <c r="E4043" t="s">
        <v>1204</v>
      </c>
      <c r="F4043">
        <v>6949</v>
      </c>
      <c r="G4043" t="s">
        <v>2675</v>
      </c>
      <c r="H4043" t="s">
        <v>2665</v>
      </c>
      <c r="I4043">
        <v>1730.8527474</v>
      </c>
      <c r="J4043">
        <v>1694.0260932000001</v>
      </c>
      <c r="K4043">
        <v>1715.5083081499999</v>
      </c>
      <c r="L4043">
        <v>1740.05941095</v>
      </c>
      <c r="N4043" t="s">
        <v>988</v>
      </c>
    </row>
    <row r="4044" spans="1:14" hidden="1" x14ac:dyDescent="0.3">
      <c r="A4044">
        <v>2444</v>
      </c>
      <c r="B4044" t="s">
        <v>2018</v>
      </c>
      <c r="C4044" t="s">
        <v>2670</v>
      </c>
      <c r="D4044" t="s">
        <v>1203</v>
      </c>
      <c r="E4044" t="s">
        <v>1204</v>
      </c>
      <c r="F4044">
        <v>6949</v>
      </c>
      <c r="G4044" t="s">
        <v>2675</v>
      </c>
      <c r="H4044" t="s">
        <v>2664</v>
      </c>
      <c r="I4044">
        <v>3624.3565508500001</v>
      </c>
      <c r="J4044">
        <v>3624.3565508500001</v>
      </c>
      <c r="K4044">
        <v>3624.3565508500001</v>
      </c>
      <c r="L4044">
        <v>3624.3565508500001</v>
      </c>
      <c r="N4044" t="s">
        <v>988</v>
      </c>
    </row>
    <row r="4045" spans="1:14" hidden="1" x14ac:dyDescent="0.3">
      <c r="A4045">
        <v>2444</v>
      </c>
      <c r="B4045" t="s">
        <v>2018</v>
      </c>
      <c r="C4045" t="s">
        <v>2670</v>
      </c>
      <c r="D4045" t="s">
        <v>1203</v>
      </c>
      <c r="E4045" t="s">
        <v>1204</v>
      </c>
      <c r="F4045">
        <v>6949</v>
      </c>
      <c r="G4045" t="s">
        <v>2673</v>
      </c>
      <c r="H4045" t="s">
        <v>2664</v>
      </c>
      <c r="I4045">
        <v>3624.3565508500001</v>
      </c>
      <c r="J4045">
        <v>3624.3565508500001</v>
      </c>
      <c r="K4045">
        <v>3624.3565508500001</v>
      </c>
      <c r="L4045">
        <v>3624.3565508500001</v>
      </c>
      <c r="N4045" t="s">
        <v>988</v>
      </c>
    </row>
    <row r="4046" spans="1:14" hidden="1" x14ac:dyDescent="0.3">
      <c r="A4046">
        <v>1408</v>
      </c>
      <c r="B4046" t="s">
        <v>2021</v>
      </c>
      <c r="C4046" t="s">
        <v>2670</v>
      </c>
      <c r="D4046" t="s">
        <v>1203</v>
      </c>
      <c r="E4046" t="s">
        <v>1204</v>
      </c>
      <c r="F4046">
        <v>5825</v>
      </c>
      <c r="G4046" t="s">
        <v>2672</v>
      </c>
      <c r="H4046" t="s">
        <v>2665</v>
      </c>
      <c r="N4046" t="s">
        <v>988</v>
      </c>
    </row>
    <row r="4047" spans="1:14" hidden="1" x14ac:dyDescent="0.3">
      <c r="A4047">
        <v>1408</v>
      </c>
      <c r="B4047" t="s">
        <v>2021</v>
      </c>
      <c r="C4047" t="s">
        <v>2670</v>
      </c>
      <c r="D4047" t="s">
        <v>1203</v>
      </c>
      <c r="E4047" t="s">
        <v>1204</v>
      </c>
      <c r="F4047">
        <v>5825</v>
      </c>
      <c r="G4047" t="s">
        <v>2672</v>
      </c>
      <c r="H4047" t="s">
        <v>2664</v>
      </c>
      <c r="N4047" t="s">
        <v>988</v>
      </c>
    </row>
    <row r="4048" spans="1:14" hidden="1" x14ac:dyDescent="0.3">
      <c r="A4048">
        <v>1408</v>
      </c>
      <c r="B4048" t="s">
        <v>2021</v>
      </c>
      <c r="C4048" t="s">
        <v>2670</v>
      </c>
      <c r="D4048" t="s">
        <v>1203</v>
      </c>
      <c r="E4048" t="s">
        <v>1204</v>
      </c>
      <c r="F4048">
        <v>5825</v>
      </c>
      <c r="G4048" t="s">
        <v>2671</v>
      </c>
      <c r="H4048" t="s">
        <v>2665</v>
      </c>
      <c r="I4048">
        <v>7898</v>
      </c>
      <c r="J4048">
        <v>9441</v>
      </c>
      <c r="K4048">
        <v>9441</v>
      </c>
      <c r="L4048">
        <v>9441</v>
      </c>
      <c r="M4048">
        <v>9441</v>
      </c>
      <c r="N4048" t="s">
        <v>988</v>
      </c>
    </row>
    <row r="4049" spans="1:14" hidden="1" x14ac:dyDescent="0.3">
      <c r="A4049">
        <v>1408</v>
      </c>
      <c r="B4049" t="s">
        <v>2021</v>
      </c>
      <c r="C4049" t="s">
        <v>2670</v>
      </c>
      <c r="D4049" t="s">
        <v>1203</v>
      </c>
      <c r="E4049" t="s">
        <v>1204</v>
      </c>
      <c r="F4049">
        <v>5825</v>
      </c>
      <c r="G4049" t="s">
        <v>2671</v>
      </c>
      <c r="H4049" t="s">
        <v>2664</v>
      </c>
      <c r="I4049">
        <v>9026</v>
      </c>
      <c r="J4049">
        <v>10289</v>
      </c>
      <c r="K4049">
        <v>10289</v>
      </c>
      <c r="L4049">
        <v>10289</v>
      </c>
      <c r="M4049">
        <v>10289</v>
      </c>
      <c r="N4049" t="s">
        <v>988</v>
      </c>
    </row>
    <row r="4050" spans="1:14" hidden="1" x14ac:dyDescent="0.3">
      <c r="A4050">
        <v>1408</v>
      </c>
      <c r="B4050" t="s">
        <v>2021</v>
      </c>
      <c r="C4050" t="s">
        <v>2670</v>
      </c>
      <c r="D4050" t="s">
        <v>1203</v>
      </c>
      <c r="E4050" t="s">
        <v>1204</v>
      </c>
      <c r="F4050">
        <v>5825</v>
      </c>
      <c r="G4050" t="s">
        <v>2673</v>
      </c>
      <c r="H4050" t="s">
        <v>2665</v>
      </c>
      <c r="I4050">
        <v>7898</v>
      </c>
      <c r="J4050">
        <v>9441</v>
      </c>
      <c r="K4050">
        <v>9441</v>
      </c>
      <c r="L4050">
        <v>9441</v>
      </c>
      <c r="M4050">
        <v>9441</v>
      </c>
      <c r="N4050" t="s">
        <v>988</v>
      </c>
    </row>
    <row r="4051" spans="1:14" hidden="1" x14ac:dyDescent="0.3">
      <c r="A4051">
        <v>1408</v>
      </c>
      <c r="B4051" t="s">
        <v>2021</v>
      </c>
      <c r="C4051" t="s">
        <v>2670</v>
      </c>
      <c r="D4051" t="s">
        <v>1203</v>
      </c>
      <c r="E4051" t="s">
        <v>1204</v>
      </c>
      <c r="F4051">
        <v>5825</v>
      </c>
      <c r="G4051" t="s">
        <v>2676</v>
      </c>
      <c r="H4051" t="s">
        <v>2664</v>
      </c>
      <c r="I4051">
        <v>9026</v>
      </c>
      <c r="J4051">
        <v>10289</v>
      </c>
      <c r="K4051">
        <v>10289</v>
      </c>
      <c r="L4051">
        <v>10289</v>
      </c>
      <c r="M4051">
        <v>10289</v>
      </c>
      <c r="N4051" t="s">
        <v>988</v>
      </c>
    </row>
    <row r="4052" spans="1:14" hidden="1" x14ac:dyDescent="0.3">
      <c r="A4052">
        <v>1408</v>
      </c>
      <c r="B4052" t="s">
        <v>2021</v>
      </c>
      <c r="C4052" t="s">
        <v>2670</v>
      </c>
      <c r="D4052" t="s">
        <v>1203</v>
      </c>
      <c r="E4052" t="s">
        <v>1204</v>
      </c>
      <c r="F4052">
        <v>5825</v>
      </c>
      <c r="G4052" t="s">
        <v>2674</v>
      </c>
      <c r="H4052" t="s">
        <v>2665</v>
      </c>
      <c r="I4052">
        <v>7898</v>
      </c>
      <c r="J4052">
        <v>9441</v>
      </c>
      <c r="K4052">
        <v>9441</v>
      </c>
      <c r="L4052">
        <v>9441</v>
      </c>
      <c r="M4052">
        <v>9441</v>
      </c>
      <c r="N4052" t="s">
        <v>988</v>
      </c>
    </row>
    <row r="4053" spans="1:14" hidden="1" x14ac:dyDescent="0.3">
      <c r="A4053">
        <v>1408</v>
      </c>
      <c r="B4053" t="s">
        <v>2021</v>
      </c>
      <c r="C4053" t="s">
        <v>2670</v>
      </c>
      <c r="D4053" t="s">
        <v>1203</v>
      </c>
      <c r="E4053" t="s">
        <v>1204</v>
      </c>
      <c r="F4053">
        <v>5825</v>
      </c>
      <c r="G4053" t="s">
        <v>2674</v>
      </c>
      <c r="H4053" t="s">
        <v>2664</v>
      </c>
      <c r="I4053">
        <v>9026</v>
      </c>
      <c r="J4053">
        <v>10289</v>
      </c>
      <c r="K4053">
        <v>10289</v>
      </c>
      <c r="L4053">
        <v>10289</v>
      </c>
      <c r="M4053">
        <v>10289</v>
      </c>
      <c r="N4053" t="s">
        <v>988</v>
      </c>
    </row>
    <row r="4054" spans="1:14" hidden="1" x14ac:dyDescent="0.3">
      <c r="A4054">
        <v>1408</v>
      </c>
      <c r="B4054" t="s">
        <v>2021</v>
      </c>
      <c r="C4054" t="s">
        <v>2670</v>
      </c>
      <c r="D4054" t="s">
        <v>1203</v>
      </c>
      <c r="E4054" t="s">
        <v>1204</v>
      </c>
      <c r="F4054">
        <v>5825</v>
      </c>
      <c r="G4054" t="s">
        <v>2675</v>
      </c>
      <c r="H4054" t="s">
        <v>2665</v>
      </c>
      <c r="I4054">
        <v>7898</v>
      </c>
      <c r="J4054">
        <v>9441</v>
      </c>
      <c r="K4054">
        <v>9441</v>
      </c>
      <c r="L4054">
        <v>9441</v>
      </c>
      <c r="M4054">
        <v>9441</v>
      </c>
      <c r="N4054" t="s">
        <v>988</v>
      </c>
    </row>
    <row r="4055" spans="1:14" hidden="1" x14ac:dyDescent="0.3">
      <c r="A4055">
        <v>1408</v>
      </c>
      <c r="B4055" t="s">
        <v>2021</v>
      </c>
      <c r="C4055" t="s">
        <v>2670</v>
      </c>
      <c r="D4055" t="s">
        <v>1203</v>
      </c>
      <c r="E4055" t="s">
        <v>1204</v>
      </c>
      <c r="F4055">
        <v>5825</v>
      </c>
      <c r="G4055" t="s">
        <v>2675</v>
      </c>
      <c r="H4055" t="s">
        <v>2664</v>
      </c>
      <c r="I4055">
        <v>9026</v>
      </c>
      <c r="J4055">
        <v>10289</v>
      </c>
      <c r="K4055">
        <v>10289</v>
      </c>
      <c r="L4055">
        <v>10289</v>
      </c>
      <c r="M4055">
        <v>10289</v>
      </c>
      <c r="N4055" t="s">
        <v>988</v>
      </c>
    </row>
    <row r="4056" spans="1:14" hidden="1" x14ac:dyDescent="0.3">
      <c r="A4056">
        <v>1408</v>
      </c>
      <c r="B4056" t="s">
        <v>2021</v>
      </c>
      <c r="C4056" t="s">
        <v>2670</v>
      </c>
      <c r="D4056" t="s">
        <v>1203</v>
      </c>
      <c r="E4056" t="s">
        <v>1204</v>
      </c>
      <c r="F4056">
        <v>5825</v>
      </c>
      <c r="G4056" t="s">
        <v>2676</v>
      </c>
      <c r="H4056" t="s">
        <v>2665</v>
      </c>
      <c r="I4056">
        <v>7898</v>
      </c>
      <c r="J4056">
        <v>9441</v>
      </c>
      <c r="K4056">
        <v>9441</v>
      </c>
      <c r="L4056">
        <v>9441</v>
      </c>
      <c r="M4056">
        <v>9441</v>
      </c>
      <c r="N4056" t="s">
        <v>988</v>
      </c>
    </row>
    <row r="4057" spans="1:14" hidden="1" x14ac:dyDescent="0.3">
      <c r="A4057">
        <v>1408</v>
      </c>
      <c r="B4057" t="s">
        <v>2021</v>
      </c>
      <c r="C4057" t="s">
        <v>2670</v>
      </c>
      <c r="D4057" t="s">
        <v>1203</v>
      </c>
      <c r="E4057" t="s">
        <v>1204</v>
      </c>
      <c r="F4057">
        <v>5825</v>
      </c>
      <c r="G4057" t="s">
        <v>2673</v>
      </c>
      <c r="H4057" t="s">
        <v>2664</v>
      </c>
      <c r="I4057">
        <v>9026</v>
      </c>
      <c r="J4057">
        <v>10289</v>
      </c>
      <c r="K4057">
        <v>10289</v>
      </c>
      <c r="L4057">
        <v>10289</v>
      </c>
      <c r="M4057">
        <v>10289</v>
      </c>
      <c r="N4057" t="s">
        <v>988</v>
      </c>
    </row>
    <row r="4058" spans="1:14" hidden="1" x14ac:dyDescent="0.3">
      <c r="B4058" t="s">
        <v>2023</v>
      </c>
      <c r="C4058" t="s">
        <v>2670</v>
      </c>
      <c r="D4058" t="s">
        <v>159</v>
      </c>
      <c r="E4058" t="s">
        <v>159</v>
      </c>
      <c r="F4058">
        <v>7910</v>
      </c>
      <c r="G4058" t="s">
        <v>2671</v>
      </c>
      <c r="H4058" t="s">
        <v>2665</v>
      </c>
      <c r="N4058" t="s">
        <v>988</v>
      </c>
    </row>
    <row r="4059" spans="1:14" hidden="1" x14ac:dyDescent="0.3">
      <c r="B4059" t="s">
        <v>2023</v>
      </c>
      <c r="C4059" t="s">
        <v>2670</v>
      </c>
      <c r="D4059" t="s">
        <v>159</v>
      </c>
      <c r="E4059" t="s">
        <v>159</v>
      </c>
      <c r="F4059">
        <v>7910</v>
      </c>
      <c r="G4059" t="s">
        <v>2672</v>
      </c>
      <c r="H4059" t="s">
        <v>2664</v>
      </c>
      <c r="N4059" t="s">
        <v>988</v>
      </c>
    </row>
    <row r="4060" spans="1:14" hidden="1" x14ac:dyDescent="0.3">
      <c r="B4060" t="s">
        <v>2023</v>
      </c>
      <c r="C4060" t="s">
        <v>2670</v>
      </c>
      <c r="D4060" t="s">
        <v>159</v>
      </c>
      <c r="E4060" t="s">
        <v>159</v>
      </c>
      <c r="F4060">
        <v>7910</v>
      </c>
      <c r="G4060" t="s">
        <v>2672</v>
      </c>
      <c r="H4060" t="s">
        <v>2665</v>
      </c>
      <c r="N4060" t="s">
        <v>988</v>
      </c>
    </row>
    <row r="4061" spans="1:14" hidden="1" x14ac:dyDescent="0.3">
      <c r="B4061" t="s">
        <v>2023</v>
      </c>
      <c r="C4061" t="s">
        <v>2670</v>
      </c>
      <c r="D4061" t="s">
        <v>159</v>
      </c>
      <c r="E4061" t="s">
        <v>159</v>
      </c>
      <c r="F4061">
        <v>7910</v>
      </c>
      <c r="G4061" t="s">
        <v>2676</v>
      </c>
      <c r="H4061" t="s">
        <v>2665</v>
      </c>
      <c r="I4061">
        <v>65774</v>
      </c>
      <c r="J4061">
        <v>70605</v>
      </c>
      <c r="K4061">
        <v>71089</v>
      </c>
      <c r="L4061">
        <v>71070</v>
      </c>
      <c r="M4061">
        <v>71172</v>
      </c>
      <c r="N4061" t="s">
        <v>988</v>
      </c>
    </row>
    <row r="4062" spans="1:14" hidden="1" x14ac:dyDescent="0.3">
      <c r="B4062" t="s">
        <v>2023</v>
      </c>
      <c r="C4062" t="s">
        <v>2670</v>
      </c>
      <c r="D4062" t="s">
        <v>159</v>
      </c>
      <c r="E4062" t="s">
        <v>159</v>
      </c>
      <c r="F4062">
        <v>7910</v>
      </c>
      <c r="G4062" t="s">
        <v>2675</v>
      </c>
      <c r="H4062" t="s">
        <v>2664</v>
      </c>
      <c r="I4062">
        <v>65774</v>
      </c>
      <c r="J4062">
        <v>70605</v>
      </c>
      <c r="K4062">
        <v>71089</v>
      </c>
      <c r="L4062">
        <v>71070</v>
      </c>
      <c r="M4062">
        <v>71172</v>
      </c>
      <c r="N4062" t="s">
        <v>988</v>
      </c>
    </row>
    <row r="4063" spans="1:14" hidden="1" x14ac:dyDescent="0.3">
      <c r="B4063" t="s">
        <v>2023</v>
      </c>
      <c r="C4063" t="s">
        <v>2670</v>
      </c>
      <c r="D4063" t="s">
        <v>159</v>
      </c>
      <c r="E4063" t="s">
        <v>159</v>
      </c>
      <c r="F4063">
        <v>7910</v>
      </c>
      <c r="G4063" t="s">
        <v>2675</v>
      </c>
      <c r="H4063" t="s">
        <v>2665</v>
      </c>
      <c r="I4063">
        <v>65774</v>
      </c>
      <c r="J4063">
        <v>70605</v>
      </c>
      <c r="K4063">
        <v>71089</v>
      </c>
      <c r="L4063">
        <v>71070</v>
      </c>
      <c r="M4063">
        <v>71172</v>
      </c>
      <c r="N4063" t="s">
        <v>988</v>
      </c>
    </row>
    <row r="4064" spans="1:14" hidden="1" x14ac:dyDescent="0.3">
      <c r="B4064" t="s">
        <v>2023</v>
      </c>
      <c r="C4064" t="s">
        <v>2670</v>
      </c>
      <c r="D4064" t="s">
        <v>159</v>
      </c>
      <c r="E4064" t="s">
        <v>159</v>
      </c>
      <c r="F4064">
        <v>7910</v>
      </c>
      <c r="G4064" t="s">
        <v>2674</v>
      </c>
      <c r="H4064" t="s">
        <v>2664</v>
      </c>
      <c r="I4064">
        <v>65774</v>
      </c>
      <c r="J4064">
        <v>70605</v>
      </c>
      <c r="K4064">
        <v>71089</v>
      </c>
      <c r="L4064">
        <v>71070</v>
      </c>
      <c r="M4064">
        <v>71172</v>
      </c>
      <c r="N4064" t="s">
        <v>988</v>
      </c>
    </row>
    <row r="4065" spans="2:14" hidden="1" x14ac:dyDescent="0.3">
      <c r="B4065" t="s">
        <v>2023</v>
      </c>
      <c r="C4065" t="s">
        <v>2670</v>
      </c>
      <c r="D4065" t="s">
        <v>159</v>
      </c>
      <c r="E4065" t="s">
        <v>159</v>
      </c>
      <c r="F4065">
        <v>7910</v>
      </c>
      <c r="G4065" t="s">
        <v>2674</v>
      </c>
      <c r="H4065" t="s">
        <v>2665</v>
      </c>
      <c r="I4065">
        <v>65774</v>
      </c>
      <c r="J4065">
        <v>70605</v>
      </c>
      <c r="K4065">
        <v>71089</v>
      </c>
      <c r="L4065">
        <v>71070</v>
      </c>
      <c r="M4065">
        <v>71172</v>
      </c>
      <c r="N4065" t="s">
        <v>988</v>
      </c>
    </row>
    <row r="4066" spans="2:14" hidden="1" x14ac:dyDescent="0.3">
      <c r="B4066" t="s">
        <v>2023</v>
      </c>
      <c r="C4066" t="s">
        <v>2670</v>
      </c>
      <c r="D4066" t="s">
        <v>159</v>
      </c>
      <c r="E4066" t="s">
        <v>159</v>
      </c>
      <c r="F4066">
        <v>7910</v>
      </c>
      <c r="G4066" t="s">
        <v>2673</v>
      </c>
      <c r="H4066" t="s">
        <v>2664</v>
      </c>
      <c r="N4066" t="s">
        <v>988</v>
      </c>
    </row>
    <row r="4067" spans="2:14" hidden="1" x14ac:dyDescent="0.3">
      <c r="B4067" t="s">
        <v>2023</v>
      </c>
      <c r="C4067" t="s">
        <v>2670</v>
      </c>
      <c r="D4067" t="s">
        <v>159</v>
      </c>
      <c r="E4067" t="s">
        <v>159</v>
      </c>
      <c r="F4067">
        <v>7910</v>
      </c>
      <c r="G4067" t="s">
        <v>2673</v>
      </c>
      <c r="H4067" t="s">
        <v>2665</v>
      </c>
      <c r="N4067" t="s">
        <v>988</v>
      </c>
    </row>
    <row r="4068" spans="2:14" hidden="1" x14ac:dyDescent="0.3">
      <c r="B4068" t="s">
        <v>2023</v>
      </c>
      <c r="C4068" t="s">
        <v>2670</v>
      </c>
      <c r="D4068" t="s">
        <v>159</v>
      </c>
      <c r="E4068" t="s">
        <v>159</v>
      </c>
      <c r="F4068">
        <v>7910</v>
      </c>
      <c r="G4068" t="s">
        <v>2671</v>
      </c>
      <c r="H4068" t="s">
        <v>2664</v>
      </c>
      <c r="N4068" t="s">
        <v>988</v>
      </c>
    </row>
    <row r="4069" spans="2:14" hidden="1" x14ac:dyDescent="0.3">
      <c r="B4069" t="s">
        <v>2023</v>
      </c>
      <c r="C4069" t="s">
        <v>2670</v>
      </c>
      <c r="D4069" t="s">
        <v>159</v>
      </c>
      <c r="E4069" t="s">
        <v>159</v>
      </c>
      <c r="F4069">
        <v>7910</v>
      </c>
      <c r="G4069" t="s">
        <v>2676</v>
      </c>
      <c r="H4069" t="s">
        <v>2664</v>
      </c>
      <c r="I4069">
        <v>65774</v>
      </c>
      <c r="J4069">
        <v>70605</v>
      </c>
      <c r="K4069">
        <v>71089</v>
      </c>
      <c r="L4069">
        <v>71070</v>
      </c>
      <c r="M4069">
        <v>71172</v>
      </c>
      <c r="N4069" t="s">
        <v>988</v>
      </c>
    </row>
    <row r="4070" spans="2:14" hidden="1" x14ac:dyDescent="0.3">
      <c r="B4070" t="s">
        <v>2025</v>
      </c>
      <c r="C4070" t="s">
        <v>2670</v>
      </c>
      <c r="D4070" t="s">
        <v>1203</v>
      </c>
      <c r="E4070" t="s">
        <v>1204</v>
      </c>
      <c r="F4070">
        <v>7912</v>
      </c>
      <c r="G4070" t="s">
        <v>2675</v>
      </c>
      <c r="H4070" t="s">
        <v>2664</v>
      </c>
      <c r="I4070">
        <v>340000</v>
      </c>
      <c r="J4070">
        <v>341000</v>
      </c>
      <c r="K4070">
        <v>341000</v>
      </c>
      <c r="L4070">
        <v>341000</v>
      </c>
      <c r="M4070">
        <v>342000</v>
      </c>
      <c r="N4070" t="s">
        <v>988</v>
      </c>
    </row>
    <row r="4071" spans="2:14" hidden="1" x14ac:dyDescent="0.3">
      <c r="B4071" t="s">
        <v>2025</v>
      </c>
      <c r="C4071" t="s">
        <v>2670</v>
      </c>
      <c r="D4071" t="s">
        <v>1203</v>
      </c>
      <c r="E4071" t="s">
        <v>1204</v>
      </c>
      <c r="F4071">
        <v>7912</v>
      </c>
      <c r="G4071" t="s">
        <v>2675</v>
      </c>
      <c r="H4071" t="s">
        <v>2665</v>
      </c>
      <c r="I4071">
        <v>340000</v>
      </c>
      <c r="J4071">
        <v>341000</v>
      </c>
      <c r="K4071">
        <v>341000</v>
      </c>
      <c r="L4071">
        <v>341000</v>
      </c>
      <c r="M4071">
        <v>342000</v>
      </c>
      <c r="N4071" t="s">
        <v>988</v>
      </c>
    </row>
    <row r="4072" spans="2:14" hidden="1" x14ac:dyDescent="0.3">
      <c r="B4072" t="s">
        <v>2025</v>
      </c>
      <c r="C4072" t="s">
        <v>2670</v>
      </c>
      <c r="D4072" t="s">
        <v>1203</v>
      </c>
      <c r="E4072" t="s">
        <v>1204</v>
      </c>
      <c r="F4072">
        <v>7912</v>
      </c>
      <c r="G4072" t="s">
        <v>2674</v>
      </c>
      <c r="H4072" t="s">
        <v>2664</v>
      </c>
      <c r="I4072">
        <v>330000</v>
      </c>
      <c r="J4072">
        <v>331000</v>
      </c>
      <c r="K4072">
        <v>331000</v>
      </c>
      <c r="L4072">
        <v>331000</v>
      </c>
      <c r="M4072">
        <v>332000</v>
      </c>
      <c r="N4072" t="s">
        <v>988</v>
      </c>
    </row>
    <row r="4073" spans="2:14" hidden="1" x14ac:dyDescent="0.3">
      <c r="B4073" t="s">
        <v>2025</v>
      </c>
      <c r="C4073" t="s">
        <v>2670</v>
      </c>
      <c r="D4073" t="s">
        <v>1203</v>
      </c>
      <c r="E4073" t="s">
        <v>1204</v>
      </c>
      <c r="F4073">
        <v>7912</v>
      </c>
      <c r="G4073" t="s">
        <v>2674</v>
      </c>
      <c r="H4073" t="s">
        <v>2665</v>
      </c>
      <c r="I4073">
        <v>330000</v>
      </c>
      <c r="J4073">
        <v>331000</v>
      </c>
      <c r="K4073">
        <v>331000</v>
      </c>
      <c r="L4073">
        <v>331000</v>
      </c>
      <c r="M4073">
        <v>332000</v>
      </c>
      <c r="N4073" t="s">
        <v>988</v>
      </c>
    </row>
    <row r="4074" spans="2:14" hidden="1" x14ac:dyDescent="0.3">
      <c r="B4074" t="s">
        <v>2025</v>
      </c>
      <c r="C4074" t="s">
        <v>2670</v>
      </c>
      <c r="D4074" t="s">
        <v>1203</v>
      </c>
      <c r="E4074" t="s">
        <v>1204</v>
      </c>
      <c r="F4074">
        <v>7912</v>
      </c>
      <c r="G4074" t="s">
        <v>2673</v>
      </c>
      <c r="H4074" t="s">
        <v>2664</v>
      </c>
      <c r="I4074">
        <v>320000</v>
      </c>
      <c r="J4074">
        <v>321000</v>
      </c>
      <c r="K4074">
        <v>321000</v>
      </c>
      <c r="L4074">
        <v>321000</v>
      </c>
      <c r="M4074">
        <v>322000</v>
      </c>
      <c r="N4074" t="s">
        <v>988</v>
      </c>
    </row>
    <row r="4075" spans="2:14" hidden="1" x14ac:dyDescent="0.3">
      <c r="B4075" t="s">
        <v>2025</v>
      </c>
      <c r="C4075" t="s">
        <v>2670</v>
      </c>
      <c r="D4075" t="s">
        <v>1203</v>
      </c>
      <c r="E4075" t="s">
        <v>1204</v>
      </c>
      <c r="F4075">
        <v>7912</v>
      </c>
      <c r="G4075" t="s">
        <v>2673</v>
      </c>
      <c r="H4075" t="s">
        <v>2665</v>
      </c>
      <c r="I4075">
        <v>320000</v>
      </c>
      <c r="J4075">
        <v>321000</v>
      </c>
      <c r="K4075">
        <v>321000</v>
      </c>
      <c r="L4075">
        <v>321000</v>
      </c>
      <c r="M4075">
        <v>322000</v>
      </c>
      <c r="N4075" t="s">
        <v>988</v>
      </c>
    </row>
    <row r="4076" spans="2:14" hidden="1" x14ac:dyDescent="0.3">
      <c r="B4076" t="s">
        <v>2025</v>
      </c>
      <c r="C4076" t="s">
        <v>2670</v>
      </c>
      <c r="D4076" t="s">
        <v>1203</v>
      </c>
      <c r="E4076" t="s">
        <v>1204</v>
      </c>
      <c r="F4076">
        <v>7912</v>
      </c>
      <c r="G4076" t="s">
        <v>2671</v>
      </c>
      <c r="H4076" t="s">
        <v>2664</v>
      </c>
      <c r="N4076" t="s">
        <v>988</v>
      </c>
    </row>
    <row r="4077" spans="2:14" hidden="1" x14ac:dyDescent="0.3">
      <c r="B4077" t="s">
        <v>2025</v>
      </c>
      <c r="C4077" t="s">
        <v>2670</v>
      </c>
      <c r="D4077" t="s">
        <v>1203</v>
      </c>
      <c r="E4077" t="s">
        <v>1204</v>
      </c>
      <c r="F4077">
        <v>7912</v>
      </c>
      <c r="G4077" t="s">
        <v>2671</v>
      </c>
      <c r="H4077" t="s">
        <v>2665</v>
      </c>
      <c r="N4077" t="s">
        <v>988</v>
      </c>
    </row>
    <row r="4078" spans="2:14" hidden="1" x14ac:dyDescent="0.3">
      <c r="B4078" t="s">
        <v>2025</v>
      </c>
      <c r="C4078" t="s">
        <v>2670</v>
      </c>
      <c r="D4078" t="s">
        <v>1203</v>
      </c>
      <c r="E4078" t="s">
        <v>1204</v>
      </c>
      <c r="F4078">
        <v>7912</v>
      </c>
      <c r="G4078" t="s">
        <v>2672</v>
      </c>
      <c r="H4078" t="s">
        <v>2664</v>
      </c>
      <c r="N4078" t="s">
        <v>988</v>
      </c>
    </row>
    <row r="4079" spans="2:14" hidden="1" x14ac:dyDescent="0.3">
      <c r="B4079" t="s">
        <v>2025</v>
      </c>
      <c r="C4079" t="s">
        <v>2670</v>
      </c>
      <c r="D4079" t="s">
        <v>1203</v>
      </c>
      <c r="E4079" t="s">
        <v>1204</v>
      </c>
      <c r="F4079">
        <v>7912</v>
      </c>
      <c r="G4079" t="s">
        <v>2672</v>
      </c>
      <c r="H4079" t="s">
        <v>2665</v>
      </c>
      <c r="N4079" t="s">
        <v>988</v>
      </c>
    </row>
    <row r="4080" spans="2:14" hidden="1" x14ac:dyDescent="0.3">
      <c r="B4080" t="s">
        <v>2025</v>
      </c>
      <c r="C4080" t="s">
        <v>2670</v>
      </c>
      <c r="D4080" t="s">
        <v>1203</v>
      </c>
      <c r="E4080" t="s">
        <v>1204</v>
      </c>
      <c r="F4080">
        <v>7912</v>
      </c>
      <c r="G4080" t="s">
        <v>2676</v>
      </c>
      <c r="H4080" t="s">
        <v>2664</v>
      </c>
      <c r="I4080">
        <v>350000</v>
      </c>
      <c r="J4080">
        <v>351000</v>
      </c>
      <c r="K4080">
        <v>351000</v>
      </c>
      <c r="L4080">
        <v>351000</v>
      </c>
      <c r="M4080">
        <v>352000</v>
      </c>
      <c r="N4080" t="s">
        <v>988</v>
      </c>
    </row>
    <row r="4081" spans="1:14" hidden="1" x14ac:dyDescent="0.3">
      <c r="B4081" t="s">
        <v>2025</v>
      </c>
      <c r="C4081" t="s">
        <v>2670</v>
      </c>
      <c r="D4081" t="s">
        <v>1203</v>
      </c>
      <c r="E4081" t="s">
        <v>1204</v>
      </c>
      <c r="F4081">
        <v>7912</v>
      </c>
      <c r="G4081" t="s">
        <v>2676</v>
      </c>
      <c r="H4081" t="s">
        <v>2665</v>
      </c>
      <c r="I4081">
        <v>350000</v>
      </c>
      <c r="J4081">
        <v>351000</v>
      </c>
      <c r="K4081">
        <v>351000</v>
      </c>
      <c r="L4081">
        <v>351000</v>
      </c>
      <c r="M4081">
        <v>352000</v>
      </c>
      <c r="N4081" t="s">
        <v>988</v>
      </c>
    </row>
    <row r="4082" spans="1:14" hidden="1" x14ac:dyDescent="0.3">
      <c r="A4082">
        <v>440</v>
      </c>
      <c r="B4082" t="s">
        <v>2026</v>
      </c>
      <c r="C4082" t="s">
        <v>2670</v>
      </c>
      <c r="D4082" t="s">
        <v>159</v>
      </c>
      <c r="E4082" t="s">
        <v>159</v>
      </c>
      <c r="F4082">
        <v>7913</v>
      </c>
      <c r="G4082" t="s">
        <v>2672</v>
      </c>
      <c r="H4082" t="s">
        <v>2665</v>
      </c>
      <c r="N4082" t="s">
        <v>988</v>
      </c>
    </row>
    <row r="4083" spans="1:14" hidden="1" x14ac:dyDescent="0.3">
      <c r="A4083">
        <v>440</v>
      </c>
      <c r="B4083" t="s">
        <v>2026</v>
      </c>
      <c r="C4083" t="s">
        <v>2670</v>
      </c>
      <c r="D4083" t="s">
        <v>159</v>
      </c>
      <c r="E4083" t="s">
        <v>159</v>
      </c>
      <c r="F4083">
        <v>7913</v>
      </c>
      <c r="G4083" t="s">
        <v>2672</v>
      </c>
      <c r="H4083" t="s">
        <v>2664</v>
      </c>
      <c r="N4083" t="s">
        <v>988</v>
      </c>
    </row>
    <row r="4084" spans="1:14" hidden="1" x14ac:dyDescent="0.3">
      <c r="A4084">
        <v>440</v>
      </c>
      <c r="B4084" t="s">
        <v>2026</v>
      </c>
      <c r="C4084" t="s">
        <v>2670</v>
      </c>
      <c r="D4084" t="s">
        <v>159</v>
      </c>
      <c r="E4084" t="s">
        <v>159</v>
      </c>
      <c r="F4084">
        <v>7913</v>
      </c>
      <c r="G4084" t="s">
        <v>2671</v>
      </c>
      <c r="H4084" t="s">
        <v>2665</v>
      </c>
      <c r="I4084">
        <v>2.2956840904900001E-3</v>
      </c>
      <c r="J4084">
        <v>2.2956840904900001E-3</v>
      </c>
      <c r="K4084">
        <v>2.2956840904900001E-3</v>
      </c>
      <c r="N4084" t="s">
        <v>988</v>
      </c>
    </row>
    <row r="4085" spans="1:14" hidden="1" x14ac:dyDescent="0.3">
      <c r="A4085">
        <v>440</v>
      </c>
      <c r="B4085" t="s">
        <v>2026</v>
      </c>
      <c r="C4085" t="s">
        <v>2670</v>
      </c>
      <c r="D4085" t="s">
        <v>159</v>
      </c>
      <c r="E4085" t="s">
        <v>159</v>
      </c>
      <c r="F4085">
        <v>7913</v>
      </c>
      <c r="G4085" t="s">
        <v>2671</v>
      </c>
      <c r="H4085" t="s">
        <v>2664</v>
      </c>
      <c r="I4085">
        <v>1.8365472723920001E-2</v>
      </c>
      <c r="J4085">
        <v>1.8365472723920001E-2</v>
      </c>
      <c r="K4085">
        <v>1.8365472723920001E-2</v>
      </c>
      <c r="L4085">
        <v>1.8365472723920001E-2</v>
      </c>
      <c r="N4085" t="s">
        <v>988</v>
      </c>
    </row>
    <row r="4086" spans="1:14" hidden="1" x14ac:dyDescent="0.3">
      <c r="A4086">
        <v>440</v>
      </c>
      <c r="B4086" t="s">
        <v>2026</v>
      </c>
      <c r="C4086" t="s">
        <v>2670</v>
      </c>
      <c r="D4086" t="s">
        <v>159</v>
      </c>
      <c r="E4086" t="s">
        <v>159</v>
      </c>
      <c r="F4086">
        <v>7913</v>
      </c>
      <c r="G4086" t="s">
        <v>2673</v>
      </c>
      <c r="H4086" t="s">
        <v>2665</v>
      </c>
      <c r="I4086">
        <v>2.2956840904900001E-3</v>
      </c>
      <c r="J4086">
        <v>2.2956840904900001E-3</v>
      </c>
      <c r="K4086">
        <v>2.2956840904900001E-3</v>
      </c>
      <c r="L4086">
        <v>2.2956840904900001E-3</v>
      </c>
      <c r="N4086" t="s">
        <v>988</v>
      </c>
    </row>
    <row r="4087" spans="1:14" hidden="1" x14ac:dyDescent="0.3">
      <c r="A4087">
        <v>440</v>
      </c>
      <c r="B4087" t="s">
        <v>2026</v>
      </c>
      <c r="C4087" t="s">
        <v>2670</v>
      </c>
      <c r="D4087" t="s">
        <v>159</v>
      </c>
      <c r="E4087" t="s">
        <v>159</v>
      </c>
      <c r="F4087">
        <v>7913</v>
      </c>
      <c r="G4087" t="s">
        <v>2676</v>
      </c>
      <c r="H4087" t="s">
        <v>2664</v>
      </c>
      <c r="I4087">
        <v>2.2956840904900001E-3</v>
      </c>
      <c r="J4087">
        <v>4.5913681809800003E-3</v>
      </c>
      <c r="K4087">
        <v>6.8870522714700004E-3</v>
      </c>
      <c r="L4087">
        <v>9.1827363619600005E-3</v>
      </c>
      <c r="N4087" t="s">
        <v>988</v>
      </c>
    </row>
    <row r="4088" spans="1:14" hidden="1" x14ac:dyDescent="0.3">
      <c r="A4088">
        <v>440</v>
      </c>
      <c r="B4088" t="s">
        <v>2026</v>
      </c>
      <c r="C4088" t="s">
        <v>2670</v>
      </c>
      <c r="D4088" t="s">
        <v>159</v>
      </c>
      <c r="E4088" t="s">
        <v>159</v>
      </c>
      <c r="F4088">
        <v>7913</v>
      </c>
      <c r="G4088" t="s">
        <v>2674</v>
      </c>
      <c r="H4088" t="s">
        <v>2665</v>
      </c>
      <c r="I4088">
        <v>2.2956840904900001E-3</v>
      </c>
      <c r="J4088">
        <v>2.2956840904900001E-3</v>
      </c>
      <c r="K4088">
        <v>2.2956840904900001E-3</v>
      </c>
      <c r="L4088">
        <v>2.2956840904900001E-3</v>
      </c>
      <c r="N4088" t="s">
        <v>988</v>
      </c>
    </row>
    <row r="4089" spans="1:14" hidden="1" x14ac:dyDescent="0.3">
      <c r="A4089">
        <v>440</v>
      </c>
      <c r="B4089" t="s">
        <v>2026</v>
      </c>
      <c r="C4089" t="s">
        <v>2670</v>
      </c>
      <c r="D4089" t="s">
        <v>159</v>
      </c>
      <c r="E4089" t="s">
        <v>159</v>
      </c>
      <c r="F4089">
        <v>7913</v>
      </c>
      <c r="G4089" t="s">
        <v>2674</v>
      </c>
      <c r="H4089" t="s">
        <v>2664</v>
      </c>
      <c r="I4089">
        <v>1.1478420452450001E-2</v>
      </c>
      <c r="J4089">
        <v>1.1478420452450001E-2</v>
      </c>
      <c r="K4089">
        <v>1.1478420452450001E-2</v>
      </c>
      <c r="L4089">
        <v>1.1478420452450001E-2</v>
      </c>
      <c r="N4089" t="s">
        <v>988</v>
      </c>
    </row>
    <row r="4090" spans="1:14" hidden="1" x14ac:dyDescent="0.3">
      <c r="A4090">
        <v>440</v>
      </c>
      <c r="B4090" t="s">
        <v>2026</v>
      </c>
      <c r="C4090" t="s">
        <v>2670</v>
      </c>
      <c r="D4090" t="s">
        <v>159</v>
      </c>
      <c r="E4090" t="s">
        <v>159</v>
      </c>
      <c r="F4090">
        <v>7913</v>
      </c>
      <c r="G4090" t="s">
        <v>2675</v>
      </c>
      <c r="H4090" t="s">
        <v>2665</v>
      </c>
      <c r="I4090">
        <v>2.2956840904900001E-3</v>
      </c>
      <c r="J4090">
        <v>2.2956840904900001E-3</v>
      </c>
      <c r="K4090">
        <v>2.2956840904900001E-3</v>
      </c>
      <c r="L4090">
        <v>2.2956840904900001E-3</v>
      </c>
      <c r="N4090" t="s">
        <v>988</v>
      </c>
    </row>
    <row r="4091" spans="1:14" hidden="1" x14ac:dyDescent="0.3">
      <c r="A4091">
        <v>440</v>
      </c>
      <c r="B4091" t="s">
        <v>2026</v>
      </c>
      <c r="C4091" t="s">
        <v>2670</v>
      </c>
      <c r="D4091" t="s">
        <v>159</v>
      </c>
      <c r="E4091" t="s">
        <v>159</v>
      </c>
      <c r="F4091">
        <v>7913</v>
      </c>
      <c r="G4091" t="s">
        <v>2675</v>
      </c>
      <c r="H4091" t="s">
        <v>2664</v>
      </c>
      <c r="I4091">
        <v>9.1827363619600005E-3</v>
      </c>
      <c r="J4091">
        <v>9.1827363619600005E-3</v>
      </c>
      <c r="K4091">
        <v>9.1827363619600005E-3</v>
      </c>
      <c r="L4091">
        <v>9.1827363619600005E-3</v>
      </c>
      <c r="N4091" t="s">
        <v>988</v>
      </c>
    </row>
    <row r="4092" spans="1:14" hidden="1" x14ac:dyDescent="0.3">
      <c r="A4092">
        <v>440</v>
      </c>
      <c r="B4092" t="s">
        <v>2026</v>
      </c>
      <c r="C4092" t="s">
        <v>2670</v>
      </c>
      <c r="D4092" t="s">
        <v>159</v>
      </c>
      <c r="E4092" t="s">
        <v>159</v>
      </c>
      <c r="F4092">
        <v>7913</v>
      </c>
      <c r="G4092" t="s">
        <v>2676</v>
      </c>
      <c r="H4092" t="s">
        <v>2665</v>
      </c>
      <c r="I4092">
        <v>2.2956840904900001E-3</v>
      </c>
      <c r="J4092">
        <v>2.2956840904900001E-3</v>
      </c>
      <c r="K4092">
        <v>2.2956840904900001E-3</v>
      </c>
      <c r="L4092">
        <v>2.2956840904900001E-3</v>
      </c>
      <c r="N4092" t="s">
        <v>988</v>
      </c>
    </row>
    <row r="4093" spans="1:14" hidden="1" x14ac:dyDescent="0.3">
      <c r="A4093">
        <v>440</v>
      </c>
      <c r="B4093" t="s">
        <v>2026</v>
      </c>
      <c r="C4093" t="s">
        <v>2670</v>
      </c>
      <c r="D4093" t="s">
        <v>159</v>
      </c>
      <c r="E4093" t="s">
        <v>159</v>
      </c>
      <c r="F4093">
        <v>7913</v>
      </c>
      <c r="G4093" t="s">
        <v>2673</v>
      </c>
      <c r="H4093" t="s">
        <v>2664</v>
      </c>
      <c r="I4093">
        <v>1.3774104542940001E-2</v>
      </c>
      <c r="J4093">
        <v>1.3774104542940001E-2</v>
      </c>
      <c r="K4093">
        <v>1.3774104542940001E-2</v>
      </c>
      <c r="L4093">
        <v>1.3774104542940001E-2</v>
      </c>
      <c r="N4093" t="s">
        <v>988</v>
      </c>
    </row>
    <row r="4094" spans="1:14" hidden="1" x14ac:dyDescent="0.3">
      <c r="A4094">
        <v>2469</v>
      </c>
      <c r="B4094" t="s">
        <v>2028</v>
      </c>
      <c r="C4094" t="s">
        <v>2670</v>
      </c>
      <c r="D4094" t="s">
        <v>1203</v>
      </c>
      <c r="E4094" t="s">
        <v>1204</v>
      </c>
      <c r="F4094">
        <v>5617</v>
      </c>
      <c r="G4094" t="s">
        <v>2673</v>
      </c>
      <c r="H4094" t="s">
        <v>2665</v>
      </c>
      <c r="I4094">
        <v>10691</v>
      </c>
      <c r="J4094">
        <v>10962</v>
      </c>
      <c r="K4094">
        <v>11233</v>
      </c>
      <c r="L4094">
        <v>11504</v>
      </c>
      <c r="M4094">
        <v>11775</v>
      </c>
      <c r="N4094" t="s">
        <v>988</v>
      </c>
    </row>
    <row r="4095" spans="1:14" hidden="1" x14ac:dyDescent="0.3">
      <c r="A4095">
        <v>2469</v>
      </c>
      <c r="B4095" t="s">
        <v>2028</v>
      </c>
      <c r="C4095" t="s">
        <v>2670</v>
      </c>
      <c r="D4095" t="s">
        <v>1203</v>
      </c>
      <c r="E4095" t="s">
        <v>1204</v>
      </c>
      <c r="F4095">
        <v>5617</v>
      </c>
      <c r="G4095" t="s">
        <v>2673</v>
      </c>
      <c r="H4095" t="s">
        <v>2664</v>
      </c>
      <c r="I4095">
        <v>10691</v>
      </c>
      <c r="J4095">
        <v>10962</v>
      </c>
      <c r="K4095">
        <v>11233</v>
      </c>
      <c r="L4095">
        <v>11504</v>
      </c>
      <c r="M4095">
        <v>11775</v>
      </c>
      <c r="N4095" t="s">
        <v>988</v>
      </c>
    </row>
    <row r="4096" spans="1:14" hidden="1" x14ac:dyDescent="0.3">
      <c r="A4096">
        <v>2469</v>
      </c>
      <c r="B4096" t="s">
        <v>2028</v>
      </c>
      <c r="C4096" t="s">
        <v>2670</v>
      </c>
      <c r="D4096" t="s">
        <v>1203</v>
      </c>
      <c r="E4096" t="s">
        <v>1204</v>
      </c>
      <c r="F4096">
        <v>5617</v>
      </c>
      <c r="G4096" t="s">
        <v>2674</v>
      </c>
      <c r="H4096" t="s">
        <v>2665</v>
      </c>
      <c r="I4096">
        <v>10691</v>
      </c>
      <c r="J4096">
        <v>10962</v>
      </c>
      <c r="K4096">
        <v>11233</v>
      </c>
      <c r="L4096">
        <v>11504</v>
      </c>
      <c r="M4096">
        <v>11775</v>
      </c>
      <c r="N4096" t="s">
        <v>988</v>
      </c>
    </row>
    <row r="4097" spans="1:14" hidden="1" x14ac:dyDescent="0.3">
      <c r="A4097">
        <v>2469</v>
      </c>
      <c r="B4097" t="s">
        <v>2028</v>
      </c>
      <c r="C4097" t="s">
        <v>2670</v>
      </c>
      <c r="D4097" t="s">
        <v>1203</v>
      </c>
      <c r="E4097" t="s">
        <v>1204</v>
      </c>
      <c r="F4097">
        <v>5617</v>
      </c>
      <c r="G4097" t="s">
        <v>2674</v>
      </c>
      <c r="H4097" t="s">
        <v>2664</v>
      </c>
      <c r="I4097">
        <v>10691</v>
      </c>
      <c r="J4097">
        <v>10962</v>
      </c>
      <c r="K4097">
        <v>11233</v>
      </c>
      <c r="L4097">
        <v>11504</v>
      </c>
      <c r="M4097">
        <v>11775</v>
      </c>
      <c r="N4097" t="s">
        <v>988</v>
      </c>
    </row>
    <row r="4098" spans="1:14" hidden="1" x14ac:dyDescent="0.3">
      <c r="A4098">
        <v>2469</v>
      </c>
      <c r="B4098" t="s">
        <v>2028</v>
      </c>
      <c r="C4098" t="s">
        <v>2670</v>
      </c>
      <c r="D4098" t="s">
        <v>1203</v>
      </c>
      <c r="E4098" t="s">
        <v>1204</v>
      </c>
      <c r="F4098">
        <v>5617</v>
      </c>
      <c r="G4098" t="s">
        <v>2675</v>
      </c>
      <c r="H4098" t="s">
        <v>2665</v>
      </c>
      <c r="I4098">
        <v>10691</v>
      </c>
      <c r="J4098">
        <v>10962</v>
      </c>
      <c r="K4098">
        <v>11233</v>
      </c>
      <c r="L4098">
        <v>11504</v>
      </c>
      <c r="M4098">
        <v>11775</v>
      </c>
      <c r="N4098" t="s">
        <v>988</v>
      </c>
    </row>
    <row r="4099" spans="1:14" hidden="1" x14ac:dyDescent="0.3">
      <c r="A4099">
        <v>2469</v>
      </c>
      <c r="B4099" t="s">
        <v>2028</v>
      </c>
      <c r="C4099" t="s">
        <v>2670</v>
      </c>
      <c r="D4099" t="s">
        <v>1203</v>
      </c>
      <c r="E4099" t="s">
        <v>1204</v>
      </c>
      <c r="F4099">
        <v>5617</v>
      </c>
      <c r="G4099" t="s">
        <v>2671</v>
      </c>
      <c r="H4099" t="s">
        <v>2664</v>
      </c>
      <c r="I4099">
        <v>10691</v>
      </c>
      <c r="J4099">
        <v>10962</v>
      </c>
      <c r="K4099">
        <v>11233</v>
      </c>
      <c r="L4099">
        <v>11504</v>
      </c>
      <c r="M4099">
        <v>11775</v>
      </c>
      <c r="N4099" t="s">
        <v>988</v>
      </c>
    </row>
    <row r="4100" spans="1:14" hidden="1" x14ac:dyDescent="0.3">
      <c r="A4100">
        <v>2469</v>
      </c>
      <c r="B4100" t="s">
        <v>2028</v>
      </c>
      <c r="C4100" t="s">
        <v>2670</v>
      </c>
      <c r="D4100" t="s">
        <v>1203</v>
      </c>
      <c r="E4100" t="s">
        <v>1204</v>
      </c>
      <c r="F4100">
        <v>5617</v>
      </c>
      <c r="G4100" t="s">
        <v>2676</v>
      </c>
      <c r="H4100" t="s">
        <v>2665</v>
      </c>
      <c r="I4100">
        <v>10691</v>
      </c>
      <c r="J4100">
        <v>10962</v>
      </c>
      <c r="K4100">
        <v>11233</v>
      </c>
      <c r="L4100">
        <v>11504</v>
      </c>
      <c r="M4100">
        <v>11775</v>
      </c>
      <c r="N4100" t="s">
        <v>988</v>
      </c>
    </row>
    <row r="4101" spans="1:14" hidden="1" x14ac:dyDescent="0.3">
      <c r="A4101">
        <v>2469</v>
      </c>
      <c r="B4101" t="s">
        <v>2028</v>
      </c>
      <c r="C4101" t="s">
        <v>2670</v>
      </c>
      <c r="D4101" t="s">
        <v>1203</v>
      </c>
      <c r="E4101" t="s">
        <v>1204</v>
      </c>
      <c r="F4101">
        <v>5617</v>
      </c>
      <c r="G4101" t="s">
        <v>2676</v>
      </c>
      <c r="H4101" t="s">
        <v>2664</v>
      </c>
      <c r="I4101">
        <v>10691</v>
      </c>
      <c r="J4101">
        <v>10962</v>
      </c>
      <c r="K4101">
        <v>11233</v>
      </c>
      <c r="L4101">
        <v>11504</v>
      </c>
      <c r="M4101">
        <v>11775</v>
      </c>
      <c r="N4101" t="s">
        <v>988</v>
      </c>
    </row>
    <row r="4102" spans="1:14" hidden="1" x14ac:dyDescent="0.3">
      <c r="A4102">
        <v>2469</v>
      </c>
      <c r="B4102" t="s">
        <v>2028</v>
      </c>
      <c r="C4102" t="s">
        <v>2670</v>
      </c>
      <c r="D4102" t="s">
        <v>1203</v>
      </c>
      <c r="E4102" t="s">
        <v>1204</v>
      </c>
      <c r="F4102">
        <v>5617</v>
      </c>
      <c r="G4102" t="s">
        <v>2672</v>
      </c>
      <c r="H4102" t="s">
        <v>2665</v>
      </c>
      <c r="I4102">
        <v>10691</v>
      </c>
      <c r="J4102">
        <v>10962</v>
      </c>
      <c r="K4102">
        <v>11233</v>
      </c>
      <c r="L4102">
        <v>11504</v>
      </c>
      <c r="M4102">
        <v>11775</v>
      </c>
      <c r="N4102" t="s">
        <v>988</v>
      </c>
    </row>
    <row r="4103" spans="1:14" hidden="1" x14ac:dyDescent="0.3">
      <c r="A4103">
        <v>2469</v>
      </c>
      <c r="B4103" t="s">
        <v>2028</v>
      </c>
      <c r="C4103" t="s">
        <v>2670</v>
      </c>
      <c r="D4103" t="s">
        <v>1203</v>
      </c>
      <c r="E4103" t="s">
        <v>1204</v>
      </c>
      <c r="F4103">
        <v>5617</v>
      </c>
      <c r="G4103" t="s">
        <v>2672</v>
      </c>
      <c r="H4103" t="s">
        <v>2664</v>
      </c>
      <c r="I4103">
        <v>10691</v>
      </c>
      <c r="J4103">
        <v>10962</v>
      </c>
      <c r="K4103">
        <v>11233</v>
      </c>
      <c r="L4103">
        <v>11504</v>
      </c>
      <c r="M4103">
        <v>11775</v>
      </c>
      <c r="N4103" t="s">
        <v>988</v>
      </c>
    </row>
    <row r="4104" spans="1:14" hidden="1" x14ac:dyDescent="0.3">
      <c r="A4104">
        <v>2469</v>
      </c>
      <c r="B4104" t="s">
        <v>2028</v>
      </c>
      <c r="C4104" t="s">
        <v>2670</v>
      </c>
      <c r="D4104" t="s">
        <v>1203</v>
      </c>
      <c r="E4104" t="s">
        <v>1204</v>
      </c>
      <c r="F4104">
        <v>5617</v>
      </c>
      <c r="G4104" t="s">
        <v>2671</v>
      </c>
      <c r="H4104" t="s">
        <v>2665</v>
      </c>
      <c r="I4104">
        <v>10691</v>
      </c>
      <c r="J4104">
        <v>10962</v>
      </c>
      <c r="K4104">
        <v>11233</v>
      </c>
      <c r="L4104">
        <v>11504</v>
      </c>
      <c r="M4104">
        <v>11775</v>
      </c>
      <c r="N4104" t="s">
        <v>988</v>
      </c>
    </row>
    <row r="4105" spans="1:14" hidden="1" x14ac:dyDescent="0.3">
      <c r="A4105">
        <v>2469</v>
      </c>
      <c r="B4105" t="s">
        <v>2028</v>
      </c>
      <c r="C4105" t="s">
        <v>2670</v>
      </c>
      <c r="D4105" t="s">
        <v>1203</v>
      </c>
      <c r="E4105" t="s">
        <v>1204</v>
      </c>
      <c r="F4105">
        <v>5617</v>
      </c>
      <c r="G4105" t="s">
        <v>2675</v>
      </c>
      <c r="H4105" t="s">
        <v>2664</v>
      </c>
      <c r="I4105">
        <v>10691</v>
      </c>
      <c r="J4105">
        <v>10962</v>
      </c>
      <c r="K4105">
        <v>11233</v>
      </c>
      <c r="L4105">
        <v>11504</v>
      </c>
      <c r="M4105">
        <v>11775</v>
      </c>
      <c r="N4105" t="s">
        <v>988</v>
      </c>
    </row>
    <row r="4106" spans="1:14" hidden="1" x14ac:dyDescent="0.3">
      <c r="A4106">
        <v>2487</v>
      </c>
      <c r="B4106" t="s">
        <v>2029</v>
      </c>
      <c r="C4106" t="s">
        <v>2670</v>
      </c>
      <c r="D4106" t="s">
        <v>1203</v>
      </c>
      <c r="E4106" t="s">
        <v>1204</v>
      </c>
      <c r="F4106">
        <v>5814</v>
      </c>
      <c r="G4106" t="s">
        <v>2672</v>
      </c>
      <c r="H4106" t="s">
        <v>2665</v>
      </c>
      <c r="N4106" t="s">
        <v>988</v>
      </c>
    </row>
    <row r="4107" spans="1:14" hidden="1" x14ac:dyDescent="0.3">
      <c r="A4107">
        <v>2487</v>
      </c>
      <c r="B4107" t="s">
        <v>2029</v>
      </c>
      <c r="C4107" t="s">
        <v>2670</v>
      </c>
      <c r="D4107" t="s">
        <v>1203</v>
      </c>
      <c r="E4107" t="s">
        <v>1204</v>
      </c>
      <c r="F4107">
        <v>5814</v>
      </c>
      <c r="G4107" t="s">
        <v>2672</v>
      </c>
      <c r="H4107" t="s">
        <v>2664</v>
      </c>
      <c r="N4107" t="s">
        <v>988</v>
      </c>
    </row>
    <row r="4108" spans="1:14" hidden="1" x14ac:dyDescent="0.3">
      <c r="A4108">
        <v>2487</v>
      </c>
      <c r="B4108" t="s">
        <v>2029</v>
      </c>
      <c r="C4108" t="s">
        <v>2670</v>
      </c>
      <c r="D4108" t="s">
        <v>1203</v>
      </c>
      <c r="E4108" t="s">
        <v>1204</v>
      </c>
      <c r="F4108">
        <v>5814</v>
      </c>
      <c r="G4108" t="s">
        <v>2671</v>
      </c>
      <c r="H4108" t="s">
        <v>2665</v>
      </c>
      <c r="I4108">
        <v>24233.63</v>
      </c>
      <c r="J4108">
        <v>24662.63</v>
      </c>
      <c r="K4108">
        <v>24975.25</v>
      </c>
      <c r="L4108">
        <v>25291.82</v>
      </c>
      <c r="M4108">
        <v>26173.47</v>
      </c>
      <c r="N4108" t="s">
        <v>988</v>
      </c>
    </row>
    <row r="4109" spans="1:14" hidden="1" x14ac:dyDescent="0.3">
      <c r="A4109">
        <v>2487</v>
      </c>
      <c r="B4109" t="s">
        <v>2029</v>
      </c>
      <c r="C4109" t="s">
        <v>2670</v>
      </c>
      <c r="D4109" t="s">
        <v>1203</v>
      </c>
      <c r="E4109" t="s">
        <v>1204</v>
      </c>
      <c r="F4109">
        <v>5814</v>
      </c>
      <c r="G4109" t="s">
        <v>2671</v>
      </c>
      <c r="H4109" t="s">
        <v>2664</v>
      </c>
      <c r="I4109">
        <v>36792.86</v>
      </c>
      <c r="J4109">
        <v>36792.86</v>
      </c>
      <c r="K4109">
        <v>36792.86</v>
      </c>
      <c r="L4109">
        <v>36792.86</v>
      </c>
      <c r="M4109">
        <v>36792.86</v>
      </c>
      <c r="N4109" t="s">
        <v>988</v>
      </c>
    </row>
    <row r="4110" spans="1:14" hidden="1" x14ac:dyDescent="0.3">
      <c r="A4110">
        <v>2487</v>
      </c>
      <c r="B4110" t="s">
        <v>2029</v>
      </c>
      <c r="C4110" t="s">
        <v>2670</v>
      </c>
      <c r="D4110" t="s">
        <v>1203</v>
      </c>
      <c r="E4110" t="s">
        <v>1204</v>
      </c>
      <c r="F4110">
        <v>5814</v>
      </c>
      <c r="G4110" t="s">
        <v>2673</v>
      </c>
      <c r="H4110" t="s">
        <v>2665</v>
      </c>
      <c r="I4110">
        <v>28108.44</v>
      </c>
      <c r="J4110">
        <v>28606.02</v>
      </c>
      <c r="K4110">
        <v>28968.63</v>
      </c>
      <c r="L4110">
        <v>29335.81</v>
      </c>
      <c r="M4110">
        <v>30358.44</v>
      </c>
      <c r="N4110" t="s">
        <v>988</v>
      </c>
    </row>
    <row r="4111" spans="1:14" hidden="1" x14ac:dyDescent="0.3">
      <c r="A4111">
        <v>2487</v>
      </c>
      <c r="B4111" t="s">
        <v>2029</v>
      </c>
      <c r="C4111" t="s">
        <v>2670</v>
      </c>
      <c r="D4111" t="s">
        <v>1203</v>
      </c>
      <c r="E4111" t="s">
        <v>1204</v>
      </c>
      <c r="F4111">
        <v>5814</v>
      </c>
      <c r="G4111" t="s">
        <v>2676</v>
      </c>
      <c r="H4111" t="s">
        <v>2664</v>
      </c>
      <c r="I4111">
        <v>36792.86</v>
      </c>
      <c r="J4111">
        <v>36792.86</v>
      </c>
      <c r="K4111">
        <v>36792.86</v>
      </c>
      <c r="L4111">
        <v>36792.86</v>
      </c>
      <c r="M4111">
        <v>36792.86</v>
      </c>
      <c r="N4111" t="s">
        <v>988</v>
      </c>
    </row>
    <row r="4112" spans="1:14" hidden="1" x14ac:dyDescent="0.3">
      <c r="A4112">
        <v>2487</v>
      </c>
      <c r="B4112" t="s">
        <v>2029</v>
      </c>
      <c r="C4112" t="s">
        <v>2670</v>
      </c>
      <c r="D4112" t="s">
        <v>1203</v>
      </c>
      <c r="E4112" t="s">
        <v>1204</v>
      </c>
      <c r="F4112">
        <v>5814</v>
      </c>
      <c r="G4112" t="s">
        <v>2674</v>
      </c>
      <c r="H4112" t="s">
        <v>2665</v>
      </c>
      <c r="I4112">
        <v>27660.04</v>
      </c>
      <c r="J4112">
        <v>28149.69</v>
      </c>
      <c r="K4112">
        <v>28506.52</v>
      </c>
      <c r="L4112">
        <v>28867.84</v>
      </c>
      <c r="M4112">
        <v>29874.15</v>
      </c>
      <c r="N4112" t="s">
        <v>988</v>
      </c>
    </row>
    <row r="4113" spans="1:14" hidden="1" x14ac:dyDescent="0.3">
      <c r="A4113">
        <v>2487</v>
      </c>
      <c r="B4113" t="s">
        <v>2029</v>
      </c>
      <c r="C4113" t="s">
        <v>2670</v>
      </c>
      <c r="D4113" t="s">
        <v>1203</v>
      </c>
      <c r="E4113" t="s">
        <v>1204</v>
      </c>
      <c r="F4113">
        <v>5814</v>
      </c>
      <c r="G4113" t="s">
        <v>2674</v>
      </c>
      <c r="H4113" t="s">
        <v>2664</v>
      </c>
      <c r="I4113">
        <v>36792.86</v>
      </c>
      <c r="J4113">
        <v>36792.86</v>
      </c>
      <c r="K4113">
        <v>36792.86</v>
      </c>
      <c r="L4113">
        <v>36792.86</v>
      </c>
      <c r="M4113">
        <v>36792.86</v>
      </c>
      <c r="N4113" t="s">
        <v>988</v>
      </c>
    </row>
    <row r="4114" spans="1:14" hidden="1" x14ac:dyDescent="0.3">
      <c r="A4114">
        <v>2487</v>
      </c>
      <c r="B4114" t="s">
        <v>2029</v>
      </c>
      <c r="C4114" t="s">
        <v>2670</v>
      </c>
      <c r="D4114" t="s">
        <v>1203</v>
      </c>
      <c r="E4114" t="s">
        <v>1204</v>
      </c>
      <c r="F4114">
        <v>5814</v>
      </c>
      <c r="G4114" t="s">
        <v>2675</v>
      </c>
      <c r="H4114" t="s">
        <v>2665</v>
      </c>
      <c r="I4114">
        <v>27430.73</v>
      </c>
      <c r="J4114">
        <v>27916.32</v>
      </c>
      <c r="K4114">
        <v>28270.18</v>
      </c>
      <c r="L4114">
        <v>28628.52</v>
      </c>
      <c r="M4114">
        <v>29626.48</v>
      </c>
      <c r="N4114" t="s">
        <v>988</v>
      </c>
    </row>
    <row r="4115" spans="1:14" hidden="1" x14ac:dyDescent="0.3">
      <c r="A4115">
        <v>2487</v>
      </c>
      <c r="B4115" t="s">
        <v>2029</v>
      </c>
      <c r="C4115" t="s">
        <v>2670</v>
      </c>
      <c r="D4115" t="s">
        <v>1203</v>
      </c>
      <c r="E4115" t="s">
        <v>1204</v>
      </c>
      <c r="F4115">
        <v>5814</v>
      </c>
      <c r="G4115" t="s">
        <v>2675</v>
      </c>
      <c r="H4115" t="s">
        <v>2664</v>
      </c>
      <c r="I4115">
        <v>36792.86</v>
      </c>
      <c r="J4115">
        <v>36792.86</v>
      </c>
      <c r="K4115">
        <v>36792.86</v>
      </c>
      <c r="L4115">
        <v>36792.86</v>
      </c>
      <c r="M4115">
        <v>36792.86</v>
      </c>
      <c r="N4115" t="s">
        <v>988</v>
      </c>
    </row>
    <row r="4116" spans="1:14" hidden="1" x14ac:dyDescent="0.3">
      <c r="A4116">
        <v>2487</v>
      </c>
      <c r="B4116" t="s">
        <v>2029</v>
      </c>
      <c r="C4116" t="s">
        <v>2670</v>
      </c>
      <c r="D4116" t="s">
        <v>1203</v>
      </c>
      <c r="E4116" t="s">
        <v>1204</v>
      </c>
      <c r="F4116">
        <v>5814</v>
      </c>
      <c r="G4116" t="s">
        <v>2676</v>
      </c>
      <c r="H4116" t="s">
        <v>2665</v>
      </c>
      <c r="I4116">
        <v>26057.91</v>
      </c>
      <c r="J4116">
        <v>26519.200000000001</v>
      </c>
      <c r="K4116">
        <v>26855.360000000001</v>
      </c>
      <c r="L4116">
        <v>27195.75</v>
      </c>
      <c r="M4116">
        <v>28143.78</v>
      </c>
      <c r="N4116" t="s">
        <v>988</v>
      </c>
    </row>
    <row r="4117" spans="1:14" hidden="1" x14ac:dyDescent="0.3">
      <c r="A4117">
        <v>2487</v>
      </c>
      <c r="B4117" t="s">
        <v>2029</v>
      </c>
      <c r="C4117" t="s">
        <v>2670</v>
      </c>
      <c r="D4117" t="s">
        <v>1203</v>
      </c>
      <c r="E4117" t="s">
        <v>1204</v>
      </c>
      <c r="F4117">
        <v>5814</v>
      </c>
      <c r="G4117" t="s">
        <v>2673</v>
      </c>
      <c r="H4117" t="s">
        <v>2664</v>
      </c>
      <c r="I4117">
        <v>36792.86</v>
      </c>
      <c r="J4117">
        <v>36792.86</v>
      </c>
      <c r="K4117">
        <v>36792.86</v>
      </c>
      <c r="L4117">
        <v>36792.86</v>
      </c>
      <c r="M4117">
        <v>36792.86</v>
      </c>
      <c r="N4117" t="s">
        <v>988</v>
      </c>
    </row>
    <row r="4118" spans="1:14" hidden="1" x14ac:dyDescent="0.3">
      <c r="A4118">
        <v>2490</v>
      </c>
      <c r="B4118" t="s">
        <v>2030</v>
      </c>
      <c r="C4118" t="s">
        <v>2670</v>
      </c>
      <c r="D4118" t="s">
        <v>1203</v>
      </c>
      <c r="E4118" t="s">
        <v>1204</v>
      </c>
      <c r="F4118">
        <v>5626</v>
      </c>
      <c r="G4118" t="s">
        <v>2676</v>
      </c>
      <c r="H4118" t="s">
        <v>2665</v>
      </c>
      <c r="I4118">
        <v>3278</v>
      </c>
      <c r="J4118">
        <v>3439</v>
      </c>
      <c r="K4118">
        <v>3514</v>
      </c>
      <c r="L4118">
        <v>3613</v>
      </c>
      <c r="M4118">
        <v>3591</v>
      </c>
      <c r="N4118" t="s">
        <v>988</v>
      </c>
    </row>
    <row r="4119" spans="1:14" hidden="1" x14ac:dyDescent="0.3">
      <c r="A4119">
        <v>2490</v>
      </c>
      <c r="B4119" t="s">
        <v>2030</v>
      </c>
      <c r="C4119" t="s">
        <v>2670</v>
      </c>
      <c r="D4119" t="s">
        <v>1203</v>
      </c>
      <c r="E4119" t="s">
        <v>1204</v>
      </c>
      <c r="F4119">
        <v>5626</v>
      </c>
      <c r="G4119" t="s">
        <v>2675</v>
      </c>
      <c r="H4119" t="s">
        <v>2664</v>
      </c>
      <c r="I4119">
        <v>3315</v>
      </c>
      <c r="J4119">
        <v>3451</v>
      </c>
      <c r="K4119">
        <v>3540</v>
      </c>
      <c r="L4119">
        <v>3608</v>
      </c>
      <c r="M4119">
        <v>3589</v>
      </c>
      <c r="N4119" t="s">
        <v>988</v>
      </c>
    </row>
    <row r="4120" spans="1:14" hidden="1" x14ac:dyDescent="0.3">
      <c r="A4120">
        <v>2490</v>
      </c>
      <c r="B4120" t="s">
        <v>2030</v>
      </c>
      <c r="C4120" t="s">
        <v>2670</v>
      </c>
      <c r="D4120" t="s">
        <v>1203</v>
      </c>
      <c r="E4120" t="s">
        <v>1204</v>
      </c>
      <c r="F4120">
        <v>5626</v>
      </c>
      <c r="G4120" t="s">
        <v>2675</v>
      </c>
      <c r="H4120" t="s">
        <v>2665</v>
      </c>
      <c r="I4120">
        <v>3315</v>
      </c>
      <c r="J4120">
        <v>3451</v>
      </c>
      <c r="K4120">
        <v>3540</v>
      </c>
      <c r="L4120">
        <v>3608</v>
      </c>
      <c r="M4120">
        <v>3589</v>
      </c>
      <c r="N4120" t="s">
        <v>988</v>
      </c>
    </row>
    <row r="4121" spans="1:14" hidden="1" x14ac:dyDescent="0.3">
      <c r="A4121">
        <v>2490</v>
      </c>
      <c r="B4121" t="s">
        <v>2030</v>
      </c>
      <c r="C4121" t="s">
        <v>2670</v>
      </c>
      <c r="D4121" t="s">
        <v>1203</v>
      </c>
      <c r="E4121" t="s">
        <v>1204</v>
      </c>
      <c r="F4121">
        <v>5626</v>
      </c>
      <c r="G4121" t="s">
        <v>2674</v>
      </c>
      <c r="H4121" t="s">
        <v>2664</v>
      </c>
      <c r="I4121">
        <v>3353</v>
      </c>
      <c r="J4121">
        <v>3463</v>
      </c>
      <c r="K4121">
        <v>3566</v>
      </c>
      <c r="L4121">
        <v>3602</v>
      </c>
      <c r="M4121">
        <v>3588</v>
      </c>
      <c r="N4121" t="s">
        <v>988</v>
      </c>
    </row>
    <row r="4122" spans="1:14" hidden="1" x14ac:dyDescent="0.3">
      <c r="A4122">
        <v>2490</v>
      </c>
      <c r="B4122" t="s">
        <v>2030</v>
      </c>
      <c r="C4122" t="s">
        <v>2670</v>
      </c>
      <c r="D4122" t="s">
        <v>1203</v>
      </c>
      <c r="E4122" t="s">
        <v>1204</v>
      </c>
      <c r="F4122">
        <v>5626</v>
      </c>
      <c r="G4122" t="s">
        <v>2674</v>
      </c>
      <c r="H4122" t="s">
        <v>2665</v>
      </c>
      <c r="I4122">
        <v>3353</v>
      </c>
      <c r="J4122">
        <v>3463</v>
      </c>
      <c r="K4122">
        <v>3566</v>
      </c>
      <c r="L4122">
        <v>3602</v>
      </c>
      <c r="M4122">
        <v>3588</v>
      </c>
      <c r="N4122" t="s">
        <v>988</v>
      </c>
    </row>
    <row r="4123" spans="1:14" hidden="1" x14ac:dyDescent="0.3">
      <c r="A4123">
        <v>2490</v>
      </c>
      <c r="B4123" t="s">
        <v>2030</v>
      </c>
      <c r="C4123" t="s">
        <v>2670</v>
      </c>
      <c r="D4123" t="s">
        <v>1203</v>
      </c>
      <c r="E4123" t="s">
        <v>1204</v>
      </c>
      <c r="F4123">
        <v>5626</v>
      </c>
      <c r="G4123" t="s">
        <v>2676</v>
      </c>
      <c r="H4123" t="s">
        <v>2664</v>
      </c>
      <c r="I4123">
        <v>3278</v>
      </c>
      <c r="J4123">
        <v>3439</v>
      </c>
      <c r="K4123">
        <v>3514</v>
      </c>
      <c r="L4123">
        <v>3613</v>
      </c>
      <c r="M4123">
        <v>3591</v>
      </c>
      <c r="N4123" t="s">
        <v>988</v>
      </c>
    </row>
    <row r="4124" spans="1:14" hidden="1" x14ac:dyDescent="0.3">
      <c r="A4124">
        <v>2490</v>
      </c>
      <c r="B4124" t="s">
        <v>2030</v>
      </c>
      <c r="C4124" t="s">
        <v>2670</v>
      </c>
      <c r="D4124" t="s">
        <v>1203</v>
      </c>
      <c r="E4124" t="s">
        <v>1204</v>
      </c>
      <c r="F4124">
        <v>5626</v>
      </c>
      <c r="G4124" t="s">
        <v>2673</v>
      </c>
      <c r="H4124" t="s">
        <v>2665</v>
      </c>
      <c r="I4124">
        <v>3390</v>
      </c>
      <c r="J4124">
        <v>3476</v>
      </c>
      <c r="K4124">
        <v>3592</v>
      </c>
      <c r="L4124">
        <v>3597</v>
      </c>
      <c r="M4124">
        <v>3587</v>
      </c>
      <c r="N4124" t="s">
        <v>988</v>
      </c>
    </row>
    <row r="4125" spans="1:14" hidden="1" x14ac:dyDescent="0.3">
      <c r="A4125">
        <v>2490</v>
      </c>
      <c r="B4125" t="s">
        <v>2030</v>
      </c>
      <c r="C4125" t="s">
        <v>2670</v>
      </c>
      <c r="D4125" t="s">
        <v>1203</v>
      </c>
      <c r="E4125" t="s">
        <v>1204</v>
      </c>
      <c r="F4125">
        <v>5626</v>
      </c>
      <c r="G4125" t="s">
        <v>2671</v>
      </c>
      <c r="H4125" t="s">
        <v>2664</v>
      </c>
      <c r="I4125">
        <v>3427</v>
      </c>
      <c r="J4125">
        <v>3488</v>
      </c>
      <c r="K4125">
        <v>3618</v>
      </c>
      <c r="L4125">
        <v>3592</v>
      </c>
      <c r="M4125">
        <v>3585</v>
      </c>
      <c r="N4125" t="s">
        <v>988</v>
      </c>
    </row>
    <row r="4126" spans="1:14" hidden="1" x14ac:dyDescent="0.3">
      <c r="A4126">
        <v>2490</v>
      </c>
      <c r="B4126" t="s">
        <v>2030</v>
      </c>
      <c r="C4126" t="s">
        <v>2670</v>
      </c>
      <c r="D4126" t="s">
        <v>1203</v>
      </c>
      <c r="E4126" t="s">
        <v>1204</v>
      </c>
      <c r="F4126">
        <v>5626</v>
      </c>
      <c r="G4126" t="s">
        <v>2671</v>
      </c>
      <c r="H4126" t="s">
        <v>2665</v>
      </c>
      <c r="I4126">
        <v>3427</v>
      </c>
      <c r="J4126">
        <v>3488</v>
      </c>
      <c r="K4126">
        <v>3618</v>
      </c>
      <c r="L4126">
        <v>3592</v>
      </c>
      <c r="M4126">
        <v>3585</v>
      </c>
      <c r="N4126" t="s">
        <v>988</v>
      </c>
    </row>
    <row r="4127" spans="1:14" hidden="1" x14ac:dyDescent="0.3">
      <c r="A4127">
        <v>2490</v>
      </c>
      <c r="B4127" t="s">
        <v>2030</v>
      </c>
      <c r="C4127" t="s">
        <v>2670</v>
      </c>
      <c r="D4127" t="s">
        <v>1203</v>
      </c>
      <c r="E4127" t="s">
        <v>1204</v>
      </c>
      <c r="F4127">
        <v>5626</v>
      </c>
      <c r="G4127" t="s">
        <v>2672</v>
      </c>
      <c r="H4127" t="s">
        <v>2664</v>
      </c>
      <c r="N4127" t="s">
        <v>988</v>
      </c>
    </row>
    <row r="4128" spans="1:14" hidden="1" x14ac:dyDescent="0.3">
      <c r="A4128">
        <v>2490</v>
      </c>
      <c r="B4128" t="s">
        <v>2030</v>
      </c>
      <c r="C4128" t="s">
        <v>2670</v>
      </c>
      <c r="D4128" t="s">
        <v>1203</v>
      </c>
      <c r="E4128" t="s">
        <v>1204</v>
      </c>
      <c r="F4128">
        <v>5626</v>
      </c>
      <c r="G4128" t="s">
        <v>2672</v>
      </c>
      <c r="H4128" t="s">
        <v>2665</v>
      </c>
      <c r="N4128" t="s">
        <v>988</v>
      </c>
    </row>
    <row r="4129" spans="1:14" hidden="1" x14ac:dyDescent="0.3">
      <c r="A4129">
        <v>2490</v>
      </c>
      <c r="B4129" t="s">
        <v>2030</v>
      </c>
      <c r="C4129" t="s">
        <v>2670</v>
      </c>
      <c r="D4129" t="s">
        <v>1203</v>
      </c>
      <c r="E4129" t="s">
        <v>1204</v>
      </c>
      <c r="F4129">
        <v>5626</v>
      </c>
      <c r="G4129" t="s">
        <v>2673</v>
      </c>
      <c r="H4129" t="s">
        <v>2664</v>
      </c>
      <c r="I4129">
        <v>3390</v>
      </c>
      <c r="J4129">
        <v>3476</v>
      </c>
      <c r="K4129">
        <v>3592</v>
      </c>
      <c r="L4129">
        <v>3597</v>
      </c>
      <c r="M4129">
        <v>3587</v>
      </c>
      <c r="N4129" t="s">
        <v>988</v>
      </c>
    </row>
    <row r="4130" spans="1:14" hidden="1" x14ac:dyDescent="0.3">
      <c r="A4130">
        <v>2496</v>
      </c>
      <c r="B4130" t="s">
        <v>905</v>
      </c>
      <c r="C4130" t="s">
        <v>2670</v>
      </c>
      <c r="D4130" t="s">
        <v>1203</v>
      </c>
      <c r="E4130" t="s">
        <v>1204</v>
      </c>
      <c r="F4130">
        <v>5568</v>
      </c>
      <c r="G4130" t="s">
        <v>2671</v>
      </c>
      <c r="H4130" t="s">
        <v>2664</v>
      </c>
      <c r="I4130">
        <v>23668.75</v>
      </c>
      <c r="J4130">
        <v>25345.42</v>
      </c>
      <c r="K4130">
        <v>28487.08</v>
      </c>
      <c r="L4130">
        <v>31613.75</v>
      </c>
      <c r="M4130">
        <v>37013.75</v>
      </c>
      <c r="N4130" t="s">
        <v>988</v>
      </c>
    </row>
    <row r="4131" spans="1:14" hidden="1" x14ac:dyDescent="0.3">
      <c r="A4131">
        <v>2496</v>
      </c>
      <c r="B4131" t="s">
        <v>905</v>
      </c>
      <c r="C4131" t="s">
        <v>2670</v>
      </c>
      <c r="D4131" t="s">
        <v>1203</v>
      </c>
      <c r="E4131" t="s">
        <v>1204</v>
      </c>
      <c r="F4131">
        <v>5568</v>
      </c>
      <c r="G4131" t="s">
        <v>2673</v>
      </c>
      <c r="H4131" t="s">
        <v>2665</v>
      </c>
      <c r="I4131">
        <v>21508.62</v>
      </c>
      <c r="J4131">
        <v>25167.06</v>
      </c>
      <c r="K4131">
        <v>28871.18</v>
      </c>
      <c r="L4131">
        <v>32603.45</v>
      </c>
      <c r="M4131">
        <v>39378.79</v>
      </c>
      <c r="N4131" t="s">
        <v>988</v>
      </c>
    </row>
    <row r="4132" spans="1:14" hidden="1" x14ac:dyDescent="0.3">
      <c r="A4132">
        <v>2496</v>
      </c>
      <c r="B4132" t="s">
        <v>905</v>
      </c>
      <c r="C4132" t="s">
        <v>2670</v>
      </c>
      <c r="D4132" t="s">
        <v>1203</v>
      </c>
      <c r="E4132" t="s">
        <v>1204</v>
      </c>
      <c r="F4132">
        <v>5568</v>
      </c>
      <c r="G4132" t="s">
        <v>2673</v>
      </c>
      <c r="H4132" t="s">
        <v>2664</v>
      </c>
      <c r="I4132">
        <v>20507.3</v>
      </c>
      <c r="J4132">
        <v>22668.95</v>
      </c>
      <c r="K4132">
        <v>25810.62</v>
      </c>
      <c r="L4132">
        <v>26670.52</v>
      </c>
      <c r="M4132">
        <v>32070.52</v>
      </c>
      <c r="N4132" t="s">
        <v>988</v>
      </c>
    </row>
    <row r="4133" spans="1:14" hidden="1" x14ac:dyDescent="0.3">
      <c r="A4133">
        <v>2496</v>
      </c>
      <c r="B4133" t="s">
        <v>905</v>
      </c>
      <c r="C4133" t="s">
        <v>2670</v>
      </c>
      <c r="D4133" t="s">
        <v>1203</v>
      </c>
      <c r="E4133" t="s">
        <v>1204</v>
      </c>
      <c r="F4133">
        <v>5568</v>
      </c>
      <c r="G4133" t="s">
        <v>2674</v>
      </c>
      <c r="H4133" t="s">
        <v>2665</v>
      </c>
      <c r="I4133">
        <v>21508.62</v>
      </c>
      <c r="J4133">
        <v>25167.06</v>
      </c>
      <c r="K4133">
        <v>28871.18</v>
      </c>
      <c r="L4133">
        <v>32603.45</v>
      </c>
      <c r="M4133">
        <v>39378.79</v>
      </c>
      <c r="N4133" t="s">
        <v>988</v>
      </c>
    </row>
    <row r="4134" spans="1:14" hidden="1" x14ac:dyDescent="0.3">
      <c r="A4134">
        <v>2496</v>
      </c>
      <c r="B4134" t="s">
        <v>905</v>
      </c>
      <c r="C4134" t="s">
        <v>2670</v>
      </c>
      <c r="D4134" t="s">
        <v>1203</v>
      </c>
      <c r="E4134" t="s">
        <v>1204</v>
      </c>
      <c r="F4134">
        <v>5568</v>
      </c>
      <c r="G4134" t="s">
        <v>2674</v>
      </c>
      <c r="H4134" t="s">
        <v>2664</v>
      </c>
      <c r="I4134">
        <v>20507.3</v>
      </c>
      <c r="J4134">
        <v>22668.95</v>
      </c>
      <c r="K4134">
        <v>25810.62</v>
      </c>
      <c r="L4134">
        <v>26670.52</v>
      </c>
      <c r="M4134">
        <v>32070.52</v>
      </c>
      <c r="N4134" t="s">
        <v>988</v>
      </c>
    </row>
    <row r="4135" spans="1:14" hidden="1" x14ac:dyDescent="0.3">
      <c r="A4135">
        <v>2496</v>
      </c>
      <c r="B4135" t="s">
        <v>905</v>
      </c>
      <c r="C4135" t="s">
        <v>2670</v>
      </c>
      <c r="D4135" t="s">
        <v>1203</v>
      </c>
      <c r="E4135" t="s">
        <v>1204</v>
      </c>
      <c r="F4135">
        <v>5568</v>
      </c>
      <c r="G4135" t="s">
        <v>2675</v>
      </c>
      <c r="H4135" t="s">
        <v>2665</v>
      </c>
      <c r="I4135">
        <v>21508.62</v>
      </c>
      <c r="J4135">
        <v>25167.06</v>
      </c>
      <c r="K4135">
        <v>28871.18</v>
      </c>
      <c r="L4135">
        <v>32603.45</v>
      </c>
      <c r="M4135">
        <v>39378.79</v>
      </c>
      <c r="N4135" t="s">
        <v>988</v>
      </c>
    </row>
    <row r="4136" spans="1:14" hidden="1" x14ac:dyDescent="0.3">
      <c r="A4136">
        <v>2496</v>
      </c>
      <c r="B4136" t="s">
        <v>905</v>
      </c>
      <c r="C4136" t="s">
        <v>2670</v>
      </c>
      <c r="D4136" t="s">
        <v>1203</v>
      </c>
      <c r="E4136" t="s">
        <v>1204</v>
      </c>
      <c r="F4136">
        <v>5568</v>
      </c>
      <c r="G4136" t="s">
        <v>2675</v>
      </c>
      <c r="H4136" t="s">
        <v>2664</v>
      </c>
      <c r="I4136">
        <v>23668.75</v>
      </c>
      <c r="J4136">
        <v>25345.42</v>
      </c>
      <c r="K4136">
        <v>28487.08</v>
      </c>
      <c r="L4136">
        <v>31613.75</v>
      </c>
      <c r="M4136">
        <v>37013.75</v>
      </c>
      <c r="N4136" t="s">
        <v>988</v>
      </c>
    </row>
    <row r="4137" spans="1:14" hidden="1" x14ac:dyDescent="0.3">
      <c r="A4137">
        <v>2496</v>
      </c>
      <c r="B4137" t="s">
        <v>905</v>
      </c>
      <c r="C4137" t="s">
        <v>2670</v>
      </c>
      <c r="D4137" t="s">
        <v>1203</v>
      </c>
      <c r="E4137" t="s">
        <v>1204</v>
      </c>
      <c r="F4137">
        <v>5568</v>
      </c>
      <c r="G4137" t="s">
        <v>2676</v>
      </c>
      <c r="H4137" t="s">
        <v>2665</v>
      </c>
      <c r="I4137">
        <v>21508.62</v>
      </c>
      <c r="J4137">
        <v>25167.06</v>
      </c>
      <c r="K4137">
        <v>28871.18</v>
      </c>
      <c r="L4137">
        <v>32603.45</v>
      </c>
      <c r="M4137">
        <v>39378.79</v>
      </c>
      <c r="N4137" t="s">
        <v>988</v>
      </c>
    </row>
    <row r="4138" spans="1:14" hidden="1" x14ac:dyDescent="0.3">
      <c r="A4138">
        <v>2496</v>
      </c>
      <c r="B4138" t="s">
        <v>905</v>
      </c>
      <c r="C4138" t="s">
        <v>2670</v>
      </c>
      <c r="D4138" t="s">
        <v>1203</v>
      </c>
      <c r="E4138" t="s">
        <v>1204</v>
      </c>
      <c r="F4138">
        <v>5568</v>
      </c>
      <c r="G4138" t="s">
        <v>2676</v>
      </c>
      <c r="H4138" t="s">
        <v>2664</v>
      </c>
      <c r="I4138">
        <v>21947</v>
      </c>
      <c r="J4138">
        <v>23623.67</v>
      </c>
      <c r="K4138">
        <v>26765.33</v>
      </c>
      <c r="L4138">
        <v>29892</v>
      </c>
      <c r="M4138">
        <v>35292</v>
      </c>
      <c r="N4138" t="s">
        <v>988</v>
      </c>
    </row>
    <row r="4139" spans="1:14" hidden="1" x14ac:dyDescent="0.3">
      <c r="A4139">
        <v>2496</v>
      </c>
      <c r="B4139" t="s">
        <v>905</v>
      </c>
      <c r="C4139" t="s">
        <v>2670</v>
      </c>
      <c r="D4139" t="s">
        <v>1203</v>
      </c>
      <c r="E4139" t="s">
        <v>1204</v>
      </c>
      <c r="F4139">
        <v>5568</v>
      </c>
      <c r="G4139" t="s">
        <v>2672</v>
      </c>
      <c r="H4139" t="s">
        <v>2665</v>
      </c>
      <c r="N4139" t="s">
        <v>988</v>
      </c>
    </row>
    <row r="4140" spans="1:14" hidden="1" x14ac:dyDescent="0.3">
      <c r="A4140">
        <v>2496</v>
      </c>
      <c r="B4140" t="s">
        <v>905</v>
      </c>
      <c r="C4140" t="s">
        <v>2670</v>
      </c>
      <c r="D4140" t="s">
        <v>1203</v>
      </c>
      <c r="E4140" t="s">
        <v>1204</v>
      </c>
      <c r="F4140">
        <v>5568</v>
      </c>
      <c r="G4140" t="s">
        <v>2671</v>
      </c>
      <c r="H4140" t="s">
        <v>2665</v>
      </c>
      <c r="I4140">
        <v>21508.62</v>
      </c>
      <c r="J4140">
        <v>25167.06</v>
      </c>
      <c r="K4140">
        <v>28871.18</v>
      </c>
      <c r="L4140">
        <v>32603.45</v>
      </c>
      <c r="M4140">
        <v>39378.79</v>
      </c>
      <c r="N4140" t="s">
        <v>988</v>
      </c>
    </row>
    <row r="4141" spans="1:14" hidden="1" x14ac:dyDescent="0.3">
      <c r="A4141">
        <v>2496</v>
      </c>
      <c r="B4141" t="s">
        <v>905</v>
      </c>
      <c r="C4141" t="s">
        <v>2670</v>
      </c>
      <c r="D4141" t="s">
        <v>1203</v>
      </c>
      <c r="E4141" t="s">
        <v>1204</v>
      </c>
      <c r="F4141">
        <v>5568</v>
      </c>
      <c r="G4141" t="s">
        <v>2672</v>
      </c>
      <c r="H4141" t="s">
        <v>2664</v>
      </c>
      <c r="N4141" t="s">
        <v>988</v>
      </c>
    </row>
    <row r="4142" spans="1:14" hidden="1" x14ac:dyDescent="0.3">
      <c r="A4142">
        <v>2510</v>
      </c>
      <c r="B4142" t="s">
        <v>2035</v>
      </c>
      <c r="C4142" t="s">
        <v>2670</v>
      </c>
      <c r="D4142" t="s">
        <v>1203</v>
      </c>
      <c r="E4142" t="s">
        <v>1204</v>
      </c>
      <c r="F4142">
        <v>5942</v>
      </c>
      <c r="G4142" t="s">
        <v>2676</v>
      </c>
      <c r="H4142" t="s">
        <v>2665</v>
      </c>
      <c r="I4142">
        <v>2691</v>
      </c>
      <c r="J4142">
        <v>2712</v>
      </c>
      <c r="K4142">
        <v>2733</v>
      </c>
      <c r="L4142">
        <v>2756</v>
      </c>
      <c r="N4142" t="s">
        <v>988</v>
      </c>
    </row>
    <row r="4143" spans="1:14" hidden="1" x14ac:dyDescent="0.3">
      <c r="A4143">
        <v>2510</v>
      </c>
      <c r="B4143" t="s">
        <v>2035</v>
      </c>
      <c r="C4143" t="s">
        <v>2670</v>
      </c>
      <c r="D4143" t="s">
        <v>1203</v>
      </c>
      <c r="E4143" t="s">
        <v>1204</v>
      </c>
      <c r="F4143">
        <v>5942</v>
      </c>
      <c r="G4143" t="s">
        <v>2676</v>
      </c>
      <c r="H4143" t="s">
        <v>2664</v>
      </c>
      <c r="I4143">
        <v>2880</v>
      </c>
      <c r="J4143">
        <v>2902</v>
      </c>
      <c r="K4143">
        <v>2926</v>
      </c>
      <c r="L4143">
        <v>2950</v>
      </c>
      <c r="N4143" t="s">
        <v>988</v>
      </c>
    </row>
    <row r="4144" spans="1:14" hidden="1" x14ac:dyDescent="0.3">
      <c r="A4144">
        <v>2510</v>
      </c>
      <c r="B4144" t="s">
        <v>2035</v>
      </c>
      <c r="C4144" t="s">
        <v>2670</v>
      </c>
      <c r="D4144" t="s">
        <v>1203</v>
      </c>
      <c r="E4144" t="s">
        <v>1204</v>
      </c>
      <c r="F4144">
        <v>5942</v>
      </c>
      <c r="G4144" t="s">
        <v>2675</v>
      </c>
      <c r="H4144" t="s">
        <v>2664</v>
      </c>
      <c r="I4144">
        <v>2999</v>
      </c>
      <c r="J4144">
        <v>3022</v>
      </c>
      <c r="K4144">
        <v>3046</v>
      </c>
      <c r="L4144">
        <v>3071</v>
      </c>
      <c r="N4144" t="s">
        <v>988</v>
      </c>
    </row>
    <row r="4145" spans="1:14" hidden="1" x14ac:dyDescent="0.3">
      <c r="A4145">
        <v>2510</v>
      </c>
      <c r="B4145" t="s">
        <v>2035</v>
      </c>
      <c r="C4145" t="s">
        <v>2670</v>
      </c>
      <c r="D4145" t="s">
        <v>1203</v>
      </c>
      <c r="E4145" t="s">
        <v>1204</v>
      </c>
      <c r="F4145">
        <v>5942</v>
      </c>
      <c r="G4145" t="s">
        <v>2675</v>
      </c>
      <c r="H4145" t="s">
        <v>2665</v>
      </c>
      <c r="I4145">
        <v>2610</v>
      </c>
      <c r="J4145">
        <v>2630</v>
      </c>
      <c r="K4145">
        <v>2651</v>
      </c>
      <c r="L4145">
        <v>2673</v>
      </c>
      <c r="N4145" t="s">
        <v>988</v>
      </c>
    </row>
    <row r="4146" spans="1:14" hidden="1" x14ac:dyDescent="0.3">
      <c r="A4146">
        <v>2510</v>
      </c>
      <c r="B4146" t="s">
        <v>2035</v>
      </c>
      <c r="C4146" t="s">
        <v>2670</v>
      </c>
      <c r="D4146" t="s">
        <v>1203</v>
      </c>
      <c r="E4146" t="s">
        <v>1204</v>
      </c>
      <c r="F4146">
        <v>5942</v>
      </c>
      <c r="G4146" t="s">
        <v>2674</v>
      </c>
      <c r="H4146" t="s">
        <v>2664</v>
      </c>
      <c r="I4146">
        <v>2765</v>
      </c>
      <c r="J4146">
        <v>2786</v>
      </c>
      <c r="K4146">
        <v>2808</v>
      </c>
      <c r="L4146">
        <v>2832</v>
      </c>
      <c r="N4146" t="s">
        <v>988</v>
      </c>
    </row>
    <row r="4147" spans="1:14" hidden="1" x14ac:dyDescent="0.3">
      <c r="A4147">
        <v>2510</v>
      </c>
      <c r="B4147" t="s">
        <v>2035</v>
      </c>
      <c r="C4147" t="s">
        <v>2670</v>
      </c>
      <c r="D4147" t="s">
        <v>1203</v>
      </c>
      <c r="E4147" t="s">
        <v>1204</v>
      </c>
      <c r="F4147">
        <v>5942</v>
      </c>
      <c r="G4147" t="s">
        <v>2674</v>
      </c>
      <c r="H4147" t="s">
        <v>2665</v>
      </c>
      <c r="I4147">
        <v>2718</v>
      </c>
      <c r="J4147">
        <v>2739</v>
      </c>
      <c r="K4147">
        <v>2761</v>
      </c>
      <c r="L4147">
        <v>2784</v>
      </c>
      <c r="N4147" t="s">
        <v>988</v>
      </c>
    </row>
    <row r="4148" spans="1:14" hidden="1" x14ac:dyDescent="0.3">
      <c r="A4148">
        <v>2510</v>
      </c>
      <c r="B4148" t="s">
        <v>2035</v>
      </c>
      <c r="C4148" t="s">
        <v>2670</v>
      </c>
      <c r="D4148" t="s">
        <v>1203</v>
      </c>
      <c r="E4148" t="s">
        <v>1204</v>
      </c>
      <c r="F4148">
        <v>5942</v>
      </c>
      <c r="G4148" t="s">
        <v>2673</v>
      </c>
      <c r="H4148" t="s">
        <v>2664</v>
      </c>
      <c r="I4148">
        <v>2969</v>
      </c>
      <c r="J4148">
        <v>2992</v>
      </c>
      <c r="K4148">
        <v>3016</v>
      </c>
      <c r="L4148">
        <v>3041</v>
      </c>
      <c r="N4148" t="s">
        <v>988</v>
      </c>
    </row>
    <row r="4149" spans="1:14" hidden="1" x14ac:dyDescent="0.3">
      <c r="A4149">
        <v>2510</v>
      </c>
      <c r="B4149" t="s">
        <v>2035</v>
      </c>
      <c r="C4149" t="s">
        <v>2670</v>
      </c>
      <c r="D4149" t="s">
        <v>1203</v>
      </c>
      <c r="E4149" t="s">
        <v>1204</v>
      </c>
      <c r="F4149">
        <v>5942</v>
      </c>
      <c r="G4149" t="s">
        <v>2673</v>
      </c>
      <c r="H4149" t="s">
        <v>2665</v>
      </c>
      <c r="I4149">
        <v>2506</v>
      </c>
      <c r="J4149">
        <v>2525</v>
      </c>
      <c r="K4149">
        <v>2545</v>
      </c>
      <c r="L4149">
        <v>2566</v>
      </c>
      <c r="N4149" t="s">
        <v>988</v>
      </c>
    </row>
    <row r="4150" spans="1:14" hidden="1" x14ac:dyDescent="0.3">
      <c r="A4150">
        <v>2510</v>
      </c>
      <c r="B4150" t="s">
        <v>2035</v>
      </c>
      <c r="C4150" t="s">
        <v>2670</v>
      </c>
      <c r="D4150" t="s">
        <v>1203</v>
      </c>
      <c r="E4150" t="s">
        <v>1204</v>
      </c>
      <c r="F4150">
        <v>5942</v>
      </c>
      <c r="G4150" t="s">
        <v>2671</v>
      </c>
      <c r="H4150" t="s">
        <v>2664</v>
      </c>
      <c r="I4150">
        <v>2939</v>
      </c>
      <c r="J4150">
        <v>2962</v>
      </c>
      <c r="K4150">
        <v>2986</v>
      </c>
      <c r="L4150">
        <v>3011</v>
      </c>
      <c r="N4150" t="s">
        <v>988</v>
      </c>
    </row>
    <row r="4151" spans="1:14" hidden="1" x14ac:dyDescent="0.3">
      <c r="A4151">
        <v>2510</v>
      </c>
      <c r="B4151" t="s">
        <v>2035</v>
      </c>
      <c r="C4151" t="s">
        <v>2670</v>
      </c>
      <c r="D4151" t="s">
        <v>1203</v>
      </c>
      <c r="E4151" t="s">
        <v>1204</v>
      </c>
      <c r="F4151">
        <v>5942</v>
      </c>
      <c r="G4151" t="s">
        <v>2671</v>
      </c>
      <c r="H4151" t="s">
        <v>2665</v>
      </c>
      <c r="I4151">
        <v>2691</v>
      </c>
      <c r="J4151">
        <v>2712</v>
      </c>
      <c r="K4151">
        <v>2733</v>
      </c>
      <c r="L4151">
        <v>2756</v>
      </c>
      <c r="N4151" t="s">
        <v>988</v>
      </c>
    </row>
    <row r="4152" spans="1:14" hidden="1" x14ac:dyDescent="0.3">
      <c r="A4152">
        <v>2510</v>
      </c>
      <c r="B4152" t="s">
        <v>2035</v>
      </c>
      <c r="C4152" t="s">
        <v>2670</v>
      </c>
      <c r="D4152" t="s">
        <v>1203</v>
      </c>
      <c r="E4152" t="s">
        <v>1204</v>
      </c>
      <c r="F4152">
        <v>5942</v>
      </c>
      <c r="G4152" t="s">
        <v>2672</v>
      </c>
      <c r="H4152" t="s">
        <v>2664</v>
      </c>
      <c r="N4152" t="s">
        <v>988</v>
      </c>
    </row>
    <row r="4153" spans="1:14" hidden="1" x14ac:dyDescent="0.3">
      <c r="A4153">
        <v>2510</v>
      </c>
      <c r="B4153" t="s">
        <v>2035</v>
      </c>
      <c r="C4153" t="s">
        <v>2670</v>
      </c>
      <c r="D4153" t="s">
        <v>1203</v>
      </c>
      <c r="E4153" t="s">
        <v>1204</v>
      </c>
      <c r="F4153">
        <v>5942</v>
      </c>
      <c r="G4153" t="s">
        <v>2672</v>
      </c>
      <c r="H4153" t="s">
        <v>2665</v>
      </c>
      <c r="N4153" t="s">
        <v>988</v>
      </c>
    </row>
    <row r="4154" spans="1:14" hidden="1" x14ac:dyDescent="0.3">
      <c r="A4154">
        <v>2512</v>
      </c>
      <c r="B4154" t="s">
        <v>2039</v>
      </c>
      <c r="C4154" t="s">
        <v>2670</v>
      </c>
      <c r="D4154" t="s">
        <v>1203</v>
      </c>
      <c r="E4154" t="s">
        <v>1204</v>
      </c>
      <c r="F4154">
        <v>5501</v>
      </c>
      <c r="G4154" t="s">
        <v>2672</v>
      </c>
      <c r="H4154" t="s">
        <v>2665</v>
      </c>
      <c r="N4154" t="s">
        <v>988</v>
      </c>
    </row>
    <row r="4155" spans="1:14" hidden="1" x14ac:dyDescent="0.3">
      <c r="A4155">
        <v>2512</v>
      </c>
      <c r="B4155" t="s">
        <v>2039</v>
      </c>
      <c r="C4155" t="s">
        <v>2670</v>
      </c>
      <c r="D4155" t="s">
        <v>1203</v>
      </c>
      <c r="E4155" t="s">
        <v>1204</v>
      </c>
      <c r="F4155">
        <v>5501</v>
      </c>
      <c r="G4155" t="s">
        <v>2672</v>
      </c>
      <c r="H4155" t="s">
        <v>2664</v>
      </c>
      <c r="N4155" t="s">
        <v>988</v>
      </c>
    </row>
    <row r="4156" spans="1:14" hidden="1" x14ac:dyDescent="0.3">
      <c r="A4156">
        <v>2512</v>
      </c>
      <c r="B4156" t="s">
        <v>2039</v>
      </c>
      <c r="C4156" t="s">
        <v>2670</v>
      </c>
      <c r="D4156" t="s">
        <v>1203</v>
      </c>
      <c r="E4156" t="s">
        <v>1204</v>
      </c>
      <c r="F4156">
        <v>5501</v>
      </c>
      <c r="G4156" t="s">
        <v>2671</v>
      </c>
      <c r="H4156" t="s">
        <v>2665</v>
      </c>
      <c r="I4156">
        <v>5729.6136159500002</v>
      </c>
      <c r="J4156">
        <v>6180.7401299000003</v>
      </c>
      <c r="K4156">
        <v>6628.7977559999999</v>
      </c>
      <c r="L4156">
        <v>7089.1309334999996</v>
      </c>
      <c r="N4156" t="s">
        <v>988</v>
      </c>
    </row>
    <row r="4157" spans="1:14" hidden="1" x14ac:dyDescent="0.3">
      <c r="A4157">
        <v>2512</v>
      </c>
      <c r="B4157" t="s">
        <v>2039</v>
      </c>
      <c r="C4157" t="s">
        <v>2670</v>
      </c>
      <c r="D4157" t="s">
        <v>1203</v>
      </c>
      <c r="E4157" t="s">
        <v>1204</v>
      </c>
      <c r="F4157">
        <v>5501</v>
      </c>
      <c r="G4157" t="s">
        <v>2671</v>
      </c>
      <c r="H4157" t="s">
        <v>2664</v>
      </c>
      <c r="I4157">
        <v>23998.702987000001</v>
      </c>
      <c r="J4157">
        <v>23998.702987000001</v>
      </c>
      <c r="K4157">
        <v>23998.702987000001</v>
      </c>
      <c r="L4157">
        <v>23998.702987000001</v>
      </c>
      <c r="N4157" t="s">
        <v>988</v>
      </c>
    </row>
    <row r="4158" spans="1:14" hidden="1" x14ac:dyDescent="0.3">
      <c r="A4158">
        <v>2512</v>
      </c>
      <c r="B4158" t="s">
        <v>2039</v>
      </c>
      <c r="C4158" t="s">
        <v>2670</v>
      </c>
      <c r="D4158" t="s">
        <v>1203</v>
      </c>
      <c r="E4158" t="s">
        <v>1204</v>
      </c>
      <c r="F4158">
        <v>5501</v>
      </c>
      <c r="G4158" t="s">
        <v>2673</v>
      </c>
      <c r="H4158" t="s">
        <v>2665</v>
      </c>
      <c r="I4158">
        <v>5729.6136159500002</v>
      </c>
      <c r="J4158">
        <v>6180.7401299000003</v>
      </c>
      <c r="K4158">
        <v>6628.7977559999999</v>
      </c>
      <c r="L4158">
        <v>7089.1309334999996</v>
      </c>
      <c r="N4158" t="s">
        <v>988</v>
      </c>
    </row>
    <row r="4159" spans="1:14" hidden="1" x14ac:dyDescent="0.3">
      <c r="A4159">
        <v>2512</v>
      </c>
      <c r="B4159" t="s">
        <v>2039</v>
      </c>
      <c r="C4159" t="s">
        <v>2670</v>
      </c>
      <c r="D4159" t="s">
        <v>1203</v>
      </c>
      <c r="E4159" t="s">
        <v>1204</v>
      </c>
      <c r="F4159">
        <v>5501</v>
      </c>
      <c r="G4159" t="s">
        <v>2676</v>
      </c>
      <c r="H4159" t="s">
        <v>2664</v>
      </c>
      <c r="I4159">
        <v>23998.702987000001</v>
      </c>
      <c r="J4159">
        <v>23998.702987000001</v>
      </c>
      <c r="K4159">
        <v>23998.702987000001</v>
      </c>
      <c r="L4159">
        <v>23998.702987000001</v>
      </c>
      <c r="N4159" t="s">
        <v>988</v>
      </c>
    </row>
    <row r="4160" spans="1:14" hidden="1" x14ac:dyDescent="0.3">
      <c r="A4160">
        <v>2512</v>
      </c>
      <c r="B4160" t="s">
        <v>2039</v>
      </c>
      <c r="C4160" t="s">
        <v>2670</v>
      </c>
      <c r="D4160" t="s">
        <v>1203</v>
      </c>
      <c r="E4160" t="s">
        <v>1204</v>
      </c>
      <c r="F4160">
        <v>5501</v>
      </c>
      <c r="G4160" t="s">
        <v>2674</v>
      </c>
      <c r="H4160" t="s">
        <v>2665</v>
      </c>
      <c r="I4160">
        <v>5729.6136159500002</v>
      </c>
      <c r="J4160">
        <v>6180.7401299000003</v>
      </c>
      <c r="K4160">
        <v>6628.7977559999999</v>
      </c>
      <c r="L4160">
        <v>7089.1309334999996</v>
      </c>
      <c r="N4160" t="s">
        <v>988</v>
      </c>
    </row>
    <row r="4161" spans="1:14" hidden="1" x14ac:dyDescent="0.3">
      <c r="A4161">
        <v>2512</v>
      </c>
      <c r="B4161" t="s">
        <v>2039</v>
      </c>
      <c r="C4161" t="s">
        <v>2670</v>
      </c>
      <c r="D4161" t="s">
        <v>1203</v>
      </c>
      <c r="E4161" t="s">
        <v>1204</v>
      </c>
      <c r="F4161">
        <v>5501</v>
      </c>
      <c r="G4161" t="s">
        <v>2674</v>
      </c>
      <c r="H4161" t="s">
        <v>2664</v>
      </c>
      <c r="I4161">
        <v>23998.702987000001</v>
      </c>
      <c r="J4161">
        <v>23998.702987000001</v>
      </c>
      <c r="K4161">
        <v>23998.702987000001</v>
      </c>
      <c r="L4161">
        <v>23998.702987000001</v>
      </c>
      <c r="N4161" t="s">
        <v>988</v>
      </c>
    </row>
    <row r="4162" spans="1:14" hidden="1" x14ac:dyDescent="0.3">
      <c r="A4162">
        <v>2512</v>
      </c>
      <c r="B4162" t="s">
        <v>2039</v>
      </c>
      <c r="C4162" t="s">
        <v>2670</v>
      </c>
      <c r="D4162" t="s">
        <v>1203</v>
      </c>
      <c r="E4162" t="s">
        <v>1204</v>
      </c>
      <c r="F4162">
        <v>5501</v>
      </c>
      <c r="G4162" t="s">
        <v>2675</v>
      </c>
      <c r="H4162" t="s">
        <v>2665</v>
      </c>
      <c r="I4162">
        <v>5729.6136159500002</v>
      </c>
      <c r="J4162">
        <v>6180.7401299000003</v>
      </c>
      <c r="K4162">
        <v>6628.7977559999999</v>
      </c>
      <c r="L4162">
        <v>7089.1309334999996</v>
      </c>
      <c r="N4162" t="s">
        <v>988</v>
      </c>
    </row>
    <row r="4163" spans="1:14" hidden="1" x14ac:dyDescent="0.3">
      <c r="A4163">
        <v>2512</v>
      </c>
      <c r="B4163" t="s">
        <v>2039</v>
      </c>
      <c r="C4163" t="s">
        <v>2670</v>
      </c>
      <c r="D4163" t="s">
        <v>1203</v>
      </c>
      <c r="E4163" t="s">
        <v>1204</v>
      </c>
      <c r="F4163">
        <v>5501</v>
      </c>
      <c r="G4163" t="s">
        <v>2675</v>
      </c>
      <c r="H4163" t="s">
        <v>2664</v>
      </c>
      <c r="I4163">
        <v>23998.702987000001</v>
      </c>
      <c r="J4163">
        <v>23998.702987000001</v>
      </c>
      <c r="K4163">
        <v>23998.702987000001</v>
      </c>
      <c r="L4163">
        <v>23998.702987000001</v>
      </c>
      <c r="N4163" t="s">
        <v>988</v>
      </c>
    </row>
    <row r="4164" spans="1:14" hidden="1" x14ac:dyDescent="0.3">
      <c r="A4164">
        <v>2512</v>
      </c>
      <c r="B4164" t="s">
        <v>2039</v>
      </c>
      <c r="C4164" t="s">
        <v>2670</v>
      </c>
      <c r="D4164" t="s">
        <v>1203</v>
      </c>
      <c r="E4164" t="s">
        <v>1204</v>
      </c>
      <c r="F4164">
        <v>5501</v>
      </c>
      <c r="G4164" t="s">
        <v>2676</v>
      </c>
      <c r="H4164" t="s">
        <v>2665</v>
      </c>
      <c r="I4164">
        <v>5729.6136159500002</v>
      </c>
      <c r="J4164">
        <v>6180.7401299000003</v>
      </c>
      <c r="K4164">
        <v>6628.7977559999999</v>
      </c>
      <c r="L4164">
        <v>7089.1309334999996</v>
      </c>
      <c r="N4164" t="s">
        <v>988</v>
      </c>
    </row>
    <row r="4165" spans="1:14" hidden="1" x14ac:dyDescent="0.3">
      <c r="A4165">
        <v>2512</v>
      </c>
      <c r="B4165" t="s">
        <v>2039</v>
      </c>
      <c r="C4165" t="s">
        <v>2670</v>
      </c>
      <c r="D4165" t="s">
        <v>1203</v>
      </c>
      <c r="E4165" t="s">
        <v>1204</v>
      </c>
      <c r="F4165">
        <v>5501</v>
      </c>
      <c r="G4165" t="s">
        <v>2673</v>
      </c>
      <c r="H4165" t="s">
        <v>2664</v>
      </c>
      <c r="I4165">
        <v>23998.702987000001</v>
      </c>
      <c r="J4165">
        <v>23998.702987000001</v>
      </c>
      <c r="K4165">
        <v>23998.702987000001</v>
      </c>
      <c r="L4165">
        <v>23998.702987000001</v>
      </c>
      <c r="N4165" t="s">
        <v>988</v>
      </c>
    </row>
    <row r="4166" spans="1:14" hidden="1" x14ac:dyDescent="0.3">
      <c r="A4166">
        <v>2516</v>
      </c>
      <c r="B4166" t="s">
        <v>2041</v>
      </c>
      <c r="C4166" t="s">
        <v>2670</v>
      </c>
      <c r="D4166" t="s">
        <v>1203</v>
      </c>
      <c r="E4166" t="s">
        <v>1204</v>
      </c>
      <c r="F4166">
        <v>6666</v>
      </c>
      <c r="G4166" t="s">
        <v>2673</v>
      </c>
      <c r="H4166" t="s">
        <v>2664</v>
      </c>
      <c r="I4166">
        <v>19195.893501750001</v>
      </c>
      <c r="J4166">
        <v>19708.397772699998</v>
      </c>
      <c r="K4166">
        <v>21209.08393135</v>
      </c>
      <c r="L4166">
        <v>22817.18116475</v>
      </c>
      <c r="N4166" t="s">
        <v>988</v>
      </c>
    </row>
    <row r="4167" spans="1:14" hidden="1" x14ac:dyDescent="0.3">
      <c r="A4167">
        <v>2516</v>
      </c>
      <c r="B4167" t="s">
        <v>2041</v>
      </c>
      <c r="C4167" t="s">
        <v>2670</v>
      </c>
      <c r="D4167" t="s">
        <v>1203</v>
      </c>
      <c r="E4167" t="s">
        <v>1204</v>
      </c>
      <c r="F4167">
        <v>6666</v>
      </c>
      <c r="G4167" t="s">
        <v>2674</v>
      </c>
      <c r="H4167" t="s">
        <v>2665</v>
      </c>
      <c r="I4167">
        <v>19195.893501750001</v>
      </c>
      <c r="J4167">
        <v>19708.397772699998</v>
      </c>
      <c r="K4167">
        <v>21209.08393135</v>
      </c>
      <c r="L4167">
        <v>22817.18116475</v>
      </c>
      <c r="N4167" t="s">
        <v>988</v>
      </c>
    </row>
    <row r="4168" spans="1:14" hidden="1" x14ac:dyDescent="0.3">
      <c r="A4168">
        <v>2516</v>
      </c>
      <c r="B4168" t="s">
        <v>2041</v>
      </c>
      <c r="C4168" t="s">
        <v>2670</v>
      </c>
      <c r="D4168" t="s">
        <v>1203</v>
      </c>
      <c r="E4168" t="s">
        <v>1204</v>
      </c>
      <c r="F4168">
        <v>6666</v>
      </c>
      <c r="G4168" t="s">
        <v>2674</v>
      </c>
      <c r="H4168" t="s">
        <v>2664</v>
      </c>
      <c r="I4168">
        <v>19195.893501750001</v>
      </c>
      <c r="J4168">
        <v>19708.397772699998</v>
      </c>
      <c r="K4168">
        <v>21209.08393135</v>
      </c>
      <c r="L4168">
        <v>22817.18116475</v>
      </c>
      <c r="N4168" t="s">
        <v>988</v>
      </c>
    </row>
    <row r="4169" spans="1:14" hidden="1" x14ac:dyDescent="0.3">
      <c r="A4169">
        <v>2516</v>
      </c>
      <c r="B4169" t="s">
        <v>2041</v>
      </c>
      <c r="C4169" t="s">
        <v>2670</v>
      </c>
      <c r="D4169" t="s">
        <v>1203</v>
      </c>
      <c r="E4169" t="s">
        <v>1204</v>
      </c>
      <c r="F4169">
        <v>6666</v>
      </c>
      <c r="G4169" t="s">
        <v>2675</v>
      </c>
      <c r="H4169" t="s">
        <v>2665</v>
      </c>
      <c r="I4169">
        <v>19195.893501750001</v>
      </c>
      <c r="J4169">
        <v>19708.397772699998</v>
      </c>
      <c r="K4169">
        <v>21209.08393135</v>
      </c>
      <c r="L4169">
        <v>22817.18116475</v>
      </c>
      <c r="N4169" t="s">
        <v>988</v>
      </c>
    </row>
    <row r="4170" spans="1:14" hidden="1" x14ac:dyDescent="0.3">
      <c r="A4170">
        <v>2516</v>
      </c>
      <c r="B4170" t="s">
        <v>2041</v>
      </c>
      <c r="C4170" t="s">
        <v>2670</v>
      </c>
      <c r="D4170" t="s">
        <v>1203</v>
      </c>
      <c r="E4170" t="s">
        <v>1204</v>
      </c>
      <c r="F4170">
        <v>6666</v>
      </c>
      <c r="G4170" t="s">
        <v>2675</v>
      </c>
      <c r="H4170" t="s">
        <v>2664</v>
      </c>
      <c r="I4170">
        <v>19195.893501750001</v>
      </c>
      <c r="J4170">
        <v>19708.397772699998</v>
      </c>
      <c r="K4170">
        <v>21209.08393135</v>
      </c>
      <c r="L4170">
        <v>22817.18116475</v>
      </c>
      <c r="N4170" t="s">
        <v>988</v>
      </c>
    </row>
    <row r="4171" spans="1:14" hidden="1" x14ac:dyDescent="0.3">
      <c r="A4171">
        <v>2516</v>
      </c>
      <c r="B4171" t="s">
        <v>2041</v>
      </c>
      <c r="C4171" t="s">
        <v>2670</v>
      </c>
      <c r="D4171" t="s">
        <v>1203</v>
      </c>
      <c r="E4171" t="s">
        <v>1204</v>
      </c>
      <c r="F4171">
        <v>6666</v>
      </c>
      <c r="G4171" t="s">
        <v>2676</v>
      </c>
      <c r="H4171" t="s">
        <v>2665</v>
      </c>
      <c r="I4171">
        <v>19195.893501750001</v>
      </c>
      <c r="J4171">
        <v>19708.397772699998</v>
      </c>
      <c r="K4171">
        <v>21209.08393135</v>
      </c>
      <c r="L4171">
        <v>22817.18116475</v>
      </c>
      <c r="N4171" t="s">
        <v>988</v>
      </c>
    </row>
    <row r="4172" spans="1:14" hidden="1" x14ac:dyDescent="0.3">
      <c r="A4172">
        <v>2516</v>
      </c>
      <c r="B4172" t="s">
        <v>2041</v>
      </c>
      <c r="C4172" t="s">
        <v>2670</v>
      </c>
      <c r="D4172" t="s">
        <v>1203</v>
      </c>
      <c r="E4172" t="s">
        <v>1204</v>
      </c>
      <c r="F4172">
        <v>6666</v>
      </c>
      <c r="G4172" t="s">
        <v>2676</v>
      </c>
      <c r="H4172" t="s">
        <v>2664</v>
      </c>
      <c r="I4172">
        <v>19195.893501750001</v>
      </c>
      <c r="J4172">
        <v>19708.397772699998</v>
      </c>
      <c r="K4172">
        <v>21209.08393135</v>
      </c>
      <c r="L4172">
        <v>22817.18116475</v>
      </c>
      <c r="N4172" t="s">
        <v>988</v>
      </c>
    </row>
    <row r="4173" spans="1:14" hidden="1" x14ac:dyDescent="0.3">
      <c r="A4173">
        <v>2516</v>
      </c>
      <c r="B4173" t="s">
        <v>2041</v>
      </c>
      <c r="C4173" t="s">
        <v>2670</v>
      </c>
      <c r="D4173" t="s">
        <v>1203</v>
      </c>
      <c r="E4173" t="s">
        <v>1204</v>
      </c>
      <c r="F4173">
        <v>6666</v>
      </c>
      <c r="G4173" t="s">
        <v>2672</v>
      </c>
      <c r="H4173" t="s">
        <v>2665</v>
      </c>
      <c r="N4173" t="s">
        <v>988</v>
      </c>
    </row>
    <row r="4174" spans="1:14" hidden="1" x14ac:dyDescent="0.3">
      <c r="A4174">
        <v>2516</v>
      </c>
      <c r="B4174" t="s">
        <v>2041</v>
      </c>
      <c r="C4174" t="s">
        <v>2670</v>
      </c>
      <c r="D4174" t="s">
        <v>1203</v>
      </c>
      <c r="E4174" t="s">
        <v>1204</v>
      </c>
      <c r="F4174">
        <v>6666</v>
      </c>
      <c r="G4174" t="s">
        <v>2672</v>
      </c>
      <c r="H4174" t="s">
        <v>2664</v>
      </c>
      <c r="N4174" t="s">
        <v>988</v>
      </c>
    </row>
    <row r="4175" spans="1:14" hidden="1" x14ac:dyDescent="0.3">
      <c r="A4175">
        <v>2516</v>
      </c>
      <c r="B4175" t="s">
        <v>2041</v>
      </c>
      <c r="C4175" t="s">
        <v>2670</v>
      </c>
      <c r="D4175" t="s">
        <v>1203</v>
      </c>
      <c r="E4175" t="s">
        <v>1204</v>
      </c>
      <c r="F4175">
        <v>6666</v>
      </c>
      <c r="G4175" t="s">
        <v>2671</v>
      </c>
      <c r="H4175" t="s">
        <v>2665</v>
      </c>
      <c r="I4175">
        <v>19195.893501750001</v>
      </c>
      <c r="J4175">
        <v>19708.397772699998</v>
      </c>
      <c r="K4175">
        <v>21209.08393135</v>
      </c>
      <c r="L4175">
        <v>22817.18116475</v>
      </c>
      <c r="N4175" t="s">
        <v>988</v>
      </c>
    </row>
    <row r="4176" spans="1:14" hidden="1" x14ac:dyDescent="0.3">
      <c r="A4176">
        <v>2516</v>
      </c>
      <c r="B4176" t="s">
        <v>2041</v>
      </c>
      <c r="C4176" t="s">
        <v>2670</v>
      </c>
      <c r="D4176" t="s">
        <v>1203</v>
      </c>
      <c r="E4176" t="s">
        <v>1204</v>
      </c>
      <c r="F4176">
        <v>6666</v>
      </c>
      <c r="G4176" t="s">
        <v>2671</v>
      </c>
      <c r="H4176" t="s">
        <v>2664</v>
      </c>
      <c r="I4176">
        <v>19195.893501750001</v>
      </c>
      <c r="J4176">
        <v>19708.397772699998</v>
      </c>
      <c r="K4176">
        <v>21209.08393135</v>
      </c>
      <c r="L4176">
        <v>22817.18116475</v>
      </c>
      <c r="N4176" t="s">
        <v>988</v>
      </c>
    </row>
    <row r="4177" spans="1:14" hidden="1" x14ac:dyDescent="0.3">
      <c r="A4177">
        <v>2516</v>
      </c>
      <c r="B4177" t="s">
        <v>2041</v>
      </c>
      <c r="C4177" t="s">
        <v>2670</v>
      </c>
      <c r="D4177" t="s">
        <v>1203</v>
      </c>
      <c r="E4177" t="s">
        <v>1204</v>
      </c>
      <c r="F4177">
        <v>6666</v>
      </c>
      <c r="G4177" t="s">
        <v>2673</v>
      </c>
      <c r="H4177" t="s">
        <v>2665</v>
      </c>
      <c r="I4177">
        <v>19195.893501750001</v>
      </c>
      <c r="J4177">
        <v>19708.397772699998</v>
      </c>
      <c r="K4177">
        <v>21209.08393135</v>
      </c>
      <c r="L4177">
        <v>22817.18116475</v>
      </c>
      <c r="N4177" t="s">
        <v>988</v>
      </c>
    </row>
    <row r="4178" spans="1:14" hidden="1" x14ac:dyDescent="0.3">
      <c r="A4178">
        <v>2523</v>
      </c>
      <c r="B4178" t="s">
        <v>2042</v>
      </c>
      <c r="C4178" t="s">
        <v>2670</v>
      </c>
      <c r="D4178" t="s">
        <v>1203</v>
      </c>
      <c r="E4178" t="s">
        <v>1204</v>
      </c>
      <c r="F4178">
        <v>5458</v>
      </c>
      <c r="G4178" t="s">
        <v>2672</v>
      </c>
      <c r="H4178" t="s">
        <v>2665</v>
      </c>
      <c r="I4178">
        <v>17730</v>
      </c>
      <c r="J4178">
        <v>18026</v>
      </c>
      <c r="K4178">
        <v>18387</v>
      </c>
      <c r="L4178">
        <v>18740</v>
      </c>
      <c r="M4178">
        <v>19006</v>
      </c>
      <c r="N4178" t="s">
        <v>988</v>
      </c>
    </row>
    <row r="4179" spans="1:14" hidden="1" x14ac:dyDescent="0.3">
      <c r="A4179">
        <v>2523</v>
      </c>
      <c r="B4179" t="s">
        <v>2042</v>
      </c>
      <c r="C4179" t="s">
        <v>2670</v>
      </c>
      <c r="D4179" t="s">
        <v>1203</v>
      </c>
      <c r="E4179" t="s">
        <v>1204</v>
      </c>
      <c r="F4179">
        <v>5458</v>
      </c>
      <c r="G4179" t="s">
        <v>2672</v>
      </c>
      <c r="H4179" t="s">
        <v>2664</v>
      </c>
      <c r="I4179">
        <v>22144</v>
      </c>
      <c r="J4179">
        <v>22185</v>
      </c>
      <c r="K4179">
        <v>22227</v>
      </c>
      <c r="L4179">
        <v>22270</v>
      </c>
      <c r="M4179">
        <v>22314</v>
      </c>
      <c r="N4179" t="s">
        <v>988</v>
      </c>
    </row>
    <row r="4180" spans="1:14" hidden="1" x14ac:dyDescent="0.3">
      <c r="A4180">
        <v>2523</v>
      </c>
      <c r="B4180" t="s">
        <v>2042</v>
      </c>
      <c r="C4180" t="s">
        <v>2670</v>
      </c>
      <c r="D4180" t="s">
        <v>1203</v>
      </c>
      <c r="E4180" t="s">
        <v>1204</v>
      </c>
      <c r="F4180">
        <v>5458</v>
      </c>
      <c r="G4180" t="s">
        <v>2671</v>
      </c>
      <c r="H4180" t="s">
        <v>2665</v>
      </c>
      <c r="I4180">
        <v>17679</v>
      </c>
      <c r="J4180">
        <v>18100</v>
      </c>
      <c r="K4180">
        <v>18443</v>
      </c>
      <c r="L4180">
        <v>18867</v>
      </c>
      <c r="M4180">
        <v>19222</v>
      </c>
      <c r="N4180" t="s">
        <v>988</v>
      </c>
    </row>
    <row r="4181" spans="1:14" hidden="1" x14ac:dyDescent="0.3">
      <c r="A4181">
        <v>2523</v>
      </c>
      <c r="B4181" t="s">
        <v>2042</v>
      </c>
      <c r="C4181" t="s">
        <v>2670</v>
      </c>
      <c r="D4181" t="s">
        <v>1203</v>
      </c>
      <c r="E4181" t="s">
        <v>1204</v>
      </c>
      <c r="F4181">
        <v>5458</v>
      </c>
      <c r="G4181" t="s">
        <v>2671</v>
      </c>
      <c r="H4181" t="s">
        <v>2664</v>
      </c>
      <c r="I4181">
        <v>22136</v>
      </c>
      <c r="J4181">
        <v>22177</v>
      </c>
      <c r="K4181">
        <v>22218</v>
      </c>
      <c r="L4181">
        <v>22261</v>
      </c>
      <c r="M4181">
        <v>22305</v>
      </c>
      <c r="N4181" t="s">
        <v>988</v>
      </c>
    </row>
    <row r="4182" spans="1:14" hidden="1" x14ac:dyDescent="0.3">
      <c r="A4182">
        <v>2523</v>
      </c>
      <c r="B4182" t="s">
        <v>2042</v>
      </c>
      <c r="C4182" t="s">
        <v>2670</v>
      </c>
      <c r="D4182" t="s">
        <v>1203</v>
      </c>
      <c r="E4182" t="s">
        <v>1204</v>
      </c>
      <c r="F4182">
        <v>5458</v>
      </c>
      <c r="G4182" t="s">
        <v>2674</v>
      </c>
      <c r="H4182" t="s">
        <v>2664</v>
      </c>
      <c r="I4182">
        <v>22121</v>
      </c>
      <c r="J4182">
        <v>22160</v>
      </c>
      <c r="K4182">
        <v>22201</v>
      </c>
      <c r="L4182">
        <v>22244</v>
      </c>
      <c r="M4182">
        <v>22287</v>
      </c>
      <c r="N4182" t="s">
        <v>988</v>
      </c>
    </row>
    <row r="4183" spans="1:14" hidden="1" x14ac:dyDescent="0.3">
      <c r="A4183">
        <v>2523</v>
      </c>
      <c r="B4183" t="s">
        <v>2042</v>
      </c>
      <c r="C4183" t="s">
        <v>2670</v>
      </c>
      <c r="D4183" t="s">
        <v>1203</v>
      </c>
      <c r="E4183" t="s">
        <v>1204</v>
      </c>
      <c r="F4183">
        <v>5458</v>
      </c>
      <c r="G4183" t="s">
        <v>2673</v>
      </c>
      <c r="H4183" t="s">
        <v>2665</v>
      </c>
      <c r="I4183">
        <v>17477</v>
      </c>
      <c r="J4183">
        <v>18007</v>
      </c>
      <c r="K4183">
        <v>18338</v>
      </c>
      <c r="L4183">
        <v>18746</v>
      </c>
      <c r="M4183">
        <v>19101</v>
      </c>
      <c r="N4183" t="s">
        <v>988</v>
      </c>
    </row>
    <row r="4184" spans="1:14" hidden="1" x14ac:dyDescent="0.3">
      <c r="A4184">
        <v>2523</v>
      </c>
      <c r="B4184" t="s">
        <v>2042</v>
      </c>
      <c r="C4184" t="s">
        <v>2670</v>
      </c>
      <c r="D4184" t="s">
        <v>1203</v>
      </c>
      <c r="E4184" t="s">
        <v>1204</v>
      </c>
      <c r="F4184">
        <v>5458</v>
      </c>
      <c r="G4184" t="s">
        <v>2673</v>
      </c>
      <c r="H4184" t="s">
        <v>2664</v>
      </c>
      <c r="I4184">
        <v>22129</v>
      </c>
      <c r="J4184">
        <v>22169</v>
      </c>
      <c r="K4184">
        <v>22210</v>
      </c>
      <c r="L4184">
        <v>22252</v>
      </c>
      <c r="M4184">
        <v>22296</v>
      </c>
      <c r="N4184" t="s">
        <v>988</v>
      </c>
    </row>
    <row r="4185" spans="1:14" hidden="1" x14ac:dyDescent="0.3">
      <c r="A4185">
        <v>2523</v>
      </c>
      <c r="B4185" t="s">
        <v>2042</v>
      </c>
      <c r="C4185" t="s">
        <v>2670</v>
      </c>
      <c r="D4185" t="s">
        <v>1203</v>
      </c>
      <c r="E4185" t="s">
        <v>1204</v>
      </c>
      <c r="F4185">
        <v>5458</v>
      </c>
      <c r="G4185" t="s">
        <v>2676</v>
      </c>
      <c r="H4185" t="s">
        <v>2664</v>
      </c>
      <c r="I4185">
        <v>22106</v>
      </c>
      <c r="J4185">
        <v>22144</v>
      </c>
      <c r="K4185">
        <v>22185</v>
      </c>
      <c r="L4185">
        <v>22227</v>
      </c>
      <c r="M4185">
        <v>22270</v>
      </c>
      <c r="N4185" t="s">
        <v>988</v>
      </c>
    </row>
    <row r="4186" spans="1:14" hidden="1" x14ac:dyDescent="0.3">
      <c r="A4186">
        <v>2523</v>
      </c>
      <c r="B4186" t="s">
        <v>2042</v>
      </c>
      <c r="C4186" t="s">
        <v>2670</v>
      </c>
      <c r="D4186" t="s">
        <v>1203</v>
      </c>
      <c r="E4186" t="s">
        <v>1204</v>
      </c>
      <c r="F4186">
        <v>5458</v>
      </c>
      <c r="G4186" t="s">
        <v>2676</v>
      </c>
      <c r="H4186" t="s">
        <v>2665</v>
      </c>
      <c r="I4186">
        <v>16833</v>
      </c>
      <c r="J4186">
        <v>17730</v>
      </c>
      <c r="K4186">
        <v>18026</v>
      </c>
      <c r="L4186">
        <v>18387</v>
      </c>
      <c r="M4186">
        <v>18740</v>
      </c>
      <c r="N4186" t="s">
        <v>988</v>
      </c>
    </row>
    <row r="4187" spans="1:14" hidden="1" x14ac:dyDescent="0.3">
      <c r="A4187">
        <v>2523</v>
      </c>
      <c r="B4187" t="s">
        <v>2042</v>
      </c>
      <c r="C4187" t="s">
        <v>2670</v>
      </c>
      <c r="D4187" t="s">
        <v>1203</v>
      </c>
      <c r="E4187" t="s">
        <v>1204</v>
      </c>
      <c r="F4187">
        <v>5458</v>
      </c>
      <c r="G4187" t="s">
        <v>2675</v>
      </c>
      <c r="H4187" t="s">
        <v>2664</v>
      </c>
      <c r="I4187">
        <v>22113</v>
      </c>
      <c r="J4187">
        <v>22152</v>
      </c>
      <c r="K4187">
        <v>22193</v>
      </c>
      <c r="L4187">
        <v>22235</v>
      </c>
      <c r="M4187">
        <v>22278</v>
      </c>
      <c r="N4187" t="s">
        <v>988</v>
      </c>
    </row>
    <row r="4188" spans="1:14" hidden="1" x14ac:dyDescent="0.3">
      <c r="A4188">
        <v>2523</v>
      </c>
      <c r="B4188" t="s">
        <v>2042</v>
      </c>
      <c r="C4188" t="s">
        <v>2670</v>
      </c>
      <c r="D4188" t="s">
        <v>1203</v>
      </c>
      <c r="E4188" t="s">
        <v>1204</v>
      </c>
      <c r="F4188">
        <v>5458</v>
      </c>
      <c r="G4188" t="s">
        <v>2675</v>
      </c>
      <c r="H4188" t="s">
        <v>2665</v>
      </c>
      <c r="I4188">
        <v>17074</v>
      </c>
      <c r="J4188">
        <v>17822</v>
      </c>
      <c r="K4188">
        <v>18130</v>
      </c>
      <c r="L4188">
        <v>18507</v>
      </c>
      <c r="M4188">
        <v>18860</v>
      </c>
      <c r="N4188" t="s">
        <v>988</v>
      </c>
    </row>
    <row r="4189" spans="1:14" hidden="1" x14ac:dyDescent="0.3">
      <c r="A4189">
        <v>2523</v>
      </c>
      <c r="B4189" t="s">
        <v>2042</v>
      </c>
      <c r="C4189" t="s">
        <v>2670</v>
      </c>
      <c r="D4189" t="s">
        <v>1203</v>
      </c>
      <c r="E4189" t="s">
        <v>1204</v>
      </c>
      <c r="F4189">
        <v>5458</v>
      </c>
      <c r="G4189" t="s">
        <v>2674</v>
      </c>
      <c r="H4189" t="s">
        <v>2665</v>
      </c>
      <c r="I4189">
        <v>17275</v>
      </c>
      <c r="J4189">
        <v>17914</v>
      </c>
      <c r="K4189">
        <v>18234</v>
      </c>
      <c r="L4189">
        <v>18626</v>
      </c>
      <c r="M4189">
        <v>18981</v>
      </c>
      <c r="N4189" t="s">
        <v>988</v>
      </c>
    </row>
    <row r="4190" spans="1:14" hidden="1" x14ac:dyDescent="0.3">
      <c r="A4190">
        <v>2524</v>
      </c>
      <c r="B4190" t="s">
        <v>2043</v>
      </c>
      <c r="C4190" t="s">
        <v>2670</v>
      </c>
      <c r="D4190" t="s">
        <v>159</v>
      </c>
      <c r="E4190" t="s">
        <v>159</v>
      </c>
      <c r="F4190">
        <v>6055</v>
      </c>
      <c r="G4190" t="s">
        <v>2675</v>
      </c>
      <c r="H4190" t="s">
        <v>2665</v>
      </c>
      <c r="I4190">
        <v>35743.33678895</v>
      </c>
      <c r="J4190">
        <v>39781.993199550001</v>
      </c>
      <c r="K4190">
        <v>44047.74731105</v>
      </c>
      <c r="L4190">
        <v>48555.943562699998</v>
      </c>
      <c r="M4190">
        <v>33275.950957549998</v>
      </c>
      <c r="N4190" t="s">
        <v>988</v>
      </c>
    </row>
    <row r="4191" spans="1:14" hidden="1" x14ac:dyDescent="0.3">
      <c r="A4191">
        <v>2524</v>
      </c>
      <c r="B4191" t="s">
        <v>2043</v>
      </c>
      <c r="C4191" t="s">
        <v>2670</v>
      </c>
      <c r="D4191" t="s">
        <v>159</v>
      </c>
      <c r="E4191" t="s">
        <v>159</v>
      </c>
      <c r="F4191">
        <v>6055</v>
      </c>
      <c r="G4191" t="s">
        <v>2675</v>
      </c>
      <c r="H4191" t="s">
        <v>2664</v>
      </c>
      <c r="I4191">
        <v>46944.777441450002</v>
      </c>
      <c r="J4191">
        <v>50983.433852050002</v>
      </c>
      <c r="K4191">
        <v>55249.187963550001</v>
      </c>
      <c r="L4191">
        <v>59757.3842152</v>
      </c>
      <c r="M4191">
        <v>44477.391610049999</v>
      </c>
      <c r="N4191" t="s">
        <v>988</v>
      </c>
    </row>
    <row r="4192" spans="1:14" hidden="1" x14ac:dyDescent="0.3">
      <c r="A4192">
        <v>2524</v>
      </c>
      <c r="B4192" t="s">
        <v>2043</v>
      </c>
      <c r="C4192" t="s">
        <v>2670</v>
      </c>
      <c r="D4192" t="s">
        <v>159</v>
      </c>
      <c r="E4192" t="s">
        <v>159</v>
      </c>
      <c r="F4192">
        <v>6055</v>
      </c>
      <c r="G4192" t="s">
        <v>2676</v>
      </c>
      <c r="H4192" t="s">
        <v>2665</v>
      </c>
      <c r="I4192">
        <v>35743.33678895</v>
      </c>
      <c r="J4192">
        <v>39781.993199550001</v>
      </c>
      <c r="K4192">
        <v>44047.74731105</v>
      </c>
      <c r="L4192">
        <v>48555.943562699998</v>
      </c>
      <c r="M4192">
        <v>33275.950957549998</v>
      </c>
      <c r="N4192" t="s">
        <v>988</v>
      </c>
    </row>
    <row r="4193" spans="1:14" hidden="1" x14ac:dyDescent="0.3">
      <c r="A4193">
        <v>2524</v>
      </c>
      <c r="B4193" t="s">
        <v>2043</v>
      </c>
      <c r="C4193" t="s">
        <v>2670</v>
      </c>
      <c r="D4193" t="s">
        <v>159</v>
      </c>
      <c r="E4193" t="s">
        <v>159</v>
      </c>
      <c r="F4193">
        <v>6055</v>
      </c>
      <c r="G4193" t="s">
        <v>2676</v>
      </c>
      <c r="H4193" t="s">
        <v>2664</v>
      </c>
      <c r="I4193">
        <v>46944.777441450002</v>
      </c>
      <c r="J4193">
        <v>50983.433852050002</v>
      </c>
      <c r="K4193">
        <v>55249.187963550001</v>
      </c>
      <c r="L4193">
        <v>59757.3842152</v>
      </c>
      <c r="M4193">
        <v>44477.391610049999</v>
      </c>
      <c r="N4193" t="s">
        <v>988</v>
      </c>
    </row>
    <row r="4194" spans="1:14" hidden="1" x14ac:dyDescent="0.3">
      <c r="A4194">
        <v>2524</v>
      </c>
      <c r="B4194" t="s">
        <v>2043</v>
      </c>
      <c r="C4194" t="s">
        <v>2670</v>
      </c>
      <c r="D4194" t="s">
        <v>159</v>
      </c>
      <c r="E4194" t="s">
        <v>159</v>
      </c>
      <c r="F4194">
        <v>6055</v>
      </c>
      <c r="G4194" t="s">
        <v>2674</v>
      </c>
      <c r="H4194" t="s">
        <v>2665</v>
      </c>
      <c r="I4194">
        <v>35743.33678895</v>
      </c>
      <c r="J4194">
        <v>39781.993199550001</v>
      </c>
      <c r="K4194">
        <v>44047.74731105</v>
      </c>
      <c r="L4194">
        <v>48555.943562699998</v>
      </c>
      <c r="M4194">
        <v>33275.950957549998</v>
      </c>
      <c r="N4194" t="s">
        <v>988</v>
      </c>
    </row>
    <row r="4195" spans="1:14" hidden="1" x14ac:dyDescent="0.3">
      <c r="A4195">
        <v>2524</v>
      </c>
      <c r="B4195" t="s">
        <v>2043</v>
      </c>
      <c r="C4195" t="s">
        <v>2670</v>
      </c>
      <c r="D4195" t="s">
        <v>159</v>
      </c>
      <c r="E4195" t="s">
        <v>159</v>
      </c>
      <c r="F4195">
        <v>6055</v>
      </c>
      <c r="G4195" t="s">
        <v>2674</v>
      </c>
      <c r="H4195" t="s">
        <v>2664</v>
      </c>
      <c r="I4195">
        <v>46944.777441450002</v>
      </c>
      <c r="J4195">
        <v>50983.433852050002</v>
      </c>
      <c r="K4195">
        <v>55249.187963550001</v>
      </c>
      <c r="L4195">
        <v>59757.3842152</v>
      </c>
      <c r="M4195">
        <v>44477.391610049999</v>
      </c>
      <c r="N4195" t="s">
        <v>988</v>
      </c>
    </row>
    <row r="4196" spans="1:14" hidden="1" x14ac:dyDescent="0.3">
      <c r="A4196">
        <v>2524</v>
      </c>
      <c r="B4196" t="s">
        <v>2043</v>
      </c>
      <c r="C4196" t="s">
        <v>2670</v>
      </c>
      <c r="D4196" t="s">
        <v>159</v>
      </c>
      <c r="E4196" t="s">
        <v>159</v>
      </c>
      <c r="F4196">
        <v>6055</v>
      </c>
      <c r="G4196" t="s">
        <v>2673</v>
      </c>
      <c r="H4196" t="s">
        <v>2664</v>
      </c>
      <c r="I4196">
        <v>46944.777441450002</v>
      </c>
      <c r="J4196">
        <v>50983.433852050002</v>
      </c>
      <c r="K4196">
        <v>55249.187963550001</v>
      </c>
      <c r="L4196">
        <v>59757.3842152</v>
      </c>
      <c r="M4196">
        <v>44477.391610049999</v>
      </c>
      <c r="N4196" t="s">
        <v>988</v>
      </c>
    </row>
    <row r="4197" spans="1:14" hidden="1" x14ac:dyDescent="0.3">
      <c r="A4197">
        <v>2524</v>
      </c>
      <c r="B4197" t="s">
        <v>2043</v>
      </c>
      <c r="C4197" t="s">
        <v>2670</v>
      </c>
      <c r="D4197" t="s">
        <v>159</v>
      </c>
      <c r="E4197" t="s">
        <v>159</v>
      </c>
      <c r="F4197">
        <v>6055</v>
      </c>
      <c r="G4197" t="s">
        <v>2673</v>
      </c>
      <c r="H4197" t="s">
        <v>2665</v>
      </c>
      <c r="I4197">
        <v>35743.33678895</v>
      </c>
      <c r="J4197">
        <v>39781.993199550001</v>
      </c>
      <c r="K4197">
        <v>44047.74731105</v>
      </c>
      <c r="L4197">
        <v>48555.943562699998</v>
      </c>
      <c r="M4197">
        <v>33275.950957549998</v>
      </c>
      <c r="N4197" t="s">
        <v>988</v>
      </c>
    </row>
    <row r="4198" spans="1:14" hidden="1" x14ac:dyDescent="0.3">
      <c r="A4198">
        <v>2524</v>
      </c>
      <c r="B4198" t="s">
        <v>2043</v>
      </c>
      <c r="C4198" t="s">
        <v>2670</v>
      </c>
      <c r="D4198" t="s">
        <v>159</v>
      </c>
      <c r="E4198" t="s">
        <v>159</v>
      </c>
      <c r="F4198">
        <v>6055</v>
      </c>
      <c r="G4198" t="s">
        <v>2671</v>
      </c>
      <c r="H4198" t="s">
        <v>2664</v>
      </c>
      <c r="I4198">
        <v>46944.777441450002</v>
      </c>
      <c r="J4198">
        <v>50983.433852050002</v>
      </c>
      <c r="K4198">
        <v>55249.187963550001</v>
      </c>
      <c r="L4198">
        <v>59757.3842152</v>
      </c>
      <c r="M4198">
        <v>44477.391610049999</v>
      </c>
      <c r="N4198" t="s">
        <v>988</v>
      </c>
    </row>
    <row r="4199" spans="1:14" hidden="1" x14ac:dyDescent="0.3">
      <c r="A4199">
        <v>2524</v>
      </c>
      <c r="B4199" t="s">
        <v>2043</v>
      </c>
      <c r="C4199" t="s">
        <v>2670</v>
      </c>
      <c r="D4199" t="s">
        <v>159</v>
      </c>
      <c r="E4199" t="s">
        <v>159</v>
      </c>
      <c r="F4199">
        <v>6055</v>
      </c>
      <c r="G4199" t="s">
        <v>2671</v>
      </c>
      <c r="H4199" t="s">
        <v>2665</v>
      </c>
      <c r="I4199">
        <v>35743.33678895</v>
      </c>
      <c r="J4199">
        <v>39781.993199550001</v>
      </c>
      <c r="K4199">
        <v>44047.74731105</v>
      </c>
      <c r="L4199">
        <v>48555.943562699998</v>
      </c>
      <c r="M4199">
        <v>33275.950957549998</v>
      </c>
      <c r="N4199" t="s">
        <v>988</v>
      </c>
    </row>
    <row r="4200" spans="1:14" hidden="1" x14ac:dyDescent="0.3">
      <c r="A4200">
        <v>2524</v>
      </c>
      <c r="B4200" t="s">
        <v>2043</v>
      </c>
      <c r="C4200" t="s">
        <v>2670</v>
      </c>
      <c r="D4200" t="s">
        <v>159</v>
      </c>
      <c r="E4200" t="s">
        <v>159</v>
      </c>
      <c r="F4200">
        <v>6055</v>
      </c>
      <c r="G4200" t="s">
        <v>2672</v>
      </c>
      <c r="H4200" t="s">
        <v>2664</v>
      </c>
      <c r="N4200" t="s">
        <v>988</v>
      </c>
    </row>
    <row r="4201" spans="1:14" hidden="1" x14ac:dyDescent="0.3">
      <c r="A4201">
        <v>2524</v>
      </c>
      <c r="B4201" t="s">
        <v>2043</v>
      </c>
      <c r="C4201" t="s">
        <v>2670</v>
      </c>
      <c r="D4201" t="s">
        <v>159</v>
      </c>
      <c r="E4201" t="s">
        <v>159</v>
      </c>
      <c r="F4201">
        <v>6055</v>
      </c>
      <c r="G4201" t="s">
        <v>2672</v>
      </c>
      <c r="H4201" t="s">
        <v>2665</v>
      </c>
      <c r="N4201" t="s">
        <v>988</v>
      </c>
    </row>
    <row r="4202" spans="1:14" hidden="1" x14ac:dyDescent="0.3">
      <c r="A4202">
        <v>2528</v>
      </c>
      <c r="B4202" t="s">
        <v>2047</v>
      </c>
      <c r="C4202" t="s">
        <v>2670</v>
      </c>
      <c r="D4202" t="s">
        <v>1203</v>
      </c>
      <c r="E4202" t="s">
        <v>1204</v>
      </c>
      <c r="F4202">
        <v>5675</v>
      </c>
      <c r="G4202" t="s">
        <v>2671</v>
      </c>
      <c r="H4202" t="s">
        <v>2664</v>
      </c>
      <c r="I4202">
        <v>10686</v>
      </c>
      <c r="J4202">
        <v>10729</v>
      </c>
      <c r="K4202">
        <v>10627</v>
      </c>
      <c r="L4202">
        <v>10525</v>
      </c>
      <c r="M4202">
        <v>10491</v>
      </c>
      <c r="N4202" t="s">
        <v>988</v>
      </c>
    </row>
    <row r="4203" spans="1:14" hidden="1" x14ac:dyDescent="0.3">
      <c r="A4203">
        <v>2528</v>
      </c>
      <c r="B4203" t="s">
        <v>2047</v>
      </c>
      <c r="C4203" t="s">
        <v>2670</v>
      </c>
      <c r="D4203" t="s">
        <v>1203</v>
      </c>
      <c r="E4203" t="s">
        <v>1204</v>
      </c>
      <c r="F4203">
        <v>5675</v>
      </c>
      <c r="G4203" t="s">
        <v>2673</v>
      </c>
      <c r="H4203" t="s">
        <v>2665</v>
      </c>
      <c r="I4203">
        <v>10763</v>
      </c>
      <c r="J4203">
        <v>10721</v>
      </c>
      <c r="K4203">
        <v>10647</v>
      </c>
      <c r="L4203">
        <v>10545</v>
      </c>
      <c r="M4203">
        <v>10498</v>
      </c>
      <c r="N4203" t="s">
        <v>988</v>
      </c>
    </row>
    <row r="4204" spans="1:14" hidden="1" x14ac:dyDescent="0.3">
      <c r="A4204">
        <v>2528</v>
      </c>
      <c r="B4204" t="s">
        <v>2047</v>
      </c>
      <c r="C4204" t="s">
        <v>2670</v>
      </c>
      <c r="D4204" t="s">
        <v>1203</v>
      </c>
      <c r="E4204" t="s">
        <v>1204</v>
      </c>
      <c r="F4204">
        <v>5675</v>
      </c>
      <c r="G4204" t="s">
        <v>2673</v>
      </c>
      <c r="H4204" t="s">
        <v>2664</v>
      </c>
      <c r="I4204">
        <v>10763</v>
      </c>
      <c r="J4204">
        <v>10721</v>
      </c>
      <c r="K4204">
        <v>10647</v>
      </c>
      <c r="L4204">
        <v>10545</v>
      </c>
      <c r="M4204">
        <v>10498</v>
      </c>
      <c r="N4204" t="s">
        <v>988</v>
      </c>
    </row>
    <row r="4205" spans="1:14" hidden="1" x14ac:dyDescent="0.3">
      <c r="A4205">
        <v>2528</v>
      </c>
      <c r="B4205" t="s">
        <v>2047</v>
      </c>
      <c r="C4205" t="s">
        <v>2670</v>
      </c>
      <c r="D4205" t="s">
        <v>1203</v>
      </c>
      <c r="E4205" t="s">
        <v>1204</v>
      </c>
      <c r="F4205">
        <v>5675</v>
      </c>
      <c r="G4205" t="s">
        <v>2674</v>
      </c>
      <c r="H4205" t="s">
        <v>2665</v>
      </c>
      <c r="I4205">
        <v>10841</v>
      </c>
      <c r="J4205">
        <v>10712</v>
      </c>
      <c r="K4205">
        <v>10668</v>
      </c>
      <c r="L4205">
        <v>10565</v>
      </c>
      <c r="M4205">
        <v>10505</v>
      </c>
      <c r="N4205" t="s">
        <v>988</v>
      </c>
    </row>
    <row r="4206" spans="1:14" hidden="1" x14ac:dyDescent="0.3">
      <c r="A4206">
        <v>2528</v>
      </c>
      <c r="B4206" t="s">
        <v>2047</v>
      </c>
      <c r="C4206" t="s">
        <v>2670</v>
      </c>
      <c r="D4206" t="s">
        <v>1203</v>
      </c>
      <c r="E4206" t="s">
        <v>1204</v>
      </c>
      <c r="F4206">
        <v>5675</v>
      </c>
      <c r="G4206" t="s">
        <v>2671</v>
      </c>
      <c r="H4206" t="s">
        <v>2665</v>
      </c>
      <c r="I4206">
        <v>10686</v>
      </c>
      <c r="J4206">
        <v>10729</v>
      </c>
      <c r="K4206">
        <v>10627</v>
      </c>
      <c r="L4206">
        <v>10525</v>
      </c>
      <c r="M4206">
        <v>10491</v>
      </c>
      <c r="N4206" t="s">
        <v>988</v>
      </c>
    </row>
    <row r="4207" spans="1:14" hidden="1" x14ac:dyDescent="0.3">
      <c r="A4207">
        <v>2528</v>
      </c>
      <c r="B4207" t="s">
        <v>2047</v>
      </c>
      <c r="C4207" t="s">
        <v>2670</v>
      </c>
      <c r="D4207" t="s">
        <v>1203</v>
      </c>
      <c r="E4207" t="s">
        <v>1204</v>
      </c>
      <c r="F4207">
        <v>5675</v>
      </c>
      <c r="G4207" t="s">
        <v>2676</v>
      </c>
      <c r="H4207" t="s">
        <v>2664</v>
      </c>
      <c r="I4207">
        <v>10996</v>
      </c>
      <c r="J4207">
        <v>10695</v>
      </c>
      <c r="K4207">
        <v>10709</v>
      </c>
      <c r="L4207">
        <v>10606</v>
      </c>
      <c r="M4207">
        <v>10518</v>
      </c>
      <c r="N4207" t="s">
        <v>988</v>
      </c>
    </row>
    <row r="4208" spans="1:14" hidden="1" x14ac:dyDescent="0.3">
      <c r="A4208">
        <v>2528</v>
      </c>
      <c r="B4208" t="s">
        <v>2047</v>
      </c>
      <c r="C4208" t="s">
        <v>2670</v>
      </c>
      <c r="D4208" t="s">
        <v>1203</v>
      </c>
      <c r="E4208" t="s">
        <v>1204</v>
      </c>
      <c r="F4208">
        <v>5675</v>
      </c>
      <c r="G4208" t="s">
        <v>2672</v>
      </c>
      <c r="H4208" t="s">
        <v>2665</v>
      </c>
      <c r="N4208" t="s">
        <v>988</v>
      </c>
    </row>
    <row r="4209" spans="1:14" hidden="1" x14ac:dyDescent="0.3">
      <c r="A4209">
        <v>2528</v>
      </c>
      <c r="B4209" t="s">
        <v>2047</v>
      </c>
      <c r="C4209" t="s">
        <v>2670</v>
      </c>
      <c r="D4209" t="s">
        <v>1203</v>
      </c>
      <c r="E4209" t="s">
        <v>1204</v>
      </c>
      <c r="F4209">
        <v>5675</v>
      </c>
      <c r="G4209" t="s">
        <v>2674</v>
      </c>
      <c r="H4209" t="s">
        <v>2664</v>
      </c>
      <c r="I4209">
        <v>10841</v>
      </c>
      <c r="J4209">
        <v>10712</v>
      </c>
      <c r="K4209">
        <v>10668</v>
      </c>
      <c r="L4209">
        <v>10565</v>
      </c>
      <c r="M4209">
        <v>10505</v>
      </c>
      <c r="N4209" t="s">
        <v>988</v>
      </c>
    </row>
    <row r="4210" spans="1:14" hidden="1" x14ac:dyDescent="0.3">
      <c r="A4210">
        <v>2528</v>
      </c>
      <c r="B4210" t="s">
        <v>2047</v>
      </c>
      <c r="C4210" t="s">
        <v>2670</v>
      </c>
      <c r="D4210" t="s">
        <v>1203</v>
      </c>
      <c r="E4210" t="s">
        <v>1204</v>
      </c>
      <c r="F4210">
        <v>5675</v>
      </c>
      <c r="G4210" t="s">
        <v>2675</v>
      </c>
      <c r="H4210" t="s">
        <v>2665</v>
      </c>
      <c r="I4210">
        <v>10919</v>
      </c>
      <c r="J4210">
        <v>10703</v>
      </c>
      <c r="K4210">
        <v>10688</v>
      </c>
      <c r="L4210">
        <v>10586</v>
      </c>
      <c r="M4210">
        <v>10511</v>
      </c>
      <c r="N4210" t="s">
        <v>988</v>
      </c>
    </row>
    <row r="4211" spans="1:14" hidden="1" x14ac:dyDescent="0.3">
      <c r="A4211">
        <v>2528</v>
      </c>
      <c r="B4211" t="s">
        <v>2047</v>
      </c>
      <c r="C4211" t="s">
        <v>2670</v>
      </c>
      <c r="D4211" t="s">
        <v>1203</v>
      </c>
      <c r="E4211" t="s">
        <v>1204</v>
      </c>
      <c r="F4211">
        <v>5675</v>
      </c>
      <c r="G4211" t="s">
        <v>2675</v>
      </c>
      <c r="H4211" t="s">
        <v>2664</v>
      </c>
      <c r="I4211">
        <v>10919</v>
      </c>
      <c r="J4211">
        <v>10703</v>
      </c>
      <c r="K4211">
        <v>10688</v>
      </c>
      <c r="L4211">
        <v>10586</v>
      </c>
      <c r="M4211">
        <v>10511</v>
      </c>
      <c r="N4211" t="s">
        <v>988</v>
      </c>
    </row>
    <row r="4212" spans="1:14" hidden="1" x14ac:dyDescent="0.3">
      <c r="A4212">
        <v>2528</v>
      </c>
      <c r="B4212" t="s">
        <v>2047</v>
      </c>
      <c r="C4212" t="s">
        <v>2670</v>
      </c>
      <c r="D4212" t="s">
        <v>1203</v>
      </c>
      <c r="E4212" t="s">
        <v>1204</v>
      </c>
      <c r="F4212">
        <v>5675</v>
      </c>
      <c r="G4212" t="s">
        <v>2676</v>
      </c>
      <c r="H4212" t="s">
        <v>2665</v>
      </c>
      <c r="I4212">
        <v>10996</v>
      </c>
      <c r="J4212">
        <v>10695</v>
      </c>
      <c r="K4212">
        <v>10709</v>
      </c>
      <c r="L4212">
        <v>10606</v>
      </c>
      <c r="M4212">
        <v>10518</v>
      </c>
      <c r="N4212" t="s">
        <v>988</v>
      </c>
    </row>
    <row r="4213" spans="1:14" hidden="1" x14ac:dyDescent="0.3">
      <c r="A4213">
        <v>2528</v>
      </c>
      <c r="B4213" t="s">
        <v>2047</v>
      </c>
      <c r="C4213" t="s">
        <v>2670</v>
      </c>
      <c r="D4213" t="s">
        <v>1203</v>
      </c>
      <c r="E4213" t="s">
        <v>1204</v>
      </c>
      <c r="F4213">
        <v>5675</v>
      </c>
      <c r="G4213" t="s">
        <v>2672</v>
      </c>
      <c r="H4213" t="s">
        <v>2664</v>
      </c>
      <c r="N4213" t="s">
        <v>988</v>
      </c>
    </row>
    <row r="4214" spans="1:14" hidden="1" x14ac:dyDescent="0.3">
      <c r="A4214">
        <v>2530</v>
      </c>
      <c r="B4214" t="s">
        <v>2049</v>
      </c>
      <c r="C4214" t="s">
        <v>2670</v>
      </c>
      <c r="D4214" t="s">
        <v>1203</v>
      </c>
      <c r="E4214" t="s">
        <v>1204</v>
      </c>
      <c r="F4214">
        <v>5741</v>
      </c>
      <c r="G4214" t="s">
        <v>2673</v>
      </c>
      <c r="H4214" t="s">
        <v>2664</v>
      </c>
      <c r="I4214">
        <v>6995</v>
      </c>
      <c r="J4214">
        <v>6995</v>
      </c>
      <c r="K4214">
        <v>6995</v>
      </c>
      <c r="L4214">
        <v>6995</v>
      </c>
      <c r="M4214">
        <v>6995</v>
      </c>
      <c r="N4214" t="s">
        <v>988</v>
      </c>
    </row>
    <row r="4215" spans="1:14" hidden="1" x14ac:dyDescent="0.3">
      <c r="A4215">
        <v>2530</v>
      </c>
      <c r="B4215" t="s">
        <v>2049</v>
      </c>
      <c r="C4215" t="s">
        <v>2670</v>
      </c>
      <c r="D4215" t="s">
        <v>1203</v>
      </c>
      <c r="E4215" t="s">
        <v>1204</v>
      </c>
      <c r="F4215">
        <v>5741</v>
      </c>
      <c r="G4215" t="s">
        <v>2673</v>
      </c>
      <c r="H4215" t="s">
        <v>2665</v>
      </c>
      <c r="I4215">
        <v>2727</v>
      </c>
      <c r="J4215">
        <v>2870</v>
      </c>
      <c r="K4215">
        <v>3014</v>
      </c>
      <c r="L4215">
        <v>3157</v>
      </c>
      <c r="M4215">
        <v>3290</v>
      </c>
      <c r="N4215" t="s">
        <v>988</v>
      </c>
    </row>
    <row r="4216" spans="1:14" hidden="1" x14ac:dyDescent="0.3">
      <c r="A4216">
        <v>2530</v>
      </c>
      <c r="B4216" t="s">
        <v>2049</v>
      </c>
      <c r="C4216" t="s">
        <v>2670</v>
      </c>
      <c r="D4216" t="s">
        <v>1203</v>
      </c>
      <c r="E4216" t="s">
        <v>1204</v>
      </c>
      <c r="F4216">
        <v>5741</v>
      </c>
      <c r="G4216" t="s">
        <v>2671</v>
      </c>
      <c r="H4216" t="s">
        <v>2664</v>
      </c>
      <c r="I4216">
        <v>6995</v>
      </c>
      <c r="J4216">
        <v>6995</v>
      </c>
      <c r="K4216">
        <v>6995</v>
      </c>
      <c r="L4216">
        <v>6995</v>
      </c>
      <c r="M4216">
        <v>6995</v>
      </c>
      <c r="N4216" t="s">
        <v>988</v>
      </c>
    </row>
    <row r="4217" spans="1:14" hidden="1" x14ac:dyDescent="0.3">
      <c r="A4217">
        <v>2530</v>
      </c>
      <c r="B4217" t="s">
        <v>2049</v>
      </c>
      <c r="C4217" t="s">
        <v>2670</v>
      </c>
      <c r="D4217" t="s">
        <v>1203</v>
      </c>
      <c r="E4217" t="s">
        <v>1204</v>
      </c>
      <c r="F4217">
        <v>5741</v>
      </c>
      <c r="G4217" t="s">
        <v>2671</v>
      </c>
      <c r="H4217" t="s">
        <v>2665</v>
      </c>
      <c r="I4217">
        <v>2727</v>
      </c>
      <c r="J4217">
        <v>2870</v>
      </c>
      <c r="K4217">
        <v>3014</v>
      </c>
      <c r="L4217">
        <v>3157</v>
      </c>
      <c r="M4217">
        <v>3290</v>
      </c>
      <c r="N4217" t="s">
        <v>988</v>
      </c>
    </row>
    <row r="4218" spans="1:14" hidden="1" x14ac:dyDescent="0.3">
      <c r="A4218">
        <v>2530</v>
      </c>
      <c r="B4218" t="s">
        <v>2049</v>
      </c>
      <c r="C4218" t="s">
        <v>2670</v>
      </c>
      <c r="D4218" t="s">
        <v>1203</v>
      </c>
      <c r="E4218" t="s">
        <v>1204</v>
      </c>
      <c r="F4218">
        <v>5741</v>
      </c>
      <c r="G4218" t="s">
        <v>2672</v>
      </c>
      <c r="H4218" t="s">
        <v>2664</v>
      </c>
      <c r="N4218" t="s">
        <v>988</v>
      </c>
    </row>
    <row r="4219" spans="1:14" hidden="1" x14ac:dyDescent="0.3">
      <c r="A4219">
        <v>2530</v>
      </c>
      <c r="B4219" t="s">
        <v>2049</v>
      </c>
      <c r="C4219" t="s">
        <v>2670</v>
      </c>
      <c r="D4219" t="s">
        <v>1203</v>
      </c>
      <c r="E4219" t="s">
        <v>1204</v>
      </c>
      <c r="F4219">
        <v>5741</v>
      </c>
      <c r="G4219" t="s">
        <v>2672</v>
      </c>
      <c r="H4219" t="s">
        <v>2665</v>
      </c>
      <c r="N4219" t="s">
        <v>988</v>
      </c>
    </row>
    <row r="4220" spans="1:14" hidden="1" x14ac:dyDescent="0.3">
      <c r="A4220">
        <v>2530</v>
      </c>
      <c r="B4220" t="s">
        <v>2049</v>
      </c>
      <c r="C4220" t="s">
        <v>2670</v>
      </c>
      <c r="D4220" t="s">
        <v>1203</v>
      </c>
      <c r="E4220" t="s">
        <v>1204</v>
      </c>
      <c r="F4220">
        <v>5741</v>
      </c>
      <c r="G4220" t="s">
        <v>2676</v>
      </c>
      <c r="H4220" t="s">
        <v>2664</v>
      </c>
      <c r="I4220">
        <v>6995</v>
      </c>
      <c r="J4220">
        <v>6995</v>
      </c>
      <c r="K4220">
        <v>6995</v>
      </c>
      <c r="L4220">
        <v>6995</v>
      </c>
      <c r="M4220">
        <v>6995</v>
      </c>
      <c r="N4220" t="s">
        <v>988</v>
      </c>
    </row>
    <row r="4221" spans="1:14" hidden="1" x14ac:dyDescent="0.3">
      <c r="A4221">
        <v>2530</v>
      </c>
      <c r="B4221" t="s">
        <v>2049</v>
      </c>
      <c r="C4221" t="s">
        <v>2670</v>
      </c>
      <c r="D4221" t="s">
        <v>1203</v>
      </c>
      <c r="E4221" t="s">
        <v>1204</v>
      </c>
      <c r="F4221">
        <v>5741</v>
      </c>
      <c r="G4221" t="s">
        <v>2676</v>
      </c>
      <c r="H4221" t="s">
        <v>2665</v>
      </c>
      <c r="I4221">
        <v>2727</v>
      </c>
      <c r="J4221">
        <v>2870</v>
      </c>
      <c r="K4221">
        <v>3014</v>
      </c>
      <c r="L4221">
        <v>3157</v>
      </c>
      <c r="M4221">
        <v>3290</v>
      </c>
      <c r="N4221" t="s">
        <v>988</v>
      </c>
    </row>
    <row r="4222" spans="1:14" hidden="1" x14ac:dyDescent="0.3">
      <c r="A4222">
        <v>2530</v>
      </c>
      <c r="B4222" t="s">
        <v>2049</v>
      </c>
      <c r="C4222" t="s">
        <v>2670</v>
      </c>
      <c r="D4222" t="s">
        <v>1203</v>
      </c>
      <c r="E4222" t="s">
        <v>1204</v>
      </c>
      <c r="F4222">
        <v>5741</v>
      </c>
      <c r="G4222" t="s">
        <v>2675</v>
      </c>
      <c r="H4222" t="s">
        <v>2664</v>
      </c>
      <c r="I4222">
        <v>6995</v>
      </c>
      <c r="J4222">
        <v>6995</v>
      </c>
      <c r="K4222">
        <v>6995</v>
      </c>
      <c r="L4222">
        <v>6995</v>
      </c>
      <c r="M4222">
        <v>6995</v>
      </c>
      <c r="N4222" t="s">
        <v>988</v>
      </c>
    </row>
    <row r="4223" spans="1:14" hidden="1" x14ac:dyDescent="0.3">
      <c r="A4223">
        <v>2530</v>
      </c>
      <c r="B4223" t="s">
        <v>2049</v>
      </c>
      <c r="C4223" t="s">
        <v>2670</v>
      </c>
      <c r="D4223" t="s">
        <v>1203</v>
      </c>
      <c r="E4223" t="s">
        <v>1204</v>
      </c>
      <c r="F4223">
        <v>5741</v>
      </c>
      <c r="G4223" t="s">
        <v>2674</v>
      </c>
      <c r="H4223" t="s">
        <v>2665</v>
      </c>
      <c r="I4223">
        <v>2727</v>
      </c>
      <c r="J4223">
        <v>2870</v>
      </c>
      <c r="K4223">
        <v>3014</v>
      </c>
      <c r="L4223">
        <v>3157</v>
      </c>
      <c r="M4223">
        <v>3290</v>
      </c>
      <c r="N4223" t="s">
        <v>988</v>
      </c>
    </row>
    <row r="4224" spans="1:14" hidden="1" x14ac:dyDescent="0.3">
      <c r="A4224">
        <v>2530</v>
      </c>
      <c r="B4224" t="s">
        <v>2049</v>
      </c>
      <c r="C4224" t="s">
        <v>2670</v>
      </c>
      <c r="D4224" t="s">
        <v>1203</v>
      </c>
      <c r="E4224" t="s">
        <v>1204</v>
      </c>
      <c r="F4224">
        <v>5741</v>
      </c>
      <c r="G4224" t="s">
        <v>2674</v>
      </c>
      <c r="H4224" t="s">
        <v>2664</v>
      </c>
      <c r="I4224">
        <v>6995</v>
      </c>
      <c r="J4224">
        <v>6995</v>
      </c>
      <c r="K4224">
        <v>6995</v>
      </c>
      <c r="L4224">
        <v>6995</v>
      </c>
      <c r="M4224">
        <v>6995</v>
      </c>
      <c r="N4224" t="s">
        <v>988</v>
      </c>
    </row>
    <row r="4225" spans="1:14" hidden="1" x14ac:dyDescent="0.3">
      <c r="A4225">
        <v>2530</v>
      </c>
      <c r="B4225" t="s">
        <v>2049</v>
      </c>
      <c r="C4225" t="s">
        <v>2670</v>
      </c>
      <c r="D4225" t="s">
        <v>1203</v>
      </c>
      <c r="E4225" t="s">
        <v>1204</v>
      </c>
      <c r="F4225">
        <v>5741</v>
      </c>
      <c r="G4225" t="s">
        <v>2675</v>
      </c>
      <c r="H4225" t="s">
        <v>2665</v>
      </c>
      <c r="I4225">
        <v>2727</v>
      </c>
      <c r="J4225">
        <v>2870</v>
      </c>
      <c r="K4225">
        <v>3014</v>
      </c>
      <c r="L4225">
        <v>3157</v>
      </c>
      <c r="M4225">
        <v>3290</v>
      </c>
      <c r="N4225" t="s">
        <v>988</v>
      </c>
    </row>
    <row r="4226" spans="1:14" hidden="1" x14ac:dyDescent="0.3">
      <c r="A4226">
        <v>2536</v>
      </c>
      <c r="B4226" t="s">
        <v>2050</v>
      </c>
      <c r="C4226" t="s">
        <v>2670</v>
      </c>
      <c r="D4226" t="s">
        <v>1203</v>
      </c>
      <c r="E4226" t="s">
        <v>1204</v>
      </c>
      <c r="F4226">
        <v>5587</v>
      </c>
      <c r="G4226" t="s">
        <v>2671</v>
      </c>
      <c r="H4226" t="s">
        <v>2665</v>
      </c>
      <c r="I4226">
        <v>2978</v>
      </c>
      <c r="J4226">
        <v>2956</v>
      </c>
      <c r="K4226">
        <v>2933</v>
      </c>
      <c r="L4226">
        <v>2909</v>
      </c>
      <c r="M4226">
        <v>2884</v>
      </c>
      <c r="N4226" t="s">
        <v>988</v>
      </c>
    </row>
    <row r="4227" spans="1:14" hidden="1" x14ac:dyDescent="0.3">
      <c r="A4227">
        <v>2536</v>
      </c>
      <c r="B4227" t="s">
        <v>2050</v>
      </c>
      <c r="C4227" t="s">
        <v>2670</v>
      </c>
      <c r="D4227" t="s">
        <v>1203</v>
      </c>
      <c r="E4227" t="s">
        <v>1204</v>
      </c>
      <c r="F4227">
        <v>5587</v>
      </c>
      <c r="G4227" t="s">
        <v>2672</v>
      </c>
      <c r="H4227" t="s">
        <v>2665</v>
      </c>
      <c r="N4227" t="s">
        <v>988</v>
      </c>
    </row>
    <row r="4228" spans="1:14" hidden="1" x14ac:dyDescent="0.3">
      <c r="A4228">
        <v>2536</v>
      </c>
      <c r="B4228" t="s">
        <v>2050</v>
      </c>
      <c r="C4228" t="s">
        <v>2670</v>
      </c>
      <c r="D4228" t="s">
        <v>1203</v>
      </c>
      <c r="E4228" t="s">
        <v>1204</v>
      </c>
      <c r="F4228">
        <v>5587</v>
      </c>
      <c r="G4228" t="s">
        <v>2676</v>
      </c>
      <c r="H4228" t="s">
        <v>2664</v>
      </c>
      <c r="I4228">
        <v>11534</v>
      </c>
      <c r="J4228">
        <v>11534</v>
      </c>
      <c r="K4228">
        <v>11534</v>
      </c>
      <c r="L4228">
        <v>11534</v>
      </c>
      <c r="M4228">
        <v>11534</v>
      </c>
      <c r="N4228" t="s">
        <v>988</v>
      </c>
    </row>
    <row r="4229" spans="1:14" hidden="1" x14ac:dyDescent="0.3">
      <c r="A4229">
        <v>2536</v>
      </c>
      <c r="B4229" t="s">
        <v>2050</v>
      </c>
      <c r="C4229" t="s">
        <v>2670</v>
      </c>
      <c r="D4229" t="s">
        <v>1203</v>
      </c>
      <c r="E4229" t="s">
        <v>1204</v>
      </c>
      <c r="F4229">
        <v>5587</v>
      </c>
      <c r="G4229" t="s">
        <v>2676</v>
      </c>
      <c r="H4229" t="s">
        <v>2665</v>
      </c>
      <c r="I4229">
        <v>3081</v>
      </c>
      <c r="J4229">
        <v>3059</v>
      </c>
      <c r="K4229">
        <v>3036</v>
      </c>
      <c r="L4229">
        <v>3012</v>
      </c>
      <c r="M4229">
        <v>2988</v>
      </c>
      <c r="N4229" t="s">
        <v>988</v>
      </c>
    </row>
    <row r="4230" spans="1:14" hidden="1" x14ac:dyDescent="0.3">
      <c r="A4230">
        <v>2536</v>
      </c>
      <c r="B4230" t="s">
        <v>2050</v>
      </c>
      <c r="C4230" t="s">
        <v>2670</v>
      </c>
      <c r="D4230" t="s">
        <v>1203</v>
      </c>
      <c r="E4230" t="s">
        <v>1204</v>
      </c>
      <c r="F4230">
        <v>5587</v>
      </c>
      <c r="G4230" t="s">
        <v>2675</v>
      </c>
      <c r="H4230" t="s">
        <v>2664</v>
      </c>
      <c r="I4230">
        <v>11534</v>
      </c>
      <c r="J4230">
        <v>11534</v>
      </c>
      <c r="K4230">
        <v>11534</v>
      </c>
      <c r="L4230">
        <v>11534</v>
      </c>
      <c r="M4230">
        <v>11534</v>
      </c>
      <c r="N4230" t="s">
        <v>988</v>
      </c>
    </row>
    <row r="4231" spans="1:14" hidden="1" x14ac:dyDescent="0.3">
      <c r="A4231">
        <v>2536</v>
      </c>
      <c r="B4231" t="s">
        <v>2050</v>
      </c>
      <c r="C4231" t="s">
        <v>2670</v>
      </c>
      <c r="D4231" t="s">
        <v>1203</v>
      </c>
      <c r="E4231" t="s">
        <v>1204</v>
      </c>
      <c r="F4231">
        <v>5587</v>
      </c>
      <c r="G4231" t="s">
        <v>2675</v>
      </c>
      <c r="H4231" t="s">
        <v>2665</v>
      </c>
      <c r="I4231">
        <v>3134</v>
      </c>
      <c r="J4231">
        <v>3111</v>
      </c>
      <c r="K4231">
        <v>3088</v>
      </c>
      <c r="L4231">
        <v>3064</v>
      </c>
      <c r="M4231">
        <v>3039</v>
      </c>
      <c r="N4231" t="s">
        <v>988</v>
      </c>
    </row>
    <row r="4232" spans="1:14" hidden="1" x14ac:dyDescent="0.3">
      <c r="A4232">
        <v>2536</v>
      </c>
      <c r="B4232" t="s">
        <v>2050</v>
      </c>
      <c r="C4232" t="s">
        <v>2670</v>
      </c>
      <c r="D4232" t="s">
        <v>1203</v>
      </c>
      <c r="E4232" t="s">
        <v>1204</v>
      </c>
      <c r="F4232">
        <v>5587</v>
      </c>
      <c r="G4232" t="s">
        <v>2674</v>
      </c>
      <c r="H4232" t="s">
        <v>2664</v>
      </c>
      <c r="I4232">
        <v>11534</v>
      </c>
      <c r="J4232">
        <v>11534</v>
      </c>
      <c r="K4232">
        <v>11534</v>
      </c>
      <c r="L4232">
        <v>11534</v>
      </c>
      <c r="M4232">
        <v>11534</v>
      </c>
      <c r="N4232" t="s">
        <v>988</v>
      </c>
    </row>
    <row r="4233" spans="1:14" hidden="1" x14ac:dyDescent="0.3">
      <c r="A4233">
        <v>2536</v>
      </c>
      <c r="B4233" t="s">
        <v>2050</v>
      </c>
      <c r="C4233" t="s">
        <v>2670</v>
      </c>
      <c r="D4233" t="s">
        <v>1203</v>
      </c>
      <c r="E4233" t="s">
        <v>1204</v>
      </c>
      <c r="F4233">
        <v>5587</v>
      </c>
      <c r="G4233" t="s">
        <v>2674</v>
      </c>
      <c r="H4233" t="s">
        <v>2665</v>
      </c>
      <c r="I4233">
        <v>2987</v>
      </c>
      <c r="J4233">
        <v>2965</v>
      </c>
      <c r="K4233">
        <v>2943</v>
      </c>
      <c r="L4233">
        <v>2920</v>
      </c>
      <c r="M4233">
        <v>2896</v>
      </c>
      <c r="N4233" t="s">
        <v>988</v>
      </c>
    </row>
    <row r="4234" spans="1:14" hidden="1" x14ac:dyDescent="0.3">
      <c r="A4234">
        <v>2536</v>
      </c>
      <c r="B4234" t="s">
        <v>2050</v>
      </c>
      <c r="C4234" t="s">
        <v>2670</v>
      </c>
      <c r="D4234" t="s">
        <v>1203</v>
      </c>
      <c r="E4234" t="s">
        <v>1204</v>
      </c>
      <c r="F4234">
        <v>5587</v>
      </c>
      <c r="G4234" t="s">
        <v>2673</v>
      </c>
      <c r="H4234" t="s">
        <v>2664</v>
      </c>
      <c r="I4234">
        <v>11534</v>
      </c>
      <c r="J4234">
        <v>11534</v>
      </c>
      <c r="K4234">
        <v>11534</v>
      </c>
      <c r="L4234">
        <v>11534</v>
      </c>
      <c r="M4234">
        <v>11534</v>
      </c>
      <c r="N4234" t="s">
        <v>988</v>
      </c>
    </row>
    <row r="4235" spans="1:14" hidden="1" x14ac:dyDescent="0.3">
      <c r="A4235">
        <v>2536</v>
      </c>
      <c r="B4235" t="s">
        <v>2050</v>
      </c>
      <c r="C4235" t="s">
        <v>2670</v>
      </c>
      <c r="D4235" t="s">
        <v>1203</v>
      </c>
      <c r="E4235" t="s">
        <v>1204</v>
      </c>
      <c r="F4235">
        <v>5587</v>
      </c>
      <c r="G4235" t="s">
        <v>2673</v>
      </c>
      <c r="H4235" t="s">
        <v>2665</v>
      </c>
      <c r="I4235">
        <v>2983</v>
      </c>
      <c r="J4235">
        <v>2961</v>
      </c>
      <c r="K4235">
        <v>2939</v>
      </c>
      <c r="L4235">
        <v>2916</v>
      </c>
      <c r="M4235">
        <v>2892</v>
      </c>
      <c r="N4235" t="s">
        <v>988</v>
      </c>
    </row>
    <row r="4236" spans="1:14" hidden="1" x14ac:dyDescent="0.3">
      <c r="A4236">
        <v>2536</v>
      </c>
      <c r="B4236" t="s">
        <v>2050</v>
      </c>
      <c r="C4236" t="s">
        <v>2670</v>
      </c>
      <c r="D4236" t="s">
        <v>1203</v>
      </c>
      <c r="E4236" t="s">
        <v>1204</v>
      </c>
      <c r="F4236">
        <v>5587</v>
      </c>
      <c r="G4236" t="s">
        <v>2671</v>
      </c>
      <c r="H4236" t="s">
        <v>2664</v>
      </c>
      <c r="I4236">
        <v>11534</v>
      </c>
      <c r="J4236">
        <v>11534</v>
      </c>
      <c r="K4236">
        <v>11534</v>
      </c>
      <c r="L4236">
        <v>11534</v>
      </c>
      <c r="M4236">
        <v>11534</v>
      </c>
      <c r="N4236" t="s">
        <v>988</v>
      </c>
    </row>
    <row r="4237" spans="1:14" hidden="1" x14ac:dyDescent="0.3">
      <c r="A4237">
        <v>2536</v>
      </c>
      <c r="B4237" t="s">
        <v>2050</v>
      </c>
      <c r="C4237" t="s">
        <v>2670</v>
      </c>
      <c r="D4237" t="s">
        <v>1203</v>
      </c>
      <c r="E4237" t="s">
        <v>1204</v>
      </c>
      <c r="F4237">
        <v>5587</v>
      </c>
      <c r="G4237" t="s">
        <v>2672</v>
      </c>
      <c r="H4237" t="s">
        <v>2664</v>
      </c>
      <c r="N4237" t="s">
        <v>988</v>
      </c>
    </row>
    <row r="4238" spans="1:14" hidden="1" x14ac:dyDescent="0.3">
      <c r="A4238">
        <v>2541</v>
      </c>
      <c r="B4238" t="s">
        <v>2051</v>
      </c>
      <c r="C4238" t="s">
        <v>2670</v>
      </c>
      <c r="D4238" t="s">
        <v>159</v>
      </c>
      <c r="E4238" t="s">
        <v>159</v>
      </c>
      <c r="F4238">
        <v>6789</v>
      </c>
      <c r="G4238" t="s">
        <v>2672</v>
      </c>
      <c r="H4238" t="s">
        <v>2665</v>
      </c>
      <c r="N4238" t="s">
        <v>988</v>
      </c>
    </row>
    <row r="4239" spans="1:14" hidden="1" x14ac:dyDescent="0.3">
      <c r="A4239">
        <v>2541</v>
      </c>
      <c r="B4239" t="s">
        <v>2051</v>
      </c>
      <c r="C4239" t="s">
        <v>2670</v>
      </c>
      <c r="D4239" t="s">
        <v>159</v>
      </c>
      <c r="E4239" t="s">
        <v>159</v>
      </c>
      <c r="F4239">
        <v>6789</v>
      </c>
      <c r="G4239" t="s">
        <v>2676</v>
      </c>
      <c r="H4239" t="s">
        <v>2665</v>
      </c>
      <c r="I4239">
        <v>23800</v>
      </c>
      <c r="J4239">
        <v>24622</v>
      </c>
      <c r="K4239">
        <v>25689</v>
      </c>
      <c r="L4239">
        <v>26204</v>
      </c>
      <c r="M4239">
        <v>26603</v>
      </c>
      <c r="N4239" t="s">
        <v>988</v>
      </c>
    </row>
    <row r="4240" spans="1:14" hidden="1" x14ac:dyDescent="0.3">
      <c r="A4240">
        <v>2541</v>
      </c>
      <c r="B4240" t="s">
        <v>2051</v>
      </c>
      <c r="C4240" t="s">
        <v>2670</v>
      </c>
      <c r="D4240" t="s">
        <v>159</v>
      </c>
      <c r="E4240" t="s">
        <v>159</v>
      </c>
      <c r="F4240">
        <v>6789</v>
      </c>
      <c r="G4240" t="s">
        <v>2675</v>
      </c>
      <c r="H4240" t="s">
        <v>2664</v>
      </c>
      <c r="I4240">
        <v>22523</v>
      </c>
      <c r="J4240">
        <v>23342</v>
      </c>
      <c r="K4240">
        <v>24241</v>
      </c>
      <c r="L4240">
        <v>24703</v>
      </c>
      <c r="M4240">
        <v>25003</v>
      </c>
      <c r="N4240" t="s">
        <v>988</v>
      </c>
    </row>
    <row r="4241" spans="1:14" hidden="1" x14ac:dyDescent="0.3">
      <c r="A4241">
        <v>2541</v>
      </c>
      <c r="B4241" t="s">
        <v>2051</v>
      </c>
      <c r="C4241" t="s">
        <v>2670</v>
      </c>
      <c r="D4241" t="s">
        <v>159</v>
      </c>
      <c r="E4241" t="s">
        <v>159</v>
      </c>
      <c r="F4241">
        <v>6789</v>
      </c>
      <c r="G4241" t="s">
        <v>2675</v>
      </c>
      <c r="H4241" t="s">
        <v>2665</v>
      </c>
      <c r="I4241">
        <v>22523</v>
      </c>
      <c r="J4241">
        <v>23342</v>
      </c>
      <c r="K4241">
        <v>24241</v>
      </c>
      <c r="L4241">
        <v>24703</v>
      </c>
      <c r="M4241">
        <v>25003</v>
      </c>
      <c r="N4241" t="s">
        <v>988</v>
      </c>
    </row>
    <row r="4242" spans="1:14" hidden="1" x14ac:dyDescent="0.3">
      <c r="A4242">
        <v>2541</v>
      </c>
      <c r="B4242" t="s">
        <v>2051</v>
      </c>
      <c r="C4242" t="s">
        <v>2670</v>
      </c>
      <c r="D4242" t="s">
        <v>159</v>
      </c>
      <c r="E4242" t="s">
        <v>159</v>
      </c>
      <c r="F4242">
        <v>6789</v>
      </c>
      <c r="G4242" t="s">
        <v>2674</v>
      </c>
      <c r="H4242" t="s">
        <v>2664</v>
      </c>
      <c r="I4242">
        <v>22677</v>
      </c>
      <c r="J4242">
        <v>23542</v>
      </c>
      <c r="K4242">
        <v>24338</v>
      </c>
      <c r="L4242">
        <v>24778</v>
      </c>
      <c r="M4242">
        <v>25003</v>
      </c>
      <c r="N4242" t="s">
        <v>988</v>
      </c>
    </row>
    <row r="4243" spans="1:14" hidden="1" x14ac:dyDescent="0.3">
      <c r="A4243">
        <v>2541</v>
      </c>
      <c r="B4243" t="s">
        <v>2051</v>
      </c>
      <c r="C4243" t="s">
        <v>2670</v>
      </c>
      <c r="D4243" t="s">
        <v>159</v>
      </c>
      <c r="E4243" t="s">
        <v>159</v>
      </c>
      <c r="F4243">
        <v>6789</v>
      </c>
      <c r="G4243" t="s">
        <v>2676</v>
      </c>
      <c r="H4243" t="s">
        <v>2664</v>
      </c>
      <c r="I4243">
        <v>23800</v>
      </c>
      <c r="J4243">
        <v>24622</v>
      </c>
      <c r="K4243">
        <v>25689</v>
      </c>
      <c r="L4243">
        <v>26204</v>
      </c>
      <c r="M4243">
        <v>26603</v>
      </c>
      <c r="N4243" t="s">
        <v>988</v>
      </c>
    </row>
    <row r="4244" spans="1:14" hidden="1" x14ac:dyDescent="0.3">
      <c r="A4244">
        <v>2541</v>
      </c>
      <c r="B4244" t="s">
        <v>2051</v>
      </c>
      <c r="C4244" t="s">
        <v>2670</v>
      </c>
      <c r="D4244" t="s">
        <v>159</v>
      </c>
      <c r="E4244" t="s">
        <v>159</v>
      </c>
      <c r="F4244">
        <v>6789</v>
      </c>
      <c r="G4244" t="s">
        <v>2673</v>
      </c>
      <c r="H4244" t="s">
        <v>2664</v>
      </c>
      <c r="I4244">
        <v>22832</v>
      </c>
      <c r="J4244">
        <v>23743</v>
      </c>
      <c r="K4244">
        <v>24434</v>
      </c>
      <c r="L4244">
        <v>24853</v>
      </c>
      <c r="M4244">
        <v>25003</v>
      </c>
      <c r="N4244" t="s">
        <v>988</v>
      </c>
    </row>
    <row r="4245" spans="1:14" hidden="1" x14ac:dyDescent="0.3">
      <c r="A4245">
        <v>2541</v>
      </c>
      <c r="B4245" t="s">
        <v>2051</v>
      </c>
      <c r="C4245" t="s">
        <v>2670</v>
      </c>
      <c r="D4245" t="s">
        <v>159</v>
      </c>
      <c r="E4245" t="s">
        <v>159</v>
      </c>
      <c r="F4245">
        <v>6789</v>
      </c>
      <c r="G4245" t="s">
        <v>2673</v>
      </c>
      <c r="H4245" t="s">
        <v>2665</v>
      </c>
      <c r="I4245">
        <v>22832</v>
      </c>
      <c r="J4245">
        <v>23743</v>
      </c>
      <c r="K4245">
        <v>24434</v>
      </c>
      <c r="L4245">
        <v>24853</v>
      </c>
      <c r="M4245">
        <v>25003</v>
      </c>
      <c r="N4245" t="s">
        <v>988</v>
      </c>
    </row>
    <row r="4246" spans="1:14" hidden="1" x14ac:dyDescent="0.3">
      <c r="A4246">
        <v>2541</v>
      </c>
      <c r="B4246" t="s">
        <v>2051</v>
      </c>
      <c r="C4246" t="s">
        <v>2670</v>
      </c>
      <c r="D4246" t="s">
        <v>159</v>
      </c>
      <c r="E4246" t="s">
        <v>159</v>
      </c>
      <c r="F4246">
        <v>6789</v>
      </c>
      <c r="G4246" t="s">
        <v>2671</v>
      </c>
      <c r="H4246" t="s">
        <v>2664</v>
      </c>
      <c r="I4246">
        <v>22986</v>
      </c>
      <c r="J4246">
        <v>23943</v>
      </c>
      <c r="K4246">
        <v>24531</v>
      </c>
      <c r="L4246">
        <v>24928</v>
      </c>
      <c r="M4246">
        <v>25003</v>
      </c>
      <c r="N4246" t="s">
        <v>988</v>
      </c>
    </row>
    <row r="4247" spans="1:14" hidden="1" x14ac:dyDescent="0.3">
      <c r="A4247">
        <v>2541</v>
      </c>
      <c r="B4247" t="s">
        <v>2051</v>
      </c>
      <c r="C4247" t="s">
        <v>2670</v>
      </c>
      <c r="D4247" t="s">
        <v>159</v>
      </c>
      <c r="E4247" t="s">
        <v>159</v>
      </c>
      <c r="F4247">
        <v>6789</v>
      </c>
      <c r="G4247" t="s">
        <v>2671</v>
      </c>
      <c r="H4247" t="s">
        <v>2665</v>
      </c>
      <c r="I4247">
        <v>22986</v>
      </c>
      <c r="J4247">
        <v>23943</v>
      </c>
      <c r="K4247">
        <v>24531</v>
      </c>
      <c r="L4247">
        <v>24928</v>
      </c>
      <c r="M4247">
        <v>25003</v>
      </c>
      <c r="N4247" t="s">
        <v>988</v>
      </c>
    </row>
    <row r="4248" spans="1:14" hidden="1" x14ac:dyDescent="0.3">
      <c r="A4248">
        <v>2541</v>
      </c>
      <c r="B4248" t="s">
        <v>2051</v>
      </c>
      <c r="C4248" t="s">
        <v>2670</v>
      </c>
      <c r="D4248" t="s">
        <v>159</v>
      </c>
      <c r="E4248" t="s">
        <v>159</v>
      </c>
      <c r="F4248">
        <v>6789</v>
      </c>
      <c r="G4248" t="s">
        <v>2672</v>
      </c>
      <c r="H4248" t="s">
        <v>2664</v>
      </c>
      <c r="N4248" t="s">
        <v>988</v>
      </c>
    </row>
    <row r="4249" spans="1:14" hidden="1" x14ac:dyDescent="0.3">
      <c r="A4249">
        <v>2541</v>
      </c>
      <c r="B4249" t="s">
        <v>2051</v>
      </c>
      <c r="C4249" t="s">
        <v>2670</v>
      </c>
      <c r="D4249" t="s">
        <v>159</v>
      </c>
      <c r="E4249" t="s">
        <v>159</v>
      </c>
      <c r="F4249">
        <v>6789</v>
      </c>
      <c r="G4249" t="s">
        <v>2674</v>
      </c>
      <c r="H4249" t="s">
        <v>2665</v>
      </c>
      <c r="I4249">
        <v>22677</v>
      </c>
      <c r="J4249">
        <v>23542</v>
      </c>
      <c r="K4249">
        <v>24338</v>
      </c>
      <c r="L4249">
        <v>24778</v>
      </c>
      <c r="M4249">
        <v>25003</v>
      </c>
      <c r="N4249" t="s">
        <v>988</v>
      </c>
    </row>
    <row r="4250" spans="1:14" hidden="1" x14ac:dyDescent="0.3">
      <c r="A4250">
        <v>2597</v>
      </c>
      <c r="B4250" t="s">
        <v>2053</v>
      </c>
      <c r="C4250" t="s">
        <v>2670</v>
      </c>
      <c r="D4250" t="s">
        <v>1203</v>
      </c>
      <c r="E4250" t="s">
        <v>1204</v>
      </c>
      <c r="F4250">
        <v>5491</v>
      </c>
      <c r="G4250" t="s">
        <v>2673</v>
      </c>
      <c r="H4250" t="s">
        <v>2665</v>
      </c>
      <c r="I4250">
        <v>18620</v>
      </c>
      <c r="J4250">
        <v>19719</v>
      </c>
      <c r="K4250">
        <v>20886</v>
      </c>
      <c r="L4250">
        <v>22125</v>
      </c>
      <c r="M4250">
        <v>23439</v>
      </c>
      <c r="N4250" t="s">
        <v>988</v>
      </c>
    </row>
    <row r="4251" spans="1:14" hidden="1" x14ac:dyDescent="0.3">
      <c r="A4251">
        <v>2597</v>
      </c>
      <c r="B4251" t="s">
        <v>2053</v>
      </c>
      <c r="C4251" t="s">
        <v>2670</v>
      </c>
      <c r="D4251" t="s">
        <v>1203</v>
      </c>
      <c r="E4251" t="s">
        <v>1204</v>
      </c>
      <c r="F4251">
        <v>5491</v>
      </c>
      <c r="G4251" t="s">
        <v>2673</v>
      </c>
      <c r="H4251" t="s">
        <v>2664</v>
      </c>
      <c r="I4251">
        <v>20859</v>
      </c>
      <c r="J4251">
        <v>22939</v>
      </c>
      <c r="K4251">
        <v>24274</v>
      </c>
      <c r="L4251">
        <v>24869</v>
      </c>
      <c r="M4251">
        <v>25554</v>
      </c>
      <c r="N4251" t="s">
        <v>988</v>
      </c>
    </row>
    <row r="4252" spans="1:14" hidden="1" x14ac:dyDescent="0.3">
      <c r="A4252">
        <v>2597</v>
      </c>
      <c r="B4252" t="s">
        <v>2053</v>
      </c>
      <c r="C4252" t="s">
        <v>2670</v>
      </c>
      <c r="D4252" t="s">
        <v>1203</v>
      </c>
      <c r="E4252" t="s">
        <v>1204</v>
      </c>
      <c r="F4252">
        <v>5491</v>
      </c>
      <c r="G4252" t="s">
        <v>2674</v>
      </c>
      <c r="H4252" t="s">
        <v>2665</v>
      </c>
      <c r="I4252">
        <v>18620</v>
      </c>
      <c r="J4252">
        <v>19719</v>
      </c>
      <c r="K4252">
        <v>20886</v>
      </c>
      <c r="L4252">
        <v>22125</v>
      </c>
      <c r="M4252">
        <v>23439</v>
      </c>
      <c r="N4252" t="s">
        <v>988</v>
      </c>
    </row>
    <row r="4253" spans="1:14" hidden="1" x14ac:dyDescent="0.3">
      <c r="A4253">
        <v>2597</v>
      </c>
      <c r="B4253" t="s">
        <v>2053</v>
      </c>
      <c r="C4253" t="s">
        <v>2670</v>
      </c>
      <c r="D4253" t="s">
        <v>1203</v>
      </c>
      <c r="E4253" t="s">
        <v>1204</v>
      </c>
      <c r="F4253">
        <v>5491</v>
      </c>
      <c r="G4253" t="s">
        <v>2674</v>
      </c>
      <c r="H4253" t="s">
        <v>2664</v>
      </c>
      <c r="I4253">
        <v>20127</v>
      </c>
      <c r="J4253">
        <v>22207</v>
      </c>
      <c r="K4253">
        <v>23542</v>
      </c>
      <c r="L4253">
        <v>24404</v>
      </c>
      <c r="M4253">
        <v>25089</v>
      </c>
      <c r="N4253" t="s">
        <v>988</v>
      </c>
    </row>
    <row r="4254" spans="1:14" hidden="1" x14ac:dyDescent="0.3">
      <c r="A4254">
        <v>2597</v>
      </c>
      <c r="B4254" t="s">
        <v>2053</v>
      </c>
      <c r="C4254" t="s">
        <v>2670</v>
      </c>
      <c r="D4254" t="s">
        <v>1203</v>
      </c>
      <c r="E4254" t="s">
        <v>1204</v>
      </c>
      <c r="F4254">
        <v>5491</v>
      </c>
      <c r="G4254" t="s">
        <v>2675</v>
      </c>
      <c r="H4254" t="s">
        <v>2665</v>
      </c>
      <c r="I4254">
        <v>18620</v>
      </c>
      <c r="J4254">
        <v>19719</v>
      </c>
      <c r="K4254">
        <v>20886</v>
      </c>
      <c r="L4254">
        <v>22125</v>
      </c>
      <c r="M4254">
        <v>23439</v>
      </c>
      <c r="N4254" t="s">
        <v>988</v>
      </c>
    </row>
    <row r="4255" spans="1:14" hidden="1" x14ac:dyDescent="0.3">
      <c r="A4255">
        <v>2597</v>
      </c>
      <c r="B4255" t="s">
        <v>2053</v>
      </c>
      <c r="C4255" t="s">
        <v>2670</v>
      </c>
      <c r="D4255" t="s">
        <v>1203</v>
      </c>
      <c r="E4255" t="s">
        <v>1204</v>
      </c>
      <c r="F4255">
        <v>5491</v>
      </c>
      <c r="G4255" t="s">
        <v>2675</v>
      </c>
      <c r="H4255" t="s">
        <v>2664</v>
      </c>
      <c r="I4255">
        <v>21671</v>
      </c>
      <c r="J4255">
        <v>23751</v>
      </c>
      <c r="K4255">
        <v>25086</v>
      </c>
      <c r="L4255">
        <v>26215</v>
      </c>
      <c r="M4255">
        <v>26900</v>
      </c>
      <c r="N4255" t="s">
        <v>988</v>
      </c>
    </row>
    <row r="4256" spans="1:14" hidden="1" x14ac:dyDescent="0.3">
      <c r="A4256">
        <v>2597</v>
      </c>
      <c r="B4256" t="s">
        <v>2053</v>
      </c>
      <c r="C4256" t="s">
        <v>2670</v>
      </c>
      <c r="D4256" t="s">
        <v>1203</v>
      </c>
      <c r="E4256" t="s">
        <v>1204</v>
      </c>
      <c r="F4256">
        <v>5491</v>
      </c>
      <c r="G4256" t="s">
        <v>2676</v>
      </c>
      <c r="H4256" t="s">
        <v>2665</v>
      </c>
      <c r="I4256">
        <v>18620</v>
      </c>
      <c r="J4256">
        <v>19719</v>
      </c>
      <c r="K4256">
        <v>20886</v>
      </c>
      <c r="L4256">
        <v>22125</v>
      </c>
      <c r="M4256">
        <v>23439</v>
      </c>
      <c r="N4256" t="s">
        <v>988</v>
      </c>
    </row>
    <row r="4257" spans="1:14" hidden="1" x14ac:dyDescent="0.3">
      <c r="A4257">
        <v>2597</v>
      </c>
      <c r="B4257" t="s">
        <v>2053</v>
      </c>
      <c r="C4257" t="s">
        <v>2670</v>
      </c>
      <c r="D4257" t="s">
        <v>1203</v>
      </c>
      <c r="E4257" t="s">
        <v>1204</v>
      </c>
      <c r="F4257">
        <v>5491</v>
      </c>
      <c r="G4257" t="s">
        <v>2676</v>
      </c>
      <c r="H4257" t="s">
        <v>2664</v>
      </c>
      <c r="I4257">
        <v>23868</v>
      </c>
      <c r="J4257">
        <v>25948</v>
      </c>
      <c r="K4257">
        <v>27283</v>
      </c>
      <c r="L4257">
        <v>28679</v>
      </c>
      <c r="M4257">
        <v>29364</v>
      </c>
      <c r="N4257" t="s">
        <v>988</v>
      </c>
    </row>
    <row r="4258" spans="1:14" hidden="1" x14ac:dyDescent="0.3">
      <c r="A4258">
        <v>2597</v>
      </c>
      <c r="B4258" t="s">
        <v>2053</v>
      </c>
      <c r="C4258" t="s">
        <v>2670</v>
      </c>
      <c r="D4258" t="s">
        <v>1203</v>
      </c>
      <c r="E4258" t="s">
        <v>1204</v>
      </c>
      <c r="F4258">
        <v>5491</v>
      </c>
      <c r="G4258" t="s">
        <v>2672</v>
      </c>
      <c r="H4258" t="s">
        <v>2665</v>
      </c>
      <c r="N4258" t="s">
        <v>988</v>
      </c>
    </row>
    <row r="4259" spans="1:14" hidden="1" x14ac:dyDescent="0.3">
      <c r="A4259">
        <v>2597</v>
      </c>
      <c r="B4259" t="s">
        <v>2053</v>
      </c>
      <c r="C4259" t="s">
        <v>2670</v>
      </c>
      <c r="D4259" t="s">
        <v>1203</v>
      </c>
      <c r="E4259" t="s">
        <v>1204</v>
      </c>
      <c r="F4259">
        <v>5491</v>
      </c>
      <c r="G4259" t="s">
        <v>2672</v>
      </c>
      <c r="H4259" t="s">
        <v>2664</v>
      </c>
      <c r="N4259" t="s">
        <v>988</v>
      </c>
    </row>
    <row r="4260" spans="1:14" hidden="1" x14ac:dyDescent="0.3">
      <c r="A4260">
        <v>2597</v>
      </c>
      <c r="B4260" t="s">
        <v>2053</v>
      </c>
      <c r="C4260" t="s">
        <v>2670</v>
      </c>
      <c r="D4260" t="s">
        <v>1203</v>
      </c>
      <c r="E4260" t="s">
        <v>1204</v>
      </c>
      <c r="F4260">
        <v>5491</v>
      </c>
      <c r="G4260" t="s">
        <v>2671</v>
      </c>
      <c r="H4260" t="s">
        <v>2665</v>
      </c>
      <c r="I4260">
        <v>18620</v>
      </c>
      <c r="J4260">
        <v>19719</v>
      </c>
      <c r="K4260">
        <v>20886</v>
      </c>
      <c r="L4260">
        <v>22125</v>
      </c>
      <c r="M4260">
        <v>23439</v>
      </c>
      <c r="N4260" t="s">
        <v>988</v>
      </c>
    </row>
    <row r="4261" spans="1:14" hidden="1" x14ac:dyDescent="0.3">
      <c r="A4261">
        <v>2597</v>
      </c>
      <c r="B4261" t="s">
        <v>2053</v>
      </c>
      <c r="C4261" t="s">
        <v>2670</v>
      </c>
      <c r="D4261" t="s">
        <v>1203</v>
      </c>
      <c r="E4261" t="s">
        <v>1204</v>
      </c>
      <c r="F4261">
        <v>5491</v>
      </c>
      <c r="G4261" t="s">
        <v>2671</v>
      </c>
      <c r="H4261" t="s">
        <v>2664</v>
      </c>
      <c r="I4261">
        <v>23107</v>
      </c>
      <c r="J4261">
        <v>25187</v>
      </c>
      <c r="K4261">
        <v>26455</v>
      </c>
      <c r="L4261">
        <v>26850</v>
      </c>
      <c r="M4261">
        <v>27535</v>
      </c>
      <c r="N4261" t="s">
        <v>988</v>
      </c>
    </row>
    <row r="4262" spans="1:14" hidden="1" x14ac:dyDescent="0.3">
      <c r="A4262">
        <v>2602</v>
      </c>
      <c r="B4262" t="s">
        <v>2054</v>
      </c>
      <c r="C4262" t="s">
        <v>2670</v>
      </c>
      <c r="D4262" t="s">
        <v>1203</v>
      </c>
      <c r="E4262" t="s">
        <v>1204</v>
      </c>
      <c r="F4262">
        <v>5701</v>
      </c>
      <c r="G4262" t="s">
        <v>2672</v>
      </c>
      <c r="H4262" t="s">
        <v>2665</v>
      </c>
      <c r="N4262" t="s">
        <v>988</v>
      </c>
    </row>
    <row r="4263" spans="1:14" hidden="1" x14ac:dyDescent="0.3">
      <c r="A4263">
        <v>2602</v>
      </c>
      <c r="B4263" t="s">
        <v>2054</v>
      </c>
      <c r="C4263" t="s">
        <v>2670</v>
      </c>
      <c r="D4263" t="s">
        <v>1203</v>
      </c>
      <c r="E4263" t="s">
        <v>1204</v>
      </c>
      <c r="F4263">
        <v>5701</v>
      </c>
      <c r="G4263" t="s">
        <v>2672</v>
      </c>
      <c r="H4263" t="s">
        <v>2664</v>
      </c>
      <c r="N4263" t="s">
        <v>988</v>
      </c>
    </row>
    <row r="4264" spans="1:14" hidden="1" x14ac:dyDescent="0.3">
      <c r="A4264">
        <v>2602</v>
      </c>
      <c r="B4264" t="s">
        <v>2054</v>
      </c>
      <c r="C4264" t="s">
        <v>2670</v>
      </c>
      <c r="D4264" t="s">
        <v>1203</v>
      </c>
      <c r="E4264" t="s">
        <v>1204</v>
      </c>
      <c r="F4264">
        <v>5701</v>
      </c>
      <c r="G4264" t="s">
        <v>2671</v>
      </c>
      <c r="H4264" t="s">
        <v>2665</v>
      </c>
      <c r="I4264">
        <v>22807.974501199998</v>
      </c>
      <c r="J4264">
        <v>23627.367557149999</v>
      </c>
      <c r="K4264">
        <v>24474.38060375</v>
      </c>
      <c r="L4264">
        <v>27082.935276249998</v>
      </c>
      <c r="M4264">
        <v>29522.701117000001</v>
      </c>
      <c r="N4264" t="s">
        <v>988</v>
      </c>
    </row>
    <row r="4265" spans="1:14" hidden="1" x14ac:dyDescent="0.3">
      <c r="A4265">
        <v>2602</v>
      </c>
      <c r="B4265" t="s">
        <v>2054</v>
      </c>
      <c r="C4265" t="s">
        <v>2670</v>
      </c>
      <c r="D4265" t="s">
        <v>1203</v>
      </c>
      <c r="E4265" t="s">
        <v>1204</v>
      </c>
      <c r="F4265">
        <v>5701</v>
      </c>
      <c r="G4265" t="s">
        <v>2671</v>
      </c>
      <c r="H4265" t="s">
        <v>2664</v>
      </c>
      <c r="I4265">
        <v>22807.974501199998</v>
      </c>
      <c r="J4265">
        <v>23627.367557149999</v>
      </c>
      <c r="K4265">
        <v>24474.38060375</v>
      </c>
      <c r="L4265">
        <v>27082.935276249998</v>
      </c>
      <c r="M4265">
        <v>29522.701117000001</v>
      </c>
      <c r="N4265" t="s">
        <v>988</v>
      </c>
    </row>
    <row r="4266" spans="1:14" hidden="1" x14ac:dyDescent="0.3">
      <c r="A4266">
        <v>2602</v>
      </c>
      <c r="B4266" t="s">
        <v>2054</v>
      </c>
      <c r="C4266" t="s">
        <v>2670</v>
      </c>
      <c r="D4266" t="s">
        <v>1203</v>
      </c>
      <c r="E4266" t="s">
        <v>1204</v>
      </c>
      <c r="F4266">
        <v>5701</v>
      </c>
      <c r="G4266" t="s">
        <v>2673</v>
      </c>
      <c r="H4266" t="s">
        <v>2665</v>
      </c>
      <c r="I4266">
        <v>22807.974501199998</v>
      </c>
      <c r="J4266">
        <v>23627.367557149999</v>
      </c>
      <c r="K4266">
        <v>24474.38060375</v>
      </c>
      <c r="L4266">
        <v>27082.935276249998</v>
      </c>
      <c r="M4266">
        <v>29522.701117000001</v>
      </c>
      <c r="N4266" t="s">
        <v>988</v>
      </c>
    </row>
    <row r="4267" spans="1:14" hidden="1" x14ac:dyDescent="0.3">
      <c r="A4267">
        <v>2602</v>
      </c>
      <c r="B4267" t="s">
        <v>2054</v>
      </c>
      <c r="C4267" t="s">
        <v>2670</v>
      </c>
      <c r="D4267" t="s">
        <v>1203</v>
      </c>
      <c r="E4267" t="s">
        <v>1204</v>
      </c>
      <c r="F4267">
        <v>5701</v>
      </c>
      <c r="G4267" t="s">
        <v>2676</v>
      </c>
      <c r="H4267" t="s">
        <v>2664</v>
      </c>
      <c r="I4267">
        <v>22390.605753600001</v>
      </c>
      <c r="J4267">
        <v>23194.654370299999</v>
      </c>
      <c r="K4267">
        <v>24023.254089800001</v>
      </c>
      <c r="L4267">
        <v>26585.77544455</v>
      </c>
      <c r="M4267">
        <v>28982.576855399999</v>
      </c>
      <c r="N4267" t="s">
        <v>988</v>
      </c>
    </row>
    <row r="4268" spans="1:14" hidden="1" x14ac:dyDescent="0.3">
      <c r="A4268">
        <v>2602</v>
      </c>
      <c r="B4268" t="s">
        <v>2054</v>
      </c>
      <c r="C4268" t="s">
        <v>2670</v>
      </c>
      <c r="D4268" t="s">
        <v>1203</v>
      </c>
      <c r="E4268" t="s">
        <v>1204</v>
      </c>
      <c r="F4268">
        <v>5701</v>
      </c>
      <c r="G4268" t="s">
        <v>2674</v>
      </c>
      <c r="H4268" t="s">
        <v>2665</v>
      </c>
      <c r="I4268">
        <v>22599.2901274</v>
      </c>
      <c r="J4268">
        <v>23409.476519799999</v>
      </c>
      <c r="K4268">
        <v>24247.282902849998</v>
      </c>
      <c r="L4268">
        <v>26834.355360400001</v>
      </c>
      <c r="M4268">
        <v>29252.6389862</v>
      </c>
      <c r="N4268" t="s">
        <v>988</v>
      </c>
    </row>
    <row r="4269" spans="1:14" hidden="1" x14ac:dyDescent="0.3">
      <c r="A4269">
        <v>2602</v>
      </c>
      <c r="B4269" t="s">
        <v>2054</v>
      </c>
      <c r="C4269" t="s">
        <v>2670</v>
      </c>
      <c r="D4269" t="s">
        <v>1203</v>
      </c>
      <c r="E4269" t="s">
        <v>1204</v>
      </c>
      <c r="F4269">
        <v>5701</v>
      </c>
      <c r="G4269" t="s">
        <v>2674</v>
      </c>
      <c r="H4269" t="s">
        <v>2664</v>
      </c>
      <c r="I4269">
        <v>22599.2901274</v>
      </c>
      <c r="J4269">
        <v>23409.476519799999</v>
      </c>
      <c r="K4269">
        <v>24247.282902849998</v>
      </c>
      <c r="L4269">
        <v>26834.355360400001</v>
      </c>
      <c r="M4269">
        <v>29252.6389862</v>
      </c>
      <c r="N4269" t="s">
        <v>988</v>
      </c>
    </row>
    <row r="4270" spans="1:14" hidden="1" x14ac:dyDescent="0.3">
      <c r="A4270">
        <v>2602</v>
      </c>
      <c r="B4270" t="s">
        <v>2054</v>
      </c>
      <c r="C4270" t="s">
        <v>2670</v>
      </c>
      <c r="D4270" t="s">
        <v>1203</v>
      </c>
      <c r="E4270" t="s">
        <v>1204</v>
      </c>
      <c r="F4270">
        <v>5701</v>
      </c>
      <c r="G4270" t="s">
        <v>2675</v>
      </c>
      <c r="H4270" t="s">
        <v>2665</v>
      </c>
      <c r="I4270">
        <v>22599.2901274</v>
      </c>
      <c r="J4270">
        <v>23409.476519799999</v>
      </c>
      <c r="K4270">
        <v>24247.282902849998</v>
      </c>
      <c r="L4270">
        <v>26834.355360400001</v>
      </c>
      <c r="M4270">
        <v>29252.6389862</v>
      </c>
      <c r="N4270" t="s">
        <v>988</v>
      </c>
    </row>
    <row r="4271" spans="1:14" hidden="1" x14ac:dyDescent="0.3">
      <c r="A4271">
        <v>2602</v>
      </c>
      <c r="B4271" t="s">
        <v>2054</v>
      </c>
      <c r="C4271" t="s">
        <v>2670</v>
      </c>
      <c r="D4271" t="s">
        <v>1203</v>
      </c>
      <c r="E4271" t="s">
        <v>1204</v>
      </c>
      <c r="F4271">
        <v>5701</v>
      </c>
      <c r="G4271" t="s">
        <v>2675</v>
      </c>
      <c r="H4271" t="s">
        <v>2664</v>
      </c>
      <c r="I4271">
        <v>22599.2901274</v>
      </c>
      <c r="J4271">
        <v>23409.476519799999</v>
      </c>
      <c r="K4271">
        <v>24247.282902849998</v>
      </c>
      <c r="L4271">
        <v>26834.355360400001</v>
      </c>
      <c r="M4271">
        <v>29252.6389862</v>
      </c>
      <c r="N4271" t="s">
        <v>988</v>
      </c>
    </row>
    <row r="4272" spans="1:14" hidden="1" x14ac:dyDescent="0.3">
      <c r="A4272">
        <v>2602</v>
      </c>
      <c r="B4272" t="s">
        <v>2054</v>
      </c>
      <c r="C4272" t="s">
        <v>2670</v>
      </c>
      <c r="D4272" t="s">
        <v>1203</v>
      </c>
      <c r="E4272" t="s">
        <v>1204</v>
      </c>
      <c r="F4272">
        <v>5701</v>
      </c>
      <c r="G4272" t="s">
        <v>2676</v>
      </c>
      <c r="H4272" t="s">
        <v>2665</v>
      </c>
      <c r="I4272">
        <v>22390.605753600001</v>
      </c>
      <c r="J4272">
        <v>23194.654370299999</v>
      </c>
      <c r="K4272">
        <v>24023.254089800001</v>
      </c>
      <c r="L4272">
        <v>26585.77544455</v>
      </c>
      <c r="M4272">
        <v>28982.576855399999</v>
      </c>
      <c r="N4272" t="s">
        <v>988</v>
      </c>
    </row>
    <row r="4273" spans="1:14" hidden="1" x14ac:dyDescent="0.3">
      <c r="A4273">
        <v>2602</v>
      </c>
      <c r="B4273" t="s">
        <v>2054</v>
      </c>
      <c r="C4273" t="s">
        <v>2670</v>
      </c>
      <c r="D4273" t="s">
        <v>1203</v>
      </c>
      <c r="E4273" t="s">
        <v>1204</v>
      </c>
      <c r="F4273">
        <v>5701</v>
      </c>
      <c r="G4273" t="s">
        <v>2673</v>
      </c>
      <c r="H4273" t="s">
        <v>2664</v>
      </c>
      <c r="I4273">
        <v>22807.974501199998</v>
      </c>
      <c r="J4273">
        <v>23627.367557149999</v>
      </c>
      <c r="K4273">
        <v>24474.38060375</v>
      </c>
      <c r="L4273">
        <v>27082.935276249998</v>
      </c>
      <c r="M4273">
        <v>29522.701117000001</v>
      </c>
      <c r="N4273" t="s">
        <v>988</v>
      </c>
    </row>
    <row r="4274" spans="1:14" hidden="1" x14ac:dyDescent="0.3">
      <c r="A4274">
        <v>2603</v>
      </c>
      <c r="B4274" t="s">
        <v>2058</v>
      </c>
      <c r="C4274" t="s">
        <v>2670</v>
      </c>
      <c r="D4274" t="s">
        <v>1203</v>
      </c>
      <c r="E4274" t="s">
        <v>1204</v>
      </c>
      <c r="F4274">
        <v>6625</v>
      </c>
      <c r="G4274" t="s">
        <v>2673</v>
      </c>
      <c r="H4274" t="s">
        <v>2665</v>
      </c>
      <c r="I4274">
        <v>29563</v>
      </c>
      <c r="J4274">
        <v>30657</v>
      </c>
      <c r="K4274">
        <v>31743</v>
      </c>
      <c r="L4274">
        <v>33082</v>
      </c>
      <c r="M4274">
        <v>33083</v>
      </c>
      <c r="N4274" t="s">
        <v>988</v>
      </c>
    </row>
    <row r="4275" spans="1:14" hidden="1" x14ac:dyDescent="0.3">
      <c r="A4275">
        <v>2603</v>
      </c>
      <c r="B4275" t="s">
        <v>2058</v>
      </c>
      <c r="C4275" t="s">
        <v>2670</v>
      </c>
      <c r="D4275" t="s">
        <v>1203</v>
      </c>
      <c r="E4275" t="s">
        <v>1204</v>
      </c>
      <c r="F4275">
        <v>6625</v>
      </c>
      <c r="G4275" t="s">
        <v>2673</v>
      </c>
      <c r="H4275" t="s">
        <v>2664</v>
      </c>
      <c r="I4275">
        <v>31769</v>
      </c>
      <c r="J4275">
        <v>31772</v>
      </c>
      <c r="K4275">
        <v>31774</v>
      </c>
      <c r="L4275">
        <v>33277</v>
      </c>
      <c r="M4275">
        <v>33279</v>
      </c>
      <c r="N4275" t="s">
        <v>988</v>
      </c>
    </row>
    <row r="4276" spans="1:14" hidden="1" x14ac:dyDescent="0.3">
      <c r="A4276">
        <v>2603</v>
      </c>
      <c r="B4276" t="s">
        <v>2058</v>
      </c>
      <c r="C4276" t="s">
        <v>2670</v>
      </c>
      <c r="D4276" t="s">
        <v>1203</v>
      </c>
      <c r="E4276" t="s">
        <v>1204</v>
      </c>
      <c r="F4276">
        <v>6625</v>
      </c>
      <c r="G4276" t="s">
        <v>2674</v>
      </c>
      <c r="H4276" t="s">
        <v>2665</v>
      </c>
      <c r="I4276">
        <v>29413</v>
      </c>
      <c r="J4276">
        <v>30507</v>
      </c>
      <c r="K4276">
        <v>31643</v>
      </c>
      <c r="L4276">
        <v>33081</v>
      </c>
      <c r="M4276">
        <v>33083</v>
      </c>
      <c r="N4276" t="s">
        <v>988</v>
      </c>
    </row>
    <row r="4277" spans="1:14" hidden="1" x14ac:dyDescent="0.3">
      <c r="A4277">
        <v>2603</v>
      </c>
      <c r="B4277" t="s">
        <v>2058</v>
      </c>
      <c r="C4277" t="s">
        <v>2670</v>
      </c>
      <c r="D4277" t="s">
        <v>1203</v>
      </c>
      <c r="E4277" t="s">
        <v>1204</v>
      </c>
      <c r="F4277">
        <v>6625</v>
      </c>
      <c r="G4277" t="s">
        <v>2674</v>
      </c>
      <c r="H4277" t="s">
        <v>2664</v>
      </c>
      <c r="I4277">
        <v>31667</v>
      </c>
      <c r="J4277">
        <v>31670</v>
      </c>
      <c r="K4277">
        <v>31672</v>
      </c>
      <c r="L4277">
        <v>33175</v>
      </c>
      <c r="M4277">
        <v>33177</v>
      </c>
      <c r="N4277" t="s">
        <v>988</v>
      </c>
    </row>
    <row r="4278" spans="1:14" hidden="1" x14ac:dyDescent="0.3">
      <c r="A4278">
        <v>2603</v>
      </c>
      <c r="B4278" t="s">
        <v>2058</v>
      </c>
      <c r="C4278" t="s">
        <v>2670</v>
      </c>
      <c r="D4278" t="s">
        <v>1203</v>
      </c>
      <c r="E4278" t="s">
        <v>1204</v>
      </c>
      <c r="F4278">
        <v>6625</v>
      </c>
      <c r="G4278" t="s">
        <v>2675</v>
      </c>
      <c r="H4278" t="s">
        <v>2665</v>
      </c>
      <c r="I4278">
        <v>29263</v>
      </c>
      <c r="J4278">
        <v>30357</v>
      </c>
      <c r="K4278">
        <v>31543</v>
      </c>
      <c r="L4278">
        <v>33080</v>
      </c>
      <c r="M4278">
        <v>33083</v>
      </c>
      <c r="N4278" t="s">
        <v>988</v>
      </c>
    </row>
    <row r="4279" spans="1:14" hidden="1" x14ac:dyDescent="0.3">
      <c r="A4279">
        <v>2603</v>
      </c>
      <c r="B4279" t="s">
        <v>2058</v>
      </c>
      <c r="C4279" t="s">
        <v>2670</v>
      </c>
      <c r="D4279" t="s">
        <v>1203</v>
      </c>
      <c r="E4279" t="s">
        <v>1204</v>
      </c>
      <c r="F4279">
        <v>6625</v>
      </c>
      <c r="G4279" t="s">
        <v>2675</v>
      </c>
      <c r="H4279" t="s">
        <v>2664</v>
      </c>
      <c r="I4279">
        <v>32592</v>
      </c>
      <c r="J4279">
        <v>32595</v>
      </c>
      <c r="K4279">
        <v>32597</v>
      </c>
      <c r="L4279">
        <v>34100</v>
      </c>
      <c r="M4279">
        <v>43102</v>
      </c>
      <c r="N4279" t="s">
        <v>988</v>
      </c>
    </row>
    <row r="4280" spans="1:14" hidden="1" x14ac:dyDescent="0.3">
      <c r="A4280">
        <v>2603</v>
      </c>
      <c r="B4280" t="s">
        <v>2058</v>
      </c>
      <c r="C4280" t="s">
        <v>2670</v>
      </c>
      <c r="D4280" t="s">
        <v>1203</v>
      </c>
      <c r="E4280" t="s">
        <v>1204</v>
      </c>
      <c r="F4280">
        <v>6625</v>
      </c>
      <c r="G4280" t="s">
        <v>2676</v>
      </c>
      <c r="H4280" t="s">
        <v>2665</v>
      </c>
      <c r="I4280">
        <v>29113</v>
      </c>
      <c r="J4280">
        <v>30207</v>
      </c>
      <c r="K4280">
        <v>31443</v>
      </c>
      <c r="L4280">
        <v>33079</v>
      </c>
      <c r="M4280">
        <v>33083</v>
      </c>
      <c r="N4280" t="s">
        <v>988</v>
      </c>
    </row>
    <row r="4281" spans="1:14" hidden="1" x14ac:dyDescent="0.3">
      <c r="A4281">
        <v>2603</v>
      </c>
      <c r="B4281" t="s">
        <v>2058</v>
      </c>
      <c r="C4281" t="s">
        <v>2670</v>
      </c>
      <c r="D4281" t="s">
        <v>1203</v>
      </c>
      <c r="E4281" t="s">
        <v>1204</v>
      </c>
      <c r="F4281">
        <v>6625</v>
      </c>
      <c r="G4281" t="s">
        <v>2676</v>
      </c>
      <c r="H4281" t="s">
        <v>2664</v>
      </c>
      <c r="I4281">
        <v>33526</v>
      </c>
      <c r="J4281">
        <v>33529</v>
      </c>
      <c r="K4281">
        <v>33531</v>
      </c>
      <c r="L4281">
        <v>35034</v>
      </c>
      <c r="M4281">
        <v>35036</v>
      </c>
      <c r="N4281" t="s">
        <v>988</v>
      </c>
    </row>
    <row r="4282" spans="1:14" hidden="1" x14ac:dyDescent="0.3">
      <c r="A4282">
        <v>2603</v>
      </c>
      <c r="B4282" t="s">
        <v>2058</v>
      </c>
      <c r="C4282" t="s">
        <v>2670</v>
      </c>
      <c r="D4282" t="s">
        <v>1203</v>
      </c>
      <c r="E4282" t="s">
        <v>1204</v>
      </c>
      <c r="F4282">
        <v>6625</v>
      </c>
      <c r="G4282" t="s">
        <v>2672</v>
      </c>
      <c r="H4282" t="s">
        <v>2665</v>
      </c>
      <c r="N4282" t="s">
        <v>988</v>
      </c>
    </row>
    <row r="4283" spans="1:14" hidden="1" x14ac:dyDescent="0.3">
      <c r="A4283">
        <v>2603</v>
      </c>
      <c r="B4283" t="s">
        <v>2058</v>
      </c>
      <c r="C4283" t="s">
        <v>2670</v>
      </c>
      <c r="D4283" t="s">
        <v>1203</v>
      </c>
      <c r="E4283" t="s">
        <v>1204</v>
      </c>
      <c r="F4283">
        <v>6625</v>
      </c>
      <c r="G4283" t="s">
        <v>2672</v>
      </c>
      <c r="H4283" t="s">
        <v>2664</v>
      </c>
      <c r="N4283" t="s">
        <v>988</v>
      </c>
    </row>
    <row r="4284" spans="1:14" hidden="1" x14ac:dyDescent="0.3">
      <c r="A4284">
        <v>2603</v>
      </c>
      <c r="B4284" t="s">
        <v>2058</v>
      </c>
      <c r="C4284" t="s">
        <v>2670</v>
      </c>
      <c r="D4284" t="s">
        <v>1203</v>
      </c>
      <c r="E4284" t="s">
        <v>1204</v>
      </c>
      <c r="F4284">
        <v>6625</v>
      </c>
      <c r="G4284" t="s">
        <v>2671</v>
      </c>
      <c r="H4284" t="s">
        <v>2665</v>
      </c>
      <c r="I4284">
        <v>29713</v>
      </c>
      <c r="J4284">
        <v>30807</v>
      </c>
      <c r="K4284">
        <v>31843</v>
      </c>
      <c r="L4284">
        <v>33083</v>
      </c>
      <c r="M4284">
        <v>33083</v>
      </c>
      <c r="N4284" t="s">
        <v>988</v>
      </c>
    </row>
    <row r="4285" spans="1:14" hidden="1" x14ac:dyDescent="0.3">
      <c r="A4285">
        <v>2603</v>
      </c>
      <c r="B4285" t="s">
        <v>2058</v>
      </c>
      <c r="C4285" t="s">
        <v>2670</v>
      </c>
      <c r="D4285" t="s">
        <v>1203</v>
      </c>
      <c r="E4285" t="s">
        <v>1204</v>
      </c>
      <c r="F4285">
        <v>6625</v>
      </c>
      <c r="G4285" t="s">
        <v>2671</v>
      </c>
      <c r="H4285" t="s">
        <v>2664</v>
      </c>
      <c r="I4285">
        <v>31859</v>
      </c>
      <c r="J4285">
        <v>31862</v>
      </c>
      <c r="K4285">
        <v>31864</v>
      </c>
      <c r="L4285">
        <v>33367</v>
      </c>
      <c r="M4285">
        <v>33369</v>
      </c>
      <c r="N4285" t="s">
        <v>988</v>
      </c>
    </row>
    <row r="4286" spans="1:14" hidden="1" x14ac:dyDescent="0.3">
      <c r="A4286">
        <v>2604</v>
      </c>
      <c r="B4286" t="s">
        <v>2063</v>
      </c>
      <c r="C4286" t="s">
        <v>2670</v>
      </c>
      <c r="D4286" t="s">
        <v>1203</v>
      </c>
      <c r="E4286" t="s">
        <v>1204</v>
      </c>
      <c r="F4286">
        <v>5652</v>
      </c>
      <c r="G4286" t="s">
        <v>2675</v>
      </c>
      <c r="H4286" t="s">
        <v>2664</v>
      </c>
      <c r="I4286">
        <v>22427</v>
      </c>
      <c r="J4286">
        <v>23164</v>
      </c>
      <c r="K4286">
        <v>24372</v>
      </c>
      <c r="L4286">
        <v>25421</v>
      </c>
      <c r="M4286">
        <v>26767</v>
      </c>
      <c r="N4286" t="s">
        <v>988</v>
      </c>
    </row>
    <row r="4287" spans="1:14" hidden="1" x14ac:dyDescent="0.3">
      <c r="A4287">
        <v>2604</v>
      </c>
      <c r="B4287" t="s">
        <v>2063</v>
      </c>
      <c r="C4287" t="s">
        <v>2670</v>
      </c>
      <c r="D4287" t="s">
        <v>1203</v>
      </c>
      <c r="E4287" t="s">
        <v>1204</v>
      </c>
      <c r="F4287">
        <v>5652</v>
      </c>
      <c r="G4287" t="s">
        <v>2675</v>
      </c>
      <c r="H4287" t="s">
        <v>2665</v>
      </c>
      <c r="I4287">
        <v>22427</v>
      </c>
      <c r="J4287">
        <v>23164</v>
      </c>
      <c r="K4287">
        <v>24372</v>
      </c>
      <c r="L4287">
        <v>25421</v>
      </c>
      <c r="M4287">
        <v>26767</v>
      </c>
      <c r="N4287" t="s">
        <v>988</v>
      </c>
    </row>
    <row r="4288" spans="1:14" hidden="1" x14ac:dyDescent="0.3">
      <c r="A4288">
        <v>2604</v>
      </c>
      <c r="B4288" t="s">
        <v>2063</v>
      </c>
      <c r="C4288" t="s">
        <v>2670</v>
      </c>
      <c r="D4288" t="s">
        <v>1203</v>
      </c>
      <c r="E4288" t="s">
        <v>1204</v>
      </c>
      <c r="F4288">
        <v>5652</v>
      </c>
      <c r="G4288" t="s">
        <v>2674</v>
      </c>
      <c r="H4288" t="s">
        <v>2664</v>
      </c>
      <c r="I4288">
        <v>22651</v>
      </c>
      <c r="J4288">
        <v>23395</v>
      </c>
      <c r="K4288">
        <v>24616</v>
      </c>
      <c r="L4288">
        <v>25676</v>
      </c>
      <c r="M4288">
        <v>27035</v>
      </c>
      <c r="N4288" t="s">
        <v>988</v>
      </c>
    </row>
    <row r="4289" spans="1:14" hidden="1" x14ac:dyDescent="0.3">
      <c r="A4289">
        <v>2604</v>
      </c>
      <c r="B4289" t="s">
        <v>2063</v>
      </c>
      <c r="C4289" t="s">
        <v>2670</v>
      </c>
      <c r="D4289" t="s">
        <v>1203</v>
      </c>
      <c r="E4289" t="s">
        <v>1204</v>
      </c>
      <c r="F4289">
        <v>5652</v>
      </c>
      <c r="G4289" t="s">
        <v>2674</v>
      </c>
      <c r="H4289" t="s">
        <v>2665</v>
      </c>
      <c r="I4289">
        <v>22651</v>
      </c>
      <c r="J4289">
        <v>23395</v>
      </c>
      <c r="K4289">
        <v>24616</v>
      </c>
      <c r="L4289">
        <v>25676</v>
      </c>
      <c r="M4289">
        <v>27035</v>
      </c>
      <c r="N4289" t="s">
        <v>988</v>
      </c>
    </row>
    <row r="4290" spans="1:14" hidden="1" x14ac:dyDescent="0.3">
      <c r="A4290">
        <v>2604</v>
      </c>
      <c r="B4290" t="s">
        <v>2063</v>
      </c>
      <c r="C4290" t="s">
        <v>2670</v>
      </c>
      <c r="D4290" t="s">
        <v>1203</v>
      </c>
      <c r="E4290" t="s">
        <v>1204</v>
      </c>
      <c r="F4290">
        <v>5652</v>
      </c>
      <c r="G4290" t="s">
        <v>2673</v>
      </c>
      <c r="H4290" t="s">
        <v>2664</v>
      </c>
      <c r="I4290">
        <v>22878</v>
      </c>
      <c r="J4290">
        <v>23629</v>
      </c>
      <c r="K4290">
        <v>24862</v>
      </c>
      <c r="L4290">
        <v>25932</v>
      </c>
      <c r="M4290">
        <v>27305</v>
      </c>
      <c r="N4290" t="s">
        <v>988</v>
      </c>
    </row>
    <row r="4291" spans="1:14" hidden="1" x14ac:dyDescent="0.3">
      <c r="A4291">
        <v>2604</v>
      </c>
      <c r="B4291" t="s">
        <v>2063</v>
      </c>
      <c r="C4291" t="s">
        <v>2670</v>
      </c>
      <c r="D4291" t="s">
        <v>1203</v>
      </c>
      <c r="E4291" t="s">
        <v>1204</v>
      </c>
      <c r="F4291">
        <v>5652</v>
      </c>
      <c r="G4291" t="s">
        <v>2676</v>
      </c>
      <c r="H4291" t="s">
        <v>2665</v>
      </c>
      <c r="I4291">
        <v>22205</v>
      </c>
      <c r="J4291">
        <v>22934</v>
      </c>
      <c r="K4291">
        <v>24131</v>
      </c>
      <c r="L4291">
        <v>25170</v>
      </c>
      <c r="M4291">
        <v>26502</v>
      </c>
      <c r="N4291" t="s">
        <v>988</v>
      </c>
    </row>
    <row r="4292" spans="1:14" hidden="1" x14ac:dyDescent="0.3">
      <c r="A4292">
        <v>2604</v>
      </c>
      <c r="B4292" t="s">
        <v>2063</v>
      </c>
      <c r="C4292" t="s">
        <v>2670</v>
      </c>
      <c r="D4292" t="s">
        <v>1203</v>
      </c>
      <c r="E4292" t="s">
        <v>1204</v>
      </c>
      <c r="F4292">
        <v>5652</v>
      </c>
      <c r="G4292" t="s">
        <v>2671</v>
      </c>
      <c r="H4292" t="s">
        <v>2664</v>
      </c>
      <c r="I4292">
        <v>23107</v>
      </c>
      <c r="J4292">
        <v>23865</v>
      </c>
      <c r="K4292">
        <v>25110</v>
      </c>
      <c r="L4292">
        <v>26192</v>
      </c>
      <c r="M4292">
        <v>27758</v>
      </c>
      <c r="N4292" t="s">
        <v>988</v>
      </c>
    </row>
    <row r="4293" spans="1:14" hidden="1" x14ac:dyDescent="0.3">
      <c r="A4293">
        <v>2604</v>
      </c>
      <c r="B4293" t="s">
        <v>2063</v>
      </c>
      <c r="C4293" t="s">
        <v>2670</v>
      </c>
      <c r="D4293" t="s">
        <v>1203</v>
      </c>
      <c r="E4293" t="s">
        <v>1204</v>
      </c>
      <c r="F4293">
        <v>5652</v>
      </c>
      <c r="G4293" t="s">
        <v>2671</v>
      </c>
      <c r="H4293" t="s">
        <v>2665</v>
      </c>
      <c r="I4293">
        <v>23107</v>
      </c>
      <c r="J4293">
        <v>23865</v>
      </c>
      <c r="K4293">
        <v>25110</v>
      </c>
      <c r="L4293">
        <v>26192</v>
      </c>
      <c r="M4293">
        <v>27758</v>
      </c>
      <c r="N4293" t="s">
        <v>988</v>
      </c>
    </row>
    <row r="4294" spans="1:14" hidden="1" x14ac:dyDescent="0.3">
      <c r="A4294">
        <v>2604</v>
      </c>
      <c r="B4294" t="s">
        <v>2063</v>
      </c>
      <c r="C4294" t="s">
        <v>2670</v>
      </c>
      <c r="D4294" t="s">
        <v>1203</v>
      </c>
      <c r="E4294" t="s">
        <v>1204</v>
      </c>
      <c r="F4294">
        <v>5652</v>
      </c>
      <c r="G4294" t="s">
        <v>2672</v>
      </c>
      <c r="H4294" t="s">
        <v>2664</v>
      </c>
      <c r="N4294" t="s">
        <v>988</v>
      </c>
    </row>
    <row r="4295" spans="1:14" hidden="1" x14ac:dyDescent="0.3">
      <c r="A4295">
        <v>2604</v>
      </c>
      <c r="B4295" t="s">
        <v>2063</v>
      </c>
      <c r="C4295" t="s">
        <v>2670</v>
      </c>
      <c r="D4295" t="s">
        <v>1203</v>
      </c>
      <c r="E4295" t="s">
        <v>1204</v>
      </c>
      <c r="F4295">
        <v>5652</v>
      </c>
      <c r="G4295" t="s">
        <v>2672</v>
      </c>
      <c r="H4295" t="s">
        <v>2665</v>
      </c>
      <c r="N4295" t="s">
        <v>988</v>
      </c>
    </row>
    <row r="4296" spans="1:14" hidden="1" x14ac:dyDescent="0.3">
      <c r="A4296">
        <v>2604</v>
      </c>
      <c r="B4296" t="s">
        <v>2063</v>
      </c>
      <c r="C4296" t="s">
        <v>2670</v>
      </c>
      <c r="D4296" t="s">
        <v>1203</v>
      </c>
      <c r="E4296" t="s">
        <v>1204</v>
      </c>
      <c r="F4296">
        <v>5652</v>
      </c>
      <c r="G4296" t="s">
        <v>2676</v>
      </c>
      <c r="H4296" t="s">
        <v>2664</v>
      </c>
      <c r="I4296">
        <v>22205</v>
      </c>
      <c r="J4296">
        <v>22934</v>
      </c>
      <c r="K4296">
        <v>24131</v>
      </c>
      <c r="L4296">
        <v>25170</v>
      </c>
      <c r="M4296">
        <v>26502</v>
      </c>
      <c r="N4296" t="s">
        <v>988</v>
      </c>
    </row>
    <row r="4297" spans="1:14" hidden="1" x14ac:dyDescent="0.3">
      <c r="A4297">
        <v>2604</v>
      </c>
      <c r="B4297" t="s">
        <v>2063</v>
      </c>
      <c r="C4297" t="s">
        <v>2670</v>
      </c>
      <c r="D4297" t="s">
        <v>1203</v>
      </c>
      <c r="E4297" t="s">
        <v>1204</v>
      </c>
      <c r="F4297">
        <v>5652</v>
      </c>
      <c r="G4297" t="s">
        <v>2673</v>
      </c>
      <c r="H4297" t="s">
        <v>2665</v>
      </c>
      <c r="I4297">
        <v>22878</v>
      </c>
      <c r="J4297">
        <v>23629</v>
      </c>
      <c r="K4297">
        <v>24862</v>
      </c>
      <c r="L4297">
        <v>25932</v>
      </c>
      <c r="M4297">
        <v>27305</v>
      </c>
      <c r="N4297" t="s">
        <v>988</v>
      </c>
    </row>
    <row r="4298" spans="1:14" hidden="1" x14ac:dyDescent="0.3">
      <c r="A4298">
        <v>2605</v>
      </c>
      <c r="B4298" t="s">
        <v>2066</v>
      </c>
      <c r="C4298" t="s">
        <v>2670</v>
      </c>
      <c r="D4298" t="s">
        <v>1203</v>
      </c>
      <c r="E4298" t="s">
        <v>1204</v>
      </c>
      <c r="F4298">
        <v>5682</v>
      </c>
      <c r="G4298" t="s">
        <v>2674</v>
      </c>
      <c r="H4298" t="s">
        <v>2664</v>
      </c>
      <c r="I4298">
        <v>7236</v>
      </c>
      <c r="J4298">
        <v>7236</v>
      </c>
      <c r="K4298">
        <v>7236</v>
      </c>
      <c r="L4298">
        <v>7236</v>
      </c>
      <c r="N4298" t="s">
        <v>988</v>
      </c>
    </row>
    <row r="4299" spans="1:14" hidden="1" x14ac:dyDescent="0.3">
      <c r="A4299">
        <v>2605</v>
      </c>
      <c r="B4299" t="s">
        <v>2066</v>
      </c>
      <c r="C4299" t="s">
        <v>2670</v>
      </c>
      <c r="D4299" t="s">
        <v>1203</v>
      </c>
      <c r="E4299" t="s">
        <v>1204</v>
      </c>
      <c r="F4299">
        <v>5682</v>
      </c>
      <c r="G4299" t="s">
        <v>2676</v>
      </c>
      <c r="H4299" t="s">
        <v>2664</v>
      </c>
      <c r="I4299">
        <v>6374</v>
      </c>
      <c r="J4299">
        <v>6374</v>
      </c>
      <c r="K4299">
        <v>6374</v>
      </c>
      <c r="L4299">
        <v>6374</v>
      </c>
      <c r="N4299" t="s">
        <v>988</v>
      </c>
    </row>
    <row r="4300" spans="1:14" hidden="1" x14ac:dyDescent="0.3">
      <c r="A4300">
        <v>2605</v>
      </c>
      <c r="B4300" t="s">
        <v>2066</v>
      </c>
      <c r="C4300" t="s">
        <v>2670</v>
      </c>
      <c r="D4300" t="s">
        <v>1203</v>
      </c>
      <c r="E4300" t="s">
        <v>1204</v>
      </c>
      <c r="F4300">
        <v>5682</v>
      </c>
      <c r="G4300" t="s">
        <v>2676</v>
      </c>
      <c r="H4300" t="s">
        <v>2665</v>
      </c>
      <c r="I4300">
        <v>5986</v>
      </c>
      <c r="J4300">
        <v>6037</v>
      </c>
      <c r="K4300">
        <v>6088</v>
      </c>
      <c r="L4300">
        <v>6140</v>
      </c>
      <c r="N4300" t="s">
        <v>988</v>
      </c>
    </row>
    <row r="4301" spans="1:14" hidden="1" x14ac:dyDescent="0.3">
      <c r="A4301">
        <v>2605</v>
      </c>
      <c r="B4301" t="s">
        <v>2066</v>
      </c>
      <c r="C4301" t="s">
        <v>2670</v>
      </c>
      <c r="D4301" t="s">
        <v>1203</v>
      </c>
      <c r="E4301" t="s">
        <v>1204</v>
      </c>
      <c r="F4301">
        <v>5682</v>
      </c>
      <c r="G4301" t="s">
        <v>2675</v>
      </c>
      <c r="H4301" t="s">
        <v>2664</v>
      </c>
      <c r="I4301">
        <v>6830</v>
      </c>
      <c r="J4301">
        <v>6830</v>
      </c>
      <c r="K4301">
        <v>6830</v>
      </c>
      <c r="L4301">
        <v>6830</v>
      </c>
      <c r="N4301" t="s">
        <v>988</v>
      </c>
    </row>
    <row r="4302" spans="1:14" hidden="1" x14ac:dyDescent="0.3">
      <c r="A4302">
        <v>2605</v>
      </c>
      <c r="B4302" t="s">
        <v>2066</v>
      </c>
      <c r="C4302" t="s">
        <v>2670</v>
      </c>
      <c r="D4302" t="s">
        <v>1203</v>
      </c>
      <c r="E4302" t="s">
        <v>1204</v>
      </c>
      <c r="F4302">
        <v>5682</v>
      </c>
      <c r="G4302" t="s">
        <v>2675</v>
      </c>
      <c r="H4302" t="s">
        <v>2665</v>
      </c>
      <c r="I4302">
        <v>5986</v>
      </c>
      <c r="J4302">
        <v>6037</v>
      </c>
      <c r="K4302">
        <v>6088</v>
      </c>
      <c r="L4302">
        <v>6140</v>
      </c>
      <c r="N4302" t="s">
        <v>988</v>
      </c>
    </row>
    <row r="4303" spans="1:14" hidden="1" x14ac:dyDescent="0.3">
      <c r="A4303">
        <v>2605</v>
      </c>
      <c r="B4303" t="s">
        <v>2066</v>
      </c>
      <c r="C4303" t="s">
        <v>2670</v>
      </c>
      <c r="D4303" t="s">
        <v>1203</v>
      </c>
      <c r="E4303" t="s">
        <v>1204</v>
      </c>
      <c r="F4303">
        <v>5682</v>
      </c>
      <c r="G4303" t="s">
        <v>2674</v>
      </c>
      <c r="H4303" t="s">
        <v>2665</v>
      </c>
      <c r="I4303">
        <v>5321</v>
      </c>
      <c r="J4303">
        <v>5366</v>
      </c>
      <c r="K4303">
        <v>5412</v>
      </c>
      <c r="L4303">
        <v>5458</v>
      </c>
      <c r="N4303" t="s">
        <v>988</v>
      </c>
    </row>
    <row r="4304" spans="1:14" hidden="1" x14ac:dyDescent="0.3">
      <c r="A4304">
        <v>2605</v>
      </c>
      <c r="B4304" t="s">
        <v>2066</v>
      </c>
      <c r="C4304" t="s">
        <v>2670</v>
      </c>
      <c r="D4304" t="s">
        <v>1203</v>
      </c>
      <c r="E4304" t="s">
        <v>1204</v>
      </c>
      <c r="F4304">
        <v>5682</v>
      </c>
      <c r="G4304" t="s">
        <v>2673</v>
      </c>
      <c r="H4304" t="s">
        <v>2664</v>
      </c>
      <c r="I4304">
        <v>6742</v>
      </c>
      <c r="J4304">
        <v>6742</v>
      </c>
      <c r="K4304">
        <v>6742</v>
      </c>
      <c r="L4304">
        <v>6742</v>
      </c>
      <c r="N4304" t="s">
        <v>988</v>
      </c>
    </row>
    <row r="4305" spans="1:14" hidden="1" x14ac:dyDescent="0.3">
      <c r="A4305">
        <v>2605</v>
      </c>
      <c r="B4305" t="s">
        <v>2066</v>
      </c>
      <c r="C4305" t="s">
        <v>2670</v>
      </c>
      <c r="D4305" t="s">
        <v>1203</v>
      </c>
      <c r="E4305" t="s">
        <v>1204</v>
      </c>
      <c r="F4305">
        <v>5682</v>
      </c>
      <c r="G4305" t="s">
        <v>2673</v>
      </c>
      <c r="H4305" t="s">
        <v>2665</v>
      </c>
      <c r="I4305">
        <v>5321</v>
      </c>
      <c r="J4305">
        <v>5366</v>
      </c>
      <c r="K4305">
        <v>5412</v>
      </c>
      <c r="L4305">
        <v>5458</v>
      </c>
      <c r="N4305" t="s">
        <v>988</v>
      </c>
    </row>
    <row r="4306" spans="1:14" hidden="1" x14ac:dyDescent="0.3">
      <c r="A4306">
        <v>2605</v>
      </c>
      <c r="B4306" t="s">
        <v>2066</v>
      </c>
      <c r="C4306" t="s">
        <v>2670</v>
      </c>
      <c r="D4306" t="s">
        <v>1203</v>
      </c>
      <c r="E4306" t="s">
        <v>1204</v>
      </c>
      <c r="F4306">
        <v>5682</v>
      </c>
      <c r="G4306" t="s">
        <v>2671</v>
      </c>
      <c r="H4306" t="s">
        <v>2664</v>
      </c>
      <c r="I4306">
        <v>6871</v>
      </c>
      <c r="J4306">
        <v>6871</v>
      </c>
      <c r="K4306">
        <v>6871</v>
      </c>
      <c r="L4306">
        <v>6871</v>
      </c>
      <c r="N4306" t="s">
        <v>988</v>
      </c>
    </row>
    <row r="4307" spans="1:14" hidden="1" x14ac:dyDescent="0.3">
      <c r="A4307">
        <v>2605</v>
      </c>
      <c r="B4307" t="s">
        <v>2066</v>
      </c>
      <c r="C4307" t="s">
        <v>2670</v>
      </c>
      <c r="D4307" t="s">
        <v>1203</v>
      </c>
      <c r="E4307" t="s">
        <v>1204</v>
      </c>
      <c r="F4307">
        <v>5682</v>
      </c>
      <c r="G4307" t="s">
        <v>2671</v>
      </c>
      <c r="H4307" t="s">
        <v>2665</v>
      </c>
      <c r="I4307">
        <v>4655</v>
      </c>
      <c r="J4307">
        <v>4695</v>
      </c>
      <c r="K4307">
        <v>4735</v>
      </c>
      <c r="L4307">
        <v>4776</v>
      </c>
      <c r="N4307" t="s">
        <v>988</v>
      </c>
    </row>
    <row r="4308" spans="1:14" hidden="1" x14ac:dyDescent="0.3">
      <c r="A4308">
        <v>2605</v>
      </c>
      <c r="B4308" t="s">
        <v>2066</v>
      </c>
      <c r="C4308" t="s">
        <v>2670</v>
      </c>
      <c r="D4308" t="s">
        <v>1203</v>
      </c>
      <c r="E4308" t="s">
        <v>1204</v>
      </c>
      <c r="F4308">
        <v>5682</v>
      </c>
      <c r="G4308" t="s">
        <v>2672</v>
      </c>
      <c r="H4308" t="s">
        <v>2664</v>
      </c>
      <c r="N4308" t="s">
        <v>988</v>
      </c>
    </row>
    <row r="4309" spans="1:14" hidden="1" x14ac:dyDescent="0.3">
      <c r="A4309">
        <v>2605</v>
      </c>
      <c r="B4309" t="s">
        <v>2066</v>
      </c>
      <c r="C4309" t="s">
        <v>2670</v>
      </c>
      <c r="D4309" t="s">
        <v>1203</v>
      </c>
      <c r="E4309" t="s">
        <v>1204</v>
      </c>
      <c r="F4309">
        <v>5682</v>
      </c>
      <c r="G4309" t="s">
        <v>2672</v>
      </c>
      <c r="H4309" t="s">
        <v>2665</v>
      </c>
      <c r="N4309" t="s">
        <v>988</v>
      </c>
    </row>
    <row r="4310" spans="1:14" hidden="1" x14ac:dyDescent="0.3">
      <c r="A4310">
        <v>2610</v>
      </c>
      <c r="B4310" t="s">
        <v>2067</v>
      </c>
      <c r="C4310" t="s">
        <v>2670</v>
      </c>
      <c r="D4310" t="s">
        <v>159</v>
      </c>
      <c r="E4310" t="s">
        <v>159</v>
      </c>
      <c r="F4310">
        <v>7858</v>
      </c>
      <c r="G4310" t="s">
        <v>2671</v>
      </c>
      <c r="H4310" t="s">
        <v>2664</v>
      </c>
      <c r="I4310">
        <v>3200</v>
      </c>
      <c r="J4310">
        <v>3200</v>
      </c>
      <c r="K4310">
        <v>3220.39</v>
      </c>
      <c r="L4310">
        <v>3352.58</v>
      </c>
      <c r="M4310">
        <v>3476.85</v>
      </c>
      <c r="N4310" t="s">
        <v>988</v>
      </c>
    </row>
    <row r="4311" spans="1:14" hidden="1" x14ac:dyDescent="0.3">
      <c r="A4311">
        <v>2610</v>
      </c>
      <c r="B4311" t="s">
        <v>2067</v>
      </c>
      <c r="C4311" t="s">
        <v>2670</v>
      </c>
      <c r="D4311" t="s">
        <v>159</v>
      </c>
      <c r="E4311" t="s">
        <v>159</v>
      </c>
      <c r="F4311">
        <v>7858</v>
      </c>
      <c r="G4311" t="s">
        <v>2671</v>
      </c>
      <c r="H4311" t="s">
        <v>2665</v>
      </c>
      <c r="I4311">
        <v>2996.1</v>
      </c>
      <c r="J4311">
        <v>3100.74</v>
      </c>
      <c r="K4311">
        <v>3220.39</v>
      </c>
      <c r="L4311">
        <v>3352.58</v>
      </c>
      <c r="M4311">
        <v>3476.85</v>
      </c>
      <c r="N4311" t="s">
        <v>988</v>
      </c>
    </row>
    <row r="4312" spans="1:14" hidden="1" x14ac:dyDescent="0.3">
      <c r="A4312">
        <v>2610</v>
      </c>
      <c r="B4312" t="s">
        <v>2067</v>
      </c>
      <c r="C4312" t="s">
        <v>2670</v>
      </c>
      <c r="D4312" t="s">
        <v>159</v>
      </c>
      <c r="E4312" t="s">
        <v>159</v>
      </c>
      <c r="F4312">
        <v>7858</v>
      </c>
      <c r="G4312" t="s">
        <v>2676</v>
      </c>
      <c r="H4312" t="s">
        <v>2664</v>
      </c>
      <c r="I4312">
        <v>3200</v>
      </c>
      <c r="J4312">
        <v>3200</v>
      </c>
      <c r="K4312">
        <v>3220.39</v>
      </c>
      <c r="L4312">
        <v>3352.58</v>
      </c>
      <c r="M4312">
        <v>3476.85</v>
      </c>
      <c r="N4312" t="s">
        <v>988</v>
      </c>
    </row>
    <row r="4313" spans="1:14" hidden="1" x14ac:dyDescent="0.3">
      <c r="A4313">
        <v>2610</v>
      </c>
      <c r="B4313" t="s">
        <v>2067</v>
      </c>
      <c r="C4313" t="s">
        <v>2670</v>
      </c>
      <c r="D4313" t="s">
        <v>159</v>
      </c>
      <c r="E4313" t="s">
        <v>159</v>
      </c>
      <c r="F4313">
        <v>7858</v>
      </c>
      <c r="G4313" t="s">
        <v>2676</v>
      </c>
      <c r="H4313" t="s">
        <v>2665</v>
      </c>
      <c r="I4313">
        <v>2996.1</v>
      </c>
      <c r="J4313">
        <v>3100.74</v>
      </c>
      <c r="K4313">
        <v>3220.39</v>
      </c>
      <c r="L4313">
        <v>3352.58</v>
      </c>
      <c r="M4313">
        <v>3476.85</v>
      </c>
      <c r="N4313" t="s">
        <v>988</v>
      </c>
    </row>
    <row r="4314" spans="1:14" hidden="1" x14ac:dyDescent="0.3">
      <c r="A4314">
        <v>2610</v>
      </c>
      <c r="B4314" t="s">
        <v>2067</v>
      </c>
      <c r="C4314" t="s">
        <v>2670</v>
      </c>
      <c r="D4314" t="s">
        <v>159</v>
      </c>
      <c r="E4314" t="s">
        <v>159</v>
      </c>
      <c r="F4314">
        <v>7858</v>
      </c>
      <c r="G4314" t="s">
        <v>2675</v>
      </c>
      <c r="H4314" t="s">
        <v>2664</v>
      </c>
      <c r="I4314">
        <v>3200</v>
      </c>
      <c r="J4314">
        <v>3200</v>
      </c>
      <c r="K4314">
        <v>3220.39</v>
      </c>
      <c r="L4314">
        <v>3352.58</v>
      </c>
      <c r="M4314">
        <v>3476.85</v>
      </c>
      <c r="N4314" t="s">
        <v>988</v>
      </c>
    </row>
    <row r="4315" spans="1:14" hidden="1" x14ac:dyDescent="0.3">
      <c r="A4315">
        <v>2610</v>
      </c>
      <c r="B4315" t="s">
        <v>2067</v>
      </c>
      <c r="C4315" t="s">
        <v>2670</v>
      </c>
      <c r="D4315" t="s">
        <v>159</v>
      </c>
      <c r="E4315" t="s">
        <v>159</v>
      </c>
      <c r="F4315">
        <v>7858</v>
      </c>
      <c r="G4315" t="s">
        <v>2675</v>
      </c>
      <c r="H4315" t="s">
        <v>2665</v>
      </c>
      <c r="I4315">
        <v>2996.1</v>
      </c>
      <c r="J4315">
        <v>3100.74</v>
      </c>
      <c r="K4315">
        <v>3220.39</v>
      </c>
      <c r="L4315">
        <v>3352.58</v>
      </c>
      <c r="M4315">
        <v>3476.85</v>
      </c>
      <c r="N4315" t="s">
        <v>988</v>
      </c>
    </row>
    <row r="4316" spans="1:14" hidden="1" x14ac:dyDescent="0.3">
      <c r="A4316">
        <v>2610</v>
      </c>
      <c r="B4316" t="s">
        <v>2067</v>
      </c>
      <c r="C4316" t="s">
        <v>2670</v>
      </c>
      <c r="D4316" t="s">
        <v>159</v>
      </c>
      <c r="E4316" t="s">
        <v>159</v>
      </c>
      <c r="F4316">
        <v>7858</v>
      </c>
      <c r="G4316" t="s">
        <v>2674</v>
      </c>
      <c r="H4316" t="s">
        <v>2664</v>
      </c>
      <c r="I4316">
        <v>3200</v>
      </c>
      <c r="J4316">
        <v>3200</v>
      </c>
      <c r="K4316">
        <v>3220.39</v>
      </c>
      <c r="L4316">
        <v>3352.58</v>
      </c>
      <c r="M4316">
        <v>3476.85</v>
      </c>
      <c r="N4316" t="s">
        <v>988</v>
      </c>
    </row>
    <row r="4317" spans="1:14" hidden="1" x14ac:dyDescent="0.3">
      <c r="A4317">
        <v>2610</v>
      </c>
      <c r="B4317" t="s">
        <v>2067</v>
      </c>
      <c r="C4317" t="s">
        <v>2670</v>
      </c>
      <c r="D4317" t="s">
        <v>159</v>
      </c>
      <c r="E4317" t="s">
        <v>159</v>
      </c>
      <c r="F4317">
        <v>7858</v>
      </c>
      <c r="G4317" t="s">
        <v>2674</v>
      </c>
      <c r="H4317" t="s">
        <v>2665</v>
      </c>
      <c r="I4317">
        <v>2996.1</v>
      </c>
      <c r="J4317">
        <v>3100.74</v>
      </c>
      <c r="K4317">
        <v>3220.39</v>
      </c>
      <c r="L4317">
        <v>3352.58</v>
      </c>
      <c r="M4317">
        <v>3476.85</v>
      </c>
      <c r="N4317" t="s">
        <v>988</v>
      </c>
    </row>
    <row r="4318" spans="1:14" hidden="1" x14ac:dyDescent="0.3">
      <c r="A4318">
        <v>2610</v>
      </c>
      <c r="B4318" t="s">
        <v>2067</v>
      </c>
      <c r="C4318" t="s">
        <v>2670</v>
      </c>
      <c r="D4318" t="s">
        <v>159</v>
      </c>
      <c r="E4318" t="s">
        <v>159</v>
      </c>
      <c r="F4318">
        <v>7858</v>
      </c>
      <c r="G4318" t="s">
        <v>2673</v>
      </c>
      <c r="H4318" t="s">
        <v>2664</v>
      </c>
      <c r="I4318">
        <v>3200</v>
      </c>
      <c r="J4318">
        <v>3200</v>
      </c>
      <c r="K4318">
        <v>3220.39</v>
      </c>
      <c r="L4318">
        <v>3352.58</v>
      </c>
      <c r="M4318">
        <v>3476.85</v>
      </c>
      <c r="N4318" t="s">
        <v>988</v>
      </c>
    </row>
    <row r="4319" spans="1:14" hidden="1" x14ac:dyDescent="0.3">
      <c r="A4319">
        <v>2610</v>
      </c>
      <c r="B4319" t="s">
        <v>2067</v>
      </c>
      <c r="C4319" t="s">
        <v>2670</v>
      </c>
      <c r="D4319" t="s">
        <v>159</v>
      </c>
      <c r="E4319" t="s">
        <v>159</v>
      </c>
      <c r="F4319">
        <v>7858</v>
      </c>
      <c r="G4319" t="s">
        <v>2673</v>
      </c>
      <c r="H4319" t="s">
        <v>2665</v>
      </c>
      <c r="I4319">
        <v>2996.1</v>
      </c>
      <c r="J4319">
        <v>3100.74</v>
      </c>
      <c r="K4319">
        <v>3220.39</v>
      </c>
      <c r="L4319">
        <v>3352.58</v>
      </c>
      <c r="M4319">
        <v>3476.85</v>
      </c>
      <c r="N4319" t="s">
        <v>988</v>
      </c>
    </row>
    <row r="4320" spans="1:14" hidden="1" x14ac:dyDescent="0.3">
      <c r="A4320">
        <v>2610</v>
      </c>
      <c r="B4320" t="s">
        <v>2067</v>
      </c>
      <c r="C4320" t="s">
        <v>2670</v>
      </c>
      <c r="D4320" t="s">
        <v>159</v>
      </c>
      <c r="E4320" t="s">
        <v>159</v>
      </c>
      <c r="F4320">
        <v>7858</v>
      </c>
      <c r="G4320" t="s">
        <v>2672</v>
      </c>
      <c r="H4320" t="s">
        <v>2665</v>
      </c>
      <c r="N4320" t="s">
        <v>988</v>
      </c>
    </row>
    <row r="4321" spans="1:14" hidden="1" x14ac:dyDescent="0.3">
      <c r="A4321">
        <v>2610</v>
      </c>
      <c r="B4321" t="s">
        <v>2067</v>
      </c>
      <c r="C4321" t="s">
        <v>2670</v>
      </c>
      <c r="D4321" t="s">
        <v>159</v>
      </c>
      <c r="E4321" t="s">
        <v>159</v>
      </c>
      <c r="F4321">
        <v>7858</v>
      </c>
      <c r="G4321" t="s">
        <v>2672</v>
      </c>
      <c r="H4321" t="s">
        <v>2664</v>
      </c>
      <c r="N4321" t="s">
        <v>988</v>
      </c>
    </row>
    <row r="4322" spans="1:14" hidden="1" x14ac:dyDescent="0.3">
      <c r="A4322">
        <v>2618</v>
      </c>
      <c r="B4322" t="s">
        <v>2071</v>
      </c>
      <c r="C4322" t="s">
        <v>2670</v>
      </c>
      <c r="D4322" t="s">
        <v>1203</v>
      </c>
      <c r="E4322" t="s">
        <v>1204</v>
      </c>
      <c r="F4322">
        <v>5771</v>
      </c>
      <c r="G4322" t="s">
        <v>2674</v>
      </c>
      <c r="H4322" t="s">
        <v>2664</v>
      </c>
      <c r="I4322">
        <v>4166</v>
      </c>
      <c r="J4322">
        <v>4166</v>
      </c>
      <c r="K4322">
        <v>4166</v>
      </c>
      <c r="L4322">
        <v>4166</v>
      </c>
      <c r="M4322">
        <v>4166</v>
      </c>
      <c r="N4322" t="s">
        <v>988</v>
      </c>
    </row>
    <row r="4323" spans="1:14" hidden="1" x14ac:dyDescent="0.3">
      <c r="A4323">
        <v>2618</v>
      </c>
      <c r="B4323" t="s">
        <v>2071</v>
      </c>
      <c r="C4323" t="s">
        <v>2670</v>
      </c>
      <c r="D4323" t="s">
        <v>1203</v>
      </c>
      <c r="E4323" t="s">
        <v>1204</v>
      </c>
      <c r="F4323">
        <v>5771</v>
      </c>
      <c r="G4323" t="s">
        <v>2675</v>
      </c>
      <c r="H4323" t="s">
        <v>2664</v>
      </c>
      <c r="I4323">
        <v>4166</v>
      </c>
      <c r="J4323">
        <v>4166</v>
      </c>
      <c r="K4323">
        <v>4166</v>
      </c>
      <c r="L4323">
        <v>4166</v>
      </c>
      <c r="M4323">
        <v>4166</v>
      </c>
      <c r="N4323" t="s">
        <v>988</v>
      </c>
    </row>
    <row r="4324" spans="1:14" hidden="1" x14ac:dyDescent="0.3">
      <c r="A4324">
        <v>2618</v>
      </c>
      <c r="B4324" t="s">
        <v>2071</v>
      </c>
      <c r="C4324" t="s">
        <v>2670</v>
      </c>
      <c r="D4324" t="s">
        <v>1203</v>
      </c>
      <c r="E4324" t="s">
        <v>1204</v>
      </c>
      <c r="F4324">
        <v>5771</v>
      </c>
      <c r="G4324" t="s">
        <v>2676</v>
      </c>
      <c r="H4324" t="s">
        <v>2665</v>
      </c>
      <c r="I4324">
        <v>3113.2</v>
      </c>
      <c r="J4324">
        <v>3162.29</v>
      </c>
      <c r="K4324">
        <v>3212.15</v>
      </c>
      <c r="L4324">
        <v>3262.8</v>
      </c>
      <c r="M4324">
        <v>3314.24</v>
      </c>
      <c r="N4324" t="s">
        <v>988</v>
      </c>
    </row>
    <row r="4325" spans="1:14" hidden="1" x14ac:dyDescent="0.3">
      <c r="A4325">
        <v>2618</v>
      </c>
      <c r="B4325" t="s">
        <v>2071</v>
      </c>
      <c r="C4325" t="s">
        <v>2670</v>
      </c>
      <c r="D4325" t="s">
        <v>1203</v>
      </c>
      <c r="E4325" t="s">
        <v>1204</v>
      </c>
      <c r="F4325">
        <v>5771</v>
      </c>
      <c r="G4325" t="s">
        <v>2676</v>
      </c>
      <c r="H4325" t="s">
        <v>2664</v>
      </c>
      <c r="I4325">
        <v>4166</v>
      </c>
      <c r="J4325">
        <v>4166</v>
      </c>
      <c r="K4325">
        <v>4166</v>
      </c>
      <c r="L4325">
        <v>4166</v>
      </c>
      <c r="M4325">
        <v>4166</v>
      </c>
      <c r="N4325" t="s">
        <v>988</v>
      </c>
    </row>
    <row r="4326" spans="1:14" hidden="1" x14ac:dyDescent="0.3">
      <c r="A4326">
        <v>2618</v>
      </c>
      <c r="B4326" t="s">
        <v>2071</v>
      </c>
      <c r="C4326" t="s">
        <v>2670</v>
      </c>
      <c r="D4326" t="s">
        <v>1203</v>
      </c>
      <c r="E4326" t="s">
        <v>1204</v>
      </c>
      <c r="F4326">
        <v>5771</v>
      </c>
      <c r="G4326" t="s">
        <v>2674</v>
      </c>
      <c r="H4326" t="s">
        <v>2665</v>
      </c>
      <c r="I4326">
        <v>3581</v>
      </c>
      <c r="J4326">
        <v>3637.46</v>
      </c>
      <c r="K4326">
        <v>3694.82</v>
      </c>
      <c r="L4326">
        <v>3753.08</v>
      </c>
      <c r="M4326">
        <v>3812.25</v>
      </c>
      <c r="N4326" t="s">
        <v>988</v>
      </c>
    </row>
    <row r="4327" spans="1:14" hidden="1" x14ac:dyDescent="0.3">
      <c r="A4327">
        <v>2618</v>
      </c>
      <c r="B4327" t="s">
        <v>2071</v>
      </c>
      <c r="C4327" t="s">
        <v>2670</v>
      </c>
      <c r="D4327" t="s">
        <v>1203</v>
      </c>
      <c r="E4327" t="s">
        <v>1204</v>
      </c>
      <c r="F4327">
        <v>5771</v>
      </c>
      <c r="G4327" t="s">
        <v>2675</v>
      </c>
      <c r="H4327" t="s">
        <v>2665</v>
      </c>
      <c r="I4327">
        <v>3235.16</v>
      </c>
      <c r="J4327">
        <v>3286.17</v>
      </c>
      <c r="K4327">
        <v>3337.98</v>
      </c>
      <c r="L4327">
        <v>3390.62</v>
      </c>
      <c r="M4327">
        <v>3444.08</v>
      </c>
      <c r="N4327" t="s">
        <v>988</v>
      </c>
    </row>
    <row r="4328" spans="1:14" hidden="1" x14ac:dyDescent="0.3">
      <c r="A4328">
        <v>2618</v>
      </c>
      <c r="B4328" t="s">
        <v>2071</v>
      </c>
      <c r="C4328" t="s">
        <v>2670</v>
      </c>
      <c r="D4328" t="s">
        <v>1203</v>
      </c>
      <c r="E4328" t="s">
        <v>1204</v>
      </c>
      <c r="F4328">
        <v>5771</v>
      </c>
      <c r="G4328" t="s">
        <v>2673</v>
      </c>
      <c r="H4328" t="s">
        <v>2665</v>
      </c>
      <c r="I4328">
        <v>3737.93</v>
      </c>
      <c r="J4328">
        <v>3796.87</v>
      </c>
      <c r="K4328">
        <v>3856.73</v>
      </c>
      <c r="L4328">
        <v>3917.55</v>
      </c>
      <c r="M4328">
        <v>3979.32</v>
      </c>
      <c r="N4328" t="s">
        <v>988</v>
      </c>
    </row>
    <row r="4329" spans="1:14" hidden="1" x14ac:dyDescent="0.3">
      <c r="A4329">
        <v>2618</v>
      </c>
      <c r="B4329" t="s">
        <v>2071</v>
      </c>
      <c r="C4329" t="s">
        <v>2670</v>
      </c>
      <c r="D4329" t="s">
        <v>1203</v>
      </c>
      <c r="E4329" t="s">
        <v>1204</v>
      </c>
      <c r="F4329">
        <v>5771</v>
      </c>
      <c r="G4329" t="s">
        <v>2671</v>
      </c>
      <c r="H4329" t="s">
        <v>2664</v>
      </c>
      <c r="I4329">
        <v>4166</v>
      </c>
      <c r="J4329">
        <v>4166</v>
      </c>
      <c r="K4329">
        <v>4166</v>
      </c>
      <c r="L4329">
        <v>4166</v>
      </c>
      <c r="M4329">
        <v>4166</v>
      </c>
      <c r="N4329" t="s">
        <v>988</v>
      </c>
    </row>
    <row r="4330" spans="1:14" hidden="1" x14ac:dyDescent="0.3">
      <c r="A4330">
        <v>2618</v>
      </c>
      <c r="B4330" t="s">
        <v>2071</v>
      </c>
      <c r="C4330" t="s">
        <v>2670</v>
      </c>
      <c r="D4330" t="s">
        <v>1203</v>
      </c>
      <c r="E4330" t="s">
        <v>1204</v>
      </c>
      <c r="F4330">
        <v>5771</v>
      </c>
      <c r="G4330" t="s">
        <v>2671</v>
      </c>
      <c r="H4330" t="s">
        <v>2665</v>
      </c>
      <c r="I4330">
        <v>2991.42</v>
      </c>
      <c r="J4330">
        <v>3038.59</v>
      </c>
      <c r="K4330">
        <v>3086.5</v>
      </c>
      <c r="L4330">
        <v>3135.17</v>
      </c>
      <c r="M4330">
        <v>3184.61</v>
      </c>
      <c r="N4330" t="s">
        <v>988</v>
      </c>
    </row>
    <row r="4331" spans="1:14" hidden="1" x14ac:dyDescent="0.3">
      <c r="A4331">
        <v>2618</v>
      </c>
      <c r="B4331" t="s">
        <v>2071</v>
      </c>
      <c r="C4331" t="s">
        <v>2670</v>
      </c>
      <c r="D4331" t="s">
        <v>1203</v>
      </c>
      <c r="E4331" t="s">
        <v>1204</v>
      </c>
      <c r="F4331">
        <v>5771</v>
      </c>
      <c r="G4331" t="s">
        <v>2672</v>
      </c>
      <c r="H4331" t="s">
        <v>2664</v>
      </c>
      <c r="N4331" t="s">
        <v>988</v>
      </c>
    </row>
    <row r="4332" spans="1:14" hidden="1" x14ac:dyDescent="0.3">
      <c r="A4332">
        <v>2618</v>
      </c>
      <c r="B4332" t="s">
        <v>2071</v>
      </c>
      <c r="C4332" t="s">
        <v>2670</v>
      </c>
      <c r="D4332" t="s">
        <v>1203</v>
      </c>
      <c r="E4332" t="s">
        <v>1204</v>
      </c>
      <c r="F4332">
        <v>5771</v>
      </c>
      <c r="G4332" t="s">
        <v>2672</v>
      </c>
      <c r="H4332" t="s">
        <v>2665</v>
      </c>
      <c r="N4332" t="s">
        <v>988</v>
      </c>
    </row>
    <row r="4333" spans="1:14" hidden="1" x14ac:dyDescent="0.3">
      <c r="A4333">
        <v>2618</v>
      </c>
      <c r="B4333" t="s">
        <v>2071</v>
      </c>
      <c r="C4333" t="s">
        <v>2670</v>
      </c>
      <c r="D4333" t="s">
        <v>1203</v>
      </c>
      <c r="E4333" t="s">
        <v>1204</v>
      </c>
      <c r="F4333">
        <v>5771</v>
      </c>
      <c r="G4333" t="s">
        <v>2673</v>
      </c>
      <c r="H4333" t="s">
        <v>2664</v>
      </c>
      <c r="I4333">
        <v>4166</v>
      </c>
      <c r="J4333">
        <v>4166</v>
      </c>
      <c r="K4333">
        <v>4166</v>
      </c>
      <c r="L4333">
        <v>4166</v>
      </c>
      <c r="M4333">
        <v>4166</v>
      </c>
      <c r="N4333" t="s">
        <v>988</v>
      </c>
    </row>
    <row r="4334" spans="1:14" hidden="1" x14ac:dyDescent="0.3">
      <c r="A4334">
        <v>2626</v>
      </c>
      <c r="B4334" t="s">
        <v>2072</v>
      </c>
      <c r="C4334" t="s">
        <v>2670</v>
      </c>
      <c r="D4334" t="s">
        <v>1203</v>
      </c>
      <c r="E4334" t="s">
        <v>1204</v>
      </c>
      <c r="F4334">
        <v>5794</v>
      </c>
      <c r="G4334" t="s">
        <v>2673</v>
      </c>
      <c r="H4334" t="s">
        <v>2665</v>
      </c>
      <c r="I4334">
        <v>15200.201521049999</v>
      </c>
      <c r="J4334">
        <v>17793.411754299999</v>
      </c>
      <c r="K4334">
        <v>20828.541837950001</v>
      </c>
      <c r="L4334">
        <v>24382.31396825</v>
      </c>
      <c r="N4334" t="s">
        <v>988</v>
      </c>
    </row>
    <row r="4335" spans="1:14" hidden="1" x14ac:dyDescent="0.3">
      <c r="A4335">
        <v>2626</v>
      </c>
      <c r="B4335" t="s">
        <v>2072</v>
      </c>
      <c r="C4335" t="s">
        <v>2670</v>
      </c>
      <c r="D4335" t="s">
        <v>1203</v>
      </c>
      <c r="E4335" t="s">
        <v>1204</v>
      </c>
      <c r="F4335">
        <v>5794</v>
      </c>
      <c r="G4335" t="s">
        <v>2673</v>
      </c>
      <c r="H4335" t="s">
        <v>2664</v>
      </c>
      <c r="I4335">
        <v>15958.21682</v>
      </c>
      <c r="J4335">
        <v>16449.238875999999</v>
      </c>
      <c r="K4335">
        <v>16958.6742591</v>
      </c>
      <c r="L4335">
        <v>17483.45408145</v>
      </c>
      <c r="N4335" t="s">
        <v>988</v>
      </c>
    </row>
    <row r="4336" spans="1:14" hidden="1" x14ac:dyDescent="0.3">
      <c r="A4336">
        <v>2626</v>
      </c>
      <c r="B4336" t="s">
        <v>2072</v>
      </c>
      <c r="C4336" t="s">
        <v>2670</v>
      </c>
      <c r="D4336" t="s">
        <v>1203</v>
      </c>
      <c r="E4336" t="s">
        <v>1204</v>
      </c>
      <c r="F4336">
        <v>5794</v>
      </c>
      <c r="G4336" t="s">
        <v>2674</v>
      </c>
      <c r="H4336" t="s">
        <v>2665</v>
      </c>
      <c r="I4336">
        <v>15197.132633200001</v>
      </c>
      <c r="J4336">
        <v>17793.411754299999</v>
      </c>
      <c r="K4336">
        <v>20828.541837950001</v>
      </c>
      <c r="L4336">
        <v>24382.31396825</v>
      </c>
      <c r="N4336" t="s">
        <v>988</v>
      </c>
    </row>
    <row r="4337" spans="1:14" hidden="1" x14ac:dyDescent="0.3">
      <c r="A4337">
        <v>2626</v>
      </c>
      <c r="B4337" t="s">
        <v>2072</v>
      </c>
      <c r="C4337" t="s">
        <v>2670</v>
      </c>
      <c r="D4337" t="s">
        <v>1203</v>
      </c>
      <c r="E4337" t="s">
        <v>1204</v>
      </c>
      <c r="F4337">
        <v>5794</v>
      </c>
      <c r="G4337" t="s">
        <v>2674</v>
      </c>
      <c r="H4337" t="s">
        <v>2664</v>
      </c>
      <c r="I4337">
        <v>23937.325229999999</v>
      </c>
      <c r="J4337">
        <v>24664.65165045</v>
      </c>
      <c r="K4337">
        <v>25395.046958750001</v>
      </c>
      <c r="L4337">
        <v>26162.268921250001</v>
      </c>
      <c r="N4337" t="s">
        <v>988</v>
      </c>
    </row>
    <row r="4338" spans="1:14" hidden="1" x14ac:dyDescent="0.3">
      <c r="A4338">
        <v>2626</v>
      </c>
      <c r="B4338" t="s">
        <v>2072</v>
      </c>
      <c r="C4338" t="s">
        <v>2670</v>
      </c>
      <c r="D4338" t="s">
        <v>1203</v>
      </c>
      <c r="E4338" t="s">
        <v>1204</v>
      </c>
      <c r="F4338">
        <v>5794</v>
      </c>
      <c r="G4338" t="s">
        <v>2675</v>
      </c>
      <c r="H4338" t="s">
        <v>2665</v>
      </c>
      <c r="I4338">
        <v>15197.132633200001</v>
      </c>
      <c r="J4338">
        <v>17793.411754299999</v>
      </c>
      <c r="K4338">
        <v>20828.541837950001</v>
      </c>
      <c r="L4338">
        <v>24382.31396825</v>
      </c>
      <c r="N4338" t="s">
        <v>988</v>
      </c>
    </row>
    <row r="4339" spans="1:14" hidden="1" x14ac:dyDescent="0.3">
      <c r="A4339">
        <v>2626</v>
      </c>
      <c r="B4339" t="s">
        <v>2072</v>
      </c>
      <c r="C4339" t="s">
        <v>2670</v>
      </c>
      <c r="D4339" t="s">
        <v>1203</v>
      </c>
      <c r="E4339" t="s">
        <v>1204</v>
      </c>
      <c r="F4339">
        <v>5794</v>
      </c>
      <c r="G4339" t="s">
        <v>2671</v>
      </c>
      <c r="H4339" t="s">
        <v>2664</v>
      </c>
      <c r="I4339">
        <v>13809.995325</v>
      </c>
      <c r="J4339">
        <v>14236.570736150001</v>
      </c>
      <c r="K4339">
        <v>14675.4216987</v>
      </c>
      <c r="L4339">
        <v>15129.6171005</v>
      </c>
      <c r="N4339" t="s">
        <v>988</v>
      </c>
    </row>
    <row r="4340" spans="1:14" hidden="1" x14ac:dyDescent="0.3">
      <c r="A4340">
        <v>2626</v>
      </c>
      <c r="B4340" t="s">
        <v>2072</v>
      </c>
      <c r="C4340" t="s">
        <v>2670</v>
      </c>
      <c r="D4340" t="s">
        <v>1203</v>
      </c>
      <c r="E4340" t="s">
        <v>1204</v>
      </c>
      <c r="F4340">
        <v>5794</v>
      </c>
      <c r="G4340" t="s">
        <v>2676</v>
      </c>
      <c r="H4340" t="s">
        <v>2665</v>
      </c>
      <c r="I4340">
        <v>15197.132633200001</v>
      </c>
      <c r="J4340">
        <v>17793.411754299999</v>
      </c>
      <c r="K4340">
        <v>20828.541837950001</v>
      </c>
      <c r="L4340">
        <v>24382.31396825</v>
      </c>
      <c r="N4340" t="s">
        <v>988</v>
      </c>
    </row>
    <row r="4341" spans="1:14" hidden="1" x14ac:dyDescent="0.3">
      <c r="A4341">
        <v>2626</v>
      </c>
      <c r="B4341" t="s">
        <v>2072</v>
      </c>
      <c r="C4341" t="s">
        <v>2670</v>
      </c>
      <c r="D4341" t="s">
        <v>1203</v>
      </c>
      <c r="E4341" t="s">
        <v>1204</v>
      </c>
      <c r="F4341">
        <v>5794</v>
      </c>
      <c r="G4341" t="s">
        <v>2676</v>
      </c>
      <c r="H4341" t="s">
        <v>2664</v>
      </c>
      <c r="I4341">
        <v>26582.706556699999</v>
      </c>
      <c r="J4341">
        <v>27389.824061250001</v>
      </c>
      <c r="K4341">
        <v>28233.768220000002</v>
      </c>
      <c r="L4341">
        <v>29077.712378749999</v>
      </c>
      <c r="N4341" t="s">
        <v>988</v>
      </c>
    </row>
    <row r="4342" spans="1:14" hidden="1" x14ac:dyDescent="0.3">
      <c r="A4342">
        <v>2626</v>
      </c>
      <c r="B4342" t="s">
        <v>2072</v>
      </c>
      <c r="C4342" t="s">
        <v>2670</v>
      </c>
      <c r="D4342" t="s">
        <v>1203</v>
      </c>
      <c r="E4342" t="s">
        <v>1204</v>
      </c>
      <c r="F4342">
        <v>5794</v>
      </c>
      <c r="G4342" t="s">
        <v>2672</v>
      </c>
      <c r="H4342" t="s">
        <v>2665</v>
      </c>
      <c r="N4342" t="s">
        <v>988</v>
      </c>
    </row>
    <row r="4343" spans="1:14" hidden="1" x14ac:dyDescent="0.3">
      <c r="A4343">
        <v>2626</v>
      </c>
      <c r="B4343" t="s">
        <v>2072</v>
      </c>
      <c r="C4343" t="s">
        <v>2670</v>
      </c>
      <c r="D4343" t="s">
        <v>1203</v>
      </c>
      <c r="E4343" t="s">
        <v>1204</v>
      </c>
      <c r="F4343">
        <v>5794</v>
      </c>
      <c r="G4343" t="s">
        <v>2672</v>
      </c>
      <c r="H4343" t="s">
        <v>2664</v>
      </c>
      <c r="N4343" t="s">
        <v>988</v>
      </c>
    </row>
    <row r="4344" spans="1:14" hidden="1" x14ac:dyDescent="0.3">
      <c r="A4344">
        <v>2626</v>
      </c>
      <c r="B4344" t="s">
        <v>2072</v>
      </c>
      <c r="C4344" t="s">
        <v>2670</v>
      </c>
      <c r="D4344" t="s">
        <v>1203</v>
      </c>
      <c r="E4344" t="s">
        <v>1204</v>
      </c>
      <c r="F4344">
        <v>5794</v>
      </c>
      <c r="G4344" t="s">
        <v>2671</v>
      </c>
      <c r="H4344" t="s">
        <v>2665</v>
      </c>
      <c r="I4344">
        <v>15200.201521049999</v>
      </c>
      <c r="J4344">
        <v>17793.411754299999</v>
      </c>
      <c r="K4344">
        <v>20828.541837950001</v>
      </c>
      <c r="L4344">
        <v>24382.31396825</v>
      </c>
      <c r="N4344" t="s">
        <v>988</v>
      </c>
    </row>
    <row r="4345" spans="1:14" hidden="1" x14ac:dyDescent="0.3">
      <c r="A4345">
        <v>2626</v>
      </c>
      <c r="B4345" t="s">
        <v>2072</v>
      </c>
      <c r="C4345" t="s">
        <v>2670</v>
      </c>
      <c r="D4345" t="s">
        <v>1203</v>
      </c>
      <c r="E4345" t="s">
        <v>1204</v>
      </c>
      <c r="F4345">
        <v>5794</v>
      </c>
      <c r="G4345" t="s">
        <v>2675</v>
      </c>
      <c r="H4345" t="s">
        <v>2664</v>
      </c>
      <c r="I4345">
        <v>23937.325229999999</v>
      </c>
      <c r="J4345">
        <v>24664.65165045</v>
      </c>
      <c r="K4345">
        <v>25395.046958750001</v>
      </c>
      <c r="L4345">
        <v>26162.268921250001</v>
      </c>
      <c r="N4345" t="s">
        <v>988</v>
      </c>
    </row>
    <row r="4346" spans="1:14" hidden="1" x14ac:dyDescent="0.3">
      <c r="A4346">
        <v>2629</v>
      </c>
      <c r="B4346" t="s">
        <v>2073</v>
      </c>
      <c r="C4346" t="s">
        <v>2670</v>
      </c>
      <c r="D4346" t="s">
        <v>1203</v>
      </c>
      <c r="E4346" t="s">
        <v>1204</v>
      </c>
      <c r="F4346">
        <v>5786</v>
      </c>
      <c r="G4346" t="s">
        <v>2672</v>
      </c>
      <c r="H4346" t="s">
        <v>2665</v>
      </c>
      <c r="N4346" t="s">
        <v>988</v>
      </c>
    </row>
    <row r="4347" spans="1:14" hidden="1" x14ac:dyDescent="0.3">
      <c r="A4347">
        <v>2629</v>
      </c>
      <c r="B4347" t="s">
        <v>2073</v>
      </c>
      <c r="C4347" t="s">
        <v>2670</v>
      </c>
      <c r="D4347" t="s">
        <v>1203</v>
      </c>
      <c r="E4347" t="s">
        <v>1204</v>
      </c>
      <c r="F4347">
        <v>5786</v>
      </c>
      <c r="G4347" t="s">
        <v>2672</v>
      </c>
      <c r="H4347" t="s">
        <v>2664</v>
      </c>
      <c r="N4347" t="s">
        <v>988</v>
      </c>
    </row>
    <row r="4348" spans="1:14" hidden="1" x14ac:dyDescent="0.3">
      <c r="A4348">
        <v>2629</v>
      </c>
      <c r="B4348" t="s">
        <v>2073</v>
      </c>
      <c r="C4348" t="s">
        <v>2670</v>
      </c>
      <c r="D4348" t="s">
        <v>1203</v>
      </c>
      <c r="E4348" t="s">
        <v>1204</v>
      </c>
      <c r="F4348">
        <v>5786</v>
      </c>
      <c r="G4348" t="s">
        <v>2671</v>
      </c>
      <c r="H4348" t="s">
        <v>2665</v>
      </c>
      <c r="I4348">
        <v>10459</v>
      </c>
      <c r="J4348">
        <v>11073</v>
      </c>
      <c r="K4348">
        <v>11292</v>
      </c>
      <c r="L4348">
        <v>11502</v>
      </c>
      <c r="M4348">
        <v>11742</v>
      </c>
      <c r="N4348" t="s">
        <v>988</v>
      </c>
    </row>
    <row r="4349" spans="1:14" hidden="1" x14ac:dyDescent="0.3">
      <c r="A4349">
        <v>2629</v>
      </c>
      <c r="B4349" t="s">
        <v>2073</v>
      </c>
      <c r="C4349" t="s">
        <v>2670</v>
      </c>
      <c r="D4349" t="s">
        <v>1203</v>
      </c>
      <c r="E4349" t="s">
        <v>1204</v>
      </c>
      <c r="F4349">
        <v>5786</v>
      </c>
      <c r="G4349" t="s">
        <v>2671</v>
      </c>
      <c r="H4349" t="s">
        <v>2664</v>
      </c>
      <c r="I4349">
        <v>13535</v>
      </c>
      <c r="J4349">
        <v>12373</v>
      </c>
      <c r="K4349">
        <v>12891</v>
      </c>
      <c r="L4349">
        <v>13377</v>
      </c>
      <c r="M4349">
        <v>13701</v>
      </c>
      <c r="N4349" t="s">
        <v>988</v>
      </c>
    </row>
    <row r="4350" spans="1:14" hidden="1" x14ac:dyDescent="0.3">
      <c r="A4350">
        <v>2629</v>
      </c>
      <c r="B4350" t="s">
        <v>2073</v>
      </c>
      <c r="C4350" t="s">
        <v>2670</v>
      </c>
      <c r="D4350" t="s">
        <v>1203</v>
      </c>
      <c r="E4350" t="s">
        <v>1204</v>
      </c>
      <c r="F4350">
        <v>5786</v>
      </c>
      <c r="G4350" t="s">
        <v>2673</v>
      </c>
      <c r="H4350" t="s">
        <v>2665</v>
      </c>
      <c r="I4350">
        <v>9999</v>
      </c>
      <c r="J4350">
        <v>10916</v>
      </c>
      <c r="K4350">
        <v>11120</v>
      </c>
      <c r="L4350">
        <v>11315</v>
      </c>
      <c r="M4350">
        <v>11540</v>
      </c>
      <c r="N4350" t="s">
        <v>988</v>
      </c>
    </row>
    <row r="4351" spans="1:14" hidden="1" x14ac:dyDescent="0.3">
      <c r="A4351">
        <v>2629</v>
      </c>
      <c r="B4351" t="s">
        <v>2073</v>
      </c>
      <c r="C4351" t="s">
        <v>2670</v>
      </c>
      <c r="D4351" t="s">
        <v>1203</v>
      </c>
      <c r="E4351" t="s">
        <v>1204</v>
      </c>
      <c r="F4351">
        <v>5786</v>
      </c>
      <c r="G4351" t="s">
        <v>2673</v>
      </c>
      <c r="H4351" t="s">
        <v>2664</v>
      </c>
      <c r="I4351">
        <v>13711</v>
      </c>
      <c r="J4351">
        <v>12434</v>
      </c>
      <c r="K4351">
        <v>12960</v>
      </c>
      <c r="L4351">
        <v>13447</v>
      </c>
      <c r="M4351">
        <v>13780</v>
      </c>
      <c r="N4351" t="s">
        <v>988</v>
      </c>
    </row>
    <row r="4352" spans="1:14" hidden="1" x14ac:dyDescent="0.3">
      <c r="A4352">
        <v>2629</v>
      </c>
      <c r="B4352" t="s">
        <v>2073</v>
      </c>
      <c r="C4352" t="s">
        <v>2670</v>
      </c>
      <c r="D4352" t="s">
        <v>1203</v>
      </c>
      <c r="E4352" t="s">
        <v>1204</v>
      </c>
      <c r="F4352">
        <v>5786</v>
      </c>
      <c r="G4352" t="s">
        <v>2674</v>
      </c>
      <c r="H4352" t="s">
        <v>2665</v>
      </c>
      <c r="I4352">
        <v>11635</v>
      </c>
      <c r="J4352">
        <v>11474</v>
      </c>
      <c r="K4352">
        <v>11733</v>
      </c>
      <c r="L4352">
        <v>11984</v>
      </c>
      <c r="M4352">
        <v>12268</v>
      </c>
      <c r="N4352" t="s">
        <v>988</v>
      </c>
    </row>
    <row r="4353" spans="1:14" hidden="1" x14ac:dyDescent="0.3">
      <c r="A4353">
        <v>2629</v>
      </c>
      <c r="B4353" t="s">
        <v>2073</v>
      </c>
      <c r="C4353" t="s">
        <v>2670</v>
      </c>
      <c r="D4353" t="s">
        <v>1203</v>
      </c>
      <c r="E4353" t="s">
        <v>1204</v>
      </c>
      <c r="F4353">
        <v>5786</v>
      </c>
      <c r="G4353" t="s">
        <v>2674</v>
      </c>
      <c r="H4353" t="s">
        <v>2664</v>
      </c>
      <c r="I4353">
        <v>13170</v>
      </c>
      <c r="J4353">
        <v>12247</v>
      </c>
      <c r="K4353">
        <v>12740</v>
      </c>
      <c r="L4353">
        <v>13230</v>
      </c>
      <c r="M4353">
        <v>13545</v>
      </c>
      <c r="N4353" t="s">
        <v>988</v>
      </c>
    </row>
    <row r="4354" spans="1:14" hidden="1" x14ac:dyDescent="0.3">
      <c r="A4354">
        <v>2629</v>
      </c>
      <c r="B4354" t="s">
        <v>2073</v>
      </c>
      <c r="C4354" t="s">
        <v>2670</v>
      </c>
      <c r="D4354" t="s">
        <v>1203</v>
      </c>
      <c r="E4354" t="s">
        <v>1204</v>
      </c>
      <c r="F4354">
        <v>5786</v>
      </c>
      <c r="G4354" t="s">
        <v>2675</v>
      </c>
      <c r="H4354" t="s">
        <v>2665</v>
      </c>
      <c r="I4354">
        <v>11687</v>
      </c>
      <c r="J4354">
        <v>11492</v>
      </c>
      <c r="K4354">
        <v>11749</v>
      </c>
      <c r="L4354">
        <v>12003</v>
      </c>
      <c r="M4354">
        <v>12288</v>
      </c>
      <c r="N4354" t="s">
        <v>988</v>
      </c>
    </row>
    <row r="4355" spans="1:14" hidden="1" x14ac:dyDescent="0.3">
      <c r="A4355">
        <v>2629</v>
      </c>
      <c r="B4355" t="s">
        <v>2073</v>
      </c>
      <c r="C4355" t="s">
        <v>2670</v>
      </c>
      <c r="D4355" t="s">
        <v>1203</v>
      </c>
      <c r="E4355" t="s">
        <v>1204</v>
      </c>
      <c r="F4355">
        <v>5786</v>
      </c>
      <c r="G4355" t="s">
        <v>2675</v>
      </c>
      <c r="H4355" t="s">
        <v>2664</v>
      </c>
      <c r="I4355">
        <v>13155</v>
      </c>
      <c r="J4355">
        <v>12242</v>
      </c>
      <c r="K4355">
        <v>12751</v>
      </c>
      <c r="L4355">
        <v>13227</v>
      </c>
      <c r="M4355">
        <v>13541</v>
      </c>
      <c r="N4355" t="s">
        <v>988</v>
      </c>
    </row>
    <row r="4356" spans="1:14" hidden="1" x14ac:dyDescent="0.3">
      <c r="A4356">
        <v>2629</v>
      </c>
      <c r="B4356" t="s">
        <v>2073</v>
      </c>
      <c r="C4356" t="s">
        <v>2670</v>
      </c>
      <c r="D4356" t="s">
        <v>1203</v>
      </c>
      <c r="E4356" t="s">
        <v>1204</v>
      </c>
      <c r="F4356">
        <v>5786</v>
      </c>
      <c r="G4356" t="s">
        <v>2676</v>
      </c>
      <c r="H4356" t="s">
        <v>2665</v>
      </c>
      <c r="I4356">
        <v>11022</v>
      </c>
      <c r="J4356">
        <v>11264</v>
      </c>
      <c r="K4356">
        <v>11501</v>
      </c>
      <c r="L4356">
        <v>11734</v>
      </c>
      <c r="M4356">
        <v>11994</v>
      </c>
      <c r="N4356" t="s">
        <v>988</v>
      </c>
    </row>
    <row r="4357" spans="1:14" hidden="1" x14ac:dyDescent="0.3">
      <c r="A4357">
        <v>2629</v>
      </c>
      <c r="B4357" t="s">
        <v>2073</v>
      </c>
      <c r="C4357" t="s">
        <v>2670</v>
      </c>
      <c r="D4357" t="s">
        <v>1203</v>
      </c>
      <c r="E4357" t="s">
        <v>1204</v>
      </c>
      <c r="F4357">
        <v>5786</v>
      </c>
      <c r="G4357" t="s">
        <v>2676</v>
      </c>
      <c r="H4357" t="s">
        <v>2664</v>
      </c>
      <c r="I4357">
        <v>13345</v>
      </c>
      <c r="J4357">
        <v>12308</v>
      </c>
      <c r="K4357">
        <v>12821</v>
      </c>
      <c r="L4357">
        <v>13302</v>
      </c>
      <c r="M4357">
        <v>13620</v>
      </c>
      <c r="N4357" t="s">
        <v>988</v>
      </c>
    </row>
    <row r="4358" spans="1:14" hidden="1" x14ac:dyDescent="0.3">
      <c r="A4358">
        <v>2631</v>
      </c>
      <c r="B4358" t="s">
        <v>2075</v>
      </c>
      <c r="C4358" t="s">
        <v>2670</v>
      </c>
      <c r="D4358" t="s">
        <v>159</v>
      </c>
      <c r="E4358" t="s">
        <v>159</v>
      </c>
      <c r="F4358">
        <v>5420</v>
      </c>
      <c r="G4358" t="s">
        <v>2676</v>
      </c>
      <c r="H4358" t="s">
        <v>2665</v>
      </c>
      <c r="I4358">
        <v>21943</v>
      </c>
      <c r="J4358">
        <v>23676</v>
      </c>
      <c r="K4358">
        <v>25554</v>
      </c>
      <c r="L4358">
        <v>27587</v>
      </c>
      <c r="M4358">
        <v>27587</v>
      </c>
      <c r="N4358" t="s">
        <v>988</v>
      </c>
    </row>
    <row r="4359" spans="1:14" hidden="1" x14ac:dyDescent="0.3">
      <c r="A4359">
        <v>2631</v>
      </c>
      <c r="B4359" t="s">
        <v>2075</v>
      </c>
      <c r="C4359" t="s">
        <v>2670</v>
      </c>
      <c r="D4359" t="s">
        <v>159</v>
      </c>
      <c r="E4359" t="s">
        <v>159</v>
      </c>
      <c r="F4359">
        <v>5420</v>
      </c>
      <c r="G4359" t="s">
        <v>2675</v>
      </c>
      <c r="H4359" t="s">
        <v>2664</v>
      </c>
      <c r="I4359">
        <v>23557</v>
      </c>
      <c r="J4359">
        <v>25423</v>
      </c>
      <c r="K4359">
        <v>27448</v>
      </c>
      <c r="L4359">
        <v>29638</v>
      </c>
      <c r="M4359">
        <v>29638</v>
      </c>
      <c r="N4359" t="s">
        <v>988</v>
      </c>
    </row>
    <row r="4360" spans="1:14" hidden="1" x14ac:dyDescent="0.3">
      <c r="A4360">
        <v>2631</v>
      </c>
      <c r="B4360" t="s">
        <v>2075</v>
      </c>
      <c r="C4360" t="s">
        <v>2670</v>
      </c>
      <c r="D4360" t="s">
        <v>159</v>
      </c>
      <c r="E4360" t="s">
        <v>159</v>
      </c>
      <c r="F4360">
        <v>5420</v>
      </c>
      <c r="G4360" t="s">
        <v>2675</v>
      </c>
      <c r="H4360" t="s">
        <v>2665</v>
      </c>
      <c r="I4360">
        <v>21943</v>
      </c>
      <c r="J4360">
        <v>23676</v>
      </c>
      <c r="K4360">
        <v>25554</v>
      </c>
      <c r="L4360">
        <v>27587</v>
      </c>
      <c r="M4360">
        <v>27587</v>
      </c>
      <c r="N4360" t="s">
        <v>988</v>
      </c>
    </row>
    <row r="4361" spans="1:14" hidden="1" x14ac:dyDescent="0.3">
      <c r="A4361">
        <v>2631</v>
      </c>
      <c r="B4361" t="s">
        <v>2075</v>
      </c>
      <c r="C4361" t="s">
        <v>2670</v>
      </c>
      <c r="D4361" t="s">
        <v>159</v>
      </c>
      <c r="E4361" t="s">
        <v>159</v>
      </c>
      <c r="F4361">
        <v>5420</v>
      </c>
      <c r="G4361" t="s">
        <v>2674</v>
      </c>
      <c r="H4361" t="s">
        <v>2664</v>
      </c>
      <c r="I4361">
        <v>23557</v>
      </c>
      <c r="J4361">
        <v>25423</v>
      </c>
      <c r="K4361">
        <v>27448</v>
      </c>
      <c r="L4361">
        <v>29638</v>
      </c>
      <c r="M4361">
        <v>29638</v>
      </c>
      <c r="N4361" t="s">
        <v>988</v>
      </c>
    </row>
    <row r="4362" spans="1:14" hidden="1" x14ac:dyDescent="0.3">
      <c r="A4362">
        <v>2631</v>
      </c>
      <c r="B4362" t="s">
        <v>2075</v>
      </c>
      <c r="C4362" t="s">
        <v>2670</v>
      </c>
      <c r="D4362" t="s">
        <v>159</v>
      </c>
      <c r="E4362" t="s">
        <v>159</v>
      </c>
      <c r="F4362">
        <v>5420</v>
      </c>
      <c r="G4362" t="s">
        <v>2674</v>
      </c>
      <c r="H4362" t="s">
        <v>2665</v>
      </c>
      <c r="I4362">
        <v>21943</v>
      </c>
      <c r="J4362">
        <v>23676</v>
      </c>
      <c r="K4362">
        <v>25554</v>
      </c>
      <c r="L4362">
        <v>27587</v>
      </c>
      <c r="M4362">
        <v>27587</v>
      </c>
      <c r="N4362" t="s">
        <v>988</v>
      </c>
    </row>
    <row r="4363" spans="1:14" hidden="1" x14ac:dyDescent="0.3">
      <c r="A4363">
        <v>2631</v>
      </c>
      <c r="B4363" t="s">
        <v>2075</v>
      </c>
      <c r="C4363" t="s">
        <v>2670</v>
      </c>
      <c r="D4363" t="s">
        <v>159</v>
      </c>
      <c r="E4363" t="s">
        <v>159</v>
      </c>
      <c r="F4363">
        <v>5420</v>
      </c>
      <c r="G4363" t="s">
        <v>2676</v>
      </c>
      <c r="H4363" t="s">
        <v>2664</v>
      </c>
      <c r="I4363">
        <v>23557</v>
      </c>
      <c r="J4363">
        <v>25423</v>
      </c>
      <c r="K4363">
        <v>27448</v>
      </c>
      <c r="L4363">
        <v>29638</v>
      </c>
      <c r="M4363">
        <v>29638</v>
      </c>
      <c r="N4363" t="s">
        <v>988</v>
      </c>
    </row>
    <row r="4364" spans="1:14" hidden="1" x14ac:dyDescent="0.3">
      <c r="A4364">
        <v>2631</v>
      </c>
      <c r="B4364" t="s">
        <v>2075</v>
      </c>
      <c r="C4364" t="s">
        <v>2670</v>
      </c>
      <c r="D4364" t="s">
        <v>159</v>
      </c>
      <c r="E4364" t="s">
        <v>159</v>
      </c>
      <c r="F4364">
        <v>5420</v>
      </c>
      <c r="G4364" t="s">
        <v>2673</v>
      </c>
      <c r="H4364" t="s">
        <v>2665</v>
      </c>
      <c r="I4364">
        <v>21943</v>
      </c>
      <c r="J4364">
        <v>23676</v>
      </c>
      <c r="K4364">
        <v>25554</v>
      </c>
      <c r="L4364">
        <v>27587</v>
      </c>
      <c r="M4364">
        <v>27587</v>
      </c>
      <c r="N4364" t="s">
        <v>988</v>
      </c>
    </row>
    <row r="4365" spans="1:14" hidden="1" x14ac:dyDescent="0.3">
      <c r="A4365">
        <v>2631</v>
      </c>
      <c r="B4365" t="s">
        <v>2075</v>
      </c>
      <c r="C4365" t="s">
        <v>2670</v>
      </c>
      <c r="D4365" t="s">
        <v>159</v>
      </c>
      <c r="E4365" t="s">
        <v>159</v>
      </c>
      <c r="F4365">
        <v>5420</v>
      </c>
      <c r="G4365" t="s">
        <v>2671</v>
      </c>
      <c r="H4365" t="s">
        <v>2664</v>
      </c>
      <c r="I4365">
        <v>23557</v>
      </c>
      <c r="J4365">
        <v>25423</v>
      </c>
      <c r="K4365">
        <v>27448</v>
      </c>
      <c r="L4365">
        <v>29638</v>
      </c>
      <c r="M4365">
        <v>29638</v>
      </c>
      <c r="N4365" t="s">
        <v>988</v>
      </c>
    </row>
    <row r="4366" spans="1:14" hidden="1" x14ac:dyDescent="0.3">
      <c r="A4366">
        <v>2631</v>
      </c>
      <c r="B4366" t="s">
        <v>2075</v>
      </c>
      <c r="C4366" t="s">
        <v>2670</v>
      </c>
      <c r="D4366" t="s">
        <v>159</v>
      </c>
      <c r="E4366" t="s">
        <v>159</v>
      </c>
      <c r="F4366">
        <v>5420</v>
      </c>
      <c r="G4366" t="s">
        <v>2671</v>
      </c>
      <c r="H4366" t="s">
        <v>2665</v>
      </c>
      <c r="I4366">
        <v>21943</v>
      </c>
      <c r="J4366">
        <v>23676</v>
      </c>
      <c r="K4366">
        <v>25554</v>
      </c>
      <c r="L4366">
        <v>27587</v>
      </c>
      <c r="M4366">
        <v>27587</v>
      </c>
      <c r="N4366" t="s">
        <v>988</v>
      </c>
    </row>
    <row r="4367" spans="1:14" hidden="1" x14ac:dyDescent="0.3">
      <c r="A4367">
        <v>2631</v>
      </c>
      <c r="B4367" t="s">
        <v>2075</v>
      </c>
      <c r="C4367" t="s">
        <v>2670</v>
      </c>
      <c r="D4367" t="s">
        <v>159</v>
      </c>
      <c r="E4367" t="s">
        <v>159</v>
      </c>
      <c r="F4367">
        <v>5420</v>
      </c>
      <c r="G4367" t="s">
        <v>2672</v>
      </c>
      <c r="H4367" t="s">
        <v>2664</v>
      </c>
      <c r="N4367" t="s">
        <v>988</v>
      </c>
    </row>
    <row r="4368" spans="1:14" hidden="1" x14ac:dyDescent="0.3">
      <c r="A4368">
        <v>2631</v>
      </c>
      <c r="B4368" t="s">
        <v>2075</v>
      </c>
      <c r="C4368" t="s">
        <v>2670</v>
      </c>
      <c r="D4368" t="s">
        <v>159</v>
      </c>
      <c r="E4368" t="s">
        <v>159</v>
      </c>
      <c r="F4368">
        <v>5420</v>
      </c>
      <c r="G4368" t="s">
        <v>2672</v>
      </c>
      <c r="H4368" t="s">
        <v>2665</v>
      </c>
      <c r="N4368" t="s">
        <v>988</v>
      </c>
    </row>
    <row r="4369" spans="1:14" hidden="1" x14ac:dyDescent="0.3">
      <c r="A4369">
        <v>2631</v>
      </c>
      <c r="B4369" t="s">
        <v>2075</v>
      </c>
      <c r="C4369" t="s">
        <v>2670</v>
      </c>
      <c r="D4369" t="s">
        <v>159</v>
      </c>
      <c r="E4369" t="s">
        <v>159</v>
      </c>
      <c r="F4369">
        <v>5420</v>
      </c>
      <c r="G4369" t="s">
        <v>2673</v>
      </c>
      <c r="H4369" t="s">
        <v>2664</v>
      </c>
      <c r="I4369">
        <v>23557</v>
      </c>
      <c r="J4369">
        <v>25423</v>
      </c>
      <c r="K4369">
        <v>27448</v>
      </c>
      <c r="L4369">
        <v>29638</v>
      </c>
      <c r="M4369">
        <v>29638</v>
      </c>
      <c r="N4369" t="s">
        <v>988</v>
      </c>
    </row>
    <row r="4370" spans="1:14" hidden="1" x14ac:dyDescent="0.3">
      <c r="A4370">
        <v>2633</v>
      </c>
      <c r="B4370" t="s">
        <v>2076</v>
      </c>
      <c r="C4370" t="s">
        <v>2670</v>
      </c>
      <c r="D4370" t="s">
        <v>1203</v>
      </c>
      <c r="E4370" t="s">
        <v>1204</v>
      </c>
      <c r="F4370">
        <v>5666</v>
      </c>
      <c r="G4370" t="s">
        <v>2676</v>
      </c>
      <c r="H4370" t="s">
        <v>2665</v>
      </c>
      <c r="I4370">
        <v>10860</v>
      </c>
      <c r="J4370">
        <v>10860</v>
      </c>
      <c r="K4370">
        <v>10860</v>
      </c>
      <c r="L4370">
        <v>10860</v>
      </c>
      <c r="M4370">
        <v>10860</v>
      </c>
      <c r="N4370" t="s">
        <v>988</v>
      </c>
    </row>
    <row r="4371" spans="1:14" hidden="1" x14ac:dyDescent="0.3">
      <c r="A4371">
        <v>2633</v>
      </c>
      <c r="B4371" t="s">
        <v>2076</v>
      </c>
      <c r="C4371" t="s">
        <v>2670</v>
      </c>
      <c r="D4371" t="s">
        <v>1203</v>
      </c>
      <c r="E4371" t="s">
        <v>1204</v>
      </c>
      <c r="F4371">
        <v>5666</v>
      </c>
      <c r="G4371" t="s">
        <v>2675</v>
      </c>
      <c r="H4371" t="s">
        <v>2664</v>
      </c>
      <c r="I4371">
        <v>10860</v>
      </c>
      <c r="J4371">
        <v>10860</v>
      </c>
      <c r="K4371">
        <v>10860</v>
      </c>
      <c r="L4371">
        <v>10860</v>
      </c>
      <c r="M4371">
        <v>10860</v>
      </c>
      <c r="N4371" t="s">
        <v>988</v>
      </c>
    </row>
    <row r="4372" spans="1:14" hidden="1" x14ac:dyDescent="0.3">
      <c r="A4372">
        <v>2633</v>
      </c>
      <c r="B4372" t="s">
        <v>2076</v>
      </c>
      <c r="C4372" t="s">
        <v>2670</v>
      </c>
      <c r="D4372" t="s">
        <v>1203</v>
      </c>
      <c r="E4372" t="s">
        <v>1204</v>
      </c>
      <c r="F4372">
        <v>5666</v>
      </c>
      <c r="G4372" t="s">
        <v>2675</v>
      </c>
      <c r="H4372" t="s">
        <v>2665</v>
      </c>
      <c r="I4372">
        <v>10860</v>
      </c>
      <c r="J4372">
        <v>10860</v>
      </c>
      <c r="K4372">
        <v>10860</v>
      </c>
      <c r="L4372">
        <v>10860</v>
      </c>
      <c r="M4372">
        <v>10860</v>
      </c>
      <c r="N4372" t="s">
        <v>988</v>
      </c>
    </row>
    <row r="4373" spans="1:14" hidden="1" x14ac:dyDescent="0.3">
      <c r="A4373">
        <v>2633</v>
      </c>
      <c r="B4373" t="s">
        <v>2076</v>
      </c>
      <c r="C4373" t="s">
        <v>2670</v>
      </c>
      <c r="D4373" t="s">
        <v>1203</v>
      </c>
      <c r="E4373" t="s">
        <v>1204</v>
      </c>
      <c r="F4373">
        <v>5666</v>
      </c>
      <c r="G4373" t="s">
        <v>2674</v>
      </c>
      <c r="H4373" t="s">
        <v>2664</v>
      </c>
      <c r="I4373">
        <v>10860</v>
      </c>
      <c r="J4373">
        <v>10860</v>
      </c>
      <c r="K4373">
        <v>10860</v>
      </c>
      <c r="L4373">
        <v>10860</v>
      </c>
      <c r="M4373">
        <v>10860</v>
      </c>
      <c r="N4373" t="s">
        <v>988</v>
      </c>
    </row>
    <row r="4374" spans="1:14" hidden="1" x14ac:dyDescent="0.3">
      <c r="A4374">
        <v>2633</v>
      </c>
      <c r="B4374" t="s">
        <v>2076</v>
      </c>
      <c r="C4374" t="s">
        <v>2670</v>
      </c>
      <c r="D4374" t="s">
        <v>1203</v>
      </c>
      <c r="E4374" t="s">
        <v>1204</v>
      </c>
      <c r="F4374">
        <v>5666</v>
      </c>
      <c r="G4374" t="s">
        <v>2674</v>
      </c>
      <c r="H4374" t="s">
        <v>2665</v>
      </c>
      <c r="I4374">
        <v>10860</v>
      </c>
      <c r="J4374">
        <v>10860</v>
      </c>
      <c r="K4374">
        <v>10860</v>
      </c>
      <c r="L4374">
        <v>10860</v>
      </c>
      <c r="M4374">
        <v>10860</v>
      </c>
      <c r="N4374" t="s">
        <v>988</v>
      </c>
    </row>
    <row r="4375" spans="1:14" hidden="1" x14ac:dyDescent="0.3">
      <c r="A4375">
        <v>2633</v>
      </c>
      <c r="B4375" t="s">
        <v>2076</v>
      </c>
      <c r="C4375" t="s">
        <v>2670</v>
      </c>
      <c r="D4375" t="s">
        <v>1203</v>
      </c>
      <c r="E4375" t="s">
        <v>1204</v>
      </c>
      <c r="F4375">
        <v>5666</v>
      </c>
      <c r="G4375" t="s">
        <v>2673</v>
      </c>
      <c r="H4375" t="s">
        <v>2664</v>
      </c>
      <c r="I4375">
        <v>10643</v>
      </c>
      <c r="J4375">
        <v>10643</v>
      </c>
      <c r="K4375">
        <v>10643</v>
      </c>
      <c r="L4375">
        <v>10643</v>
      </c>
      <c r="M4375">
        <v>10643</v>
      </c>
      <c r="N4375" t="s">
        <v>988</v>
      </c>
    </row>
    <row r="4376" spans="1:14" hidden="1" x14ac:dyDescent="0.3">
      <c r="A4376">
        <v>2633</v>
      </c>
      <c r="B4376" t="s">
        <v>2076</v>
      </c>
      <c r="C4376" t="s">
        <v>2670</v>
      </c>
      <c r="D4376" t="s">
        <v>1203</v>
      </c>
      <c r="E4376" t="s">
        <v>1204</v>
      </c>
      <c r="F4376">
        <v>5666</v>
      </c>
      <c r="G4376" t="s">
        <v>2673</v>
      </c>
      <c r="H4376" t="s">
        <v>2665</v>
      </c>
      <c r="I4376">
        <v>10643</v>
      </c>
      <c r="J4376">
        <v>10643</v>
      </c>
      <c r="K4376">
        <v>10643</v>
      </c>
      <c r="L4376">
        <v>10643</v>
      </c>
      <c r="M4376">
        <v>10643</v>
      </c>
      <c r="N4376" t="s">
        <v>988</v>
      </c>
    </row>
    <row r="4377" spans="1:14" hidden="1" x14ac:dyDescent="0.3">
      <c r="A4377">
        <v>2633</v>
      </c>
      <c r="B4377" t="s">
        <v>2076</v>
      </c>
      <c r="C4377" t="s">
        <v>2670</v>
      </c>
      <c r="D4377" t="s">
        <v>1203</v>
      </c>
      <c r="E4377" t="s">
        <v>1204</v>
      </c>
      <c r="F4377">
        <v>5666</v>
      </c>
      <c r="G4377" t="s">
        <v>2671</v>
      </c>
      <c r="H4377" t="s">
        <v>2664</v>
      </c>
      <c r="I4377">
        <v>10860</v>
      </c>
      <c r="J4377">
        <v>10860</v>
      </c>
      <c r="K4377">
        <v>10860</v>
      </c>
      <c r="L4377">
        <v>10860</v>
      </c>
      <c r="M4377">
        <v>10860</v>
      </c>
      <c r="N4377" t="s">
        <v>988</v>
      </c>
    </row>
    <row r="4378" spans="1:14" hidden="1" x14ac:dyDescent="0.3">
      <c r="A4378">
        <v>2633</v>
      </c>
      <c r="B4378" t="s">
        <v>2076</v>
      </c>
      <c r="C4378" t="s">
        <v>2670</v>
      </c>
      <c r="D4378" t="s">
        <v>1203</v>
      </c>
      <c r="E4378" t="s">
        <v>1204</v>
      </c>
      <c r="F4378">
        <v>5666</v>
      </c>
      <c r="G4378" t="s">
        <v>2671</v>
      </c>
      <c r="H4378" t="s">
        <v>2665</v>
      </c>
      <c r="I4378">
        <v>10860</v>
      </c>
      <c r="J4378">
        <v>10860</v>
      </c>
      <c r="K4378">
        <v>10860</v>
      </c>
      <c r="L4378">
        <v>10860</v>
      </c>
      <c r="M4378">
        <v>10860</v>
      </c>
      <c r="N4378" t="s">
        <v>988</v>
      </c>
    </row>
    <row r="4379" spans="1:14" hidden="1" x14ac:dyDescent="0.3">
      <c r="A4379">
        <v>2633</v>
      </c>
      <c r="B4379" t="s">
        <v>2076</v>
      </c>
      <c r="C4379" t="s">
        <v>2670</v>
      </c>
      <c r="D4379" t="s">
        <v>1203</v>
      </c>
      <c r="E4379" t="s">
        <v>1204</v>
      </c>
      <c r="F4379">
        <v>5666</v>
      </c>
      <c r="G4379" t="s">
        <v>2672</v>
      </c>
      <c r="H4379" t="s">
        <v>2664</v>
      </c>
      <c r="N4379" t="s">
        <v>988</v>
      </c>
    </row>
    <row r="4380" spans="1:14" hidden="1" x14ac:dyDescent="0.3">
      <c r="A4380">
        <v>2633</v>
      </c>
      <c r="B4380" t="s">
        <v>2076</v>
      </c>
      <c r="C4380" t="s">
        <v>2670</v>
      </c>
      <c r="D4380" t="s">
        <v>1203</v>
      </c>
      <c r="E4380" t="s">
        <v>1204</v>
      </c>
      <c r="F4380">
        <v>5666</v>
      </c>
      <c r="G4380" t="s">
        <v>2672</v>
      </c>
      <c r="H4380" t="s">
        <v>2665</v>
      </c>
      <c r="N4380" t="s">
        <v>988</v>
      </c>
    </row>
    <row r="4381" spans="1:14" hidden="1" x14ac:dyDescent="0.3">
      <c r="A4381">
        <v>2633</v>
      </c>
      <c r="B4381" t="s">
        <v>2076</v>
      </c>
      <c r="C4381" t="s">
        <v>2670</v>
      </c>
      <c r="D4381" t="s">
        <v>1203</v>
      </c>
      <c r="E4381" t="s">
        <v>1204</v>
      </c>
      <c r="F4381">
        <v>5666</v>
      </c>
      <c r="G4381" t="s">
        <v>2676</v>
      </c>
      <c r="H4381" t="s">
        <v>2664</v>
      </c>
      <c r="I4381">
        <v>10860</v>
      </c>
      <c r="J4381">
        <v>10860</v>
      </c>
      <c r="K4381">
        <v>10860</v>
      </c>
      <c r="L4381">
        <v>10860</v>
      </c>
      <c r="M4381">
        <v>10860</v>
      </c>
      <c r="N4381" t="s">
        <v>988</v>
      </c>
    </row>
    <row r="4382" spans="1:14" hidden="1" x14ac:dyDescent="0.3">
      <c r="A4382">
        <v>2635</v>
      </c>
      <c r="B4382" t="s">
        <v>2078</v>
      </c>
      <c r="C4382" t="s">
        <v>2670</v>
      </c>
      <c r="D4382" t="s">
        <v>1203</v>
      </c>
      <c r="E4382" t="s">
        <v>1204</v>
      </c>
      <c r="F4382">
        <v>5692</v>
      </c>
      <c r="G4382" t="s">
        <v>2672</v>
      </c>
      <c r="H4382" t="s">
        <v>2665</v>
      </c>
      <c r="N4382" t="s">
        <v>988</v>
      </c>
    </row>
    <row r="4383" spans="1:14" hidden="1" x14ac:dyDescent="0.3">
      <c r="A4383">
        <v>2635</v>
      </c>
      <c r="B4383" t="s">
        <v>2078</v>
      </c>
      <c r="C4383" t="s">
        <v>2670</v>
      </c>
      <c r="D4383" t="s">
        <v>1203</v>
      </c>
      <c r="E4383" t="s">
        <v>1204</v>
      </c>
      <c r="F4383">
        <v>5692</v>
      </c>
      <c r="G4383" t="s">
        <v>2672</v>
      </c>
      <c r="H4383" t="s">
        <v>2664</v>
      </c>
      <c r="N4383" t="s">
        <v>988</v>
      </c>
    </row>
    <row r="4384" spans="1:14" hidden="1" x14ac:dyDescent="0.3">
      <c r="A4384">
        <v>2635</v>
      </c>
      <c r="B4384" t="s">
        <v>2078</v>
      </c>
      <c r="C4384" t="s">
        <v>2670</v>
      </c>
      <c r="D4384" t="s">
        <v>1203</v>
      </c>
      <c r="E4384" t="s">
        <v>1204</v>
      </c>
      <c r="F4384">
        <v>5692</v>
      </c>
      <c r="G4384" t="s">
        <v>2676</v>
      </c>
      <c r="H4384" t="s">
        <v>2664</v>
      </c>
      <c r="I4384">
        <v>26505</v>
      </c>
      <c r="J4384">
        <v>28969</v>
      </c>
      <c r="K4384">
        <v>30165</v>
      </c>
      <c r="L4384">
        <v>31299</v>
      </c>
      <c r="M4384">
        <v>32699</v>
      </c>
      <c r="N4384" t="s">
        <v>988</v>
      </c>
    </row>
    <row r="4385" spans="1:14" hidden="1" x14ac:dyDescent="0.3">
      <c r="A4385">
        <v>2635</v>
      </c>
      <c r="B4385" t="s">
        <v>2078</v>
      </c>
      <c r="C4385" t="s">
        <v>2670</v>
      </c>
      <c r="D4385" t="s">
        <v>1203</v>
      </c>
      <c r="E4385" t="s">
        <v>1204</v>
      </c>
      <c r="F4385">
        <v>5692</v>
      </c>
      <c r="G4385" t="s">
        <v>2676</v>
      </c>
      <c r="H4385" t="s">
        <v>2665</v>
      </c>
      <c r="I4385">
        <v>26505</v>
      </c>
      <c r="J4385">
        <v>28969</v>
      </c>
      <c r="K4385">
        <v>30165</v>
      </c>
      <c r="L4385">
        <v>31299</v>
      </c>
      <c r="M4385">
        <v>32699</v>
      </c>
      <c r="N4385" t="s">
        <v>988</v>
      </c>
    </row>
    <row r="4386" spans="1:14" hidden="1" x14ac:dyDescent="0.3">
      <c r="A4386">
        <v>2635</v>
      </c>
      <c r="B4386" t="s">
        <v>2078</v>
      </c>
      <c r="C4386" t="s">
        <v>2670</v>
      </c>
      <c r="D4386" t="s">
        <v>1203</v>
      </c>
      <c r="E4386" t="s">
        <v>1204</v>
      </c>
      <c r="F4386">
        <v>5692</v>
      </c>
      <c r="G4386" t="s">
        <v>2675</v>
      </c>
      <c r="H4386" t="s">
        <v>2664</v>
      </c>
      <c r="I4386">
        <v>26505</v>
      </c>
      <c r="J4386">
        <v>28969</v>
      </c>
      <c r="K4386">
        <v>30165</v>
      </c>
      <c r="L4386">
        <v>31299</v>
      </c>
      <c r="M4386">
        <v>32699</v>
      </c>
      <c r="N4386" t="s">
        <v>988</v>
      </c>
    </row>
    <row r="4387" spans="1:14" hidden="1" x14ac:dyDescent="0.3">
      <c r="A4387">
        <v>2635</v>
      </c>
      <c r="B4387" t="s">
        <v>2078</v>
      </c>
      <c r="C4387" t="s">
        <v>2670</v>
      </c>
      <c r="D4387" t="s">
        <v>1203</v>
      </c>
      <c r="E4387" t="s">
        <v>1204</v>
      </c>
      <c r="F4387">
        <v>5692</v>
      </c>
      <c r="G4387" t="s">
        <v>2675</v>
      </c>
      <c r="H4387" t="s">
        <v>2665</v>
      </c>
      <c r="I4387">
        <v>26505</v>
      </c>
      <c r="J4387">
        <v>28969</v>
      </c>
      <c r="K4387">
        <v>30165</v>
      </c>
      <c r="L4387">
        <v>31299</v>
      </c>
      <c r="M4387">
        <v>32699</v>
      </c>
      <c r="N4387" t="s">
        <v>988</v>
      </c>
    </row>
    <row r="4388" spans="1:14" hidden="1" x14ac:dyDescent="0.3">
      <c r="A4388">
        <v>2635</v>
      </c>
      <c r="B4388" t="s">
        <v>2078</v>
      </c>
      <c r="C4388" t="s">
        <v>2670</v>
      </c>
      <c r="D4388" t="s">
        <v>1203</v>
      </c>
      <c r="E4388" t="s">
        <v>1204</v>
      </c>
      <c r="F4388">
        <v>5692</v>
      </c>
      <c r="G4388" t="s">
        <v>2674</v>
      </c>
      <c r="H4388" t="s">
        <v>2664</v>
      </c>
      <c r="I4388">
        <v>26505</v>
      </c>
      <c r="J4388">
        <v>28969</v>
      </c>
      <c r="K4388">
        <v>30165</v>
      </c>
      <c r="L4388">
        <v>31299</v>
      </c>
      <c r="M4388">
        <v>32699</v>
      </c>
      <c r="N4388" t="s">
        <v>988</v>
      </c>
    </row>
    <row r="4389" spans="1:14" hidden="1" x14ac:dyDescent="0.3">
      <c r="A4389">
        <v>2635</v>
      </c>
      <c r="B4389" t="s">
        <v>2078</v>
      </c>
      <c r="C4389" t="s">
        <v>2670</v>
      </c>
      <c r="D4389" t="s">
        <v>1203</v>
      </c>
      <c r="E4389" t="s">
        <v>1204</v>
      </c>
      <c r="F4389">
        <v>5692</v>
      </c>
      <c r="G4389" t="s">
        <v>2674</v>
      </c>
      <c r="H4389" t="s">
        <v>2665</v>
      </c>
      <c r="I4389">
        <v>26505</v>
      </c>
      <c r="J4389">
        <v>28969</v>
      </c>
      <c r="K4389">
        <v>30165</v>
      </c>
      <c r="L4389">
        <v>31299</v>
      </c>
      <c r="M4389">
        <v>32699</v>
      </c>
      <c r="N4389" t="s">
        <v>988</v>
      </c>
    </row>
    <row r="4390" spans="1:14" hidden="1" x14ac:dyDescent="0.3">
      <c r="A4390">
        <v>2635</v>
      </c>
      <c r="B4390" t="s">
        <v>2078</v>
      </c>
      <c r="C4390" t="s">
        <v>2670</v>
      </c>
      <c r="D4390" t="s">
        <v>1203</v>
      </c>
      <c r="E4390" t="s">
        <v>1204</v>
      </c>
      <c r="F4390">
        <v>5692</v>
      </c>
      <c r="G4390" t="s">
        <v>2673</v>
      </c>
      <c r="H4390" t="s">
        <v>2664</v>
      </c>
      <c r="I4390">
        <v>26505</v>
      </c>
      <c r="J4390">
        <v>28969</v>
      </c>
      <c r="K4390">
        <v>30165</v>
      </c>
      <c r="L4390">
        <v>31299</v>
      </c>
      <c r="M4390">
        <v>32699</v>
      </c>
      <c r="N4390" t="s">
        <v>988</v>
      </c>
    </row>
    <row r="4391" spans="1:14" hidden="1" x14ac:dyDescent="0.3">
      <c r="A4391">
        <v>2635</v>
      </c>
      <c r="B4391" t="s">
        <v>2078</v>
      </c>
      <c r="C4391" t="s">
        <v>2670</v>
      </c>
      <c r="D4391" t="s">
        <v>1203</v>
      </c>
      <c r="E4391" t="s">
        <v>1204</v>
      </c>
      <c r="F4391">
        <v>5692</v>
      </c>
      <c r="G4391" t="s">
        <v>2673</v>
      </c>
      <c r="H4391" t="s">
        <v>2665</v>
      </c>
      <c r="I4391">
        <v>26505</v>
      </c>
      <c r="J4391">
        <v>28969</v>
      </c>
      <c r="K4391">
        <v>30165</v>
      </c>
      <c r="L4391">
        <v>31299</v>
      </c>
      <c r="M4391">
        <v>32699</v>
      </c>
      <c r="N4391" t="s">
        <v>988</v>
      </c>
    </row>
    <row r="4392" spans="1:14" hidden="1" x14ac:dyDescent="0.3">
      <c r="A4392">
        <v>2635</v>
      </c>
      <c r="B4392" t="s">
        <v>2078</v>
      </c>
      <c r="C4392" t="s">
        <v>2670</v>
      </c>
      <c r="D4392" t="s">
        <v>1203</v>
      </c>
      <c r="E4392" t="s">
        <v>1204</v>
      </c>
      <c r="F4392">
        <v>5692</v>
      </c>
      <c r="G4392" t="s">
        <v>2671</v>
      </c>
      <c r="H4392" t="s">
        <v>2664</v>
      </c>
      <c r="I4392">
        <v>26505</v>
      </c>
      <c r="J4392">
        <v>28969</v>
      </c>
      <c r="K4392">
        <v>30165</v>
      </c>
      <c r="L4392">
        <v>31299</v>
      </c>
      <c r="M4392">
        <v>32699</v>
      </c>
      <c r="N4392" t="s">
        <v>988</v>
      </c>
    </row>
    <row r="4393" spans="1:14" hidden="1" x14ac:dyDescent="0.3">
      <c r="A4393">
        <v>2635</v>
      </c>
      <c r="B4393" t="s">
        <v>2078</v>
      </c>
      <c r="C4393" t="s">
        <v>2670</v>
      </c>
      <c r="D4393" t="s">
        <v>1203</v>
      </c>
      <c r="E4393" t="s">
        <v>1204</v>
      </c>
      <c r="F4393">
        <v>5692</v>
      </c>
      <c r="G4393" t="s">
        <v>2671</v>
      </c>
      <c r="H4393" t="s">
        <v>2665</v>
      </c>
      <c r="I4393">
        <v>26505</v>
      </c>
      <c r="J4393">
        <v>28969</v>
      </c>
      <c r="K4393">
        <v>30165</v>
      </c>
      <c r="L4393">
        <v>31299</v>
      </c>
      <c r="M4393">
        <v>32699</v>
      </c>
      <c r="N4393" t="s">
        <v>988</v>
      </c>
    </row>
    <row r="4394" spans="1:14" hidden="1" x14ac:dyDescent="0.3">
      <c r="A4394">
        <v>2649</v>
      </c>
      <c r="B4394" t="s">
        <v>2079</v>
      </c>
      <c r="C4394" t="s">
        <v>2670</v>
      </c>
      <c r="D4394" t="s">
        <v>1203</v>
      </c>
      <c r="E4394" t="s">
        <v>1204</v>
      </c>
      <c r="F4394">
        <v>5924</v>
      </c>
      <c r="G4394" t="s">
        <v>2676</v>
      </c>
      <c r="H4394" t="s">
        <v>2664</v>
      </c>
      <c r="I4394">
        <v>20415</v>
      </c>
      <c r="J4394">
        <v>21579</v>
      </c>
      <c r="K4394">
        <v>22398</v>
      </c>
      <c r="L4394">
        <v>23268</v>
      </c>
      <c r="M4394">
        <v>23900</v>
      </c>
      <c r="N4394" t="s">
        <v>988</v>
      </c>
    </row>
    <row r="4395" spans="1:14" hidden="1" x14ac:dyDescent="0.3">
      <c r="A4395">
        <v>2649</v>
      </c>
      <c r="B4395" t="s">
        <v>2079</v>
      </c>
      <c r="C4395" t="s">
        <v>2670</v>
      </c>
      <c r="D4395" t="s">
        <v>1203</v>
      </c>
      <c r="E4395" t="s">
        <v>1204</v>
      </c>
      <c r="F4395">
        <v>5924</v>
      </c>
      <c r="G4395" t="s">
        <v>2675</v>
      </c>
      <c r="H4395" t="s">
        <v>2664</v>
      </c>
      <c r="I4395">
        <v>20648</v>
      </c>
      <c r="J4395">
        <v>21743</v>
      </c>
      <c r="K4395">
        <v>22572</v>
      </c>
      <c r="L4395">
        <v>23394</v>
      </c>
      <c r="M4395">
        <v>24029</v>
      </c>
      <c r="N4395" t="s">
        <v>988</v>
      </c>
    </row>
    <row r="4396" spans="1:14" hidden="1" x14ac:dyDescent="0.3">
      <c r="A4396">
        <v>2649</v>
      </c>
      <c r="B4396" t="s">
        <v>2079</v>
      </c>
      <c r="C4396" t="s">
        <v>2670</v>
      </c>
      <c r="D4396" t="s">
        <v>1203</v>
      </c>
      <c r="E4396" t="s">
        <v>1204</v>
      </c>
      <c r="F4396">
        <v>5924</v>
      </c>
      <c r="G4396" t="s">
        <v>2675</v>
      </c>
      <c r="H4396" t="s">
        <v>2665</v>
      </c>
      <c r="I4396">
        <v>20648</v>
      </c>
      <c r="J4396">
        <v>21743</v>
      </c>
      <c r="K4396">
        <v>22572</v>
      </c>
      <c r="L4396">
        <v>23394</v>
      </c>
      <c r="M4396">
        <v>24029</v>
      </c>
      <c r="N4396" t="s">
        <v>988</v>
      </c>
    </row>
    <row r="4397" spans="1:14" hidden="1" x14ac:dyDescent="0.3">
      <c r="A4397">
        <v>2649</v>
      </c>
      <c r="B4397" t="s">
        <v>2079</v>
      </c>
      <c r="C4397" t="s">
        <v>2670</v>
      </c>
      <c r="D4397" t="s">
        <v>1203</v>
      </c>
      <c r="E4397" t="s">
        <v>1204</v>
      </c>
      <c r="F4397">
        <v>5924</v>
      </c>
      <c r="G4397" t="s">
        <v>2674</v>
      </c>
      <c r="H4397" t="s">
        <v>2664</v>
      </c>
      <c r="I4397">
        <v>20881</v>
      </c>
      <c r="J4397">
        <v>21907</v>
      </c>
      <c r="K4397">
        <v>22746</v>
      </c>
      <c r="L4397">
        <v>23521</v>
      </c>
      <c r="M4397">
        <v>24158</v>
      </c>
      <c r="N4397" t="s">
        <v>988</v>
      </c>
    </row>
    <row r="4398" spans="1:14" hidden="1" x14ac:dyDescent="0.3">
      <c r="A4398">
        <v>2649</v>
      </c>
      <c r="B4398" t="s">
        <v>2079</v>
      </c>
      <c r="C4398" t="s">
        <v>2670</v>
      </c>
      <c r="D4398" t="s">
        <v>1203</v>
      </c>
      <c r="E4398" t="s">
        <v>1204</v>
      </c>
      <c r="F4398">
        <v>5924</v>
      </c>
      <c r="G4398" t="s">
        <v>2674</v>
      </c>
      <c r="H4398" t="s">
        <v>2665</v>
      </c>
      <c r="I4398">
        <v>20881</v>
      </c>
      <c r="J4398">
        <v>21907</v>
      </c>
      <c r="K4398">
        <v>22746</v>
      </c>
      <c r="L4398">
        <v>23521</v>
      </c>
      <c r="M4398">
        <v>24158</v>
      </c>
      <c r="N4398" t="s">
        <v>988</v>
      </c>
    </row>
    <row r="4399" spans="1:14" hidden="1" x14ac:dyDescent="0.3">
      <c r="A4399">
        <v>2649</v>
      </c>
      <c r="B4399" t="s">
        <v>2079</v>
      </c>
      <c r="C4399" t="s">
        <v>2670</v>
      </c>
      <c r="D4399" t="s">
        <v>1203</v>
      </c>
      <c r="E4399" t="s">
        <v>1204</v>
      </c>
      <c r="F4399">
        <v>5924</v>
      </c>
      <c r="G4399" t="s">
        <v>2676</v>
      </c>
      <c r="H4399" t="s">
        <v>2665</v>
      </c>
      <c r="I4399">
        <v>20415</v>
      </c>
      <c r="J4399">
        <v>21579</v>
      </c>
      <c r="K4399">
        <v>22398</v>
      </c>
      <c r="L4399">
        <v>23268</v>
      </c>
      <c r="M4399">
        <v>23900</v>
      </c>
      <c r="N4399" t="s">
        <v>988</v>
      </c>
    </row>
    <row r="4400" spans="1:14" hidden="1" x14ac:dyDescent="0.3">
      <c r="A4400">
        <v>2649</v>
      </c>
      <c r="B4400" t="s">
        <v>2079</v>
      </c>
      <c r="C4400" t="s">
        <v>2670</v>
      </c>
      <c r="D4400" t="s">
        <v>1203</v>
      </c>
      <c r="E4400" t="s">
        <v>1204</v>
      </c>
      <c r="F4400">
        <v>5924</v>
      </c>
      <c r="G4400" t="s">
        <v>2673</v>
      </c>
      <c r="H4400" t="s">
        <v>2665</v>
      </c>
      <c r="I4400">
        <v>21113</v>
      </c>
      <c r="J4400">
        <v>22070</v>
      </c>
      <c r="K4400">
        <v>22920</v>
      </c>
      <c r="L4400">
        <v>23647</v>
      </c>
      <c r="M4400">
        <v>24287</v>
      </c>
      <c r="N4400" t="s">
        <v>988</v>
      </c>
    </row>
    <row r="4401" spans="1:14" hidden="1" x14ac:dyDescent="0.3">
      <c r="A4401">
        <v>2649</v>
      </c>
      <c r="B4401" t="s">
        <v>2079</v>
      </c>
      <c r="C4401" t="s">
        <v>2670</v>
      </c>
      <c r="D4401" t="s">
        <v>1203</v>
      </c>
      <c r="E4401" t="s">
        <v>1204</v>
      </c>
      <c r="F4401">
        <v>5924</v>
      </c>
      <c r="G4401" t="s">
        <v>2671</v>
      </c>
      <c r="H4401" t="s">
        <v>2664</v>
      </c>
      <c r="I4401">
        <v>21346</v>
      </c>
      <c r="J4401">
        <v>22234</v>
      </c>
      <c r="K4401">
        <v>23094</v>
      </c>
      <c r="L4401">
        <v>23774</v>
      </c>
      <c r="M4401">
        <v>24416</v>
      </c>
      <c r="N4401" t="s">
        <v>988</v>
      </c>
    </row>
    <row r="4402" spans="1:14" hidden="1" x14ac:dyDescent="0.3">
      <c r="A4402">
        <v>2649</v>
      </c>
      <c r="B4402" t="s">
        <v>2079</v>
      </c>
      <c r="C4402" t="s">
        <v>2670</v>
      </c>
      <c r="D4402" t="s">
        <v>1203</v>
      </c>
      <c r="E4402" t="s">
        <v>1204</v>
      </c>
      <c r="F4402">
        <v>5924</v>
      </c>
      <c r="G4402" t="s">
        <v>2671</v>
      </c>
      <c r="H4402" t="s">
        <v>2665</v>
      </c>
      <c r="I4402">
        <v>21346</v>
      </c>
      <c r="J4402">
        <v>22234</v>
      </c>
      <c r="K4402">
        <v>23094</v>
      </c>
      <c r="L4402">
        <v>23774</v>
      </c>
      <c r="M4402">
        <v>24416</v>
      </c>
      <c r="N4402" t="s">
        <v>988</v>
      </c>
    </row>
    <row r="4403" spans="1:14" hidden="1" x14ac:dyDescent="0.3">
      <c r="A4403">
        <v>2649</v>
      </c>
      <c r="B4403" t="s">
        <v>2079</v>
      </c>
      <c r="C4403" t="s">
        <v>2670</v>
      </c>
      <c r="D4403" t="s">
        <v>1203</v>
      </c>
      <c r="E4403" t="s">
        <v>1204</v>
      </c>
      <c r="F4403">
        <v>5924</v>
      </c>
      <c r="G4403" t="s">
        <v>2672</v>
      </c>
      <c r="H4403" t="s">
        <v>2664</v>
      </c>
      <c r="I4403">
        <v>21579</v>
      </c>
      <c r="J4403">
        <v>22398</v>
      </c>
      <c r="K4403">
        <v>23268</v>
      </c>
      <c r="L4403">
        <v>23900</v>
      </c>
      <c r="M4403">
        <v>24545</v>
      </c>
      <c r="N4403" t="s">
        <v>988</v>
      </c>
    </row>
    <row r="4404" spans="1:14" hidden="1" x14ac:dyDescent="0.3">
      <c r="A4404">
        <v>2649</v>
      </c>
      <c r="B4404" t="s">
        <v>2079</v>
      </c>
      <c r="C4404" t="s">
        <v>2670</v>
      </c>
      <c r="D4404" t="s">
        <v>1203</v>
      </c>
      <c r="E4404" t="s">
        <v>1204</v>
      </c>
      <c r="F4404">
        <v>5924</v>
      </c>
      <c r="G4404" t="s">
        <v>2672</v>
      </c>
      <c r="H4404" t="s">
        <v>2665</v>
      </c>
      <c r="I4404">
        <v>21579</v>
      </c>
      <c r="J4404">
        <v>22398</v>
      </c>
      <c r="K4404">
        <v>23268</v>
      </c>
      <c r="L4404">
        <v>23900</v>
      </c>
      <c r="M4404">
        <v>24545</v>
      </c>
      <c r="N4404" t="s">
        <v>988</v>
      </c>
    </row>
    <row r="4405" spans="1:14" hidden="1" x14ac:dyDescent="0.3">
      <c r="A4405">
        <v>2649</v>
      </c>
      <c r="B4405" t="s">
        <v>2079</v>
      </c>
      <c r="C4405" t="s">
        <v>2670</v>
      </c>
      <c r="D4405" t="s">
        <v>1203</v>
      </c>
      <c r="E4405" t="s">
        <v>1204</v>
      </c>
      <c r="F4405">
        <v>5924</v>
      </c>
      <c r="G4405" t="s">
        <v>2673</v>
      </c>
      <c r="H4405" t="s">
        <v>2664</v>
      </c>
      <c r="I4405">
        <v>21113</v>
      </c>
      <c r="J4405">
        <v>22070</v>
      </c>
      <c r="K4405">
        <v>22920</v>
      </c>
      <c r="L4405">
        <v>23647</v>
      </c>
      <c r="M4405">
        <v>24287</v>
      </c>
      <c r="N4405" t="s">
        <v>988</v>
      </c>
    </row>
    <row r="4406" spans="1:14" hidden="1" x14ac:dyDescent="0.3">
      <c r="A4406">
        <v>2661</v>
      </c>
      <c r="B4406" t="s">
        <v>2084</v>
      </c>
      <c r="C4406" t="s">
        <v>2670</v>
      </c>
      <c r="D4406" t="s">
        <v>1203</v>
      </c>
      <c r="E4406" t="s">
        <v>1204</v>
      </c>
      <c r="F4406">
        <v>5527</v>
      </c>
      <c r="G4406" t="s">
        <v>2676</v>
      </c>
      <c r="H4406" t="s">
        <v>2665</v>
      </c>
      <c r="I4406">
        <v>22300</v>
      </c>
      <c r="J4406">
        <v>22574</v>
      </c>
      <c r="K4406">
        <v>22853</v>
      </c>
      <c r="L4406">
        <v>23113</v>
      </c>
      <c r="M4406">
        <v>23377</v>
      </c>
      <c r="N4406" t="s">
        <v>988</v>
      </c>
    </row>
    <row r="4407" spans="1:14" hidden="1" x14ac:dyDescent="0.3">
      <c r="A4407">
        <v>2661</v>
      </c>
      <c r="B4407" t="s">
        <v>2084</v>
      </c>
      <c r="C4407" t="s">
        <v>2670</v>
      </c>
      <c r="D4407" t="s">
        <v>1203</v>
      </c>
      <c r="E4407" t="s">
        <v>1204</v>
      </c>
      <c r="F4407">
        <v>5527</v>
      </c>
      <c r="G4407" t="s">
        <v>2675</v>
      </c>
      <c r="H4407" t="s">
        <v>2664</v>
      </c>
      <c r="I4407">
        <v>22965</v>
      </c>
      <c r="J4407">
        <v>23247</v>
      </c>
      <c r="K4407">
        <v>23534</v>
      </c>
      <c r="L4407">
        <v>23801</v>
      </c>
      <c r="M4407">
        <v>24073</v>
      </c>
      <c r="N4407" t="s">
        <v>988</v>
      </c>
    </row>
    <row r="4408" spans="1:14" hidden="1" x14ac:dyDescent="0.3">
      <c r="A4408">
        <v>2661</v>
      </c>
      <c r="B4408" t="s">
        <v>2084</v>
      </c>
      <c r="C4408" t="s">
        <v>2670</v>
      </c>
      <c r="D4408" t="s">
        <v>1203</v>
      </c>
      <c r="E4408" t="s">
        <v>1204</v>
      </c>
      <c r="F4408">
        <v>5527</v>
      </c>
      <c r="G4408" t="s">
        <v>2675</v>
      </c>
      <c r="H4408" t="s">
        <v>2665</v>
      </c>
      <c r="I4408">
        <v>22965</v>
      </c>
      <c r="J4408">
        <v>23247</v>
      </c>
      <c r="K4408">
        <v>23534</v>
      </c>
      <c r="L4408">
        <v>23801</v>
      </c>
      <c r="M4408">
        <v>24073</v>
      </c>
      <c r="N4408" t="s">
        <v>988</v>
      </c>
    </row>
    <row r="4409" spans="1:14" hidden="1" x14ac:dyDescent="0.3">
      <c r="A4409">
        <v>2661</v>
      </c>
      <c r="B4409" t="s">
        <v>2084</v>
      </c>
      <c r="C4409" t="s">
        <v>2670</v>
      </c>
      <c r="D4409" t="s">
        <v>1203</v>
      </c>
      <c r="E4409" t="s">
        <v>1204</v>
      </c>
      <c r="F4409">
        <v>5527</v>
      </c>
      <c r="G4409" t="s">
        <v>2674</v>
      </c>
      <c r="H4409" t="s">
        <v>2664</v>
      </c>
      <c r="I4409">
        <v>23580</v>
      </c>
      <c r="J4409">
        <v>23869</v>
      </c>
      <c r="K4409">
        <v>24164</v>
      </c>
      <c r="L4409">
        <v>24439</v>
      </c>
      <c r="M4409">
        <v>24718</v>
      </c>
      <c r="N4409" t="s">
        <v>988</v>
      </c>
    </row>
    <row r="4410" spans="1:14" hidden="1" x14ac:dyDescent="0.3">
      <c r="A4410">
        <v>2661</v>
      </c>
      <c r="B4410" t="s">
        <v>2084</v>
      </c>
      <c r="C4410" t="s">
        <v>2670</v>
      </c>
      <c r="D4410" t="s">
        <v>1203</v>
      </c>
      <c r="E4410" t="s">
        <v>1204</v>
      </c>
      <c r="F4410">
        <v>5527</v>
      </c>
      <c r="G4410" t="s">
        <v>2674</v>
      </c>
      <c r="H4410" t="s">
        <v>2665</v>
      </c>
      <c r="I4410">
        <v>23580</v>
      </c>
      <c r="J4410">
        <v>23869</v>
      </c>
      <c r="K4410">
        <v>24164</v>
      </c>
      <c r="L4410">
        <v>24439</v>
      </c>
      <c r="M4410">
        <v>24718</v>
      </c>
      <c r="N4410" t="s">
        <v>988</v>
      </c>
    </row>
    <row r="4411" spans="1:14" hidden="1" x14ac:dyDescent="0.3">
      <c r="A4411">
        <v>2661</v>
      </c>
      <c r="B4411" t="s">
        <v>2084</v>
      </c>
      <c r="C4411" t="s">
        <v>2670</v>
      </c>
      <c r="D4411" t="s">
        <v>1203</v>
      </c>
      <c r="E4411" t="s">
        <v>1204</v>
      </c>
      <c r="F4411">
        <v>5527</v>
      </c>
      <c r="G4411" t="s">
        <v>2676</v>
      </c>
      <c r="H4411" t="s">
        <v>2664</v>
      </c>
      <c r="I4411">
        <v>22300</v>
      </c>
      <c r="J4411">
        <v>22574</v>
      </c>
      <c r="K4411">
        <v>22853</v>
      </c>
      <c r="L4411">
        <v>23113</v>
      </c>
      <c r="M4411">
        <v>23377</v>
      </c>
      <c r="N4411" t="s">
        <v>988</v>
      </c>
    </row>
    <row r="4412" spans="1:14" hidden="1" x14ac:dyDescent="0.3">
      <c r="A4412">
        <v>2661</v>
      </c>
      <c r="B4412" t="s">
        <v>2084</v>
      </c>
      <c r="C4412" t="s">
        <v>2670</v>
      </c>
      <c r="D4412" t="s">
        <v>1203</v>
      </c>
      <c r="E4412" t="s">
        <v>1204</v>
      </c>
      <c r="F4412">
        <v>5527</v>
      </c>
      <c r="G4412" t="s">
        <v>2673</v>
      </c>
      <c r="H4412" t="s">
        <v>2665</v>
      </c>
      <c r="I4412">
        <v>21118</v>
      </c>
      <c r="J4412">
        <v>21378</v>
      </c>
      <c r="K4412">
        <v>21641</v>
      </c>
      <c r="L4412">
        <v>21888</v>
      </c>
      <c r="M4412">
        <v>22138</v>
      </c>
      <c r="N4412" t="s">
        <v>988</v>
      </c>
    </row>
    <row r="4413" spans="1:14" hidden="1" x14ac:dyDescent="0.3">
      <c r="A4413">
        <v>2661</v>
      </c>
      <c r="B4413" t="s">
        <v>2084</v>
      </c>
      <c r="C4413" t="s">
        <v>2670</v>
      </c>
      <c r="D4413" t="s">
        <v>1203</v>
      </c>
      <c r="E4413" t="s">
        <v>1204</v>
      </c>
      <c r="F4413">
        <v>5527</v>
      </c>
      <c r="G4413" t="s">
        <v>2671</v>
      </c>
      <c r="H4413" t="s">
        <v>2664</v>
      </c>
      <c r="I4413">
        <v>17896</v>
      </c>
      <c r="J4413">
        <v>18116</v>
      </c>
      <c r="K4413">
        <v>18340</v>
      </c>
      <c r="L4413">
        <v>18548</v>
      </c>
      <c r="M4413">
        <v>18760</v>
      </c>
      <c r="N4413" t="s">
        <v>988</v>
      </c>
    </row>
    <row r="4414" spans="1:14" hidden="1" x14ac:dyDescent="0.3">
      <c r="A4414">
        <v>2661</v>
      </c>
      <c r="B4414" t="s">
        <v>2084</v>
      </c>
      <c r="C4414" t="s">
        <v>2670</v>
      </c>
      <c r="D4414" t="s">
        <v>1203</v>
      </c>
      <c r="E4414" t="s">
        <v>1204</v>
      </c>
      <c r="F4414">
        <v>5527</v>
      </c>
      <c r="G4414" t="s">
        <v>2671</v>
      </c>
      <c r="H4414" t="s">
        <v>2665</v>
      </c>
      <c r="I4414">
        <v>17896</v>
      </c>
      <c r="J4414">
        <v>18116</v>
      </c>
      <c r="K4414">
        <v>18340</v>
      </c>
      <c r="L4414">
        <v>18548</v>
      </c>
      <c r="M4414">
        <v>18760</v>
      </c>
      <c r="N4414" t="s">
        <v>988</v>
      </c>
    </row>
    <row r="4415" spans="1:14" hidden="1" x14ac:dyDescent="0.3">
      <c r="A4415">
        <v>2661</v>
      </c>
      <c r="B4415" t="s">
        <v>2084</v>
      </c>
      <c r="C4415" t="s">
        <v>2670</v>
      </c>
      <c r="D4415" t="s">
        <v>1203</v>
      </c>
      <c r="E4415" t="s">
        <v>1204</v>
      </c>
      <c r="F4415">
        <v>5527</v>
      </c>
      <c r="G4415" t="s">
        <v>2672</v>
      </c>
      <c r="H4415" t="s">
        <v>2664</v>
      </c>
      <c r="N4415" t="s">
        <v>988</v>
      </c>
    </row>
    <row r="4416" spans="1:14" hidden="1" x14ac:dyDescent="0.3">
      <c r="A4416">
        <v>2661</v>
      </c>
      <c r="B4416" t="s">
        <v>2084</v>
      </c>
      <c r="C4416" t="s">
        <v>2670</v>
      </c>
      <c r="D4416" t="s">
        <v>1203</v>
      </c>
      <c r="E4416" t="s">
        <v>1204</v>
      </c>
      <c r="F4416">
        <v>5527</v>
      </c>
      <c r="G4416" t="s">
        <v>2672</v>
      </c>
      <c r="H4416" t="s">
        <v>2665</v>
      </c>
      <c r="N4416" t="s">
        <v>988</v>
      </c>
    </row>
    <row r="4417" spans="1:14" hidden="1" x14ac:dyDescent="0.3">
      <c r="A4417">
        <v>2661</v>
      </c>
      <c r="B4417" t="s">
        <v>2084</v>
      </c>
      <c r="C4417" t="s">
        <v>2670</v>
      </c>
      <c r="D4417" t="s">
        <v>1203</v>
      </c>
      <c r="E4417" t="s">
        <v>1204</v>
      </c>
      <c r="F4417">
        <v>5527</v>
      </c>
      <c r="G4417" t="s">
        <v>2673</v>
      </c>
      <c r="H4417" t="s">
        <v>2664</v>
      </c>
      <c r="I4417">
        <v>21118</v>
      </c>
      <c r="J4417">
        <v>21378</v>
      </c>
      <c r="K4417">
        <v>21641</v>
      </c>
      <c r="L4417">
        <v>21888</v>
      </c>
      <c r="M4417">
        <v>22138</v>
      </c>
      <c r="N4417" t="s">
        <v>988</v>
      </c>
    </row>
    <row r="4418" spans="1:14" hidden="1" x14ac:dyDescent="0.3">
      <c r="A4418">
        <v>2669</v>
      </c>
      <c r="B4418" t="s">
        <v>2085</v>
      </c>
      <c r="C4418" t="s">
        <v>2670</v>
      </c>
      <c r="D4418" t="s">
        <v>1203</v>
      </c>
      <c r="E4418" t="s">
        <v>1204</v>
      </c>
      <c r="F4418">
        <v>5913</v>
      </c>
      <c r="G4418" t="s">
        <v>2676</v>
      </c>
      <c r="H4418" t="s">
        <v>2665</v>
      </c>
      <c r="I4418">
        <v>8140</v>
      </c>
      <c r="J4418">
        <v>8344</v>
      </c>
      <c r="K4418">
        <v>8553</v>
      </c>
      <c r="L4418">
        <v>8710</v>
      </c>
      <c r="M4418">
        <v>8845</v>
      </c>
      <c r="N4418" t="s">
        <v>988</v>
      </c>
    </row>
    <row r="4419" spans="1:14" hidden="1" x14ac:dyDescent="0.3">
      <c r="A4419">
        <v>2669</v>
      </c>
      <c r="B4419" t="s">
        <v>2085</v>
      </c>
      <c r="C4419" t="s">
        <v>2670</v>
      </c>
      <c r="D4419" t="s">
        <v>1203</v>
      </c>
      <c r="E4419" t="s">
        <v>1204</v>
      </c>
      <c r="F4419">
        <v>5913</v>
      </c>
      <c r="G4419" t="s">
        <v>2675</v>
      </c>
      <c r="H4419" t="s">
        <v>2664</v>
      </c>
      <c r="I4419">
        <v>21900</v>
      </c>
      <c r="J4419">
        <v>21900</v>
      </c>
      <c r="K4419">
        <v>21900</v>
      </c>
      <c r="L4419">
        <v>21900</v>
      </c>
      <c r="M4419">
        <v>21900</v>
      </c>
      <c r="N4419" t="s">
        <v>988</v>
      </c>
    </row>
    <row r="4420" spans="1:14" hidden="1" x14ac:dyDescent="0.3">
      <c r="A4420">
        <v>2669</v>
      </c>
      <c r="B4420" t="s">
        <v>2085</v>
      </c>
      <c r="C4420" t="s">
        <v>2670</v>
      </c>
      <c r="D4420" t="s">
        <v>1203</v>
      </c>
      <c r="E4420" t="s">
        <v>1204</v>
      </c>
      <c r="F4420">
        <v>5913</v>
      </c>
      <c r="G4420" t="s">
        <v>2676</v>
      </c>
      <c r="H4420" t="s">
        <v>2664</v>
      </c>
      <c r="I4420">
        <v>21900</v>
      </c>
      <c r="J4420">
        <v>21900</v>
      </c>
      <c r="K4420">
        <v>21900</v>
      </c>
      <c r="L4420">
        <v>21900</v>
      </c>
      <c r="M4420">
        <v>21900</v>
      </c>
      <c r="N4420" t="s">
        <v>988</v>
      </c>
    </row>
    <row r="4421" spans="1:14" hidden="1" x14ac:dyDescent="0.3">
      <c r="A4421">
        <v>2669</v>
      </c>
      <c r="B4421" t="s">
        <v>2085</v>
      </c>
      <c r="C4421" t="s">
        <v>2670</v>
      </c>
      <c r="D4421" t="s">
        <v>1203</v>
      </c>
      <c r="E4421" t="s">
        <v>1204</v>
      </c>
      <c r="F4421">
        <v>5913</v>
      </c>
      <c r="G4421" t="s">
        <v>2675</v>
      </c>
      <c r="H4421" t="s">
        <v>2665</v>
      </c>
      <c r="I4421">
        <v>8688</v>
      </c>
      <c r="J4421">
        <v>8906</v>
      </c>
      <c r="K4421">
        <v>9128</v>
      </c>
      <c r="L4421">
        <v>9296</v>
      </c>
      <c r="M4421">
        <v>9440</v>
      </c>
      <c r="N4421" t="s">
        <v>988</v>
      </c>
    </row>
    <row r="4422" spans="1:14" hidden="1" x14ac:dyDescent="0.3">
      <c r="A4422">
        <v>2669</v>
      </c>
      <c r="B4422" t="s">
        <v>2085</v>
      </c>
      <c r="C4422" t="s">
        <v>2670</v>
      </c>
      <c r="D4422" t="s">
        <v>1203</v>
      </c>
      <c r="E4422" t="s">
        <v>1204</v>
      </c>
      <c r="F4422">
        <v>5913</v>
      </c>
      <c r="G4422" t="s">
        <v>2674</v>
      </c>
      <c r="H4422" t="s">
        <v>2664</v>
      </c>
      <c r="I4422">
        <v>21900</v>
      </c>
      <c r="J4422">
        <v>21900</v>
      </c>
      <c r="K4422">
        <v>21900</v>
      </c>
      <c r="L4422">
        <v>21900</v>
      </c>
      <c r="M4422">
        <v>21900</v>
      </c>
      <c r="N4422" t="s">
        <v>988</v>
      </c>
    </row>
    <row r="4423" spans="1:14" hidden="1" x14ac:dyDescent="0.3">
      <c r="A4423">
        <v>2669</v>
      </c>
      <c r="B4423" t="s">
        <v>2085</v>
      </c>
      <c r="C4423" t="s">
        <v>2670</v>
      </c>
      <c r="D4423" t="s">
        <v>1203</v>
      </c>
      <c r="E4423" t="s">
        <v>1204</v>
      </c>
      <c r="F4423">
        <v>5913</v>
      </c>
      <c r="G4423" t="s">
        <v>2674</v>
      </c>
      <c r="H4423" t="s">
        <v>2665</v>
      </c>
      <c r="I4423">
        <v>7827</v>
      </c>
      <c r="J4423">
        <v>8023</v>
      </c>
      <c r="K4423">
        <v>8224</v>
      </c>
      <c r="L4423">
        <v>8375</v>
      </c>
      <c r="M4423">
        <v>8504</v>
      </c>
      <c r="N4423" t="s">
        <v>988</v>
      </c>
    </row>
    <row r="4424" spans="1:14" hidden="1" x14ac:dyDescent="0.3">
      <c r="A4424">
        <v>2669</v>
      </c>
      <c r="B4424" t="s">
        <v>2085</v>
      </c>
      <c r="C4424" t="s">
        <v>2670</v>
      </c>
      <c r="D4424" t="s">
        <v>1203</v>
      </c>
      <c r="E4424" t="s">
        <v>1204</v>
      </c>
      <c r="F4424">
        <v>5913</v>
      </c>
      <c r="G4424" t="s">
        <v>2673</v>
      </c>
      <c r="H4424" t="s">
        <v>2664</v>
      </c>
      <c r="I4424">
        <v>21900</v>
      </c>
      <c r="J4424">
        <v>21900</v>
      </c>
      <c r="K4424">
        <v>21900</v>
      </c>
      <c r="L4424">
        <v>21900</v>
      </c>
      <c r="M4424">
        <v>21900</v>
      </c>
      <c r="N4424" t="s">
        <v>988</v>
      </c>
    </row>
    <row r="4425" spans="1:14" hidden="1" x14ac:dyDescent="0.3">
      <c r="A4425">
        <v>2669</v>
      </c>
      <c r="B4425" t="s">
        <v>2085</v>
      </c>
      <c r="C4425" t="s">
        <v>2670</v>
      </c>
      <c r="D4425" t="s">
        <v>1203</v>
      </c>
      <c r="E4425" t="s">
        <v>1204</v>
      </c>
      <c r="F4425">
        <v>5913</v>
      </c>
      <c r="G4425" t="s">
        <v>2673</v>
      </c>
      <c r="H4425" t="s">
        <v>2665</v>
      </c>
      <c r="I4425">
        <v>7201</v>
      </c>
      <c r="J4425">
        <v>7381</v>
      </c>
      <c r="K4425">
        <v>7566</v>
      </c>
      <c r="L4425">
        <v>7705</v>
      </c>
      <c r="M4425">
        <v>7824</v>
      </c>
      <c r="N4425" t="s">
        <v>988</v>
      </c>
    </row>
    <row r="4426" spans="1:14" hidden="1" x14ac:dyDescent="0.3">
      <c r="A4426">
        <v>2669</v>
      </c>
      <c r="B4426" t="s">
        <v>2085</v>
      </c>
      <c r="C4426" t="s">
        <v>2670</v>
      </c>
      <c r="D4426" t="s">
        <v>1203</v>
      </c>
      <c r="E4426" t="s">
        <v>1204</v>
      </c>
      <c r="F4426">
        <v>5913</v>
      </c>
      <c r="G4426" t="s">
        <v>2671</v>
      </c>
      <c r="H4426" t="s">
        <v>2664</v>
      </c>
      <c r="I4426">
        <v>21900</v>
      </c>
      <c r="J4426">
        <v>21900</v>
      </c>
      <c r="K4426">
        <v>21900</v>
      </c>
      <c r="L4426">
        <v>21900</v>
      </c>
      <c r="M4426">
        <v>21900</v>
      </c>
      <c r="N4426" t="s">
        <v>988</v>
      </c>
    </row>
    <row r="4427" spans="1:14" hidden="1" x14ac:dyDescent="0.3">
      <c r="A4427">
        <v>2669</v>
      </c>
      <c r="B4427" t="s">
        <v>2085</v>
      </c>
      <c r="C4427" t="s">
        <v>2670</v>
      </c>
      <c r="D4427" t="s">
        <v>1203</v>
      </c>
      <c r="E4427" t="s">
        <v>1204</v>
      </c>
      <c r="F4427">
        <v>5913</v>
      </c>
      <c r="G4427" t="s">
        <v>2671</v>
      </c>
      <c r="H4427" t="s">
        <v>2665</v>
      </c>
      <c r="I4427">
        <v>6653</v>
      </c>
      <c r="J4427">
        <v>6820</v>
      </c>
      <c r="K4427">
        <v>6990</v>
      </c>
      <c r="L4427">
        <v>7118</v>
      </c>
      <c r="M4427">
        <v>7229</v>
      </c>
      <c r="N4427" t="s">
        <v>988</v>
      </c>
    </row>
    <row r="4428" spans="1:14" hidden="1" x14ac:dyDescent="0.3">
      <c r="A4428">
        <v>2669</v>
      </c>
      <c r="B4428" t="s">
        <v>2085</v>
      </c>
      <c r="C4428" t="s">
        <v>2670</v>
      </c>
      <c r="D4428" t="s">
        <v>1203</v>
      </c>
      <c r="E4428" t="s">
        <v>1204</v>
      </c>
      <c r="F4428">
        <v>5913</v>
      </c>
      <c r="G4428" t="s">
        <v>2672</v>
      </c>
      <c r="H4428" t="s">
        <v>2665</v>
      </c>
      <c r="N4428" t="s">
        <v>988</v>
      </c>
    </row>
    <row r="4429" spans="1:14" hidden="1" x14ac:dyDescent="0.3">
      <c r="A4429">
        <v>2669</v>
      </c>
      <c r="B4429" t="s">
        <v>2085</v>
      </c>
      <c r="C4429" t="s">
        <v>2670</v>
      </c>
      <c r="D4429" t="s">
        <v>1203</v>
      </c>
      <c r="E4429" t="s">
        <v>1204</v>
      </c>
      <c r="F4429">
        <v>5913</v>
      </c>
      <c r="G4429" t="s">
        <v>2672</v>
      </c>
      <c r="H4429" t="s">
        <v>2664</v>
      </c>
      <c r="I4429">
        <v>21900</v>
      </c>
      <c r="J4429">
        <v>21900</v>
      </c>
      <c r="K4429">
        <v>21900</v>
      </c>
      <c r="L4429">
        <v>21900</v>
      </c>
      <c r="M4429">
        <v>21900</v>
      </c>
      <c r="N4429" t="s">
        <v>988</v>
      </c>
    </row>
    <row r="4430" spans="1:14" hidden="1" x14ac:dyDescent="0.3">
      <c r="A4430">
        <v>2679</v>
      </c>
      <c r="B4430" t="s">
        <v>2086</v>
      </c>
      <c r="C4430" t="s">
        <v>2670</v>
      </c>
      <c r="D4430" t="s">
        <v>1203</v>
      </c>
      <c r="E4430" t="s">
        <v>1204</v>
      </c>
      <c r="F4430">
        <v>5778</v>
      </c>
      <c r="G4430" t="s">
        <v>2672</v>
      </c>
      <c r="H4430" t="s">
        <v>2665</v>
      </c>
      <c r="N4430" t="s">
        <v>988</v>
      </c>
    </row>
    <row r="4431" spans="1:14" hidden="1" x14ac:dyDescent="0.3">
      <c r="A4431">
        <v>2679</v>
      </c>
      <c r="B4431" t="s">
        <v>2086</v>
      </c>
      <c r="C4431" t="s">
        <v>2670</v>
      </c>
      <c r="D4431" t="s">
        <v>1203</v>
      </c>
      <c r="E4431" t="s">
        <v>1204</v>
      </c>
      <c r="F4431">
        <v>5778</v>
      </c>
      <c r="G4431" t="s">
        <v>2672</v>
      </c>
      <c r="H4431" t="s">
        <v>2664</v>
      </c>
      <c r="N4431" t="s">
        <v>988</v>
      </c>
    </row>
    <row r="4432" spans="1:14" hidden="1" x14ac:dyDescent="0.3">
      <c r="A4432">
        <v>2679</v>
      </c>
      <c r="B4432" t="s">
        <v>2086</v>
      </c>
      <c r="C4432" t="s">
        <v>2670</v>
      </c>
      <c r="D4432" t="s">
        <v>1203</v>
      </c>
      <c r="E4432" t="s">
        <v>1204</v>
      </c>
      <c r="F4432">
        <v>5778</v>
      </c>
      <c r="G4432" t="s">
        <v>2671</v>
      </c>
      <c r="H4432" t="s">
        <v>2665</v>
      </c>
      <c r="I4432">
        <v>15620</v>
      </c>
      <c r="J4432">
        <v>15703</v>
      </c>
      <c r="K4432">
        <v>15788</v>
      </c>
      <c r="L4432">
        <v>15873</v>
      </c>
      <c r="M4432">
        <v>15962</v>
      </c>
      <c r="N4432" t="s">
        <v>988</v>
      </c>
    </row>
    <row r="4433" spans="1:14" hidden="1" x14ac:dyDescent="0.3">
      <c r="A4433">
        <v>2679</v>
      </c>
      <c r="B4433" t="s">
        <v>2086</v>
      </c>
      <c r="C4433" t="s">
        <v>2670</v>
      </c>
      <c r="D4433" t="s">
        <v>1203</v>
      </c>
      <c r="E4433" t="s">
        <v>1204</v>
      </c>
      <c r="F4433">
        <v>5778</v>
      </c>
      <c r="G4433" t="s">
        <v>2671</v>
      </c>
      <c r="H4433" t="s">
        <v>2664</v>
      </c>
      <c r="I4433">
        <v>15620</v>
      </c>
      <c r="J4433">
        <v>15703</v>
      </c>
      <c r="K4433">
        <v>15788</v>
      </c>
      <c r="L4433">
        <v>15873</v>
      </c>
      <c r="M4433">
        <v>15962</v>
      </c>
      <c r="N4433" t="s">
        <v>988</v>
      </c>
    </row>
    <row r="4434" spans="1:14" hidden="1" x14ac:dyDescent="0.3">
      <c r="A4434">
        <v>2679</v>
      </c>
      <c r="B4434" t="s">
        <v>2086</v>
      </c>
      <c r="C4434" t="s">
        <v>2670</v>
      </c>
      <c r="D4434" t="s">
        <v>1203</v>
      </c>
      <c r="E4434" t="s">
        <v>1204</v>
      </c>
      <c r="F4434">
        <v>5778</v>
      </c>
      <c r="G4434" t="s">
        <v>2673</v>
      </c>
      <c r="H4434" t="s">
        <v>2665</v>
      </c>
      <c r="I4434">
        <v>15620</v>
      </c>
      <c r="J4434">
        <v>15703</v>
      </c>
      <c r="K4434">
        <v>15788</v>
      </c>
      <c r="L4434">
        <v>15873</v>
      </c>
      <c r="M4434">
        <v>15962</v>
      </c>
      <c r="N4434" t="s">
        <v>988</v>
      </c>
    </row>
    <row r="4435" spans="1:14" hidden="1" x14ac:dyDescent="0.3">
      <c r="A4435">
        <v>2679</v>
      </c>
      <c r="B4435" t="s">
        <v>2086</v>
      </c>
      <c r="C4435" t="s">
        <v>2670</v>
      </c>
      <c r="D4435" t="s">
        <v>1203</v>
      </c>
      <c r="E4435" t="s">
        <v>1204</v>
      </c>
      <c r="F4435">
        <v>5778</v>
      </c>
      <c r="G4435" t="s">
        <v>2675</v>
      </c>
      <c r="H4435" t="s">
        <v>2665</v>
      </c>
      <c r="I4435">
        <v>17356</v>
      </c>
      <c r="J4435">
        <v>17448</v>
      </c>
      <c r="K4435">
        <v>17542</v>
      </c>
      <c r="L4435">
        <v>17637</v>
      </c>
      <c r="M4435">
        <v>17735</v>
      </c>
      <c r="N4435" t="s">
        <v>988</v>
      </c>
    </row>
    <row r="4436" spans="1:14" hidden="1" x14ac:dyDescent="0.3">
      <c r="A4436">
        <v>2679</v>
      </c>
      <c r="B4436" t="s">
        <v>2086</v>
      </c>
      <c r="C4436" t="s">
        <v>2670</v>
      </c>
      <c r="D4436" t="s">
        <v>1203</v>
      </c>
      <c r="E4436" t="s">
        <v>1204</v>
      </c>
      <c r="F4436">
        <v>5778</v>
      </c>
      <c r="G4436" t="s">
        <v>2674</v>
      </c>
      <c r="H4436" t="s">
        <v>2665</v>
      </c>
      <c r="I4436">
        <v>15620</v>
      </c>
      <c r="J4436">
        <v>15703</v>
      </c>
      <c r="K4436">
        <v>15788</v>
      </c>
      <c r="L4436">
        <v>15873</v>
      </c>
      <c r="M4436">
        <v>15962</v>
      </c>
      <c r="N4436" t="s">
        <v>988</v>
      </c>
    </row>
    <row r="4437" spans="1:14" hidden="1" x14ac:dyDescent="0.3">
      <c r="A4437">
        <v>2679</v>
      </c>
      <c r="B4437" t="s">
        <v>2086</v>
      </c>
      <c r="C4437" t="s">
        <v>2670</v>
      </c>
      <c r="D4437" t="s">
        <v>1203</v>
      </c>
      <c r="E4437" t="s">
        <v>1204</v>
      </c>
      <c r="F4437">
        <v>5778</v>
      </c>
      <c r="G4437" t="s">
        <v>2674</v>
      </c>
      <c r="H4437" t="s">
        <v>2664</v>
      </c>
      <c r="I4437">
        <v>15620</v>
      </c>
      <c r="J4437">
        <v>15703</v>
      </c>
      <c r="K4437">
        <v>15788</v>
      </c>
      <c r="L4437">
        <v>15873</v>
      </c>
      <c r="M4437">
        <v>15962</v>
      </c>
      <c r="N4437" t="s">
        <v>988</v>
      </c>
    </row>
    <row r="4438" spans="1:14" hidden="1" x14ac:dyDescent="0.3">
      <c r="A4438">
        <v>2679</v>
      </c>
      <c r="B4438" t="s">
        <v>2086</v>
      </c>
      <c r="C4438" t="s">
        <v>2670</v>
      </c>
      <c r="D4438" t="s">
        <v>1203</v>
      </c>
      <c r="E4438" t="s">
        <v>1204</v>
      </c>
      <c r="F4438">
        <v>5778</v>
      </c>
      <c r="G4438" t="s">
        <v>2676</v>
      </c>
      <c r="H4438" t="s">
        <v>2664</v>
      </c>
      <c r="I4438">
        <v>17356</v>
      </c>
      <c r="J4438">
        <v>17448</v>
      </c>
      <c r="K4438">
        <v>17542</v>
      </c>
      <c r="L4438">
        <v>17637</v>
      </c>
      <c r="M4438">
        <v>17735</v>
      </c>
      <c r="N4438" t="s">
        <v>988</v>
      </c>
    </row>
    <row r="4439" spans="1:14" hidden="1" x14ac:dyDescent="0.3">
      <c r="A4439">
        <v>2679</v>
      </c>
      <c r="B4439" t="s">
        <v>2086</v>
      </c>
      <c r="C4439" t="s">
        <v>2670</v>
      </c>
      <c r="D4439" t="s">
        <v>1203</v>
      </c>
      <c r="E4439" t="s">
        <v>1204</v>
      </c>
      <c r="F4439">
        <v>5778</v>
      </c>
      <c r="G4439" t="s">
        <v>2676</v>
      </c>
      <c r="H4439" t="s">
        <v>2665</v>
      </c>
      <c r="I4439">
        <v>17356</v>
      </c>
      <c r="J4439">
        <v>17448</v>
      </c>
      <c r="K4439">
        <v>17542</v>
      </c>
      <c r="L4439">
        <v>17637</v>
      </c>
      <c r="M4439">
        <v>17735</v>
      </c>
      <c r="N4439" t="s">
        <v>988</v>
      </c>
    </row>
    <row r="4440" spans="1:14" hidden="1" x14ac:dyDescent="0.3">
      <c r="A4440">
        <v>2679</v>
      </c>
      <c r="B4440" t="s">
        <v>2086</v>
      </c>
      <c r="C4440" t="s">
        <v>2670</v>
      </c>
      <c r="D4440" t="s">
        <v>1203</v>
      </c>
      <c r="E4440" t="s">
        <v>1204</v>
      </c>
      <c r="F4440">
        <v>5778</v>
      </c>
      <c r="G4440" t="s">
        <v>2675</v>
      </c>
      <c r="H4440" t="s">
        <v>2664</v>
      </c>
      <c r="I4440">
        <v>17356</v>
      </c>
      <c r="J4440">
        <v>17448</v>
      </c>
      <c r="K4440">
        <v>17542</v>
      </c>
      <c r="L4440">
        <v>17637</v>
      </c>
      <c r="M4440">
        <v>17735</v>
      </c>
      <c r="N4440" t="s">
        <v>988</v>
      </c>
    </row>
    <row r="4441" spans="1:14" hidden="1" x14ac:dyDescent="0.3">
      <c r="A4441">
        <v>2679</v>
      </c>
      <c r="B4441" t="s">
        <v>2086</v>
      </c>
      <c r="C4441" t="s">
        <v>2670</v>
      </c>
      <c r="D4441" t="s">
        <v>1203</v>
      </c>
      <c r="E4441" t="s">
        <v>1204</v>
      </c>
      <c r="F4441">
        <v>5778</v>
      </c>
      <c r="G4441" t="s">
        <v>2673</v>
      </c>
      <c r="H4441" t="s">
        <v>2664</v>
      </c>
      <c r="I4441">
        <v>15620</v>
      </c>
      <c r="J4441">
        <v>15703</v>
      </c>
      <c r="K4441">
        <v>15788</v>
      </c>
      <c r="L4441">
        <v>15873</v>
      </c>
      <c r="M4441">
        <v>15962</v>
      </c>
      <c r="N4441" t="s">
        <v>988</v>
      </c>
    </row>
    <row r="4442" spans="1:14" hidden="1" x14ac:dyDescent="0.3">
      <c r="A4442">
        <v>2683</v>
      </c>
      <c r="B4442" t="s">
        <v>871</v>
      </c>
      <c r="C4442" t="s">
        <v>2670</v>
      </c>
      <c r="D4442" t="s">
        <v>1203</v>
      </c>
      <c r="E4442" t="s">
        <v>1204</v>
      </c>
      <c r="F4442">
        <v>6775</v>
      </c>
      <c r="G4442" t="s">
        <v>2676</v>
      </c>
      <c r="H4442" t="s">
        <v>2664</v>
      </c>
      <c r="I4442">
        <v>32455</v>
      </c>
      <c r="J4442">
        <v>33625</v>
      </c>
      <c r="K4442">
        <v>34794</v>
      </c>
      <c r="L4442">
        <v>35963</v>
      </c>
      <c r="M4442">
        <v>37234</v>
      </c>
      <c r="N4442" t="s">
        <v>988</v>
      </c>
    </row>
    <row r="4443" spans="1:14" hidden="1" x14ac:dyDescent="0.3">
      <c r="A4443">
        <v>2683</v>
      </c>
      <c r="B4443" t="s">
        <v>871</v>
      </c>
      <c r="C4443" t="s">
        <v>2670</v>
      </c>
      <c r="D4443" t="s">
        <v>1203</v>
      </c>
      <c r="E4443" t="s">
        <v>1204</v>
      </c>
      <c r="F4443">
        <v>6775</v>
      </c>
      <c r="G4443" t="s">
        <v>2676</v>
      </c>
      <c r="H4443" t="s">
        <v>2665</v>
      </c>
      <c r="I4443">
        <v>15351</v>
      </c>
      <c r="J4443">
        <v>17556</v>
      </c>
      <c r="K4443">
        <v>18260</v>
      </c>
      <c r="L4443">
        <v>19173</v>
      </c>
      <c r="M4443">
        <v>21420</v>
      </c>
      <c r="N4443" t="s">
        <v>988</v>
      </c>
    </row>
    <row r="4444" spans="1:14" hidden="1" x14ac:dyDescent="0.3">
      <c r="A4444">
        <v>2683</v>
      </c>
      <c r="B4444" t="s">
        <v>871</v>
      </c>
      <c r="C4444" t="s">
        <v>2670</v>
      </c>
      <c r="D4444" t="s">
        <v>1203</v>
      </c>
      <c r="E4444" t="s">
        <v>1204</v>
      </c>
      <c r="F4444">
        <v>6775</v>
      </c>
      <c r="G4444" t="s">
        <v>2675</v>
      </c>
      <c r="H4444" t="s">
        <v>2664</v>
      </c>
      <c r="I4444">
        <v>31392</v>
      </c>
      <c r="J4444">
        <v>32478</v>
      </c>
      <c r="K4444">
        <v>33564</v>
      </c>
      <c r="L4444">
        <v>34651</v>
      </c>
      <c r="M4444">
        <v>35838</v>
      </c>
      <c r="N4444" t="s">
        <v>988</v>
      </c>
    </row>
    <row r="4445" spans="1:14" hidden="1" x14ac:dyDescent="0.3">
      <c r="A4445">
        <v>2683</v>
      </c>
      <c r="B4445" t="s">
        <v>871</v>
      </c>
      <c r="C4445" t="s">
        <v>2670</v>
      </c>
      <c r="D4445" t="s">
        <v>1203</v>
      </c>
      <c r="E4445" t="s">
        <v>1204</v>
      </c>
      <c r="F4445">
        <v>6775</v>
      </c>
      <c r="G4445" t="s">
        <v>2675</v>
      </c>
      <c r="H4445" t="s">
        <v>2665</v>
      </c>
      <c r="I4445">
        <v>15792</v>
      </c>
      <c r="J4445">
        <v>17697</v>
      </c>
      <c r="K4445">
        <v>18442</v>
      </c>
      <c r="L4445">
        <v>19622</v>
      </c>
      <c r="M4445">
        <v>21420</v>
      </c>
      <c r="N4445" t="s">
        <v>988</v>
      </c>
    </row>
    <row r="4446" spans="1:14" hidden="1" x14ac:dyDescent="0.3">
      <c r="A4446">
        <v>2683</v>
      </c>
      <c r="B4446" t="s">
        <v>871</v>
      </c>
      <c r="C4446" t="s">
        <v>2670</v>
      </c>
      <c r="D4446" t="s">
        <v>1203</v>
      </c>
      <c r="E4446" t="s">
        <v>1204</v>
      </c>
      <c r="F4446">
        <v>6775</v>
      </c>
      <c r="G4446" t="s">
        <v>2674</v>
      </c>
      <c r="H4446" t="s">
        <v>2664</v>
      </c>
      <c r="I4446">
        <v>26858</v>
      </c>
      <c r="J4446">
        <v>27862</v>
      </c>
      <c r="K4446">
        <v>28865</v>
      </c>
      <c r="L4446">
        <v>29868</v>
      </c>
      <c r="M4446">
        <v>30972</v>
      </c>
      <c r="N4446" t="s">
        <v>988</v>
      </c>
    </row>
    <row r="4447" spans="1:14" hidden="1" x14ac:dyDescent="0.3">
      <c r="A4447">
        <v>2683</v>
      </c>
      <c r="B4447" t="s">
        <v>871</v>
      </c>
      <c r="C4447" t="s">
        <v>2670</v>
      </c>
      <c r="D4447" t="s">
        <v>1203</v>
      </c>
      <c r="E4447" t="s">
        <v>1204</v>
      </c>
      <c r="F4447">
        <v>6775</v>
      </c>
      <c r="G4447" t="s">
        <v>2674</v>
      </c>
      <c r="H4447" t="s">
        <v>2665</v>
      </c>
      <c r="I4447">
        <v>16233</v>
      </c>
      <c r="J4447">
        <v>17837</v>
      </c>
      <c r="K4447">
        <v>18625</v>
      </c>
      <c r="L4447">
        <v>20072</v>
      </c>
      <c r="M4447">
        <v>21420</v>
      </c>
      <c r="N4447" t="s">
        <v>988</v>
      </c>
    </row>
    <row r="4448" spans="1:14" hidden="1" x14ac:dyDescent="0.3">
      <c r="A4448">
        <v>2683</v>
      </c>
      <c r="B4448" t="s">
        <v>871</v>
      </c>
      <c r="C4448" t="s">
        <v>2670</v>
      </c>
      <c r="D4448" t="s">
        <v>1203</v>
      </c>
      <c r="E4448" t="s">
        <v>1204</v>
      </c>
      <c r="F4448">
        <v>6775</v>
      </c>
      <c r="G4448" t="s">
        <v>2671</v>
      </c>
      <c r="H4448" t="s">
        <v>2664</v>
      </c>
      <c r="I4448">
        <v>31392</v>
      </c>
      <c r="J4448">
        <v>32478</v>
      </c>
      <c r="K4448">
        <v>33564</v>
      </c>
      <c r="L4448">
        <v>34651</v>
      </c>
      <c r="M4448">
        <v>35838</v>
      </c>
      <c r="N4448" t="s">
        <v>988</v>
      </c>
    </row>
    <row r="4449" spans="1:14" hidden="1" x14ac:dyDescent="0.3">
      <c r="A4449">
        <v>2683</v>
      </c>
      <c r="B4449" t="s">
        <v>871</v>
      </c>
      <c r="C4449" t="s">
        <v>2670</v>
      </c>
      <c r="D4449" t="s">
        <v>1203</v>
      </c>
      <c r="E4449" t="s">
        <v>1204</v>
      </c>
      <c r="F4449">
        <v>6775</v>
      </c>
      <c r="G4449" t="s">
        <v>2673</v>
      </c>
      <c r="H4449" t="s">
        <v>2665</v>
      </c>
      <c r="I4449">
        <v>16674</v>
      </c>
      <c r="J4449">
        <v>17978</v>
      </c>
      <c r="K4449">
        <v>18808</v>
      </c>
      <c r="L4449">
        <v>20521</v>
      </c>
      <c r="M4449">
        <v>21420</v>
      </c>
      <c r="N4449" t="s">
        <v>988</v>
      </c>
    </row>
    <row r="4450" spans="1:14" hidden="1" x14ac:dyDescent="0.3">
      <c r="A4450">
        <v>2683</v>
      </c>
      <c r="B4450" t="s">
        <v>871</v>
      </c>
      <c r="C4450" t="s">
        <v>2670</v>
      </c>
      <c r="D4450" t="s">
        <v>1203</v>
      </c>
      <c r="E4450" t="s">
        <v>1204</v>
      </c>
      <c r="F4450">
        <v>6775</v>
      </c>
      <c r="G4450" t="s">
        <v>2673</v>
      </c>
      <c r="H4450" t="s">
        <v>2664</v>
      </c>
      <c r="I4450">
        <v>30328</v>
      </c>
      <c r="J4450">
        <v>31332</v>
      </c>
      <c r="K4450">
        <v>32335</v>
      </c>
      <c r="L4450">
        <v>33388</v>
      </c>
      <c r="M4450">
        <v>34442</v>
      </c>
      <c r="N4450" t="s">
        <v>988</v>
      </c>
    </row>
    <row r="4451" spans="1:14" hidden="1" x14ac:dyDescent="0.3">
      <c r="A4451">
        <v>2683</v>
      </c>
      <c r="B4451" t="s">
        <v>871</v>
      </c>
      <c r="C4451" t="s">
        <v>2670</v>
      </c>
      <c r="D4451" t="s">
        <v>1203</v>
      </c>
      <c r="E4451" t="s">
        <v>1204</v>
      </c>
      <c r="F4451">
        <v>6775</v>
      </c>
      <c r="G4451" t="s">
        <v>2671</v>
      </c>
      <c r="H4451" t="s">
        <v>2665</v>
      </c>
      <c r="I4451">
        <v>17115</v>
      </c>
      <c r="J4451">
        <v>18119</v>
      </c>
      <c r="K4451">
        <v>18990</v>
      </c>
      <c r="L4451">
        <v>20971</v>
      </c>
      <c r="M4451">
        <v>21420</v>
      </c>
      <c r="N4451" t="s">
        <v>988</v>
      </c>
    </row>
    <row r="4452" spans="1:14" hidden="1" x14ac:dyDescent="0.3">
      <c r="A4452">
        <v>2683</v>
      </c>
      <c r="B4452" t="s">
        <v>871</v>
      </c>
      <c r="C4452" t="s">
        <v>2670</v>
      </c>
      <c r="D4452" t="s">
        <v>1203</v>
      </c>
      <c r="E4452" t="s">
        <v>1204</v>
      </c>
      <c r="F4452">
        <v>6775</v>
      </c>
      <c r="G4452" t="s">
        <v>2672</v>
      </c>
      <c r="H4452" t="s">
        <v>2664</v>
      </c>
      <c r="N4452" t="s">
        <v>988</v>
      </c>
    </row>
    <row r="4453" spans="1:14" hidden="1" x14ac:dyDescent="0.3">
      <c r="A4453">
        <v>2683</v>
      </c>
      <c r="B4453" t="s">
        <v>871</v>
      </c>
      <c r="C4453" t="s">
        <v>2670</v>
      </c>
      <c r="D4453" t="s">
        <v>1203</v>
      </c>
      <c r="E4453" t="s">
        <v>1204</v>
      </c>
      <c r="F4453">
        <v>6775</v>
      </c>
      <c r="G4453" t="s">
        <v>2672</v>
      </c>
      <c r="H4453" t="s">
        <v>2665</v>
      </c>
      <c r="N4453" t="s">
        <v>988</v>
      </c>
    </row>
    <row r="4454" spans="1:14" hidden="1" x14ac:dyDescent="0.3">
      <c r="A4454">
        <v>2690</v>
      </c>
      <c r="B4454" t="s">
        <v>2089</v>
      </c>
      <c r="C4454" t="s">
        <v>2670</v>
      </c>
      <c r="D4454" t="s">
        <v>1203</v>
      </c>
      <c r="E4454" t="s">
        <v>1204</v>
      </c>
      <c r="F4454">
        <v>5764</v>
      </c>
      <c r="G4454" t="s">
        <v>2673</v>
      </c>
      <c r="H4454" t="s">
        <v>2665</v>
      </c>
      <c r="I4454">
        <v>25805</v>
      </c>
      <c r="J4454">
        <v>27539</v>
      </c>
      <c r="K4454">
        <v>29273</v>
      </c>
      <c r="L4454">
        <v>31006</v>
      </c>
      <c r="M4454">
        <v>32740</v>
      </c>
      <c r="N4454" t="s">
        <v>988</v>
      </c>
    </row>
    <row r="4455" spans="1:14" hidden="1" x14ac:dyDescent="0.3">
      <c r="A4455">
        <v>2690</v>
      </c>
      <c r="B4455" t="s">
        <v>2089</v>
      </c>
      <c r="C4455" t="s">
        <v>2670</v>
      </c>
      <c r="D4455" t="s">
        <v>1203</v>
      </c>
      <c r="E4455" t="s">
        <v>1204</v>
      </c>
      <c r="F4455">
        <v>5764</v>
      </c>
      <c r="G4455" t="s">
        <v>2672</v>
      </c>
      <c r="H4455" t="s">
        <v>2665</v>
      </c>
      <c r="I4455">
        <v>25805</v>
      </c>
      <c r="J4455">
        <v>27539</v>
      </c>
      <c r="K4455">
        <v>29273</v>
      </c>
      <c r="L4455">
        <v>31006</v>
      </c>
      <c r="M4455">
        <v>32740</v>
      </c>
      <c r="N4455" t="s">
        <v>988</v>
      </c>
    </row>
    <row r="4456" spans="1:14" hidden="1" x14ac:dyDescent="0.3">
      <c r="A4456">
        <v>2690</v>
      </c>
      <c r="B4456" t="s">
        <v>2089</v>
      </c>
      <c r="C4456" t="s">
        <v>2670</v>
      </c>
      <c r="D4456" t="s">
        <v>1203</v>
      </c>
      <c r="E4456" t="s">
        <v>1204</v>
      </c>
      <c r="F4456">
        <v>5764</v>
      </c>
      <c r="G4456" t="s">
        <v>2674</v>
      </c>
      <c r="H4456" t="s">
        <v>2665</v>
      </c>
      <c r="I4456">
        <v>25805</v>
      </c>
      <c r="J4456">
        <v>27539</v>
      </c>
      <c r="K4456">
        <v>29273</v>
      </c>
      <c r="L4456">
        <v>31006</v>
      </c>
      <c r="M4456">
        <v>32740</v>
      </c>
      <c r="N4456" t="s">
        <v>988</v>
      </c>
    </row>
    <row r="4457" spans="1:14" hidden="1" x14ac:dyDescent="0.3">
      <c r="A4457">
        <v>2690</v>
      </c>
      <c r="B4457" t="s">
        <v>2089</v>
      </c>
      <c r="C4457" t="s">
        <v>2670</v>
      </c>
      <c r="D4457" t="s">
        <v>1203</v>
      </c>
      <c r="E4457" t="s">
        <v>1204</v>
      </c>
      <c r="F4457">
        <v>5764</v>
      </c>
      <c r="G4457" t="s">
        <v>2674</v>
      </c>
      <c r="H4457" t="s">
        <v>2664</v>
      </c>
      <c r="I4457">
        <v>29676</v>
      </c>
      <c r="J4457">
        <v>31670</v>
      </c>
      <c r="K4457">
        <v>33663</v>
      </c>
      <c r="L4457">
        <v>35657</v>
      </c>
      <c r="M4457">
        <v>37651</v>
      </c>
      <c r="N4457" t="s">
        <v>988</v>
      </c>
    </row>
    <row r="4458" spans="1:14" hidden="1" x14ac:dyDescent="0.3">
      <c r="A4458">
        <v>2690</v>
      </c>
      <c r="B4458" t="s">
        <v>2089</v>
      </c>
      <c r="C4458" t="s">
        <v>2670</v>
      </c>
      <c r="D4458" t="s">
        <v>1203</v>
      </c>
      <c r="E4458" t="s">
        <v>1204</v>
      </c>
      <c r="F4458">
        <v>5764</v>
      </c>
      <c r="G4458" t="s">
        <v>2675</v>
      </c>
      <c r="H4458" t="s">
        <v>2665</v>
      </c>
      <c r="I4458">
        <v>25805</v>
      </c>
      <c r="J4458">
        <v>27539</v>
      </c>
      <c r="K4458">
        <v>29273</v>
      </c>
      <c r="L4458">
        <v>31006</v>
      </c>
      <c r="M4458">
        <v>32740</v>
      </c>
      <c r="N4458" t="s">
        <v>988</v>
      </c>
    </row>
    <row r="4459" spans="1:14" hidden="1" x14ac:dyDescent="0.3">
      <c r="A4459">
        <v>2690</v>
      </c>
      <c r="B4459" t="s">
        <v>2089</v>
      </c>
      <c r="C4459" t="s">
        <v>2670</v>
      </c>
      <c r="D4459" t="s">
        <v>1203</v>
      </c>
      <c r="E4459" t="s">
        <v>1204</v>
      </c>
      <c r="F4459">
        <v>5764</v>
      </c>
      <c r="G4459" t="s">
        <v>2675</v>
      </c>
      <c r="H4459" t="s">
        <v>2664</v>
      </c>
      <c r="I4459">
        <v>29676</v>
      </c>
      <c r="J4459">
        <v>31670</v>
      </c>
      <c r="K4459">
        <v>33663</v>
      </c>
      <c r="L4459">
        <v>35657</v>
      </c>
      <c r="M4459">
        <v>37651</v>
      </c>
      <c r="N4459" t="s">
        <v>988</v>
      </c>
    </row>
    <row r="4460" spans="1:14" hidden="1" x14ac:dyDescent="0.3">
      <c r="A4460">
        <v>2690</v>
      </c>
      <c r="B4460" t="s">
        <v>2089</v>
      </c>
      <c r="C4460" t="s">
        <v>2670</v>
      </c>
      <c r="D4460" t="s">
        <v>1203</v>
      </c>
      <c r="E4460" t="s">
        <v>1204</v>
      </c>
      <c r="F4460">
        <v>5764</v>
      </c>
      <c r="G4460" t="s">
        <v>2676</v>
      </c>
      <c r="H4460" t="s">
        <v>2665</v>
      </c>
      <c r="I4460">
        <v>25805</v>
      </c>
      <c r="J4460">
        <v>27539</v>
      </c>
      <c r="K4460">
        <v>29273</v>
      </c>
      <c r="L4460">
        <v>31006</v>
      </c>
      <c r="M4460">
        <v>32740</v>
      </c>
      <c r="N4460" t="s">
        <v>988</v>
      </c>
    </row>
    <row r="4461" spans="1:14" hidden="1" x14ac:dyDescent="0.3">
      <c r="A4461">
        <v>2690</v>
      </c>
      <c r="B4461" t="s">
        <v>2089</v>
      </c>
      <c r="C4461" t="s">
        <v>2670</v>
      </c>
      <c r="D4461" t="s">
        <v>1203</v>
      </c>
      <c r="E4461" t="s">
        <v>1204</v>
      </c>
      <c r="F4461">
        <v>5764</v>
      </c>
      <c r="G4461" t="s">
        <v>2676</v>
      </c>
      <c r="H4461" t="s">
        <v>2664</v>
      </c>
      <c r="I4461">
        <v>29676</v>
      </c>
      <c r="J4461">
        <v>31670</v>
      </c>
      <c r="K4461">
        <v>33663</v>
      </c>
      <c r="L4461">
        <v>35657</v>
      </c>
      <c r="M4461">
        <v>37651</v>
      </c>
      <c r="N4461" t="s">
        <v>988</v>
      </c>
    </row>
    <row r="4462" spans="1:14" hidden="1" x14ac:dyDescent="0.3">
      <c r="A4462">
        <v>2690</v>
      </c>
      <c r="B4462" t="s">
        <v>2089</v>
      </c>
      <c r="C4462" t="s">
        <v>2670</v>
      </c>
      <c r="D4462" t="s">
        <v>1203</v>
      </c>
      <c r="E4462" t="s">
        <v>1204</v>
      </c>
      <c r="F4462">
        <v>5764</v>
      </c>
      <c r="G4462" t="s">
        <v>2673</v>
      </c>
      <c r="H4462" t="s">
        <v>2664</v>
      </c>
      <c r="I4462">
        <v>29676</v>
      </c>
      <c r="J4462">
        <v>31670</v>
      </c>
      <c r="K4462">
        <v>33663</v>
      </c>
      <c r="L4462">
        <v>35657</v>
      </c>
      <c r="M4462">
        <v>37651</v>
      </c>
      <c r="N4462" t="s">
        <v>988</v>
      </c>
    </row>
    <row r="4463" spans="1:14" hidden="1" x14ac:dyDescent="0.3">
      <c r="A4463">
        <v>2690</v>
      </c>
      <c r="B4463" t="s">
        <v>2089</v>
      </c>
      <c r="C4463" t="s">
        <v>2670</v>
      </c>
      <c r="D4463" t="s">
        <v>1203</v>
      </c>
      <c r="E4463" t="s">
        <v>1204</v>
      </c>
      <c r="F4463">
        <v>5764</v>
      </c>
      <c r="G4463" t="s">
        <v>2672</v>
      </c>
      <c r="H4463" t="s">
        <v>2664</v>
      </c>
      <c r="I4463">
        <v>29676</v>
      </c>
      <c r="J4463">
        <v>31670</v>
      </c>
      <c r="K4463">
        <v>33663</v>
      </c>
      <c r="L4463">
        <v>35657</v>
      </c>
      <c r="M4463">
        <v>37651</v>
      </c>
      <c r="N4463" t="s">
        <v>988</v>
      </c>
    </row>
    <row r="4464" spans="1:14" hidden="1" x14ac:dyDescent="0.3">
      <c r="A4464">
        <v>2690</v>
      </c>
      <c r="B4464" t="s">
        <v>2089</v>
      </c>
      <c r="C4464" t="s">
        <v>2670</v>
      </c>
      <c r="D4464" t="s">
        <v>1203</v>
      </c>
      <c r="E4464" t="s">
        <v>1204</v>
      </c>
      <c r="F4464">
        <v>5764</v>
      </c>
      <c r="G4464" t="s">
        <v>2671</v>
      </c>
      <c r="H4464" t="s">
        <v>2665</v>
      </c>
      <c r="I4464">
        <v>25805</v>
      </c>
      <c r="J4464">
        <v>27539</v>
      </c>
      <c r="K4464">
        <v>29273</v>
      </c>
      <c r="L4464">
        <v>31006</v>
      </c>
      <c r="M4464">
        <v>32740</v>
      </c>
      <c r="N4464" t="s">
        <v>988</v>
      </c>
    </row>
    <row r="4465" spans="1:14" hidden="1" x14ac:dyDescent="0.3">
      <c r="A4465">
        <v>2690</v>
      </c>
      <c r="B4465" t="s">
        <v>2089</v>
      </c>
      <c r="C4465" t="s">
        <v>2670</v>
      </c>
      <c r="D4465" t="s">
        <v>1203</v>
      </c>
      <c r="E4465" t="s">
        <v>1204</v>
      </c>
      <c r="F4465">
        <v>5764</v>
      </c>
      <c r="G4465" t="s">
        <v>2671</v>
      </c>
      <c r="H4465" t="s">
        <v>2664</v>
      </c>
      <c r="I4465">
        <v>29676</v>
      </c>
      <c r="J4465">
        <v>31670</v>
      </c>
      <c r="K4465">
        <v>33663</v>
      </c>
      <c r="L4465">
        <v>35657</v>
      </c>
      <c r="M4465">
        <v>37651</v>
      </c>
      <c r="N4465" t="s">
        <v>988</v>
      </c>
    </row>
    <row r="4466" spans="1:14" hidden="1" x14ac:dyDescent="0.3">
      <c r="A4466">
        <v>2691</v>
      </c>
      <c r="B4466" t="s">
        <v>2091</v>
      </c>
      <c r="C4466" t="s">
        <v>2670</v>
      </c>
      <c r="D4466" t="s">
        <v>1203</v>
      </c>
      <c r="E4466" t="s">
        <v>1204</v>
      </c>
      <c r="F4466">
        <v>5607</v>
      </c>
      <c r="G4466" t="s">
        <v>2673</v>
      </c>
      <c r="H4466" t="s">
        <v>2665</v>
      </c>
      <c r="I4466">
        <v>972.83744845000001</v>
      </c>
      <c r="J4466">
        <v>960.56189704999997</v>
      </c>
      <c r="K4466">
        <v>954.42412134999995</v>
      </c>
      <c r="L4466">
        <v>951.35523350000005</v>
      </c>
      <c r="M4466">
        <v>951.35523350000005</v>
      </c>
      <c r="N4466" t="s">
        <v>988</v>
      </c>
    </row>
    <row r="4467" spans="1:14" hidden="1" x14ac:dyDescent="0.3">
      <c r="A4467">
        <v>2691</v>
      </c>
      <c r="B4467" t="s">
        <v>2091</v>
      </c>
      <c r="C4467" t="s">
        <v>2670</v>
      </c>
      <c r="D4467" t="s">
        <v>1203</v>
      </c>
      <c r="E4467" t="s">
        <v>1204</v>
      </c>
      <c r="F4467">
        <v>5607</v>
      </c>
      <c r="G4467" t="s">
        <v>2672</v>
      </c>
      <c r="H4467" t="s">
        <v>2665</v>
      </c>
      <c r="N4467" t="s">
        <v>988</v>
      </c>
    </row>
    <row r="4468" spans="1:14" hidden="1" x14ac:dyDescent="0.3">
      <c r="A4468">
        <v>2691</v>
      </c>
      <c r="B4468" t="s">
        <v>2091</v>
      </c>
      <c r="C4468" t="s">
        <v>2670</v>
      </c>
      <c r="D4468" t="s">
        <v>1203</v>
      </c>
      <c r="E4468" t="s">
        <v>1204</v>
      </c>
      <c r="F4468">
        <v>5607</v>
      </c>
      <c r="G4468" t="s">
        <v>2674</v>
      </c>
      <c r="H4468" t="s">
        <v>2665</v>
      </c>
      <c r="I4468">
        <v>972.83744845000001</v>
      </c>
      <c r="J4468">
        <v>960.56189704999997</v>
      </c>
      <c r="K4468">
        <v>954.42412134999995</v>
      </c>
      <c r="L4468">
        <v>951.35523350000005</v>
      </c>
      <c r="M4468">
        <v>951.35523350000005</v>
      </c>
      <c r="N4468" t="s">
        <v>988</v>
      </c>
    </row>
    <row r="4469" spans="1:14" hidden="1" x14ac:dyDescent="0.3">
      <c r="A4469">
        <v>2691</v>
      </c>
      <c r="B4469" t="s">
        <v>2091</v>
      </c>
      <c r="C4469" t="s">
        <v>2670</v>
      </c>
      <c r="D4469" t="s">
        <v>1203</v>
      </c>
      <c r="E4469" t="s">
        <v>1204</v>
      </c>
      <c r="F4469">
        <v>5607</v>
      </c>
      <c r="G4469" t="s">
        <v>2674</v>
      </c>
      <c r="H4469" t="s">
        <v>2664</v>
      </c>
      <c r="I4469">
        <v>509.43538310000002</v>
      </c>
      <c r="J4469">
        <v>509.43538310000002</v>
      </c>
      <c r="K4469">
        <v>497.15983169999998</v>
      </c>
      <c r="L4469">
        <v>497.15983169999998</v>
      </c>
      <c r="M4469">
        <v>497.15983169999998</v>
      </c>
      <c r="N4469" t="s">
        <v>988</v>
      </c>
    </row>
    <row r="4470" spans="1:14" hidden="1" x14ac:dyDescent="0.3">
      <c r="A4470">
        <v>2691</v>
      </c>
      <c r="B4470" t="s">
        <v>2091</v>
      </c>
      <c r="C4470" t="s">
        <v>2670</v>
      </c>
      <c r="D4470" t="s">
        <v>1203</v>
      </c>
      <c r="E4470" t="s">
        <v>1204</v>
      </c>
      <c r="F4470">
        <v>5607</v>
      </c>
      <c r="G4470" t="s">
        <v>2675</v>
      </c>
      <c r="H4470" t="s">
        <v>2665</v>
      </c>
      <c r="I4470">
        <v>972.83744845000001</v>
      </c>
      <c r="J4470">
        <v>960.56189704999997</v>
      </c>
      <c r="K4470">
        <v>954.42412134999995</v>
      </c>
      <c r="L4470">
        <v>951.35523350000005</v>
      </c>
      <c r="M4470">
        <v>951.35523350000005</v>
      </c>
      <c r="N4470" t="s">
        <v>988</v>
      </c>
    </row>
    <row r="4471" spans="1:14" hidden="1" x14ac:dyDescent="0.3">
      <c r="A4471">
        <v>2691</v>
      </c>
      <c r="B4471" t="s">
        <v>2091</v>
      </c>
      <c r="C4471" t="s">
        <v>2670</v>
      </c>
      <c r="D4471" t="s">
        <v>1203</v>
      </c>
      <c r="E4471" t="s">
        <v>1204</v>
      </c>
      <c r="F4471">
        <v>5607</v>
      </c>
      <c r="G4471" t="s">
        <v>2675</v>
      </c>
      <c r="H4471" t="s">
        <v>2664</v>
      </c>
      <c r="I4471">
        <v>509.43538310000002</v>
      </c>
      <c r="J4471">
        <v>509.43538310000002</v>
      </c>
      <c r="K4471">
        <v>497.15983169999998</v>
      </c>
      <c r="L4471">
        <v>497.15983169999998</v>
      </c>
      <c r="M4471">
        <v>497.15983169999998</v>
      </c>
      <c r="N4471" t="s">
        <v>988</v>
      </c>
    </row>
    <row r="4472" spans="1:14" hidden="1" x14ac:dyDescent="0.3">
      <c r="A4472">
        <v>2691</v>
      </c>
      <c r="B4472" t="s">
        <v>2091</v>
      </c>
      <c r="C4472" t="s">
        <v>2670</v>
      </c>
      <c r="D4472" t="s">
        <v>1203</v>
      </c>
      <c r="E4472" t="s">
        <v>1204</v>
      </c>
      <c r="F4472">
        <v>5607</v>
      </c>
      <c r="G4472" t="s">
        <v>2676</v>
      </c>
      <c r="H4472" t="s">
        <v>2665</v>
      </c>
      <c r="I4472">
        <v>972.83744845000001</v>
      </c>
      <c r="J4472">
        <v>960.56189704999997</v>
      </c>
      <c r="K4472">
        <v>954.42412134999995</v>
      </c>
      <c r="L4472">
        <v>951.35523350000005</v>
      </c>
      <c r="M4472">
        <v>951.35523350000005</v>
      </c>
      <c r="N4472" t="s">
        <v>988</v>
      </c>
    </row>
    <row r="4473" spans="1:14" hidden="1" x14ac:dyDescent="0.3">
      <c r="A4473">
        <v>2691</v>
      </c>
      <c r="B4473" t="s">
        <v>2091</v>
      </c>
      <c r="C4473" t="s">
        <v>2670</v>
      </c>
      <c r="D4473" t="s">
        <v>1203</v>
      </c>
      <c r="E4473" t="s">
        <v>1204</v>
      </c>
      <c r="F4473">
        <v>5607</v>
      </c>
      <c r="G4473" t="s">
        <v>2676</v>
      </c>
      <c r="H4473" t="s">
        <v>2664</v>
      </c>
      <c r="I4473">
        <v>595.36424290000002</v>
      </c>
      <c r="J4473">
        <v>583.08869149999998</v>
      </c>
      <c r="K4473">
        <v>583.08869149999998</v>
      </c>
      <c r="L4473">
        <v>583.08869149999998</v>
      </c>
      <c r="M4473">
        <v>497.15983169999998</v>
      </c>
      <c r="N4473" t="s">
        <v>988</v>
      </c>
    </row>
    <row r="4474" spans="1:14" hidden="1" x14ac:dyDescent="0.3">
      <c r="A4474">
        <v>2691</v>
      </c>
      <c r="B4474" t="s">
        <v>2091</v>
      </c>
      <c r="C4474" t="s">
        <v>2670</v>
      </c>
      <c r="D4474" t="s">
        <v>1203</v>
      </c>
      <c r="E4474" t="s">
        <v>1204</v>
      </c>
      <c r="F4474">
        <v>5607</v>
      </c>
      <c r="G4474" t="s">
        <v>2673</v>
      </c>
      <c r="H4474" t="s">
        <v>2664</v>
      </c>
      <c r="I4474">
        <v>509.43538310000002</v>
      </c>
      <c r="J4474">
        <v>509.43538310000002</v>
      </c>
      <c r="K4474">
        <v>497.15983169999998</v>
      </c>
      <c r="L4474">
        <v>441.91985039999997</v>
      </c>
      <c r="M4474">
        <v>420.43763545000002</v>
      </c>
      <c r="N4474" t="s">
        <v>988</v>
      </c>
    </row>
    <row r="4475" spans="1:14" hidden="1" x14ac:dyDescent="0.3">
      <c r="A4475">
        <v>2691</v>
      </c>
      <c r="B4475" t="s">
        <v>2091</v>
      </c>
      <c r="C4475" t="s">
        <v>2670</v>
      </c>
      <c r="D4475" t="s">
        <v>1203</v>
      </c>
      <c r="E4475" t="s">
        <v>1204</v>
      </c>
      <c r="F4475">
        <v>5607</v>
      </c>
      <c r="G4475" t="s">
        <v>2672</v>
      </c>
      <c r="H4475" t="s">
        <v>2664</v>
      </c>
      <c r="N4475" t="s">
        <v>988</v>
      </c>
    </row>
    <row r="4476" spans="1:14" hidden="1" x14ac:dyDescent="0.3">
      <c r="A4476">
        <v>2691</v>
      </c>
      <c r="B4476" t="s">
        <v>2091</v>
      </c>
      <c r="C4476" t="s">
        <v>2670</v>
      </c>
      <c r="D4476" t="s">
        <v>1203</v>
      </c>
      <c r="E4476" t="s">
        <v>1204</v>
      </c>
      <c r="F4476">
        <v>5607</v>
      </c>
      <c r="G4476" t="s">
        <v>2671</v>
      </c>
      <c r="H4476" t="s">
        <v>2665</v>
      </c>
      <c r="I4476">
        <v>972.83744845000001</v>
      </c>
      <c r="J4476">
        <v>960.56189704999997</v>
      </c>
      <c r="K4476">
        <v>954.42412134999995</v>
      </c>
      <c r="L4476">
        <v>951.35523350000005</v>
      </c>
      <c r="M4476">
        <v>951.35523350000005</v>
      </c>
      <c r="N4476" t="s">
        <v>988</v>
      </c>
    </row>
    <row r="4477" spans="1:14" hidden="1" x14ac:dyDescent="0.3">
      <c r="A4477">
        <v>2691</v>
      </c>
      <c r="B4477" t="s">
        <v>2091</v>
      </c>
      <c r="C4477" t="s">
        <v>2670</v>
      </c>
      <c r="D4477" t="s">
        <v>1203</v>
      </c>
      <c r="E4477" t="s">
        <v>1204</v>
      </c>
      <c r="F4477">
        <v>5607</v>
      </c>
      <c r="G4477" t="s">
        <v>2671</v>
      </c>
      <c r="H4477" t="s">
        <v>2664</v>
      </c>
      <c r="I4477">
        <v>509.43538310000002</v>
      </c>
      <c r="J4477">
        <v>509.43538310000002</v>
      </c>
      <c r="K4477">
        <v>454.19540180000001</v>
      </c>
      <c r="L4477">
        <v>441.91985039999997</v>
      </c>
      <c r="M4477">
        <v>420.43763545000002</v>
      </c>
      <c r="N4477" t="s">
        <v>988</v>
      </c>
    </row>
    <row r="4478" spans="1:14" hidden="1" x14ac:dyDescent="0.3">
      <c r="A4478">
        <v>2697</v>
      </c>
      <c r="B4478" t="s">
        <v>2092</v>
      </c>
      <c r="C4478" t="s">
        <v>2670</v>
      </c>
      <c r="D4478" t="s">
        <v>159</v>
      </c>
      <c r="E4478" t="s">
        <v>159</v>
      </c>
      <c r="F4478">
        <v>7790</v>
      </c>
      <c r="G4478" t="s">
        <v>2674</v>
      </c>
      <c r="H4478" t="s">
        <v>2664</v>
      </c>
      <c r="I4478">
        <v>34104</v>
      </c>
      <c r="J4478">
        <v>38265</v>
      </c>
      <c r="K4478">
        <v>42650</v>
      </c>
      <c r="L4478">
        <v>47540</v>
      </c>
      <c r="M4478">
        <v>52900</v>
      </c>
      <c r="N4478" t="s">
        <v>988</v>
      </c>
    </row>
    <row r="4479" spans="1:14" hidden="1" x14ac:dyDescent="0.3">
      <c r="A4479">
        <v>2697</v>
      </c>
      <c r="B4479" t="s">
        <v>2092</v>
      </c>
      <c r="C4479" t="s">
        <v>2670</v>
      </c>
      <c r="D4479" t="s">
        <v>159</v>
      </c>
      <c r="E4479" t="s">
        <v>159</v>
      </c>
      <c r="F4479">
        <v>7790</v>
      </c>
      <c r="G4479" t="s">
        <v>2674</v>
      </c>
      <c r="H4479" t="s">
        <v>2665</v>
      </c>
      <c r="I4479">
        <v>30167</v>
      </c>
      <c r="J4479">
        <v>33879</v>
      </c>
      <c r="K4479">
        <v>37792</v>
      </c>
      <c r="L4479">
        <v>42155</v>
      </c>
      <c r="M4479">
        <v>46940</v>
      </c>
      <c r="N4479" t="s">
        <v>988</v>
      </c>
    </row>
    <row r="4480" spans="1:14" hidden="1" x14ac:dyDescent="0.3">
      <c r="A4480">
        <v>2697</v>
      </c>
      <c r="B4480" t="s">
        <v>2092</v>
      </c>
      <c r="C4480" t="s">
        <v>2670</v>
      </c>
      <c r="D4480" t="s">
        <v>159</v>
      </c>
      <c r="E4480" t="s">
        <v>159</v>
      </c>
      <c r="F4480">
        <v>7790</v>
      </c>
      <c r="G4480" t="s">
        <v>2673</v>
      </c>
      <c r="H4480" t="s">
        <v>2664</v>
      </c>
      <c r="I4480">
        <v>34104</v>
      </c>
      <c r="J4480">
        <v>38265</v>
      </c>
      <c r="K4480">
        <v>42650</v>
      </c>
      <c r="L4480">
        <v>47540</v>
      </c>
      <c r="M4480">
        <v>52900</v>
      </c>
      <c r="N4480" t="s">
        <v>988</v>
      </c>
    </row>
    <row r="4481" spans="1:14" hidden="1" x14ac:dyDescent="0.3">
      <c r="A4481">
        <v>2697</v>
      </c>
      <c r="B4481" t="s">
        <v>2092</v>
      </c>
      <c r="C4481" t="s">
        <v>2670</v>
      </c>
      <c r="D4481" t="s">
        <v>159</v>
      </c>
      <c r="E4481" t="s">
        <v>159</v>
      </c>
      <c r="F4481">
        <v>7790</v>
      </c>
      <c r="G4481" t="s">
        <v>2673</v>
      </c>
      <c r="H4481" t="s">
        <v>2665</v>
      </c>
      <c r="I4481">
        <v>30167</v>
      </c>
      <c r="J4481">
        <v>33879</v>
      </c>
      <c r="K4481">
        <v>37792</v>
      </c>
      <c r="L4481">
        <v>42155</v>
      </c>
      <c r="M4481">
        <v>46940</v>
      </c>
      <c r="N4481" t="s">
        <v>988</v>
      </c>
    </row>
    <row r="4482" spans="1:14" hidden="1" x14ac:dyDescent="0.3">
      <c r="A4482">
        <v>2697</v>
      </c>
      <c r="B4482" t="s">
        <v>2092</v>
      </c>
      <c r="C4482" t="s">
        <v>2670</v>
      </c>
      <c r="D4482" t="s">
        <v>159</v>
      </c>
      <c r="E4482" t="s">
        <v>159</v>
      </c>
      <c r="F4482">
        <v>7790</v>
      </c>
      <c r="G4482" t="s">
        <v>2671</v>
      </c>
      <c r="H4482" t="s">
        <v>2664</v>
      </c>
      <c r="I4482">
        <v>34104</v>
      </c>
      <c r="J4482">
        <v>38265</v>
      </c>
      <c r="K4482">
        <v>42650</v>
      </c>
      <c r="L4482">
        <v>47540</v>
      </c>
      <c r="M4482">
        <v>52900</v>
      </c>
      <c r="N4482" t="s">
        <v>988</v>
      </c>
    </row>
    <row r="4483" spans="1:14" hidden="1" x14ac:dyDescent="0.3">
      <c r="A4483">
        <v>2697</v>
      </c>
      <c r="B4483" t="s">
        <v>2092</v>
      </c>
      <c r="C4483" t="s">
        <v>2670</v>
      </c>
      <c r="D4483" t="s">
        <v>159</v>
      </c>
      <c r="E4483" t="s">
        <v>159</v>
      </c>
      <c r="F4483">
        <v>7790</v>
      </c>
      <c r="G4483" t="s">
        <v>2676</v>
      </c>
      <c r="H4483" t="s">
        <v>2664</v>
      </c>
      <c r="I4483">
        <v>34104</v>
      </c>
      <c r="J4483">
        <v>38265</v>
      </c>
      <c r="K4483">
        <v>42650</v>
      </c>
      <c r="L4483">
        <v>47540</v>
      </c>
      <c r="M4483">
        <v>52900</v>
      </c>
      <c r="N4483" t="s">
        <v>988</v>
      </c>
    </row>
    <row r="4484" spans="1:14" hidden="1" x14ac:dyDescent="0.3">
      <c r="A4484">
        <v>2697</v>
      </c>
      <c r="B4484" t="s">
        <v>2092</v>
      </c>
      <c r="C4484" t="s">
        <v>2670</v>
      </c>
      <c r="D4484" t="s">
        <v>159</v>
      </c>
      <c r="E4484" t="s">
        <v>159</v>
      </c>
      <c r="F4484">
        <v>7790</v>
      </c>
      <c r="G4484" t="s">
        <v>2672</v>
      </c>
      <c r="H4484" t="s">
        <v>2664</v>
      </c>
      <c r="N4484" t="s">
        <v>988</v>
      </c>
    </row>
    <row r="4485" spans="1:14" hidden="1" x14ac:dyDescent="0.3">
      <c r="A4485">
        <v>2697</v>
      </c>
      <c r="B4485" t="s">
        <v>2092</v>
      </c>
      <c r="C4485" t="s">
        <v>2670</v>
      </c>
      <c r="D4485" t="s">
        <v>159</v>
      </c>
      <c r="E4485" t="s">
        <v>159</v>
      </c>
      <c r="F4485">
        <v>7790</v>
      </c>
      <c r="G4485" t="s">
        <v>2672</v>
      </c>
      <c r="H4485" t="s">
        <v>2665</v>
      </c>
      <c r="N4485" t="s">
        <v>988</v>
      </c>
    </row>
    <row r="4486" spans="1:14" hidden="1" x14ac:dyDescent="0.3">
      <c r="A4486">
        <v>2697</v>
      </c>
      <c r="B4486" t="s">
        <v>2092</v>
      </c>
      <c r="C4486" t="s">
        <v>2670</v>
      </c>
      <c r="D4486" t="s">
        <v>159</v>
      </c>
      <c r="E4486" t="s">
        <v>159</v>
      </c>
      <c r="F4486">
        <v>7790</v>
      </c>
      <c r="G4486" t="s">
        <v>2675</v>
      </c>
      <c r="H4486" t="s">
        <v>2665</v>
      </c>
      <c r="I4486">
        <v>30167</v>
      </c>
      <c r="J4486">
        <v>33879</v>
      </c>
      <c r="K4486">
        <v>37792</v>
      </c>
      <c r="L4486">
        <v>42155</v>
      </c>
      <c r="M4486">
        <v>46940</v>
      </c>
      <c r="N4486" t="s">
        <v>988</v>
      </c>
    </row>
    <row r="4487" spans="1:14" hidden="1" x14ac:dyDescent="0.3">
      <c r="A4487">
        <v>2697</v>
      </c>
      <c r="B4487" t="s">
        <v>2092</v>
      </c>
      <c r="C4487" t="s">
        <v>2670</v>
      </c>
      <c r="D4487" t="s">
        <v>159</v>
      </c>
      <c r="E4487" t="s">
        <v>159</v>
      </c>
      <c r="F4487">
        <v>7790</v>
      </c>
      <c r="G4487" t="s">
        <v>2675</v>
      </c>
      <c r="H4487" t="s">
        <v>2664</v>
      </c>
      <c r="I4487">
        <v>34104</v>
      </c>
      <c r="J4487">
        <v>38265</v>
      </c>
      <c r="K4487">
        <v>42650</v>
      </c>
      <c r="L4487">
        <v>47540</v>
      </c>
      <c r="M4487">
        <v>52900</v>
      </c>
      <c r="N4487" t="s">
        <v>988</v>
      </c>
    </row>
    <row r="4488" spans="1:14" hidden="1" x14ac:dyDescent="0.3">
      <c r="A4488">
        <v>2697</v>
      </c>
      <c r="B4488" t="s">
        <v>2092</v>
      </c>
      <c r="C4488" t="s">
        <v>2670</v>
      </c>
      <c r="D4488" t="s">
        <v>159</v>
      </c>
      <c r="E4488" t="s">
        <v>159</v>
      </c>
      <c r="F4488">
        <v>7790</v>
      </c>
      <c r="G4488" t="s">
        <v>2676</v>
      </c>
      <c r="H4488" t="s">
        <v>2665</v>
      </c>
      <c r="I4488">
        <v>30167</v>
      </c>
      <c r="J4488">
        <v>33879</v>
      </c>
      <c r="K4488">
        <v>37792</v>
      </c>
      <c r="L4488">
        <v>42155</v>
      </c>
      <c r="M4488">
        <v>46940</v>
      </c>
      <c r="N4488" t="s">
        <v>988</v>
      </c>
    </row>
    <row r="4489" spans="1:14" hidden="1" x14ac:dyDescent="0.3">
      <c r="A4489">
        <v>2697</v>
      </c>
      <c r="B4489" t="s">
        <v>2092</v>
      </c>
      <c r="C4489" t="s">
        <v>2670</v>
      </c>
      <c r="D4489" t="s">
        <v>159</v>
      </c>
      <c r="E4489" t="s">
        <v>159</v>
      </c>
      <c r="F4489">
        <v>7790</v>
      </c>
      <c r="G4489" t="s">
        <v>2671</v>
      </c>
      <c r="H4489" t="s">
        <v>2665</v>
      </c>
      <c r="I4489">
        <v>30167</v>
      </c>
      <c r="J4489">
        <v>33879</v>
      </c>
      <c r="K4489">
        <v>37792</v>
      </c>
      <c r="L4489">
        <v>42155</v>
      </c>
      <c r="M4489">
        <v>46940</v>
      </c>
      <c r="N4489" t="s">
        <v>988</v>
      </c>
    </row>
    <row r="4490" spans="1:14" hidden="1" x14ac:dyDescent="0.3">
      <c r="A4490">
        <v>2704</v>
      </c>
      <c r="B4490" t="s">
        <v>2096</v>
      </c>
      <c r="C4490" t="s">
        <v>2670</v>
      </c>
      <c r="D4490" t="s">
        <v>159</v>
      </c>
      <c r="E4490" t="s">
        <v>159</v>
      </c>
      <c r="F4490">
        <v>7853</v>
      </c>
      <c r="G4490" t="s">
        <v>2674</v>
      </c>
      <c r="H4490" t="s">
        <v>2664</v>
      </c>
      <c r="I4490">
        <v>11564</v>
      </c>
      <c r="J4490">
        <v>11708</v>
      </c>
      <c r="K4490">
        <v>11630</v>
      </c>
      <c r="L4490">
        <v>11530</v>
      </c>
      <c r="M4490">
        <v>11487</v>
      </c>
      <c r="N4490" t="s">
        <v>988</v>
      </c>
    </row>
    <row r="4491" spans="1:14" hidden="1" x14ac:dyDescent="0.3">
      <c r="A4491">
        <v>2704</v>
      </c>
      <c r="B4491" t="s">
        <v>2096</v>
      </c>
      <c r="C4491" t="s">
        <v>2670</v>
      </c>
      <c r="D4491" t="s">
        <v>159</v>
      </c>
      <c r="E4491" t="s">
        <v>159</v>
      </c>
      <c r="F4491">
        <v>7853</v>
      </c>
      <c r="G4491" t="s">
        <v>2675</v>
      </c>
      <c r="H4491" t="s">
        <v>2665</v>
      </c>
      <c r="I4491">
        <v>11473</v>
      </c>
      <c r="J4491">
        <v>11720</v>
      </c>
      <c r="K4491">
        <v>11648</v>
      </c>
      <c r="L4491">
        <v>11552</v>
      </c>
      <c r="M4491">
        <v>11487</v>
      </c>
      <c r="N4491" t="s">
        <v>988</v>
      </c>
    </row>
    <row r="4492" spans="1:14" hidden="1" x14ac:dyDescent="0.3">
      <c r="A4492">
        <v>2704</v>
      </c>
      <c r="B4492" t="s">
        <v>2096</v>
      </c>
      <c r="C4492" t="s">
        <v>2670</v>
      </c>
      <c r="D4492" t="s">
        <v>159</v>
      </c>
      <c r="E4492" t="s">
        <v>159</v>
      </c>
      <c r="F4492">
        <v>7853</v>
      </c>
      <c r="G4492" t="s">
        <v>2675</v>
      </c>
      <c r="H4492" t="s">
        <v>2664</v>
      </c>
      <c r="I4492">
        <v>11473</v>
      </c>
      <c r="J4492">
        <v>11720</v>
      </c>
      <c r="K4492">
        <v>11648</v>
      </c>
      <c r="L4492">
        <v>11552</v>
      </c>
      <c r="M4492">
        <v>11487</v>
      </c>
      <c r="N4492" t="s">
        <v>988</v>
      </c>
    </row>
    <row r="4493" spans="1:14" hidden="1" x14ac:dyDescent="0.3">
      <c r="A4493">
        <v>2704</v>
      </c>
      <c r="B4493" t="s">
        <v>2096</v>
      </c>
      <c r="C4493" t="s">
        <v>2670</v>
      </c>
      <c r="D4493" t="s">
        <v>159</v>
      </c>
      <c r="E4493" t="s">
        <v>159</v>
      </c>
      <c r="F4493">
        <v>7853</v>
      </c>
      <c r="G4493" t="s">
        <v>2676</v>
      </c>
      <c r="H4493" t="s">
        <v>2665</v>
      </c>
      <c r="I4493">
        <v>11745</v>
      </c>
      <c r="J4493">
        <v>11733</v>
      </c>
      <c r="K4493">
        <v>11666</v>
      </c>
      <c r="L4493">
        <v>11573</v>
      </c>
      <c r="M4493">
        <v>11487</v>
      </c>
      <c r="N4493" t="s">
        <v>988</v>
      </c>
    </row>
    <row r="4494" spans="1:14" hidden="1" x14ac:dyDescent="0.3">
      <c r="A4494">
        <v>2704</v>
      </c>
      <c r="B4494" t="s">
        <v>2096</v>
      </c>
      <c r="C4494" t="s">
        <v>2670</v>
      </c>
      <c r="D4494" t="s">
        <v>159</v>
      </c>
      <c r="E4494" t="s">
        <v>159</v>
      </c>
      <c r="F4494">
        <v>7853</v>
      </c>
      <c r="G4494" t="s">
        <v>2676</v>
      </c>
      <c r="H4494" t="s">
        <v>2664</v>
      </c>
      <c r="I4494">
        <v>11745</v>
      </c>
      <c r="J4494">
        <v>11733</v>
      </c>
      <c r="K4494">
        <v>11666</v>
      </c>
      <c r="L4494">
        <v>11573</v>
      </c>
      <c r="M4494">
        <v>11487</v>
      </c>
      <c r="N4494" t="s">
        <v>988</v>
      </c>
    </row>
    <row r="4495" spans="1:14" hidden="1" x14ac:dyDescent="0.3">
      <c r="A4495">
        <v>2704</v>
      </c>
      <c r="B4495" t="s">
        <v>2096</v>
      </c>
      <c r="C4495" t="s">
        <v>2670</v>
      </c>
      <c r="D4495" t="s">
        <v>159</v>
      </c>
      <c r="E4495" t="s">
        <v>159</v>
      </c>
      <c r="F4495">
        <v>7853</v>
      </c>
      <c r="G4495" t="s">
        <v>2672</v>
      </c>
      <c r="H4495" t="s">
        <v>2665</v>
      </c>
      <c r="N4495" t="s">
        <v>988</v>
      </c>
    </row>
    <row r="4496" spans="1:14" hidden="1" x14ac:dyDescent="0.3">
      <c r="A4496">
        <v>2704</v>
      </c>
      <c r="B4496" t="s">
        <v>2096</v>
      </c>
      <c r="C4496" t="s">
        <v>2670</v>
      </c>
      <c r="D4496" t="s">
        <v>159</v>
      </c>
      <c r="E4496" t="s">
        <v>159</v>
      </c>
      <c r="F4496">
        <v>7853</v>
      </c>
      <c r="G4496" t="s">
        <v>2672</v>
      </c>
      <c r="H4496" t="s">
        <v>2664</v>
      </c>
      <c r="N4496" t="s">
        <v>988</v>
      </c>
    </row>
    <row r="4497" spans="1:14" hidden="1" x14ac:dyDescent="0.3">
      <c r="A4497">
        <v>2704</v>
      </c>
      <c r="B4497" t="s">
        <v>2096</v>
      </c>
      <c r="C4497" t="s">
        <v>2670</v>
      </c>
      <c r="D4497" t="s">
        <v>159</v>
      </c>
      <c r="E4497" t="s">
        <v>159</v>
      </c>
      <c r="F4497">
        <v>7853</v>
      </c>
      <c r="G4497" t="s">
        <v>2671</v>
      </c>
      <c r="H4497" t="s">
        <v>2665</v>
      </c>
      <c r="I4497">
        <v>11745</v>
      </c>
      <c r="J4497">
        <v>11683</v>
      </c>
      <c r="K4497">
        <v>11595</v>
      </c>
      <c r="L4497">
        <v>11487</v>
      </c>
      <c r="M4497">
        <v>11486</v>
      </c>
      <c r="N4497" t="s">
        <v>988</v>
      </c>
    </row>
    <row r="4498" spans="1:14" hidden="1" x14ac:dyDescent="0.3">
      <c r="A4498">
        <v>2704</v>
      </c>
      <c r="B4498" t="s">
        <v>2096</v>
      </c>
      <c r="C4498" t="s">
        <v>2670</v>
      </c>
      <c r="D4498" t="s">
        <v>159</v>
      </c>
      <c r="E4498" t="s">
        <v>159</v>
      </c>
      <c r="F4498">
        <v>7853</v>
      </c>
      <c r="G4498" t="s">
        <v>2671</v>
      </c>
      <c r="H4498" t="s">
        <v>2664</v>
      </c>
      <c r="I4498">
        <v>11745</v>
      </c>
      <c r="J4498">
        <v>11683</v>
      </c>
      <c r="K4498">
        <v>11595</v>
      </c>
      <c r="L4498">
        <v>11487</v>
      </c>
      <c r="M4498">
        <v>11486</v>
      </c>
      <c r="N4498" t="s">
        <v>988</v>
      </c>
    </row>
    <row r="4499" spans="1:14" hidden="1" x14ac:dyDescent="0.3">
      <c r="A4499">
        <v>2704</v>
      </c>
      <c r="B4499" t="s">
        <v>2096</v>
      </c>
      <c r="C4499" t="s">
        <v>2670</v>
      </c>
      <c r="D4499" t="s">
        <v>159</v>
      </c>
      <c r="E4499" t="s">
        <v>159</v>
      </c>
      <c r="F4499">
        <v>7853</v>
      </c>
      <c r="G4499" t="s">
        <v>2673</v>
      </c>
      <c r="H4499" t="s">
        <v>2665</v>
      </c>
      <c r="I4499">
        <v>11655</v>
      </c>
      <c r="J4499">
        <v>11696</v>
      </c>
      <c r="K4499">
        <v>11612</v>
      </c>
      <c r="L4499">
        <v>11509</v>
      </c>
      <c r="M4499">
        <v>11486</v>
      </c>
      <c r="N4499" t="s">
        <v>988</v>
      </c>
    </row>
    <row r="4500" spans="1:14" hidden="1" x14ac:dyDescent="0.3">
      <c r="A4500">
        <v>2704</v>
      </c>
      <c r="B4500" t="s">
        <v>2096</v>
      </c>
      <c r="C4500" t="s">
        <v>2670</v>
      </c>
      <c r="D4500" t="s">
        <v>159</v>
      </c>
      <c r="E4500" t="s">
        <v>159</v>
      </c>
      <c r="F4500">
        <v>7853</v>
      </c>
      <c r="G4500" t="s">
        <v>2673</v>
      </c>
      <c r="H4500" t="s">
        <v>2664</v>
      </c>
      <c r="I4500">
        <v>11655</v>
      </c>
      <c r="J4500">
        <v>11696</v>
      </c>
      <c r="K4500">
        <v>11612</v>
      </c>
      <c r="L4500">
        <v>11509</v>
      </c>
      <c r="M4500">
        <v>11486</v>
      </c>
      <c r="N4500" t="s">
        <v>988</v>
      </c>
    </row>
    <row r="4501" spans="1:14" hidden="1" x14ac:dyDescent="0.3">
      <c r="A4501">
        <v>2704</v>
      </c>
      <c r="B4501" t="s">
        <v>2096</v>
      </c>
      <c r="C4501" t="s">
        <v>2670</v>
      </c>
      <c r="D4501" t="s">
        <v>159</v>
      </c>
      <c r="E4501" t="s">
        <v>159</v>
      </c>
      <c r="F4501">
        <v>7853</v>
      </c>
      <c r="G4501" t="s">
        <v>2674</v>
      </c>
      <c r="H4501" t="s">
        <v>2665</v>
      </c>
      <c r="I4501">
        <v>11564</v>
      </c>
      <c r="J4501">
        <v>11708</v>
      </c>
      <c r="K4501">
        <v>11630</v>
      </c>
      <c r="L4501">
        <v>11530</v>
      </c>
      <c r="M4501">
        <v>11487</v>
      </c>
      <c r="N4501" t="s">
        <v>988</v>
      </c>
    </row>
    <row r="4502" spans="1:14" hidden="1" x14ac:dyDescent="0.3">
      <c r="A4502">
        <v>2723</v>
      </c>
      <c r="B4502" t="s">
        <v>2098</v>
      </c>
      <c r="C4502" t="s">
        <v>2670</v>
      </c>
      <c r="D4502" t="s">
        <v>1203</v>
      </c>
      <c r="E4502" t="s">
        <v>1204</v>
      </c>
      <c r="F4502">
        <v>5513</v>
      </c>
      <c r="G4502" t="s">
        <v>2672</v>
      </c>
      <c r="H4502" t="s">
        <v>2665</v>
      </c>
      <c r="N4502" t="s">
        <v>988</v>
      </c>
    </row>
    <row r="4503" spans="1:14" hidden="1" x14ac:dyDescent="0.3">
      <c r="A4503">
        <v>2723</v>
      </c>
      <c r="B4503" t="s">
        <v>2098</v>
      </c>
      <c r="C4503" t="s">
        <v>2670</v>
      </c>
      <c r="D4503" t="s">
        <v>1203</v>
      </c>
      <c r="E4503" t="s">
        <v>1204</v>
      </c>
      <c r="F4503">
        <v>5513</v>
      </c>
      <c r="G4503" t="s">
        <v>2672</v>
      </c>
      <c r="H4503" t="s">
        <v>2664</v>
      </c>
      <c r="N4503" t="s">
        <v>988</v>
      </c>
    </row>
    <row r="4504" spans="1:14" hidden="1" x14ac:dyDescent="0.3">
      <c r="A4504">
        <v>2723</v>
      </c>
      <c r="B4504" t="s">
        <v>2098</v>
      </c>
      <c r="C4504" t="s">
        <v>2670</v>
      </c>
      <c r="D4504" t="s">
        <v>1203</v>
      </c>
      <c r="E4504" t="s">
        <v>1204</v>
      </c>
      <c r="F4504">
        <v>5513</v>
      </c>
      <c r="G4504" t="s">
        <v>2671</v>
      </c>
      <c r="H4504" t="s">
        <v>2665</v>
      </c>
      <c r="I4504">
        <v>6876</v>
      </c>
      <c r="J4504">
        <v>7027</v>
      </c>
      <c r="K4504">
        <v>7181</v>
      </c>
      <c r="L4504">
        <v>7338</v>
      </c>
      <c r="M4504">
        <v>7499</v>
      </c>
      <c r="N4504" t="s">
        <v>988</v>
      </c>
    </row>
    <row r="4505" spans="1:14" hidden="1" x14ac:dyDescent="0.3">
      <c r="A4505">
        <v>2723</v>
      </c>
      <c r="B4505" t="s">
        <v>2098</v>
      </c>
      <c r="C4505" t="s">
        <v>2670</v>
      </c>
      <c r="D4505" t="s">
        <v>1203</v>
      </c>
      <c r="E4505" t="s">
        <v>1204</v>
      </c>
      <c r="F4505">
        <v>5513</v>
      </c>
      <c r="G4505" t="s">
        <v>2671</v>
      </c>
      <c r="H4505" t="s">
        <v>2664</v>
      </c>
      <c r="I4505">
        <v>6876</v>
      </c>
      <c r="J4505">
        <v>7027</v>
      </c>
      <c r="K4505">
        <v>7181</v>
      </c>
      <c r="L4505">
        <v>7338</v>
      </c>
      <c r="M4505">
        <v>7499</v>
      </c>
      <c r="N4505" t="s">
        <v>988</v>
      </c>
    </row>
    <row r="4506" spans="1:14" hidden="1" x14ac:dyDescent="0.3">
      <c r="A4506">
        <v>2723</v>
      </c>
      <c r="B4506" t="s">
        <v>2098</v>
      </c>
      <c r="C4506" t="s">
        <v>2670</v>
      </c>
      <c r="D4506" t="s">
        <v>1203</v>
      </c>
      <c r="E4506" t="s">
        <v>1204</v>
      </c>
      <c r="F4506">
        <v>5513</v>
      </c>
      <c r="G4506" t="s">
        <v>2673</v>
      </c>
      <c r="H4506" t="s">
        <v>2665</v>
      </c>
      <c r="I4506">
        <v>8017</v>
      </c>
      <c r="J4506">
        <v>8193</v>
      </c>
      <c r="K4506">
        <v>8373</v>
      </c>
      <c r="L4506">
        <v>8557</v>
      </c>
      <c r="M4506">
        <v>8745</v>
      </c>
      <c r="N4506" t="s">
        <v>988</v>
      </c>
    </row>
    <row r="4507" spans="1:14" hidden="1" x14ac:dyDescent="0.3">
      <c r="A4507">
        <v>2723</v>
      </c>
      <c r="B4507" t="s">
        <v>2098</v>
      </c>
      <c r="C4507" t="s">
        <v>2670</v>
      </c>
      <c r="D4507" t="s">
        <v>1203</v>
      </c>
      <c r="E4507" t="s">
        <v>1204</v>
      </c>
      <c r="F4507">
        <v>5513</v>
      </c>
      <c r="G4507" t="s">
        <v>2676</v>
      </c>
      <c r="H4507" t="s">
        <v>2664</v>
      </c>
      <c r="I4507">
        <v>7639</v>
      </c>
      <c r="J4507">
        <v>7530</v>
      </c>
      <c r="K4507">
        <v>7696</v>
      </c>
      <c r="L4507">
        <v>7864</v>
      </c>
      <c r="M4507">
        <v>8037</v>
      </c>
      <c r="N4507" t="s">
        <v>988</v>
      </c>
    </row>
    <row r="4508" spans="1:14" hidden="1" x14ac:dyDescent="0.3">
      <c r="A4508">
        <v>2723</v>
      </c>
      <c r="B4508" t="s">
        <v>2098</v>
      </c>
      <c r="C4508" t="s">
        <v>2670</v>
      </c>
      <c r="D4508" t="s">
        <v>1203</v>
      </c>
      <c r="E4508" t="s">
        <v>1204</v>
      </c>
      <c r="F4508">
        <v>5513</v>
      </c>
      <c r="G4508" t="s">
        <v>2674</v>
      </c>
      <c r="H4508" t="s">
        <v>2665</v>
      </c>
      <c r="I4508">
        <v>8975</v>
      </c>
      <c r="J4508">
        <v>9172</v>
      </c>
      <c r="K4508">
        <v>9373</v>
      </c>
      <c r="L4508">
        <v>9579</v>
      </c>
      <c r="M4508">
        <v>9789</v>
      </c>
      <c r="N4508" t="s">
        <v>988</v>
      </c>
    </row>
    <row r="4509" spans="1:14" hidden="1" x14ac:dyDescent="0.3">
      <c r="A4509">
        <v>2723</v>
      </c>
      <c r="B4509" t="s">
        <v>2098</v>
      </c>
      <c r="C4509" t="s">
        <v>2670</v>
      </c>
      <c r="D4509" t="s">
        <v>1203</v>
      </c>
      <c r="E4509" t="s">
        <v>1204</v>
      </c>
      <c r="F4509">
        <v>5513</v>
      </c>
      <c r="G4509" t="s">
        <v>2674</v>
      </c>
      <c r="H4509" t="s">
        <v>2664</v>
      </c>
      <c r="I4509">
        <v>8975</v>
      </c>
      <c r="J4509">
        <v>9172</v>
      </c>
      <c r="K4509">
        <v>9373</v>
      </c>
      <c r="L4509">
        <v>9579</v>
      </c>
      <c r="M4509">
        <v>9789</v>
      </c>
      <c r="N4509" t="s">
        <v>988</v>
      </c>
    </row>
    <row r="4510" spans="1:14" hidden="1" x14ac:dyDescent="0.3">
      <c r="A4510">
        <v>2723</v>
      </c>
      <c r="B4510" t="s">
        <v>2098</v>
      </c>
      <c r="C4510" t="s">
        <v>2670</v>
      </c>
      <c r="D4510" t="s">
        <v>1203</v>
      </c>
      <c r="E4510" t="s">
        <v>1204</v>
      </c>
      <c r="F4510">
        <v>5513</v>
      </c>
      <c r="G4510" t="s">
        <v>2675</v>
      </c>
      <c r="H4510" t="s">
        <v>2665</v>
      </c>
      <c r="I4510">
        <v>8257</v>
      </c>
      <c r="J4510">
        <v>8438</v>
      </c>
      <c r="K4510">
        <v>8624</v>
      </c>
      <c r="L4510">
        <v>8813</v>
      </c>
      <c r="M4510">
        <v>9006</v>
      </c>
      <c r="N4510" t="s">
        <v>988</v>
      </c>
    </row>
    <row r="4511" spans="1:14" hidden="1" x14ac:dyDescent="0.3">
      <c r="A4511">
        <v>2723</v>
      </c>
      <c r="B4511" t="s">
        <v>2098</v>
      </c>
      <c r="C4511" t="s">
        <v>2670</v>
      </c>
      <c r="D4511" t="s">
        <v>1203</v>
      </c>
      <c r="E4511" t="s">
        <v>1204</v>
      </c>
      <c r="F4511">
        <v>5513</v>
      </c>
      <c r="G4511" t="s">
        <v>2675</v>
      </c>
      <c r="H4511" t="s">
        <v>2664</v>
      </c>
      <c r="I4511">
        <v>8257</v>
      </c>
      <c r="J4511">
        <v>8438</v>
      </c>
      <c r="K4511">
        <v>8624</v>
      </c>
      <c r="L4511">
        <v>8813</v>
      </c>
      <c r="M4511">
        <v>9006</v>
      </c>
      <c r="N4511" t="s">
        <v>988</v>
      </c>
    </row>
    <row r="4512" spans="1:14" hidden="1" x14ac:dyDescent="0.3">
      <c r="A4512">
        <v>2723</v>
      </c>
      <c r="B4512" t="s">
        <v>2098</v>
      </c>
      <c r="C4512" t="s">
        <v>2670</v>
      </c>
      <c r="D4512" t="s">
        <v>1203</v>
      </c>
      <c r="E4512" t="s">
        <v>1204</v>
      </c>
      <c r="F4512">
        <v>5513</v>
      </c>
      <c r="G4512" t="s">
        <v>2676</v>
      </c>
      <c r="H4512" t="s">
        <v>2665</v>
      </c>
      <c r="I4512">
        <v>7639</v>
      </c>
      <c r="J4512">
        <v>7530</v>
      </c>
      <c r="K4512">
        <v>7696</v>
      </c>
      <c r="L4512">
        <v>7864</v>
      </c>
      <c r="M4512">
        <v>8037</v>
      </c>
      <c r="N4512" t="s">
        <v>988</v>
      </c>
    </row>
    <row r="4513" spans="1:14" hidden="1" x14ac:dyDescent="0.3">
      <c r="A4513">
        <v>2723</v>
      </c>
      <c r="B4513" t="s">
        <v>2098</v>
      </c>
      <c r="C4513" t="s">
        <v>2670</v>
      </c>
      <c r="D4513" t="s">
        <v>1203</v>
      </c>
      <c r="E4513" t="s">
        <v>1204</v>
      </c>
      <c r="F4513">
        <v>5513</v>
      </c>
      <c r="G4513" t="s">
        <v>2673</v>
      </c>
      <c r="H4513" t="s">
        <v>2664</v>
      </c>
      <c r="I4513">
        <v>8017</v>
      </c>
      <c r="J4513">
        <v>8193</v>
      </c>
      <c r="K4513">
        <v>8373</v>
      </c>
      <c r="L4513">
        <v>8557</v>
      </c>
      <c r="M4513">
        <v>8745</v>
      </c>
      <c r="N4513" t="s">
        <v>988</v>
      </c>
    </row>
    <row r="4514" spans="1:14" hidden="1" x14ac:dyDescent="0.3">
      <c r="A4514">
        <v>2751</v>
      </c>
      <c r="B4514" t="s">
        <v>2099</v>
      </c>
      <c r="C4514" t="s">
        <v>2670</v>
      </c>
      <c r="D4514" t="s">
        <v>1203</v>
      </c>
      <c r="E4514" t="s">
        <v>1204</v>
      </c>
      <c r="F4514">
        <v>5933</v>
      </c>
      <c r="G4514" t="s">
        <v>2676</v>
      </c>
      <c r="H4514" t="s">
        <v>2665</v>
      </c>
      <c r="I4514">
        <v>6504</v>
      </c>
      <c r="J4514">
        <v>6955</v>
      </c>
      <c r="K4514">
        <v>7614</v>
      </c>
      <c r="L4514">
        <v>8628</v>
      </c>
      <c r="N4514" t="s">
        <v>988</v>
      </c>
    </row>
    <row r="4515" spans="1:14" hidden="1" x14ac:dyDescent="0.3">
      <c r="A4515">
        <v>2751</v>
      </c>
      <c r="B4515" t="s">
        <v>2099</v>
      </c>
      <c r="C4515" t="s">
        <v>2670</v>
      </c>
      <c r="D4515" t="s">
        <v>1203</v>
      </c>
      <c r="E4515" t="s">
        <v>1204</v>
      </c>
      <c r="F4515">
        <v>5933</v>
      </c>
      <c r="G4515" t="s">
        <v>2676</v>
      </c>
      <c r="H4515" t="s">
        <v>2664</v>
      </c>
      <c r="I4515">
        <v>7969</v>
      </c>
      <c r="J4515">
        <v>7987</v>
      </c>
      <c r="K4515">
        <v>8186</v>
      </c>
      <c r="L4515">
        <v>8745</v>
      </c>
      <c r="N4515" t="s">
        <v>988</v>
      </c>
    </row>
    <row r="4516" spans="1:14" hidden="1" x14ac:dyDescent="0.3">
      <c r="A4516">
        <v>2751</v>
      </c>
      <c r="B4516" t="s">
        <v>2099</v>
      </c>
      <c r="C4516" t="s">
        <v>2670</v>
      </c>
      <c r="D4516" t="s">
        <v>1203</v>
      </c>
      <c r="E4516" t="s">
        <v>1204</v>
      </c>
      <c r="F4516">
        <v>5933</v>
      </c>
      <c r="G4516" t="s">
        <v>2675</v>
      </c>
      <c r="H4516" t="s">
        <v>2664</v>
      </c>
      <c r="I4516">
        <v>7932</v>
      </c>
      <c r="J4516">
        <v>7950</v>
      </c>
      <c r="K4516">
        <v>8149</v>
      </c>
      <c r="L4516">
        <v>8708</v>
      </c>
      <c r="N4516" t="s">
        <v>988</v>
      </c>
    </row>
    <row r="4517" spans="1:14" hidden="1" x14ac:dyDescent="0.3">
      <c r="A4517">
        <v>2751</v>
      </c>
      <c r="B4517" t="s">
        <v>2099</v>
      </c>
      <c r="C4517" t="s">
        <v>2670</v>
      </c>
      <c r="D4517" t="s">
        <v>1203</v>
      </c>
      <c r="E4517" t="s">
        <v>1204</v>
      </c>
      <c r="F4517">
        <v>5933</v>
      </c>
      <c r="G4517" t="s">
        <v>2675</v>
      </c>
      <c r="H4517" t="s">
        <v>2665</v>
      </c>
      <c r="I4517">
        <v>6504</v>
      </c>
      <c r="J4517">
        <v>6955</v>
      </c>
      <c r="K4517">
        <v>7614</v>
      </c>
      <c r="L4517">
        <v>8628</v>
      </c>
      <c r="N4517" t="s">
        <v>988</v>
      </c>
    </row>
    <row r="4518" spans="1:14" hidden="1" x14ac:dyDescent="0.3">
      <c r="A4518">
        <v>2751</v>
      </c>
      <c r="B4518" t="s">
        <v>2099</v>
      </c>
      <c r="C4518" t="s">
        <v>2670</v>
      </c>
      <c r="D4518" t="s">
        <v>1203</v>
      </c>
      <c r="E4518" t="s">
        <v>1204</v>
      </c>
      <c r="F4518">
        <v>5933</v>
      </c>
      <c r="G4518" t="s">
        <v>2674</v>
      </c>
      <c r="H4518" t="s">
        <v>2664</v>
      </c>
      <c r="I4518">
        <v>7894</v>
      </c>
      <c r="J4518">
        <v>7912</v>
      </c>
      <c r="K4518">
        <v>8111</v>
      </c>
      <c r="L4518">
        <v>8670</v>
      </c>
      <c r="N4518" t="s">
        <v>988</v>
      </c>
    </row>
    <row r="4519" spans="1:14" hidden="1" x14ac:dyDescent="0.3">
      <c r="A4519">
        <v>2751</v>
      </c>
      <c r="B4519" t="s">
        <v>2099</v>
      </c>
      <c r="C4519" t="s">
        <v>2670</v>
      </c>
      <c r="D4519" t="s">
        <v>1203</v>
      </c>
      <c r="E4519" t="s">
        <v>1204</v>
      </c>
      <c r="F4519">
        <v>5933</v>
      </c>
      <c r="G4519" t="s">
        <v>2674</v>
      </c>
      <c r="H4519" t="s">
        <v>2665</v>
      </c>
      <c r="I4519">
        <v>6504</v>
      </c>
      <c r="J4519">
        <v>6955</v>
      </c>
      <c r="K4519">
        <v>7614</v>
      </c>
      <c r="L4519">
        <v>8628</v>
      </c>
      <c r="N4519" t="s">
        <v>988</v>
      </c>
    </row>
    <row r="4520" spans="1:14" hidden="1" x14ac:dyDescent="0.3">
      <c r="A4520">
        <v>2751</v>
      </c>
      <c r="B4520" t="s">
        <v>2099</v>
      </c>
      <c r="C4520" t="s">
        <v>2670</v>
      </c>
      <c r="D4520" t="s">
        <v>1203</v>
      </c>
      <c r="E4520" t="s">
        <v>1204</v>
      </c>
      <c r="F4520">
        <v>5933</v>
      </c>
      <c r="G4520" t="s">
        <v>2673</v>
      </c>
      <c r="H4520" t="s">
        <v>2664</v>
      </c>
      <c r="I4520">
        <v>7857</v>
      </c>
      <c r="J4520">
        <v>7875</v>
      </c>
      <c r="K4520">
        <v>8074</v>
      </c>
      <c r="L4520">
        <v>8633</v>
      </c>
      <c r="N4520" t="s">
        <v>988</v>
      </c>
    </row>
    <row r="4521" spans="1:14" hidden="1" x14ac:dyDescent="0.3">
      <c r="A4521">
        <v>2751</v>
      </c>
      <c r="B4521" t="s">
        <v>2099</v>
      </c>
      <c r="C4521" t="s">
        <v>2670</v>
      </c>
      <c r="D4521" t="s">
        <v>1203</v>
      </c>
      <c r="E4521" t="s">
        <v>1204</v>
      </c>
      <c r="F4521">
        <v>5933</v>
      </c>
      <c r="G4521" t="s">
        <v>2673</v>
      </c>
      <c r="H4521" t="s">
        <v>2665</v>
      </c>
      <c r="I4521">
        <v>6504</v>
      </c>
      <c r="J4521">
        <v>6955</v>
      </c>
      <c r="K4521">
        <v>7614</v>
      </c>
      <c r="L4521">
        <v>8628</v>
      </c>
      <c r="N4521" t="s">
        <v>988</v>
      </c>
    </row>
    <row r="4522" spans="1:14" hidden="1" x14ac:dyDescent="0.3">
      <c r="A4522">
        <v>2751</v>
      </c>
      <c r="B4522" t="s">
        <v>2099</v>
      </c>
      <c r="C4522" t="s">
        <v>2670</v>
      </c>
      <c r="D4522" t="s">
        <v>1203</v>
      </c>
      <c r="E4522" t="s">
        <v>1204</v>
      </c>
      <c r="F4522">
        <v>5933</v>
      </c>
      <c r="G4522" t="s">
        <v>2671</v>
      </c>
      <c r="H4522" t="s">
        <v>2664</v>
      </c>
      <c r="I4522">
        <v>7819</v>
      </c>
      <c r="J4522">
        <v>7837</v>
      </c>
      <c r="K4522">
        <v>8036</v>
      </c>
      <c r="L4522">
        <v>8595</v>
      </c>
      <c r="N4522" t="s">
        <v>988</v>
      </c>
    </row>
    <row r="4523" spans="1:14" hidden="1" x14ac:dyDescent="0.3">
      <c r="A4523">
        <v>2751</v>
      </c>
      <c r="B4523" t="s">
        <v>2099</v>
      </c>
      <c r="C4523" t="s">
        <v>2670</v>
      </c>
      <c r="D4523" t="s">
        <v>1203</v>
      </c>
      <c r="E4523" t="s">
        <v>1204</v>
      </c>
      <c r="F4523">
        <v>5933</v>
      </c>
      <c r="G4523" t="s">
        <v>2671</v>
      </c>
      <c r="H4523" t="s">
        <v>2665</v>
      </c>
      <c r="I4523">
        <v>6504</v>
      </c>
      <c r="J4523">
        <v>6955</v>
      </c>
      <c r="K4523">
        <v>7614</v>
      </c>
      <c r="L4523">
        <v>8628</v>
      </c>
      <c r="N4523" t="s">
        <v>988</v>
      </c>
    </row>
    <row r="4524" spans="1:14" hidden="1" x14ac:dyDescent="0.3">
      <c r="A4524">
        <v>2751</v>
      </c>
      <c r="B4524" t="s">
        <v>2099</v>
      </c>
      <c r="C4524" t="s">
        <v>2670</v>
      </c>
      <c r="D4524" t="s">
        <v>1203</v>
      </c>
      <c r="E4524" t="s">
        <v>1204</v>
      </c>
      <c r="F4524">
        <v>5933</v>
      </c>
      <c r="G4524" t="s">
        <v>2672</v>
      </c>
      <c r="H4524" t="s">
        <v>2664</v>
      </c>
      <c r="I4524">
        <v>7782</v>
      </c>
      <c r="J4524">
        <v>7800</v>
      </c>
      <c r="K4524">
        <v>7999</v>
      </c>
      <c r="L4524">
        <v>8558</v>
      </c>
      <c r="N4524" t="s">
        <v>988</v>
      </c>
    </row>
    <row r="4525" spans="1:14" hidden="1" x14ac:dyDescent="0.3">
      <c r="A4525">
        <v>2751</v>
      </c>
      <c r="B4525" t="s">
        <v>2099</v>
      </c>
      <c r="C4525" t="s">
        <v>2670</v>
      </c>
      <c r="D4525" t="s">
        <v>1203</v>
      </c>
      <c r="E4525" t="s">
        <v>1204</v>
      </c>
      <c r="F4525">
        <v>5933</v>
      </c>
      <c r="G4525" t="s">
        <v>2672</v>
      </c>
      <c r="H4525" t="s">
        <v>2665</v>
      </c>
      <c r="I4525">
        <v>6504</v>
      </c>
      <c r="J4525">
        <v>6955</v>
      </c>
      <c r="K4525">
        <v>7614</v>
      </c>
      <c r="L4525">
        <v>8628</v>
      </c>
      <c r="N4525" t="s">
        <v>988</v>
      </c>
    </row>
    <row r="4526" spans="1:14" hidden="1" x14ac:dyDescent="0.3">
      <c r="A4526">
        <v>2766</v>
      </c>
      <c r="B4526" t="s">
        <v>2101</v>
      </c>
      <c r="C4526" t="s">
        <v>2670</v>
      </c>
      <c r="D4526" t="s">
        <v>1203</v>
      </c>
      <c r="E4526" t="s">
        <v>1204</v>
      </c>
      <c r="F4526">
        <v>5594</v>
      </c>
      <c r="G4526" t="s">
        <v>2676</v>
      </c>
      <c r="H4526" t="s">
        <v>2665</v>
      </c>
      <c r="I4526">
        <v>13198</v>
      </c>
      <c r="J4526">
        <v>13975</v>
      </c>
      <c r="K4526">
        <v>14715</v>
      </c>
      <c r="L4526">
        <v>15497</v>
      </c>
      <c r="M4526">
        <v>15646</v>
      </c>
      <c r="N4526" t="s">
        <v>988</v>
      </c>
    </row>
    <row r="4527" spans="1:14" hidden="1" x14ac:dyDescent="0.3">
      <c r="A4527">
        <v>2766</v>
      </c>
      <c r="B4527" t="s">
        <v>2101</v>
      </c>
      <c r="C4527" t="s">
        <v>2670</v>
      </c>
      <c r="D4527" t="s">
        <v>1203</v>
      </c>
      <c r="E4527" t="s">
        <v>1204</v>
      </c>
      <c r="F4527">
        <v>5594</v>
      </c>
      <c r="G4527" t="s">
        <v>2675</v>
      </c>
      <c r="H4527" t="s">
        <v>2664</v>
      </c>
      <c r="I4527">
        <v>20762</v>
      </c>
      <c r="J4527">
        <v>20837</v>
      </c>
      <c r="K4527">
        <v>20837</v>
      </c>
      <c r="L4527">
        <v>25117</v>
      </c>
      <c r="M4527">
        <v>24440</v>
      </c>
      <c r="N4527" t="s">
        <v>988</v>
      </c>
    </row>
    <row r="4528" spans="1:14" hidden="1" x14ac:dyDescent="0.3">
      <c r="A4528">
        <v>2766</v>
      </c>
      <c r="B4528" t="s">
        <v>2101</v>
      </c>
      <c r="C4528" t="s">
        <v>2670</v>
      </c>
      <c r="D4528" t="s">
        <v>1203</v>
      </c>
      <c r="E4528" t="s">
        <v>1204</v>
      </c>
      <c r="F4528">
        <v>5594</v>
      </c>
      <c r="G4528" t="s">
        <v>2675</v>
      </c>
      <c r="H4528" t="s">
        <v>2665</v>
      </c>
      <c r="I4528">
        <v>13198</v>
      </c>
      <c r="J4528">
        <v>13975</v>
      </c>
      <c r="K4528">
        <v>14715</v>
      </c>
      <c r="L4528">
        <v>15497</v>
      </c>
      <c r="M4528">
        <v>15646</v>
      </c>
      <c r="N4528" t="s">
        <v>988</v>
      </c>
    </row>
    <row r="4529" spans="1:14" hidden="1" x14ac:dyDescent="0.3">
      <c r="A4529">
        <v>2766</v>
      </c>
      <c r="B4529" t="s">
        <v>2101</v>
      </c>
      <c r="C4529" t="s">
        <v>2670</v>
      </c>
      <c r="D4529" t="s">
        <v>1203</v>
      </c>
      <c r="E4529" t="s">
        <v>1204</v>
      </c>
      <c r="F4529">
        <v>5594</v>
      </c>
      <c r="G4529" t="s">
        <v>2674</v>
      </c>
      <c r="H4529" t="s">
        <v>2664</v>
      </c>
      <c r="I4529">
        <v>20762</v>
      </c>
      <c r="J4529">
        <v>20837</v>
      </c>
      <c r="K4529">
        <v>20837</v>
      </c>
      <c r="L4529">
        <v>25117</v>
      </c>
      <c r="M4529">
        <v>24440</v>
      </c>
      <c r="N4529" t="s">
        <v>988</v>
      </c>
    </row>
    <row r="4530" spans="1:14" hidden="1" x14ac:dyDescent="0.3">
      <c r="A4530">
        <v>2766</v>
      </c>
      <c r="B4530" t="s">
        <v>2101</v>
      </c>
      <c r="C4530" t="s">
        <v>2670</v>
      </c>
      <c r="D4530" t="s">
        <v>1203</v>
      </c>
      <c r="E4530" t="s">
        <v>1204</v>
      </c>
      <c r="F4530">
        <v>5594</v>
      </c>
      <c r="G4530" t="s">
        <v>2674</v>
      </c>
      <c r="H4530" t="s">
        <v>2665</v>
      </c>
      <c r="I4530">
        <v>13198</v>
      </c>
      <c r="J4530">
        <v>13975</v>
      </c>
      <c r="K4530">
        <v>14715</v>
      </c>
      <c r="L4530">
        <v>15497</v>
      </c>
      <c r="M4530">
        <v>15646</v>
      </c>
      <c r="N4530" t="s">
        <v>988</v>
      </c>
    </row>
    <row r="4531" spans="1:14" hidden="1" x14ac:dyDescent="0.3">
      <c r="A4531">
        <v>2766</v>
      </c>
      <c r="B4531" t="s">
        <v>2101</v>
      </c>
      <c r="C4531" t="s">
        <v>2670</v>
      </c>
      <c r="D4531" t="s">
        <v>1203</v>
      </c>
      <c r="E4531" t="s">
        <v>1204</v>
      </c>
      <c r="F4531">
        <v>5594</v>
      </c>
      <c r="G4531" t="s">
        <v>2676</v>
      </c>
      <c r="H4531" t="s">
        <v>2664</v>
      </c>
      <c r="I4531">
        <v>20762</v>
      </c>
      <c r="J4531">
        <v>20837</v>
      </c>
      <c r="K4531">
        <v>20837</v>
      </c>
      <c r="L4531">
        <v>25117</v>
      </c>
      <c r="M4531">
        <v>24440</v>
      </c>
      <c r="N4531" t="s">
        <v>988</v>
      </c>
    </row>
    <row r="4532" spans="1:14" hidden="1" x14ac:dyDescent="0.3">
      <c r="A4532">
        <v>2766</v>
      </c>
      <c r="B4532" t="s">
        <v>2101</v>
      </c>
      <c r="C4532" t="s">
        <v>2670</v>
      </c>
      <c r="D4532" t="s">
        <v>1203</v>
      </c>
      <c r="E4532" t="s">
        <v>1204</v>
      </c>
      <c r="F4532">
        <v>5594</v>
      </c>
      <c r="G4532" t="s">
        <v>2673</v>
      </c>
      <c r="H4532" t="s">
        <v>2665</v>
      </c>
      <c r="I4532">
        <v>13198</v>
      </c>
      <c r="J4532">
        <v>13975</v>
      </c>
      <c r="K4532">
        <v>14715</v>
      </c>
      <c r="L4532">
        <v>15497</v>
      </c>
      <c r="M4532">
        <v>15646</v>
      </c>
      <c r="N4532" t="s">
        <v>988</v>
      </c>
    </row>
    <row r="4533" spans="1:14" hidden="1" x14ac:dyDescent="0.3">
      <c r="A4533">
        <v>2766</v>
      </c>
      <c r="B4533" t="s">
        <v>2101</v>
      </c>
      <c r="C4533" t="s">
        <v>2670</v>
      </c>
      <c r="D4533" t="s">
        <v>1203</v>
      </c>
      <c r="E4533" t="s">
        <v>1204</v>
      </c>
      <c r="F4533">
        <v>5594</v>
      </c>
      <c r="G4533" t="s">
        <v>2671</v>
      </c>
      <c r="H4533" t="s">
        <v>2664</v>
      </c>
      <c r="I4533">
        <v>20762</v>
      </c>
      <c r="J4533">
        <v>20837</v>
      </c>
      <c r="K4533">
        <v>20837</v>
      </c>
      <c r="L4533">
        <v>25117</v>
      </c>
      <c r="M4533">
        <v>24440</v>
      </c>
      <c r="N4533" t="s">
        <v>988</v>
      </c>
    </row>
    <row r="4534" spans="1:14" hidden="1" x14ac:dyDescent="0.3">
      <c r="A4534">
        <v>2766</v>
      </c>
      <c r="B4534" t="s">
        <v>2101</v>
      </c>
      <c r="C4534" t="s">
        <v>2670</v>
      </c>
      <c r="D4534" t="s">
        <v>1203</v>
      </c>
      <c r="E4534" t="s">
        <v>1204</v>
      </c>
      <c r="F4534">
        <v>5594</v>
      </c>
      <c r="G4534" t="s">
        <v>2671</v>
      </c>
      <c r="H4534" t="s">
        <v>2665</v>
      </c>
      <c r="I4534">
        <v>13198</v>
      </c>
      <c r="J4534">
        <v>13975</v>
      </c>
      <c r="K4534">
        <v>14715</v>
      </c>
      <c r="L4534">
        <v>15497</v>
      </c>
      <c r="M4534">
        <v>15646</v>
      </c>
      <c r="N4534" t="s">
        <v>988</v>
      </c>
    </row>
    <row r="4535" spans="1:14" hidden="1" x14ac:dyDescent="0.3">
      <c r="A4535">
        <v>2766</v>
      </c>
      <c r="B4535" t="s">
        <v>2101</v>
      </c>
      <c r="C4535" t="s">
        <v>2670</v>
      </c>
      <c r="D4535" t="s">
        <v>1203</v>
      </c>
      <c r="E4535" t="s">
        <v>1204</v>
      </c>
      <c r="F4535">
        <v>5594</v>
      </c>
      <c r="G4535" t="s">
        <v>2672</v>
      </c>
      <c r="H4535" t="s">
        <v>2664</v>
      </c>
      <c r="N4535" t="s">
        <v>988</v>
      </c>
    </row>
    <row r="4536" spans="1:14" hidden="1" x14ac:dyDescent="0.3">
      <c r="A4536">
        <v>2766</v>
      </c>
      <c r="B4536" t="s">
        <v>2101</v>
      </c>
      <c r="C4536" t="s">
        <v>2670</v>
      </c>
      <c r="D4536" t="s">
        <v>1203</v>
      </c>
      <c r="E4536" t="s">
        <v>1204</v>
      </c>
      <c r="F4536">
        <v>5594</v>
      </c>
      <c r="G4536" t="s">
        <v>2672</v>
      </c>
      <c r="H4536" t="s">
        <v>2665</v>
      </c>
      <c r="N4536" t="s">
        <v>988</v>
      </c>
    </row>
    <row r="4537" spans="1:14" hidden="1" x14ac:dyDescent="0.3">
      <c r="A4537">
        <v>2766</v>
      </c>
      <c r="B4537" t="s">
        <v>2101</v>
      </c>
      <c r="C4537" t="s">
        <v>2670</v>
      </c>
      <c r="D4537" t="s">
        <v>1203</v>
      </c>
      <c r="E4537" t="s">
        <v>1204</v>
      </c>
      <c r="F4537">
        <v>5594</v>
      </c>
      <c r="G4537" t="s">
        <v>2673</v>
      </c>
      <c r="H4537" t="s">
        <v>2664</v>
      </c>
      <c r="I4537">
        <v>20762</v>
      </c>
      <c r="J4537">
        <v>20837</v>
      </c>
      <c r="K4537">
        <v>20837</v>
      </c>
      <c r="L4537">
        <v>25117</v>
      </c>
      <c r="M4537">
        <v>24440</v>
      </c>
      <c r="N4537" t="s">
        <v>988</v>
      </c>
    </row>
    <row r="4538" spans="1:14" hidden="1" x14ac:dyDescent="0.3">
      <c r="A4538">
        <v>2782</v>
      </c>
      <c r="B4538" t="s">
        <v>2103</v>
      </c>
      <c r="C4538" t="s">
        <v>2670</v>
      </c>
      <c r="D4538" t="s">
        <v>1203</v>
      </c>
      <c r="E4538" t="s">
        <v>1204</v>
      </c>
      <c r="F4538">
        <v>5688</v>
      </c>
      <c r="G4538" t="s">
        <v>2675</v>
      </c>
      <c r="H4538" t="s">
        <v>2664</v>
      </c>
      <c r="I4538">
        <v>20400</v>
      </c>
      <c r="J4538">
        <v>20395</v>
      </c>
      <c r="K4538">
        <v>20571</v>
      </c>
      <c r="L4538">
        <v>20573</v>
      </c>
      <c r="M4538">
        <v>20535</v>
      </c>
      <c r="N4538" t="s">
        <v>988</v>
      </c>
    </row>
    <row r="4539" spans="1:14" hidden="1" x14ac:dyDescent="0.3">
      <c r="A4539">
        <v>2782</v>
      </c>
      <c r="B4539" t="s">
        <v>2103</v>
      </c>
      <c r="C4539" t="s">
        <v>2670</v>
      </c>
      <c r="D4539" t="s">
        <v>1203</v>
      </c>
      <c r="E4539" t="s">
        <v>1204</v>
      </c>
      <c r="F4539">
        <v>5688</v>
      </c>
      <c r="G4539" t="s">
        <v>2672</v>
      </c>
      <c r="H4539" t="s">
        <v>2665</v>
      </c>
      <c r="N4539" t="s">
        <v>988</v>
      </c>
    </row>
    <row r="4540" spans="1:14" hidden="1" x14ac:dyDescent="0.3">
      <c r="A4540">
        <v>2782</v>
      </c>
      <c r="B4540" t="s">
        <v>2103</v>
      </c>
      <c r="C4540" t="s">
        <v>2670</v>
      </c>
      <c r="D4540" t="s">
        <v>1203</v>
      </c>
      <c r="E4540" t="s">
        <v>1204</v>
      </c>
      <c r="F4540">
        <v>5688</v>
      </c>
      <c r="G4540" t="s">
        <v>2672</v>
      </c>
      <c r="H4540" t="s">
        <v>2664</v>
      </c>
      <c r="N4540" t="s">
        <v>988</v>
      </c>
    </row>
    <row r="4541" spans="1:14" hidden="1" x14ac:dyDescent="0.3">
      <c r="A4541">
        <v>2782</v>
      </c>
      <c r="B4541" t="s">
        <v>2103</v>
      </c>
      <c r="C4541" t="s">
        <v>2670</v>
      </c>
      <c r="D4541" t="s">
        <v>1203</v>
      </c>
      <c r="E4541" t="s">
        <v>1204</v>
      </c>
      <c r="F4541">
        <v>5688</v>
      </c>
      <c r="G4541" t="s">
        <v>2671</v>
      </c>
      <c r="H4541" t="s">
        <v>2665</v>
      </c>
      <c r="I4541">
        <v>20281</v>
      </c>
      <c r="J4541">
        <v>20566</v>
      </c>
      <c r="K4541">
        <v>20579</v>
      </c>
      <c r="L4541">
        <v>20564</v>
      </c>
      <c r="M4541">
        <v>20492</v>
      </c>
      <c r="N4541" t="s">
        <v>988</v>
      </c>
    </row>
    <row r="4542" spans="1:14" hidden="1" x14ac:dyDescent="0.3">
      <c r="A4542">
        <v>2782</v>
      </c>
      <c r="B4542" t="s">
        <v>2103</v>
      </c>
      <c r="C4542" t="s">
        <v>2670</v>
      </c>
      <c r="D4542" t="s">
        <v>1203</v>
      </c>
      <c r="E4542" t="s">
        <v>1204</v>
      </c>
      <c r="F4542">
        <v>5688</v>
      </c>
      <c r="G4542" t="s">
        <v>2671</v>
      </c>
      <c r="H4542" t="s">
        <v>2664</v>
      </c>
      <c r="I4542">
        <v>20281</v>
      </c>
      <c r="J4542">
        <v>20566</v>
      </c>
      <c r="K4542">
        <v>20579</v>
      </c>
      <c r="L4542">
        <v>20564</v>
      </c>
      <c r="M4542">
        <v>20492</v>
      </c>
      <c r="N4542" t="s">
        <v>988</v>
      </c>
    </row>
    <row r="4543" spans="1:14" hidden="1" x14ac:dyDescent="0.3">
      <c r="A4543">
        <v>2782</v>
      </c>
      <c r="B4543" t="s">
        <v>2103</v>
      </c>
      <c r="C4543" t="s">
        <v>2670</v>
      </c>
      <c r="D4543" t="s">
        <v>1203</v>
      </c>
      <c r="E4543" t="s">
        <v>1204</v>
      </c>
      <c r="F4543">
        <v>5688</v>
      </c>
      <c r="G4543" t="s">
        <v>2676</v>
      </c>
      <c r="H4543" t="s">
        <v>2665</v>
      </c>
      <c r="I4543">
        <v>20440</v>
      </c>
      <c r="J4543">
        <v>20338</v>
      </c>
      <c r="K4543">
        <v>20568</v>
      </c>
      <c r="L4543">
        <v>20576</v>
      </c>
      <c r="M4543">
        <v>20549</v>
      </c>
      <c r="N4543" t="s">
        <v>988</v>
      </c>
    </row>
    <row r="4544" spans="1:14" hidden="1" x14ac:dyDescent="0.3">
      <c r="A4544">
        <v>2782</v>
      </c>
      <c r="B4544" t="s">
        <v>2103</v>
      </c>
      <c r="C4544" t="s">
        <v>2670</v>
      </c>
      <c r="D4544" t="s">
        <v>1203</v>
      </c>
      <c r="E4544" t="s">
        <v>1204</v>
      </c>
      <c r="F4544">
        <v>5688</v>
      </c>
      <c r="G4544" t="s">
        <v>2673</v>
      </c>
      <c r="H4544" t="s">
        <v>2664</v>
      </c>
      <c r="I4544">
        <v>20321</v>
      </c>
      <c r="J4544">
        <v>20509</v>
      </c>
      <c r="K4544">
        <v>20577</v>
      </c>
      <c r="L4544">
        <v>20567</v>
      </c>
      <c r="M4544">
        <v>20507</v>
      </c>
      <c r="N4544" t="s">
        <v>988</v>
      </c>
    </row>
    <row r="4545" spans="1:14" hidden="1" x14ac:dyDescent="0.3">
      <c r="A4545">
        <v>2782</v>
      </c>
      <c r="B4545" t="s">
        <v>2103</v>
      </c>
      <c r="C4545" t="s">
        <v>2670</v>
      </c>
      <c r="D4545" t="s">
        <v>1203</v>
      </c>
      <c r="E4545" t="s">
        <v>1204</v>
      </c>
      <c r="F4545">
        <v>5688</v>
      </c>
      <c r="G4545" t="s">
        <v>2674</v>
      </c>
      <c r="H4545" t="s">
        <v>2665</v>
      </c>
      <c r="I4545">
        <v>20360</v>
      </c>
      <c r="J4545">
        <v>20452</v>
      </c>
      <c r="K4545">
        <v>20574</v>
      </c>
      <c r="L4545">
        <v>20570</v>
      </c>
      <c r="M4545">
        <v>20521</v>
      </c>
      <c r="N4545" t="s">
        <v>988</v>
      </c>
    </row>
    <row r="4546" spans="1:14" hidden="1" x14ac:dyDescent="0.3">
      <c r="A4546">
        <v>2782</v>
      </c>
      <c r="B4546" t="s">
        <v>2103</v>
      </c>
      <c r="C4546" t="s">
        <v>2670</v>
      </c>
      <c r="D4546" t="s">
        <v>1203</v>
      </c>
      <c r="E4546" t="s">
        <v>1204</v>
      </c>
      <c r="F4546">
        <v>5688</v>
      </c>
      <c r="G4546" t="s">
        <v>2674</v>
      </c>
      <c r="H4546" t="s">
        <v>2664</v>
      </c>
      <c r="I4546">
        <v>20360</v>
      </c>
      <c r="J4546">
        <v>20452</v>
      </c>
      <c r="K4546">
        <v>20574</v>
      </c>
      <c r="L4546">
        <v>20570</v>
      </c>
      <c r="M4546">
        <v>20521</v>
      </c>
      <c r="N4546" t="s">
        <v>988</v>
      </c>
    </row>
    <row r="4547" spans="1:14" hidden="1" x14ac:dyDescent="0.3">
      <c r="A4547">
        <v>2782</v>
      </c>
      <c r="B4547" t="s">
        <v>2103</v>
      </c>
      <c r="C4547" t="s">
        <v>2670</v>
      </c>
      <c r="D4547" t="s">
        <v>1203</v>
      </c>
      <c r="E4547" t="s">
        <v>1204</v>
      </c>
      <c r="F4547">
        <v>5688</v>
      </c>
      <c r="G4547" t="s">
        <v>2675</v>
      </c>
      <c r="H4547" t="s">
        <v>2665</v>
      </c>
      <c r="I4547">
        <v>20400</v>
      </c>
      <c r="J4547">
        <v>20395</v>
      </c>
      <c r="K4547">
        <v>20571</v>
      </c>
      <c r="L4547">
        <v>20573</v>
      </c>
      <c r="M4547">
        <v>20535</v>
      </c>
      <c r="N4547" t="s">
        <v>988</v>
      </c>
    </row>
    <row r="4548" spans="1:14" hidden="1" x14ac:dyDescent="0.3">
      <c r="A4548">
        <v>2782</v>
      </c>
      <c r="B4548" t="s">
        <v>2103</v>
      </c>
      <c r="C4548" t="s">
        <v>2670</v>
      </c>
      <c r="D4548" t="s">
        <v>1203</v>
      </c>
      <c r="E4548" t="s">
        <v>1204</v>
      </c>
      <c r="F4548">
        <v>5688</v>
      </c>
      <c r="G4548" t="s">
        <v>2676</v>
      </c>
      <c r="H4548" t="s">
        <v>2664</v>
      </c>
      <c r="I4548">
        <v>20440</v>
      </c>
      <c r="J4548">
        <v>20338</v>
      </c>
      <c r="K4548">
        <v>20568</v>
      </c>
      <c r="L4548">
        <v>20576</v>
      </c>
      <c r="M4548">
        <v>20549</v>
      </c>
      <c r="N4548" t="s">
        <v>988</v>
      </c>
    </row>
    <row r="4549" spans="1:14" hidden="1" x14ac:dyDescent="0.3">
      <c r="A4549">
        <v>2782</v>
      </c>
      <c r="B4549" t="s">
        <v>2103</v>
      </c>
      <c r="C4549" t="s">
        <v>2670</v>
      </c>
      <c r="D4549" t="s">
        <v>1203</v>
      </c>
      <c r="E4549" t="s">
        <v>1204</v>
      </c>
      <c r="F4549">
        <v>5688</v>
      </c>
      <c r="G4549" t="s">
        <v>2673</v>
      </c>
      <c r="H4549" t="s">
        <v>2665</v>
      </c>
      <c r="I4549">
        <v>20321</v>
      </c>
      <c r="J4549">
        <v>20509</v>
      </c>
      <c r="K4549">
        <v>20577</v>
      </c>
      <c r="L4549">
        <v>20567</v>
      </c>
      <c r="M4549">
        <v>20507</v>
      </c>
      <c r="N4549" t="s">
        <v>988</v>
      </c>
    </row>
    <row r="4550" spans="1:14" hidden="1" x14ac:dyDescent="0.3">
      <c r="A4550">
        <v>2789</v>
      </c>
      <c r="B4550" t="s">
        <v>2106</v>
      </c>
      <c r="C4550" t="s">
        <v>2670</v>
      </c>
      <c r="D4550" t="s">
        <v>1203</v>
      </c>
      <c r="E4550" t="s">
        <v>1204</v>
      </c>
      <c r="F4550">
        <v>5726</v>
      </c>
      <c r="G4550" t="s">
        <v>2675</v>
      </c>
      <c r="H4550" t="s">
        <v>2664</v>
      </c>
      <c r="I4550">
        <v>7051</v>
      </c>
      <c r="J4550">
        <v>7051</v>
      </c>
      <c r="K4550">
        <v>7051</v>
      </c>
      <c r="L4550">
        <v>7051</v>
      </c>
      <c r="M4550">
        <v>7051</v>
      </c>
      <c r="N4550" t="s">
        <v>988</v>
      </c>
    </row>
    <row r="4551" spans="1:14" hidden="1" x14ac:dyDescent="0.3">
      <c r="A4551">
        <v>2789</v>
      </c>
      <c r="B4551" t="s">
        <v>2106</v>
      </c>
      <c r="C4551" t="s">
        <v>2670</v>
      </c>
      <c r="D4551" t="s">
        <v>1203</v>
      </c>
      <c r="E4551" t="s">
        <v>1204</v>
      </c>
      <c r="F4551">
        <v>5726</v>
      </c>
      <c r="G4551" t="s">
        <v>2675</v>
      </c>
      <c r="H4551" t="s">
        <v>2665</v>
      </c>
      <c r="I4551">
        <v>1713</v>
      </c>
      <c r="J4551">
        <v>1702.6224890000001</v>
      </c>
      <c r="K4551">
        <v>1682</v>
      </c>
      <c r="L4551">
        <v>1652</v>
      </c>
      <c r="M4551">
        <v>1619</v>
      </c>
      <c r="N4551" t="s">
        <v>988</v>
      </c>
    </row>
    <row r="4552" spans="1:14" hidden="1" x14ac:dyDescent="0.3">
      <c r="A4552">
        <v>2789</v>
      </c>
      <c r="B4552" t="s">
        <v>2106</v>
      </c>
      <c r="C4552" t="s">
        <v>2670</v>
      </c>
      <c r="D4552" t="s">
        <v>1203</v>
      </c>
      <c r="E4552" t="s">
        <v>1204</v>
      </c>
      <c r="F4552">
        <v>5726</v>
      </c>
      <c r="G4552" t="s">
        <v>2674</v>
      </c>
      <c r="H4552" t="s">
        <v>2664</v>
      </c>
      <c r="I4552">
        <v>7051</v>
      </c>
      <c r="J4552">
        <v>7051</v>
      </c>
      <c r="K4552">
        <v>7051</v>
      </c>
      <c r="L4552">
        <v>7051</v>
      </c>
      <c r="M4552">
        <v>7051</v>
      </c>
      <c r="N4552" t="s">
        <v>988</v>
      </c>
    </row>
    <row r="4553" spans="1:14" hidden="1" x14ac:dyDescent="0.3">
      <c r="A4553">
        <v>2789</v>
      </c>
      <c r="B4553" t="s">
        <v>2106</v>
      </c>
      <c r="C4553" t="s">
        <v>2670</v>
      </c>
      <c r="D4553" t="s">
        <v>1203</v>
      </c>
      <c r="E4553" t="s">
        <v>1204</v>
      </c>
      <c r="F4553">
        <v>5726</v>
      </c>
      <c r="G4553" t="s">
        <v>2674</v>
      </c>
      <c r="H4553" t="s">
        <v>2665</v>
      </c>
      <c r="I4553">
        <v>1713</v>
      </c>
      <c r="J4553">
        <v>1702.6224890000001</v>
      </c>
      <c r="K4553">
        <v>1682</v>
      </c>
      <c r="L4553">
        <v>1652</v>
      </c>
      <c r="M4553">
        <v>1619</v>
      </c>
      <c r="N4553" t="s">
        <v>988</v>
      </c>
    </row>
    <row r="4554" spans="1:14" hidden="1" x14ac:dyDescent="0.3">
      <c r="A4554">
        <v>2789</v>
      </c>
      <c r="B4554" t="s">
        <v>2106</v>
      </c>
      <c r="C4554" t="s">
        <v>2670</v>
      </c>
      <c r="D4554" t="s">
        <v>1203</v>
      </c>
      <c r="E4554" t="s">
        <v>1204</v>
      </c>
      <c r="F4554">
        <v>5726</v>
      </c>
      <c r="G4554" t="s">
        <v>2673</v>
      </c>
      <c r="H4554" t="s">
        <v>2664</v>
      </c>
      <c r="I4554">
        <v>7051</v>
      </c>
      <c r="J4554">
        <v>7051</v>
      </c>
      <c r="K4554">
        <v>7051</v>
      </c>
      <c r="L4554">
        <v>7051</v>
      </c>
      <c r="M4554">
        <v>7051</v>
      </c>
      <c r="N4554" t="s">
        <v>988</v>
      </c>
    </row>
    <row r="4555" spans="1:14" hidden="1" x14ac:dyDescent="0.3">
      <c r="A4555">
        <v>2789</v>
      </c>
      <c r="B4555" t="s">
        <v>2106</v>
      </c>
      <c r="C4555" t="s">
        <v>2670</v>
      </c>
      <c r="D4555" t="s">
        <v>1203</v>
      </c>
      <c r="E4555" t="s">
        <v>1204</v>
      </c>
      <c r="F4555">
        <v>5726</v>
      </c>
      <c r="G4555" t="s">
        <v>2673</v>
      </c>
      <c r="H4555" t="s">
        <v>2665</v>
      </c>
      <c r="I4555">
        <v>1713</v>
      </c>
      <c r="J4555">
        <v>1702.6224890000001</v>
      </c>
      <c r="K4555">
        <v>1682</v>
      </c>
      <c r="L4555">
        <v>1652</v>
      </c>
      <c r="M4555">
        <v>1619</v>
      </c>
      <c r="N4555" t="s">
        <v>988</v>
      </c>
    </row>
    <row r="4556" spans="1:14" hidden="1" x14ac:dyDescent="0.3">
      <c r="A4556">
        <v>2789</v>
      </c>
      <c r="B4556" t="s">
        <v>2106</v>
      </c>
      <c r="C4556" t="s">
        <v>2670</v>
      </c>
      <c r="D4556" t="s">
        <v>1203</v>
      </c>
      <c r="E4556" t="s">
        <v>1204</v>
      </c>
      <c r="F4556">
        <v>5726</v>
      </c>
      <c r="G4556" t="s">
        <v>2671</v>
      </c>
      <c r="H4556" t="s">
        <v>2664</v>
      </c>
      <c r="I4556">
        <v>7051</v>
      </c>
      <c r="J4556">
        <v>7051</v>
      </c>
      <c r="K4556">
        <v>7051</v>
      </c>
      <c r="L4556">
        <v>7051</v>
      </c>
      <c r="M4556">
        <v>7051</v>
      </c>
      <c r="N4556" t="s">
        <v>988</v>
      </c>
    </row>
    <row r="4557" spans="1:14" hidden="1" x14ac:dyDescent="0.3">
      <c r="A4557">
        <v>2789</v>
      </c>
      <c r="B4557" t="s">
        <v>2106</v>
      </c>
      <c r="C4557" t="s">
        <v>2670</v>
      </c>
      <c r="D4557" t="s">
        <v>1203</v>
      </c>
      <c r="E4557" t="s">
        <v>1204</v>
      </c>
      <c r="F4557">
        <v>5726</v>
      </c>
      <c r="G4557" t="s">
        <v>2671</v>
      </c>
      <c r="H4557" t="s">
        <v>2665</v>
      </c>
      <c r="I4557">
        <v>1713</v>
      </c>
      <c r="J4557">
        <v>1702.6224890000001</v>
      </c>
      <c r="K4557">
        <v>1682</v>
      </c>
      <c r="L4557">
        <v>1652</v>
      </c>
      <c r="M4557">
        <v>1619</v>
      </c>
      <c r="N4557" t="s">
        <v>988</v>
      </c>
    </row>
    <row r="4558" spans="1:14" hidden="1" x14ac:dyDescent="0.3">
      <c r="A4558">
        <v>2789</v>
      </c>
      <c r="B4558" t="s">
        <v>2106</v>
      </c>
      <c r="C4558" t="s">
        <v>2670</v>
      </c>
      <c r="D4558" t="s">
        <v>1203</v>
      </c>
      <c r="E4558" t="s">
        <v>1204</v>
      </c>
      <c r="F4558">
        <v>5726</v>
      </c>
      <c r="G4558" t="s">
        <v>2672</v>
      </c>
      <c r="H4558" t="s">
        <v>2664</v>
      </c>
      <c r="I4558">
        <v>7051</v>
      </c>
      <c r="J4558">
        <v>7051</v>
      </c>
      <c r="K4558">
        <v>7051</v>
      </c>
      <c r="L4558">
        <v>7051</v>
      </c>
      <c r="M4558">
        <v>7051</v>
      </c>
      <c r="N4558" t="s">
        <v>988</v>
      </c>
    </row>
    <row r="4559" spans="1:14" hidden="1" x14ac:dyDescent="0.3">
      <c r="A4559">
        <v>2789</v>
      </c>
      <c r="B4559" t="s">
        <v>2106</v>
      </c>
      <c r="C4559" t="s">
        <v>2670</v>
      </c>
      <c r="D4559" t="s">
        <v>1203</v>
      </c>
      <c r="E4559" t="s">
        <v>1204</v>
      </c>
      <c r="F4559">
        <v>5726</v>
      </c>
      <c r="G4559" t="s">
        <v>2672</v>
      </c>
      <c r="H4559" t="s">
        <v>2665</v>
      </c>
      <c r="I4559">
        <v>1713</v>
      </c>
      <c r="J4559">
        <v>1703</v>
      </c>
      <c r="K4559">
        <v>1682</v>
      </c>
      <c r="L4559">
        <v>1652</v>
      </c>
      <c r="M4559">
        <v>1619</v>
      </c>
      <c r="N4559" t="s">
        <v>988</v>
      </c>
    </row>
    <row r="4560" spans="1:14" hidden="1" x14ac:dyDescent="0.3">
      <c r="A4560">
        <v>2789</v>
      </c>
      <c r="B4560" t="s">
        <v>2106</v>
      </c>
      <c r="C4560" t="s">
        <v>2670</v>
      </c>
      <c r="D4560" t="s">
        <v>1203</v>
      </c>
      <c r="E4560" t="s">
        <v>1204</v>
      </c>
      <c r="F4560">
        <v>5726</v>
      </c>
      <c r="G4560" t="s">
        <v>2676</v>
      </c>
      <c r="H4560" t="s">
        <v>2664</v>
      </c>
      <c r="I4560">
        <v>7051</v>
      </c>
      <c r="J4560">
        <v>7051</v>
      </c>
      <c r="K4560">
        <v>7051</v>
      </c>
      <c r="L4560">
        <v>7051</v>
      </c>
      <c r="M4560">
        <v>7051</v>
      </c>
      <c r="N4560" t="s">
        <v>988</v>
      </c>
    </row>
    <row r="4561" spans="1:14" hidden="1" x14ac:dyDescent="0.3">
      <c r="A4561">
        <v>2789</v>
      </c>
      <c r="B4561" t="s">
        <v>2106</v>
      </c>
      <c r="C4561" t="s">
        <v>2670</v>
      </c>
      <c r="D4561" t="s">
        <v>1203</v>
      </c>
      <c r="E4561" t="s">
        <v>1204</v>
      </c>
      <c r="F4561">
        <v>5726</v>
      </c>
      <c r="G4561" t="s">
        <v>2676</v>
      </c>
      <c r="H4561" t="s">
        <v>2665</v>
      </c>
      <c r="I4561">
        <v>1713</v>
      </c>
      <c r="J4561">
        <v>1702.6224890000001</v>
      </c>
      <c r="K4561">
        <v>1682</v>
      </c>
      <c r="L4561">
        <v>1652</v>
      </c>
      <c r="M4561">
        <v>1619</v>
      </c>
      <c r="N4561" t="s">
        <v>988</v>
      </c>
    </row>
    <row r="4562" spans="1:14" hidden="1" x14ac:dyDescent="0.3">
      <c r="A4562">
        <v>2790</v>
      </c>
      <c r="B4562" t="s">
        <v>763</v>
      </c>
      <c r="C4562" t="s">
        <v>2670</v>
      </c>
      <c r="D4562" t="s">
        <v>1203</v>
      </c>
      <c r="E4562" t="s">
        <v>1204</v>
      </c>
      <c r="F4562">
        <v>5830</v>
      </c>
      <c r="G4562" t="s">
        <v>2672</v>
      </c>
      <c r="H4562" t="s">
        <v>2665</v>
      </c>
      <c r="N4562" t="s">
        <v>988</v>
      </c>
    </row>
    <row r="4563" spans="1:14" hidden="1" x14ac:dyDescent="0.3">
      <c r="A4563">
        <v>2790</v>
      </c>
      <c r="B4563" t="s">
        <v>763</v>
      </c>
      <c r="C4563" t="s">
        <v>2670</v>
      </c>
      <c r="D4563" t="s">
        <v>1203</v>
      </c>
      <c r="E4563" t="s">
        <v>1204</v>
      </c>
      <c r="F4563">
        <v>5830</v>
      </c>
      <c r="G4563" t="s">
        <v>2676</v>
      </c>
      <c r="H4563" t="s">
        <v>2664</v>
      </c>
      <c r="I4563">
        <v>26363</v>
      </c>
      <c r="J4563">
        <v>26363</v>
      </c>
      <c r="K4563">
        <v>26363</v>
      </c>
      <c r="L4563">
        <v>26363</v>
      </c>
      <c r="M4563">
        <v>26363</v>
      </c>
      <c r="N4563" t="s">
        <v>988</v>
      </c>
    </row>
    <row r="4564" spans="1:14" hidden="1" x14ac:dyDescent="0.3">
      <c r="A4564">
        <v>2790</v>
      </c>
      <c r="B4564" t="s">
        <v>763</v>
      </c>
      <c r="C4564" t="s">
        <v>2670</v>
      </c>
      <c r="D4564" t="s">
        <v>1203</v>
      </c>
      <c r="E4564" t="s">
        <v>1204</v>
      </c>
      <c r="F4564">
        <v>5830</v>
      </c>
      <c r="G4564" t="s">
        <v>2672</v>
      </c>
      <c r="H4564" t="s">
        <v>2664</v>
      </c>
      <c r="N4564" t="s">
        <v>988</v>
      </c>
    </row>
    <row r="4565" spans="1:14" hidden="1" x14ac:dyDescent="0.3">
      <c r="A4565">
        <v>2790</v>
      </c>
      <c r="B4565" t="s">
        <v>763</v>
      </c>
      <c r="C4565" t="s">
        <v>2670</v>
      </c>
      <c r="D4565" t="s">
        <v>1203</v>
      </c>
      <c r="E4565" t="s">
        <v>1204</v>
      </c>
      <c r="F4565">
        <v>5830</v>
      </c>
      <c r="G4565" t="s">
        <v>2671</v>
      </c>
      <c r="H4565" t="s">
        <v>2665</v>
      </c>
      <c r="I4565">
        <v>16140</v>
      </c>
      <c r="J4565">
        <v>16817</v>
      </c>
      <c r="K4565">
        <v>17667</v>
      </c>
      <c r="L4565">
        <v>18546</v>
      </c>
      <c r="M4565">
        <v>18722</v>
      </c>
      <c r="N4565" t="s">
        <v>988</v>
      </c>
    </row>
    <row r="4566" spans="1:14" hidden="1" x14ac:dyDescent="0.3">
      <c r="A4566">
        <v>2790</v>
      </c>
      <c r="B4566" t="s">
        <v>763</v>
      </c>
      <c r="C4566" t="s">
        <v>2670</v>
      </c>
      <c r="D4566" t="s">
        <v>1203</v>
      </c>
      <c r="E4566" t="s">
        <v>1204</v>
      </c>
      <c r="F4566">
        <v>5830</v>
      </c>
      <c r="G4566" t="s">
        <v>2671</v>
      </c>
      <c r="H4566" t="s">
        <v>2664</v>
      </c>
      <c r="I4566">
        <v>23099</v>
      </c>
      <c r="J4566">
        <v>23099</v>
      </c>
      <c r="K4566">
        <v>23099</v>
      </c>
      <c r="L4566">
        <v>23099</v>
      </c>
      <c r="M4566">
        <v>23099</v>
      </c>
      <c r="N4566" t="s">
        <v>988</v>
      </c>
    </row>
    <row r="4567" spans="1:14" hidden="1" x14ac:dyDescent="0.3">
      <c r="A4567">
        <v>2790</v>
      </c>
      <c r="B4567" t="s">
        <v>763</v>
      </c>
      <c r="C4567" t="s">
        <v>2670</v>
      </c>
      <c r="D4567" t="s">
        <v>1203</v>
      </c>
      <c r="E4567" t="s">
        <v>1204</v>
      </c>
      <c r="F4567">
        <v>5830</v>
      </c>
      <c r="G4567" t="s">
        <v>2676</v>
      </c>
      <c r="H4567" t="s">
        <v>2665</v>
      </c>
      <c r="I4567">
        <v>15682</v>
      </c>
      <c r="J4567">
        <v>16254</v>
      </c>
      <c r="K4567">
        <v>16958</v>
      </c>
      <c r="L4567">
        <v>17845</v>
      </c>
      <c r="M4567">
        <v>18722</v>
      </c>
      <c r="N4567" t="s">
        <v>988</v>
      </c>
    </row>
    <row r="4568" spans="1:14" hidden="1" x14ac:dyDescent="0.3">
      <c r="A4568">
        <v>2790</v>
      </c>
      <c r="B4568" t="s">
        <v>763</v>
      </c>
      <c r="C4568" t="s">
        <v>2670</v>
      </c>
      <c r="D4568" t="s">
        <v>1203</v>
      </c>
      <c r="E4568" t="s">
        <v>1204</v>
      </c>
      <c r="F4568">
        <v>5830</v>
      </c>
      <c r="G4568" t="s">
        <v>2673</v>
      </c>
      <c r="H4568" t="s">
        <v>2664</v>
      </c>
      <c r="I4568">
        <v>20650</v>
      </c>
      <c r="J4568">
        <v>20650</v>
      </c>
      <c r="K4568">
        <v>20650</v>
      </c>
      <c r="L4568">
        <v>20650</v>
      </c>
      <c r="M4568">
        <v>20650</v>
      </c>
      <c r="N4568" t="s">
        <v>988</v>
      </c>
    </row>
    <row r="4569" spans="1:14" hidden="1" x14ac:dyDescent="0.3">
      <c r="A4569">
        <v>2790</v>
      </c>
      <c r="B4569" t="s">
        <v>763</v>
      </c>
      <c r="C4569" t="s">
        <v>2670</v>
      </c>
      <c r="D4569" t="s">
        <v>1203</v>
      </c>
      <c r="E4569" t="s">
        <v>1204</v>
      </c>
      <c r="F4569">
        <v>5830</v>
      </c>
      <c r="G4569" t="s">
        <v>2674</v>
      </c>
      <c r="H4569" t="s">
        <v>2665</v>
      </c>
      <c r="I4569">
        <v>15911</v>
      </c>
      <c r="J4569">
        <v>16535</v>
      </c>
      <c r="K4569">
        <v>17312</v>
      </c>
      <c r="L4569">
        <v>18195</v>
      </c>
      <c r="M4569">
        <v>18722</v>
      </c>
      <c r="N4569" t="s">
        <v>988</v>
      </c>
    </row>
    <row r="4570" spans="1:14" hidden="1" x14ac:dyDescent="0.3">
      <c r="A4570">
        <v>2790</v>
      </c>
      <c r="B4570" t="s">
        <v>763</v>
      </c>
      <c r="C4570" t="s">
        <v>2670</v>
      </c>
      <c r="D4570" t="s">
        <v>1203</v>
      </c>
      <c r="E4570" t="s">
        <v>1204</v>
      </c>
      <c r="F4570">
        <v>5830</v>
      </c>
      <c r="G4570" t="s">
        <v>2674</v>
      </c>
      <c r="H4570" t="s">
        <v>2664</v>
      </c>
      <c r="I4570">
        <v>21366</v>
      </c>
      <c r="J4570">
        <v>21366</v>
      </c>
      <c r="K4570">
        <v>21366</v>
      </c>
      <c r="L4570">
        <v>21366</v>
      </c>
      <c r="M4570">
        <v>21366</v>
      </c>
      <c r="N4570" t="s">
        <v>988</v>
      </c>
    </row>
    <row r="4571" spans="1:14" hidden="1" x14ac:dyDescent="0.3">
      <c r="A4571">
        <v>2790</v>
      </c>
      <c r="B4571" t="s">
        <v>763</v>
      </c>
      <c r="C4571" t="s">
        <v>2670</v>
      </c>
      <c r="D4571" t="s">
        <v>1203</v>
      </c>
      <c r="E4571" t="s">
        <v>1204</v>
      </c>
      <c r="F4571">
        <v>5830</v>
      </c>
      <c r="G4571" t="s">
        <v>2675</v>
      </c>
      <c r="H4571" t="s">
        <v>2665</v>
      </c>
      <c r="I4571">
        <v>15796</v>
      </c>
      <c r="J4571">
        <v>16395</v>
      </c>
      <c r="K4571">
        <v>17135</v>
      </c>
      <c r="L4571">
        <v>18020</v>
      </c>
      <c r="M4571">
        <v>18722</v>
      </c>
      <c r="N4571" t="s">
        <v>988</v>
      </c>
    </row>
    <row r="4572" spans="1:14" hidden="1" x14ac:dyDescent="0.3">
      <c r="A4572">
        <v>2790</v>
      </c>
      <c r="B4572" t="s">
        <v>763</v>
      </c>
      <c r="C4572" t="s">
        <v>2670</v>
      </c>
      <c r="D4572" t="s">
        <v>1203</v>
      </c>
      <c r="E4572" t="s">
        <v>1204</v>
      </c>
      <c r="F4572">
        <v>5830</v>
      </c>
      <c r="G4572" t="s">
        <v>2675</v>
      </c>
      <c r="H4572" t="s">
        <v>2664</v>
      </c>
      <c r="I4572">
        <v>23290</v>
      </c>
      <c r="J4572">
        <v>23290</v>
      </c>
      <c r="K4572">
        <v>23290</v>
      </c>
      <c r="L4572">
        <v>23290</v>
      </c>
      <c r="M4572">
        <v>23290</v>
      </c>
      <c r="N4572" t="s">
        <v>988</v>
      </c>
    </row>
    <row r="4573" spans="1:14" hidden="1" x14ac:dyDescent="0.3">
      <c r="A4573">
        <v>2790</v>
      </c>
      <c r="B4573" t="s">
        <v>763</v>
      </c>
      <c r="C4573" t="s">
        <v>2670</v>
      </c>
      <c r="D4573" t="s">
        <v>1203</v>
      </c>
      <c r="E4573" t="s">
        <v>1204</v>
      </c>
      <c r="F4573">
        <v>5830</v>
      </c>
      <c r="G4573" t="s">
        <v>2673</v>
      </c>
      <c r="H4573" t="s">
        <v>2665</v>
      </c>
      <c r="I4573">
        <v>16025</v>
      </c>
      <c r="J4573">
        <v>6676</v>
      </c>
      <c r="K4573">
        <v>17490</v>
      </c>
      <c r="L4573">
        <v>18371</v>
      </c>
      <c r="M4573">
        <v>18722</v>
      </c>
      <c r="N4573" t="s">
        <v>988</v>
      </c>
    </row>
    <row r="4574" spans="1:14" hidden="1" x14ac:dyDescent="0.3">
      <c r="A4574">
        <v>2793</v>
      </c>
      <c r="B4574" t="s">
        <v>2107</v>
      </c>
      <c r="C4574" t="s">
        <v>2670</v>
      </c>
      <c r="D4574" t="s">
        <v>1203</v>
      </c>
      <c r="E4574" t="s">
        <v>1204</v>
      </c>
      <c r="F4574">
        <v>5881</v>
      </c>
      <c r="G4574" t="s">
        <v>2676</v>
      </c>
      <c r="H4574" t="s">
        <v>2664</v>
      </c>
      <c r="I4574">
        <v>59180</v>
      </c>
      <c r="J4574">
        <v>65400</v>
      </c>
      <c r="K4574">
        <v>72700</v>
      </c>
      <c r="L4574">
        <v>78950</v>
      </c>
      <c r="M4574">
        <v>85300</v>
      </c>
      <c r="N4574" t="s">
        <v>988</v>
      </c>
    </row>
    <row r="4575" spans="1:14" hidden="1" x14ac:dyDescent="0.3">
      <c r="A4575">
        <v>2793</v>
      </c>
      <c r="B4575" t="s">
        <v>2107</v>
      </c>
      <c r="C4575" t="s">
        <v>2670</v>
      </c>
      <c r="D4575" t="s">
        <v>1203</v>
      </c>
      <c r="E4575" t="s">
        <v>1204</v>
      </c>
      <c r="F4575">
        <v>5881</v>
      </c>
      <c r="G4575" t="s">
        <v>2676</v>
      </c>
      <c r="H4575" t="s">
        <v>2665</v>
      </c>
      <c r="I4575">
        <v>12658</v>
      </c>
      <c r="J4575">
        <v>12026</v>
      </c>
      <c r="K4575">
        <v>11430</v>
      </c>
      <c r="L4575">
        <v>10872</v>
      </c>
      <c r="M4575">
        <v>10346</v>
      </c>
      <c r="N4575" t="s">
        <v>988</v>
      </c>
    </row>
    <row r="4576" spans="1:14" hidden="1" x14ac:dyDescent="0.3">
      <c r="A4576">
        <v>2793</v>
      </c>
      <c r="B4576" t="s">
        <v>2107</v>
      </c>
      <c r="C4576" t="s">
        <v>2670</v>
      </c>
      <c r="D4576" t="s">
        <v>1203</v>
      </c>
      <c r="E4576" t="s">
        <v>1204</v>
      </c>
      <c r="F4576">
        <v>5881</v>
      </c>
      <c r="G4576" t="s">
        <v>2675</v>
      </c>
      <c r="H4576" t="s">
        <v>2664</v>
      </c>
      <c r="I4576">
        <v>55261</v>
      </c>
      <c r="J4576">
        <v>61000</v>
      </c>
      <c r="K4576">
        <v>67000</v>
      </c>
      <c r="L4576">
        <v>68000</v>
      </c>
      <c r="M4576">
        <v>69000</v>
      </c>
      <c r="N4576" t="s">
        <v>988</v>
      </c>
    </row>
    <row r="4577" spans="1:14" hidden="1" x14ac:dyDescent="0.3">
      <c r="A4577">
        <v>2793</v>
      </c>
      <c r="B4577" t="s">
        <v>2107</v>
      </c>
      <c r="C4577" t="s">
        <v>2670</v>
      </c>
      <c r="D4577" t="s">
        <v>1203</v>
      </c>
      <c r="E4577" t="s">
        <v>1204</v>
      </c>
      <c r="F4577">
        <v>5881</v>
      </c>
      <c r="G4577" t="s">
        <v>2675</v>
      </c>
      <c r="H4577" t="s">
        <v>2665</v>
      </c>
      <c r="I4577">
        <v>11696</v>
      </c>
      <c r="J4577">
        <v>11256</v>
      </c>
      <c r="K4577">
        <v>10744</v>
      </c>
      <c r="L4577">
        <v>10470</v>
      </c>
      <c r="M4577">
        <v>9994</v>
      </c>
      <c r="N4577" t="s">
        <v>988</v>
      </c>
    </row>
    <row r="4578" spans="1:14" hidden="1" x14ac:dyDescent="0.3">
      <c r="A4578">
        <v>2793</v>
      </c>
      <c r="B4578" t="s">
        <v>2107</v>
      </c>
      <c r="C4578" t="s">
        <v>2670</v>
      </c>
      <c r="D4578" t="s">
        <v>1203</v>
      </c>
      <c r="E4578" t="s">
        <v>1204</v>
      </c>
      <c r="F4578">
        <v>5881</v>
      </c>
      <c r="G4578" t="s">
        <v>2674</v>
      </c>
      <c r="H4578" t="s">
        <v>2664</v>
      </c>
      <c r="I4578">
        <v>55888</v>
      </c>
      <c r="J4578">
        <v>58000</v>
      </c>
      <c r="K4578">
        <v>64000</v>
      </c>
      <c r="L4578">
        <v>65000</v>
      </c>
      <c r="M4578">
        <v>66000</v>
      </c>
      <c r="N4578" t="s">
        <v>988</v>
      </c>
    </row>
    <row r="4579" spans="1:14" hidden="1" x14ac:dyDescent="0.3">
      <c r="A4579">
        <v>2793</v>
      </c>
      <c r="B4579" t="s">
        <v>2107</v>
      </c>
      <c r="C4579" t="s">
        <v>2670</v>
      </c>
      <c r="D4579" t="s">
        <v>1203</v>
      </c>
      <c r="E4579" t="s">
        <v>1204</v>
      </c>
      <c r="F4579">
        <v>5881</v>
      </c>
      <c r="G4579" t="s">
        <v>2674</v>
      </c>
      <c r="H4579" t="s">
        <v>2665</v>
      </c>
      <c r="I4579">
        <v>10807</v>
      </c>
      <c r="J4579">
        <v>10536</v>
      </c>
      <c r="K4579">
        <v>10100</v>
      </c>
      <c r="L4579">
        <v>10082</v>
      </c>
      <c r="M4579">
        <v>9654</v>
      </c>
      <c r="N4579" t="s">
        <v>988</v>
      </c>
    </row>
    <row r="4580" spans="1:14" hidden="1" x14ac:dyDescent="0.3">
      <c r="A4580">
        <v>2793</v>
      </c>
      <c r="B4580" t="s">
        <v>2107</v>
      </c>
      <c r="C4580" t="s">
        <v>2670</v>
      </c>
      <c r="D4580" t="s">
        <v>1203</v>
      </c>
      <c r="E4580" t="s">
        <v>1204</v>
      </c>
      <c r="F4580">
        <v>5881</v>
      </c>
      <c r="G4580" t="s">
        <v>2673</v>
      </c>
      <c r="H4580" t="s">
        <v>2664</v>
      </c>
      <c r="I4580">
        <v>56861</v>
      </c>
      <c r="J4580">
        <v>55000</v>
      </c>
      <c r="K4580">
        <v>61000</v>
      </c>
      <c r="L4580">
        <v>62000</v>
      </c>
      <c r="M4580">
        <v>63000</v>
      </c>
      <c r="N4580" t="s">
        <v>988</v>
      </c>
    </row>
    <row r="4581" spans="1:14" hidden="1" x14ac:dyDescent="0.3">
      <c r="A4581">
        <v>2793</v>
      </c>
      <c r="B4581" t="s">
        <v>2107</v>
      </c>
      <c r="C4581" t="s">
        <v>2670</v>
      </c>
      <c r="D4581" t="s">
        <v>1203</v>
      </c>
      <c r="E4581" t="s">
        <v>1204</v>
      </c>
      <c r="F4581">
        <v>5881</v>
      </c>
      <c r="G4581" t="s">
        <v>2673</v>
      </c>
      <c r="H4581" t="s">
        <v>2665</v>
      </c>
      <c r="I4581">
        <v>9986</v>
      </c>
      <c r="J4581">
        <v>9862</v>
      </c>
      <c r="K4581">
        <v>9494</v>
      </c>
      <c r="L4581">
        <v>9709</v>
      </c>
      <c r="M4581">
        <v>9326</v>
      </c>
      <c r="N4581" t="s">
        <v>988</v>
      </c>
    </row>
    <row r="4582" spans="1:14" hidden="1" x14ac:dyDescent="0.3">
      <c r="A4582">
        <v>2793</v>
      </c>
      <c r="B4582" t="s">
        <v>2107</v>
      </c>
      <c r="C4582" t="s">
        <v>2670</v>
      </c>
      <c r="D4582" t="s">
        <v>1203</v>
      </c>
      <c r="E4582" t="s">
        <v>1204</v>
      </c>
      <c r="F4582">
        <v>5881</v>
      </c>
      <c r="G4582" t="s">
        <v>2671</v>
      </c>
      <c r="H4582" t="s">
        <v>2664</v>
      </c>
      <c r="I4582">
        <v>55104</v>
      </c>
      <c r="J4582">
        <v>52000</v>
      </c>
      <c r="K4582">
        <v>58000</v>
      </c>
      <c r="L4582">
        <v>59000</v>
      </c>
      <c r="M4582">
        <v>60000</v>
      </c>
      <c r="N4582" t="s">
        <v>988</v>
      </c>
    </row>
    <row r="4583" spans="1:14" hidden="1" x14ac:dyDescent="0.3">
      <c r="A4583">
        <v>2793</v>
      </c>
      <c r="B4583" t="s">
        <v>2107</v>
      </c>
      <c r="C4583" t="s">
        <v>2670</v>
      </c>
      <c r="D4583" t="s">
        <v>1203</v>
      </c>
      <c r="E4583" t="s">
        <v>1204</v>
      </c>
      <c r="F4583">
        <v>5881</v>
      </c>
      <c r="G4583" t="s">
        <v>2671</v>
      </c>
      <c r="H4583" t="s">
        <v>2665</v>
      </c>
      <c r="I4583">
        <v>9227</v>
      </c>
      <c r="J4583">
        <v>9230</v>
      </c>
      <c r="K4583">
        <v>8924</v>
      </c>
      <c r="L4583">
        <v>9350</v>
      </c>
      <c r="M4583">
        <v>9009</v>
      </c>
      <c r="N4583" t="s">
        <v>988</v>
      </c>
    </row>
    <row r="4584" spans="1:14" hidden="1" x14ac:dyDescent="0.3">
      <c r="A4584">
        <v>2793</v>
      </c>
      <c r="B4584" t="s">
        <v>2107</v>
      </c>
      <c r="C4584" t="s">
        <v>2670</v>
      </c>
      <c r="D4584" t="s">
        <v>1203</v>
      </c>
      <c r="E4584" t="s">
        <v>1204</v>
      </c>
      <c r="F4584">
        <v>5881</v>
      </c>
      <c r="G4584" t="s">
        <v>2672</v>
      </c>
      <c r="H4584" t="s">
        <v>2665</v>
      </c>
      <c r="N4584" t="s">
        <v>988</v>
      </c>
    </row>
    <row r="4585" spans="1:14" hidden="1" x14ac:dyDescent="0.3">
      <c r="A4585">
        <v>2793</v>
      </c>
      <c r="B4585" t="s">
        <v>2107</v>
      </c>
      <c r="C4585" t="s">
        <v>2670</v>
      </c>
      <c r="D4585" t="s">
        <v>1203</v>
      </c>
      <c r="E4585" t="s">
        <v>1204</v>
      </c>
      <c r="F4585">
        <v>5881</v>
      </c>
      <c r="G4585" t="s">
        <v>2672</v>
      </c>
      <c r="H4585" t="s">
        <v>2664</v>
      </c>
      <c r="N4585" t="s">
        <v>988</v>
      </c>
    </row>
  </sheetData>
  <autoFilter ref="A1:N4585" xr:uid="{8C97B820-3BBA-4EC2-AC63-12E665668D4D}">
    <filterColumn colId="1">
      <filters>
        <filter val="Folsom  City Of"/>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5D576-C9F2-4CC6-A6CC-3C8CBFE98779}">
  <sheetPr codeName="Sheet37">
    <tabColor rgb="FF7030A0"/>
  </sheetPr>
  <dimension ref="A1:N613"/>
  <sheetViews>
    <sheetView workbookViewId="0"/>
  </sheetViews>
  <sheetFormatPr defaultRowHeight="14.4" x14ac:dyDescent="0.3"/>
  <cols>
    <col min="2" max="2" width="49.5546875" bestFit="1" customWidth="1"/>
    <col min="3" max="3" width="67" bestFit="1" customWidth="1"/>
    <col min="7" max="7" width="20.6640625" bestFit="1" customWidth="1"/>
    <col min="8" max="8" width="14" bestFit="1" customWidth="1"/>
  </cols>
  <sheetData>
    <row r="1" spans="1:14" x14ac:dyDescent="0.3">
      <c r="A1" t="s">
        <v>1191</v>
      </c>
      <c r="B1" t="s">
        <v>1192</v>
      </c>
      <c r="C1" t="s">
        <v>1193</v>
      </c>
      <c r="D1" t="s">
        <v>1194</v>
      </c>
      <c r="E1" t="s">
        <v>1195</v>
      </c>
      <c r="F1" t="s">
        <v>1196</v>
      </c>
      <c r="G1" t="s">
        <v>2669</v>
      </c>
      <c r="H1" t="s">
        <v>2657</v>
      </c>
      <c r="I1" t="s">
        <v>2658</v>
      </c>
      <c r="J1" t="s">
        <v>2659</v>
      </c>
      <c r="K1" t="s">
        <v>2660</v>
      </c>
      <c r="L1" t="s">
        <v>2661</v>
      </c>
      <c r="M1" t="s">
        <v>2662</v>
      </c>
      <c r="N1" t="s">
        <v>2255</v>
      </c>
    </row>
    <row r="2" spans="1:14" x14ac:dyDescent="0.3">
      <c r="A2">
        <v>22</v>
      </c>
      <c r="B2" t="s">
        <v>916</v>
      </c>
      <c r="C2" t="s">
        <v>2677</v>
      </c>
      <c r="D2" t="s">
        <v>159</v>
      </c>
      <c r="E2" t="s">
        <v>159</v>
      </c>
      <c r="F2">
        <v>7263</v>
      </c>
      <c r="G2" t="s">
        <v>2672</v>
      </c>
      <c r="H2" t="s">
        <v>2665</v>
      </c>
      <c r="N2" t="s">
        <v>988</v>
      </c>
    </row>
    <row r="3" spans="1:14" x14ac:dyDescent="0.3">
      <c r="A3">
        <v>22</v>
      </c>
      <c r="B3" t="s">
        <v>916</v>
      </c>
      <c r="C3" t="s">
        <v>2677</v>
      </c>
      <c r="D3" t="s">
        <v>159</v>
      </c>
      <c r="E3" t="s">
        <v>159</v>
      </c>
      <c r="F3">
        <v>7263</v>
      </c>
      <c r="G3" t="s">
        <v>2672</v>
      </c>
      <c r="H3" t="s">
        <v>2664</v>
      </c>
      <c r="N3" t="s">
        <v>988</v>
      </c>
    </row>
    <row r="4" spans="1:14" x14ac:dyDescent="0.3">
      <c r="A4">
        <v>22</v>
      </c>
      <c r="B4" t="s">
        <v>916</v>
      </c>
      <c r="C4" t="s">
        <v>2677</v>
      </c>
      <c r="D4" t="s">
        <v>159</v>
      </c>
      <c r="E4" t="s">
        <v>159</v>
      </c>
      <c r="F4">
        <v>7263</v>
      </c>
      <c r="G4" t="s">
        <v>2676</v>
      </c>
      <c r="H4" t="s">
        <v>2664</v>
      </c>
      <c r="I4">
        <v>89200</v>
      </c>
      <c r="J4">
        <v>116600</v>
      </c>
      <c r="K4">
        <v>118500</v>
      </c>
      <c r="L4">
        <v>117100</v>
      </c>
      <c r="M4">
        <v>116800</v>
      </c>
      <c r="N4" t="s">
        <v>988</v>
      </c>
    </row>
    <row r="5" spans="1:14" x14ac:dyDescent="0.3">
      <c r="A5">
        <v>22</v>
      </c>
      <c r="B5" t="s">
        <v>916</v>
      </c>
      <c r="C5" t="s">
        <v>2677</v>
      </c>
      <c r="D5" t="s">
        <v>159</v>
      </c>
      <c r="E5" t="s">
        <v>159</v>
      </c>
      <c r="F5">
        <v>7263</v>
      </c>
      <c r="G5" t="s">
        <v>2676</v>
      </c>
      <c r="H5" t="s">
        <v>2665</v>
      </c>
      <c r="I5">
        <v>50300</v>
      </c>
      <c r="J5">
        <v>52800</v>
      </c>
      <c r="K5">
        <v>53800</v>
      </c>
      <c r="L5">
        <v>55300</v>
      </c>
      <c r="M5">
        <v>55300</v>
      </c>
      <c r="N5" t="s">
        <v>988</v>
      </c>
    </row>
    <row r="6" spans="1:14" x14ac:dyDescent="0.3">
      <c r="A6">
        <v>22</v>
      </c>
      <c r="B6" t="s">
        <v>916</v>
      </c>
      <c r="C6" t="s">
        <v>2677</v>
      </c>
      <c r="D6" t="s">
        <v>159</v>
      </c>
      <c r="E6" t="s">
        <v>159</v>
      </c>
      <c r="F6">
        <v>7263</v>
      </c>
      <c r="G6" t="s">
        <v>2675</v>
      </c>
      <c r="H6" t="s">
        <v>2664</v>
      </c>
      <c r="I6">
        <v>74800</v>
      </c>
      <c r="J6">
        <v>105800</v>
      </c>
      <c r="K6">
        <v>108000</v>
      </c>
      <c r="L6">
        <v>106600</v>
      </c>
      <c r="M6">
        <v>106800</v>
      </c>
      <c r="N6" t="s">
        <v>988</v>
      </c>
    </row>
    <row r="7" spans="1:14" x14ac:dyDescent="0.3">
      <c r="A7">
        <v>22</v>
      </c>
      <c r="B7" t="s">
        <v>916</v>
      </c>
      <c r="C7" t="s">
        <v>2677</v>
      </c>
      <c r="D7" t="s">
        <v>159</v>
      </c>
      <c r="E7" t="s">
        <v>159</v>
      </c>
      <c r="F7">
        <v>7263</v>
      </c>
      <c r="G7" t="s">
        <v>2675</v>
      </c>
      <c r="H7" t="s">
        <v>2665</v>
      </c>
      <c r="I7">
        <v>51700</v>
      </c>
      <c r="J7">
        <v>53360</v>
      </c>
      <c r="K7">
        <v>54200</v>
      </c>
      <c r="L7">
        <v>55300</v>
      </c>
      <c r="M7">
        <v>55300</v>
      </c>
      <c r="N7" t="s">
        <v>988</v>
      </c>
    </row>
    <row r="8" spans="1:14" x14ac:dyDescent="0.3">
      <c r="A8">
        <v>22</v>
      </c>
      <c r="B8" t="s">
        <v>916</v>
      </c>
      <c r="C8" t="s">
        <v>2677</v>
      </c>
      <c r="D8" t="s">
        <v>159</v>
      </c>
      <c r="E8" t="s">
        <v>159</v>
      </c>
      <c r="F8">
        <v>7263</v>
      </c>
      <c r="G8" t="s">
        <v>2674</v>
      </c>
      <c r="H8" t="s">
        <v>2664</v>
      </c>
      <c r="I8">
        <v>69100</v>
      </c>
      <c r="J8">
        <v>100600</v>
      </c>
      <c r="K8">
        <v>102700</v>
      </c>
      <c r="L8">
        <v>102300</v>
      </c>
      <c r="M8">
        <v>102300</v>
      </c>
      <c r="N8" t="s">
        <v>988</v>
      </c>
    </row>
    <row r="9" spans="1:14" x14ac:dyDescent="0.3">
      <c r="A9">
        <v>22</v>
      </c>
      <c r="B9" t="s">
        <v>916</v>
      </c>
      <c r="C9" t="s">
        <v>2677</v>
      </c>
      <c r="D9" t="s">
        <v>159</v>
      </c>
      <c r="E9" t="s">
        <v>159</v>
      </c>
      <c r="F9">
        <v>7263</v>
      </c>
      <c r="G9" t="s">
        <v>2674</v>
      </c>
      <c r="H9" t="s">
        <v>2665</v>
      </c>
      <c r="I9">
        <v>52000</v>
      </c>
      <c r="J9">
        <v>53520</v>
      </c>
      <c r="K9">
        <v>54400</v>
      </c>
      <c r="L9">
        <v>55300</v>
      </c>
      <c r="M9">
        <v>55300</v>
      </c>
      <c r="N9" t="s">
        <v>988</v>
      </c>
    </row>
    <row r="10" spans="1:14" x14ac:dyDescent="0.3">
      <c r="A10">
        <v>22</v>
      </c>
      <c r="B10" t="s">
        <v>916</v>
      </c>
      <c r="C10" t="s">
        <v>2677</v>
      </c>
      <c r="D10" t="s">
        <v>159</v>
      </c>
      <c r="E10" t="s">
        <v>159</v>
      </c>
      <c r="F10">
        <v>7263</v>
      </c>
      <c r="G10" t="s">
        <v>2673</v>
      </c>
      <c r="H10" t="s">
        <v>2664</v>
      </c>
      <c r="I10">
        <v>63600</v>
      </c>
      <c r="J10">
        <v>96700</v>
      </c>
      <c r="K10">
        <v>99500</v>
      </c>
      <c r="L10">
        <v>98900</v>
      </c>
      <c r="M10">
        <v>99200</v>
      </c>
      <c r="N10" t="s">
        <v>988</v>
      </c>
    </row>
    <row r="11" spans="1:14" x14ac:dyDescent="0.3">
      <c r="A11">
        <v>22</v>
      </c>
      <c r="B11" t="s">
        <v>916</v>
      </c>
      <c r="C11" t="s">
        <v>2677</v>
      </c>
      <c r="D11" t="s">
        <v>159</v>
      </c>
      <c r="E11" t="s">
        <v>159</v>
      </c>
      <c r="F11">
        <v>7263</v>
      </c>
      <c r="G11" t="s">
        <v>2673</v>
      </c>
      <c r="H11" t="s">
        <v>2665</v>
      </c>
      <c r="I11">
        <v>52250</v>
      </c>
      <c r="J11">
        <v>53580</v>
      </c>
      <c r="K11">
        <v>54700</v>
      </c>
      <c r="L11">
        <v>55300</v>
      </c>
      <c r="M11">
        <v>55300</v>
      </c>
      <c r="N11" t="s">
        <v>988</v>
      </c>
    </row>
    <row r="12" spans="1:14" x14ac:dyDescent="0.3">
      <c r="A12">
        <v>22</v>
      </c>
      <c r="B12" t="s">
        <v>916</v>
      </c>
      <c r="C12" t="s">
        <v>2677</v>
      </c>
      <c r="D12" t="s">
        <v>159</v>
      </c>
      <c r="E12" t="s">
        <v>159</v>
      </c>
      <c r="F12">
        <v>7263</v>
      </c>
      <c r="G12" t="s">
        <v>2671</v>
      </c>
      <c r="H12" t="s">
        <v>2664</v>
      </c>
      <c r="I12">
        <v>58200</v>
      </c>
      <c r="J12">
        <v>94100</v>
      </c>
      <c r="K12">
        <v>96500</v>
      </c>
      <c r="L12">
        <v>95900</v>
      </c>
      <c r="M12">
        <v>96100</v>
      </c>
      <c r="N12" t="s">
        <v>988</v>
      </c>
    </row>
    <row r="13" spans="1:14" x14ac:dyDescent="0.3">
      <c r="A13">
        <v>22</v>
      </c>
      <c r="B13" t="s">
        <v>916</v>
      </c>
      <c r="C13" t="s">
        <v>2677</v>
      </c>
      <c r="D13" t="s">
        <v>159</v>
      </c>
      <c r="E13" t="s">
        <v>159</v>
      </c>
      <c r="F13">
        <v>7263</v>
      </c>
      <c r="G13" t="s">
        <v>2671</v>
      </c>
      <c r="H13" t="s">
        <v>2665</v>
      </c>
      <c r="I13">
        <v>52500</v>
      </c>
      <c r="J13">
        <v>53740</v>
      </c>
      <c r="K13">
        <v>55000</v>
      </c>
      <c r="L13">
        <v>55300</v>
      </c>
      <c r="M13">
        <v>55300</v>
      </c>
      <c r="N13" t="s">
        <v>988</v>
      </c>
    </row>
    <row r="14" spans="1:14" x14ac:dyDescent="0.3">
      <c r="A14">
        <v>79</v>
      </c>
      <c r="B14" t="s">
        <v>941</v>
      </c>
      <c r="C14" t="s">
        <v>2677</v>
      </c>
      <c r="D14" t="s">
        <v>1203</v>
      </c>
      <c r="E14" t="s">
        <v>1204</v>
      </c>
      <c r="F14">
        <v>5721</v>
      </c>
      <c r="G14" t="s">
        <v>2672</v>
      </c>
      <c r="H14" t="s">
        <v>2665</v>
      </c>
      <c r="N14" t="s">
        <v>988</v>
      </c>
    </row>
    <row r="15" spans="1:14" x14ac:dyDescent="0.3">
      <c r="A15">
        <v>79</v>
      </c>
      <c r="B15" t="s">
        <v>941</v>
      </c>
      <c r="C15" t="s">
        <v>2677</v>
      </c>
      <c r="D15" t="s">
        <v>1203</v>
      </c>
      <c r="E15" t="s">
        <v>1204</v>
      </c>
      <c r="F15">
        <v>5721</v>
      </c>
      <c r="G15" t="s">
        <v>2676</v>
      </c>
      <c r="H15" t="s">
        <v>2665</v>
      </c>
      <c r="I15">
        <v>44440</v>
      </c>
      <c r="J15">
        <v>50990</v>
      </c>
      <c r="K15">
        <v>51880</v>
      </c>
      <c r="L15">
        <v>55210</v>
      </c>
      <c r="M15">
        <v>57590</v>
      </c>
      <c r="N15" t="s">
        <v>988</v>
      </c>
    </row>
    <row r="16" spans="1:14" x14ac:dyDescent="0.3">
      <c r="A16">
        <v>79</v>
      </c>
      <c r="B16" t="s">
        <v>941</v>
      </c>
      <c r="C16" t="s">
        <v>2677</v>
      </c>
      <c r="D16" t="s">
        <v>1203</v>
      </c>
      <c r="E16" t="s">
        <v>1204</v>
      </c>
      <c r="F16">
        <v>5721</v>
      </c>
      <c r="G16" t="s">
        <v>2675</v>
      </c>
      <c r="H16" t="s">
        <v>2664</v>
      </c>
      <c r="I16">
        <v>52730</v>
      </c>
      <c r="J16">
        <v>52730</v>
      </c>
      <c r="K16">
        <v>52730</v>
      </c>
      <c r="L16">
        <v>55210</v>
      </c>
      <c r="M16">
        <v>57590</v>
      </c>
      <c r="N16" t="s">
        <v>988</v>
      </c>
    </row>
    <row r="17" spans="1:14" x14ac:dyDescent="0.3">
      <c r="A17">
        <v>79</v>
      </c>
      <c r="B17" t="s">
        <v>941</v>
      </c>
      <c r="C17" t="s">
        <v>2677</v>
      </c>
      <c r="D17" t="s">
        <v>1203</v>
      </c>
      <c r="E17" t="s">
        <v>1204</v>
      </c>
      <c r="F17">
        <v>5721</v>
      </c>
      <c r="G17" t="s">
        <v>2675</v>
      </c>
      <c r="H17" t="s">
        <v>2665</v>
      </c>
      <c r="I17">
        <v>44440</v>
      </c>
      <c r="J17">
        <v>50990</v>
      </c>
      <c r="K17">
        <v>51880</v>
      </c>
      <c r="L17">
        <v>55210</v>
      </c>
      <c r="M17">
        <v>57590</v>
      </c>
      <c r="N17" t="s">
        <v>988</v>
      </c>
    </row>
    <row r="18" spans="1:14" x14ac:dyDescent="0.3">
      <c r="A18">
        <v>79</v>
      </c>
      <c r="B18" t="s">
        <v>941</v>
      </c>
      <c r="C18" t="s">
        <v>2677</v>
      </c>
      <c r="D18" t="s">
        <v>1203</v>
      </c>
      <c r="E18" t="s">
        <v>1204</v>
      </c>
      <c r="F18">
        <v>5721</v>
      </c>
      <c r="G18" t="s">
        <v>2674</v>
      </c>
      <c r="H18" t="s">
        <v>2664</v>
      </c>
      <c r="I18">
        <v>44440</v>
      </c>
      <c r="J18">
        <v>50990</v>
      </c>
      <c r="K18">
        <v>51880</v>
      </c>
      <c r="L18">
        <v>55210</v>
      </c>
      <c r="M18">
        <v>57590</v>
      </c>
      <c r="N18" t="s">
        <v>988</v>
      </c>
    </row>
    <row r="19" spans="1:14" x14ac:dyDescent="0.3">
      <c r="A19">
        <v>79</v>
      </c>
      <c r="B19" t="s">
        <v>941</v>
      </c>
      <c r="C19" t="s">
        <v>2677</v>
      </c>
      <c r="D19" t="s">
        <v>1203</v>
      </c>
      <c r="E19" t="s">
        <v>1204</v>
      </c>
      <c r="F19">
        <v>5721</v>
      </c>
      <c r="G19" t="s">
        <v>2676</v>
      </c>
      <c r="H19" t="s">
        <v>2664</v>
      </c>
      <c r="I19">
        <v>44440</v>
      </c>
      <c r="J19">
        <v>50990</v>
      </c>
      <c r="K19">
        <v>51880</v>
      </c>
      <c r="L19">
        <v>55210</v>
      </c>
      <c r="M19">
        <v>57590</v>
      </c>
      <c r="N19" t="s">
        <v>988</v>
      </c>
    </row>
    <row r="20" spans="1:14" x14ac:dyDescent="0.3">
      <c r="A20">
        <v>79</v>
      </c>
      <c r="B20" t="s">
        <v>941</v>
      </c>
      <c r="C20" t="s">
        <v>2677</v>
      </c>
      <c r="D20" t="s">
        <v>1203</v>
      </c>
      <c r="E20" t="s">
        <v>1204</v>
      </c>
      <c r="F20">
        <v>5721</v>
      </c>
      <c r="G20" t="s">
        <v>2673</v>
      </c>
      <c r="H20" t="s">
        <v>2664</v>
      </c>
      <c r="I20">
        <v>44440</v>
      </c>
      <c r="J20">
        <v>50990</v>
      </c>
      <c r="K20">
        <v>51880</v>
      </c>
      <c r="L20">
        <v>55210</v>
      </c>
      <c r="M20">
        <v>57590</v>
      </c>
      <c r="N20" t="s">
        <v>988</v>
      </c>
    </row>
    <row r="21" spans="1:14" x14ac:dyDescent="0.3">
      <c r="A21">
        <v>79</v>
      </c>
      <c r="B21" t="s">
        <v>941</v>
      </c>
      <c r="C21" t="s">
        <v>2677</v>
      </c>
      <c r="D21" t="s">
        <v>1203</v>
      </c>
      <c r="E21" t="s">
        <v>1204</v>
      </c>
      <c r="F21">
        <v>5721</v>
      </c>
      <c r="G21" t="s">
        <v>2673</v>
      </c>
      <c r="H21" t="s">
        <v>2665</v>
      </c>
      <c r="I21">
        <v>44440</v>
      </c>
      <c r="J21">
        <v>50990</v>
      </c>
      <c r="K21">
        <v>51880</v>
      </c>
      <c r="L21">
        <v>55210</v>
      </c>
      <c r="M21">
        <v>57590</v>
      </c>
      <c r="N21" t="s">
        <v>988</v>
      </c>
    </row>
    <row r="22" spans="1:14" x14ac:dyDescent="0.3">
      <c r="A22">
        <v>79</v>
      </c>
      <c r="B22" t="s">
        <v>941</v>
      </c>
      <c r="C22" t="s">
        <v>2677</v>
      </c>
      <c r="D22" t="s">
        <v>1203</v>
      </c>
      <c r="E22" t="s">
        <v>1204</v>
      </c>
      <c r="F22">
        <v>5721</v>
      </c>
      <c r="G22" t="s">
        <v>2671</v>
      </c>
      <c r="H22" t="s">
        <v>2664</v>
      </c>
      <c r="I22">
        <v>44440</v>
      </c>
      <c r="J22">
        <v>50990</v>
      </c>
      <c r="K22">
        <v>51880</v>
      </c>
      <c r="L22">
        <v>55210</v>
      </c>
      <c r="M22">
        <v>57590</v>
      </c>
      <c r="N22" t="s">
        <v>988</v>
      </c>
    </row>
    <row r="23" spans="1:14" x14ac:dyDescent="0.3">
      <c r="A23">
        <v>79</v>
      </c>
      <c r="B23" t="s">
        <v>941</v>
      </c>
      <c r="C23" t="s">
        <v>2677</v>
      </c>
      <c r="D23" t="s">
        <v>1203</v>
      </c>
      <c r="E23" t="s">
        <v>1204</v>
      </c>
      <c r="F23">
        <v>5721</v>
      </c>
      <c r="G23" t="s">
        <v>2671</v>
      </c>
      <c r="H23" t="s">
        <v>2665</v>
      </c>
      <c r="I23">
        <v>44440</v>
      </c>
      <c r="J23">
        <v>50990</v>
      </c>
      <c r="K23">
        <v>51880</v>
      </c>
      <c r="L23">
        <v>55210</v>
      </c>
      <c r="M23">
        <v>57590</v>
      </c>
      <c r="N23" t="s">
        <v>988</v>
      </c>
    </row>
    <row r="24" spans="1:14" x14ac:dyDescent="0.3">
      <c r="A24">
        <v>79</v>
      </c>
      <c r="B24" t="s">
        <v>941</v>
      </c>
      <c r="C24" t="s">
        <v>2677</v>
      </c>
      <c r="D24" t="s">
        <v>1203</v>
      </c>
      <c r="E24" t="s">
        <v>1204</v>
      </c>
      <c r="F24">
        <v>5721</v>
      </c>
      <c r="G24" t="s">
        <v>2672</v>
      </c>
      <c r="H24" t="s">
        <v>2664</v>
      </c>
      <c r="N24" t="s">
        <v>988</v>
      </c>
    </row>
    <row r="25" spans="1:14" x14ac:dyDescent="0.3">
      <c r="A25">
        <v>79</v>
      </c>
      <c r="B25" t="s">
        <v>941</v>
      </c>
      <c r="C25" t="s">
        <v>2677</v>
      </c>
      <c r="D25" t="s">
        <v>1203</v>
      </c>
      <c r="E25" t="s">
        <v>1204</v>
      </c>
      <c r="F25">
        <v>5721</v>
      </c>
      <c r="G25" t="s">
        <v>2674</v>
      </c>
      <c r="H25" t="s">
        <v>2665</v>
      </c>
      <c r="I25">
        <v>44440</v>
      </c>
      <c r="J25">
        <v>50990</v>
      </c>
      <c r="K25">
        <v>51880</v>
      </c>
      <c r="L25">
        <v>55210</v>
      </c>
      <c r="M25">
        <v>57590</v>
      </c>
      <c r="N25" t="s">
        <v>988</v>
      </c>
    </row>
    <row r="26" spans="1:14" x14ac:dyDescent="0.3">
      <c r="A26">
        <v>123</v>
      </c>
      <c r="B26" t="s">
        <v>1242</v>
      </c>
      <c r="C26" t="s">
        <v>2677</v>
      </c>
      <c r="D26" t="s">
        <v>1203</v>
      </c>
      <c r="E26" t="s">
        <v>1204</v>
      </c>
      <c r="F26">
        <v>5757</v>
      </c>
      <c r="G26" t="s">
        <v>2672</v>
      </c>
      <c r="H26" t="s">
        <v>2665</v>
      </c>
      <c r="N26" t="s">
        <v>988</v>
      </c>
    </row>
    <row r="27" spans="1:14" x14ac:dyDescent="0.3">
      <c r="A27">
        <v>123</v>
      </c>
      <c r="B27" t="s">
        <v>1242</v>
      </c>
      <c r="C27" t="s">
        <v>2677</v>
      </c>
      <c r="D27" t="s">
        <v>1203</v>
      </c>
      <c r="E27" t="s">
        <v>1204</v>
      </c>
      <c r="F27">
        <v>5757</v>
      </c>
      <c r="G27" t="s">
        <v>2672</v>
      </c>
      <c r="H27" t="s">
        <v>2664</v>
      </c>
      <c r="N27" t="s">
        <v>988</v>
      </c>
    </row>
    <row r="28" spans="1:14" x14ac:dyDescent="0.3">
      <c r="A28">
        <v>123</v>
      </c>
      <c r="B28" t="s">
        <v>1242</v>
      </c>
      <c r="C28" t="s">
        <v>2677</v>
      </c>
      <c r="D28" t="s">
        <v>1203</v>
      </c>
      <c r="E28" t="s">
        <v>1204</v>
      </c>
      <c r="F28">
        <v>5757</v>
      </c>
      <c r="G28" t="s">
        <v>2671</v>
      </c>
      <c r="H28" t="s">
        <v>2665</v>
      </c>
      <c r="I28">
        <v>100000</v>
      </c>
      <c r="J28">
        <v>100000</v>
      </c>
      <c r="K28">
        <v>100000</v>
      </c>
      <c r="L28">
        <v>100000</v>
      </c>
      <c r="N28" t="s">
        <v>988</v>
      </c>
    </row>
    <row r="29" spans="1:14" x14ac:dyDescent="0.3">
      <c r="A29">
        <v>123</v>
      </c>
      <c r="B29" t="s">
        <v>1242</v>
      </c>
      <c r="C29" t="s">
        <v>2677</v>
      </c>
      <c r="D29" t="s">
        <v>1203</v>
      </c>
      <c r="E29" t="s">
        <v>1204</v>
      </c>
      <c r="F29">
        <v>5757</v>
      </c>
      <c r="G29" t="s">
        <v>2671</v>
      </c>
      <c r="H29" t="s">
        <v>2664</v>
      </c>
      <c r="I29">
        <v>32001</v>
      </c>
      <c r="J29">
        <v>32001</v>
      </c>
      <c r="K29">
        <v>32001</v>
      </c>
      <c r="L29">
        <v>32001</v>
      </c>
      <c r="N29" t="s">
        <v>988</v>
      </c>
    </row>
    <row r="30" spans="1:14" x14ac:dyDescent="0.3">
      <c r="A30">
        <v>123</v>
      </c>
      <c r="B30" t="s">
        <v>1242</v>
      </c>
      <c r="C30" t="s">
        <v>2677</v>
      </c>
      <c r="D30" t="s">
        <v>1203</v>
      </c>
      <c r="E30" t="s">
        <v>1204</v>
      </c>
      <c r="F30">
        <v>5757</v>
      </c>
      <c r="G30" t="s">
        <v>2673</v>
      </c>
      <c r="H30" t="s">
        <v>2665</v>
      </c>
      <c r="I30">
        <v>100000</v>
      </c>
      <c r="J30">
        <v>100000</v>
      </c>
      <c r="K30">
        <v>100000</v>
      </c>
      <c r="L30">
        <v>100000</v>
      </c>
      <c r="N30" t="s">
        <v>988</v>
      </c>
    </row>
    <row r="31" spans="1:14" x14ac:dyDescent="0.3">
      <c r="A31">
        <v>123</v>
      </c>
      <c r="B31" t="s">
        <v>1242</v>
      </c>
      <c r="C31" t="s">
        <v>2677</v>
      </c>
      <c r="D31" t="s">
        <v>1203</v>
      </c>
      <c r="E31" t="s">
        <v>1204</v>
      </c>
      <c r="F31">
        <v>5757</v>
      </c>
      <c r="G31" t="s">
        <v>2676</v>
      </c>
      <c r="H31" t="s">
        <v>2664</v>
      </c>
      <c r="I31">
        <v>32092</v>
      </c>
      <c r="J31">
        <v>32092</v>
      </c>
      <c r="K31">
        <v>32092</v>
      </c>
      <c r="L31">
        <v>32092</v>
      </c>
      <c r="N31" t="s">
        <v>988</v>
      </c>
    </row>
    <row r="32" spans="1:14" x14ac:dyDescent="0.3">
      <c r="A32">
        <v>123</v>
      </c>
      <c r="B32" t="s">
        <v>1242</v>
      </c>
      <c r="C32" t="s">
        <v>2677</v>
      </c>
      <c r="D32" t="s">
        <v>1203</v>
      </c>
      <c r="E32" t="s">
        <v>1204</v>
      </c>
      <c r="F32">
        <v>5757</v>
      </c>
      <c r="G32" t="s">
        <v>2674</v>
      </c>
      <c r="H32" t="s">
        <v>2665</v>
      </c>
      <c r="I32">
        <v>100000</v>
      </c>
      <c r="J32">
        <v>100000</v>
      </c>
      <c r="K32">
        <v>100000</v>
      </c>
      <c r="L32">
        <v>100000</v>
      </c>
      <c r="N32" t="s">
        <v>988</v>
      </c>
    </row>
    <row r="33" spans="1:14" x14ac:dyDescent="0.3">
      <c r="A33">
        <v>123</v>
      </c>
      <c r="B33" t="s">
        <v>1242</v>
      </c>
      <c r="C33" t="s">
        <v>2677</v>
      </c>
      <c r="D33" t="s">
        <v>1203</v>
      </c>
      <c r="E33" t="s">
        <v>1204</v>
      </c>
      <c r="F33">
        <v>5757</v>
      </c>
      <c r="G33" t="s">
        <v>2674</v>
      </c>
      <c r="H33" t="s">
        <v>2664</v>
      </c>
      <c r="I33">
        <v>18061</v>
      </c>
      <c r="J33">
        <v>18061</v>
      </c>
      <c r="K33">
        <v>18061</v>
      </c>
      <c r="L33">
        <v>18061</v>
      </c>
      <c r="N33" t="s">
        <v>988</v>
      </c>
    </row>
    <row r="34" spans="1:14" x14ac:dyDescent="0.3">
      <c r="A34">
        <v>123</v>
      </c>
      <c r="B34" t="s">
        <v>1242</v>
      </c>
      <c r="C34" t="s">
        <v>2677</v>
      </c>
      <c r="D34" t="s">
        <v>1203</v>
      </c>
      <c r="E34" t="s">
        <v>1204</v>
      </c>
      <c r="F34">
        <v>5757</v>
      </c>
      <c r="G34" t="s">
        <v>2675</v>
      </c>
      <c r="H34" t="s">
        <v>2665</v>
      </c>
      <c r="I34">
        <v>100000</v>
      </c>
      <c r="J34">
        <v>100000</v>
      </c>
      <c r="K34">
        <v>100000</v>
      </c>
      <c r="L34">
        <v>100000</v>
      </c>
      <c r="N34" t="s">
        <v>988</v>
      </c>
    </row>
    <row r="35" spans="1:14" x14ac:dyDescent="0.3">
      <c r="A35">
        <v>123</v>
      </c>
      <c r="B35" t="s">
        <v>1242</v>
      </c>
      <c r="C35" t="s">
        <v>2677</v>
      </c>
      <c r="D35" t="s">
        <v>1203</v>
      </c>
      <c r="E35" t="s">
        <v>1204</v>
      </c>
      <c r="F35">
        <v>5757</v>
      </c>
      <c r="G35" t="s">
        <v>2675</v>
      </c>
      <c r="H35" t="s">
        <v>2664</v>
      </c>
      <c r="I35">
        <v>22245</v>
      </c>
      <c r="J35">
        <v>22245</v>
      </c>
      <c r="K35">
        <v>22245</v>
      </c>
      <c r="L35">
        <v>22245</v>
      </c>
      <c r="N35" t="s">
        <v>988</v>
      </c>
    </row>
    <row r="36" spans="1:14" x14ac:dyDescent="0.3">
      <c r="A36">
        <v>123</v>
      </c>
      <c r="B36" t="s">
        <v>1242</v>
      </c>
      <c r="C36" t="s">
        <v>2677</v>
      </c>
      <c r="D36" t="s">
        <v>1203</v>
      </c>
      <c r="E36" t="s">
        <v>1204</v>
      </c>
      <c r="F36">
        <v>5757</v>
      </c>
      <c r="G36" t="s">
        <v>2676</v>
      </c>
      <c r="H36" t="s">
        <v>2665</v>
      </c>
      <c r="I36">
        <v>100000</v>
      </c>
      <c r="J36">
        <v>100000</v>
      </c>
      <c r="K36">
        <v>100000</v>
      </c>
      <c r="L36">
        <v>100000</v>
      </c>
      <c r="N36" t="s">
        <v>988</v>
      </c>
    </row>
    <row r="37" spans="1:14" x14ac:dyDescent="0.3">
      <c r="A37">
        <v>123</v>
      </c>
      <c r="B37" t="s">
        <v>1242</v>
      </c>
      <c r="C37" t="s">
        <v>2677</v>
      </c>
      <c r="D37" t="s">
        <v>1203</v>
      </c>
      <c r="E37" t="s">
        <v>1204</v>
      </c>
      <c r="F37">
        <v>5757</v>
      </c>
      <c r="G37" t="s">
        <v>2673</v>
      </c>
      <c r="H37" t="s">
        <v>2664</v>
      </c>
      <c r="I37">
        <v>14079</v>
      </c>
      <c r="J37">
        <v>14079</v>
      </c>
      <c r="K37">
        <v>14079</v>
      </c>
      <c r="L37">
        <v>14079</v>
      </c>
      <c r="N37" t="s">
        <v>988</v>
      </c>
    </row>
    <row r="38" spans="1:14" x14ac:dyDescent="0.3">
      <c r="A38">
        <v>433</v>
      </c>
      <c r="B38" t="s">
        <v>2124</v>
      </c>
      <c r="C38" t="s">
        <v>2677</v>
      </c>
      <c r="D38" t="s">
        <v>1203</v>
      </c>
      <c r="E38" t="s">
        <v>1204</v>
      </c>
      <c r="F38">
        <v>5488</v>
      </c>
      <c r="G38" t="s">
        <v>2674</v>
      </c>
      <c r="H38" t="s">
        <v>2665</v>
      </c>
      <c r="I38">
        <v>99279</v>
      </c>
      <c r="J38">
        <v>99291</v>
      </c>
      <c r="K38">
        <v>101229</v>
      </c>
      <c r="L38">
        <v>103152</v>
      </c>
      <c r="M38">
        <v>104103</v>
      </c>
      <c r="N38" t="s">
        <v>988</v>
      </c>
    </row>
    <row r="39" spans="1:14" x14ac:dyDescent="0.3">
      <c r="A39">
        <v>433</v>
      </c>
      <c r="B39" t="s">
        <v>2124</v>
      </c>
      <c r="C39" t="s">
        <v>2677</v>
      </c>
      <c r="D39" t="s">
        <v>1203</v>
      </c>
      <c r="E39" t="s">
        <v>1204</v>
      </c>
      <c r="F39">
        <v>5488</v>
      </c>
      <c r="G39" t="s">
        <v>2674</v>
      </c>
      <c r="H39" t="s">
        <v>2664</v>
      </c>
      <c r="I39">
        <v>125797</v>
      </c>
      <c r="J39">
        <v>125809</v>
      </c>
      <c r="K39">
        <v>127727</v>
      </c>
      <c r="L39">
        <v>129631</v>
      </c>
      <c r="M39">
        <v>130573</v>
      </c>
      <c r="N39" t="s">
        <v>988</v>
      </c>
    </row>
    <row r="40" spans="1:14" x14ac:dyDescent="0.3">
      <c r="A40">
        <v>433</v>
      </c>
      <c r="B40" t="s">
        <v>2124</v>
      </c>
      <c r="C40" t="s">
        <v>2677</v>
      </c>
      <c r="D40" t="s">
        <v>1203</v>
      </c>
      <c r="E40" t="s">
        <v>1204</v>
      </c>
      <c r="F40">
        <v>5488</v>
      </c>
      <c r="G40" t="s">
        <v>2675</v>
      </c>
      <c r="H40" t="s">
        <v>2665</v>
      </c>
      <c r="I40">
        <v>97871</v>
      </c>
      <c r="J40">
        <v>97883</v>
      </c>
      <c r="K40">
        <v>99793</v>
      </c>
      <c r="L40">
        <v>101688</v>
      </c>
      <c r="M40">
        <v>102626</v>
      </c>
      <c r="N40" t="s">
        <v>988</v>
      </c>
    </row>
    <row r="41" spans="1:14" x14ac:dyDescent="0.3">
      <c r="A41">
        <v>433</v>
      </c>
      <c r="B41" t="s">
        <v>2124</v>
      </c>
      <c r="C41" t="s">
        <v>2677</v>
      </c>
      <c r="D41" t="s">
        <v>1203</v>
      </c>
      <c r="E41" t="s">
        <v>1204</v>
      </c>
      <c r="F41">
        <v>5488</v>
      </c>
      <c r="G41" t="s">
        <v>2675</v>
      </c>
      <c r="H41" t="s">
        <v>2664</v>
      </c>
      <c r="I41">
        <v>124402</v>
      </c>
      <c r="J41">
        <v>124414</v>
      </c>
      <c r="K41">
        <v>126305</v>
      </c>
      <c r="L41">
        <v>128182</v>
      </c>
      <c r="M41">
        <v>129111</v>
      </c>
      <c r="N41" t="s">
        <v>988</v>
      </c>
    </row>
    <row r="42" spans="1:14" x14ac:dyDescent="0.3">
      <c r="A42">
        <v>433</v>
      </c>
      <c r="B42" t="s">
        <v>2124</v>
      </c>
      <c r="C42" t="s">
        <v>2677</v>
      </c>
      <c r="D42" t="s">
        <v>1203</v>
      </c>
      <c r="E42" t="s">
        <v>1204</v>
      </c>
      <c r="F42">
        <v>5488</v>
      </c>
      <c r="G42" t="s">
        <v>2676</v>
      </c>
      <c r="H42" t="s">
        <v>2665</v>
      </c>
      <c r="I42">
        <v>90679</v>
      </c>
      <c r="J42">
        <v>90690</v>
      </c>
      <c r="K42">
        <v>92460</v>
      </c>
      <c r="L42">
        <v>94216</v>
      </c>
      <c r="M42">
        <v>95085</v>
      </c>
      <c r="N42" t="s">
        <v>988</v>
      </c>
    </row>
    <row r="43" spans="1:14" x14ac:dyDescent="0.3">
      <c r="A43">
        <v>433</v>
      </c>
      <c r="B43" t="s">
        <v>2124</v>
      </c>
      <c r="C43" t="s">
        <v>2677</v>
      </c>
      <c r="D43" t="s">
        <v>1203</v>
      </c>
      <c r="E43" t="s">
        <v>1204</v>
      </c>
      <c r="F43">
        <v>5488</v>
      </c>
      <c r="G43" t="s">
        <v>2676</v>
      </c>
      <c r="H43" t="s">
        <v>2664</v>
      </c>
      <c r="I43">
        <v>117282</v>
      </c>
      <c r="J43">
        <v>117293</v>
      </c>
      <c r="K43">
        <v>119045</v>
      </c>
      <c r="L43">
        <v>120784</v>
      </c>
      <c r="M43">
        <v>121644</v>
      </c>
      <c r="N43" t="s">
        <v>988</v>
      </c>
    </row>
    <row r="44" spans="1:14" x14ac:dyDescent="0.3">
      <c r="A44">
        <v>433</v>
      </c>
      <c r="B44" t="s">
        <v>2124</v>
      </c>
      <c r="C44" t="s">
        <v>2677</v>
      </c>
      <c r="D44" t="s">
        <v>1203</v>
      </c>
      <c r="E44" t="s">
        <v>1204</v>
      </c>
      <c r="F44">
        <v>5488</v>
      </c>
      <c r="G44" t="s">
        <v>2673</v>
      </c>
      <c r="H44" t="s">
        <v>2665</v>
      </c>
      <c r="I44">
        <v>75729</v>
      </c>
      <c r="J44">
        <v>75739</v>
      </c>
      <c r="K44">
        <v>77216</v>
      </c>
      <c r="L44">
        <v>78683</v>
      </c>
      <c r="M44">
        <v>79408</v>
      </c>
      <c r="N44" t="s">
        <v>988</v>
      </c>
    </row>
    <row r="45" spans="1:14" x14ac:dyDescent="0.3">
      <c r="A45">
        <v>433</v>
      </c>
      <c r="B45" t="s">
        <v>2124</v>
      </c>
      <c r="C45" t="s">
        <v>2677</v>
      </c>
      <c r="D45" t="s">
        <v>1203</v>
      </c>
      <c r="E45" t="s">
        <v>1204</v>
      </c>
      <c r="F45">
        <v>5488</v>
      </c>
      <c r="G45" t="s">
        <v>2671</v>
      </c>
      <c r="H45" t="s">
        <v>2664</v>
      </c>
      <c r="I45">
        <v>111027</v>
      </c>
      <c r="J45">
        <v>111036</v>
      </c>
      <c r="K45">
        <v>112608</v>
      </c>
      <c r="L45">
        <v>114167</v>
      </c>
      <c r="M45">
        <v>114938</v>
      </c>
      <c r="N45" t="s">
        <v>988</v>
      </c>
    </row>
    <row r="46" spans="1:14" x14ac:dyDescent="0.3">
      <c r="A46">
        <v>433</v>
      </c>
      <c r="B46" t="s">
        <v>2124</v>
      </c>
      <c r="C46" t="s">
        <v>2677</v>
      </c>
      <c r="D46" t="s">
        <v>1203</v>
      </c>
      <c r="E46" t="s">
        <v>1204</v>
      </c>
      <c r="F46">
        <v>5488</v>
      </c>
      <c r="G46" t="s">
        <v>2671</v>
      </c>
      <c r="H46" t="s">
        <v>2665</v>
      </c>
      <c r="I46">
        <v>84331</v>
      </c>
      <c r="J46">
        <v>84341</v>
      </c>
      <c r="K46">
        <v>85928</v>
      </c>
      <c r="L46">
        <v>87503</v>
      </c>
      <c r="M46">
        <v>88282</v>
      </c>
      <c r="N46" t="s">
        <v>988</v>
      </c>
    </row>
    <row r="47" spans="1:14" x14ac:dyDescent="0.3">
      <c r="A47">
        <v>433</v>
      </c>
      <c r="B47" t="s">
        <v>2124</v>
      </c>
      <c r="C47" t="s">
        <v>2677</v>
      </c>
      <c r="D47" t="s">
        <v>1203</v>
      </c>
      <c r="E47" t="s">
        <v>1204</v>
      </c>
      <c r="F47">
        <v>5488</v>
      </c>
      <c r="G47" t="s">
        <v>2672</v>
      </c>
      <c r="H47" t="s">
        <v>2664</v>
      </c>
      <c r="N47" t="s">
        <v>988</v>
      </c>
    </row>
    <row r="48" spans="1:14" x14ac:dyDescent="0.3">
      <c r="A48">
        <v>433</v>
      </c>
      <c r="B48" t="s">
        <v>2124</v>
      </c>
      <c r="C48" t="s">
        <v>2677</v>
      </c>
      <c r="D48" t="s">
        <v>1203</v>
      </c>
      <c r="E48" t="s">
        <v>1204</v>
      </c>
      <c r="F48">
        <v>5488</v>
      </c>
      <c r="G48" t="s">
        <v>2672</v>
      </c>
      <c r="H48" t="s">
        <v>2665</v>
      </c>
      <c r="N48" t="s">
        <v>988</v>
      </c>
    </row>
    <row r="49" spans="1:14" x14ac:dyDescent="0.3">
      <c r="A49">
        <v>433</v>
      </c>
      <c r="B49" t="s">
        <v>2124</v>
      </c>
      <c r="C49" t="s">
        <v>2677</v>
      </c>
      <c r="D49" t="s">
        <v>1203</v>
      </c>
      <c r="E49" t="s">
        <v>1204</v>
      </c>
      <c r="F49">
        <v>5488</v>
      </c>
      <c r="G49" t="s">
        <v>2673</v>
      </c>
      <c r="H49" t="s">
        <v>2664</v>
      </c>
      <c r="I49">
        <v>102480</v>
      </c>
      <c r="J49">
        <v>102489</v>
      </c>
      <c r="K49">
        <v>103952</v>
      </c>
      <c r="L49">
        <v>105404</v>
      </c>
      <c r="M49">
        <v>106123</v>
      </c>
      <c r="N49" t="s">
        <v>988</v>
      </c>
    </row>
    <row r="50" spans="1:14" x14ac:dyDescent="0.3">
      <c r="A50">
        <v>495</v>
      </c>
      <c r="B50" t="s">
        <v>1382</v>
      </c>
      <c r="C50" t="s">
        <v>2677</v>
      </c>
      <c r="D50" t="s">
        <v>1203</v>
      </c>
      <c r="E50" t="s">
        <v>1204</v>
      </c>
      <c r="F50">
        <v>5743</v>
      </c>
      <c r="G50" t="s">
        <v>2673</v>
      </c>
      <c r="H50" t="s">
        <v>2665</v>
      </c>
      <c r="I50">
        <v>4356</v>
      </c>
      <c r="J50">
        <v>4356</v>
      </c>
      <c r="K50">
        <v>4356</v>
      </c>
      <c r="L50">
        <v>4356</v>
      </c>
      <c r="N50" t="s">
        <v>988</v>
      </c>
    </row>
    <row r="51" spans="1:14" x14ac:dyDescent="0.3">
      <c r="A51">
        <v>495</v>
      </c>
      <c r="B51" t="s">
        <v>1382</v>
      </c>
      <c r="C51" t="s">
        <v>2677</v>
      </c>
      <c r="D51" t="s">
        <v>1203</v>
      </c>
      <c r="E51" t="s">
        <v>1204</v>
      </c>
      <c r="F51">
        <v>5743</v>
      </c>
      <c r="G51" t="s">
        <v>2671</v>
      </c>
      <c r="H51" t="s">
        <v>2664</v>
      </c>
      <c r="I51">
        <v>4803</v>
      </c>
      <c r="J51">
        <v>4803</v>
      </c>
      <c r="K51">
        <v>4803</v>
      </c>
      <c r="L51">
        <v>4803</v>
      </c>
      <c r="N51" t="s">
        <v>988</v>
      </c>
    </row>
    <row r="52" spans="1:14" x14ac:dyDescent="0.3">
      <c r="A52">
        <v>495</v>
      </c>
      <c r="B52" t="s">
        <v>1382</v>
      </c>
      <c r="C52" t="s">
        <v>2677</v>
      </c>
      <c r="D52" t="s">
        <v>1203</v>
      </c>
      <c r="E52" t="s">
        <v>1204</v>
      </c>
      <c r="F52">
        <v>5743</v>
      </c>
      <c r="G52" t="s">
        <v>2671</v>
      </c>
      <c r="H52" t="s">
        <v>2665</v>
      </c>
      <c r="I52">
        <v>3485</v>
      </c>
      <c r="J52">
        <v>3485</v>
      </c>
      <c r="K52">
        <v>3485</v>
      </c>
      <c r="L52">
        <v>3485</v>
      </c>
      <c r="N52" t="s">
        <v>988</v>
      </c>
    </row>
    <row r="53" spans="1:14" x14ac:dyDescent="0.3">
      <c r="A53">
        <v>495</v>
      </c>
      <c r="B53" t="s">
        <v>1382</v>
      </c>
      <c r="C53" t="s">
        <v>2677</v>
      </c>
      <c r="D53" t="s">
        <v>1203</v>
      </c>
      <c r="E53" t="s">
        <v>1204</v>
      </c>
      <c r="F53">
        <v>5743</v>
      </c>
      <c r="G53" t="s">
        <v>2672</v>
      </c>
      <c r="H53" t="s">
        <v>2664</v>
      </c>
      <c r="N53" t="s">
        <v>988</v>
      </c>
    </row>
    <row r="54" spans="1:14" x14ac:dyDescent="0.3">
      <c r="A54">
        <v>495</v>
      </c>
      <c r="B54" t="s">
        <v>1382</v>
      </c>
      <c r="C54" t="s">
        <v>2677</v>
      </c>
      <c r="D54" t="s">
        <v>1203</v>
      </c>
      <c r="E54" t="s">
        <v>1204</v>
      </c>
      <c r="F54">
        <v>5743</v>
      </c>
      <c r="G54" t="s">
        <v>2672</v>
      </c>
      <c r="H54" t="s">
        <v>2665</v>
      </c>
      <c r="N54" t="s">
        <v>988</v>
      </c>
    </row>
    <row r="55" spans="1:14" x14ac:dyDescent="0.3">
      <c r="A55">
        <v>495</v>
      </c>
      <c r="B55" t="s">
        <v>1382</v>
      </c>
      <c r="C55" t="s">
        <v>2677</v>
      </c>
      <c r="D55" t="s">
        <v>1203</v>
      </c>
      <c r="E55" t="s">
        <v>1204</v>
      </c>
      <c r="F55">
        <v>5743</v>
      </c>
      <c r="G55" t="s">
        <v>2673</v>
      </c>
      <c r="H55" t="s">
        <v>2664</v>
      </c>
      <c r="I55">
        <v>4578</v>
      </c>
      <c r="J55">
        <v>4578</v>
      </c>
      <c r="K55">
        <v>4578</v>
      </c>
      <c r="L55">
        <v>4578</v>
      </c>
      <c r="N55" t="s">
        <v>988</v>
      </c>
    </row>
    <row r="56" spans="1:14" x14ac:dyDescent="0.3">
      <c r="A56">
        <v>495</v>
      </c>
      <c r="B56" t="s">
        <v>1382</v>
      </c>
      <c r="C56" t="s">
        <v>2677</v>
      </c>
      <c r="D56" t="s">
        <v>1203</v>
      </c>
      <c r="E56" t="s">
        <v>1204</v>
      </c>
      <c r="F56">
        <v>5743</v>
      </c>
      <c r="G56" t="s">
        <v>2676</v>
      </c>
      <c r="H56" t="s">
        <v>2664</v>
      </c>
      <c r="I56">
        <v>5103</v>
      </c>
      <c r="J56">
        <v>5103</v>
      </c>
      <c r="K56">
        <v>5103</v>
      </c>
      <c r="L56">
        <v>5103</v>
      </c>
      <c r="N56" t="s">
        <v>988</v>
      </c>
    </row>
    <row r="57" spans="1:14" x14ac:dyDescent="0.3">
      <c r="A57">
        <v>495</v>
      </c>
      <c r="B57" t="s">
        <v>1382</v>
      </c>
      <c r="C57" t="s">
        <v>2677</v>
      </c>
      <c r="D57" t="s">
        <v>1203</v>
      </c>
      <c r="E57" t="s">
        <v>1204</v>
      </c>
      <c r="F57">
        <v>5743</v>
      </c>
      <c r="G57" t="s">
        <v>2676</v>
      </c>
      <c r="H57" t="s">
        <v>2665</v>
      </c>
      <c r="I57">
        <v>4356</v>
      </c>
      <c r="J57">
        <v>4356</v>
      </c>
      <c r="K57">
        <v>4356</v>
      </c>
      <c r="L57">
        <v>4356</v>
      </c>
      <c r="N57" t="s">
        <v>988</v>
      </c>
    </row>
    <row r="58" spans="1:14" x14ac:dyDescent="0.3">
      <c r="A58">
        <v>495</v>
      </c>
      <c r="B58" t="s">
        <v>1382</v>
      </c>
      <c r="C58" t="s">
        <v>2677</v>
      </c>
      <c r="D58" t="s">
        <v>1203</v>
      </c>
      <c r="E58" t="s">
        <v>1204</v>
      </c>
      <c r="F58">
        <v>5743</v>
      </c>
      <c r="G58" t="s">
        <v>2675</v>
      </c>
      <c r="H58" t="s">
        <v>2664</v>
      </c>
      <c r="I58">
        <v>5103</v>
      </c>
      <c r="J58">
        <v>5103</v>
      </c>
      <c r="K58">
        <v>5103</v>
      </c>
      <c r="L58">
        <v>5103</v>
      </c>
      <c r="N58" t="s">
        <v>988</v>
      </c>
    </row>
    <row r="59" spans="1:14" x14ac:dyDescent="0.3">
      <c r="A59">
        <v>495</v>
      </c>
      <c r="B59" t="s">
        <v>1382</v>
      </c>
      <c r="C59" t="s">
        <v>2677</v>
      </c>
      <c r="D59" t="s">
        <v>1203</v>
      </c>
      <c r="E59" t="s">
        <v>1204</v>
      </c>
      <c r="F59">
        <v>5743</v>
      </c>
      <c r="G59" t="s">
        <v>2675</v>
      </c>
      <c r="H59" t="s">
        <v>2665</v>
      </c>
      <c r="I59">
        <v>4356</v>
      </c>
      <c r="J59">
        <v>4356</v>
      </c>
      <c r="K59">
        <v>4356</v>
      </c>
      <c r="L59">
        <v>4356</v>
      </c>
      <c r="N59" t="s">
        <v>988</v>
      </c>
    </row>
    <row r="60" spans="1:14" x14ac:dyDescent="0.3">
      <c r="A60">
        <v>495</v>
      </c>
      <c r="B60" t="s">
        <v>1382</v>
      </c>
      <c r="C60" t="s">
        <v>2677</v>
      </c>
      <c r="D60" t="s">
        <v>1203</v>
      </c>
      <c r="E60" t="s">
        <v>1204</v>
      </c>
      <c r="F60">
        <v>5743</v>
      </c>
      <c r="G60" t="s">
        <v>2674</v>
      </c>
      <c r="H60" t="s">
        <v>2664</v>
      </c>
      <c r="I60">
        <v>5028</v>
      </c>
      <c r="J60">
        <v>5028</v>
      </c>
      <c r="K60">
        <v>5028</v>
      </c>
      <c r="L60">
        <v>5028</v>
      </c>
      <c r="N60" t="s">
        <v>988</v>
      </c>
    </row>
    <row r="61" spans="1:14" x14ac:dyDescent="0.3">
      <c r="A61">
        <v>495</v>
      </c>
      <c r="B61" t="s">
        <v>1382</v>
      </c>
      <c r="C61" t="s">
        <v>2677</v>
      </c>
      <c r="D61" t="s">
        <v>1203</v>
      </c>
      <c r="E61" t="s">
        <v>1204</v>
      </c>
      <c r="F61">
        <v>5743</v>
      </c>
      <c r="G61" t="s">
        <v>2674</v>
      </c>
      <c r="H61" t="s">
        <v>2665</v>
      </c>
      <c r="I61">
        <v>4356</v>
      </c>
      <c r="J61">
        <v>4356</v>
      </c>
      <c r="K61">
        <v>4356</v>
      </c>
      <c r="L61">
        <v>4356</v>
      </c>
      <c r="N61" t="s">
        <v>988</v>
      </c>
    </row>
    <row r="62" spans="1:14" x14ac:dyDescent="0.3">
      <c r="A62">
        <v>510</v>
      </c>
      <c r="B62" t="s">
        <v>2127</v>
      </c>
      <c r="C62" t="s">
        <v>2677</v>
      </c>
      <c r="D62" t="s">
        <v>1203</v>
      </c>
      <c r="E62" t="s">
        <v>1204</v>
      </c>
      <c r="F62">
        <v>5776</v>
      </c>
      <c r="G62" t="s">
        <v>2676</v>
      </c>
      <c r="H62" t="s">
        <v>2665</v>
      </c>
      <c r="I62">
        <v>256250</v>
      </c>
      <c r="J62">
        <v>262705</v>
      </c>
      <c r="K62">
        <v>263736</v>
      </c>
      <c r="L62">
        <v>264774</v>
      </c>
      <c r="M62">
        <v>266072</v>
      </c>
      <c r="N62" t="s">
        <v>988</v>
      </c>
    </row>
    <row r="63" spans="1:14" x14ac:dyDescent="0.3">
      <c r="A63">
        <v>510</v>
      </c>
      <c r="B63" t="s">
        <v>2127</v>
      </c>
      <c r="C63" t="s">
        <v>2677</v>
      </c>
      <c r="D63" t="s">
        <v>1203</v>
      </c>
      <c r="E63" t="s">
        <v>1204</v>
      </c>
      <c r="F63">
        <v>5776</v>
      </c>
      <c r="G63" t="s">
        <v>2675</v>
      </c>
      <c r="H63" t="s">
        <v>2664</v>
      </c>
      <c r="I63">
        <v>308033</v>
      </c>
      <c r="J63">
        <v>313940</v>
      </c>
      <c r="K63">
        <v>319898</v>
      </c>
      <c r="L63">
        <v>325165</v>
      </c>
      <c r="M63">
        <v>328659</v>
      </c>
      <c r="N63" t="s">
        <v>988</v>
      </c>
    </row>
    <row r="64" spans="1:14" x14ac:dyDescent="0.3">
      <c r="A64">
        <v>510</v>
      </c>
      <c r="B64" t="s">
        <v>2127</v>
      </c>
      <c r="C64" t="s">
        <v>2677</v>
      </c>
      <c r="D64" t="s">
        <v>1203</v>
      </c>
      <c r="E64" t="s">
        <v>1204</v>
      </c>
      <c r="F64">
        <v>5776</v>
      </c>
      <c r="G64" t="s">
        <v>2675</v>
      </c>
      <c r="H64" t="s">
        <v>2665</v>
      </c>
      <c r="I64">
        <v>256250</v>
      </c>
      <c r="J64">
        <v>262705</v>
      </c>
      <c r="K64">
        <v>263736</v>
      </c>
      <c r="L64">
        <v>264774</v>
      </c>
      <c r="M64">
        <v>266072</v>
      </c>
      <c r="N64" t="s">
        <v>988</v>
      </c>
    </row>
    <row r="65" spans="1:14" x14ac:dyDescent="0.3">
      <c r="A65">
        <v>510</v>
      </c>
      <c r="B65" t="s">
        <v>2127</v>
      </c>
      <c r="C65" t="s">
        <v>2677</v>
      </c>
      <c r="D65" t="s">
        <v>1203</v>
      </c>
      <c r="E65" t="s">
        <v>1204</v>
      </c>
      <c r="F65">
        <v>5776</v>
      </c>
      <c r="G65" t="s">
        <v>2674</v>
      </c>
      <c r="H65" t="s">
        <v>2664</v>
      </c>
      <c r="I65">
        <v>308033</v>
      </c>
      <c r="J65">
        <v>313940</v>
      </c>
      <c r="K65">
        <v>319898</v>
      </c>
      <c r="L65">
        <v>325165</v>
      </c>
      <c r="M65">
        <v>328659</v>
      </c>
      <c r="N65" t="s">
        <v>988</v>
      </c>
    </row>
    <row r="66" spans="1:14" x14ac:dyDescent="0.3">
      <c r="A66">
        <v>510</v>
      </c>
      <c r="B66" t="s">
        <v>2127</v>
      </c>
      <c r="C66" t="s">
        <v>2677</v>
      </c>
      <c r="D66" t="s">
        <v>1203</v>
      </c>
      <c r="E66" t="s">
        <v>1204</v>
      </c>
      <c r="F66">
        <v>5776</v>
      </c>
      <c r="G66" t="s">
        <v>2674</v>
      </c>
      <c r="H66" t="s">
        <v>2665</v>
      </c>
      <c r="I66">
        <v>256250</v>
      </c>
      <c r="J66">
        <v>262705</v>
      </c>
      <c r="K66">
        <v>263736</v>
      </c>
      <c r="L66">
        <v>264774</v>
      </c>
      <c r="M66">
        <v>266072</v>
      </c>
      <c r="N66" t="s">
        <v>988</v>
      </c>
    </row>
    <row r="67" spans="1:14" x14ac:dyDescent="0.3">
      <c r="A67">
        <v>510</v>
      </c>
      <c r="B67" t="s">
        <v>2127</v>
      </c>
      <c r="C67" t="s">
        <v>2677</v>
      </c>
      <c r="D67" t="s">
        <v>1203</v>
      </c>
      <c r="E67" t="s">
        <v>1204</v>
      </c>
      <c r="F67">
        <v>5776</v>
      </c>
      <c r="G67" t="s">
        <v>2676</v>
      </c>
      <c r="H67" t="s">
        <v>2664</v>
      </c>
      <c r="I67">
        <v>308033</v>
      </c>
      <c r="J67">
        <v>313940</v>
      </c>
      <c r="K67">
        <v>319898</v>
      </c>
      <c r="L67">
        <v>325165</v>
      </c>
      <c r="M67">
        <v>328659</v>
      </c>
      <c r="N67" t="s">
        <v>988</v>
      </c>
    </row>
    <row r="68" spans="1:14" x14ac:dyDescent="0.3">
      <c r="A68">
        <v>510</v>
      </c>
      <c r="B68" t="s">
        <v>2127</v>
      </c>
      <c r="C68" t="s">
        <v>2677</v>
      </c>
      <c r="D68" t="s">
        <v>1203</v>
      </c>
      <c r="E68" t="s">
        <v>1204</v>
      </c>
      <c r="F68">
        <v>5776</v>
      </c>
      <c r="G68" t="s">
        <v>2672</v>
      </c>
      <c r="H68" t="s">
        <v>2664</v>
      </c>
      <c r="I68">
        <v>308033</v>
      </c>
      <c r="J68">
        <v>313940</v>
      </c>
      <c r="K68">
        <v>319898</v>
      </c>
      <c r="L68">
        <v>325165</v>
      </c>
      <c r="M68">
        <v>328659</v>
      </c>
      <c r="N68" t="s">
        <v>988</v>
      </c>
    </row>
    <row r="69" spans="1:14" x14ac:dyDescent="0.3">
      <c r="A69">
        <v>510</v>
      </c>
      <c r="B69" t="s">
        <v>2127</v>
      </c>
      <c r="C69" t="s">
        <v>2677</v>
      </c>
      <c r="D69" t="s">
        <v>1203</v>
      </c>
      <c r="E69" t="s">
        <v>1204</v>
      </c>
      <c r="F69">
        <v>5776</v>
      </c>
      <c r="G69" t="s">
        <v>2671</v>
      </c>
      <c r="H69" t="s">
        <v>2665</v>
      </c>
      <c r="I69">
        <v>256250</v>
      </c>
      <c r="J69">
        <v>262705</v>
      </c>
      <c r="K69">
        <v>263736</v>
      </c>
      <c r="L69">
        <v>264774</v>
      </c>
      <c r="M69">
        <v>266072</v>
      </c>
      <c r="N69" t="s">
        <v>988</v>
      </c>
    </row>
    <row r="70" spans="1:14" x14ac:dyDescent="0.3">
      <c r="A70">
        <v>510</v>
      </c>
      <c r="B70" t="s">
        <v>2127</v>
      </c>
      <c r="C70" t="s">
        <v>2677</v>
      </c>
      <c r="D70" t="s">
        <v>1203</v>
      </c>
      <c r="E70" t="s">
        <v>1204</v>
      </c>
      <c r="F70">
        <v>5776</v>
      </c>
      <c r="G70" t="s">
        <v>2671</v>
      </c>
      <c r="H70" t="s">
        <v>2664</v>
      </c>
      <c r="I70">
        <v>308033</v>
      </c>
      <c r="J70">
        <v>313940</v>
      </c>
      <c r="K70">
        <v>319898</v>
      </c>
      <c r="L70">
        <v>325165</v>
      </c>
      <c r="M70">
        <v>328659</v>
      </c>
      <c r="N70" t="s">
        <v>988</v>
      </c>
    </row>
    <row r="71" spans="1:14" x14ac:dyDescent="0.3">
      <c r="A71">
        <v>510</v>
      </c>
      <c r="B71" t="s">
        <v>2127</v>
      </c>
      <c r="C71" t="s">
        <v>2677</v>
      </c>
      <c r="D71" t="s">
        <v>1203</v>
      </c>
      <c r="E71" t="s">
        <v>1204</v>
      </c>
      <c r="F71">
        <v>5776</v>
      </c>
      <c r="G71" t="s">
        <v>2673</v>
      </c>
      <c r="H71" t="s">
        <v>2665</v>
      </c>
      <c r="I71">
        <v>256250</v>
      </c>
      <c r="J71">
        <v>262705</v>
      </c>
      <c r="K71">
        <v>263736</v>
      </c>
      <c r="L71">
        <v>264774</v>
      </c>
      <c r="M71">
        <v>266072</v>
      </c>
      <c r="N71" t="s">
        <v>988</v>
      </c>
    </row>
    <row r="72" spans="1:14" x14ac:dyDescent="0.3">
      <c r="A72">
        <v>510</v>
      </c>
      <c r="B72" t="s">
        <v>2127</v>
      </c>
      <c r="C72" t="s">
        <v>2677</v>
      </c>
      <c r="D72" t="s">
        <v>1203</v>
      </c>
      <c r="E72" t="s">
        <v>1204</v>
      </c>
      <c r="F72">
        <v>5776</v>
      </c>
      <c r="G72" t="s">
        <v>2673</v>
      </c>
      <c r="H72" t="s">
        <v>2664</v>
      </c>
      <c r="I72">
        <v>308033</v>
      </c>
      <c r="J72">
        <v>313940</v>
      </c>
      <c r="K72">
        <v>319898</v>
      </c>
      <c r="L72">
        <v>325165</v>
      </c>
      <c r="M72">
        <v>328659</v>
      </c>
      <c r="N72" t="s">
        <v>988</v>
      </c>
    </row>
    <row r="73" spans="1:14" x14ac:dyDescent="0.3">
      <c r="A73">
        <v>510</v>
      </c>
      <c r="B73" t="s">
        <v>2127</v>
      </c>
      <c r="C73" t="s">
        <v>2677</v>
      </c>
      <c r="D73" t="s">
        <v>1203</v>
      </c>
      <c r="E73" t="s">
        <v>1204</v>
      </c>
      <c r="F73">
        <v>5776</v>
      </c>
      <c r="G73" t="s">
        <v>2672</v>
      </c>
      <c r="H73" t="s">
        <v>2665</v>
      </c>
      <c r="I73">
        <v>256250</v>
      </c>
      <c r="J73">
        <v>262705</v>
      </c>
      <c r="K73">
        <v>263736</v>
      </c>
      <c r="L73">
        <v>264774</v>
      </c>
      <c r="M73">
        <v>266072</v>
      </c>
      <c r="N73" t="s">
        <v>988</v>
      </c>
    </row>
    <row r="74" spans="1:14" x14ac:dyDescent="0.3">
      <c r="A74">
        <v>514</v>
      </c>
      <c r="B74" t="s">
        <v>2131</v>
      </c>
      <c r="C74" t="s">
        <v>2677</v>
      </c>
      <c r="D74" t="s">
        <v>1203</v>
      </c>
      <c r="E74" t="s">
        <v>1204</v>
      </c>
      <c r="F74">
        <v>5787</v>
      </c>
      <c r="G74" t="s">
        <v>2671</v>
      </c>
      <c r="H74" t="s">
        <v>2664</v>
      </c>
      <c r="I74">
        <v>7771</v>
      </c>
      <c r="J74">
        <v>8064</v>
      </c>
      <c r="K74">
        <v>8357</v>
      </c>
      <c r="L74">
        <v>8651</v>
      </c>
      <c r="M74">
        <v>8944</v>
      </c>
      <c r="N74" t="s">
        <v>988</v>
      </c>
    </row>
    <row r="75" spans="1:14" x14ac:dyDescent="0.3">
      <c r="A75">
        <v>514</v>
      </c>
      <c r="B75" t="s">
        <v>2131</v>
      </c>
      <c r="C75" t="s">
        <v>2677</v>
      </c>
      <c r="D75" t="s">
        <v>1203</v>
      </c>
      <c r="E75" t="s">
        <v>1204</v>
      </c>
      <c r="F75">
        <v>5787</v>
      </c>
      <c r="G75" t="s">
        <v>2673</v>
      </c>
      <c r="H75" t="s">
        <v>2665</v>
      </c>
      <c r="I75">
        <v>10557</v>
      </c>
      <c r="J75">
        <v>10117</v>
      </c>
      <c r="K75">
        <v>9677</v>
      </c>
      <c r="L75">
        <v>9237</v>
      </c>
      <c r="M75">
        <v>8797</v>
      </c>
      <c r="N75" t="s">
        <v>988</v>
      </c>
    </row>
    <row r="76" spans="1:14" x14ac:dyDescent="0.3">
      <c r="A76">
        <v>514</v>
      </c>
      <c r="B76" t="s">
        <v>2131</v>
      </c>
      <c r="C76" t="s">
        <v>2677</v>
      </c>
      <c r="D76" t="s">
        <v>1203</v>
      </c>
      <c r="E76" t="s">
        <v>1204</v>
      </c>
      <c r="F76">
        <v>5787</v>
      </c>
      <c r="G76" t="s">
        <v>2673</v>
      </c>
      <c r="H76" t="s">
        <v>2664</v>
      </c>
      <c r="I76">
        <v>10557</v>
      </c>
      <c r="J76">
        <v>10117</v>
      </c>
      <c r="K76">
        <v>9677</v>
      </c>
      <c r="L76">
        <v>9237</v>
      </c>
      <c r="M76">
        <v>8797</v>
      </c>
      <c r="N76" t="s">
        <v>988</v>
      </c>
    </row>
    <row r="77" spans="1:14" x14ac:dyDescent="0.3">
      <c r="A77">
        <v>514</v>
      </c>
      <c r="B77" t="s">
        <v>2131</v>
      </c>
      <c r="C77" t="s">
        <v>2677</v>
      </c>
      <c r="D77" t="s">
        <v>1203</v>
      </c>
      <c r="E77" t="s">
        <v>1204</v>
      </c>
      <c r="F77">
        <v>5787</v>
      </c>
      <c r="G77" t="s">
        <v>2674</v>
      </c>
      <c r="H77" t="s">
        <v>2665</v>
      </c>
      <c r="I77">
        <v>6158</v>
      </c>
      <c r="J77">
        <v>6158</v>
      </c>
      <c r="K77">
        <v>6158</v>
      </c>
      <c r="L77">
        <v>6158</v>
      </c>
      <c r="M77">
        <v>6158</v>
      </c>
      <c r="N77" t="s">
        <v>988</v>
      </c>
    </row>
    <row r="78" spans="1:14" x14ac:dyDescent="0.3">
      <c r="A78">
        <v>514</v>
      </c>
      <c r="B78" t="s">
        <v>2131</v>
      </c>
      <c r="C78" t="s">
        <v>2677</v>
      </c>
      <c r="D78" t="s">
        <v>1203</v>
      </c>
      <c r="E78" t="s">
        <v>1204</v>
      </c>
      <c r="F78">
        <v>5787</v>
      </c>
      <c r="G78" t="s">
        <v>2674</v>
      </c>
      <c r="H78" t="s">
        <v>2664</v>
      </c>
      <c r="I78">
        <v>6158</v>
      </c>
      <c r="J78">
        <v>6158</v>
      </c>
      <c r="K78">
        <v>6158</v>
      </c>
      <c r="L78">
        <v>6158</v>
      </c>
      <c r="M78">
        <v>6158</v>
      </c>
      <c r="N78" t="s">
        <v>988</v>
      </c>
    </row>
    <row r="79" spans="1:14" x14ac:dyDescent="0.3">
      <c r="A79">
        <v>514</v>
      </c>
      <c r="B79" t="s">
        <v>2131</v>
      </c>
      <c r="C79" t="s">
        <v>2677</v>
      </c>
      <c r="D79" t="s">
        <v>1203</v>
      </c>
      <c r="E79" t="s">
        <v>1204</v>
      </c>
      <c r="F79">
        <v>5787</v>
      </c>
      <c r="G79" t="s">
        <v>2675</v>
      </c>
      <c r="H79" t="s">
        <v>2665</v>
      </c>
      <c r="I79">
        <v>4838</v>
      </c>
      <c r="J79">
        <v>4838</v>
      </c>
      <c r="K79">
        <v>4838</v>
      </c>
      <c r="L79">
        <v>4838</v>
      </c>
      <c r="M79">
        <v>4838</v>
      </c>
      <c r="N79" t="s">
        <v>988</v>
      </c>
    </row>
    <row r="80" spans="1:14" x14ac:dyDescent="0.3">
      <c r="A80">
        <v>514</v>
      </c>
      <c r="B80" t="s">
        <v>2131</v>
      </c>
      <c r="C80" t="s">
        <v>2677</v>
      </c>
      <c r="D80" t="s">
        <v>1203</v>
      </c>
      <c r="E80" t="s">
        <v>1204</v>
      </c>
      <c r="F80">
        <v>5787</v>
      </c>
      <c r="G80" t="s">
        <v>2675</v>
      </c>
      <c r="H80" t="s">
        <v>2664</v>
      </c>
      <c r="I80">
        <v>4838</v>
      </c>
      <c r="J80">
        <v>4838</v>
      </c>
      <c r="K80">
        <v>4838</v>
      </c>
      <c r="L80">
        <v>4838</v>
      </c>
      <c r="M80">
        <v>4838</v>
      </c>
      <c r="N80" t="s">
        <v>988</v>
      </c>
    </row>
    <row r="81" spans="1:14" x14ac:dyDescent="0.3">
      <c r="A81">
        <v>514</v>
      </c>
      <c r="B81" t="s">
        <v>2131</v>
      </c>
      <c r="C81" t="s">
        <v>2677</v>
      </c>
      <c r="D81" t="s">
        <v>1203</v>
      </c>
      <c r="E81" t="s">
        <v>1204</v>
      </c>
      <c r="F81">
        <v>5787</v>
      </c>
      <c r="G81" t="s">
        <v>2676</v>
      </c>
      <c r="H81" t="s">
        <v>2665</v>
      </c>
      <c r="I81">
        <v>4838</v>
      </c>
      <c r="J81">
        <v>4838</v>
      </c>
      <c r="K81">
        <v>4838</v>
      </c>
      <c r="L81">
        <v>4838</v>
      </c>
      <c r="M81">
        <v>4838</v>
      </c>
      <c r="N81" t="s">
        <v>988</v>
      </c>
    </row>
    <row r="82" spans="1:14" x14ac:dyDescent="0.3">
      <c r="A82">
        <v>514</v>
      </c>
      <c r="B82" t="s">
        <v>2131</v>
      </c>
      <c r="C82" t="s">
        <v>2677</v>
      </c>
      <c r="D82" t="s">
        <v>1203</v>
      </c>
      <c r="E82" t="s">
        <v>1204</v>
      </c>
      <c r="F82">
        <v>5787</v>
      </c>
      <c r="G82" t="s">
        <v>2676</v>
      </c>
      <c r="H82" t="s">
        <v>2664</v>
      </c>
      <c r="I82">
        <v>4838</v>
      </c>
      <c r="J82">
        <v>4838</v>
      </c>
      <c r="K82">
        <v>4838</v>
      </c>
      <c r="L82">
        <v>4838</v>
      </c>
      <c r="M82">
        <v>4838</v>
      </c>
      <c r="N82" t="s">
        <v>988</v>
      </c>
    </row>
    <row r="83" spans="1:14" x14ac:dyDescent="0.3">
      <c r="A83">
        <v>514</v>
      </c>
      <c r="B83" t="s">
        <v>2131</v>
      </c>
      <c r="C83" t="s">
        <v>2677</v>
      </c>
      <c r="D83" t="s">
        <v>1203</v>
      </c>
      <c r="E83" t="s">
        <v>1204</v>
      </c>
      <c r="F83">
        <v>5787</v>
      </c>
      <c r="G83" t="s">
        <v>2672</v>
      </c>
      <c r="H83" t="s">
        <v>2665</v>
      </c>
      <c r="N83" t="s">
        <v>988</v>
      </c>
    </row>
    <row r="84" spans="1:14" x14ac:dyDescent="0.3">
      <c r="A84">
        <v>514</v>
      </c>
      <c r="B84" t="s">
        <v>2131</v>
      </c>
      <c r="C84" t="s">
        <v>2677</v>
      </c>
      <c r="D84" t="s">
        <v>1203</v>
      </c>
      <c r="E84" t="s">
        <v>1204</v>
      </c>
      <c r="F84">
        <v>5787</v>
      </c>
      <c r="G84" t="s">
        <v>2672</v>
      </c>
      <c r="H84" t="s">
        <v>2664</v>
      </c>
      <c r="N84" t="s">
        <v>988</v>
      </c>
    </row>
    <row r="85" spans="1:14" x14ac:dyDescent="0.3">
      <c r="A85">
        <v>514</v>
      </c>
      <c r="B85" t="s">
        <v>2131</v>
      </c>
      <c r="C85" t="s">
        <v>2677</v>
      </c>
      <c r="D85" t="s">
        <v>1203</v>
      </c>
      <c r="E85" t="s">
        <v>1204</v>
      </c>
      <c r="F85">
        <v>5787</v>
      </c>
      <c r="G85" t="s">
        <v>2671</v>
      </c>
      <c r="H85" t="s">
        <v>2665</v>
      </c>
      <c r="I85">
        <v>7771</v>
      </c>
      <c r="J85">
        <v>8064</v>
      </c>
      <c r="K85">
        <v>8357</v>
      </c>
      <c r="L85">
        <v>8651</v>
      </c>
      <c r="M85">
        <v>8944</v>
      </c>
      <c r="N85" t="s">
        <v>988</v>
      </c>
    </row>
    <row r="86" spans="1:14" x14ac:dyDescent="0.3">
      <c r="A86">
        <v>546</v>
      </c>
      <c r="B86" t="s">
        <v>2133</v>
      </c>
      <c r="C86" t="s">
        <v>2677</v>
      </c>
      <c r="D86" t="s">
        <v>1203</v>
      </c>
      <c r="E86" t="s">
        <v>1204</v>
      </c>
      <c r="F86">
        <v>5541</v>
      </c>
      <c r="G86" t="s">
        <v>2672</v>
      </c>
      <c r="H86" t="s">
        <v>2665</v>
      </c>
      <c r="N86" t="s">
        <v>988</v>
      </c>
    </row>
    <row r="87" spans="1:14" x14ac:dyDescent="0.3">
      <c r="A87">
        <v>546</v>
      </c>
      <c r="B87" t="s">
        <v>2133</v>
      </c>
      <c r="C87" t="s">
        <v>2677</v>
      </c>
      <c r="D87" t="s">
        <v>1203</v>
      </c>
      <c r="E87" t="s">
        <v>1204</v>
      </c>
      <c r="F87">
        <v>5541</v>
      </c>
      <c r="G87" t="s">
        <v>2672</v>
      </c>
      <c r="H87" t="s">
        <v>2664</v>
      </c>
      <c r="N87" t="s">
        <v>988</v>
      </c>
    </row>
    <row r="88" spans="1:14" x14ac:dyDescent="0.3">
      <c r="A88">
        <v>546</v>
      </c>
      <c r="B88" t="s">
        <v>2133</v>
      </c>
      <c r="C88" t="s">
        <v>2677</v>
      </c>
      <c r="D88" t="s">
        <v>1203</v>
      </c>
      <c r="E88" t="s">
        <v>1204</v>
      </c>
      <c r="F88">
        <v>5541</v>
      </c>
      <c r="G88" t="s">
        <v>2676</v>
      </c>
      <c r="H88" t="s">
        <v>2664</v>
      </c>
      <c r="I88">
        <v>40000</v>
      </c>
      <c r="J88">
        <v>40000</v>
      </c>
      <c r="K88">
        <v>40000</v>
      </c>
      <c r="L88">
        <v>40000</v>
      </c>
      <c r="M88">
        <v>40000</v>
      </c>
      <c r="N88" t="s">
        <v>988</v>
      </c>
    </row>
    <row r="89" spans="1:14" x14ac:dyDescent="0.3">
      <c r="A89">
        <v>546</v>
      </c>
      <c r="B89" t="s">
        <v>2133</v>
      </c>
      <c r="C89" t="s">
        <v>2677</v>
      </c>
      <c r="D89" t="s">
        <v>1203</v>
      </c>
      <c r="E89" t="s">
        <v>1204</v>
      </c>
      <c r="F89">
        <v>5541</v>
      </c>
      <c r="G89" t="s">
        <v>2676</v>
      </c>
      <c r="H89" t="s">
        <v>2665</v>
      </c>
      <c r="I89">
        <v>40000</v>
      </c>
      <c r="J89">
        <v>40000</v>
      </c>
      <c r="K89">
        <v>40000</v>
      </c>
      <c r="L89">
        <v>40000</v>
      </c>
      <c r="M89">
        <v>40000</v>
      </c>
      <c r="N89" t="s">
        <v>988</v>
      </c>
    </row>
    <row r="90" spans="1:14" x14ac:dyDescent="0.3">
      <c r="A90">
        <v>546</v>
      </c>
      <c r="B90" t="s">
        <v>2133</v>
      </c>
      <c r="C90" t="s">
        <v>2677</v>
      </c>
      <c r="D90" t="s">
        <v>1203</v>
      </c>
      <c r="E90" t="s">
        <v>1204</v>
      </c>
      <c r="F90">
        <v>5541</v>
      </c>
      <c r="G90" t="s">
        <v>2675</v>
      </c>
      <c r="H90" t="s">
        <v>2664</v>
      </c>
      <c r="I90">
        <v>40000</v>
      </c>
      <c r="J90">
        <v>40000</v>
      </c>
      <c r="K90">
        <v>40000</v>
      </c>
      <c r="L90">
        <v>40000</v>
      </c>
      <c r="M90">
        <v>40000</v>
      </c>
      <c r="N90" t="s">
        <v>988</v>
      </c>
    </row>
    <row r="91" spans="1:14" x14ac:dyDescent="0.3">
      <c r="A91">
        <v>546</v>
      </c>
      <c r="B91" t="s">
        <v>2133</v>
      </c>
      <c r="C91" t="s">
        <v>2677</v>
      </c>
      <c r="D91" t="s">
        <v>1203</v>
      </c>
      <c r="E91" t="s">
        <v>1204</v>
      </c>
      <c r="F91">
        <v>5541</v>
      </c>
      <c r="G91" t="s">
        <v>2675</v>
      </c>
      <c r="H91" t="s">
        <v>2665</v>
      </c>
      <c r="I91">
        <v>40000</v>
      </c>
      <c r="J91">
        <v>40000</v>
      </c>
      <c r="K91">
        <v>40000</v>
      </c>
      <c r="L91">
        <v>40000</v>
      </c>
      <c r="M91">
        <v>40000</v>
      </c>
      <c r="N91" t="s">
        <v>988</v>
      </c>
    </row>
    <row r="92" spans="1:14" x14ac:dyDescent="0.3">
      <c r="A92">
        <v>546</v>
      </c>
      <c r="B92" t="s">
        <v>2133</v>
      </c>
      <c r="C92" t="s">
        <v>2677</v>
      </c>
      <c r="D92" t="s">
        <v>1203</v>
      </c>
      <c r="E92" t="s">
        <v>1204</v>
      </c>
      <c r="F92">
        <v>5541</v>
      </c>
      <c r="G92" t="s">
        <v>2674</v>
      </c>
      <c r="H92" t="s">
        <v>2664</v>
      </c>
      <c r="I92">
        <v>40000</v>
      </c>
      <c r="J92">
        <v>40000</v>
      </c>
      <c r="K92">
        <v>40000</v>
      </c>
      <c r="L92">
        <v>40000</v>
      </c>
      <c r="M92">
        <v>40000</v>
      </c>
      <c r="N92" t="s">
        <v>988</v>
      </c>
    </row>
    <row r="93" spans="1:14" x14ac:dyDescent="0.3">
      <c r="A93">
        <v>546</v>
      </c>
      <c r="B93" t="s">
        <v>2133</v>
      </c>
      <c r="C93" t="s">
        <v>2677</v>
      </c>
      <c r="D93" t="s">
        <v>1203</v>
      </c>
      <c r="E93" t="s">
        <v>1204</v>
      </c>
      <c r="F93">
        <v>5541</v>
      </c>
      <c r="G93" t="s">
        <v>2674</v>
      </c>
      <c r="H93" t="s">
        <v>2665</v>
      </c>
      <c r="I93">
        <v>40000</v>
      </c>
      <c r="J93">
        <v>40000</v>
      </c>
      <c r="K93">
        <v>40000</v>
      </c>
      <c r="L93">
        <v>40000</v>
      </c>
      <c r="M93">
        <v>40000</v>
      </c>
      <c r="N93" t="s">
        <v>988</v>
      </c>
    </row>
    <row r="94" spans="1:14" x14ac:dyDescent="0.3">
      <c r="A94">
        <v>546</v>
      </c>
      <c r="B94" t="s">
        <v>2133</v>
      </c>
      <c r="C94" t="s">
        <v>2677</v>
      </c>
      <c r="D94" t="s">
        <v>1203</v>
      </c>
      <c r="E94" t="s">
        <v>1204</v>
      </c>
      <c r="F94">
        <v>5541</v>
      </c>
      <c r="G94" t="s">
        <v>2673</v>
      </c>
      <c r="H94" t="s">
        <v>2664</v>
      </c>
      <c r="I94">
        <v>40000</v>
      </c>
      <c r="J94">
        <v>40000</v>
      </c>
      <c r="K94">
        <v>40000</v>
      </c>
      <c r="L94">
        <v>40000</v>
      </c>
      <c r="M94">
        <v>40000</v>
      </c>
      <c r="N94" t="s">
        <v>988</v>
      </c>
    </row>
    <row r="95" spans="1:14" x14ac:dyDescent="0.3">
      <c r="A95">
        <v>546</v>
      </c>
      <c r="B95" t="s">
        <v>2133</v>
      </c>
      <c r="C95" t="s">
        <v>2677</v>
      </c>
      <c r="D95" t="s">
        <v>1203</v>
      </c>
      <c r="E95" t="s">
        <v>1204</v>
      </c>
      <c r="F95">
        <v>5541</v>
      </c>
      <c r="G95" t="s">
        <v>2673</v>
      </c>
      <c r="H95" t="s">
        <v>2665</v>
      </c>
      <c r="I95">
        <v>40000</v>
      </c>
      <c r="J95">
        <v>40000</v>
      </c>
      <c r="K95">
        <v>40000</v>
      </c>
      <c r="L95">
        <v>40000</v>
      </c>
      <c r="M95">
        <v>40000</v>
      </c>
      <c r="N95" t="s">
        <v>988</v>
      </c>
    </row>
    <row r="96" spans="1:14" x14ac:dyDescent="0.3">
      <c r="A96">
        <v>546</v>
      </c>
      <c r="B96" t="s">
        <v>2133</v>
      </c>
      <c r="C96" t="s">
        <v>2677</v>
      </c>
      <c r="D96" t="s">
        <v>1203</v>
      </c>
      <c r="E96" t="s">
        <v>1204</v>
      </c>
      <c r="F96">
        <v>5541</v>
      </c>
      <c r="G96" t="s">
        <v>2671</v>
      </c>
      <c r="H96" t="s">
        <v>2664</v>
      </c>
      <c r="I96">
        <v>40000</v>
      </c>
      <c r="J96">
        <v>40000</v>
      </c>
      <c r="K96">
        <v>40000</v>
      </c>
      <c r="L96">
        <v>40000</v>
      </c>
      <c r="M96">
        <v>40000</v>
      </c>
      <c r="N96" t="s">
        <v>988</v>
      </c>
    </row>
    <row r="97" spans="1:14" x14ac:dyDescent="0.3">
      <c r="A97">
        <v>546</v>
      </c>
      <c r="B97" t="s">
        <v>2133</v>
      </c>
      <c r="C97" t="s">
        <v>2677</v>
      </c>
      <c r="D97" t="s">
        <v>1203</v>
      </c>
      <c r="E97" t="s">
        <v>1204</v>
      </c>
      <c r="F97">
        <v>5541</v>
      </c>
      <c r="G97" t="s">
        <v>2671</v>
      </c>
      <c r="H97" t="s">
        <v>2665</v>
      </c>
      <c r="I97">
        <v>40000</v>
      </c>
      <c r="J97">
        <v>40000</v>
      </c>
      <c r="K97">
        <v>40000</v>
      </c>
      <c r="L97">
        <v>40000</v>
      </c>
      <c r="M97">
        <v>40000</v>
      </c>
      <c r="N97" t="s">
        <v>988</v>
      </c>
    </row>
    <row r="98" spans="1:14" x14ac:dyDescent="0.3">
      <c r="A98">
        <v>613</v>
      </c>
      <c r="B98" t="s">
        <v>804</v>
      </c>
      <c r="C98" t="s">
        <v>2677</v>
      </c>
      <c r="D98" t="s">
        <v>1203</v>
      </c>
      <c r="E98" t="s">
        <v>1204</v>
      </c>
      <c r="F98">
        <v>5673</v>
      </c>
      <c r="G98" t="s">
        <v>2672</v>
      </c>
      <c r="H98" t="s">
        <v>2665</v>
      </c>
      <c r="N98" t="s">
        <v>988</v>
      </c>
    </row>
    <row r="99" spans="1:14" x14ac:dyDescent="0.3">
      <c r="A99">
        <v>613</v>
      </c>
      <c r="B99" t="s">
        <v>804</v>
      </c>
      <c r="C99" t="s">
        <v>2677</v>
      </c>
      <c r="D99" t="s">
        <v>1203</v>
      </c>
      <c r="E99" t="s">
        <v>1204</v>
      </c>
      <c r="F99">
        <v>5673</v>
      </c>
      <c r="G99" t="s">
        <v>2676</v>
      </c>
      <c r="H99" t="s">
        <v>2665</v>
      </c>
      <c r="I99">
        <v>147300</v>
      </c>
      <c r="J99">
        <v>157300</v>
      </c>
      <c r="K99">
        <v>165000</v>
      </c>
      <c r="L99">
        <v>171300</v>
      </c>
      <c r="M99">
        <v>175900</v>
      </c>
      <c r="N99" t="s">
        <v>988</v>
      </c>
    </row>
    <row r="100" spans="1:14" x14ac:dyDescent="0.3">
      <c r="A100">
        <v>613</v>
      </c>
      <c r="B100" t="s">
        <v>804</v>
      </c>
      <c r="C100" t="s">
        <v>2677</v>
      </c>
      <c r="D100" t="s">
        <v>1203</v>
      </c>
      <c r="E100" t="s">
        <v>1204</v>
      </c>
      <c r="F100">
        <v>5673</v>
      </c>
      <c r="G100" t="s">
        <v>2675</v>
      </c>
      <c r="H100" t="s">
        <v>2664</v>
      </c>
      <c r="I100">
        <v>166400</v>
      </c>
      <c r="J100">
        <v>181500</v>
      </c>
      <c r="K100">
        <v>185400</v>
      </c>
      <c r="L100">
        <v>186500</v>
      </c>
      <c r="M100">
        <v>187200</v>
      </c>
      <c r="N100" t="s">
        <v>988</v>
      </c>
    </row>
    <row r="101" spans="1:14" x14ac:dyDescent="0.3">
      <c r="A101">
        <v>613</v>
      </c>
      <c r="B101" t="s">
        <v>804</v>
      </c>
      <c r="C101" t="s">
        <v>2677</v>
      </c>
      <c r="D101" t="s">
        <v>1203</v>
      </c>
      <c r="E101" t="s">
        <v>1204</v>
      </c>
      <c r="F101">
        <v>5673</v>
      </c>
      <c r="G101" t="s">
        <v>2675</v>
      </c>
      <c r="H101" t="s">
        <v>2665</v>
      </c>
      <c r="I101">
        <v>147300</v>
      </c>
      <c r="J101">
        <v>157300</v>
      </c>
      <c r="K101">
        <v>165000</v>
      </c>
      <c r="L101">
        <v>171300</v>
      </c>
      <c r="M101">
        <v>175900</v>
      </c>
      <c r="N101" t="s">
        <v>988</v>
      </c>
    </row>
    <row r="102" spans="1:14" x14ac:dyDescent="0.3">
      <c r="A102">
        <v>613</v>
      </c>
      <c r="B102" t="s">
        <v>804</v>
      </c>
      <c r="C102" t="s">
        <v>2677</v>
      </c>
      <c r="D102" t="s">
        <v>1203</v>
      </c>
      <c r="E102" t="s">
        <v>1204</v>
      </c>
      <c r="F102">
        <v>5673</v>
      </c>
      <c r="G102" t="s">
        <v>2674</v>
      </c>
      <c r="H102" t="s">
        <v>2664</v>
      </c>
      <c r="I102">
        <v>148000</v>
      </c>
      <c r="J102">
        <v>161700</v>
      </c>
      <c r="K102">
        <v>165300</v>
      </c>
      <c r="L102">
        <v>171300</v>
      </c>
      <c r="M102">
        <v>175900</v>
      </c>
      <c r="N102" t="s">
        <v>988</v>
      </c>
    </row>
    <row r="103" spans="1:14" x14ac:dyDescent="0.3">
      <c r="A103">
        <v>613</v>
      </c>
      <c r="B103" t="s">
        <v>804</v>
      </c>
      <c r="C103" t="s">
        <v>2677</v>
      </c>
      <c r="D103" t="s">
        <v>1203</v>
      </c>
      <c r="E103" t="s">
        <v>1204</v>
      </c>
      <c r="F103">
        <v>5673</v>
      </c>
      <c r="G103" t="s">
        <v>2676</v>
      </c>
      <c r="H103" t="s">
        <v>2664</v>
      </c>
      <c r="I103">
        <v>175900</v>
      </c>
      <c r="J103">
        <v>191700</v>
      </c>
      <c r="K103">
        <v>195800</v>
      </c>
      <c r="L103">
        <v>196900</v>
      </c>
      <c r="M103">
        <v>197600</v>
      </c>
      <c r="N103" t="s">
        <v>988</v>
      </c>
    </row>
    <row r="104" spans="1:14" x14ac:dyDescent="0.3">
      <c r="A104">
        <v>613</v>
      </c>
      <c r="B104" t="s">
        <v>804</v>
      </c>
      <c r="C104" t="s">
        <v>2677</v>
      </c>
      <c r="D104" t="s">
        <v>1203</v>
      </c>
      <c r="E104" t="s">
        <v>1204</v>
      </c>
      <c r="F104">
        <v>5673</v>
      </c>
      <c r="G104" t="s">
        <v>2673</v>
      </c>
      <c r="H104" t="s">
        <v>2664</v>
      </c>
      <c r="I104">
        <v>147300</v>
      </c>
      <c r="J104">
        <v>157300</v>
      </c>
      <c r="K104">
        <v>165000</v>
      </c>
      <c r="L104">
        <v>171300</v>
      </c>
      <c r="M104">
        <v>175900</v>
      </c>
      <c r="N104" t="s">
        <v>988</v>
      </c>
    </row>
    <row r="105" spans="1:14" x14ac:dyDescent="0.3">
      <c r="A105">
        <v>613</v>
      </c>
      <c r="B105" t="s">
        <v>804</v>
      </c>
      <c r="C105" t="s">
        <v>2677</v>
      </c>
      <c r="D105" t="s">
        <v>1203</v>
      </c>
      <c r="E105" t="s">
        <v>1204</v>
      </c>
      <c r="F105">
        <v>5673</v>
      </c>
      <c r="G105" t="s">
        <v>2673</v>
      </c>
      <c r="H105" t="s">
        <v>2665</v>
      </c>
      <c r="I105">
        <v>147300</v>
      </c>
      <c r="J105">
        <v>157300</v>
      </c>
      <c r="K105">
        <v>165000</v>
      </c>
      <c r="L105">
        <v>171300</v>
      </c>
      <c r="M105">
        <v>175900</v>
      </c>
      <c r="N105" t="s">
        <v>988</v>
      </c>
    </row>
    <row r="106" spans="1:14" x14ac:dyDescent="0.3">
      <c r="A106">
        <v>613</v>
      </c>
      <c r="B106" t="s">
        <v>804</v>
      </c>
      <c r="C106" t="s">
        <v>2677</v>
      </c>
      <c r="D106" t="s">
        <v>1203</v>
      </c>
      <c r="E106" t="s">
        <v>1204</v>
      </c>
      <c r="F106">
        <v>5673</v>
      </c>
      <c r="G106" t="s">
        <v>2671</v>
      </c>
      <c r="H106" t="s">
        <v>2664</v>
      </c>
      <c r="I106">
        <v>147300</v>
      </c>
      <c r="J106">
        <v>157300</v>
      </c>
      <c r="K106">
        <v>165000</v>
      </c>
      <c r="L106">
        <v>171300</v>
      </c>
      <c r="M106">
        <v>175900</v>
      </c>
      <c r="N106" t="s">
        <v>988</v>
      </c>
    </row>
    <row r="107" spans="1:14" x14ac:dyDescent="0.3">
      <c r="A107">
        <v>613</v>
      </c>
      <c r="B107" t="s">
        <v>804</v>
      </c>
      <c r="C107" t="s">
        <v>2677</v>
      </c>
      <c r="D107" t="s">
        <v>1203</v>
      </c>
      <c r="E107" t="s">
        <v>1204</v>
      </c>
      <c r="F107">
        <v>5673</v>
      </c>
      <c r="G107" t="s">
        <v>2671</v>
      </c>
      <c r="H107" t="s">
        <v>2665</v>
      </c>
      <c r="I107">
        <v>147300</v>
      </c>
      <c r="J107">
        <v>157300</v>
      </c>
      <c r="K107">
        <v>165000</v>
      </c>
      <c r="L107">
        <v>171300</v>
      </c>
      <c r="M107">
        <v>175900</v>
      </c>
      <c r="N107" t="s">
        <v>988</v>
      </c>
    </row>
    <row r="108" spans="1:14" x14ac:dyDescent="0.3">
      <c r="A108">
        <v>613</v>
      </c>
      <c r="B108" t="s">
        <v>804</v>
      </c>
      <c r="C108" t="s">
        <v>2677</v>
      </c>
      <c r="D108" t="s">
        <v>1203</v>
      </c>
      <c r="E108" t="s">
        <v>1204</v>
      </c>
      <c r="F108">
        <v>5673</v>
      </c>
      <c r="G108" t="s">
        <v>2672</v>
      </c>
      <c r="H108" t="s">
        <v>2664</v>
      </c>
      <c r="N108" t="s">
        <v>988</v>
      </c>
    </row>
    <row r="109" spans="1:14" x14ac:dyDescent="0.3">
      <c r="A109">
        <v>613</v>
      </c>
      <c r="B109" t="s">
        <v>804</v>
      </c>
      <c r="C109" t="s">
        <v>2677</v>
      </c>
      <c r="D109" t="s">
        <v>1203</v>
      </c>
      <c r="E109" t="s">
        <v>1204</v>
      </c>
      <c r="F109">
        <v>5673</v>
      </c>
      <c r="G109" t="s">
        <v>2674</v>
      </c>
      <c r="H109" t="s">
        <v>2665</v>
      </c>
      <c r="I109">
        <v>147300</v>
      </c>
      <c r="J109">
        <v>157300</v>
      </c>
      <c r="K109">
        <v>165000</v>
      </c>
      <c r="L109">
        <v>171300</v>
      </c>
      <c r="M109">
        <v>175900</v>
      </c>
      <c r="N109" t="s">
        <v>988</v>
      </c>
    </row>
    <row r="110" spans="1:14" x14ac:dyDescent="0.3">
      <c r="A110">
        <v>785</v>
      </c>
      <c r="B110" t="s">
        <v>1476</v>
      </c>
      <c r="C110" t="s">
        <v>2677</v>
      </c>
      <c r="D110" t="s">
        <v>1203</v>
      </c>
      <c r="E110" t="s">
        <v>1204</v>
      </c>
      <c r="F110">
        <v>5655</v>
      </c>
      <c r="G110" t="s">
        <v>2676</v>
      </c>
      <c r="H110" t="s">
        <v>2665</v>
      </c>
      <c r="I110">
        <v>3717</v>
      </c>
      <c r="J110">
        <v>4330</v>
      </c>
      <c r="K110">
        <v>4466</v>
      </c>
      <c r="L110">
        <v>4586</v>
      </c>
      <c r="M110">
        <v>4707</v>
      </c>
      <c r="N110" t="s">
        <v>988</v>
      </c>
    </row>
    <row r="111" spans="1:14" x14ac:dyDescent="0.3">
      <c r="A111">
        <v>785</v>
      </c>
      <c r="B111" t="s">
        <v>1476</v>
      </c>
      <c r="C111" t="s">
        <v>2677</v>
      </c>
      <c r="D111" t="s">
        <v>1203</v>
      </c>
      <c r="E111" t="s">
        <v>1204</v>
      </c>
      <c r="F111">
        <v>5655</v>
      </c>
      <c r="G111" t="s">
        <v>2675</v>
      </c>
      <c r="H111" t="s">
        <v>2664</v>
      </c>
      <c r="I111">
        <v>3863</v>
      </c>
      <c r="J111">
        <v>4358</v>
      </c>
      <c r="K111">
        <v>4490</v>
      </c>
      <c r="L111">
        <v>4610</v>
      </c>
      <c r="M111">
        <v>4733</v>
      </c>
      <c r="N111" t="s">
        <v>988</v>
      </c>
    </row>
    <row r="112" spans="1:14" x14ac:dyDescent="0.3">
      <c r="A112">
        <v>785</v>
      </c>
      <c r="B112" t="s">
        <v>1476</v>
      </c>
      <c r="C112" t="s">
        <v>2677</v>
      </c>
      <c r="D112" t="s">
        <v>1203</v>
      </c>
      <c r="E112" t="s">
        <v>1204</v>
      </c>
      <c r="F112">
        <v>5655</v>
      </c>
      <c r="G112" t="s">
        <v>2675</v>
      </c>
      <c r="H112" t="s">
        <v>2665</v>
      </c>
      <c r="I112">
        <v>3863</v>
      </c>
      <c r="J112">
        <v>4358</v>
      </c>
      <c r="K112">
        <v>4490</v>
      </c>
      <c r="L112">
        <v>4610</v>
      </c>
      <c r="M112">
        <v>4733</v>
      </c>
      <c r="N112" t="s">
        <v>988</v>
      </c>
    </row>
    <row r="113" spans="1:14" x14ac:dyDescent="0.3">
      <c r="A113">
        <v>785</v>
      </c>
      <c r="B113" t="s">
        <v>1476</v>
      </c>
      <c r="C113" t="s">
        <v>2677</v>
      </c>
      <c r="D113" t="s">
        <v>1203</v>
      </c>
      <c r="E113" t="s">
        <v>1204</v>
      </c>
      <c r="F113">
        <v>5655</v>
      </c>
      <c r="G113" t="s">
        <v>2674</v>
      </c>
      <c r="H113" t="s">
        <v>2664</v>
      </c>
      <c r="I113">
        <v>4009</v>
      </c>
      <c r="J113">
        <v>4386</v>
      </c>
      <c r="K113">
        <v>4514</v>
      </c>
      <c r="L113">
        <v>4633</v>
      </c>
      <c r="M113">
        <v>4759</v>
      </c>
      <c r="N113" t="s">
        <v>988</v>
      </c>
    </row>
    <row r="114" spans="1:14" x14ac:dyDescent="0.3">
      <c r="A114">
        <v>785</v>
      </c>
      <c r="B114" t="s">
        <v>1476</v>
      </c>
      <c r="C114" t="s">
        <v>2677</v>
      </c>
      <c r="D114" t="s">
        <v>1203</v>
      </c>
      <c r="E114" t="s">
        <v>1204</v>
      </c>
      <c r="F114">
        <v>5655</v>
      </c>
      <c r="G114" t="s">
        <v>2674</v>
      </c>
      <c r="H114" t="s">
        <v>2665</v>
      </c>
      <c r="I114">
        <v>4009</v>
      </c>
      <c r="J114">
        <v>4386</v>
      </c>
      <c r="K114">
        <v>4514</v>
      </c>
      <c r="L114">
        <v>4633</v>
      </c>
      <c r="M114">
        <v>4759</v>
      </c>
      <c r="N114" t="s">
        <v>988</v>
      </c>
    </row>
    <row r="115" spans="1:14" x14ac:dyDescent="0.3">
      <c r="A115">
        <v>785</v>
      </c>
      <c r="B115" t="s">
        <v>1476</v>
      </c>
      <c r="C115" t="s">
        <v>2677</v>
      </c>
      <c r="D115" t="s">
        <v>1203</v>
      </c>
      <c r="E115" t="s">
        <v>1204</v>
      </c>
      <c r="F115">
        <v>5655</v>
      </c>
      <c r="G115" t="s">
        <v>2676</v>
      </c>
      <c r="H115" t="s">
        <v>2664</v>
      </c>
      <c r="I115">
        <v>3717</v>
      </c>
      <c r="J115">
        <v>4330</v>
      </c>
      <c r="K115">
        <v>4466</v>
      </c>
      <c r="L115">
        <v>4586</v>
      </c>
      <c r="M115">
        <v>4707</v>
      </c>
      <c r="N115" t="s">
        <v>988</v>
      </c>
    </row>
    <row r="116" spans="1:14" x14ac:dyDescent="0.3">
      <c r="A116">
        <v>785</v>
      </c>
      <c r="B116" t="s">
        <v>1476</v>
      </c>
      <c r="C116" t="s">
        <v>2677</v>
      </c>
      <c r="D116" t="s">
        <v>1203</v>
      </c>
      <c r="E116" t="s">
        <v>1204</v>
      </c>
      <c r="F116">
        <v>5655</v>
      </c>
      <c r="G116" t="s">
        <v>2673</v>
      </c>
      <c r="H116" t="s">
        <v>2665</v>
      </c>
      <c r="I116">
        <v>4155</v>
      </c>
      <c r="J116">
        <v>4414</v>
      </c>
      <c r="K116">
        <v>4538</v>
      </c>
      <c r="L116">
        <v>4657</v>
      </c>
      <c r="M116">
        <v>4784</v>
      </c>
      <c r="N116" t="s">
        <v>988</v>
      </c>
    </row>
    <row r="117" spans="1:14" x14ac:dyDescent="0.3">
      <c r="A117">
        <v>785</v>
      </c>
      <c r="B117" t="s">
        <v>1476</v>
      </c>
      <c r="C117" t="s">
        <v>2677</v>
      </c>
      <c r="D117" t="s">
        <v>1203</v>
      </c>
      <c r="E117" t="s">
        <v>1204</v>
      </c>
      <c r="F117">
        <v>5655</v>
      </c>
      <c r="G117" t="s">
        <v>2671</v>
      </c>
      <c r="H117" t="s">
        <v>2664</v>
      </c>
      <c r="I117">
        <v>4301</v>
      </c>
      <c r="J117">
        <v>4442</v>
      </c>
      <c r="K117">
        <v>4562</v>
      </c>
      <c r="L117">
        <v>4681</v>
      </c>
      <c r="M117">
        <v>4810</v>
      </c>
      <c r="N117" t="s">
        <v>988</v>
      </c>
    </row>
    <row r="118" spans="1:14" x14ac:dyDescent="0.3">
      <c r="A118">
        <v>785</v>
      </c>
      <c r="B118" t="s">
        <v>1476</v>
      </c>
      <c r="C118" t="s">
        <v>2677</v>
      </c>
      <c r="D118" t="s">
        <v>1203</v>
      </c>
      <c r="E118" t="s">
        <v>1204</v>
      </c>
      <c r="F118">
        <v>5655</v>
      </c>
      <c r="G118" t="s">
        <v>2671</v>
      </c>
      <c r="H118" t="s">
        <v>2665</v>
      </c>
      <c r="I118">
        <v>4301</v>
      </c>
      <c r="J118">
        <v>4442</v>
      </c>
      <c r="K118">
        <v>4562</v>
      </c>
      <c r="L118">
        <v>4681</v>
      </c>
      <c r="M118">
        <v>4810</v>
      </c>
      <c r="N118" t="s">
        <v>988</v>
      </c>
    </row>
    <row r="119" spans="1:14" x14ac:dyDescent="0.3">
      <c r="A119">
        <v>785</v>
      </c>
      <c r="B119" t="s">
        <v>1476</v>
      </c>
      <c r="C119" t="s">
        <v>2677</v>
      </c>
      <c r="D119" t="s">
        <v>1203</v>
      </c>
      <c r="E119" t="s">
        <v>1204</v>
      </c>
      <c r="F119">
        <v>5655</v>
      </c>
      <c r="G119" t="s">
        <v>2672</v>
      </c>
      <c r="H119" t="s">
        <v>2664</v>
      </c>
      <c r="N119" t="s">
        <v>988</v>
      </c>
    </row>
    <row r="120" spans="1:14" x14ac:dyDescent="0.3">
      <c r="A120">
        <v>785</v>
      </c>
      <c r="B120" t="s">
        <v>1476</v>
      </c>
      <c r="C120" t="s">
        <v>2677</v>
      </c>
      <c r="D120" t="s">
        <v>1203</v>
      </c>
      <c r="E120" t="s">
        <v>1204</v>
      </c>
      <c r="F120">
        <v>5655</v>
      </c>
      <c r="G120" t="s">
        <v>2672</v>
      </c>
      <c r="H120" t="s">
        <v>2665</v>
      </c>
      <c r="N120" t="s">
        <v>988</v>
      </c>
    </row>
    <row r="121" spans="1:14" x14ac:dyDescent="0.3">
      <c r="A121">
        <v>785</v>
      </c>
      <c r="B121" t="s">
        <v>1476</v>
      </c>
      <c r="C121" t="s">
        <v>2677</v>
      </c>
      <c r="D121" t="s">
        <v>1203</v>
      </c>
      <c r="E121" t="s">
        <v>1204</v>
      </c>
      <c r="F121">
        <v>5655</v>
      </c>
      <c r="G121" t="s">
        <v>2673</v>
      </c>
      <c r="H121" t="s">
        <v>2664</v>
      </c>
      <c r="I121">
        <v>4155</v>
      </c>
      <c r="J121">
        <v>4414</v>
      </c>
      <c r="K121">
        <v>4538</v>
      </c>
      <c r="L121">
        <v>4657</v>
      </c>
      <c r="M121">
        <v>4784</v>
      </c>
      <c r="N121" t="s">
        <v>988</v>
      </c>
    </row>
    <row r="122" spans="1:14" x14ac:dyDescent="0.3">
      <c r="A122">
        <v>794</v>
      </c>
      <c r="B122" t="s">
        <v>1483</v>
      </c>
      <c r="C122" t="s">
        <v>2677</v>
      </c>
      <c r="D122" t="s">
        <v>159</v>
      </c>
      <c r="E122" t="s">
        <v>159</v>
      </c>
      <c r="F122">
        <v>6888</v>
      </c>
      <c r="G122" t="s">
        <v>2676</v>
      </c>
      <c r="H122" t="s">
        <v>2665</v>
      </c>
      <c r="I122">
        <v>64770</v>
      </c>
      <c r="J122">
        <v>59080</v>
      </c>
      <c r="K122">
        <v>61600</v>
      </c>
      <c r="L122">
        <v>63600</v>
      </c>
      <c r="M122">
        <v>65900</v>
      </c>
      <c r="N122" t="s">
        <v>988</v>
      </c>
    </row>
    <row r="123" spans="1:14" x14ac:dyDescent="0.3">
      <c r="A123">
        <v>794</v>
      </c>
      <c r="B123" t="s">
        <v>1483</v>
      </c>
      <c r="C123" t="s">
        <v>2677</v>
      </c>
      <c r="D123" t="s">
        <v>159</v>
      </c>
      <c r="E123" t="s">
        <v>159</v>
      </c>
      <c r="F123">
        <v>6888</v>
      </c>
      <c r="G123" t="s">
        <v>2675</v>
      </c>
      <c r="H123" t="s">
        <v>2664</v>
      </c>
      <c r="I123">
        <v>63200</v>
      </c>
      <c r="J123">
        <v>59100</v>
      </c>
      <c r="K123">
        <v>61400</v>
      </c>
      <c r="L123">
        <v>63400</v>
      </c>
      <c r="M123">
        <v>65600</v>
      </c>
      <c r="N123" t="s">
        <v>988</v>
      </c>
    </row>
    <row r="124" spans="1:14" x14ac:dyDescent="0.3">
      <c r="A124">
        <v>794</v>
      </c>
      <c r="B124" t="s">
        <v>1483</v>
      </c>
      <c r="C124" t="s">
        <v>2677</v>
      </c>
      <c r="D124" t="s">
        <v>159</v>
      </c>
      <c r="E124" t="s">
        <v>159</v>
      </c>
      <c r="F124">
        <v>6888</v>
      </c>
      <c r="G124" t="s">
        <v>2675</v>
      </c>
      <c r="H124" t="s">
        <v>2665</v>
      </c>
      <c r="I124">
        <v>63200</v>
      </c>
      <c r="J124">
        <v>59100</v>
      </c>
      <c r="K124">
        <v>61400</v>
      </c>
      <c r="L124">
        <v>63400</v>
      </c>
      <c r="M124">
        <v>65600</v>
      </c>
      <c r="N124" t="s">
        <v>988</v>
      </c>
    </row>
    <row r="125" spans="1:14" x14ac:dyDescent="0.3">
      <c r="A125">
        <v>794</v>
      </c>
      <c r="B125" t="s">
        <v>1483</v>
      </c>
      <c r="C125" t="s">
        <v>2677</v>
      </c>
      <c r="D125" t="s">
        <v>159</v>
      </c>
      <c r="E125" t="s">
        <v>159</v>
      </c>
      <c r="F125">
        <v>6888</v>
      </c>
      <c r="G125" t="s">
        <v>2674</v>
      </c>
      <c r="H125" t="s">
        <v>2664</v>
      </c>
      <c r="I125">
        <v>62100</v>
      </c>
      <c r="J125">
        <v>59600</v>
      </c>
      <c r="K125">
        <v>61800</v>
      </c>
      <c r="L125">
        <v>63900</v>
      </c>
      <c r="M125">
        <v>66000</v>
      </c>
      <c r="N125" t="s">
        <v>988</v>
      </c>
    </row>
    <row r="126" spans="1:14" x14ac:dyDescent="0.3">
      <c r="A126">
        <v>794</v>
      </c>
      <c r="B126" t="s">
        <v>1483</v>
      </c>
      <c r="C126" t="s">
        <v>2677</v>
      </c>
      <c r="D126" t="s">
        <v>159</v>
      </c>
      <c r="E126" t="s">
        <v>159</v>
      </c>
      <c r="F126">
        <v>6888</v>
      </c>
      <c r="G126" t="s">
        <v>2674</v>
      </c>
      <c r="H126" t="s">
        <v>2665</v>
      </c>
      <c r="I126">
        <v>62100</v>
      </c>
      <c r="J126">
        <v>59600</v>
      </c>
      <c r="K126">
        <v>61800</v>
      </c>
      <c r="L126">
        <v>63900</v>
      </c>
      <c r="M126">
        <v>66000</v>
      </c>
      <c r="N126" t="s">
        <v>988</v>
      </c>
    </row>
    <row r="127" spans="1:14" x14ac:dyDescent="0.3">
      <c r="A127">
        <v>794</v>
      </c>
      <c r="B127" t="s">
        <v>1483</v>
      </c>
      <c r="C127" t="s">
        <v>2677</v>
      </c>
      <c r="D127" t="s">
        <v>159</v>
      </c>
      <c r="E127" t="s">
        <v>159</v>
      </c>
      <c r="F127">
        <v>6888</v>
      </c>
      <c r="G127" t="s">
        <v>2673</v>
      </c>
      <c r="H127" t="s">
        <v>2664</v>
      </c>
      <c r="I127">
        <v>61000</v>
      </c>
      <c r="J127">
        <v>60100</v>
      </c>
      <c r="K127">
        <v>62200</v>
      </c>
      <c r="L127">
        <v>64300</v>
      </c>
      <c r="M127">
        <v>66400</v>
      </c>
      <c r="N127" t="s">
        <v>988</v>
      </c>
    </row>
    <row r="128" spans="1:14" x14ac:dyDescent="0.3">
      <c r="A128">
        <v>794</v>
      </c>
      <c r="B128" t="s">
        <v>1483</v>
      </c>
      <c r="C128" t="s">
        <v>2677</v>
      </c>
      <c r="D128" t="s">
        <v>159</v>
      </c>
      <c r="E128" t="s">
        <v>159</v>
      </c>
      <c r="F128">
        <v>6888</v>
      </c>
      <c r="G128" t="s">
        <v>2673</v>
      </c>
      <c r="H128" t="s">
        <v>2665</v>
      </c>
      <c r="I128">
        <v>61000</v>
      </c>
      <c r="J128">
        <v>60100</v>
      </c>
      <c r="K128">
        <v>62200</v>
      </c>
      <c r="L128">
        <v>64300</v>
      </c>
      <c r="M128">
        <v>66400</v>
      </c>
      <c r="N128" t="s">
        <v>988</v>
      </c>
    </row>
    <row r="129" spans="1:14" x14ac:dyDescent="0.3">
      <c r="A129">
        <v>794</v>
      </c>
      <c r="B129" t="s">
        <v>1483</v>
      </c>
      <c r="C129" t="s">
        <v>2677</v>
      </c>
      <c r="D129" t="s">
        <v>159</v>
      </c>
      <c r="E129" t="s">
        <v>159</v>
      </c>
      <c r="F129">
        <v>6888</v>
      </c>
      <c r="G129" t="s">
        <v>2671</v>
      </c>
      <c r="H129" t="s">
        <v>2664</v>
      </c>
      <c r="I129">
        <v>59800</v>
      </c>
      <c r="J129">
        <v>60600</v>
      </c>
      <c r="K129">
        <v>62600</v>
      </c>
      <c r="L129">
        <v>64700</v>
      </c>
      <c r="M129">
        <v>66900</v>
      </c>
      <c r="N129" t="s">
        <v>988</v>
      </c>
    </row>
    <row r="130" spans="1:14" x14ac:dyDescent="0.3">
      <c r="A130">
        <v>794</v>
      </c>
      <c r="B130" t="s">
        <v>1483</v>
      </c>
      <c r="C130" t="s">
        <v>2677</v>
      </c>
      <c r="D130" t="s">
        <v>159</v>
      </c>
      <c r="E130" t="s">
        <v>159</v>
      </c>
      <c r="F130">
        <v>6888</v>
      </c>
      <c r="G130" t="s">
        <v>2671</v>
      </c>
      <c r="H130" t="s">
        <v>2665</v>
      </c>
      <c r="I130">
        <v>59800</v>
      </c>
      <c r="J130">
        <v>60600</v>
      </c>
      <c r="K130">
        <v>62600</v>
      </c>
      <c r="L130">
        <v>64700</v>
      </c>
      <c r="M130">
        <v>66900</v>
      </c>
      <c r="N130" t="s">
        <v>988</v>
      </c>
    </row>
    <row r="131" spans="1:14" x14ac:dyDescent="0.3">
      <c r="A131">
        <v>794</v>
      </c>
      <c r="B131" t="s">
        <v>1483</v>
      </c>
      <c r="C131" t="s">
        <v>2677</v>
      </c>
      <c r="D131" t="s">
        <v>159</v>
      </c>
      <c r="E131" t="s">
        <v>159</v>
      </c>
      <c r="F131">
        <v>6888</v>
      </c>
      <c r="G131" t="s">
        <v>2672</v>
      </c>
      <c r="H131" t="s">
        <v>2664</v>
      </c>
      <c r="N131" t="s">
        <v>988</v>
      </c>
    </row>
    <row r="132" spans="1:14" x14ac:dyDescent="0.3">
      <c r="A132">
        <v>794</v>
      </c>
      <c r="B132" t="s">
        <v>1483</v>
      </c>
      <c r="C132" t="s">
        <v>2677</v>
      </c>
      <c r="D132" t="s">
        <v>159</v>
      </c>
      <c r="E132" t="s">
        <v>159</v>
      </c>
      <c r="F132">
        <v>6888</v>
      </c>
      <c r="G132" t="s">
        <v>2676</v>
      </c>
      <c r="H132" t="s">
        <v>2664</v>
      </c>
      <c r="I132">
        <v>64770</v>
      </c>
      <c r="J132">
        <v>59080</v>
      </c>
      <c r="K132">
        <v>61600</v>
      </c>
      <c r="L132">
        <v>63600</v>
      </c>
      <c r="M132">
        <v>65900</v>
      </c>
      <c r="N132" t="s">
        <v>988</v>
      </c>
    </row>
    <row r="133" spans="1:14" x14ac:dyDescent="0.3">
      <c r="A133">
        <v>794</v>
      </c>
      <c r="B133" t="s">
        <v>1483</v>
      </c>
      <c r="C133" t="s">
        <v>2677</v>
      </c>
      <c r="D133" t="s">
        <v>159</v>
      </c>
      <c r="E133" t="s">
        <v>159</v>
      </c>
      <c r="F133">
        <v>6888</v>
      </c>
      <c r="G133" t="s">
        <v>2672</v>
      </c>
      <c r="H133" t="s">
        <v>2665</v>
      </c>
      <c r="N133" t="s">
        <v>988</v>
      </c>
    </row>
    <row r="134" spans="1:14" x14ac:dyDescent="0.3">
      <c r="A134">
        <v>909</v>
      </c>
      <c r="B134" t="s">
        <v>2152</v>
      </c>
      <c r="C134" t="s">
        <v>2677</v>
      </c>
      <c r="D134" t="s">
        <v>1203</v>
      </c>
      <c r="E134" t="s">
        <v>1204</v>
      </c>
      <c r="F134">
        <v>5754</v>
      </c>
      <c r="G134" t="s">
        <v>2675</v>
      </c>
      <c r="H134" t="s">
        <v>2665</v>
      </c>
      <c r="I134">
        <v>9916.67</v>
      </c>
      <c r="J134">
        <v>10002.219999999999</v>
      </c>
      <c r="K134">
        <v>10089.11</v>
      </c>
      <c r="L134">
        <v>10177.379999999999</v>
      </c>
      <c r="M134">
        <v>10267.040000000001</v>
      </c>
      <c r="N134" t="s">
        <v>988</v>
      </c>
    </row>
    <row r="135" spans="1:14" x14ac:dyDescent="0.3">
      <c r="A135">
        <v>909</v>
      </c>
      <c r="B135" t="s">
        <v>2152</v>
      </c>
      <c r="C135" t="s">
        <v>2677</v>
      </c>
      <c r="D135" t="s">
        <v>1203</v>
      </c>
      <c r="E135" t="s">
        <v>1204</v>
      </c>
      <c r="F135">
        <v>5754</v>
      </c>
      <c r="G135" t="s">
        <v>2672</v>
      </c>
      <c r="H135" t="s">
        <v>2665</v>
      </c>
      <c r="N135" t="s">
        <v>988</v>
      </c>
    </row>
    <row r="136" spans="1:14" x14ac:dyDescent="0.3">
      <c r="A136">
        <v>909</v>
      </c>
      <c r="B136" t="s">
        <v>2152</v>
      </c>
      <c r="C136" t="s">
        <v>2677</v>
      </c>
      <c r="D136" t="s">
        <v>1203</v>
      </c>
      <c r="E136" t="s">
        <v>1204</v>
      </c>
      <c r="F136">
        <v>5754</v>
      </c>
      <c r="G136" t="s">
        <v>2672</v>
      </c>
      <c r="H136" t="s">
        <v>2664</v>
      </c>
      <c r="N136" t="s">
        <v>988</v>
      </c>
    </row>
    <row r="137" spans="1:14" x14ac:dyDescent="0.3">
      <c r="A137">
        <v>909</v>
      </c>
      <c r="B137" t="s">
        <v>2152</v>
      </c>
      <c r="C137" t="s">
        <v>2677</v>
      </c>
      <c r="D137" t="s">
        <v>1203</v>
      </c>
      <c r="E137" t="s">
        <v>1204</v>
      </c>
      <c r="F137">
        <v>5754</v>
      </c>
      <c r="G137" t="s">
        <v>2671</v>
      </c>
      <c r="H137" t="s">
        <v>2665</v>
      </c>
      <c r="I137">
        <v>8065.27</v>
      </c>
      <c r="J137">
        <v>8134.02</v>
      </c>
      <c r="K137">
        <v>8203.84</v>
      </c>
      <c r="L137">
        <v>8274.77</v>
      </c>
      <c r="M137">
        <v>8346.81</v>
      </c>
      <c r="N137" t="s">
        <v>988</v>
      </c>
    </row>
    <row r="138" spans="1:14" x14ac:dyDescent="0.3">
      <c r="A138">
        <v>909</v>
      </c>
      <c r="B138" t="s">
        <v>2152</v>
      </c>
      <c r="C138" t="s">
        <v>2677</v>
      </c>
      <c r="D138" t="s">
        <v>1203</v>
      </c>
      <c r="E138" t="s">
        <v>1204</v>
      </c>
      <c r="F138">
        <v>5754</v>
      </c>
      <c r="G138" t="s">
        <v>2671</v>
      </c>
      <c r="H138" t="s">
        <v>2664</v>
      </c>
      <c r="I138">
        <v>11773</v>
      </c>
      <c r="J138">
        <v>11773</v>
      </c>
      <c r="K138">
        <v>11773</v>
      </c>
      <c r="L138">
        <v>11773</v>
      </c>
      <c r="M138">
        <v>11773</v>
      </c>
      <c r="N138" t="s">
        <v>988</v>
      </c>
    </row>
    <row r="139" spans="1:14" x14ac:dyDescent="0.3">
      <c r="A139">
        <v>909</v>
      </c>
      <c r="B139" t="s">
        <v>2152</v>
      </c>
      <c r="C139" t="s">
        <v>2677</v>
      </c>
      <c r="D139" t="s">
        <v>1203</v>
      </c>
      <c r="E139" t="s">
        <v>1204</v>
      </c>
      <c r="F139">
        <v>5754</v>
      </c>
      <c r="G139" t="s">
        <v>2676</v>
      </c>
      <c r="H139" t="s">
        <v>2664</v>
      </c>
      <c r="I139">
        <v>11773</v>
      </c>
      <c r="J139">
        <v>11773</v>
      </c>
      <c r="K139">
        <v>11773</v>
      </c>
      <c r="L139">
        <v>11773</v>
      </c>
      <c r="M139">
        <v>11773</v>
      </c>
      <c r="N139" t="s">
        <v>988</v>
      </c>
    </row>
    <row r="140" spans="1:14" x14ac:dyDescent="0.3">
      <c r="A140">
        <v>909</v>
      </c>
      <c r="B140" t="s">
        <v>2152</v>
      </c>
      <c r="C140" t="s">
        <v>2677</v>
      </c>
      <c r="D140" t="s">
        <v>1203</v>
      </c>
      <c r="E140" t="s">
        <v>1204</v>
      </c>
      <c r="F140">
        <v>5754</v>
      </c>
      <c r="G140" t="s">
        <v>2673</v>
      </c>
      <c r="H140" t="s">
        <v>2664</v>
      </c>
      <c r="I140">
        <v>11773</v>
      </c>
      <c r="J140">
        <v>11773</v>
      </c>
      <c r="K140">
        <v>11773</v>
      </c>
      <c r="L140">
        <v>11773</v>
      </c>
      <c r="M140">
        <v>11773</v>
      </c>
      <c r="N140" t="s">
        <v>988</v>
      </c>
    </row>
    <row r="141" spans="1:14" x14ac:dyDescent="0.3">
      <c r="A141">
        <v>909</v>
      </c>
      <c r="B141" t="s">
        <v>2152</v>
      </c>
      <c r="C141" t="s">
        <v>2677</v>
      </c>
      <c r="D141" t="s">
        <v>1203</v>
      </c>
      <c r="E141" t="s">
        <v>1204</v>
      </c>
      <c r="F141">
        <v>5754</v>
      </c>
      <c r="G141" t="s">
        <v>2674</v>
      </c>
      <c r="H141" t="s">
        <v>2665</v>
      </c>
      <c r="I141">
        <v>10334.43</v>
      </c>
      <c r="J141">
        <v>10422.6</v>
      </c>
      <c r="K141">
        <v>10512.16</v>
      </c>
      <c r="L141">
        <v>10603.13</v>
      </c>
      <c r="M141">
        <v>10695.54</v>
      </c>
      <c r="N141" t="s">
        <v>988</v>
      </c>
    </row>
    <row r="142" spans="1:14" x14ac:dyDescent="0.3">
      <c r="A142">
        <v>909</v>
      </c>
      <c r="B142" t="s">
        <v>2152</v>
      </c>
      <c r="C142" t="s">
        <v>2677</v>
      </c>
      <c r="D142" t="s">
        <v>1203</v>
      </c>
      <c r="E142" t="s">
        <v>1204</v>
      </c>
      <c r="F142">
        <v>5754</v>
      </c>
      <c r="G142" t="s">
        <v>2674</v>
      </c>
      <c r="H142" t="s">
        <v>2664</v>
      </c>
      <c r="I142">
        <v>11773</v>
      </c>
      <c r="J142">
        <v>11773</v>
      </c>
      <c r="K142">
        <v>11773</v>
      </c>
      <c r="L142">
        <v>11773</v>
      </c>
      <c r="M142">
        <v>11773</v>
      </c>
      <c r="N142" t="s">
        <v>988</v>
      </c>
    </row>
    <row r="143" spans="1:14" x14ac:dyDescent="0.3">
      <c r="A143">
        <v>909</v>
      </c>
      <c r="B143" t="s">
        <v>2152</v>
      </c>
      <c r="C143" t="s">
        <v>2677</v>
      </c>
      <c r="D143" t="s">
        <v>1203</v>
      </c>
      <c r="E143" t="s">
        <v>1204</v>
      </c>
      <c r="F143">
        <v>5754</v>
      </c>
      <c r="G143" t="s">
        <v>2675</v>
      </c>
      <c r="H143" t="s">
        <v>2664</v>
      </c>
      <c r="I143">
        <v>11773</v>
      </c>
      <c r="J143">
        <v>11773</v>
      </c>
      <c r="K143">
        <v>11773</v>
      </c>
      <c r="L143">
        <v>11773</v>
      </c>
      <c r="M143">
        <v>11773</v>
      </c>
      <c r="N143" t="s">
        <v>988</v>
      </c>
    </row>
    <row r="144" spans="1:14" x14ac:dyDescent="0.3">
      <c r="A144">
        <v>909</v>
      </c>
      <c r="B144" t="s">
        <v>2152</v>
      </c>
      <c r="C144" t="s">
        <v>2677</v>
      </c>
      <c r="D144" t="s">
        <v>1203</v>
      </c>
      <c r="E144" t="s">
        <v>1204</v>
      </c>
      <c r="F144">
        <v>5754</v>
      </c>
      <c r="G144" t="s">
        <v>2676</v>
      </c>
      <c r="H144" t="s">
        <v>2665</v>
      </c>
      <c r="I144">
        <v>9128.1299999999992</v>
      </c>
      <c r="J144">
        <v>9205.76</v>
      </c>
      <c r="K144">
        <v>9284.61</v>
      </c>
      <c r="L144">
        <v>9364.7000000000007</v>
      </c>
      <c r="M144">
        <v>9446.06</v>
      </c>
      <c r="N144" t="s">
        <v>988</v>
      </c>
    </row>
    <row r="145" spans="1:14" x14ac:dyDescent="0.3">
      <c r="A145">
        <v>909</v>
      </c>
      <c r="B145" t="s">
        <v>2152</v>
      </c>
      <c r="C145" t="s">
        <v>2677</v>
      </c>
      <c r="D145" t="s">
        <v>1203</v>
      </c>
      <c r="E145" t="s">
        <v>1204</v>
      </c>
      <c r="F145">
        <v>5754</v>
      </c>
      <c r="G145" t="s">
        <v>2673</v>
      </c>
      <c r="H145" t="s">
        <v>2665</v>
      </c>
      <c r="I145">
        <v>10002.32</v>
      </c>
      <c r="J145">
        <v>10087.16</v>
      </c>
      <c r="K145">
        <v>10173.35</v>
      </c>
      <c r="L145">
        <v>10260.89</v>
      </c>
      <c r="M145">
        <v>10349.82</v>
      </c>
      <c r="N145" t="s">
        <v>988</v>
      </c>
    </row>
    <row r="146" spans="1:14" x14ac:dyDescent="0.3">
      <c r="A146">
        <v>1144</v>
      </c>
      <c r="B146" t="s">
        <v>1581</v>
      </c>
      <c r="C146" t="s">
        <v>2677</v>
      </c>
      <c r="D146" t="s">
        <v>1203</v>
      </c>
      <c r="E146" t="s">
        <v>1204</v>
      </c>
      <c r="F146">
        <v>6619</v>
      </c>
      <c r="G146" t="s">
        <v>2672</v>
      </c>
      <c r="H146" t="s">
        <v>2665</v>
      </c>
      <c r="N146" t="s">
        <v>988</v>
      </c>
    </row>
    <row r="147" spans="1:14" x14ac:dyDescent="0.3">
      <c r="A147">
        <v>1144</v>
      </c>
      <c r="B147" t="s">
        <v>1581</v>
      </c>
      <c r="C147" t="s">
        <v>2677</v>
      </c>
      <c r="D147" t="s">
        <v>1203</v>
      </c>
      <c r="E147" t="s">
        <v>1204</v>
      </c>
      <c r="F147">
        <v>6619</v>
      </c>
      <c r="G147" t="s">
        <v>2672</v>
      </c>
      <c r="H147" t="s">
        <v>2664</v>
      </c>
      <c r="N147" t="s">
        <v>988</v>
      </c>
    </row>
    <row r="148" spans="1:14" x14ac:dyDescent="0.3">
      <c r="A148">
        <v>1144</v>
      </c>
      <c r="B148" t="s">
        <v>1581</v>
      </c>
      <c r="C148" t="s">
        <v>2677</v>
      </c>
      <c r="D148" t="s">
        <v>1203</v>
      </c>
      <c r="E148" t="s">
        <v>1204</v>
      </c>
      <c r="F148">
        <v>6619</v>
      </c>
      <c r="G148" t="s">
        <v>2676</v>
      </c>
      <c r="H148" t="s">
        <v>2664</v>
      </c>
      <c r="I148">
        <v>70.584420550000004</v>
      </c>
      <c r="J148">
        <v>70.584420550000004</v>
      </c>
      <c r="K148">
        <v>70.584420550000004</v>
      </c>
      <c r="L148">
        <v>70.584420550000004</v>
      </c>
      <c r="M148">
        <v>70.584420550000004</v>
      </c>
      <c r="N148" t="s">
        <v>988</v>
      </c>
    </row>
    <row r="149" spans="1:14" x14ac:dyDescent="0.3">
      <c r="A149">
        <v>1144</v>
      </c>
      <c r="B149" t="s">
        <v>1581</v>
      </c>
      <c r="C149" t="s">
        <v>2677</v>
      </c>
      <c r="D149" t="s">
        <v>1203</v>
      </c>
      <c r="E149" t="s">
        <v>1204</v>
      </c>
      <c r="F149">
        <v>6619</v>
      </c>
      <c r="G149" t="s">
        <v>2676</v>
      </c>
      <c r="H149" t="s">
        <v>2665</v>
      </c>
      <c r="I149">
        <v>64.446644849999998</v>
      </c>
      <c r="J149">
        <v>64.446644849999998</v>
      </c>
      <c r="K149">
        <v>64.446644849999998</v>
      </c>
      <c r="L149">
        <v>64.446644849999998</v>
      </c>
      <c r="M149">
        <v>64.446644849999998</v>
      </c>
      <c r="N149" t="s">
        <v>988</v>
      </c>
    </row>
    <row r="150" spans="1:14" x14ac:dyDescent="0.3">
      <c r="A150">
        <v>1144</v>
      </c>
      <c r="B150" t="s">
        <v>1581</v>
      </c>
      <c r="C150" t="s">
        <v>2677</v>
      </c>
      <c r="D150" t="s">
        <v>1203</v>
      </c>
      <c r="E150" t="s">
        <v>1204</v>
      </c>
      <c r="F150">
        <v>6619</v>
      </c>
      <c r="G150" t="s">
        <v>2675</v>
      </c>
      <c r="H150" t="s">
        <v>2664</v>
      </c>
      <c r="I150">
        <v>70.584420550000004</v>
      </c>
      <c r="J150">
        <v>70.584420550000004</v>
      </c>
      <c r="K150">
        <v>70.584420550000004</v>
      </c>
      <c r="L150">
        <v>70.584420550000004</v>
      </c>
      <c r="M150">
        <v>70.584420550000004</v>
      </c>
      <c r="N150" t="s">
        <v>988</v>
      </c>
    </row>
    <row r="151" spans="1:14" x14ac:dyDescent="0.3">
      <c r="A151">
        <v>1144</v>
      </c>
      <c r="B151" t="s">
        <v>1581</v>
      </c>
      <c r="C151" t="s">
        <v>2677</v>
      </c>
      <c r="D151" t="s">
        <v>1203</v>
      </c>
      <c r="E151" t="s">
        <v>1204</v>
      </c>
      <c r="F151">
        <v>6619</v>
      </c>
      <c r="G151" t="s">
        <v>2675</v>
      </c>
      <c r="H151" t="s">
        <v>2665</v>
      </c>
      <c r="I151">
        <v>64.446644849999998</v>
      </c>
      <c r="J151">
        <v>64.446644849999998</v>
      </c>
      <c r="K151">
        <v>64.446644849999998</v>
      </c>
      <c r="L151">
        <v>64.446644849999998</v>
      </c>
      <c r="M151">
        <v>64.446644849999998</v>
      </c>
      <c r="N151" t="s">
        <v>988</v>
      </c>
    </row>
    <row r="152" spans="1:14" x14ac:dyDescent="0.3">
      <c r="A152">
        <v>1144</v>
      </c>
      <c r="B152" t="s">
        <v>1581</v>
      </c>
      <c r="C152" t="s">
        <v>2677</v>
      </c>
      <c r="D152" t="s">
        <v>1203</v>
      </c>
      <c r="E152" t="s">
        <v>1204</v>
      </c>
      <c r="F152">
        <v>6619</v>
      </c>
      <c r="G152" t="s">
        <v>2674</v>
      </c>
      <c r="H152" t="s">
        <v>2664</v>
      </c>
      <c r="I152">
        <v>70.584420550000004</v>
      </c>
      <c r="J152">
        <v>70.584420550000004</v>
      </c>
      <c r="K152">
        <v>70.584420550000004</v>
      </c>
      <c r="L152">
        <v>70.584420550000004</v>
      </c>
      <c r="M152">
        <v>70.584420550000004</v>
      </c>
      <c r="N152" t="s">
        <v>988</v>
      </c>
    </row>
    <row r="153" spans="1:14" x14ac:dyDescent="0.3">
      <c r="A153">
        <v>1144</v>
      </c>
      <c r="B153" t="s">
        <v>1581</v>
      </c>
      <c r="C153" t="s">
        <v>2677</v>
      </c>
      <c r="D153" t="s">
        <v>1203</v>
      </c>
      <c r="E153" t="s">
        <v>1204</v>
      </c>
      <c r="F153">
        <v>6619</v>
      </c>
      <c r="G153" t="s">
        <v>2674</v>
      </c>
      <c r="H153" t="s">
        <v>2665</v>
      </c>
      <c r="I153">
        <v>64.446644849999998</v>
      </c>
      <c r="J153">
        <v>64.446644849999998</v>
      </c>
      <c r="K153">
        <v>64.446644849999998</v>
      </c>
      <c r="L153">
        <v>64.446644849999998</v>
      </c>
      <c r="M153">
        <v>64.446644849999998</v>
      </c>
      <c r="N153" t="s">
        <v>988</v>
      </c>
    </row>
    <row r="154" spans="1:14" x14ac:dyDescent="0.3">
      <c r="A154">
        <v>1144</v>
      </c>
      <c r="B154" t="s">
        <v>1581</v>
      </c>
      <c r="C154" t="s">
        <v>2677</v>
      </c>
      <c r="D154" t="s">
        <v>1203</v>
      </c>
      <c r="E154" t="s">
        <v>1204</v>
      </c>
      <c r="F154">
        <v>6619</v>
      </c>
      <c r="G154" t="s">
        <v>2673</v>
      </c>
      <c r="H154" t="s">
        <v>2664</v>
      </c>
      <c r="I154">
        <v>70.584420550000004</v>
      </c>
      <c r="J154">
        <v>70.584420550000004</v>
      </c>
      <c r="K154">
        <v>70.584420550000004</v>
      </c>
      <c r="L154">
        <v>70.584420550000004</v>
      </c>
      <c r="M154">
        <v>70.584420550000004</v>
      </c>
      <c r="N154" t="s">
        <v>988</v>
      </c>
    </row>
    <row r="155" spans="1:14" x14ac:dyDescent="0.3">
      <c r="A155">
        <v>1144</v>
      </c>
      <c r="B155" t="s">
        <v>1581</v>
      </c>
      <c r="C155" t="s">
        <v>2677</v>
      </c>
      <c r="D155" t="s">
        <v>1203</v>
      </c>
      <c r="E155" t="s">
        <v>1204</v>
      </c>
      <c r="F155">
        <v>6619</v>
      </c>
      <c r="G155" t="s">
        <v>2673</v>
      </c>
      <c r="H155" t="s">
        <v>2665</v>
      </c>
      <c r="I155">
        <v>64.446644849999998</v>
      </c>
      <c r="J155">
        <v>64.446644849999998</v>
      </c>
      <c r="K155">
        <v>64.446644849999998</v>
      </c>
      <c r="L155">
        <v>64.446644849999998</v>
      </c>
      <c r="M155">
        <v>64.446644849999998</v>
      </c>
      <c r="N155" t="s">
        <v>988</v>
      </c>
    </row>
    <row r="156" spans="1:14" x14ac:dyDescent="0.3">
      <c r="A156">
        <v>1144</v>
      </c>
      <c r="B156" t="s">
        <v>1581</v>
      </c>
      <c r="C156" t="s">
        <v>2677</v>
      </c>
      <c r="D156" t="s">
        <v>1203</v>
      </c>
      <c r="E156" t="s">
        <v>1204</v>
      </c>
      <c r="F156">
        <v>6619</v>
      </c>
      <c r="G156" t="s">
        <v>2671</v>
      </c>
      <c r="H156" t="s">
        <v>2664</v>
      </c>
      <c r="I156">
        <v>70.584420550000004</v>
      </c>
      <c r="J156">
        <v>70.584420550000004</v>
      </c>
      <c r="K156">
        <v>70.584420550000004</v>
      </c>
      <c r="L156">
        <v>70.584420550000004</v>
      </c>
      <c r="M156">
        <v>70.584420550000004</v>
      </c>
      <c r="N156" t="s">
        <v>988</v>
      </c>
    </row>
    <row r="157" spans="1:14" x14ac:dyDescent="0.3">
      <c r="A157">
        <v>1144</v>
      </c>
      <c r="B157" t="s">
        <v>1581</v>
      </c>
      <c r="C157" t="s">
        <v>2677</v>
      </c>
      <c r="D157" t="s">
        <v>1203</v>
      </c>
      <c r="E157" t="s">
        <v>1204</v>
      </c>
      <c r="F157">
        <v>6619</v>
      </c>
      <c r="G157" t="s">
        <v>2671</v>
      </c>
      <c r="H157" t="s">
        <v>2665</v>
      </c>
      <c r="I157">
        <v>64.446644849999998</v>
      </c>
      <c r="J157">
        <v>64.446644849999998</v>
      </c>
      <c r="K157">
        <v>64.446644849999998</v>
      </c>
      <c r="L157">
        <v>64.446644849999998</v>
      </c>
      <c r="M157">
        <v>64.446644849999998</v>
      </c>
      <c r="N157" t="s">
        <v>988</v>
      </c>
    </row>
    <row r="158" spans="1:14" x14ac:dyDescent="0.3">
      <c r="A158">
        <v>1209</v>
      </c>
      <c r="B158" t="s">
        <v>2160</v>
      </c>
      <c r="C158" t="s">
        <v>2677</v>
      </c>
      <c r="D158" t="s">
        <v>1203</v>
      </c>
      <c r="E158" t="s">
        <v>1204</v>
      </c>
      <c r="F158">
        <v>5873</v>
      </c>
      <c r="G158" t="s">
        <v>2672</v>
      </c>
      <c r="H158" t="s">
        <v>2665</v>
      </c>
      <c r="N158" t="s">
        <v>988</v>
      </c>
    </row>
    <row r="159" spans="1:14" x14ac:dyDescent="0.3">
      <c r="A159">
        <v>1209</v>
      </c>
      <c r="B159" t="s">
        <v>2160</v>
      </c>
      <c r="C159" t="s">
        <v>2677</v>
      </c>
      <c r="D159" t="s">
        <v>1203</v>
      </c>
      <c r="E159" t="s">
        <v>1204</v>
      </c>
      <c r="F159">
        <v>5873</v>
      </c>
      <c r="G159" t="s">
        <v>2676</v>
      </c>
      <c r="H159" t="s">
        <v>2665</v>
      </c>
      <c r="I159">
        <v>10083</v>
      </c>
      <c r="J159">
        <v>10413</v>
      </c>
      <c r="K159">
        <v>10751</v>
      </c>
      <c r="L159">
        <v>11099</v>
      </c>
      <c r="N159" t="s">
        <v>988</v>
      </c>
    </row>
    <row r="160" spans="1:14" x14ac:dyDescent="0.3">
      <c r="A160">
        <v>1209</v>
      </c>
      <c r="B160" t="s">
        <v>2160</v>
      </c>
      <c r="C160" t="s">
        <v>2677</v>
      </c>
      <c r="D160" t="s">
        <v>1203</v>
      </c>
      <c r="E160" t="s">
        <v>1204</v>
      </c>
      <c r="F160">
        <v>5873</v>
      </c>
      <c r="G160" t="s">
        <v>2675</v>
      </c>
      <c r="H160" t="s">
        <v>2664</v>
      </c>
      <c r="I160">
        <v>84000</v>
      </c>
      <c r="J160">
        <v>84000</v>
      </c>
      <c r="K160">
        <v>84000</v>
      </c>
      <c r="L160">
        <v>84000</v>
      </c>
      <c r="N160" t="s">
        <v>988</v>
      </c>
    </row>
    <row r="161" spans="1:14" x14ac:dyDescent="0.3">
      <c r="A161">
        <v>1209</v>
      </c>
      <c r="B161" t="s">
        <v>2160</v>
      </c>
      <c r="C161" t="s">
        <v>2677</v>
      </c>
      <c r="D161" t="s">
        <v>1203</v>
      </c>
      <c r="E161" t="s">
        <v>1204</v>
      </c>
      <c r="F161">
        <v>5873</v>
      </c>
      <c r="G161" t="s">
        <v>2675</v>
      </c>
      <c r="H161" t="s">
        <v>2665</v>
      </c>
      <c r="I161">
        <v>10083</v>
      </c>
      <c r="J161">
        <v>10413</v>
      </c>
      <c r="K161">
        <v>10751</v>
      </c>
      <c r="L161">
        <v>11099</v>
      </c>
      <c r="N161" t="s">
        <v>988</v>
      </c>
    </row>
    <row r="162" spans="1:14" x14ac:dyDescent="0.3">
      <c r="A162">
        <v>1209</v>
      </c>
      <c r="B162" t="s">
        <v>2160</v>
      </c>
      <c r="C162" t="s">
        <v>2677</v>
      </c>
      <c r="D162" t="s">
        <v>1203</v>
      </c>
      <c r="E162" t="s">
        <v>1204</v>
      </c>
      <c r="F162">
        <v>5873</v>
      </c>
      <c r="G162" t="s">
        <v>2674</v>
      </c>
      <c r="H162" t="s">
        <v>2664</v>
      </c>
      <c r="I162">
        <v>84000</v>
      </c>
      <c r="J162">
        <v>84000</v>
      </c>
      <c r="K162">
        <v>84000</v>
      </c>
      <c r="L162">
        <v>84000</v>
      </c>
      <c r="N162" t="s">
        <v>988</v>
      </c>
    </row>
    <row r="163" spans="1:14" x14ac:dyDescent="0.3">
      <c r="A163">
        <v>1209</v>
      </c>
      <c r="B163" t="s">
        <v>2160</v>
      </c>
      <c r="C163" t="s">
        <v>2677</v>
      </c>
      <c r="D163" t="s">
        <v>1203</v>
      </c>
      <c r="E163" t="s">
        <v>1204</v>
      </c>
      <c r="F163">
        <v>5873</v>
      </c>
      <c r="G163" t="s">
        <v>2676</v>
      </c>
      <c r="H163" t="s">
        <v>2664</v>
      </c>
      <c r="I163">
        <v>84000</v>
      </c>
      <c r="J163">
        <v>84000</v>
      </c>
      <c r="K163">
        <v>84000</v>
      </c>
      <c r="L163">
        <v>84000</v>
      </c>
      <c r="N163" t="s">
        <v>988</v>
      </c>
    </row>
    <row r="164" spans="1:14" x14ac:dyDescent="0.3">
      <c r="A164">
        <v>1209</v>
      </c>
      <c r="B164" t="s">
        <v>2160</v>
      </c>
      <c r="C164" t="s">
        <v>2677</v>
      </c>
      <c r="D164" t="s">
        <v>1203</v>
      </c>
      <c r="E164" t="s">
        <v>1204</v>
      </c>
      <c r="F164">
        <v>5873</v>
      </c>
      <c r="G164" t="s">
        <v>2673</v>
      </c>
      <c r="H164" t="s">
        <v>2664</v>
      </c>
      <c r="I164">
        <v>84000</v>
      </c>
      <c r="J164">
        <v>84000</v>
      </c>
      <c r="K164">
        <v>84000</v>
      </c>
      <c r="L164">
        <v>84000</v>
      </c>
      <c r="N164" t="s">
        <v>988</v>
      </c>
    </row>
    <row r="165" spans="1:14" x14ac:dyDescent="0.3">
      <c r="A165">
        <v>1209</v>
      </c>
      <c r="B165" t="s">
        <v>2160</v>
      </c>
      <c r="C165" t="s">
        <v>2677</v>
      </c>
      <c r="D165" t="s">
        <v>1203</v>
      </c>
      <c r="E165" t="s">
        <v>1204</v>
      </c>
      <c r="F165">
        <v>5873</v>
      </c>
      <c r="G165" t="s">
        <v>2673</v>
      </c>
      <c r="H165" t="s">
        <v>2665</v>
      </c>
      <c r="I165">
        <v>10083</v>
      </c>
      <c r="J165">
        <v>10413</v>
      </c>
      <c r="K165">
        <v>10751</v>
      </c>
      <c r="L165">
        <v>11099</v>
      </c>
      <c r="N165" t="s">
        <v>988</v>
      </c>
    </row>
    <row r="166" spans="1:14" x14ac:dyDescent="0.3">
      <c r="A166">
        <v>1209</v>
      </c>
      <c r="B166" t="s">
        <v>2160</v>
      </c>
      <c r="C166" t="s">
        <v>2677</v>
      </c>
      <c r="D166" t="s">
        <v>1203</v>
      </c>
      <c r="E166" t="s">
        <v>1204</v>
      </c>
      <c r="F166">
        <v>5873</v>
      </c>
      <c r="G166" t="s">
        <v>2671</v>
      </c>
      <c r="H166" t="s">
        <v>2664</v>
      </c>
      <c r="I166">
        <v>84000</v>
      </c>
      <c r="J166">
        <v>84000</v>
      </c>
      <c r="K166">
        <v>84000</v>
      </c>
      <c r="L166">
        <v>84000</v>
      </c>
      <c r="N166" t="s">
        <v>988</v>
      </c>
    </row>
    <row r="167" spans="1:14" x14ac:dyDescent="0.3">
      <c r="A167">
        <v>1209</v>
      </c>
      <c r="B167" t="s">
        <v>2160</v>
      </c>
      <c r="C167" t="s">
        <v>2677</v>
      </c>
      <c r="D167" t="s">
        <v>1203</v>
      </c>
      <c r="E167" t="s">
        <v>1204</v>
      </c>
      <c r="F167">
        <v>5873</v>
      </c>
      <c r="G167" t="s">
        <v>2671</v>
      </c>
      <c r="H167" t="s">
        <v>2665</v>
      </c>
      <c r="I167">
        <v>10083</v>
      </c>
      <c r="J167">
        <v>10413</v>
      </c>
      <c r="K167">
        <v>10751</v>
      </c>
      <c r="L167">
        <v>11099</v>
      </c>
      <c r="N167" t="s">
        <v>988</v>
      </c>
    </row>
    <row r="168" spans="1:14" x14ac:dyDescent="0.3">
      <c r="A168">
        <v>1209</v>
      </c>
      <c r="B168" t="s">
        <v>2160</v>
      </c>
      <c r="C168" t="s">
        <v>2677</v>
      </c>
      <c r="D168" t="s">
        <v>1203</v>
      </c>
      <c r="E168" t="s">
        <v>1204</v>
      </c>
      <c r="F168">
        <v>5873</v>
      </c>
      <c r="G168" t="s">
        <v>2672</v>
      </c>
      <c r="H168" t="s">
        <v>2664</v>
      </c>
      <c r="N168" t="s">
        <v>988</v>
      </c>
    </row>
    <row r="169" spans="1:14" x14ac:dyDescent="0.3">
      <c r="A169">
        <v>1209</v>
      </c>
      <c r="B169" t="s">
        <v>2160</v>
      </c>
      <c r="C169" t="s">
        <v>2677</v>
      </c>
      <c r="D169" t="s">
        <v>1203</v>
      </c>
      <c r="E169" t="s">
        <v>1204</v>
      </c>
      <c r="F169">
        <v>5873</v>
      </c>
      <c r="G169" t="s">
        <v>2674</v>
      </c>
      <c r="H169" t="s">
        <v>2665</v>
      </c>
      <c r="I169">
        <v>10083</v>
      </c>
      <c r="J169">
        <v>10413</v>
      </c>
      <c r="K169">
        <v>10751</v>
      </c>
      <c r="L169">
        <v>11099</v>
      </c>
      <c r="N169" t="s">
        <v>988</v>
      </c>
    </row>
    <row r="170" spans="1:14" x14ac:dyDescent="0.3">
      <c r="A170">
        <v>1239</v>
      </c>
      <c r="B170" t="s">
        <v>2169</v>
      </c>
      <c r="C170" t="s">
        <v>2677</v>
      </c>
      <c r="D170" t="s">
        <v>159</v>
      </c>
      <c r="E170" t="s">
        <v>159</v>
      </c>
      <c r="F170">
        <v>6849</v>
      </c>
      <c r="G170" t="s">
        <v>2676</v>
      </c>
      <c r="H170" t="s">
        <v>2664</v>
      </c>
      <c r="I170">
        <v>153329</v>
      </c>
      <c r="J170">
        <v>156462</v>
      </c>
      <c r="K170">
        <v>157397</v>
      </c>
      <c r="L170">
        <v>160091</v>
      </c>
      <c r="M170">
        <v>160091</v>
      </c>
      <c r="N170" t="s">
        <v>988</v>
      </c>
    </row>
    <row r="171" spans="1:14" x14ac:dyDescent="0.3">
      <c r="A171">
        <v>1239</v>
      </c>
      <c r="B171" t="s">
        <v>2169</v>
      </c>
      <c r="C171" t="s">
        <v>2677</v>
      </c>
      <c r="D171" t="s">
        <v>159</v>
      </c>
      <c r="E171" t="s">
        <v>159</v>
      </c>
      <c r="F171">
        <v>6849</v>
      </c>
      <c r="G171" t="s">
        <v>2672</v>
      </c>
      <c r="H171" t="s">
        <v>2665</v>
      </c>
      <c r="I171">
        <v>120206</v>
      </c>
      <c r="J171">
        <v>125752</v>
      </c>
      <c r="K171">
        <v>130318</v>
      </c>
      <c r="L171">
        <v>135879</v>
      </c>
      <c r="M171">
        <v>136456</v>
      </c>
      <c r="N171" t="s">
        <v>988</v>
      </c>
    </row>
    <row r="172" spans="1:14" x14ac:dyDescent="0.3">
      <c r="A172">
        <v>1239</v>
      </c>
      <c r="B172" t="s">
        <v>2169</v>
      </c>
      <c r="C172" t="s">
        <v>2677</v>
      </c>
      <c r="D172" t="s">
        <v>159</v>
      </c>
      <c r="E172" t="s">
        <v>159</v>
      </c>
      <c r="F172">
        <v>6849</v>
      </c>
      <c r="G172" t="s">
        <v>2672</v>
      </c>
      <c r="H172" t="s">
        <v>2664</v>
      </c>
      <c r="I172">
        <v>153329</v>
      </c>
      <c r="J172">
        <v>156462</v>
      </c>
      <c r="K172">
        <v>157397</v>
      </c>
      <c r="L172">
        <v>160091</v>
      </c>
      <c r="M172">
        <v>160091</v>
      </c>
      <c r="N172" t="s">
        <v>988</v>
      </c>
    </row>
    <row r="173" spans="1:14" x14ac:dyDescent="0.3">
      <c r="A173">
        <v>1239</v>
      </c>
      <c r="B173" t="s">
        <v>2169</v>
      </c>
      <c r="C173" t="s">
        <v>2677</v>
      </c>
      <c r="D173" t="s">
        <v>159</v>
      </c>
      <c r="E173" t="s">
        <v>159</v>
      </c>
      <c r="F173">
        <v>6849</v>
      </c>
      <c r="G173" t="s">
        <v>2671</v>
      </c>
      <c r="H173" t="s">
        <v>2665</v>
      </c>
      <c r="I173">
        <v>120206</v>
      </c>
      <c r="J173">
        <v>125752</v>
      </c>
      <c r="K173">
        <v>130318</v>
      </c>
      <c r="L173">
        <v>135879</v>
      </c>
      <c r="M173">
        <v>136456</v>
      </c>
      <c r="N173" t="s">
        <v>988</v>
      </c>
    </row>
    <row r="174" spans="1:14" x14ac:dyDescent="0.3">
      <c r="A174">
        <v>1239</v>
      </c>
      <c r="B174" t="s">
        <v>2169</v>
      </c>
      <c r="C174" t="s">
        <v>2677</v>
      </c>
      <c r="D174" t="s">
        <v>159</v>
      </c>
      <c r="E174" t="s">
        <v>159</v>
      </c>
      <c r="F174">
        <v>6849</v>
      </c>
      <c r="G174" t="s">
        <v>2671</v>
      </c>
      <c r="H174" t="s">
        <v>2664</v>
      </c>
      <c r="I174">
        <v>153329</v>
      </c>
      <c r="J174">
        <v>156462</v>
      </c>
      <c r="K174">
        <v>157397</v>
      </c>
      <c r="L174">
        <v>160091</v>
      </c>
      <c r="M174">
        <v>160091</v>
      </c>
      <c r="N174" t="s">
        <v>988</v>
      </c>
    </row>
    <row r="175" spans="1:14" x14ac:dyDescent="0.3">
      <c r="A175">
        <v>1239</v>
      </c>
      <c r="B175" t="s">
        <v>2169</v>
      </c>
      <c r="C175" t="s">
        <v>2677</v>
      </c>
      <c r="D175" t="s">
        <v>159</v>
      </c>
      <c r="E175" t="s">
        <v>159</v>
      </c>
      <c r="F175">
        <v>6849</v>
      </c>
      <c r="G175" t="s">
        <v>2676</v>
      </c>
      <c r="H175" t="s">
        <v>2665</v>
      </c>
      <c r="I175">
        <v>120206</v>
      </c>
      <c r="J175">
        <v>125752</v>
      </c>
      <c r="K175">
        <v>130318</v>
      </c>
      <c r="L175">
        <v>135879</v>
      </c>
      <c r="M175">
        <v>136456</v>
      </c>
      <c r="N175" t="s">
        <v>988</v>
      </c>
    </row>
    <row r="176" spans="1:14" x14ac:dyDescent="0.3">
      <c r="A176">
        <v>1239</v>
      </c>
      <c r="B176" t="s">
        <v>2169</v>
      </c>
      <c r="C176" t="s">
        <v>2677</v>
      </c>
      <c r="D176" t="s">
        <v>159</v>
      </c>
      <c r="E176" t="s">
        <v>159</v>
      </c>
      <c r="F176">
        <v>6849</v>
      </c>
      <c r="G176" t="s">
        <v>2673</v>
      </c>
      <c r="H176" t="s">
        <v>2664</v>
      </c>
      <c r="I176">
        <v>153329</v>
      </c>
      <c r="J176">
        <v>156462</v>
      </c>
      <c r="K176">
        <v>157397</v>
      </c>
      <c r="L176">
        <v>160091</v>
      </c>
      <c r="M176">
        <v>160091</v>
      </c>
      <c r="N176" t="s">
        <v>988</v>
      </c>
    </row>
    <row r="177" spans="1:14" x14ac:dyDescent="0.3">
      <c r="A177">
        <v>1239</v>
      </c>
      <c r="B177" t="s">
        <v>2169</v>
      </c>
      <c r="C177" t="s">
        <v>2677</v>
      </c>
      <c r="D177" t="s">
        <v>159</v>
      </c>
      <c r="E177" t="s">
        <v>159</v>
      </c>
      <c r="F177">
        <v>6849</v>
      </c>
      <c r="G177" t="s">
        <v>2674</v>
      </c>
      <c r="H177" t="s">
        <v>2665</v>
      </c>
      <c r="I177">
        <v>120206</v>
      </c>
      <c r="J177">
        <v>125752</v>
      </c>
      <c r="K177">
        <v>130318</v>
      </c>
      <c r="L177">
        <v>135879</v>
      </c>
      <c r="M177">
        <v>136456</v>
      </c>
      <c r="N177" t="s">
        <v>988</v>
      </c>
    </row>
    <row r="178" spans="1:14" x14ac:dyDescent="0.3">
      <c r="A178">
        <v>1239</v>
      </c>
      <c r="B178" t="s">
        <v>2169</v>
      </c>
      <c r="C178" t="s">
        <v>2677</v>
      </c>
      <c r="D178" t="s">
        <v>159</v>
      </c>
      <c r="E178" t="s">
        <v>159</v>
      </c>
      <c r="F178">
        <v>6849</v>
      </c>
      <c r="G178" t="s">
        <v>2674</v>
      </c>
      <c r="H178" t="s">
        <v>2664</v>
      </c>
      <c r="I178">
        <v>153329</v>
      </c>
      <c r="J178">
        <v>156462</v>
      </c>
      <c r="K178">
        <v>157397</v>
      </c>
      <c r="L178">
        <v>160091</v>
      </c>
      <c r="M178">
        <v>160091</v>
      </c>
      <c r="N178" t="s">
        <v>988</v>
      </c>
    </row>
    <row r="179" spans="1:14" x14ac:dyDescent="0.3">
      <c r="A179">
        <v>1239</v>
      </c>
      <c r="B179" t="s">
        <v>2169</v>
      </c>
      <c r="C179" t="s">
        <v>2677</v>
      </c>
      <c r="D179" t="s">
        <v>159</v>
      </c>
      <c r="E179" t="s">
        <v>159</v>
      </c>
      <c r="F179">
        <v>6849</v>
      </c>
      <c r="G179" t="s">
        <v>2675</v>
      </c>
      <c r="H179" t="s">
        <v>2665</v>
      </c>
      <c r="I179">
        <v>120206</v>
      </c>
      <c r="J179">
        <v>125752</v>
      </c>
      <c r="K179">
        <v>130318</v>
      </c>
      <c r="L179">
        <v>135879</v>
      </c>
      <c r="M179">
        <v>136456</v>
      </c>
      <c r="N179" t="s">
        <v>988</v>
      </c>
    </row>
    <row r="180" spans="1:14" x14ac:dyDescent="0.3">
      <c r="A180">
        <v>1239</v>
      </c>
      <c r="B180" t="s">
        <v>2169</v>
      </c>
      <c r="C180" t="s">
        <v>2677</v>
      </c>
      <c r="D180" t="s">
        <v>159</v>
      </c>
      <c r="E180" t="s">
        <v>159</v>
      </c>
      <c r="F180">
        <v>6849</v>
      </c>
      <c r="G180" t="s">
        <v>2675</v>
      </c>
      <c r="H180" t="s">
        <v>2664</v>
      </c>
      <c r="I180">
        <v>153329</v>
      </c>
      <c r="J180">
        <v>156462</v>
      </c>
      <c r="K180">
        <v>157397</v>
      </c>
      <c r="L180">
        <v>160091</v>
      </c>
      <c r="M180">
        <v>160091</v>
      </c>
      <c r="N180" t="s">
        <v>988</v>
      </c>
    </row>
    <row r="181" spans="1:14" x14ac:dyDescent="0.3">
      <c r="A181">
        <v>1239</v>
      </c>
      <c r="B181" t="s">
        <v>2169</v>
      </c>
      <c r="C181" t="s">
        <v>2677</v>
      </c>
      <c r="D181" t="s">
        <v>159</v>
      </c>
      <c r="E181" t="s">
        <v>159</v>
      </c>
      <c r="F181">
        <v>6849</v>
      </c>
      <c r="G181" t="s">
        <v>2673</v>
      </c>
      <c r="H181" t="s">
        <v>2665</v>
      </c>
      <c r="I181">
        <v>120206</v>
      </c>
      <c r="J181">
        <v>125752</v>
      </c>
      <c r="K181">
        <v>130318</v>
      </c>
      <c r="L181">
        <v>135879</v>
      </c>
      <c r="M181">
        <v>136456</v>
      </c>
      <c r="N181" t="s">
        <v>988</v>
      </c>
    </row>
    <row r="182" spans="1:14" x14ac:dyDescent="0.3">
      <c r="A182">
        <v>1288</v>
      </c>
      <c r="B182" t="s">
        <v>908</v>
      </c>
      <c r="C182" t="s">
        <v>2677</v>
      </c>
      <c r="D182" t="s">
        <v>159</v>
      </c>
      <c r="E182" t="s">
        <v>159</v>
      </c>
      <c r="F182">
        <v>5581</v>
      </c>
      <c r="G182" t="s">
        <v>2672</v>
      </c>
      <c r="H182" t="s">
        <v>2665</v>
      </c>
      <c r="N182" t="s">
        <v>988</v>
      </c>
    </row>
    <row r="183" spans="1:14" x14ac:dyDescent="0.3">
      <c r="A183">
        <v>1288</v>
      </c>
      <c r="B183" t="s">
        <v>908</v>
      </c>
      <c r="C183" t="s">
        <v>2677</v>
      </c>
      <c r="D183" t="s">
        <v>159</v>
      </c>
      <c r="E183" t="s">
        <v>159</v>
      </c>
      <c r="F183">
        <v>5581</v>
      </c>
      <c r="G183" t="s">
        <v>2672</v>
      </c>
      <c r="H183" t="s">
        <v>2664</v>
      </c>
      <c r="N183" t="s">
        <v>988</v>
      </c>
    </row>
    <row r="184" spans="1:14" x14ac:dyDescent="0.3">
      <c r="A184">
        <v>1288</v>
      </c>
      <c r="B184" t="s">
        <v>908</v>
      </c>
      <c r="C184" t="s">
        <v>2677</v>
      </c>
      <c r="D184" t="s">
        <v>159</v>
      </c>
      <c r="E184" t="s">
        <v>159</v>
      </c>
      <c r="F184">
        <v>5581</v>
      </c>
      <c r="G184" t="s">
        <v>2671</v>
      </c>
      <c r="H184" t="s">
        <v>2665</v>
      </c>
      <c r="I184">
        <v>62575</v>
      </c>
      <c r="J184">
        <v>64075</v>
      </c>
      <c r="K184">
        <v>65600</v>
      </c>
      <c r="L184">
        <v>65600</v>
      </c>
      <c r="M184">
        <v>65600</v>
      </c>
      <c r="N184" t="s">
        <v>988</v>
      </c>
    </row>
    <row r="185" spans="1:14" x14ac:dyDescent="0.3">
      <c r="A185">
        <v>1288</v>
      </c>
      <c r="B185" t="s">
        <v>908</v>
      </c>
      <c r="C185" t="s">
        <v>2677</v>
      </c>
      <c r="D185" t="s">
        <v>159</v>
      </c>
      <c r="E185" t="s">
        <v>159</v>
      </c>
      <c r="F185">
        <v>5581</v>
      </c>
      <c r="G185" t="s">
        <v>2671</v>
      </c>
      <c r="H185" t="s">
        <v>2664</v>
      </c>
      <c r="I185">
        <v>77907</v>
      </c>
      <c r="J185">
        <v>77907</v>
      </c>
      <c r="K185">
        <v>77907</v>
      </c>
      <c r="L185">
        <v>77907</v>
      </c>
      <c r="M185">
        <v>77907</v>
      </c>
      <c r="N185" t="s">
        <v>988</v>
      </c>
    </row>
    <row r="186" spans="1:14" x14ac:dyDescent="0.3">
      <c r="A186">
        <v>1288</v>
      </c>
      <c r="B186" t="s">
        <v>908</v>
      </c>
      <c r="C186" t="s">
        <v>2677</v>
      </c>
      <c r="D186" t="s">
        <v>159</v>
      </c>
      <c r="E186" t="s">
        <v>159</v>
      </c>
      <c r="F186">
        <v>5581</v>
      </c>
      <c r="G186" t="s">
        <v>2673</v>
      </c>
      <c r="H186" t="s">
        <v>2665</v>
      </c>
      <c r="I186">
        <v>62575</v>
      </c>
      <c r="J186">
        <v>64075</v>
      </c>
      <c r="K186">
        <v>65600</v>
      </c>
      <c r="L186">
        <v>65600</v>
      </c>
      <c r="M186">
        <v>65600</v>
      </c>
      <c r="N186" t="s">
        <v>988</v>
      </c>
    </row>
    <row r="187" spans="1:14" x14ac:dyDescent="0.3">
      <c r="A187">
        <v>1288</v>
      </c>
      <c r="B187" t="s">
        <v>908</v>
      </c>
      <c r="C187" t="s">
        <v>2677</v>
      </c>
      <c r="D187" t="s">
        <v>159</v>
      </c>
      <c r="E187" t="s">
        <v>159</v>
      </c>
      <c r="F187">
        <v>5581</v>
      </c>
      <c r="G187" t="s">
        <v>2676</v>
      </c>
      <c r="H187" t="s">
        <v>2664</v>
      </c>
      <c r="I187">
        <v>88769</v>
      </c>
      <c r="J187">
        <v>88769</v>
      </c>
      <c r="K187">
        <v>88769</v>
      </c>
      <c r="L187">
        <v>88769</v>
      </c>
      <c r="M187">
        <v>88769</v>
      </c>
      <c r="N187" t="s">
        <v>988</v>
      </c>
    </row>
    <row r="188" spans="1:14" x14ac:dyDescent="0.3">
      <c r="A188">
        <v>1288</v>
      </c>
      <c r="B188" t="s">
        <v>908</v>
      </c>
      <c r="C188" t="s">
        <v>2677</v>
      </c>
      <c r="D188" t="s">
        <v>159</v>
      </c>
      <c r="E188" t="s">
        <v>159</v>
      </c>
      <c r="F188">
        <v>5581</v>
      </c>
      <c r="G188" t="s">
        <v>2674</v>
      </c>
      <c r="H188" t="s">
        <v>2665</v>
      </c>
      <c r="I188">
        <v>62575</v>
      </c>
      <c r="J188">
        <v>64075</v>
      </c>
      <c r="K188">
        <v>65600</v>
      </c>
      <c r="L188">
        <v>65600</v>
      </c>
      <c r="M188">
        <v>65600</v>
      </c>
      <c r="N188" t="s">
        <v>988</v>
      </c>
    </row>
    <row r="189" spans="1:14" x14ac:dyDescent="0.3">
      <c r="A189">
        <v>1288</v>
      </c>
      <c r="B189" t="s">
        <v>908</v>
      </c>
      <c r="C189" t="s">
        <v>2677</v>
      </c>
      <c r="D189" t="s">
        <v>159</v>
      </c>
      <c r="E189" t="s">
        <v>159</v>
      </c>
      <c r="F189">
        <v>5581</v>
      </c>
      <c r="G189" t="s">
        <v>2674</v>
      </c>
      <c r="H189" t="s">
        <v>2664</v>
      </c>
      <c r="I189">
        <v>82135</v>
      </c>
      <c r="J189">
        <v>82135</v>
      </c>
      <c r="K189">
        <v>82135</v>
      </c>
      <c r="L189">
        <v>82135</v>
      </c>
      <c r="M189">
        <v>82135</v>
      </c>
      <c r="N189" t="s">
        <v>988</v>
      </c>
    </row>
    <row r="190" spans="1:14" x14ac:dyDescent="0.3">
      <c r="A190">
        <v>1288</v>
      </c>
      <c r="B190" t="s">
        <v>908</v>
      </c>
      <c r="C190" t="s">
        <v>2677</v>
      </c>
      <c r="D190" t="s">
        <v>159</v>
      </c>
      <c r="E190" t="s">
        <v>159</v>
      </c>
      <c r="F190">
        <v>5581</v>
      </c>
      <c r="G190" t="s">
        <v>2675</v>
      </c>
      <c r="H190" t="s">
        <v>2665</v>
      </c>
      <c r="I190">
        <v>62575</v>
      </c>
      <c r="J190">
        <v>64075</v>
      </c>
      <c r="K190">
        <v>65600</v>
      </c>
      <c r="L190">
        <v>65600</v>
      </c>
      <c r="M190">
        <v>65600</v>
      </c>
      <c r="N190" t="s">
        <v>988</v>
      </c>
    </row>
    <row r="191" spans="1:14" x14ac:dyDescent="0.3">
      <c r="A191">
        <v>1288</v>
      </c>
      <c r="B191" t="s">
        <v>908</v>
      </c>
      <c r="C191" t="s">
        <v>2677</v>
      </c>
      <c r="D191" t="s">
        <v>159</v>
      </c>
      <c r="E191" t="s">
        <v>159</v>
      </c>
      <c r="F191">
        <v>5581</v>
      </c>
      <c r="G191" t="s">
        <v>2675</v>
      </c>
      <c r="H191" t="s">
        <v>2664</v>
      </c>
      <c r="I191">
        <v>111777</v>
      </c>
      <c r="J191">
        <v>111777</v>
      </c>
      <c r="K191">
        <v>111777</v>
      </c>
      <c r="L191">
        <v>111777</v>
      </c>
      <c r="M191">
        <v>111777</v>
      </c>
      <c r="N191" t="s">
        <v>988</v>
      </c>
    </row>
    <row r="192" spans="1:14" x14ac:dyDescent="0.3">
      <c r="A192">
        <v>1288</v>
      </c>
      <c r="B192" t="s">
        <v>908</v>
      </c>
      <c r="C192" t="s">
        <v>2677</v>
      </c>
      <c r="D192" t="s">
        <v>159</v>
      </c>
      <c r="E192" t="s">
        <v>159</v>
      </c>
      <c r="F192">
        <v>5581</v>
      </c>
      <c r="G192" t="s">
        <v>2676</v>
      </c>
      <c r="H192" t="s">
        <v>2665</v>
      </c>
      <c r="I192">
        <v>62575</v>
      </c>
      <c r="J192">
        <v>64075</v>
      </c>
      <c r="K192">
        <v>65600</v>
      </c>
      <c r="L192">
        <v>65600</v>
      </c>
      <c r="M192">
        <v>65600</v>
      </c>
      <c r="N192" t="s">
        <v>988</v>
      </c>
    </row>
    <row r="193" spans="1:14" x14ac:dyDescent="0.3">
      <c r="A193">
        <v>1288</v>
      </c>
      <c r="B193" t="s">
        <v>908</v>
      </c>
      <c r="C193" t="s">
        <v>2677</v>
      </c>
      <c r="D193" t="s">
        <v>159</v>
      </c>
      <c r="E193" t="s">
        <v>159</v>
      </c>
      <c r="F193">
        <v>5581</v>
      </c>
      <c r="G193" t="s">
        <v>2673</v>
      </c>
      <c r="H193" t="s">
        <v>2664</v>
      </c>
      <c r="I193">
        <v>86895</v>
      </c>
      <c r="J193">
        <v>86895</v>
      </c>
      <c r="K193">
        <v>86895</v>
      </c>
      <c r="L193">
        <v>86895</v>
      </c>
      <c r="M193">
        <v>86895</v>
      </c>
      <c r="N193" t="s">
        <v>988</v>
      </c>
    </row>
    <row r="194" spans="1:14" x14ac:dyDescent="0.3">
      <c r="A194">
        <v>1599</v>
      </c>
      <c r="B194" t="s">
        <v>955</v>
      </c>
      <c r="C194" t="s">
        <v>2677</v>
      </c>
      <c r="D194" t="s">
        <v>159</v>
      </c>
      <c r="E194" t="s">
        <v>159</v>
      </c>
      <c r="F194">
        <v>5421</v>
      </c>
      <c r="G194" t="s">
        <v>2674</v>
      </c>
      <c r="H194" t="s">
        <v>2665</v>
      </c>
      <c r="I194">
        <v>1592000</v>
      </c>
      <c r="J194">
        <v>1570000</v>
      </c>
      <c r="K194">
        <v>1537000</v>
      </c>
      <c r="L194">
        <v>1539000</v>
      </c>
      <c r="M194">
        <v>1564000</v>
      </c>
      <c r="N194" t="s">
        <v>988</v>
      </c>
    </row>
    <row r="195" spans="1:14" x14ac:dyDescent="0.3">
      <c r="A195">
        <v>1599</v>
      </c>
      <c r="B195" t="s">
        <v>955</v>
      </c>
      <c r="C195" t="s">
        <v>2677</v>
      </c>
      <c r="D195" t="s">
        <v>159</v>
      </c>
      <c r="E195" t="s">
        <v>159</v>
      </c>
      <c r="F195">
        <v>5421</v>
      </c>
      <c r="G195" t="s">
        <v>2674</v>
      </c>
      <c r="H195" t="s">
        <v>2664</v>
      </c>
      <c r="I195">
        <v>2178800</v>
      </c>
      <c r="J195">
        <v>2219000</v>
      </c>
      <c r="K195">
        <v>2241000</v>
      </c>
      <c r="L195">
        <v>2263000</v>
      </c>
      <c r="M195">
        <v>2239000</v>
      </c>
      <c r="N195" t="s">
        <v>988</v>
      </c>
    </row>
    <row r="196" spans="1:14" x14ac:dyDescent="0.3">
      <c r="A196">
        <v>1599</v>
      </c>
      <c r="B196" t="s">
        <v>955</v>
      </c>
      <c r="C196" t="s">
        <v>2677</v>
      </c>
      <c r="D196" t="s">
        <v>159</v>
      </c>
      <c r="E196" t="s">
        <v>159</v>
      </c>
      <c r="F196">
        <v>5421</v>
      </c>
      <c r="G196" t="s">
        <v>2675</v>
      </c>
      <c r="H196" t="s">
        <v>2665</v>
      </c>
      <c r="I196">
        <v>1592000</v>
      </c>
      <c r="J196">
        <v>1570000</v>
      </c>
      <c r="K196">
        <v>1537000</v>
      </c>
      <c r="L196">
        <v>1539000</v>
      </c>
      <c r="M196">
        <v>1564000</v>
      </c>
      <c r="N196" t="s">
        <v>988</v>
      </c>
    </row>
    <row r="197" spans="1:14" x14ac:dyDescent="0.3">
      <c r="A197">
        <v>1599</v>
      </c>
      <c r="B197" t="s">
        <v>955</v>
      </c>
      <c r="C197" t="s">
        <v>2677</v>
      </c>
      <c r="D197" t="s">
        <v>159</v>
      </c>
      <c r="E197" t="s">
        <v>159</v>
      </c>
      <c r="F197">
        <v>5421</v>
      </c>
      <c r="G197" t="s">
        <v>2675</v>
      </c>
      <c r="H197" t="s">
        <v>2664</v>
      </c>
      <c r="I197">
        <v>2178800</v>
      </c>
      <c r="J197">
        <v>2219000</v>
      </c>
      <c r="K197">
        <v>2241000</v>
      </c>
      <c r="L197">
        <v>2263000</v>
      </c>
      <c r="M197">
        <v>2239000</v>
      </c>
      <c r="N197" t="s">
        <v>988</v>
      </c>
    </row>
    <row r="198" spans="1:14" x14ac:dyDescent="0.3">
      <c r="A198">
        <v>1599</v>
      </c>
      <c r="B198" t="s">
        <v>955</v>
      </c>
      <c r="C198" t="s">
        <v>2677</v>
      </c>
      <c r="D198" t="s">
        <v>159</v>
      </c>
      <c r="E198" t="s">
        <v>159</v>
      </c>
      <c r="F198">
        <v>5421</v>
      </c>
      <c r="G198" t="s">
        <v>2676</v>
      </c>
      <c r="H198" t="s">
        <v>2665</v>
      </c>
      <c r="I198">
        <v>1592000</v>
      </c>
      <c r="J198">
        <v>1570000</v>
      </c>
      <c r="K198">
        <v>1537000</v>
      </c>
      <c r="L198">
        <v>1539000</v>
      </c>
      <c r="M198">
        <v>1564000</v>
      </c>
      <c r="N198" t="s">
        <v>988</v>
      </c>
    </row>
    <row r="199" spans="1:14" x14ac:dyDescent="0.3">
      <c r="A199">
        <v>1599</v>
      </c>
      <c r="B199" t="s">
        <v>955</v>
      </c>
      <c r="C199" t="s">
        <v>2677</v>
      </c>
      <c r="D199" t="s">
        <v>159</v>
      </c>
      <c r="E199" t="s">
        <v>159</v>
      </c>
      <c r="F199">
        <v>5421</v>
      </c>
      <c r="G199" t="s">
        <v>2676</v>
      </c>
      <c r="H199" t="s">
        <v>2664</v>
      </c>
      <c r="I199">
        <v>2178800</v>
      </c>
      <c r="J199">
        <v>2219000</v>
      </c>
      <c r="K199">
        <v>2241000</v>
      </c>
      <c r="L199">
        <v>2263000</v>
      </c>
      <c r="M199">
        <v>2239000</v>
      </c>
      <c r="N199" t="s">
        <v>988</v>
      </c>
    </row>
    <row r="200" spans="1:14" x14ac:dyDescent="0.3">
      <c r="A200">
        <v>1599</v>
      </c>
      <c r="B200" t="s">
        <v>955</v>
      </c>
      <c r="C200" t="s">
        <v>2677</v>
      </c>
      <c r="D200" t="s">
        <v>159</v>
      </c>
      <c r="E200" t="s">
        <v>159</v>
      </c>
      <c r="F200">
        <v>5421</v>
      </c>
      <c r="G200" t="s">
        <v>2673</v>
      </c>
      <c r="H200" t="s">
        <v>2665</v>
      </c>
      <c r="I200">
        <v>1592000</v>
      </c>
      <c r="J200">
        <v>1570000</v>
      </c>
      <c r="K200">
        <v>1537000</v>
      </c>
      <c r="L200">
        <v>1539000</v>
      </c>
      <c r="M200">
        <v>1564000</v>
      </c>
      <c r="N200" t="s">
        <v>988</v>
      </c>
    </row>
    <row r="201" spans="1:14" x14ac:dyDescent="0.3">
      <c r="A201">
        <v>1599</v>
      </c>
      <c r="B201" t="s">
        <v>955</v>
      </c>
      <c r="C201" t="s">
        <v>2677</v>
      </c>
      <c r="D201" t="s">
        <v>159</v>
      </c>
      <c r="E201" t="s">
        <v>159</v>
      </c>
      <c r="F201">
        <v>5421</v>
      </c>
      <c r="G201" t="s">
        <v>2671</v>
      </c>
      <c r="H201" t="s">
        <v>2664</v>
      </c>
      <c r="I201">
        <v>2178800</v>
      </c>
      <c r="J201">
        <v>2219000</v>
      </c>
      <c r="K201">
        <v>2241000</v>
      </c>
      <c r="L201">
        <v>2263000</v>
      </c>
      <c r="M201">
        <v>2239000</v>
      </c>
      <c r="N201" t="s">
        <v>988</v>
      </c>
    </row>
    <row r="202" spans="1:14" x14ac:dyDescent="0.3">
      <c r="A202">
        <v>1599</v>
      </c>
      <c r="B202" t="s">
        <v>955</v>
      </c>
      <c r="C202" t="s">
        <v>2677</v>
      </c>
      <c r="D202" t="s">
        <v>159</v>
      </c>
      <c r="E202" t="s">
        <v>159</v>
      </c>
      <c r="F202">
        <v>5421</v>
      </c>
      <c r="G202" t="s">
        <v>2671</v>
      </c>
      <c r="H202" t="s">
        <v>2665</v>
      </c>
      <c r="I202">
        <v>1592000</v>
      </c>
      <c r="J202">
        <v>1570000</v>
      </c>
      <c r="K202">
        <v>1537000</v>
      </c>
      <c r="L202">
        <v>1539000</v>
      </c>
      <c r="M202">
        <v>1564000</v>
      </c>
      <c r="N202" t="s">
        <v>988</v>
      </c>
    </row>
    <row r="203" spans="1:14" x14ac:dyDescent="0.3">
      <c r="A203">
        <v>1599</v>
      </c>
      <c r="B203" t="s">
        <v>955</v>
      </c>
      <c r="C203" t="s">
        <v>2677</v>
      </c>
      <c r="D203" t="s">
        <v>159</v>
      </c>
      <c r="E203" t="s">
        <v>159</v>
      </c>
      <c r="F203">
        <v>5421</v>
      </c>
      <c r="G203" t="s">
        <v>2672</v>
      </c>
      <c r="H203" t="s">
        <v>2664</v>
      </c>
      <c r="N203" t="s">
        <v>988</v>
      </c>
    </row>
    <row r="204" spans="1:14" x14ac:dyDescent="0.3">
      <c r="A204">
        <v>1599</v>
      </c>
      <c r="B204" t="s">
        <v>955</v>
      </c>
      <c r="C204" t="s">
        <v>2677</v>
      </c>
      <c r="D204" t="s">
        <v>159</v>
      </c>
      <c r="E204" t="s">
        <v>159</v>
      </c>
      <c r="F204">
        <v>5421</v>
      </c>
      <c r="G204" t="s">
        <v>2672</v>
      </c>
      <c r="H204" t="s">
        <v>2665</v>
      </c>
      <c r="N204" t="s">
        <v>988</v>
      </c>
    </row>
    <row r="205" spans="1:14" x14ac:dyDescent="0.3">
      <c r="A205">
        <v>1599</v>
      </c>
      <c r="B205" t="s">
        <v>955</v>
      </c>
      <c r="C205" t="s">
        <v>2677</v>
      </c>
      <c r="D205" t="s">
        <v>159</v>
      </c>
      <c r="E205" t="s">
        <v>159</v>
      </c>
      <c r="F205">
        <v>5421</v>
      </c>
      <c r="G205" t="s">
        <v>2673</v>
      </c>
      <c r="H205" t="s">
        <v>2664</v>
      </c>
      <c r="I205">
        <v>2178800</v>
      </c>
      <c r="J205">
        <v>2219000</v>
      </c>
      <c r="K205">
        <v>2241000</v>
      </c>
      <c r="L205">
        <v>2263000</v>
      </c>
      <c r="M205">
        <v>2239000</v>
      </c>
      <c r="N205" t="s">
        <v>988</v>
      </c>
    </row>
    <row r="206" spans="1:14" x14ac:dyDescent="0.3">
      <c r="A206">
        <v>1632</v>
      </c>
      <c r="B206" t="s">
        <v>2173</v>
      </c>
      <c r="C206" t="s">
        <v>2677</v>
      </c>
      <c r="D206" t="s">
        <v>1203</v>
      </c>
      <c r="E206" t="s">
        <v>1204</v>
      </c>
      <c r="F206">
        <v>5632</v>
      </c>
      <c r="G206" t="s">
        <v>2673</v>
      </c>
      <c r="H206" t="s">
        <v>2665</v>
      </c>
      <c r="I206">
        <v>21503</v>
      </c>
      <c r="J206">
        <v>24330</v>
      </c>
      <c r="K206">
        <v>27156</v>
      </c>
      <c r="L206">
        <v>29983</v>
      </c>
      <c r="M206">
        <v>32810</v>
      </c>
      <c r="N206" t="s">
        <v>988</v>
      </c>
    </row>
    <row r="207" spans="1:14" x14ac:dyDescent="0.3">
      <c r="A207">
        <v>1632</v>
      </c>
      <c r="B207" t="s">
        <v>2173</v>
      </c>
      <c r="C207" t="s">
        <v>2677</v>
      </c>
      <c r="D207" t="s">
        <v>1203</v>
      </c>
      <c r="E207" t="s">
        <v>1204</v>
      </c>
      <c r="F207">
        <v>5632</v>
      </c>
      <c r="G207" t="s">
        <v>2671</v>
      </c>
      <c r="H207" t="s">
        <v>2664</v>
      </c>
      <c r="I207">
        <v>16648</v>
      </c>
      <c r="J207">
        <v>18781</v>
      </c>
      <c r="K207">
        <v>20914</v>
      </c>
      <c r="L207">
        <v>23048</v>
      </c>
      <c r="M207">
        <v>25181</v>
      </c>
      <c r="N207" t="s">
        <v>988</v>
      </c>
    </row>
    <row r="208" spans="1:14" x14ac:dyDescent="0.3">
      <c r="A208">
        <v>1632</v>
      </c>
      <c r="B208" t="s">
        <v>2173</v>
      </c>
      <c r="C208" t="s">
        <v>2677</v>
      </c>
      <c r="D208" t="s">
        <v>1203</v>
      </c>
      <c r="E208" t="s">
        <v>1204</v>
      </c>
      <c r="F208">
        <v>5632</v>
      </c>
      <c r="G208" t="s">
        <v>2671</v>
      </c>
      <c r="H208" t="s">
        <v>2665</v>
      </c>
      <c r="I208">
        <v>16648</v>
      </c>
      <c r="J208">
        <v>18781</v>
      </c>
      <c r="K208">
        <v>20914</v>
      </c>
      <c r="L208">
        <v>23048</v>
      </c>
      <c r="M208">
        <v>25181</v>
      </c>
      <c r="N208" t="s">
        <v>988</v>
      </c>
    </row>
    <row r="209" spans="1:14" x14ac:dyDescent="0.3">
      <c r="A209">
        <v>1632</v>
      </c>
      <c r="B209" t="s">
        <v>2173</v>
      </c>
      <c r="C209" t="s">
        <v>2677</v>
      </c>
      <c r="D209" t="s">
        <v>1203</v>
      </c>
      <c r="E209" t="s">
        <v>1204</v>
      </c>
      <c r="F209">
        <v>5632</v>
      </c>
      <c r="G209" t="s">
        <v>2672</v>
      </c>
      <c r="H209" t="s">
        <v>2664</v>
      </c>
      <c r="N209" t="s">
        <v>988</v>
      </c>
    </row>
    <row r="210" spans="1:14" x14ac:dyDescent="0.3">
      <c r="A210">
        <v>1632</v>
      </c>
      <c r="B210" t="s">
        <v>2173</v>
      </c>
      <c r="C210" t="s">
        <v>2677</v>
      </c>
      <c r="D210" t="s">
        <v>1203</v>
      </c>
      <c r="E210" t="s">
        <v>1204</v>
      </c>
      <c r="F210">
        <v>5632</v>
      </c>
      <c r="G210" t="s">
        <v>2672</v>
      </c>
      <c r="H210" t="s">
        <v>2665</v>
      </c>
      <c r="N210" t="s">
        <v>988</v>
      </c>
    </row>
    <row r="211" spans="1:14" x14ac:dyDescent="0.3">
      <c r="A211">
        <v>1632</v>
      </c>
      <c r="B211" t="s">
        <v>2173</v>
      </c>
      <c r="C211" t="s">
        <v>2677</v>
      </c>
      <c r="D211" t="s">
        <v>1203</v>
      </c>
      <c r="E211" t="s">
        <v>1204</v>
      </c>
      <c r="F211">
        <v>5632</v>
      </c>
      <c r="G211" t="s">
        <v>2673</v>
      </c>
      <c r="H211" t="s">
        <v>2664</v>
      </c>
      <c r="I211">
        <v>21503</v>
      </c>
      <c r="J211">
        <v>24330</v>
      </c>
      <c r="K211">
        <v>27156</v>
      </c>
      <c r="L211">
        <v>29983</v>
      </c>
      <c r="M211">
        <v>32810</v>
      </c>
      <c r="N211" t="s">
        <v>988</v>
      </c>
    </row>
    <row r="212" spans="1:14" x14ac:dyDescent="0.3">
      <c r="A212">
        <v>1632</v>
      </c>
      <c r="B212" t="s">
        <v>2173</v>
      </c>
      <c r="C212" t="s">
        <v>2677</v>
      </c>
      <c r="D212" t="s">
        <v>1203</v>
      </c>
      <c r="E212" t="s">
        <v>1204</v>
      </c>
      <c r="F212">
        <v>5632</v>
      </c>
      <c r="G212" t="s">
        <v>2676</v>
      </c>
      <c r="H212" t="s">
        <v>2664</v>
      </c>
      <c r="I212">
        <v>34347</v>
      </c>
      <c r="J212">
        <v>39253</v>
      </c>
      <c r="K212">
        <v>44160</v>
      </c>
      <c r="L212">
        <v>49067</v>
      </c>
      <c r="M212">
        <v>53973</v>
      </c>
      <c r="N212" t="s">
        <v>988</v>
      </c>
    </row>
    <row r="213" spans="1:14" x14ac:dyDescent="0.3">
      <c r="A213">
        <v>1632</v>
      </c>
      <c r="B213" t="s">
        <v>2173</v>
      </c>
      <c r="C213" t="s">
        <v>2677</v>
      </c>
      <c r="D213" t="s">
        <v>1203</v>
      </c>
      <c r="E213" t="s">
        <v>1204</v>
      </c>
      <c r="F213">
        <v>5632</v>
      </c>
      <c r="G213" t="s">
        <v>2676</v>
      </c>
      <c r="H213" t="s">
        <v>2665</v>
      </c>
      <c r="I213">
        <v>34347</v>
      </c>
      <c r="J213">
        <v>39253</v>
      </c>
      <c r="K213">
        <v>44160</v>
      </c>
      <c r="L213">
        <v>49067</v>
      </c>
      <c r="M213">
        <v>53973</v>
      </c>
      <c r="N213" t="s">
        <v>988</v>
      </c>
    </row>
    <row r="214" spans="1:14" x14ac:dyDescent="0.3">
      <c r="A214">
        <v>1632</v>
      </c>
      <c r="B214" t="s">
        <v>2173</v>
      </c>
      <c r="C214" t="s">
        <v>2677</v>
      </c>
      <c r="D214" t="s">
        <v>1203</v>
      </c>
      <c r="E214" t="s">
        <v>1204</v>
      </c>
      <c r="F214">
        <v>5632</v>
      </c>
      <c r="G214" t="s">
        <v>2675</v>
      </c>
      <c r="H214" t="s">
        <v>2664</v>
      </c>
      <c r="I214">
        <v>30321</v>
      </c>
      <c r="J214">
        <v>34534</v>
      </c>
      <c r="K214">
        <v>38748</v>
      </c>
      <c r="L214">
        <v>42961</v>
      </c>
      <c r="M214">
        <v>47174</v>
      </c>
      <c r="N214" t="s">
        <v>988</v>
      </c>
    </row>
    <row r="215" spans="1:14" x14ac:dyDescent="0.3">
      <c r="A215">
        <v>1632</v>
      </c>
      <c r="B215" t="s">
        <v>2173</v>
      </c>
      <c r="C215" t="s">
        <v>2677</v>
      </c>
      <c r="D215" t="s">
        <v>1203</v>
      </c>
      <c r="E215" t="s">
        <v>1204</v>
      </c>
      <c r="F215">
        <v>5632</v>
      </c>
      <c r="G215" t="s">
        <v>2675</v>
      </c>
      <c r="H215" t="s">
        <v>2665</v>
      </c>
      <c r="I215">
        <v>30321</v>
      </c>
      <c r="J215">
        <v>34534</v>
      </c>
      <c r="K215">
        <v>38748</v>
      </c>
      <c r="L215">
        <v>42961</v>
      </c>
      <c r="M215">
        <v>47174</v>
      </c>
      <c r="N215" t="s">
        <v>988</v>
      </c>
    </row>
    <row r="216" spans="1:14" x14ac:dyDescent="0.3">
      <c r="A216">
        <v>1632</v>
      </c>
      <c r="B216" t="s">
        <v>2173</v>
      </c>
      <c r="C216" t="s">
        <v>2677</v>
      </c>
      <c r="D216" t="s">
        <v>1203</v>
      </c>
      <c r="E216" t="s">
        <v>1204</v>
      </c>
      <c r="F216">
        <v>5632</v>
      </c>
      <c r="G216" t="s">
        <v>2674</v>
      </c>
      <c r="H216" t="s">
        <v>2664</v>
      </c>
      <c r="I216">
        <v>26023</v>
      </c>
      <c r="J216">
        <v>29543</v>
      </c>
      <c r="K216">
        <v>33063</v>
      </c>
      <c r="L216">
        <v>36583</v>
      </c>
      <c r="M216">
        <v>40103</v>
      </c>
      <c r="N216" t="s">
        <v>988</v>
      </c>
    </row>
    <row r="217" spans="1:14" x14ac:dyDescent="0.3">
      <c r="A217">
        <v>1632</v>
      </c>
      <c r="B217" t="s">
        <v>2173</v>
      </c>
      <c r="C217" t="s">
        <v>2677</v>
      </c>
      <c r="D217" t="s">
        <v>1203</v>
      </c>
      <c r="E217" t="s">
        <v>1204</v>
      </c>
      <c r="F217">
        <v>5632</v>
      </c>
      <c r="G217" t="s">
        <v>2674</v>
      </c>
      <c r="H217" t="s">
        <v>2665</v>
      </c>
      <c r="I217">
        <v>26023</v>
      </c>
      <c r="J217">
        <v>29543</v>
      </c>
      <c r="K217">
        <v>33063</v>
      </c>
      <c r="L217">
        <v>36583</v>
      </c>
      <c r="M217">
        <v>40103</v>
      </c>
      <c r="N217" t="s">
        <v>988</v>
      </c>
    </row>
    <row r="218" spans="1:14" x14ac:dyDescent="0.3">
      <c r="A218">
        <v>1635</v>
      </c>
      <c r="B218" t="s">
        <v>829</v>
      </c>
      <c r="C218" t="s">
        <v>2677</v>
      </c>
      <c r="D218" t="s">
        <v>159</v>
      </c>
      <c r="E218" t="s">
        <v>159</v>
      </c>
      <c r="F218">
        <v>7838</v>
      </c>
      <c r="G218" t="s">
        <v>2675</v>
      </c>
      <c r="H218" t="s">
        <v>2664</v>
      </c>
      <c r="I218">
        <v>130800</v>
      </c>
      <c r="J218">
        <v>135300</v>
      </c>
      <c r="K218">
        <v>137700</v>
      </c>
      <c r="L218">
        <v>140200</v>
      </c>
      <c r="M218">
        <v>142900</v>
      </c>
      <c r="N218" t="s">
        <v>988</v>
      </c>
    </row>
    <row r="219" spans="1:14" x14ac:dyDescent="0.3">
      <c r="A219">
        <v>1635</v>
      </c>
      <c r="B219" t="s">
        <v>829</v>
      </c>
      <c r="C219" t="s">
        <v>2677</v>
      </c>
      <c r="D219" t="s">
        <v>159</v>
      </c>
      <c r="E219" t="s">
        <v>159</v>
      </c>
      <c r="F219">
        <v>7838</v>
      </c>
      <c r="G219" t="s">
        <v>2675</v>
      </c>
      <c r="H219" t="s">
        <v>2665</v>
      </c>
      <c r="I219">
        <v>130800</v>
      </c>
      <c r="J219">
        <v>135300</v>
      </c>
      <c r="K219">
        <v>137700</v>
      </c>
      <c r="L219">
        <v>140200</v>
      </c>
      <c r="M219">
        <v>142900</v>
      </c>
      <c r="N219" t="s">
        <v>988</v>
      </c>
    </row>
    <row r="220" spans="1:14" x14ac:dyDescent="0.3">
      <c r="A220">
        <v>1635</v>
      </c>
      <c r="B220" t="s">
        <v>829</v>
      </c>
      <c r="C220" t="s">
        <v>2677</v>
      </c>
      <c r="D220" t="s">
        <v>159</v>
      </c>
      <c r="E220" t="s">
        <v>159</v>
      </c>
      <c r="F220">
        <v>7838</v>
      </c>
      <c r="G220" t="s">
        <v>2674</v>
      </c>
      <c r="H220" t="s">
        <v>2664</v>
      </c>
      <c r="I220">
        <v>130800</v>
      </c>
      <c r="J220">
        <v>135300</v>
      </c>
      <c r="K220">
        <v>137700</v>
      </c>
      <c r="L220">
        <v>140200</v>
      </c>
      <c r="M220">
        <v>142900</v>
      </c>
      <c r="N220" t="s">
        <v>988</v>
      </c>
    </row>
    <row r="221" spans="1:14" x14ac:dyDescent="0.3">
      <c r="A221">
        <v>1635</v>
      </c>
      <c r="B221" t="s">
        <v>829</v>
      </c>
      <c r="C221" t="s">
        <v>2677</v>
      </c>
      <c r="D221" t="s">
        <v>159</v>
      </c>
      <c r="E221" t="s">
        <v>159</v>
      </c>
      <c r="F221">
        <v>7838</v>
      </c>
      <c r="G221" t="s">
        <v>2674</v>
      </c>
      <c r="H221" t="s">
        <v>2665</v>
      </c>
      <c r="I221">
        <v>130800</v>
      </c>
      <c r="J221">
        <v>135300</v>
      </c>
      <c r="K221">
        <v>137700</v>
      </c>
      <c r="L221">
        <v>140200</v>
      </c>
      <c r="M221">
        <v>142900</v>
      </c>
      <c r="N221" t="s">
        <v>988</v>
      </c>
    </row>
    <row r="222" spans="1:14" x14ac:dyDescent="0.3">
      <c r="A222">
        <v>1635</v>
      </c>
      <c r="B222" t="s">
        <v>829</v>
      </c>
      <c r="C222" t="s">
        <v>2677</v>
      </c>
      <c r="D222" t="s">
        <v>159</v>
      </c>
      <c r="E222" t="s">
        <v>159</v>
      </c>
      <c r="F222">
        <v>7838</v>
      </c>
      <c r="G222" t="s">
        <v>2673</v>
      </c>
      <c r="H222" t="s">
        <v>2664</v>
      </c>
      <c r="I222">
        <v>130800</v>
      </c>
      <c r="J222">
        <v>135300</v>
      </c>
      <c r="K222">
        <v>137700</v>
      </c>
      <c r="L222">
        <v>140200</v>
      </c>
      <c r="M222">
        <v>142900</v>
      </c>
      <c r="N222" t="s">
        <v>988</v>
      </c>
    </row>
    <row r="223" spans="1:14" x14ac:dyDescent="0.3">
      <c r="A223">
        <v>1635</v>
      </c>
      <c r="B223" t="s">
        <v>829</v>
      </c>
      <c r="C223" t="s">
        <v>2677</v>
      </c>
      <c r="D223" t="s">
        <v>159</v>
      </c>
      <c r="E223" t="s">
        <v>159</v>
      </c>
      <c r="F223">
        <v>7838</v>
      </c>
      <c r="G223" t="s">
        <v>2676</v>
      </c>
      <c r="H223" t="s">
        <v>2665</v>
      </c>
      <c r="I223">
        <v>130800</v>
      </c>
      <c r="J223">
        <v>135300</v>
      </c>
      <c r="K223">
        <v>137700</v>
      </c>
      <c r="L223">
        <v>140200</v>
      </c>
      <c r="M223">
        <v>142900</v>
      </c>
      <c r="N223" t="s">
        <v>988</v>
      </c>
    </row>
    <row r="224" spans="1:14" x14ac:dyDescent="0.3">
      <c r="A224">
        <v>1635</v>
      </c>
      <c r="B224" t="s">
        <v>829</v>
      </c>
      <c r="C224" t="s">
        <v>2677</v>
      </c>
      <c r="D224" t="s">
        <v>159</v>
      </c>
      <c r="E224" t="s">
        <v>159</v>
      </c>
      <c r="F224">
        <v>7838</v>
      </c>
      <c r="G224" t="s">
        <v>2672</v>
      </c>
      <c r="H224" t="s">
        <v>2665</v>
      </c>
      <c r="N224" t="s">
        <v>988</v>
      </c>
    </row>
    <row r="225" spans="1:14" x14ac:dyDescent="0.3">
      <c r="A225">
        <v>1635</v>
      </c>
      <c r="B225" t="s">
        <v>829</v>
      </c>
      <c r="C225" t="s">
        <v>2677</v>
      </c>
      <c r="D225" t="s">
        <v>159</v>
      </c>
      <c r="E225" t="s">
        <v>159</v>
      </c>
      <c r="F225">
        <v>7838</v>
      </c>
      <c r="G225" t="s">
        <v>2672</v>
      </c>
      <c r="H225" t="s">
        <v>2664</v>
      </c>
      <c r="N225" t="s">
        <v>988</v>
      </c>
    </row>
    <row r="226" spans="1:14" x14ac:dyDescent="0.3">
      <c r="A226">
        <v>1635</v>
      </c>
      <c r="B226" t="s">
        <v>829</v>
      </c>
      <c r="C226" t="s">
        <v>2677</v>
      </c>
      <c r="D226" t="s">
        <v>159</v>
      </c>
      <c r="E226" t="s">
        <v>159</v>
      </c>
      <c r="F226">
        <v>7838</v>
      </c>
      <c r="G226" t="s">
        <v>2671</v>
      </c>
      <c r="H226" t="s">
        <v>2665</v>
      </c>
      <c r="I226">
        <v>130800</v>
      </c>
      <c r="J226">
        <v>135300</v>
      </c>
      <c r="K226">
        <v>137700</v>
      </c>
      <c r="L226">
        <v>140200</v>
      </c>
      <c r="M226">
        <v>142900</v>
      </c>
      <c r="N226" t="s">
        <v>988</v>
      </c>
    </row>
    <row r="227" spans="1:14" x14ac:dyDescent="0.3">
      <c r="A227">
        <v>1635</v>
      </c>
      <c r="B227" t="s">
        <v>829</v>
      </c>
      <c r="C227" t="s">
        <v>2677</v>
      </c>
      <c r="D227" t="s">
        <v>159</v>
      </c>
      <c r="E227" t="s">
        <v>159</v>
      </c>
      <c r="F227">
        <v>7838</v>
      </c>
      <c r="G227" t="s">
        <v>2671</v>
      </c>
      <c r="H227" t="s">
        <v>2664</v>
      </c>
      <c r="I227">
        <v>139234</v>
      </c>
      <c r="J227">
        <v>141492</v>
      </c>
      <c r="K227">
        <v>142759</v>
      </c>
      <c r="L227">
        <v>144033</v>
      </c>
      <c r="M227">
        <v>145444</v>
      </c>
      <c r="N227" t="s">
        <v>988</v>
      </c>
    </row>
    <row r="228" spans="1:14" x14ac:dyDescent="0.3">
      <c r="A228">
        <v>1635</v>
      </c>
      <c r="B228" t="s">
        <v>829</v>
      </c>
      <c r="C228" t="s">
        <v>2677</v>
      </c>
      <c r="D228" t="s">
        <v>159</v>
      </c>
      <c r="E228" t="s">
        <v>159</v>
      </c>
      <c r="F228">
        <v>7838</v>
      </c>
      <c r="G228" t="s">
        <v>2673</v>
      </c>
      <c r="H228" t="s">
        <v>2665</v>
      </c>
      <c r="I228">
        <v>130800</v>
      </c>
      <c r="J228">
        <v>135300</v>
      </c>
      <c r="K228">
        <v>137700</v>
      </c>
      <c r="L228">
        <v>140200</v>
      </c>
      <c r="M228">
        <v>142900</v>
      </c>
      <c r="N228" t="s">
        <v>988</v>
      </c>
    </row>
    <row r="229" spans="1:14" x14ac:dyDescent="0.3">
      <c r="A229">
        <v>1635</v>
      </c>
      <c r="B229" t="s">
        <v>829</v>
      </c>
      <c r="C229" t="s">
        <v>2677</v>
      </c>
      <c r="D229" t="s">
        <v>159</v>
      </c>
      <c r="E229" t="s">
        <v>159</v>
      </c>
      <c r="F229">
        <v>7838</v>
      </c>
      <c r="G229" t="s">
        <v>2676</v>
      </c>
      <c r="H229" t="s">
        <v>2664</v>
      </c>
      <c r="I229">
        <v>139234</v>
      </c>
      <c r="J229">
        <v>141492</v>
      </c>
      <c r="K229">
        <v>142759</v>
      </c>
      <c r="L229">
        <v>144033</v>
      </c>
      <c r="M229">
        <v>145444</v>
      </c>
      <c r="N229" t="s">
        <v>988</v>
      </c>
    </row>
    <row r="230" spans="1:14" x14ac:dyDescent="0.3">
      <c r="A230">
        <v>1642</v>
      </c>
      <c r="B230" t="s">
        <v>1720</v>
      </c>
      <c r="C230" t="s">
        <v>2677</v>
      </c>
      <c r="D230" t="s">
        <v>1203</v>
      </c>
      <c r="E230" t="s">
        <v>1204</v>
      </c>
      <c r="F230">
        <v>5531</v>
      </c>
      <c r="G230" t="s">
        <v>2676</v>
      </c>
      <c r="H230" t="s">
        <v>2664</v>
      </c>
      <c r="I230">
        <v>7171</v>
      </c>
      <c r="J230">
        <v>7171</v>
      </c>
      <c r="K230">
        <v>7171</v>
      </c>
      <c r="L230">
        <v>7171</v>
      </c>
      <c r="M230">
        <v>7171</v>
      </c>
      <c r="N230" t="s">
        <v>988</v>
      </c>
    </row>
    <row r="231" spans="1:14" x14ac:dyDescent="0.3">
      <c r="A231">
        <v>1642</v>
      </c>
      <c r="B231" t="s">
        <v>1720</v>
      </c>
      <c r="C231" t="s">
        <v>2677</v>
      </c>
      <c r="D231" t="s">
        <v>1203</v>
      </c>
      <c r="E231" t="s">
        <v>1204</v>
      </c>
      <c r="F231">
        <v>5531</v>
      </c>
      <c r="G231" t="s">
        <v>2676</v>
      </c>
      <c r="H231" t="s">
        <v>2665</v>
      </c>
      <c r="I231">
        <v>7171</v>
      </c>
      <c r="J231">
        <v>7171</v>
      </c>
      <c r="K231">
        <v>7171</v>
      </c>
      <c r="L231">
        <v>7171</v>
      </c>
      <c r="M231">
        <v>7171</v>
      </c>
      <c r="N231" t="s">
        <v>988</v>
      </c>
    </row>
    <row r="232" spans="1:14" x14ac:dyDescent="0.3">
      <c r="A232">
        <v>1642</v>
      </c>
      <c r="B232" t="s">
        <v>1720</v>
      </c>
      <c r="C232" t="s">
        <v>2677</v>
      </c>
      <c r="D232" t="s">
        <v>1203</v>
      </c>
      <c r="E232" t="s">
        <v>1204</v>
      </c>
      <c r="F232">
        <v>5531</v>
      </c>
      <c r="G232" t="s">
        <v>2675</v>
      </c>
      <c r="H232" t="s">
        <v>2664</v>
      </c>
      <c r="I232">
        <v>8080</v>
      </c>
      <c r="J232">
        <v>8080</v>
      </c>
      <c r="K232">
        <v>8080</v>
      </c>
      <c r="L232">
        <v>8080</v>
      </c>
      <c r="M232">
        <v>8080</v>
      </c>
      <c r="N232" t="s">
        <v>988</v>
      </c>
    </row>
    <row r="233" spans="1:14" x14ac:dyDescent="0.3">
      <c r="A233">
        <v>1642</v>
      </c>
      <c r="B233" t="s">
        <v>1720</v>
      </c>
      <c r="C233" t="s">
        <v>2677</v>
      </c>
      <c r="D233" t="s">
        <v>1203</v>
      </c>
      <c r="E233" t="s">
        <v>1204</v>
      </c>
      <c r="F233">
        <v>5531</v>
      </c>
      <c r="G233" t="s">
        <v>2675</v>
      </c>
      <c r="H233" t="s">
        <v>2665</v>
      </c>
      <c r="I233">
        <v>8080</v>
      </c>
      <c r="J233">
        <v>8080</v>
      </c>
      <c r="K233">
        <v>8080</v>
      </c>
      <c r="L233">
        <v>8080</v>
      </c>
      <c r="M233">
        <v>8080</v>
      </c>
      <c r="N233" t="s">
        <v>988</v>
      </c>
    </row>
    <row r="234" spans="1:14" x14ac:dyDescent="0.3">
      <c r="A234">
        <v>1642</v>
      </c>
      <c r="B234" t="s">
        <v>1720</v>
      </c>
      <c r="C234" t="s">
        <v>2677</v>
      </c>
      <c r="D234" t="s">
        <v>1203</v>
      </c>
      <c r="E234" t="s">
        <v>1204</v>
      </c>
      <c r="F234">
        <v>5531</v>
      </c>
      <c r="G234" t="s">
        <v>2674</v>
      </c>
      <c r="H234" t="s">
        <v>2664</v>
      </c>
      <c r="I234">
        <v>9862</v>
      </c>
      <c r="J234">
        <v>9862</v>
      </c>
      <c r="K234">
        <v>9862</v>
      </c>
      <c r="L234">
        <v>9862</v>
      </c>
      <c r="M234">
        <v>9862</v>
      </c>
      <c r="N234" t="s">
        <v>988</v>
      </c>
    </row>
    <row r="235" spans="1:14" x14ac:dyDescent="0.3">
      <c r="A235">
        <v>1642</v>
      </c>
      <c r="B235" t="s">
        <v>1720</v>
      </c>
      <c r="C235" t="s">
        <v>2677</v>
      </c>
      <c r="D235" t="s">
        <v>1203</v>
      </c>
      <c r="E235" t="s">
        <v>1204</v>
      </c>
      <c r="F235">
        <v>5531</v>
      </c>
      <c r="G235" t="s">
        <v>2674</v>
      </c>
      <c r="H235" t="s">
        <v>2665</v>
      </c>
      <c r="I235">
        <v>9862</v>
      </c>
      <c r="J235">
        <v>9862</v>
      </c>
      <c r="K235">
        <v>9862</v>
      </c>
      <c r="L235">
        <v>9862</v>
      </c>
      <c r="M235">
        <v>9862</v>
      </c>
      <c r="N235" t="s">
        <v>988</v>
      </c>
    </row>
    <row r="236" spans="1:14" x14ac:dyDescent="0.3">
      <c r="A236">
        <v>1642</v>
      </c>
      <c r="B236" t="s">
        <v>1720</v>
      </c>
      <c r="C236" t="s">
        <v>2677</v>
      </c>
      <c r="D236" t="s">
        <v>1203</v>
      </c>
      <c r="E236" t="s">
        <v>1204</v>
      </c>
      <c r="F236">
        <v>5531</v>
      </c>
      <c r="G236" t="s">
        <v>2673</v>
      </c>
      <c r="H236" t="s">
        <v>2664</v>
      </c>
      <c r="I236">
        <v>5184</v>
      </c>
      <c r="J236">
        <v>5184</v>
      </c>
      <c r="K236">
        <v>5184</v>
      </c>
      <c r="L236">
        <v>5184</v>
      </c>
      <c r="M236">
        <v>5184</v>
      </c>
      <c r="N236" t="s">
        <v>988</v>
      </c>
    </row>
    <row r="237" spans="1:14" x14ac:dyDescent="0.3">
      <c r="A237">
        <v>1642</v>
      </c>
      <c r="B237" t="s">
        <v>1720</v>
      </c>
      <c r="C237" t="s">
        <v>2677</v>
      </c>
      <c r="D237" t="s">
        <v>1203</v>
      </c>
      <c r="E237" t="s">
        <v>1204</v>
      </c>
      <c r="F237">
        <v>5531</v>
      </c>
      <c r="G237" t="s">
        <v>2673</v>
      </c>
      <c r="H237" t="s">
        <v>2665</v>
      </c>
      <c r="I237">
        <v>5184</v>
      </c>
      <c r="J237">
        <v>5184</v>
      </c>
      <c r="K237">
        <v>5184</v>
      </c>
      <c r="L237">
        <v>5184</v>
      </c>
      <c r="M237">
        <v>5184</v>
      </c>
      <c r="N237" t="s">
        <v>988</v>
      </c>
    </row>
    <row r="238" spans="1:14" x14ac:dyDescent="0.3">
      <c r="A238">
        <v>1642</v>
      </c>
      <c r="B238" t="s">
        <v>1720</v>
      </c>
      <c r="C238" t="s">
        <v>2677</v>
      </c>
      <c r="D238" t="s">
        <v>1203</v>
      </c>
      <c r="E238" t="s">
        <v>1204</v>
      </c>
      <c r="F238">
        <v>5531</v>
      </c>
      <c r="G238" t="s">
        <v>2671</v>
      </c>
      <c r="H238" t="s">
        <v>2664</v>
      </c>
      <c r="I238">
        <v>6549</v>
      </c>
      <c r="J238">
        <v>6549</v>
      </c>
      <c r="K238">
        <v>6549</v>
      </c>
      <c r="L238">
        <v>6549</v>
      </c>
      <c r="M238">
        <v>6549</v>
      </c>
      <c r="N238" t="s">
        <v>988</v>
      </c>
    </row>
    <row r="239" spans="1:14" x14ac:dyDescent="0.3">
      <c r="A239">
        <v>1642</v>
      </c>
      <c r="B239" t="s">
        <v>1720</v>
      </c>
      <c r="C239" t="s">
        <v>2677</v>
      </c>
      <c r="D239" t="s">
        <v>1203</v>
      </c>
      <c r="E239" t="s">
        <v>1204</v>
      </c>
      <c r="F239">
        <v>5531</v>
      </c>
      <c r="G239" t="s">
        <v>2671</v>
      </c>
      <c r="H239" t="s">
        <v>2665</v>
      </c>
      <c r="I239">
        <v>6549</v>
      </c>
      <c r="J239">
        <v>6549</v>
      </c>
      <c r="K239">
        <v>6549</v>
      </c>
      <c r="L239">
        <v>6549</v>
      </c>
      <c r="M239">
        <v>6549</v>
      </c>
      <c r="N239" t="s">
        <v>988</v>
      </c>
    </row>
    <row r="240" spans="1:14" x14ac:dyDescent="0.3">
      <c r="A240">
        <v>1642</v>
      </c>
      <c r="B240" t="s">
        <v>1720</v>
      </c>
      <c r="C240" t="s">
        <v>2677</v>
      </c>
      <c r="D240" t="s">
        <v>1203</v>
      </c>
      <c r="E240" t="s">
        <v>1204</v>
      </c>
      <c r="F240">
        <v>5531</v>
      </c>
      <c r="G240" t="s">
        <v>2672</v>
      </c>
      <c r="H240" t="s">
        <v>2665</v>
      </c>
      <c r="N240" t="s">
        <v>988</v>
      </c>
    </row>
    <row r="241" spans="1:14" x14ac:dyDescent="0.3">
      <c r="A241">
        <v>1642</v>
      </c>
      <c r="B241" t="s">
        <v>1720</v>
      </c>
      <c r="C241" t="s">
        <v>2677</v>
      </c>
      <c r="D241" t="s">
        <v>1203</v>
      </c>
      <c r="E241" t="s">
        <v>1204</v>
      </c>
      <c r="F241">
        <v>5531</v>
      </c>
      <c r="G241" t="s">
        <v>2672</v>
      </c>
      <c r="H241" t="s">
        <v>2664</v>
      </c>
      <c r="N241" t="s">
        <v>988</v>
      </c>
    </row>
    <row r="242" spans="1:14" x14ac:dyDescent="0.3">
      <c r="A242">
        <v>1684</v>
      </c>
      <c r="B242" t="s">
        <v>2176</v>
      </c>
      <c r="C242" t="s">
        <v>2677</v>
      </c>
      <c r="D242" t="s">
        <v>159</v>
      </c>
      <c r="E242" t="s">
        <v>159</v>
      </c>
      <c r="F242">
        <v>5423</v>
      </c>
      <c r="G242" t="s">
        <v>2676</v>
      </c>
      <c r="H242" t="s">
        <v>2665</v>
      </c>
      <c r="I242">
        <v>172611</v>
      </c>
      <c r="J242">
        <v>176121</v>
      </c>
      <c r="K242">
        <v>177446</v>
      </c>
      <c r="L242">
        <v>179846</v>
      </c>
      <c r="M242">
        <v>179449</v>
      </c>
      <c r="N242" t="s">
        <v>988</v>
      </c>
    </row>
    <row r="243" spans="1:14" x14ac:dyDescent="0.3">
      <c r="A243">
        <v>1684</v>
      </c>
      <c r="B243" t="s">
        <v>2176</v>
      </c>
      <c r="C243" t="s">
        <v>2677</v>
      </c>
      <c r="D243" t="s">
        <v>159</v>
      </c>
      <c r="E243" t="s">
        <v>159</v>
      </c>
      <c r="F243">
        <v>5423</v>
      </c>
      <c r="G243" t="s">
        <v>2675</v>
      </c>
      <c r="H243" t="s">
        <v>2664</v>
      </c>
      <c r="I243">
        <v>175094</v>
      </c>
      <c r="J243">
        <v>176297</v>
      </c>
      <c r="K243">
        <v>178067</v>
      </c>
      <c r="L243">
        <v>179762</v>
      </c>
      <c r="M243">
        <v>179389</v>
      </c>
      <c r="N243" t="s">
        <v>988</v>
      </c>
    </row>
    <row r="244" spans="1:14" x14ac:dyDescent="0.3">
      <c r="A244">
        <v>1684</v>
      </c>
      <c r="B244" t="s">
        <v>2176</v>
      </c>
      <c r="C244" t="s">
        <v>2677</v>
      </c>
      <c r="D244" t="s">
        <v>159</v>
      </c>
      <c r="E244" t="s">
        <v>159</v>
      </c>
      <c r="F244">
        <v>5423</v>
      </c>
      <c r="G244" t="s">
        <v>2675</v>
      </c>
      <c r="H244" t="s">
        <v>2665</v>
      </c>
      <c r="I244">
        <v>175094</v>
      </c>
      <c r="J244">
        <v>176297</v>
      </c>
      <c r="K244">
        <v>178067</v>
      </c>
      <c r="L244">
        <v>179762</v>
      </c>
      <c r="M244">
        <v>179389</v>
      </c>
      <c r="N244" t="s">
        <v>988</v>
      </c>
    </row>
    <row r="245" spans="1:14" x14ac:dyDescent="0.3">
      <c r="A245">
        <v>1684</v>
      </c>
      <c r="B245" t="s">
        <v>2176</v>
      </c>
      <c r="C245" t="s">
        <v>2677</v>
      </c>
      <c r="D245" t="s">
        <v>159</v>
      </c>
      <c r="E245" t="s">
        <v>159</v>
      </c>
      <c r="F245">
        <v>5423</v>
      </c>
      <c r="G245" t="s">
        <v>2674</v>
      </c>
      <c r="H245" t="s">
        <v>2664</v>
      </c>
      <c r="I245">
        <v>177578</v>
      </c>
      <c r="J245">
        <v>176473</v>
      </c>
      <c r="K245">
        <v>178688</v>
      </c>
      <c r="L245">
        <v>179678</v>
      </c>
      <c r="M245">
        <v>179328</v>
      </c>
      <c r="N245" t="s">
        <v>988</v>
      </c>
    </row>
    <row r="246" spans="1:14" x14ac:dyDescent="0.3">
      <c r="A246">
        <v>1684</v>
      </c>
      <c r="B246" t="s">
        <v>2176</v>
      </c>
      <c r="C246" t="s">
        <v>2677</v>
      </c>
      <c r="D246" t="s">
        <v>159</v>
      </c>
      <c r="E246" t="s">
        <v>159</v>
      </c>
      <c r="F246">
        <v>5423</v>
      </c>
      <c r="G246" t="s">
        <v>2674</v>
      </c>
      <c r="H246" t="s">
        <v>2665</v>
      </c>
      <c r="I246">
        <v>177578</v>
      </c>
      <c r="J246">
        <v>176473</v>
      </c>
      <c r="K246">
        <v>178688</v>
      </c>
      <c r="L246">
        <v>179678</v>
      </c>
      <c r="M246">
        <v>179328</v>
      </c>
      <c r="N246" t="s">
        <v>988</v>
      </c>
    </row>
    <row r="247" spans="1:14" x14ac:dyDescent="0.3">
      <c r="A247">
        <v>1684</v>
      </c>
      <c r="B247" t="s">
        <v>2176</v>
      </c>
      <c r="C247" t="s">
        <v>2677</v>
      </c>
      <c r="D247" t="s">
        <v>159</v>
      </c>
      <c r="E247" t="s">
        <v>159</v>
      </c>
      <c r="F247">
        <v>5423</v>
      </c>
      <c r="G247" t="s">
        <v>2676</v>
      </c>
      <c r="H247" t="s">
        <v>2664</v>
      </c>
      <c r="I247">
        <v>172611</v>
      </c>
      <c r="J247">
        <v>176121</v>
      </c>
      <c r="K247">
        <v>177446</v>
      </c>
      <c r="L247">
        <v>179846</v>
      </c>
      <c r="M247">
        <v>179449</v>
      </c>
      <c r="N247" t="s">
        <v>988</v>
      </c>
    </row>
    <row r="248" spans="1:14" x14ac:dyDescent="0.3">
      <c r="A248">
        <v>1684</v>
      </c>
      <c r="B248" t="s">
        <v>2176</v>
      </c>
      <c r="C248" t="s">
        <v>2677</v>
      </c>
      <c r="D248" t="s">
        <v>159</v>
      </c>
      <c r="E248" t="s">
        <v>159</v>
      </c>
      <c r="F248">
        <v>5423</v>
      </c>
      <c r="G248" t="s">
        <v>2673</v>
      </c>
      <c r="H248" t="s">
        <v>2665</v>
      </c>
      <c r="I248">
        <v>180061</v>
      </c>
      <c r="J248">
        <v>176649</v>
      </c>
      <c r="K248">
        <v>179309</v>
      </c>
      <c r="L248">
        <v>179594</v>
      </c>
      <c r="M248">
        <v>179267</v>
      </c>
      <c r="N248" t="s">
        <v>988</v>
      </c>
    </row>
    <row r="249" spans="1:14" x14ac:dyDescent="0.3">
      <c r="A249">
        <v>1684</v>
      </c>
      <c r="B249" t="s">
        <v>2176</v>
      </c>
      <c r="C249" t="s">
        <v>2677</v>
      </c>
      <c r="D249" t="s">
        <v>159</v>
      </c>
      <c r="E249" t="s">
        <v>159</v>
      </c>
      <c r="F249">
        <v>5423</v>
      </c>
      <c r="G249" t="s">
        <v>2671</v>
      </c>
      <c r="H249" t="s">
        <v>2664</v>
      </c>
      <c r="I249">
        <v>182545</v>
      </c>
      <c r="J249">
        <v>183425</v>
      </c>
      <c r="K249">
        <v>186530</v>
      </c>
      <c r="L249">
        <v>186110</v>
      </c>
      <c r="M249">
        <v>185806</v>
      </c>
      <c r="N249" t="s">
        <v>988</v>
      </c>
    </row>
    <row r="250" spans="1:14" x14ac:dyDescent="0.3">
      <c r="A250">
        <v>1684</v>
      </c>
      <c r="B250" t="s">
        <v>2176</v>
      </c>
      <c r="C250" t="s">
        <v>2677</v>
      </c>
      <c r="D250" t="s">
        <v>159</v>
      </c>
      <c r="E250" t="s">
        <v>159</v>
      </c>
      <c r="F250">
        <v>5423</v>
      </c>
      <c r="G250" t="s">
        <v>2671</v>
      </c>
      <c r="H250" t="s">
        <v>2665</v>
      </c>
      <c r="I250">
        <v>182545</v>
      </c>
      <c r="J250">
        <v>183425</v>
      </c>
      <c r="K250">
        <v>186530</v>
      </c>
      <c r="L250">
        <v>186110</v>
      </c>
      <c r="M250">
        <v>185806</v>
      </c>
      <c r="N250" t="s">
        <v>988</v>
      </c>
    </row>
    <row r="251" spans="1:14" x14ac:dyDescent="0.3">
      <c r="A251">
        <v>1684</v>
      </c>
      <c r="B251" t="s">
        <v>2176</v>
      </c>
      <c r="C251" t="s">
        <v>2677</v>
      </c>
      <c r="D251" t="s">
        <v>159</v>
      </c>
      <c r="E251" t="s">
        <v>159</v>
      </c>
      <c r="F251">
        <v>5423</v>
      </c>
      <c r="G251" t="s">
        <v>2672</v>
      </c>
      <c r="H251" t="s">
        <v>2664</v>
      </c>
      <c r="N251" t="s">
        <v>988</v>
      </c>
    </row>
    <row r="252" spans="1:14" x14ac:dyDescent="0.3">
      <c r="A252">
        <v>1684</v>
      </c>
      <c r="B252" t="s">
        <v>2176</v>
      </c>
      <c r="C252" t="s">
        <v>2677</v>
      </c>
      <c r="D252" t="s">
        <v>159</v>
      </c>
      <c r="E252" t="s">
        <v>159</v>
      </c>
      <c r="F252">
        <v>5423</v>
      </c>
      <c r="G252" t="s">
        <v>2672</v>
      </c>
      <c r="H252" t="s">
        <v>2665</v>
      </c>
      <c r="N252" t="s">
        <v>988</v>
      </c>
    </row>
    <row r="253" spans="1:14" x14ac:dyDescent="0.3">
      <c r="A253">
        <v>1684</v>
      </c>
      <c r="B253" t="s">
        <v>2176</v>
      </c>
      <c r="C253" t="s">
        <v>2677</v>
      </c>
      <c r="D253" t="s">
        <v>159</v>
      </c>
      <c r="E253" t="s">
        <v>159</v>
      </c>
      <c r="F253">
        <v>5423</v>
      </c>
      <c r="G253" t="s">
        <v>2673</v>
      </c>
      <c r="H253" t="s">
        <v>2664</v>
      </c>
      <c r="I253">
        <v>180061</v>
      </c>
      <c r="J253">
        <v>176649</v>
      </c>
      <c r="K253">
        <v>179309</v>
      </c>
      <c r="L253">
        <v>179594</v>
      </c>
      <c r="M253">
        <v>179267</v>
      </c>
      <c r="N253" t="s">
        <v>988</v>
      </c>
    </row>
    <row r="254" spans="1:14" x14ac:dyDescent="0.3">
      <c r="A254">
        <v>1927</v>
      </c>
      <c r="B254" t="s">
        <v>771</v>
      </c>
      <c r="C254" t="s">
        <v>2677</v>
      </c>
      <c r="D254" t="s">
        <v>1203</v>
      </c>
      <c r="E254" t="s">
        <v>1204</v>
      </c>
      <c r="F254">
        <v>6885</v>
      </c>
      <c r="G254" t="s">
        <v>2676</v>
      </c>
      <c r="H254" t="s">
        <v>2665</v>
      </c>
      <c r="I254">
        <v>145725</v>
      </c>
      <c r="J254">
        <v>155170</v>
      </c>
      <c r="K254">
        <v>168460</v>
      </c>
      <c r="L254">
        <v>197988</v>
      </c>
      <c r="N254" t="s">
        <v>988</v>
      </c>
    </row>
    <row r="255" spans="1:14" x14ac:dyDescent="0.3">
      <c r="A255">
        <v>1927</v>
      </c>
      <c r="B255" t="s">
        <v>771</v>
      </c>
      <c r="C255" t="s">
        <v>2677</v>
      </c>
      <c r="D255" t="s">
        <v>1203</v>
      </c>
      <c r="E255" t="s">
        <v>1204</v>
      </c>
      <c r="F255">
        <v>6885</v>
      </c>
      <c r="G255" t="s">
        <v>2675</v>
      </c>
      <c r="H255" t="s">
        <v>2664</v>
      </c>
      <c r="I255">
        <v>249100</v>
      </c>
      <c r="J255">
        <v>279850</v>
      </c>
      <c r="K255">
        <v>282350</v>
      </c>
      <c r="L255">
        <v>285350</v>
      </c>
      <c r="N255" t="s">
        <v>988</v>
      </c>
    </row>
    <row r="256" spans="1:14" x14ac:dyDescent="0.3">
      <c r="A256">
        <v>1927</v>
      </c>
      <c r="B256" t="s">
        <v>771</v>
      </c>
      <c r="C256" t="s">
        <v>2677</v>
      </c>
      <c r="D256" t="s">
        <v>1203</v>
      </c>
      <c r="E256" t="s">
        <v>1204</v>
      </c>
      <c r="F256">
        <v>6885</v>
      </c>
      <c r="G256" t="s">
        <v>2675</v>
      </c>
      <c r="H256" t="s">
        <v>2665</v>
      </c>
      <c r="I256">
        <v>145725</v>
      </c>
      <c r="J256">
        <v>155170</v>
      </c>
      <c r="K256">
        <v>168460</v>
      </c>
      <c r="L256">
        <v>197988</v>
      </c>
      <c r="N256" t="s">
        <v>988</v>
      </c>
    </row>
    <row r="257" spans="1:14" x14ac:dyDescent="0.3">
      <c r="A257">
        <v>1927</v>
      </c>
      <c r="B257" t="s">
        <v>771</v>
      </c>
      <c r="C257" t="s">
        <v>2677</v>
      </c>
      <c r="D257" t="s">
        <v>1203</v>
      </c>
      <c r="E257" t="s">
        <v>1204</v>
      </c>
      <c r="F257">
        <v>6885</v>
      </c>
      <c r="G257" t="s">
        <v>2674</v>
      </c>
      <c r="H257" t="s">
        <v>2664</v>
      </c>
      <c r="I257">
        <v>249100</v>
      </c>
      <c r="J257">
        <v>279850</v>
      </c>
      <c r="K257">
        <v>282350</v>
      </c>
      <c r="L257">
        <v>285350</v>
      </c>
      <c r="N257" t="s">
        <v>988</v>
      </c>
    </row>
    <row r="258" spans="1:14" x14ac:dyDescent="0.3">
      <c r="A258">
        <v>1927</v>
      </c>
      <c r="B258" t="s">
        <v>771</v>
      </c>
      <c r="C258" t="s">
        <v>2677</v>
      </c>
      <c r="D258" t="s">
        <v>1203</v>
      </c>
      <c r="E258" t="s">
        <v>1204</v>
      </c>
      <c r="F258">
        <v>6885</v>
      </c>
      <c r="G258" t="s">
        <v>2674</v>
      </c>
      <c r="H258" t="s">
        <v>2665</v>
      </c>
      <c r="I258">
        <v>145725</v>
      </c>
      <c r="J258">
        <v>155170</v>
      </c>
      <c r="K258">
        <v>168460</v>
      </c>
      <c r="L258">
        <v>197988</v>
      </c>
      <c r="N258" t="s">
        <v>988</v>
      </c>
    </row>
    <row r="259" spans="1:14" x14ac:dyDescent="0.3">
      <c r="A259">
        <v>1927</v>
      </c>
      <c r="B259" t="s">
        <v>771</v>
      </c>
      <c r="C259" t="s">
        <v>2677</v>
      </c>
      <c r="D259" t="s">
        <v>1203</v>
      </c>
      <c r="E259" t="s">
        <v>1204</v>
      </c>
      <c r="F259">
        <v>6885</v>
      </c>
      <c r="G259" t="s">
        <v>2676</v>
      </c>
      <c r="H259" t="s">
        <v>2664</v>
      </c>
      <c r="I259">
        <v>249100</v>
      </c>
      <c r="J259">
        <v>279850</v>
      </c>
      <c r="K259">
        <v>282350</v>
      </c>
      <c r="L259">
        <v>285350</v>
      </c>
      <c r="N259" t="s">
        <v>988</v>
      </c>
    </row>
    <row r="260" spans="1:14" x14ac:dyDescent="0.3">
      <c r="A260">
        <v>1927</v>
      </c>
      <c r="B260" t="s">
        <v>771</v>
      </c>
      <c r="C260" t="s">
        <v>2677</v>
      </c>
      <c r="D260" t="s">
        <v>1203</v>
      </c>
      <c r="E260" t="s">
        <v>1204</v>
      </c>
      <c r="F260">
        <v>6885</v>
      </c>
      <c r="G260" t="s">
        <v>2673</v>
      </c>
      <c r="H260" t="s">
        <v>2665</v>
      </c>
      <c r="I260">
        <v>145725</v>
      </c>
      <c r="J260">
        <v>155170</v>
      </c>
      <c r="K260">
        <v>168460</v>
      </c>
      <c r="L260">
        <v>197988</v>
      </c>
      <c r="N260" t="s">
        <v>988</v>
      </c>
    </row>
    <row r="261" spans="1:14" x14ac:dyDescent="0.3">
      <c r="A261">
        <v>1927</v>
      </c>
      <c r="B261" t="s">
        <v>771</v>
      </c>
      <c r="C261" t="s">
        <v>2677</v>
      </c>
      <c r="D261" t="s">
        <v>1203</v>
      </c>
      <c r="E261" t="s">
        <v>1204</v>
      </c>
      <c r="F261">
        <v>6885</v>
      </c>
      <c r="G261" t="s">
        <v>2671</v>
      </c>
      <c r="H261" t="s">
        <v>2664</v>
      </c>
      <c r="I261">
        <v>249100</v>
      </c>
      <c r="J261">
        <v>279850</v>
      </c>
      <c r="K261">
        <v>282350</v>
      </c>
      <c r="L261">
        <v>285350</v>
      </c>
      <c r="N261" t="s">
        <v>988</v>
      </c>
    </row>
    <row r="262" spans="1:14" x14ac:dyDescent="0.3">
      <c r="A262">
        <v>1927</v>
      </c>
      <c r="B262" t="s">
        <v>771</v>
      </c>
      <c r="C262" t="s">
        <v>2677</v>
      </c>
      <c r="D262" t="s">
        <v>1203</v>
      </c>
      <c r="E262" t="s">
        <v>1204</v>
      </c>
      <c r="F262">
        <v>6885</v>
      </c>
      <c r="G262" t="s">
        <v>2671</v>
      </c>
      <c r="H262" t="s">
        <v>2665</v>
      </c>
      <c r="I262">
        <v>145725</v>
      </c>
      <c r="J262">
        <v>155170</v>
      </c>
      <c r="K262">
        <v>168460</v>
      </c>
      <c r="L262">
        <v>197988</v>
      </c>
      <c r="N262" t="s">
        <v>988</v>
      </c>
    </row>
    <row r="263" spans="1:14" x14ac:dyDescent="0.3">
      <c r="A263">
        <v>1927</v>
      </c>
      <c r="B263" t="s">
        <v>771</v>
      </c>
      <c r="C263" t="s">
        <v>2677</v>
      </c>
      <c r="D263" t="s">
        <v>1203</v>
      </c>
      <c r="E263" t="s">
        <v>1204</v>
      </c>
      <c r="F263">
        <v>6885</v>
      </c>
      <c r="G263" t="s">
        <v>2672</v>
      </c>
      <c r="H263" t="s">
        <v>2664</v>
      </c>
      <c r="N263" t="s">
        <v>988</v>
      </c>
    </row>
    <row r="264" spans="1:14" x14ac:dyDescent="0.3">
      <c r="A264">
        <v>1927</v>
      </c>
      <c r="B264" t="s">
        <v>771</v>
      </c>
      <c r="C264" t="s">
        <v>2677</v>
      </c>
      <c r="D264" t="s">
        <v>1203</v>
      </c>
      <c r="E264" t="s">
        <v>1204</v>
      </c>
      <c r="F264">
        <v>6885</v>
      </c>
      <c r="G264" t="s">
        <v>2672</v>
      </c>
      <c r="H264" t="s">
        <v>2665</v>
      </c>
      <c r="N264" t="s">
        <v>988</v>
      </c>
    </row>
    <row r="265" spans="1:14" x14ac:dyDescent="0.3">
      <c r="A265">
        <v>1927</v>
      </c>
      <c r="B265" t="s">
        <v>771</v>
      </c>
      <c r="C265" t="s">
        <v>2677</v>
      </c>
      <c r="D265" t="s">
        <v>1203</v>
      </c>
      <c r="E265" t="s">
        <v>1204</v>
      </c>
      <c r="F265">
        <v>6885</v>
      </c>
      <c r="G265" t="s">
        <v>2673</v>
      </c>
      <c r="H265" t="s">
        <v>2664</v>
      </c>
      <c r="I265">
        <v>249100</v>
      </c>
      <c r="J265">
        <v>279850</v>
      </c>
      <c r="K265">
        <v>282350</v>
      </c>
      <c r="L265">
        <v>285350</v>
      </c>
      <c r="N265" t="s">
        <v>988</v>
      </c>
    </row>
    <row r="266" spans="1:14" x14ac:dyDescent="0.3">
      <c r="A266">
        <v>1954</v>
      </c>
      <c r="B266" t="s">
        <v>2180</v>
      </c>
      <c r="C266" t="s">
        <v>2677</v>
      </c>
      <c r="D266" t="s">
        <v>1203</v>
      </c>
      <c r="E266" t="s">
        <v>1204</v>
      </c>
      <c r="F266">
        <v>5648</v>
      </c>
      <c r="G266" t="s">
        <v>2676</v>
      </c>
      <c r="H266" t="s">
        <v>2664</v>
      </c>
      <c r="I266">
        <v>6983</v>
      </c>
      <c r="J266">
        <v>6453</v>
      </c>
      <c r="K266">
        <v>5924</v>
      </c>
      <c r="L266">
        <v>5394</v>
      </c>
      <c r="M266">
        <v>4936</v>
      </c>
      <c r="N266" t="s">
        <v>988</v>
      </c>
    </row>
    <row r="267" spans="1:14" x14ac:dyDescent="0.3">
      <c r="A267">
        <v>1954</v>
      </c>
      <c r="B267" t="s">
        <v>2180</v>
      </c>
      <c r="C267" t="s">
        <v>2677</v>
      </c>
      <c r="D267" t="s">
        <v>1203</v>
      </c>
      <c r="E267" t="s">
        <v>1204</v>
      </c>
      <c r="F267">
        <v>5648</v>
      </c>
      <c r="G267" t="s">
        <v>2676</v>
      </c>
      <c r="H267" t="s">
        <v>2665</v>
      </c>
      <c r="I267">
        <v>4494</v>
      </c>
      <c r="J267">
        <v>4843</v>
      </c>
      <c r="K267">
        <v>5223</v>
      </c>
      <c r="L267">
        <v>5631</v>
      </c>
      <c r="M267">
        <v>5946</v>
      </c>
      <c r="N267" t="s">
        <v>988</v>
      </c>
    </row>
    <row r="268" spans="1:14" x14ac:dyDescent="0.3">
      <c r="A268">
        <v>1954</v>
      </c>
      <c r="B268" t="s">
        <v>2180</v>
      </c>
      <c r="C268" t="s">
        <v>2677</v>
      </c>
      <c r="D268" t="s">
        <v>1203</v>
      </c>
      <c r="E268" t="s">
        <v>1204</v>
      </c>
      <c r="F268">
        <v>5648</v>
      </c>
      <c r="G268" t="s">
        <v>2675</v>
      </c>
      <c r="H268" t="s">
        <v>2664</v>
      </c>
      <c r="I268">
        <v>6983</v>
      </c>
      <c r="J268">
        <v>6453</v>
      </c>
      <c r="K268">
        <v>5924</v>
      </c>
      <c r="L268">
        <v>5394</v>
      </c>
      <c r="M268">
        <v>4936</v>
      </c>
      <c r="N268" t="s">
        <v>988</v>
      </c>
    </row>
    <row r="269" spans="1:14" x14ac:dyDescent="0.3">
      <c r="A269">
        <v>1954</v>
      </c>
      <c r="B269" t="s">
        <v>2180</v>
      </c>
      <c r="C269" t="s">
        <v>2677</v>
      </c>
      <c r="D269" t="s">
        <v>1203</v>
      </c>
      <c r="E269" t="s">
        <v>1204</v>
      </c>
      <c r="F269">
        <v>5648</v>
      </c>
      <c r="G269" t="s">
        <v>2675</v>
      </c>
      <c r="H269" t="s">
        <v>2665</v>
      </c>
      <c r="I269">
        <v>4494</v>
      </c>
      <c r="J269">
        <v>4843</v>
      </c>
      <c r="K269">
        <v>5223</v>
      </c>
      <c r="L269">
        <v>5631</v>
      </c>
      <c r="M269">
        <v>5946</v>
      </c>
      <c r="N269" t="s">
        <v>988</v>
      </c>
    </row>
    <row r="270" spans="1:14" x14ac:dyDescent="0.3">
      <c r="A270">
        <v>1954</v>
      </c>
      <c r="B270" t="s">
        <v>2180</v>
      </c>
      <c r="C270" t="s">
        <v>2677</v>
      </c>
      <c r="D270" t="s">
        <v>1203</v>
      </c>
      <c r="E270" t="s">
        <v>1204</v>
      </c>
      <c r="F270">
        <v>5648</v>
      </c>
      <c r="G270" t="s">
        <v>2674</v>
      </c>
      <c r="H270" t="s">
        <v>2664</v>
      </c>
      <c r="I270">
        <v>6983</v>
      </c>
      <c r="J270">
        <v>6453</v>
      </c>
      <c r="K270">
        <v>5924</v>
      </c>
      <c r="L270">
        <v>5394</v>
      </c>
      <c r="M270">
        <v>4936</v>
      </c>
      <c r="N270" t="s">
        <v>988</v>
      </c>
    </row>
    <row r="271" spans="1:14" x14ac:dyDescent="0.3">
      <c r="A271">
        <v>1954</v>
      </c>
      <c r="B271" t="s">
        <v>2180</v>
      </c>
      <c r="C271" t="s">
        <v>2677</v>
      </c>
      <c r="D271" t="s">
        <v>1203</v>
      </c>
      <c r="E271" t="s">
        <v>1204</v>
      </c>
      <c r="F271">
        <v>5648</v>
      </c>
      <c r="G271" t="s">
        <v>2674</v>
      </c>
      <c r="H271" t="s">
        <v>2665</v>
      </c>
      <c r="I271">
        <v>4494</v>
      </c>
      <c r="J271">
        <v>4843</v>
      </c>
      <c r="K271">
        <v>5223</v>
      </c>
      <c r="L271">
        <v>5631</v>
      </c>
      <c r="M271">
        <v>5946</v>
      </c>
      <c r="N271" t="s">
        <v>988</v>
      </c>
    </row>
    <row r="272" spans="1:14" x14ac:dyDescent="0.3">
      <c r="A272">
        <v>1954</v>
      </c>
      <c r="B272" t="s">
        <v>2180</v>
      </c>
      <c r="C272" t="s">
        <v>2677</v>
      </c>
      <c r="D272" t="s">
        <v>1203</v>
      </c>
      <c r="E272" t="s">
        <v>1204</v>
      </c>
      <c r="F272">
        <v>5648</v>
      </c>
      <c r="G272" t="s">
        <v>2673</v>
      </c>
      <c r="H272" t="s">
        <v>2664</v>
      </c>
      <c r="I272">
        <v>6983</v>
      </c>
      <c r="J272">
        <v>6453</v>
      </c>
      <c r="K272">
        <v>5924</v>
      </c>
      <c r="L272">
        <v>5394</v>
      </c>
      <c r="M272">
        <v>4936</v>
      </c>
      <c r="N272" t="s">
        <v>988</v>
      </c>
    </row>
    <row r="273" spans="1:14" x14ac:dyDescent="0.3">
      <c r="A273">
        <v>1954</v>
      </c>
      <c r="B273" t="s">
        <v>2180</v>
      </c>
      <c r="C273" t="s">
        <v>2677</v>
      </c>
      <c r="D273" t="s">
        <v>1203</v>
      </c>
      <c r="E273" t="s">
        <v>1204</v>
      </c>
      <c r="F273">
        <v>5648</v>
      </c>
      <c r="G273" t="s">
        <v>2673</v>
      </c>
      <c r="H273" t="s">
        <v>2665</v>
      </c>
      <c r="I273">
        <v>4494</v>
      </c>
      <c r="J273">
        <v>4843</v>
      </c>
      <c r="K273">
        <v>5223</v>
      </c>
      <c r="L273">
        <v>5631</v>
      </c>
      <c r="M273">
        <v>5946</v>
      </c>
      <c r="N273" t="s">
        <v>988</v>
      </c>
    </row>
    <row r="274" spans="1:14" x14ac:dyDescent="0.3">
      <c r="A274">
        <v>1954</v>
      </c>
      <c r="B274" t="s">
        <v>2180</v>
      </c>
      <c r="C274" t="s">
        <v>2677</v>
      </c>
      <c r="D274" t="s">
        <v>1203</v>
      </c>
      <c r="E274" t="s">
        <v>1204</v>
      </c>
      <c r="F274">
        <v>5648</v>
      </c>
      <c r="G274" t="s">
        <v>2671</v>
      </c>
      <c r="H274" t="s">
        <v>2664</v>
      </c>
      <c r="I274">
        <v>6983</v>
      </c>
      <c r="J274">
        <v>6453</v>
      </c>
      <c r="K274">
        <v>5924</v>
      </c>
      <c r="L274">
        <v>5394</v>
      </c>
      <c r="M274">
        <v>4936</v>
      </c>
      <c r="N274" t="s">
        <v>988</v>
      </c>
    </row>
    <row r="275" spans="1:14" x14ac:dyDescent="0.3">
      <c r="A275">
        <v>1954</v>
      </c>
      <c r="B275" t="s">
        <v>2180</v>
      </c>
      <c r="C275" t="s">
        <v>2677</v>
      </c>
      <c r="D275" t="s">
        <v>1203</v>
      </c>
      <c r="E275" t="s">
        <v>1204</v>
      </c>
      <c r="F275">
        <v>5648</v>
      </c>
      <c r="G275" t="s">
        <v>2671</v>
      </c>
      <c r="H275" t="s">
        <v>2665</v>
      </c>
      <c r="I275">
        <v>4494</v>
      </c>
      <c r="J275">
        <v>4843</v>
      </c>
      <c r="K275">
        <v>5223</v>
      </c>
      <c r="L275">
        <v>5631</v>
      </c>
      <c r="M275">
        <v>5946</v>
      </c>
      <c r="N275" t="s">
        <v>988</v>
      </c>
    </row>
    <row r="276" spans="1:14" x14ac:dyDescent="0.3">
      <c r="A276">
        <v>1954</v>
      </c>
      <c r="B276" t="s">
        <v>2180</v>
      </c>
      <c r="C276" t="s">
        <v>2677</v>
      </c>
      <c r="D276" t="s">
        <v>1203</v>
      </c>
      <c r="E276" t="s">
        <v>1204</v>
      </c>
      <c r="F276">
        <v>5648</v>
      </c>
      <c r="G276" t="s">
        <v>2672</v>
      </c>
      <c r="H276" t="s">
        <v>2665</v>
      </c>
      <c r="I276">
        <v>4494</v>
      </c>
      <c r="J276">
        <v>4843</v>
      </c>
      <c r="K276">
        <v>5223</v>
      </c>
      <c r="L276">
        <v>5631</v>
      </c>
      <c r="M276">
        <v>5946</v>
      </c>
      <c r="N276" t="s">
        <v>988</v>
      </c>
    </row>
    <row r="277" spans="1:14" x14ac:dyDescent="0.3">
      <c r="A277">
        <v>1954</v>
      </c>
      <c r="B277" t="s">
        <v>2180</v>
      </c>
      <c r="C277" t="s">
        <v>2677</v>
      </c>
      <c r="D277" t="s">
        <v>1203</v>
      </c>
      <c r="E277" t="s">
        <v>1204</v>
      </c>
      <c r="F277">
        <v>5648</v>
      </c>
      <c r="G277" t="s">
        <v>2672</v>
      </c>
      <c r="H277" t="s">
        <v>2664</v>
      </c>
      <c r="I277">
        <v>6983</v>
      </c>
      <c r="J277">
        <v>6453</v>
      </c>
      <c r="K277">
        <v>5924</v>
      </c>
      <c r="L277">
        <v>5394</v>
      </c>
      <c r="M277">
        <v>4936</v>
      </c>
      <c r="N277" t="s">
        <v>988</v>
      </c>
    </row>
    <row r="278" spans="1:14" x14ac:dyDescent="0.3">
      <c r="A278">
        <v>2083</v>
      </c>
      <c r="B278" t="s">
        <v>1854</v>
      </c>
      <c r="C278" t="s">
        <v>2677</v>
      </c>
      <c r="D278" t="s">
        <v>1203</v>
      </c>
      <c r="E278" t="s">
        <v>1204</v>
      </c>
      <c r="F278">
        <v>5706</v>
      </c>
      <c r="G278" t="s">
        <v>2672</v>
      </c>
      <c r="H278" t="s">
        <v>2665</v>
      </c>
      <c r="N278" t="s">
        <v>988</v>
      </c>
    </row>
    <row r="279" spans="1:14" x14ac:dyDescent="0.3">
      <c r="A279">
        <v>2083</v>
      </c>
      <c r="B279" t="s">
        <v>1854</v>
      </c>
      <c r="C279" t="s">
        <v>2677</v>
      </c>
      <c r="D279" t="s">
        <v>1203</v>
      </c>
      <c r="E279" t="s">
        <v>1204</v>
      </c>
      <c r="F279">
        <v>5706</v>
      </c>
      <c r="G279" t="s">
        <v>2672</v>
      </c>
      <c r="H279" t="s">
        <v>2664</v>
      </c>
      <c r="N279" t="s">
        <v>988</v>
      </c>
    </row>
    <row r="280" spans="1:14" x14ac:dyDescent="0.3">
      <c r="A280">
        <v>2083</v>
      </c>
      <c r="B280" t="s">
        <v>1854</v>
      </c>
      <c r="C280" t="s">
        <v>2677</v>
      </c>
      <c r="D280" t="s">
        <v>1203</v>
      </c>
      <c r="E280" t="s">
        <v>1204</v>
      </c>
      <c r="F280">
        <v>5706</v>
      </c>
      <c r="G280" t="s">
        <v>2671</v>
      </c>
      <c r="H280" t="s">
        <v>2665</v>
      </c>
      <c r="I280">
        <v>3000</v>
      </c>
      <c r="J280">
        <v>3000</v>
      </c>
      <c r="K280">
        <v>3000</v>
      </c>
      <c r="L280">
        <v>3000</v>
      </c>
      <c r="M280">
        <v>3000</v>
      </c>
      <c r="N280" t="s">
        <v>988</v>
      </c>
    </row>
    <row r="281" spans="1:14" x14ac:dyDescent="0.3">
      <c r="A281">
        <v>2083</v>
      </c>
      <c r="B281" t="s">
        <v>1854</v>
      </c>
      <c r="C281" t="s">
        <v>2677</v>
      </c>
      <c r="D281" t="s">
        <v>1203</v>
      </c>
      <c r="E281" t="s">
        <v>1204</v>
      </c>
      <c r="F281">
        <v>5706</v>
      </c>
      <c r="G281" t="s">
        <v>2671</v>
      </c>
      <c r="H281" t="s">
        <v>2664</v>
      </c>
      <c r="I281">
        <v>3000</v>
      </c>
      <c r="J281">
        <v>3000</v>
      </c>
      <c r="K281">
        <v>3000</v>
      </c>
      <c r="L281">
        <v>3000</v>
      </c>
      <c r="M281">
        <v>3000</v>
      </c>
      <c r="N281" t="s">
        <v>988</v>
      </c>
    </row>
    <row r="282" spans="1:14" x14ac:dyDescent="0.3">
      <c r="A282">
        <v>2083</v>
      </c>
      <c r="B282" t="s">
        <v>1854</v>
      </c>
      <c r="C282" t="s">
        <v>2677</v>
      </c>
      <c r="D282" t="s">
        <v>1203</v>
      </c>
      <c r="E282" t="s">
        <v>1204</v>
      </c>
      <c r="F282">
        <v>5706</v>
      </c>
      <c r="G282" t="s">
        <v>2673</v>
      </c>
      <c r="H282" t="s">
        <v>2665</v>
      </c>
      <c r="I282">
        <v>3000</v>
      </c>
      <c r="J282">
        <v>3000</v>
      </c>
      <c r="K282">
        <v>3000</v>
      </c>
      <c r="L282">
        <v>3000</v>
      </c>
      <c r="M282">
        <v>3000</v>
      </c>
      <c r="N282" t="s">
        <v>988</v>
      </c>
    </row>
    <row r="283" spans="1:14" x14ac:dyDescent="0.3">
      <c r="A283">
        <v>2083</v>
      </c>
      <c r="B283" t="s">
        <v>1854</v>
      </c>
      <c r="C283" t="s">
        <v>2677</v>
      </c>
      <c r="D283" t="s">
        <v>1203</v>
      </c>
      <c r="E283" t="s">
        <v>1204</v>
      </c>
      <c r="F283">
        <v>5706</v>
      </c>
      <c r="G283" t="s">
        <v>2676</v>
      </c>
      <c r="H283" t="s">
        <v>2664</v>
      </c>
      <c r="I283">
        <v>3000</v>
      </c>
      <c r="J283">
        <v>3000</v>
      </c>
      <c r="K283">
        <v>3000</v>
      </c>
      <c r="L283">
        <v>3000</v>
      </c>
      <c r="M283">
        <v>3000</v>
      </c>
      <c r="N283" t="s">
        <v>988</v>
      </c>
    </row>
    <row r="284" spans="1:14" x14ac:dyDescent="0.3">
      <c r="A284">
        <v>2083</v>
      </c>
      <c r="B284" t="s">
        <v>1854</v>
      </c>
      <c r="C284" t="s">
        <v>2677</v>
      </c>
      <c r="D284" t="s">
        <v>1203</v>
      </c>
      <c r="E284" t="s">
        <v>1204</v>
      </c>
      <c r="F284">
        <v>5706</v>
      </c>
      <c r="G284" t="s">
        <v>2674</v>
      </c>
      <c r="H284" t="s">
        <v>2665</v>
      </c>
      <c r="I284">
        <v>3000</v>
      </c>
      <c r="J284">
        <v>3000</v>
      </c>
      <c r="K284">
        <v>3000</v>
      </c>
      <c r="L284">
        <v>3000</v>
      </c>
      <c r="M284">
        <v>3000</v>
      </c>
      <c r="N284" t="s">
        <v>988</v>
      </c>
    </row>
    <row r="285" spans="1:14" x14ac:dyDescent="0.3">
      <c r="A285">
        <v>2083</v>
      </c>
      <c r="B285" t="s">
        <v>1854</v>
      </c>
      <c r="C285" t="s">
        <v>2677</v>
      </c>
      <c r="D285" t="s">
        <v>1203</v>
      </c>
      <c r="E285" t="s">
        <v>1204</v>
      </c>
      <c r="F285">
        <v>5706</v>
      </c>
      <c r="G285" t="s">
        <v>2674</v>
      </c>
      <c r="H285" t="s">
        <v>2664</v>
      </c>
      <c r="I285">
        <v>3000</v>
      </c>
      <c r="J285">
        <v>3000</v>
      </c>
      <c r="K285">
        <v>3000</v>
      </c>
      <c r="L285">
        <v>3000</v>
      </c>
      <c r="M285">
        <v>3000</v>
      </c>
      <c r="N285" t="s">
        <v>988</v>
      </c>
    </row>
    <row r="286" spans="1:14" x14ac:dyDescent="0.3">
      <c r="A286">
        <v>2083</v>
      </c>
      <c r="B286" t="s">
        <v>1854</v>
      </c>
      <c r="C286" t="s">
        <v>2677</v>
      </c>
      <c r="D286" t="s">
        <v>1203</v>
      </c>
      <c r="E286" t="s">
        <v>1204</v>
      </c>
      <c r="F286">
        <v>5706</v>
      </c>
      <c r="G286" t="s">
        <v>2675</v>
      </c>
      <c r="H286" t="s">
        <v>2665</v>
      </c>
      <c r="I286">
        <v>3000</v>
      </c>
      <c r="J286">
        <v>3000</v>
      </c>
      <c r="K286">
        <v>3000</v>
      </c>
      <c r="L286">
        <v>3000</v>
      </c>
      <c r="M286">
        <v>3000</v>
      </c>
      <c r="N286" t="s">
        <v>988</v>
      </c>
    </row>
    <row r="287" spans="1:14" x14ac:dyDescent="0.3">
      <c r="A287">
        <v>2083</v>
      </c>
      <c r="B287" t="s">
        <v>1854</v>
      </c>
      <c r="C287" t="s">
        <v>2677</v>
      </c>
      <c r="D287" t="s">
        <v>1203</v>
      </c>
      <c r="E287" t="s">
        <v>1204</v>
      </c>
      <c r="F287">
        <v>5706</v>
      </c>
      <c r="G287" t="s">
        <v>2675</v>
      </c>
      <c r="H287" t="s">
        <v>2664</v>
      </c>
      <c r="I287">
        <v>3000</v>
      </c>
      <c r="J287">
        <v>3000</v>
      </c>
      <c r="K287">
        <v>3000</v>
      </c>
      <c r="L287">
        <v>3000</v>
      </c>
      <c r="M287">
        <v>3000</v>
      </c>
      <c r="N287" t="s">
        <v>988</v>
      </c>
    </row>
    <row r="288" spans="1:14" x14ac:dyDescent="0.3">
      <c r="A288">
        <v>2083</v>
      </c>
      <c r="B288" t="s">
        <v>1854</v>
      </c>
      <c r="C288" t="s">
        <v>2677</v>
      </c>
      <c r="D288" t="s">
        <v>1203</v>
      </c>
      <c r="E288" t="s">
        <v>1204</v>
      </c>
      <c r="F288">
        <v>5706</v>
      </c>
      <c r="G288" t="s">
        <v>2676</v>
      </c>
      <c r="H288" t="s">
        <v>2665</v>
      </c>
      <c r="I288">
        <v>3000</v>
      </c>
      <c r="J288">
        <v>3000</v>
      </c>
      <c r="K288">
        <v>3000</v>
      </c>
      <c r="L288">
        <v>3000</v>
      </c>
      <c r="M288">
        <v>3000</v>
      </c>
      <c r="N288" t="s">
        <v>988</v>
      </c>
    </row>
    <row r="289" spans="1:14" x14ac:dyDescent="0.3">
      <c r="A289">
        <v>2083</v>
      </c>
      <c r="B289" t="s">
        <v>1854</v>
      </c>
      <c r="C289" t="s">
        <v>2677</v>
      </c>
      <c r="D289" t="s">
        <v>1203</v>
      </c>
      <c r="E289" t="s">
        <v>1204</v>
      </c>
      <c r="F289">
        <v>5706</v>
      </c>
      <c r="G289" t="s">
        <v>2673</v>
      </c>
      <c r="H289" t="s">
        <v>2664</v>
      </c>
      <c r="I289">
        <v>3000</v>
      </c>
      <c r="J289">
        <v>3000</v>
      </c>
      <c r="K289">
        <v>3000</v>
      </c>
      <c r="L289">
        <v>3000</v>
      </c>
      <c r="M289">
        <v>3000</v>
      </c>
      <c r="N289" t="s">
        <v>988</v>
      </c>
    </row>
    <row r="290" spans="1:14" x14ac:dyDescent="0.3">
      <c r="A290">
        <v>2130</v>
      </c>
      <c r="B290" t="s">
        <v>1879</v>
      </c>
      <c r="C290" t="s">
        <v>2677</v>
      </c>
      <c r="D290" t="s">
        <v>159</v>
      </c>
      <c r="E290" t="s">
        <v>159</v>
      </c>
      <c r="F290">
        <v>6776</v>
      </c>
      <c r="G290" t="s">
        <v>2676</v>
      </c>
      <c r="H290" t="s">
        <v>2665</v>
      </c>
      <c r="I290">
        <v>28406</v>
      </c>
      <c r="J290">
        <v>53135</v>
      </c>
      <c r="K290">
        <v>75098</v>
      </c>
      <c r="L290">
        <v>97060</v>
      </c>
      <c r="M290">
        <v>97060</v>
      </c>
      <c r="N290" t="s">
        <v>988</v>
      </c>
    </row>
    <row r="291" spans="1:14" x14ac:dyDescent="0.3">
      <c r="A291">
        <v>2130</v>
      </c>
      <c r="B291" t="s">
        <v>1879</v>
      </c>
      <c r="C291" t="s">
        <v>2677</v>
      </c>
      <c r="D291" t="s">
        <v>159</v>
      </c>
      <c r="E291" t="s">
        <v>159</v>
      </c>
      <c r="F291">
        <v>6776</v>
      </c>
      <c r="G291" t="s">
        <v>2675</v>
      </c>
      <c r="H291" t="s">
        <v>2664</v>
      </c>
      <c r="I291">
        <v>33351</v>
      </c>
      <c r="J291">
        <v>57528</v>
      </c>
      <c r="K291">
        <v>79490</v>
      </c>
      <c r="L291">
        <v>97060</v>
      </c>
      <c r="M291">
        <v>97060</v>
      </c>
      <c r="N291" t="s">
        <v>988</v>
      </c>
    </row>
    <row r="292" spans="1:14" x14ac:dyDescent="0.3">
      <c r="A292">
        <v>2130</v>
      </c>
      <c r="B292" t="s">
        <v>1879</v>
      </c>
      <c r="C292" t="s">
        <v>2677</v>
      </c>
      <c r="D292" t="s">
        <v>159</v>
      </c>
      <c r="E292" t="s">
        <v>159</v>
      </c>
      <c r="F292">
        <v>6776</v>
      </c>
      <c r="G292" t="s">
        <v>2675</v>
      </c>
      <c r="H292" t="s">
        <v>2665</v>
      </c>
      <c r="I292">
        <v>33351</v>
      </c>
      <c r="J292">
        <v>57528</v>
      </c>
      <c r="K292">
        <v>79490</v>
      </c>
      <c r="L292">
        <v>97060</v>
      </c>
      <c r="M292">
        <v>97060</v>
      </c>
      <c r="N292" t="s">
        <v>988</v>
      </c>
    </row>
    <row r="293" spans="1:14" x14ac:dyDescent="0.3">
      <c r="A293">
        <v>2130</v>
      </c>
      <c r="B293" t="s">
        <v>1879</v>
      </c>
      <c r="C293" t="s">
        <v>2677</v>
      </c>
      <c r="D293" t="s">
        <v>159</v>
      </c>
      <c r="E293" t="s">
        <v>159</v>
      </c>
      <c r="F293">
        <v>6776</v>
      </c>
      <c r="G293" t="s">
        <v>2674</v>
      </c>
      <c r="H293" t="s">
        <v>2664</v>
      </c>
      <c r="I293">
        <v>38297</v>
      </c>
      <c r="J293">
        <v>61920</v>
      </c>
      <c r="K293">
        <v>83883</v>
      </c>
      <c r="L293">
        <v>97060</v>
      </c>
      <c r="M293">
        <v>97060</v>
      </c>
      <c r="N293" t="s">
        <v>988</v>
      </c>
    </row>
    <row r="294" spans="1:14" x14ac:dyDescent="0.3">
      <c r="A294">
        <v>2130</v>
      </c>
      <c r="B294" t="s">
        <v>1879</v>
      </c>
      <c r="C294" t="s">
        <v>2677</v>
      </c>
      <c r="D294" t="s">
        <v>159</v>
      </c>
      <c r="E294" t="s">
        <v>159</v>
      </c>
      <c r="F294">
        <v>6776</v>
      </c>
      <c r="G294" t="s">
        <v>2674</v>
      </c>
      <c r="H294" t="s">
        <v>2665</v>
      </c>
      <c r="I294">
        <v>38297</v>
      </c>
      <c r="J294">
        <v>61920</v>
      </c>
      <c r="K294">
        <v>83883</v>
      </c>
      <c r="L294">
        <v>97060</v>
      </c>
      <c r="M294">
        <v>97060</v>
      </c>
      <c r="N294" t="s">
        <v>988</v>
      </c>
    </row>
    <row r="295" spans="1:14" x14ac:dyDescent="0.3">
      <c r="A295">
        <v>2130</v>
      </c>
      <c r="B295" t="s">
        <v>1879</v>
      </c>
      <c r="C295" t="s">
        <v>2677</v>
      </c>
      <c r="D295" t="s">
        <v>159</v>
      </c>
      <c r="E295" t="s">
        <v>159</v>
      </c>
      <c r="F295">
        <v>6776</v>
      </c>
      <c r="G295" t="s">
        <v>2676</v>
      </c>
      <c r="H295" t="s">
        <v>2664</v>
      </c>
      <c r="I295">
        <v>28406</v>
      </c>
      <c r="J295">
        <v>53135</v>
      </c>
      <c r="K295">
        <v>75098</v>
      </c>
      <c r="L295">
        <v>97060</v>
      </c>
      <c r="M295">
        <v>97060</v>
      </c>
      <c r="N295" t="s">
        <v>988</v>
      </c>
    </row>
    <row r="296" spans="1:14" x14ac:dyDescent="0.3">
      <c r="A296">
        <v>2130</v>
      </c>
      <c r="B296" t="s">
        <v>1879</v>
      </c>
      <c r="C296" t="s">
        <v>2677</v>
      </c>
      <c r="D296" t="s">
        <v>159</v>
      </c>
      <c r="E296" t="s">
        <v>159</v>
      </c>
      <c r="F296">
        <v>6776</v>
      </c>
      <c r="G296" t="s">
        <v>2673</v>
      </c>
      <c r="H296" t="s">
        <v>2665</v>
      </c>
      <c r="I296">
        <v>43243</v>
      </c>
      <c r="J296">
        <v>66313</v>
      </c>
      <c r="K296">
        <v>88275</v>
      </c>
      <c r="L296">
        <v>97060</v>
      </c>
      <c r="M296">
        <v>97060</v>
      </c>
      <c r="N296" t="s">
        <v>988</v>
      </c>
    </row>
    <row r="297" spans="1:14" x14ac:dyDescent="0.3">
      <c r="A297">
        <v>2130</v>
      </c>
      <c r="B297" t="s">
        <v>1879</v>
      </c>
      <c r="C297" t="s">
        <v>2677</v>
      </c>
      <c r="D297" t="s">
        <v>159</v>
      </c>
      <c r="E297" t="s">
        <v>159</v>
      </c>
      <c r="F297">
        <v>6776</v>
      </c>
      <c r="G297" t="s">
        <v>2671</v>
      </c>
      <c r="H297" t="s">
        <v>2664</v>
      </c>
      <c r="I297">
        <v>48189</v>
      </c>
      <c r="J297">
        <v>70705</v>
      </c>
      <c r="K297">
        <v>92668</v>
      </c>
      <c r="L297">
        <v>97060</v>
      </c>
      <c r="M297">
        <v>97060</v>
      </c>
      <c r="N297" t="s">
        <v>988</v>
      </c>
    </row>
    <row r="298" spans="1:14" x14ac:dyDescent="0.3">
      <c r="A298">
        <v>2130</v>
      </c>
      <c r="B298" t="s">
        <v>1879</v>
      </c>
      <c r="C298" t="s">
        <v>2677</v>
      </c>
      <c r="D298" t="s">
        <v>159</v>
      </c>
      <c r="E298" t="s">
        <v>159</v>
      </c>
      <c r="F298">
        <v>6776</v>
      </c>
      <c r="G298" t="s">
        <v>2671</v>
      </c>
      <c r="H298" t="s">
        <v>2665</v>
      </c>
      <c r="I298">
        <v>48189</v>
      </c>
      <c r="J298">
        <v>70705</v>
      </c>
      <c r="K298">
        <v>92668</v>
      </c>
      <c r="L298">
        <v>97060</v>
      </c>
      <c r="M298">
        <v>97060</v>
      </c>
      <c r="N298" t="s">
        <v>988</v>
      </c>
    </row>
    <row r="299" spans="1:14" x14ac:dyDescent="0.3">
      <c r="A299">
        <v>2130</v>
      </c>
      <c r="B299" t="s">
        <v>1879</v>
      </c>
      <c r="C299" t="s">
        <v>2677</v>
      </c>
      <c r="D299" t="s">
        <v>159</v>
      </c>
      <c r="E299" t="s">
        <v>159</v>
      </c>
      <c r="F299">
        <v>6776</v>
      </c>
      <c r="G299" t="s">
        <v>2672</v>
      </c>
      <c r="H299" t="s">
        <v>2664</v>
      </c>
      <c r="N299" t="s">
        <v>988</v>
      </c>
    </row>
    <row r="300" spans="1:14" x14ac:dyDescent="0.3">
      <c r="A300">
        <v>2130</v>
      </c>
      <c r="B300" t="s">
        <v>1879</v>
      </c>
      <c r="C300" t="s">
        <v>2677</v>
      </c>
      <c r="D300" t="s">
        <v>159</v>
      </c>
      <c r="E300" t="s">
        <v>159</v>
      </c>
      <c r="F300">
        <v>6776</v>
      </c>
      <c r="G300" t="s">
        <v>2672</v>
      </c>
      <c r="H300" t="s">
        <v>2665</v>
      </c>
      <c r="N300" t="s">
        <v>988</v>
      </c>
    </row>
    <row r="301" spans="1:14" x14ac:dyDescent="0.3">
      <c r="A301">
        <v>2130</v>
      </c>
      <c r="B301" t="s">
        <v>1879</v>
      </c>
      <c r="C301" t="s">
        <v>2677</v>
      </c>
      <c r="D301" t="s">
        <v>159</v>
      </c>
      <c r="E301" t="s">
        <v>159</v>
      </c>
      <c r="F301">
        <v>6776</v>
      </c>
      <c r="G301" t="s">
        <v>2673</v>
      </c>
      <c r="H301" t="s">
        <v>2664</v>
      </c>
      <c r="I301">
        <v>43243</v>
      </c>
      <c r="J301">
        <v>66313</v>
      </c>
      <c r="K301">
        <v>88275</v>
      </c>
      <c r="L301">
        <v>97060</v>
      </c>
      <c r="M301">
        <v>97060</v>
      </c>
      <c r="N301" t="s">
        <v>988</v>
      </c>
    </row>
    <row r="302" spans="1:14" x14ac:dyDescent="0.3">
      <c r="A302">
        <v>2132</v>
      </c>
      <c r="B302" t="s">
        <v>772</v>
      </c>
      <c r="C302" t="s">
        <v>2677</v>
      </c>
      <c r="D302" t="s">
        <v>1203</v>
      </c>
      <c r="E302" t="s">
        <v>1204</v>
      </c>
      <c r="F302">
        <v>5606</v>
      </c>
      <c r="G302" t="s">
        <v>2676</v>
      </c>
      <c r="H302" t="s">
        <v>2664</v>
      </c>
      <c r="I302">
        <v>2568</v>
      </c>
      <c r="J302">
        <v>2668</v>
      </c>
      <c r="K302">
        <v>2768</v>
      </c>
      <c r="L302">
        <v>2868</v>
      </c>
      <c r="M302">
        <v>3072</v>
      </c>
      <c r="N302" t="s">
        <v>988</v>
      </c>
    </row>
    <row r="303" spans="1:14" x14ac:dyDescent="0.3">
      <c r="A303">
        <v>2132</v>
      </c>
      <c r="B303" t="s">
        <v>772</v>
      </c>
      <c r="C303" t="s">
        <v>2677</v>
      </c>
      <c r="D303" t="s">
        <v>1203</v>
      </c>
      <c r="E303" t="s">
        <v>1204</v>
      </c>
      <c r="F303">
        <v>5606</v>
      </c>
      <c r="G303" t="s">
        <v>2676</v>
      </c>
      <c r="H303" t="s">
        <v>2665</v>
      </c>
      <c r="I303">
        <v>2568</v>
      </c>
      <c r="J303">
        <v>2668</v>
      </c>
      <c r="K303">
        <v>2768</v>
      </c>
      <c r="L303">
        <v>2868</v>
      </c>
      <c r="M303">
        <v>3072</v>
      </c>
      <c r="N303" t="s">
        <v>988</v>
      </c>
    </row>
    <row r="304" spans="1:14" x14ac:dyDescent="0.3">
      <c r="A304">
        <v>2132</v>
      </c>
      <c r="B304" t="s">
        <v>772</v>
      </c>
      <c r="C304" t="s">
        <v>2677</v>
      </c>
      <c r="D304" t="s">
        <v>1203</v>
      </c>
      <c r="E304" t="s">
        <v>1204</v>
      </c>
      <c r="F304">
        <v>5606</v>
      </c>
      <c r="G304" t="s">
        <v>2675</v>
      </c>
      <c r="H304" t="s">
        <v>2664</v>
      </c>
      <c r="I304">
        <v>2568</v>
      </c>
      <c r="J304">
        <v>2668</v>
      </c>
      <c r="K304">
        <v>2768</v>
      </c>
      <c r="L304">
        <v>2868</v>
      </c>
      <c r="M304">
        <v>3072</v>
      </c>
      <c r="N304" t="s">
        <v>988</v>
      </c>
    </row>
    <row r="305" spans="1:14" x14ac:dyDescent="0.3">
      <c r="A305">
        <v>2132</v>
      </c>
      <c r="B305" t="s">
        <v>772</v>
      </c>
      <c r="C305" t="s">
        <v>2677</v>
      </c>
      <c r="D305" t="s">
        <v>1203</v>
      </c>
      <c r="E305" t="s">
        <v>1204</v>
      </c>
      <c r="F305">
        <v>5606</v>
      </c>
      <c r="G305" t="s">
        <v>2675</v>
      </c>
      <c r="H305" t="s">
        <v>2665</v>
      </c>
      <c r="I305">
        <v>2568</v>
      </c>
      <c r="J305">
        <v>2668</v>
      </c>
      <c r="K305">
        <v>2768</v>
      </c>
      <c r="L305">
        <v>2868</v>
      </c>
      <c r="M305">
        <v>3072</v>
      </c>
      <c r="N305" t="s">
        <v>988</v>
      </c>
    </row>
    <row r="306" spans="1:14" x14ac:dyDescent="0.3">
      <c r="A306">
        <v>2132</v>
      </c>
      <c r="B306" t="s">
        <v>772</v>
      </c>
      <c r="C306" t="s">
        <v>2677</v>
      </c>
      <c r="D306" t="s">
        <v>1203</v>
      </c>
      <c r="E306" t="s">
        <v>1204</v>
      </c>
      <c r="F306">
        <v>5606</v>
      </c>
      <c r="G306" t="s">
        <v>2674</v>
      </c>
      <c r="H306" t="s">
        <v>2664</v>
      </c>
      <c r="I306">
        <v>2568</v>
      </c>
      <c r="J306">
        <v>2668</v>
      </c>
      <c r="K306">
        <v>2768</v>
      </c>
      <c r="L306">
        <v>2868</v>
      </c>
      <c r="M306">
        <v>3072</v>
      </c>
      <c r="N306" t="s">
        <v>988</v>
      </c>
    </row>
    <row r="307" spans="1:14" x14ac:dyDescent="0.3">
      <c r="A307">
        <v>2132</v>
      </c>
      <c r="B307" t="s">
        <v>772</v>
      </c>
      <c r="C307" t="s">
        <v>2677</v>
      </c>
      <c r="D307" t="s">
        <v>1203</v>
      </c>
      <c r="E307" t="s">
        <v>1204</v>
      </c>
      <c r="F307">
        <v>5606</v>
      </c>
      <c r="G307" t="s">
        <v>2674</v>
      </c>
      <c r="H307" t="s">
        <v>2665</v>
      </c>
      <c r="I307">
        <v>2568</v>
      </c>
      <c r="J307">
        <v>2668</v>
      </c>
      <c r="K307">
        <v>2768</v>
      </c>
      <c r="L307">
        <v>2868</v>
      </c>
      <c r="M307">
        <v>3072</v>
      </c>
      <c r="N307" t="s">
        <v>988</v>
      </c>
    </row>
    <row r="308" spans="1:14" x14ac:dyDescent="0.3">
      <c r="A308">
        <v>2132</v>
      </c>
      <c r="B308" t="s">
        <v>772</v>
      </c>
      <c r="C308" t="s">
        <v>2677</v>
      </c>
      <c r="D308" t="s">
        <v>1203</v>
      </c>
      <c r="E308" t="s">
        <v>1204</v>
      </c>
      <c r="F308">
        <v>5606</v>
      </c>
      <c r="G308" t="s">
        <v>2673</v>
      </c>
      <c r="H308" t="s">
        <v>2664</v>
      </c>
      <c r="I308">
        <v>2568</v>
      </c>
      <c r="J308">
        <v>2668</v>
      </c>
      <c r="K308">
        <v>2768</v>
      </c>
      <c r="L308">
        <v>2868</v>
      </c>
      <c r="M308">
        <v>3072</v>
      </c>
      <c r="N308" t="s">
        <v>988</v>
      </c>
    </row>
    <row r="309" spans="1:14" x14ac:dyDescent="0.3">
      <c r="A309">
        <v>2132</v>
      </c>
      <c r="B309" t="s">
        <v>772</v>
      </c>
      <c r="C309" t="s">
        <v>2677</v>
      </c>
      <c r="D309" t="s">
        <v>1203</v>
      </c>
      <c r="E309" t="s">
        <v>1204</v>
      </c>
      <c r="F309">
        <v>5606</v>
      </c>
      <c r="G309" t="s">
        <v>2673</v>
      </c>
      <c r="H309" t="s">
        <v>2665</v>
      </c>
      <c r="I309">
        <v>2568</v>
      </c>
      <c r="J309">
        <v>2668</v>
      </c>
      <c r="K309">
        <v>2768</v>
      </c>
      <c r="L309">
        <v>2868</v>
      </c>
      <c r="M309">
        <v>3072</v>
      </c>
      <c r="N309" t="s">
        <v>988</v>
      </c>
    </row>
    <row r="310" spans="1:14" x14ac:dyDescent="0.3">
      <c r="A310">
        <v>2132</v>
      </c>
      <c r="B310" t="s">
        <v>772</v>
      </c>
      <c r="C310" t="s">
        <v>2677</v>
      </c>
      <c r="D310" t="s">
        <v>1203</v>
      </c>
      <c r="E310" t="s">
        <v>1204</v>
      </c>
      <c r="F310">
        <v>5606</v>
      </c>
      <c r="G310" t="s">
        <v>2671</v>
      </c>
      <c r="H310" t="s">
        <v>2664</v>
      </c>
      <c r="I310">
        <v>2568</v>
      </c>
      <c r="J310">
        <v>2668</v>
      </c>
      <c r="K310">
        <v>2768</v>
      </c>
      <c r="L310">
        <v>2868</v>
      </c>
      <c r="M310">
        <v>3072</v>
      </c>
      <c r="N310" t="s">
        <v>988</v>
      </c>
    </row>
    <row r="311" spans="1:14" x14ac:dyDescent="0.3">
      <c r="A311">
        <v>2132</v>
      </c>
      <c r="B311" t="s">
        <v>772</v>
      </c>
      <c r="C311" t="s">
        <v>2677</v>
      </c>
      <c r="D311" t="s">
        <v>1203</v>
      </c>
      <c r="E311" t="s">
        <v>1204</v>
      </c>
      <c r="F311">
        <v>5606</v>
      </c>
      <c r="G311" t="s">
        <v>2671</v>
      </c>
      <c r="H311" t="s">
        <v>2665</v>
      </c>
      <c r="I311">
        <v>2568</v>
      </c>
      <c r="J311">
        <v>2668</v>
      </c>
      <c r="K311">
        <v>2768</v>
      </c>
      <c r="L311">
        <v>2868</v>
      </c>
      <c r="M311">
        <v>3072</v>
      </c>
      <c r="N311" t="s">
        <v>988</v>
      </c>
    </row>
    <row r="312" spans="1:14" x14ac:dyDescent="0.3">
      <c r="A312">
        <v>2132</v>
      </c>
      <c r="B312" t="s">
        <v>772</v>
      </c>
      <c r="C312" t="s">
        <v>2677</v>
      </c>
      <c r="D312" t="s">
        <v>1203</v>
      </c>
      <c r="E312" t="s">
        <v>1204</v>
      </c>
      <c r="F312">
        <v>5606</v>
      </c>
      <c r="G312" t="s">
        <v>2672</v>
      </c>
      <c r="H312" t="s">
        <v>2665</v>
      </c>
      <c r="N312" t="s">
        <v>988</v>
      </c>
    </row>
    <row r="313" spans="1:14" x14ac:dyDescent="0.3">
      <c r="A313">
        <v>2132</v>
      </c>
      <c r="B313" t="s">
        <v>772</v>
      </c>
      <c r="C313" t="s">
        <v>2677</v>
      </c>
      <c r="D313" t="s">
        <v>1203</v>
      </c>
      <c r="E313" t="s">
        <v>1204</v>
      </c>
      <c r="F313">
        <v>5606</v>
      </c>
      <c r="G313" t="s">
        <v>2672</v>
      </c>
      <c r="H313" t="s">
        <v>2664</v>
      </c>
      <c r="N313" t="s">
        <v>988</v>
      </c>
    </row>
    <row r="314" spans="1:14" x14ac:dyDescent="0.3">
      <c r="A314">
        <v>2146</v>
      </c>
      <c r="B314" t="s">
        <v>2194</v>
      </c>
      <c r="C314" t="s">
        <v>2677</v>
      </c>
      <c r="D314" t="s">
        <v>1203</v>
      </c>
      <c r="E314" t="s">
        <v>1204</v>
      </c>
      <c r="F314">
        <v>6101</v>
      </c>
      <c r="G314" t="s">
        <v>2672</v>
      </c>
      <c r="H314" t="s">
        <v>2665</v>
      </c>
      <c r="N314" t="s">
        <v>988</v>
      </c>
    </row>
    <row r="315" spans="1:14" x14ac:dyDescent="0.3">
      <c r="A315">
        <v>2146</v>
      </c>
      <c r="B315" t="s">
        <v>2194</v>
      </c>
      <c r="C315" t="s">
        <v>2677</v>
      </c>
      <c r="D315" t="s">
        <v>1203</v>
      </c>
      <c r="E315" t="s">
        <v>1204</v>
      </c>
      <c r="F315">
        <v>6101</v>
      </c>
      <c r="G315" t="s">
        <v>2672</v>
      </c>
      <c r="H315" t="s">
        <v>2664</v>
      </c>
      <c r="N315" t="s">
        <v>988</v>
      </c>
    </row>
    <row r="316" spans="1:14" x14ac:dyDescent="0.3">
      <c r="A316">
        <v>2146</v>
      </c>
      <c r="B316" t="s">
        <v>2194</v>
      </c>
      <c r="C316" t="s">
        <v>2677</v>
      </c>
      <c r="D316" t="s">
        <v>1203</v>
      </c>
      <c r="E316" t="s">
        <v>1204</v>
      </c>
      <c r="F316">
        <v>6101</v>
      </c>
      <c r="G316" t="s">
        <v>2671</v>
      </c>
      <c r="H316" t="s">
        <v>2665</v>
      </c>
      <c r="I316">
        <v>14571</v>
      </c>
      <c r="J316">
        <v>14571</v>
      </c>
      <c r="K316">
        <v>14571</v>
      </c>
      <c r="L316">
        <v>14571</v>
      </c>
      <c r="M316">
        <v>14571</v>
      </c>
      <c r="N316" t="s">
        <v>988</v>
      </c>
    </row>
    <row r="317" spans="1:14" x14ac:dyDescent="0.3">
      <c r="A317">
        <v>2146</v>
      </c>
      <c r="B317" t="s">
        <v>2194</v>
      </c>
      <c r="C317" t="s">
        <v>2677</v>
      </c>
      <c r="D317" t="s">
        <v>1203</v>
      </c>
      <c r="E317" t="s">
        <v>1204</v>
      </c>
      <c r="F317">
        <v>6101</v>
      </c>
      <c r="G317" t="s">
        <v>2671</v>
      </c>
      <c r="H317" t="s">
        <v>2664</v>
      </c>
      <c r="I317">
        <v>14571</v>
      </c>
      <c r="J317">
        <v>14571</v>
      </c>
      <c r="K317">
        <v>14571</v>
      </c>
      <c r="L317">
        <v>14571</v>
      </c>
      <c r="M317">
        <v>14571</v>
      </c>
      <c r="N317" t="s">
        <v>988</v>
      </c>
    </row>
    <row r="318" spans="1:14" x14ac:dyDescent="0.3">
      <c r="A318">
        <v>2146</v>
      </c>
      <c r="B318" t="s">
        <v>2194</v>
      </c>
      <c r="C318" t="s">
        <v>2677</v>
      </c>
      <c r="D318" t="s">
        <v>1203</v>
      </c>
      <c r="E318" t="s">
        <v>1204</v>
      </c>
      <c r="F318">
        <v>6101</v>
      </c>
      <c r="G318" t="s">
        <v>2673</v>
      </c>
      <c r="H318" t="s">
        <v>2665</v>
      </c>
      <c r="I318">
        <v>14571</v>
      </c>
      <c r="J318">
        <v>14571</v>
      </c>
      <c r="K318">
        <v>14571</v>
      </c>
      <c r="L318">
        <v>14571</v>
      </c>
      <c r="M318">
        <v>14571</v>
      </c>
      <c r="N318" t="s">
        <v>988</v>
      </c>
    </row>
    <row r="319" spans="1:14" x14ac:dyDescent="0.3">
      <c r="A319">
        <v>2146</v>
      </c>
      <c r="B319" t="s">
        <v>2194</v>
      </c>
      <c r="C319" t="s">
        <v>2677</v>
      </c>
      <c r="D319" t="s">
        <v>1203</v>
      </c>
      <c r="E319" t="s">
        <v>1204</v>
      </c>
      <c r="F319">
        <v>6101</v>
      </c>
      <c r="G319" t="s">
        <v>2673</v>
      </c>
      <c r="H319" t="s">
        <v>2664</v>
      </c>
      <c r="I319">
        <v>14571</v>
      </c>
      <c r="J319">
        <v>14571</v>
      </c>
      <c r="K319">
        <v>14571</v>
      </c>
      <c r="L319">
        <v>14571</v>
      </c>
      <c r="M319">
        <v>14571</v>
      </c>
      <c r="N319" t="s">
        <v>988</v>
      </c>
    </row>
    <row r="320" spans="1:14" x14ac:dyDescent="0.3">
      <c r="A320">
        <v>2146</v>
      </c>
      <c r="B320" t="s">
        <v>2194</v>
      </c>
      <c r="C320" t="s">
        <v>2677</v>
      </c>
      <c r="D320" t="s">
        <v>1203</v>
      </c>
      <c r="E320" t="s">
        <v>1204</v>
      </c>
      <c r="F320">
        <v>6101</v>
      </c>
      <c r="G320" t="s">
        <v>2674</v>
      </c>
      <c r="H320" t="s">
        <v>2665</v>
      </c>
      <c r="I320">
        <v>14571</v>
      </c>
      <c r="J320">
        <v>14571</v>
      </c>
      <c r="K320">
        <v>14571</v>
      </c>
      <c r="L320">
        <v>14571</v>
      </c>
      <c r="M320">
        <v>14571</v>
      </c>
      <c r="N320" t="s">
        <v>988</v>
      </c>
    </row>
    <row r="321" spans="1:14" x14ac:dyDescent="0.3">
      <c r="A321">
        <v>2146</v>
      </c>
      <c r="B321" t="s">
        <v>2194</v>
      </c>
      <c r="C321" t="s">
        <v>2677</v>
      </c>
      <c r="D321" t="s">
        <v>1203</v>
      </c>
      <c r="E321" t="s">
        <v>1204</v>
      </c>
      <c r="F321">
        <v>6101</v>
      </c>
      <c r="G321" t="s">
        <v>2674</v>
      </c>
      <c r="H321" t="s">
        <v>2664</v>
      </c>
      <c r="I321">
        <v>14571</v>
      </c>
      <c r="J321">
        <v>14571</v>
      </c>
      <c r="K321">
        <v>14571</v>
      </c>
      <c r="L321">
        <v>14571</v>
      </c>
      <c r="M321">
        <v>14571</v>
      </c>
      <c r="N321" t="s">
        <v>988</v>
      </c>
    </row>
    <row r="322" spans="1:14" x14ac:dyDescent="0.3">
      <c r="A322">
        <v>2146</v>
      </c>
      <c r="B322" t="s">
        <v>2194</v>
      </c>
      <c r="C322" t="s">
        <v>2677</v>
      </c>
      <c r="D322" t="s">
        <v>1203</v>
      </c>
      <c r="E322" t="s">
        <v>1204</v>
      </c>
      <c r="F322">
        <v>6101</v>
      </c>
      <c r="G322" t="s">
        <v>2675</v>
      </c>
      <c r="H322" t="s">
        <v>2665</v>
      </c>
      <c r="I322">
        <v>14571</v>
      </c>
      <c r="J322">
        <v>14571</v>
      </c>
      <c r="K322">
        <v>14571</v>
      </c>
      <c r="L322">
        <v>14571</v>
      </c>
      <c r="M322">
        <v>14571</v>
      </c>
      <c r="N322" t="s">
        <v>988</v>
      </c>
    </row>
    <row r="323" spans="1:14" x14ac:dyDescent="0.3">
      <c r="A323">
        <v>2146</v>
      </c>
      <c r="B323" t="s">
        <v>2194</v>
      </c>
      <c r="C323" t="s">
        <v>2677</v>
      </c>
      <c r="D323" t="s">
        <v>1203</v>
      </c>
      <c r="E323" t="s">
        <v>1204</v>
      </c>
      <c r="F323">
        <v>6101</v>
      </c>
      <c r="G323" t="s">
        <v>2675</v>
      </c>
      <c r="H323" t="s">
        <v>2664</v>
      </c>
      <c r="I323">
        <v>14571</v>
      </c>
      <c r="J323">
        <v>14571</v>
      </c>
      <c r="K323">
        <v>14571</v>
      </c>
      <c r="L323">
        <v>14571</v>
      </c>
      <c r="M323">
        <v>14571</v>
      </c>
      <c r="N323" t="s">
        <v>988</v>
      </c>
    </row>
    <row r="324" spans="1:14" x14ac:dyDescent="0.3">
      <c r="A324">
        <v>2146</v>
      </c>
      <c r="B324" t="s">
        <v>2194</v>
      </c>
      <c r="C324" t="s">
        <v>2677</v>
      </c>
      <c r="D324" t="s">
        <v>1203</v>
      </c>
      <c r="E324" t="s">
        <v>1204</v>
      </c>
      <c r="F324">
        <v>6101</v>
      </c>
      <c r="G324" t="s">
        <v>2676</v>
      </c>
      <c r="H324" t="s">
        <v>2665</v>
      </c>
      <c r="I324">
        <v>14571</v>
      </c>
      <c r="J324">
        <v>14571</v>
      </c>
      <c r="K324">
        <v>14571</v>
      </c>
      <c r="L324">
        <v>14571</v>
      </c>
      <c r="M324">
        <v>14571</v>
      </c>
      <c r="N324" t="s">
        <v>988</v>
      </c>
    </row>
    <row r="325" spans="1:14" x14ac:dyDescent="0.3">
      <c r="A325">
        <v>2146</v>
      </c>
      <c r="B325" t="s">
        <v>2194</v>
      </c>
      <c r="C325" t="s">
        <v>2677</v>
      </c>
      <c r="D325" t="s">
        <v>1203</v>
      </c>
      <c r="E325" t="s">
        <v>1204</v>
      </c>
      <c r="F325">
        <v>6101</v>
      </c>
      <c r="G325" t="s">
        <v>2676</v>
      </c>
      <c r="H325" t="s">
        <v>2664</v>
      </c>
      <c r="I325">
        <v>14571</v>
      </c>
      <c r="J325">
        <v>14571</v>
      </c>
      <c r="K325">
        <v>14571</v>
      </c>
      <c r="L325">
        <v>14571</v>
      </c>
      <c r="M325">
        <v>14571</v>
      </c>
      <c r="N325" t="s">
        <v>988</v>
      </c>
    </row>
    <row r="326" spans="1:14" x14ac:dyDescent="0.3">
      <c r="A326">
        <v>2149</v>
      </c>
      <c r="B326" t="s">
        <v>928</v>
      </c>
      <c r="C326" t="s">
        <v>2677</v>
      </c>
      <c r="D326" t="s">
        <v>1203</v>
      </c>
      <c r="E326" t="s">
        <v>1204</v>
      </c>
      <c r="F326">
        <v>7795</v>
      </c>
      <c r="G326" t="s">
        <v>2673</v>
      </c>
      <c r="H326" t="s">
        <v>2665</v>
      </c>
      <c r="I326">
        <v>6271</v>
      </c>
      <c r="J326">
        <v>7334</v>
      </c>
      <c r="K326">
        <v>8536</v>
      </c>
      <c r="L326">
        <v>9771</v>
      </c>
      <c r="N326" t="s">
        <v>988</v>
      </c>
    </row>
    <row r="327" spans="1:14" x14ac:dyDescent="0.3">
      <c r="A327">
        <v>2149</v>
      </c>
      <c r="B327" t="s">
        <v>928</v>
      </c>
      <c r="C327" t="s">
        <v>2677</v>
      </c>
      <c r="D327" t="s">
        <v>1203</v>
      </c>
      <c r="E327" t="s">
        <v>1204</v>
      </c>
      <c r="F327">
        <v>7795</v>
      </c>
      <c r="G327" t="s">
        <v>2671</v>
      </c>
      <c r="H327" t="s">
        <v>2664</v>
      </c>
      <c r="I327">
        <v>6271</v>
      </c>
      <c r="J327">
        <v>7334</v>
      </c>
      <c r="K327">
        <v>8536</v>
      </c>
      <c r="L327">
        <v>9771</v>
      </c>
      <c r="N327" t="s">
        <v>988</v>
      </c>
    </row>
    <row r="328" spans="1:14" x14ac:dyDescent="0.3">
      <c r="A328">
        <v>2149</v>
      </c>
      <c r="B328" t="s">
        <v>928</v>
      </c>
      <c r="C328" t="s">
        <v>2677</v>
      </c>
      <c r="D328" t="s">
        <v>1203</v>
      </c>
      <c r="E328" t="s">
        <v>1204</v>
      </c>
      <c r="F328">
        <v>7795</v>
      </c>
      <c r="G328" t="s">
        <v>2674</v>
      </c>
      <c r="H328" t="s">
        <v>2665</v>
      </c>
      <c r="I328">
        <v>6271</v>
      </c>
      <c r="J328">
        <v>7334</v>
      </c>
      <c r="K328">
        <v>8536</v>
      </c>
      <c r="L328">
        <v>9771</v>
      </c>
      <c r="N328" t="s">
        <v>988</v>
      </c>
    </row>
    <row r="329" spans="1:14" x14ac:dyDescent="0.3">
      <c r="A329">
        <v>2149</v>
      </c>
      <c r="B329" t="s">
        <v>928</v>
      </c>
      <c r="C329" t="s">
        <v>2677</v>
      </c>
      <c r="D329" t="s">
        <v>1203</v>
      </c>
      <c r="E329" t="s">
        <v>1204</v>
      </c>
      <c r="F329">
        <v>7795</v>
      </c>
      <c r="G329" t="s">
        <v>2674</v>
      </c>
      <c r="H329" t="s">
        <v>2664</v>
      </c>
      <c r="I329">
        <v>6271</v>
      </c>
      <c r="J329">
        <v>7334</v>
      </c>
      <c r="K329">
        <v>8536</v>
      </c>
      <c r="L329">
        <v>9771</v>
      </c>
      <c r="N329" t="s">
        <v>988</v>
      </c>
    </row>
    <row r="330" spans="1:14" x14ac:dyDescent="0.3">
      <c r="A330">
        <v>2149</v>
      </c>
      <c r="B330" t="s">
        <v>928</v>
      </c>
      <c r="C330" t="s">
        <v>2677</v>
      </c>
      <c r="D330" t="s">
        <v>1203</v>
      </c>
      <c r="E330" t="s">
        <v>1204</v>
      </c>
      <c r="F330">
        <v>7795</v>
      </c>
      <c r="G330" t="s">
        <v>2675</v>
      </c>
      <c r="H330" t="s">
        <v>2665</v>
      </c>
      <c r="I330">
        <v>6271</v>
      </c>
      <c r="J330">
        <v>7334</v>
      </c>
      <c r="K330">
        <v>8536</v>
      </c>
      <c r="L330">
        <v>9771</v>
      </c>
      <c r="N330" t="s">
        <v>988</v>
      </c>
    </row>
    <row r="331" spans="1:14" x14ac:dyDescent="0.3">
      <c r="A331">
        <v>2149</v>
      </c>
      <c r="B331" t="s">
        <v>928</v>
      </c>
      <c r="C331" t="s">
        <v>2677</v>
      </c>
      <c r="D331" t="s">
        <v>1203</v>
      </c>
      <c r="E331" t="s">
        <v>1204</v>
      </c>
      <c r="F331">
        <v>7795</v>
      </c>
      <c r="G331" t="s">
        <v>2675</v>
      </c>
      <c r="H331" t="s">
        <v>2664</v>
      </c>
      <c r="I331">
        <v>6271</v>
      </c>
      <c r="J331">
        <v>7334</v>
      </c>
      <c r="K331">
        <v>8536</v>
      </c>
      <c r="L331">
        <v>9771</v>
      </c>
      <c r="N331" t="s">
        <v>988</v>
      </c>
    </row>
    <row r="332" spans="1:14" x14ac:dyDescent="0.3">
      <c r="A332">
        <v>2149</v>
      </c>
      <c r="B332" t="s">
        <v>928</v>
      </c>
      <c r="C332" t="s">
        <v>2677</v>
      </c>
      <c r="D332" t="s">
        <v>1203</v>
      </c>
      <c r="E332" t="s">
        <v>1204</v>
      </c>
      <c r="F332">
        <v>7795</v>
      </c>
      <c r="G332" t="s">
        <v>2676</v>
      </c>
      <c r="H332" t="s">
        <v>2665</v>
      </c>
      <c r="I332">
        <v>6271</v>
      </c>
      <c r="J332">
        <v>7334</v>
      </c>
      <c r="K332">
        <v>8536</v>
      </c>
      <c r="L332">
        <v>9771</v>
      </c>
      <c r="N332" t="s">
        <v>988</v>
      </c>
    </row>
    <row r="333" spans="1:14" x14ac:dyDescent="0.3">
      <c r="A333">
        <v>2149</v>
      </c>
      <c r="B333" t="s">
        <v>928</v>
      </c>
      <c r="C333" t="s">
        <v>2677</v>
      </c>
      <c r="D333" t="s">
        <v>1203</v>
      </c>
      <c r="E333" t="s">
        <v>1204</v>
      </c>
      <c r="F333">
        <v>7795</v>
      </c>
      <c r="G333" t="s">
        <v>2676</v>
      </c>
      <c r="H333" t="s">
        <v>2664</v>
      </c>
      <c r="I333">
        <v>6271</v>
      </c>
      <c r="J333">
        <v>7334</v>
      </c>
      <c r="K333">
        <v>8536</v>
      </c>
      <c r="L333">
        <v>9771</v>
      </c>
      <c r="N333" t="s">
        <v>988</v>
      </c>
    </row>
    <row r="334" spans="1:14" x14ac:dyDescent="0.3">
      <c r="A334">
        <v>2149</v>
      </c>
      <c r="B334" t="s">
        <v>928</v>
      </c>
      <c r="C334" t="s">
        <v>2677</v>
      </c>
      <c r="D334" t="s">
        <v>1203</v>
      </c>
      <c r="E334" t="s">
        <v>1204</v>
      </c>
      <c r="F334">
        <v>7795</v>
      </c>
      <c r="G334" t="s">
        <v>2673</v>
      </c>
      <c r="H334" t="s">
        <v>2664</v>
      </c>
      <c r="I334">
        <v>6271</v>
      </c>
      <c r="J334">
        <v>7334</v>
      </c>
      <c r="K334">
        <v>8536</v>
      </c>
      <c r="L334">
        <v>9771</v>
      </c>
      <c r="N334" t="s">
        <v>988</v>
      </c>
    </row>
    <row r="335" spans="1:14" x14ac:dyDescent="0.3">
      <c r="A335">
        <v>2149</v>
      </c>
      <c r="B335" t="s">
        <v>928</v>
      </c>
      <c r="C335" t="s">
        <v>2677</v>
      </c>
      <c r="D335" t="s">
        <v>1203</v>
      </c>
      <c r="E335" t="s">
        <v>1204</v>
      </c>
      <c r="F335">
        <v>7795</v>
      </c>
      <c r="G335" t="s">
        <v>2671</v>
      </c>
      <c r="H335" t="s">
        <v>2665</v>
      </c>
      <c r="I335">
        <v>6271</v>
      </c>
      <c r="J335">
        <v>7334</v>
      </c>
      <c r="K335">
        <v>8536</v>
      </c>
      <c r="L335">
        <v>9771</v>
      </c>
      <c r="N335" t="s">
        <v>988</v>
      </c>
    </row>
    <row r="336" spans="1:14" x14ac:dyDescent="0.3">
      <c r="A336">
        <v>2149</v>
      </c>
      <c r="B336" t="s">
        <v>928</v>
      </c>
      <c r="C336" t="s">
        <v>2677</v>
      </c>
      <c r="D336" t="s">
        <v>1203</v>
      </c>
      <c r="E336" t="s">
        <v>1204</v>
      </c>
      <c r="F336">
        <v>7795</v>
      </c>
      <c r="G336" t="s">
        <v>2672</v>
      </c>
      <c r="H336" t="s">
        <v>2664</v>
      </c>
      <c r="N336" t="s">
        <v>988</v>
      </c>
    </row>
    <row r="337" spans="1:14" x14ac:dyDescent="0.3">
      <c r="A337">
        <v>2149</v>
      </c>
      <c r="B337" t="s">
        <v>928</v>
      </c>
      <c r="C337" t="s">
        <v>2677</v>
      </c>
      <c r="D337" t="s">
        <v>1203</v>
      </c>
      <c r="E337" t="s">
        <v>1204</v>
      </c>
      <c r="F337">
        <v>7795</v>
      </c>
      <c r="G337" t="s">
        <v>2672</v>
      </c>
      <c r="H337" t="s">
        <v>2665</v>
      </c>
      <c r="N337" t="s">
        <v>988</v>
      </c>
    </row>
    <row r="338" spans="1:14" x14ac:dyDescent="0.3">
      <c r="A338">
        <v>2156</v>
      </c>
      <c r="B338" t="s">
        <v>836</v>
      </c>
      <c r="C338" t="s">
        <v>2677</v>
      </c>
      <c r="D338" t="s">
        <v>1203</v>
      </c>
      <c r="E338" t="s">
        <v>1204</v>
      </c>
      <c r="F338">
        <v>5772</v>
      </c>
      <c r="G338" t="s">
        <v>2673</v>
      </c>
      <c r="H338" t="s">
        <v>2665</v>
      </c>
      <c r="I338">
        <v>26676</v>
      </c>
      <c r="J338">
        <v>26676</v>
      </c>
      <c r="K338">
        <v>26676</v>
      </c>
      <c r="L338">
        <v>52972</v>
      </c>
      <c r="M338">
        <v>52972</v>
      </c>
      <c r="N338" t="s">
        <v>988</v>
      </c>
    </row>
    <row r="339" spans="1:14" x14ac:dyDescent="0.3">
      <c r="A339">
        <v>2156</v>
      </c>
      <c r="B339" t="s">
        <v>836</v>
      </c>
      <c r="C339" t="s">
        <v>2677</v>
      </c>
      <c r="D339" t="s">
        <v>1203</v>
      </c>
      <c r="E339" t="s">
        <v>1204</v>
      </c>
      <c r="F339">
        <v>5772</v>
      </c>
      <c r="G339" t="s">
        <v>2673</v>
      </c>
      <c r="H339" t="s">
        <v>2664</v>
      </c>
      <c r="I339">
        <v>26676</v>
      </c>
      <c r="J339">
        <v>26676</v>
      </c>
      <c r="K339">
        <v>26676</v>
      </c>
      <c r="L339">
        <v>52972</v>
      </c>
      <c r="M339">
        <v>52972</v>
      </c>
      <c r="N339" t="s">
        <v>988</v>
      </c>
    </row>
    <row r="340" spans="1:14" x14ac:dyDescent="0.3">
      <c r="A340">
        <v>2156</v>
      </c>
      <c r="B340" t="s">
        <v>836</v>
      </c>
      <c r="C340" t="s">
        <v>2677</v>
      </c>
      <c r="D340" t="s">
        <v>1203</v>
      </c>
      <c r="E340" t="s">
        <v>1204</v>
      </c>
      <c r="F340">
        <v>5772</v>
      </c>
      <c r="G340" t="s">
        <v>2674</v>
      </c>
      <c r="H340" t="s">
        <v>2665</v>
      </c>
      <c r="I340">
        <v>26676</v>
      </c>
      <c r="J340">
        <v>26676</v>
      </c>
      <c r="K340">
        <v>26676</v>
      </c>
      <c r="L340">
        <v>52972</v>
      </c>
      <c r="M340">
        <v>52972</v>
      </c>
      <c r="N340" t="s">
        <v>988</v>
      </c>
    </row>
    <row r="341" spans="1:14" x14ac:dyDescent="0.3">
      <c r="A341">
        <v>2156</v>
      </c>
      <c r="B341" t="s">
        <v>836</v>
      </c>
      <c r="C341" t="s">
        <v>2677</v>
      </c>
      <c r="D341" t="s">
        <v>1203</v>
      </c>
      <c r="E341" t="s">
        <v>1204</v>
      </c>
      <c r="F341">
        <v>5772</v>
      </c>
      <c r="G341" t="s">
        <v>2674</v>
      </c>
      <c r="H341" t="s">
        <v>2664</v>
      </c>
      <c r="I341">
        <v>26676</v>
      </c>
      <c r="J341">
        <v>26676</v>
      </c>
      <c r="K341">
        <v>26676</v>
      </c>
      <c r="L341">
        <v>52972</v>
      </c>
      <c r="M341">
        <v>52972</v>
      </c>
      <c r="N341" t="s">
        <v>988</v>
      </c>
    </row>
    <row r="342" spans="1:14" x14ac:dyDescent="0.3">
      <c r="A342">
        <v>2156</v>
      </c>
      <c r="B342" t="s">
        <v>836</v>
      </c>
      <c r="C342" t="s">
        <v>2677</v>
      </c>
      <c r="D342" t="s">
        <v>1203</v>
      </c>
      <c r="E342" t="s">
        <v>1204</v>
      </c>
      <c r="F342">
        <v>5772</v>
      </c>
      <c r="G342" t="s">
        <v>2675</v>
      </c>
      <c r="H342" t="s">
        <v>2665</v>
      </c>
      <c r="I342">
        <v>26676</v>
      </c>
      <c r="J342">
        <v>26676</v>
      </c>
      <c r="K342">
        <v>26676</v>
      </c>
      <c r="L342">
        <v>52972</v>
      </c>
      <c r="M342">
        <v>52972</v>
      </c>
      <c r="N342" t="s">
        <v>988</v>
      </c>
    </row>
    <row r="343" spans="1:14" x14ac:dyDescent="0.3">
      <c r="A343">
        <v>2156</v>
      </c>
      <c r="B343" t="s">
        <v>836</v>
      </c>
      <c r="C343" t="s">
        <v>2677</v>
      </c>
      <c r="D343" t="s">
        <v>1203</v>
      </c>
      <c r="E343" t="s">
        <v>1204</v>
      </c>
      <c r="F343">
        <v>5772</v>
      </c>
      <c r="G343" t="s">
        <v>2672</v>
      </c>
      <c r="H343" t="s">
        <v>2665</v>
      </c>
      <c r="I343">
        <v>26676</v>
      </c>
      <c r="J343">
        <v>26676</v>
      </c>
      <c r="K343">
        <v>26676</v>
      </c>
      <c r="L343">
        <v>52972</v>
      </c>
      <c r="M343">
        <v>52972</v>
      </c>
      <c r="N343" t="s">
        <v>988</v>
      </c>
    </row>
    <row r="344" spans="1:14" x14ac:dyDescent="0.3">
      <c r="A344">
        <v>2156</v>
      </c>
      <c r="B344" t="s">
        <v>836</v>
      </c>
      <c r="C344" t="s">
        <v>2677</v>
      </c>
      <c r="D344" t="s">
        <v>1203</v>
      </c>
      <c r="E344" t="s">
        <v>1204</v>
      </c>
      <c r="F344">
        <v>5772</v>
      </c>
      <c r="G344" t="s">
        <v>2676</v>
      </c>
      <c r="H344" t="s">
        <v>2665</v>
      </c>
      <c r="I344">
        <v>26676</v>
      </c>
      <c r="J344">
        <v>26676</v>
      </c>
      <c r="K344">
        <v>26676</v>
      </c>
      <c r="L344">
        <v>52972</v>
      </c>
      <c r="M344">
        <v>52972</v>
      </c>
      <c r="N344" t="s">
        <v>988</v>
      </c>
    </row>
    <row r="345" spans="1:14" x14ac:dyDescent="0.3">
      <c r="A345">
        <v>2156</v>
      </c>
      <c r="B345" t="s">
        <v>836</v>
      </c>
      <c r="C345" t="s">
        <v>2677</v>
      </c>
      <c r="D345" t="s">
        <v>1203</v>
      </c>
      <c r="E345" t="s">
        <v>1204</v>
      </c>
      <c r="F345">
        <v>5772</v>
      </c>
      <c r="G345" t="s">
        <v>2676</v>
      </c>
      <c r="H345" t="s">
        <v>2664</v>
      </c>
      <c r="I345">
        <v>26676</v>
      </c>
      <c r="J345">
        <v>26676</v>
      </c>
      <c r="K345">
        <v>26676</v>
      </c>
      <c r="L345">
        <v>52972</v>
      </c>
      <c r="M345">
        <v>52972</v>
      </c>
      <c r="N345" t="s">
        <v>988</v>
      </c>
    </row>
    <row r="346" spans="1:14" x14ac:dyDescent="0.3">
      <c r="A346">
        <v>2156</v>
      </c>
      <c r="B346" t="s">
        <v>836</v>
      </c>
      <c r="C346" t="s">
        <v>2677</v>
      </c>
      <c r="D346" t="s">
        <v>1203</v>
      </c>
      <c r="E346" t="s">
        <v>1204</v>
      </c>
      <c r="F346">
        <v>5772</v>
      </c>
      <c r="G346" t="s">
        <v>2671</v>
      </c>
      <c r="H346" t="s">
        <v>2664</v>
      </c>
      <c r="I346">
        <v>26676</v>
      </c>
      <c r="J346">
        <v>26676</v>
      </c>
      <c r="K346">
        <v>26676</v>
      </c>
      <c r="L346">
        <v>52972</v>
      </c>
      <c r="M346">
        <v>52972</v>
      </c>
      <c r="N346" t="s">
        <v>988</v>
      </c>
    </row>
    <row r="347" spans="1:14" x14ac:dyDescent="0.3">
      <c r="A347">
        <v>2156</v>
      </c>
      <c r="B347" t="s">
        <v>836</v>
      </c>
      <c r="C347" t="s">
        <v>2677</v>
      </c>
      <c r="D347" t="s">
        <v>1203</v>
      </c>
      <c r="E347" t="s">
        <v>1204</v>
      </c>
      <c r="F347">
        <v>5772</v>
      </c>
      <c r="G347" t="s">
        <v>2671</v>
      </c>
      <c r="H347" t="s">
        <v>2665</v>
      </c>
      <c r="I347">
        <v>26676</v>
      </c>
      <c r="J347">
        <v>26676</v>
      </c>
      <c r="K347">
        <v>26676</v>
      </c>
      <c r="L347">
        <v>52972</v>
      </c>
      <c r="M347">
        <v>52972</v>
      </c>
      <c r="N347" t="s">
        <v>988</v>
      </c>
    </row>
    <row r="348" spans="1:14" x14ac:dyDescent="0.3">
      <c r="A348">
        <v>2156</v>
      </c>
      <c r="B348" t="s">
        <v>836</v>
      </c>
      <c r="C348" t="s">
        <v>2677</v>
      </c>
      <c r="D348" t="s">
        <v>1203</v>
      </c>
      <c r="E348" t="s">
        <v>1204</v>
      </c>
      <c r="F348">
        <v>5772</v>
      </c>
      <c r="G348" t="s">
        <v>2672</v>
      </c>
      <c r="H348" t="s">
        <v>2664</v>
      </c>
      <c r="I348">
        <v>26676</v>
      </c>
      <c r="J348">
        <v>26676</v>
      </c>
      <c r="K348">
        <v>26676</v>
      </c>
      <c r="L348">
        <v>52972</v>
      </c>
      <c r="M348">
        <v>52972</v>
      </c>
      <c r="N348" t="s">
        <v>988</v>
      </c>
    </row>
    <row r="349" spans="1:14" x14ac:dyDescent="0.3">
      <c r="A349">
        <v>2156</v>
      </c>
      <c r="B349" t="s">
        <v>836</v>
      </c>
      <c r="C349" t="s">
        <v>2677</v>
      </c>
      <c r="D349" t="s">
        <v>1203</v>
      </c>
      <c r="E349" t="s">
        <v>1204</v>
      </c>
      <c r="F349">
        <v>5772</v>
      </c>
      <c r="G349" t="s">
        <v>2675</v>
      </c>
      <c r="H349" t="s">
        <v>2664</v>
      </c>
      <c r="I349">
        <v>26676</v>
      </c>
      <c r="J349">
        <v>26676</v>
      </c>
      <c r="K349">
        <v>26676</v>
      </c>
      <c r="L349">
        <v>52972</v>
      </c>
      <c r="M349">
        <v>52972</v>
      </c>
      <c r="N349" t="s">
        <v>988</v>
      </c>
    </row>
    <row r="350" spans="1:14" x14ac:dyDescent="0.3">
      <c r="A350">
        <v>2160</v>
      </c>
      <c r="B350" t="s">
        <v>1904</v>
      </c>
      <c r="C350" t="s">
        <v>2677</v>
      </c>
      <c r="D350" t="s">
        <v>1203</v>
      </c>
      <c r="E350" t="s">
        <v>1204</v>
      </c>
      <c r="F350">
        <v>5474</v>
      </c>
      <c r="G350" t="s">
        <v>2676</v>
      </c>
      <c r="H350" t="s">
        <v>2665</v>
      </c>
      <c r="I350">
        <v>12709</v>
      </c>
      <c r="J350">
        <v>12758</v>
      </c>
      <c r="K350">
        <v>12799</v>
      </c>
      <c r="L350">
        <v>12840</v>
      </c>
      <c r="M350">
        <v>12868</v>
      </c>
      <c r="N350" t="s">
        <v>988</v>
      </c>
    </row>
    <row r="351" spans="1:14" x14ac:dyDescent="0.3">
      <c r="A351">
        <v>2160</v>
      </c>
      <c r="B351" t="s">
        <v>1904</v>
      </c>
      <c r="C351" t="s">
        <v>2677</v>
      </c>
      <c r="D351" t="s">
        <v>1203</v>
      </c>
      <c r="E351" t="s">
        <v>1204</v>
      </c>
      <c r="F351">
        <v>5474</v>
      </c>
      <c r="G351" t="s">
        <v>2675</v>
      </c>
      <c r="H351" t="s">
        <v>2664</v>
      </c>
      <c r="I351">
        <v>12709</v>
      </c>
      <c r="J351">
        <v>12758</v>
      </c>
      <c r="K351">
        <v>12799</v>
      </c>
      <c r="L351">
        <v>12840</v>
      </c>
      <c r="M351">
        <v>12868</v>
      </c>
      <c r="N351" t="s">
        <v>988</v>
      </c>
    </row>
    <row r="352" spans="1:14" x14ac:dyDescent="0.3">
      <c r="A352">
        <v>2160</v>
      </c>
      <c r="B352" t="s">
        <v>1904</v>
      </c>
      <c r="C352" t="s">
        <v>2677</v>
      </c>
      <c r="D352" t="s">
        <v>1203</v>
      </c>
      <c r="E352" t="s">
        <v>1204</v>
      </c>
      <c r="F352">
        <v>5474</v>
      </c>
      <c r="G352" t="s">
        <v>2675</v>
      </c>
      <c r="H352" t="s">
        <v>2665</v>
      </c>
      <c r="I352">
        <v>12709</v>
      </c>
      <c r="J352">
        <v>12758</v>
      </c>
      <c r="K352">
        <v>12799</v>
      </c>
      <c r="L352">
        <v>12840</v>
      </c>
      <c r="M352">
        <v>12868</v>
      </c>
      <c r="N352" t="s">
        <v>988</v>
      </c>
    </row>
    <row r="353" spans="1:14" x14ac:dyDescent="0.3">
      <c r="A353">
        <v>2160</v>
      </c>
      <c r="B353" t="s">
        <v>1904</v>
      </c>
      <c r="C353" t="s">
        <v>2677</v>
      </c>
      <c r="D353" t="s">
        <v>1203</v>
      </c>
      <c r="E353" t="s">
        <v>1204</v>
      </c>
      <c r="F353">
        <v>5474</v>
      </c>
      <c r="G353" t="s">
        <v>2674</v>
      </c>
      <c r="H353" t="s">
        <v>2664</v>
      </c>
      <c r="I353">
        <v>12709</v>
      </c>
      <c r="J353">
        <v>12758</v>
      </c>
      <c r="K353">
        <v>12799</v>
      </c>
      <c r="L353">
        <v>12840</v>
      </c>
      <c r="M353">
        <v>12868</v>
      </c>
      <c r="N353" t="s">
        <v>988</v>
      </c>
    </row>
    <row r="354" spans="1:14" x14ac:dyDescent="0.3">
      <c r="A354">
        <v>2160</v>
      </c>
      <c r="B354" t="s">
        <v>1904</v>
      </c>
      <c r="C354" t="s">
        <v>2677</v>
      </c>
      <c r="D354" t="s">
        <v>1203</v>
      </c>
      <c r="E354" t="s">
        <v>1204</v>
      </c>
      <c r="F354">
        <v>5474</v>
      </c>
      <c r="G354" t="s">
        <v>2674</v>
      </c>
      <c r="H354" t="s">
        <v>2665</v>
      </c>
      <c r="I354">
        <v>12709</v>
      </c>
      <c r="J354">
        <v>12758</v>
      </c>
      <c r="K354">
        <v>12799</v>
      </c>
      <c r="L354">
        <v>12840</v>
      </c>
      <c r="M354">
        <v>12868</v>
      </c>
      <c r="N354" t="s">
        <v>988</v>
      </c>
    </row>
    <row r="355" spans="1:14" x14ac:dyDescent="0.3">
      <c r="A355">
        <v>2160</v>
      </c>
      <c r="B355" t="s">
        <v>1904</v>
      </c>
      <c r="C355" t="s">
        <v>2677</v>
      </c>
      <c r="D355" t="s">
        <v>1203</v>
      </c>
      <c r="E355" t="s">
        <v>1204</v>
      </c>
      <c r="F355">
        <v>5474</v>
      </c>
      <c r="G355" t="s">
        <v>2676</v>
      </c>
      <c r="H355" t="s">
        <v>2664</v>
      </c>
      <c r="I355">
        <v>12709</v>
      </c>
      <c r="J355">
        <v>12758</v>
      </c>
      <c r="K355">
        <v>12799</v>
      </c>
      <c r="L355">
        <v>12840</v>
      </c>
      <c r="M355">
        <v>12868</v>
      </c>
      <c r="N355" t="s">
        <v>988</v>
      </c>
    </row>
    <row r="356" spans="1:14" x14ac:dyDescent="0.3">
      <c r="A356">
        <v>2160</v>
      </c>
      <c r="B356" t="s">
        <v>1904</v>
      </c>
      <c r="C356" t="s">
        <v>2677</v>
      </c>
      <c r="D356" t="s">
        <v>1203</v>
      </c>
      <c r="E356" t="s">
        <v>1204</v>
      </c>
      <c r="F356">
        <v>5474</v>
      </c>
      <c r="G356" t="s">
        <v>2673</v>
      </c>
      <c r="H356" t="s">
        <v>2665</v>
      </c>
      <c r="I356">
        <v>12709</v>
      </c>
      <c r="J356">
        <v>12758</v>
      </c>
      <c r="K356">
        <v>12799</v>
      </c>
      <c r="L356">
        <v>12840</v>
      </c>
      <c r="M356">
        <v>12868</v>
      </c>
      <c r="N356" t="s">
        <v>988</v>
      </c>
    </row>
    <row r="357" spans="1:14" x14ac:dyDescent="0.3">
      <c r="A357">
        <v>2160</v>
      </c>
      <c r="B357" t="s">
        <v>1904</v>
      </c>
      <c r="C357" t="s">
        <v>2677</v>
      </c>
      <c r="D357" t="s">
        <v>1203</v>
      </c>
      <c r="E357" t="s">
        <v>1204</v>
      </c>
      <c r="F357">
        <v>5474</v>
      </c>
      <c r="G357" t="s">
        <v>2671</v>
      </c>
      <c r="H357" t="s">
        <v>2664</v>
      </c>
      <c r="I357">
        <v>12709</v>
      </c>
      <c r="J357">
        <v>12758</v>
      </c>
      <c r="K357">
        <v>12799</v>
      </c>
      <c r="L357">
        <v>12840</v>
      </c>
      <c r="M357">
        <v>12868</v>
      </c>
      <c r="N357" t="s">
        <v>988</v>
      </c>
    </row>
    <row r="358" spans="1:14" x14ac:dyDescent="0.3">
      <c r="A358">
        <v>2160</v>
      </c>
      <c r="B358" t="s">
        <v>1904</v>
      </c>
      <c r="C358" t="s">
        <v>2677</v>
      </c>
      <c r="D358" t="s">
        <v>1203</v>
      </c>
      <c r="E358" t="s">
        <v>1204</v>
      </c>
      <c r="F358">
        <v>5474</v>
      </c>
      <c r="G358" t="s">
        <v>2671</v>
      </c>
      <c r="H358" t="s">
        <v>2665</v>
      </c>
      <c r="I358">
        <v>12709</v>
      </c>
      <c r="J358">
        <v>12758</v>
      </c>
      <c r="K358">
        <v>12799</v>
      </c>
      <c r="L358">
        <v>12840</v>
      </c>
      <c r="M358">
        <v>12868</v>
      </c>
      <c r="N358" t="s">
        <v>988</v>
      </c>
    </row>
    <row r="359" spans="1:14" x14ac:dyDescent="0.3">
      <c r="A359">
        <v>2160</v>
      </c>
      <c r="B359" t="s">
        <v>1904</v>
      </c>
      <c r="C359" t="s">
        <v>2677</v>
      </c>
      <c r="D359" t="s">
        <v>1203</v>
      </c>
      <c r="E359" t="s">
        <v>1204</v>
      </c>
      <c r="F359">
        <v>5474</v>
      </c>
      <c r="G359" t="s">
        <v>2672</v>
      </c>
      <c r="H359" t="s">
        <v>2664</v>
      </c>
      <c r="N359" t="s">
        <v>988</v>
      </c>
    </row>
    <row r="360" spans="1:14" x14ac:dyDescent="0.3">
      <c r="A360">
        <v>2160</v>
      </c>
      <c r="B360" t="s">
        <v>1904</v>
      </c>
      <c r="C360" t="s">
        <v>2677</v>
      </c>
      <c r="D360" t="s">
        <v>1203</v>
      </c>
      <c r="E360" t="s">
        <v>1204</v>
      </c>
      <c r="F360">
        <v>5474</v>
      </c>
      <c r="G360" t="s">
        <v>2672</v>
      </c>
      <c r="H360" t="s">
        <v>2665</v>
      </c>
      <c r="N360" t="s">
        <v>988</v>
      </c>
    </row>
    <row r="361" spans="1:14" x14ac:dyDescent="0.3">
      <c r="A361">
        <v>2160</v>
      </c>
      <c r="B361" t="s">
        <v>1904</v>
      </c>
      <c r="C361" t="s">
        <v>2677</v>
      </c>
      <c r="D361" t="s">
        <v>1203</v>
      </c>
      <c r="E361" t="s">
        <v>1204</v>
      </c>
      <c r="F361">
        <v>5474</v>
      </c>
      <c r="G361" t="s">
        <v>2673</v>
      </c>
      <c r="H361" t="s">
        <v>2664</v>
      </c>
      <c r="I361">
        <v>12709</v>
      </c>
      <c r="J361">
        <v>12758</v>
      </c>
      <c r="K361">
        <v>12799</v>
      </c>
      <c r="L361">
        <v>12840</v>
      </c>
      <c r="M361">
        <v>12868</v>
      </c>
      <c r="N361" t="s">
        <v>988</v>
      </c>
    </row>
    <row r="362" spans="1:14" x14ac:dyDescent="0.3">
      <c r="A362">
        <v>2161</v>
      </c>
      <c r="B362" t="s">
        <v>2205</v>
      </c>
      <c r="C362" t="s">
        <v>2677</v>
      </c>
      <c r="D362" t="s">
        <v>1203</v>
      </c>
      <c r="E362" t="s">
        <v>1204</v>
      </c>
      <c r="F362">
        <v>5711</v>
      </c>
      <c r="G362" t="s">
        <v>2676</v>
      </c>
      <c r="H362" t="s">
        <v>2664</v>
      </c>
      <c r="I362">
        <v>639068</v>
      </c>
      <c r="J362">
        <v>639476</v>
      </c>
      <c r="K362">
        <v>639884</v>
      </c>
      <c r="L362">
        <v>640292</v>
      </c>
      <c r="N362" t="s">
        <v>988</v>
      </c>
    </row>
    <row r="363" spans="1:14" x14ac:dyDescent="0.3">
      <c r="A363">
        <v>2161</v>
      </c>
      <c r="B363" t="s">
        <v>2205</v>
      </c>
      <c r="C363" t="s">
        <v>2677</v>
      </c>
      <c r="D363" t="s">
        <v>1203</v>
      </c>
      <c r="E363" t="s">
        <v>1204</v>
      </c>
      <c r="F363">
        <v>5711</v>
      </c>
      <c r="G363" t="s">
        <v>2676</v>
      </c>
      <c r="H363" t="s">
        <v>2665</v>
      </c>
      <c r="I363">
        <v>477750</v>
      </c>
      <c r="J363">
        <v>477216</v>
      </c>
      <c r="K363">
        <v>440773</v>
      </c>
      <c r="L363">
        <v>462125</v>
      </c>
      <c r="N363" t="s">
        <v>988</v>
      </c>
    </row>
    <row r="364" spans="1:14" x14ac:dyDescent="0.3">
      <c r="A364">
        <v>2161</v>
      </c>
      <c r="B364" t="s">
        <v>2205</v>
      </c>
      <c r="C364" t="s">
        <v>2677</v>
      </c>
      <c r="D364" t="s">
        <v>1203</v>
      </c>
      <c r="E364" t="s">
        <v>1204</v>
      </c>
      <c r="F364">
        <v>5711</v>
      </c>
      <c r="G364" t="s">
        <v>2675</v>
      </c>
      <c r="H364" t="s">
        <v>2664</v>
      </c>
      <c r="I364">
        <v>665020</v>
      </c>
      <c r="J364">
        <v>665462</v>
      </c>
      <c r="K364">
        <v>665904</v>
      </c>
      <c r="L364">
        <v>666346</v>
      </c>
      <c r="N364" t="s">
        <v>988</v>
      </c>
    </row>
    <row r="365" spans="1:14" x14ac:dyDescent="0.3">
      <c r="A365">
        <v>2161</v>
      </c>
      <c r="B365" t="s">
        <v>2205</v>
      </c>
      <c r="C365" t="s">
        <v>2677</v>
      </c>
      <c r="D365" t="s">
        <v>1203</v>
      </c>
      <c r="E365" t="s">
        <v>1204</v>
      </c>
      <c r="F365">
        <v>5711</v>
      </c>
      <c r="G365" t="s">
        <v>2675</v>
      </c>
      <c r="H365" t="s">
        <v>2665</v>
      </c>
      <c r="I365">
        <v>390670</v>
      </c>
      <c r="J365">
        <v>409939</v>
      </c>
      <c r="K365">
        <v>371099</v>
      </c>
      <c r="L365">
        <v>386883</v>
      </c>
      <c r="N365" t="s">
        <v>988</v>
      </c>
    </row>
    <row r="366" spans="1:14" x14ac:dyDescent="0.3">
      <c r="A366">
        <v>2161</v>
      </c>
      <c r="B366" t="s">
        <v>2205</v>
      </c>
      <c r="C366" t="s">
        <v>2677</v>
      </c>
      <c r="D366" t="s">
        <v>1203</v>
      </c>
      <c r="E366" t="s">
        <v>1204</v>
      </c>
      <c r="F366">
        <v>5711</v>
      </c>
      <c r="G366" t="s">
        <v>2674</v>
      </c>
      <c r="H366" t="s">
        <v>2664</v>
      </c>
      <c r="I366">
        <v>639231</v>
      </c>
      <c r="J366">
        <v>639639</v>
      </c>
      <c r="K366">
        <v>640047</v>
      </c>
      <c r="L366">
        <v>640455</v>
      </c>
      <c r="N366" t="s">
        <v>988</v>
      </c>
    </row>
    <row r="367" spans="1:14" x14ac:dyDescent="0.3">
      <c r="A367">
        <v>2161</v>
      </c>
      <c r="B367" t="s">
        <v>2205</v>
      </c>
      <c r="C367" t="s">
        <v>2677</v>
      </c>
      <c r="D367" t="s">
        <v>1203</v>
      </c>
      <c r="E367" t="s">
        <v>1204</v>
      </c>
      <c r="F367">
        <v>5711</v>
      </c>
      <c r="G367" t="s">
        <v>2673</v>
      </c>
      <c r="H367" t="s">
        <v>2664</v>
      </c>
      <c r="I367">
        <v>639313</v>
      </c>
      <c r="J367">
        <v>639721</v>
      </c>
      <c r="K367">
        <v>640129</v>
      </c>
      <c r="L367">
        <v>640537</v>
      </c>
      <c r="N367" t="s">
        <v>988</v>
      </c>
    </row>
    <row r="368" spans="1:14" x14ac:dyDescent="0.3">
      <c r="A368">
        <v>2161</v>
      </c>
      <c r="B368" t="s">
        <v>2205</v>
      </c>
      <c r="C368" t="s">
        <v>2677</v>
      </c>
      <c r="D368" t="s">
        <v>1203</v>
      </c>
      <c r="E368" t="s">
        <v>1204</v>
      </c>
      <c r="F368">
        <v>5711</v>
      </c>
      <c r="G368" t="s">
        <v>2673</v>
      </c>
      <c r="H368" t="s">
        <v>2665</v>
      </c>
      <c r="I368">
        <v>425509</v>
      </c>
      <c r="J368">
        <v>446597</v>
      </c>
      <c r="K368">
        <v>408168</v>
      </c>
      <c r="L368">
        <v>424279</v>
      </c>
      <c r="N368" t="s">
        <v>988</v>
      </c>
    </row>
    <row r="369" spans="1:14" x14ac:dyDescent="0.3">
      <c r="A369">
        <v>2161</v>
      </c>
      <c r="B369" t="s">
        <v>2205</v>
      </c>
      <c r="C369" t="s">
        <v>2677</v>
      </c>
      <c r="D369" t="s">
        <v>1203</v>
      </c>
      <c r="E369" t="s">
        <v>1204</v>
      </c>
      <c r="F369">
        <v>5711</v>
      </c>
      <c r="G369" t="s">
        <v>2671</v>
      </c>
      <c r="H369" t="s">
        <v>2664</v>
      </c>
      <c r="I369">
        <v>639394</v>
      </c>
      <c r="J369">
        <v>639802</v>
      </c>
      <c r="K369">
        <v>640210</v>
      </c>
      <c r="L369">
        <v>640618</v>
      </c>
      <c r="N369" t="s">
        <v>988</v>
      </c>
    </row>
    <row r="370" spans="1:14" x14ac:dyDescent="0.3">
      <c r="A370">
        <v>2161</v>
      </c>
      <c r="B370" t="s">
        <v>2205</v>
      </c>
      <c r="C370" t="s">
        <v>2677</v>
      </c>
      <c r="D370" t="s">
        <v>1203</v>
      </c>
      <c r="E370" t="s">
        <v>1204</v>
      </c>
      <c r="F370">
        <v>5711</v>
      </c>
      <c r="G370" t="s">
        <v>2671</v>
      </c>
      <c r="H370" t="s">
        <v>2665</v>
      </c>
      <c r="I370">
        <v>454259</v>
      </c>
      <c r="J370">
        <v>476261</v>
      </c>
      <c r="K370">
        <v>438041</v>
      </c>
      <c r="L370">
        <v>454317</v>
      </c>
      <c r="N370" t="s">
        <v>988</v>
      </c>
    </row>
    <row r="371" spans="1:14" x14ac:dyDescent="0.3">
      <c r="A371">
        <v>2161</v>
      </c>
      <c r="B371" t="s">
        <v>2205</v>
      </c>
      <c r="C371" t="s">
        <v>2677</v>
      </c>
      <c r="D371" t="s">
        <v>1203</v>
      </c>
      <c r="E371" t="s">
        <v>1204</v>
      </c>
      <c r="F371">
        <v>5711</v>
      </c>
      <c r="G371" t="s">
        <v>2672</v>
      </c>
      <c r="H371" t="s">
        <v>2664</v>
      </c>
      <c r="N371" t="s">
        <v>988</v>
      </c>
    </row>
    <row r="372" spans="1:14" x14ac:dyDescent="0.3">
      <c r="A372">
        <v>2161</v>
      </c>
      <c r="B372" t="s">
        <v>2205</v>
      </c>
      <c r="C372" t="s">
        <v>2677</v>
      </c>
      <c r="D372" t="s">
        <v>1203</v>
      </c>
      <c r="E372" t="s">
        <v>1204</v>
      </c>
      <c r="F372">
        <v>5711</v>
      </c>
      <c r="G372" t="s">
        <v>2674</v>
      </c>
      <c r="H372" t="s">
        <v>2665</v>
      </c>
      <c r="I372">
        <v>400466</v>
      </c>
      <c r="J372">
        <v>420644</v>
      </c>
      <c r="K372">
        <v>382008</v>
      </c>
      <c r="L372">
        <v>397955</v>
      </c>
      <c r="N372" t="s">
        <v>988</v>
      </c>
    </row>
    <row r="373" spans="1:14" x14ac:dyDescent="0.3">
      <c r="A373">
        <v>2161</v>
      </c>
      <c r="B373" t="s">
        <v>2205</v>
      </c>
      <c r="C373" t="s">
        <v>2677</v>
      </c>
      <c r="D373" t="s">
        <v>1203</v>
      </c>
      <c r="E373" t="s">
        <v>1204</v>
      </c>
      <c r="F373">
        <v>5711</v>
      </c>
      <c r="G373" t="s">
        <v>2672</v>
      </c>
      <c r="H373" t="s">
        <v>2665</v>
      </c>
      <c r="N373" t="s">
        <v>988</v>
      </c>
    </row>
    <row r="374" spans="1:14" x14ac:dyDescent="0.3">
      <c r="A374">
        <v>2164</v>
      </c>
      <c r="B374" t="s">
        <v>1909</v>
      </c>
      <c r="C374" t="s">
        <v>2677</v>
      </c>
      <c r="D374" t="s">
        <v>159</v>
      </c>
      <c r="E374" t="s">
        <v>159</v>
      </c>
      <c r="F374">
        <v>6833</v>
      </c>
      <c r="G374" t="s">
        <v>2675</v>
      </c>
      <c r="H374" t="s">
        <v>2665</v>
      </c>
      <c r="I374">
        <v>163550</v>
      </c>
      <c r="J374">
        <v>165680</v>
      </c>
      <c r="K374">
        <v>170160</v>
      </c>
      <c r="L374">
        <v>175080</v>
      </c>
      <c r="M374">
        <v>182370</v>
      </c>
      <c r="N374" t="s">
        <v>988</v>
      </c>
    </row>
    <row r="375" spans="1:14" x14ac:dyDescent="0.3">
      <c r="A375">
        <v>2164</v>
      </c>
      <c r="B375" t="s">
        <v>1909</v>
      </c>
      <c r="C375" t="s">
        <v>2677</v>
      </c>
      <c r="D375" t="s">
        <v>159</v>
      </c>
      <c r="E375" t="s">
        <v>159</v>
      </c>
      <c r="F375">
        <v>6833</v>
      </c>
      <c r="G375" t="s">
        <v>2675</v>
      </c>
      <c r="H375" t="s">
        <v>2664</v>
      </c>
      <c r="I375">
        <v>104180</v>
      </c>
      <c r="J375">
        <v>90510</v>
      </c>
      <c r="K375">
        <v>92640</v>
      </c>
      <c r="L375">
        <v>95330</v>
      </c>
      <c r="M375">
        <v>99360</v>
      </c>
      <c r="N375" t="s">
        <v>988</v>
      </c>
    </row>
    <row r="376" spans="1:14" x14ac:dyDescent="0.3">
      <c r="A376">
        <v>2164</v>
      </c>
      <c r="B376" t="s">
        <v>1909</v>
      </c>
      <c r="C376" t="s">
        <v>2677</v>
      </c>
      <c r="D376" t="s">
        <v>159</v>
      </c>
      <c r="E376" t="s">
        <v>159</v>
      </c>
      <c r="F376">
        <v>6833</v>
      </c>
      <c r="G376" t="s">
        <v>2676</v>
      </c>
      <c r="H376" t="s">
        <v>2665</v>
      </c>
      <c r="I376">
        <v>163550</v>
      </c>
      <c r="J376">
        <v>165680</v>
      </c>
      <c r="K376">
        <v>170160</v>
      </c>
      <c r="L376">
        <v>175080</v>
      </c>
      <c r="M376">
        <v>182370</v>
      </c>
      <c r="N376" t="s">
        <v>988</v>
      </c>
    </row>
    <row r="377" spans="1:14" x14ac:dyDescent="0.3">
      <c r="A377">
        <v>2164</v>
      </c>
      <c r="B377" t="s">
        <v>1909</v>
      </c>
      <c r="C377" t="s">
        <v>2677</v>
      </c>
      <c r="D377" t="s">
        <v>159</v>
      </c>
      <c r="E377" t="s">
        <v>159</v>
      </c>
      <c r="F377">
        <v>6833</v>
      </c>
      <c r="G377" t="s">
        <v>2676</v>
      </c>
      <c r="H377" t="s">
        <v>2664</v>
      </c>
      <c r="I377">
        <v>104510</v>
      </c>
      <c r="J377">
        <v>105520</v>
      </c>
      <c r="K377">
        <v>108100</v>
      </c>
      <c r="L377">
        <v>111120</v>
      </c>
      <c r="M377">
        <v>99360</v>
      </c>
      <c r="N377" t="s">
        <v>988</v>
      </c>
    </row>
    <row r="378" spans="1:14" x14ac:dyDescent="0.3">
      <c r="A378">
        <v>2164</v>
      </c>
      <c r="B378" t="s">
        <v>1909</v>
      </c>
      <c r="C378" t="s">
        <v>2677</v>
      </c>
      <c r="D378" t="s">
        <v>159</v>
      </c>
      <c r="E378" t="s">
        <v>159</v>
      </c>
      <c r="F378">
        <v>6833</v>
      </c>
      <c r="G378" t="s">
        <v>2672</v>
      </c>
      <c r="H378" t="s">
        <v>2665</v>
      </c>
      <c r="N378" t="s">
        <v>988</v>
      </c>
    </row>
    <row r="379" spans="1:14" x14ac:dyDescent="0.3">
      <c r="A379">
        <v>2164</v>
      </c>
      <c r="B379" t="s">
        <v>1909</v>
      </c>
      <c r="C379" t="s">
        <v>2677</v>
      </c>
      <c r="D379" t="s">
        <v>159</v>
      </c>
      <c r="E379" t="s">
        <v>159</v>
      </c>
      <c r="F379">
        <v>6833</v>
      </c>
      <c r="G379" t="s">
        <v>2674</v>
      </c>
      <c r="H379" t="s">
        <v>2664</v>
      </c>
      <c r="I379">
        <v>89610</v>
      </c>
      <c r="J379">
        <v>90510</v>
      </c>
      <c r="K379">
        <v>92640</v>
      </c>
      <c r="L379">
        <v>95330</v>
      </c>
      <c r="M379">
        <v>99360</v>
      </c>
      <c r="N379" t="s">
        <v>988</v>
      </c>
    </row>
    <row r="380" spans="1:14" x14ac:dyDescent="0.3">
      <c r="A380">
        <v>2164</v>
      </c>
      <c r="B380" t="s">
        <v>1909</v>
      </c>
      <c r="C380" t="s">
        <v>2677</v>
      </c>
      <c r="D380" t="s">
        <v>159</v>
      </c>
      <c r="E380" t="s">
        <v>159</v>
      </c>
      <c r="F380">
        <v>6833</v>
      </c>
      <c r="G380" t="s">
        <v>2671</v>
      </c>
      <c r="H380" t="s">
        <v>2665</v>
      </c>
      <c r="I380">
        <v>163550</v>
      </c>
      <c r="J380">
        <v>165680</v>
      </c>
      <c r="K380">
        <v>170160</v>
      </c>
      <c r="L380">
        <v>175080</v>
      </c>
      <c r="M380">
        <v>182370</v>
      </c>
      <c r="N380" t="s">
        <v>988</v>
      </c>
    </row>
    <row r="381" spans="1:14" x14ac:dyDescent="0.3">
      <c r="A381">
        <v>2164</v>
      </c>
      <c r="B381" t="s">
        <v>1909</v>
      </c>
      <c r="C381" t="s">
        <v>2677</v>
      </c>
      <c r="D381" t="s">
        <v>159</v>
      </c>
      <c r="E381" t="s">
        <v>159</v>
      </c>
      <c r="F381">
        <v>6833</v>
      </c>
      <c r="G381" t="s">
        <v>2671</v>
      </c>
      <c r="H381" t="s">
        <v>2664</v>
      </c>
      <c r="I381">
        <v>89610</v>
      </c>
      <c r="J381">
        <v>90510</v>
      </c>
      <c r="K381">
        <v>84910</v>
      </c>
      <c r="L381">
        <v>84130</v>
      </c>
      <c r="M381">
        <v>84460</v>
      </c>
      <c r="N381" t="s">
        <v>988</v>
      </c>
    </row>
    <row r="382" spans="1:14" x14ac:dyDescent="0.3">
      <c r="A382">
        <v>2164</v>
      </c>
      <c r="B382" t="s">
        <v>1909</v>
      </c>
      <c r="C382" t="s">
        <v>2677</v>
      </c>
      <c r="D382" t="s">
        <v>159</v>
      </c>
      <c r="E382" t="s">
        <v>159</v>
      </c>
      <c r="F382">
        <v>6833</v>
      </c>
      <c r="G382" t="s">
        <v>2673</v>
      </c>
      <c r="H382" t="s">
        <v>2665</v>
      </c>
      <c r="I382">
        <v>163550</v>
      </c>
      <c r="J382">
        <v>165680</v>
      </c>
      <c r="K382">
        <v>170160</v>
      </c>
      <c r="L382">
        <v>175080</v>
      </c>
      <c r="M382">
        <v>182370</v>
      </c>
      <c r="N382" t="s">
        <v>988</v>
      </c>
    </row>
    <row r="383" spans="1:14" x14ac:dyDescent="0.3">
      <c r="A383">
        <v>2164</v>
      </c>
      <c r="B383" t="s">
        <v>1909</v>
      </c>
      <c r="C383" t="s">
        <v>2677</v>
      </c>
      <c r="D383" t="s">
        <v>159</v>
      </c>
      <c r="E383" t="s">
        <v>159</v>
      </c>
      <c r="F383">
        <v>6833</v>
      </c>
      <c r="G383" t="s">
        <v>2673</v>
      </c>
      <c r="H383" t="s">
        <v>2664</v>
      </c>
      <c r="I383">
        <v>89610</v>
      </c>
      <c r="J383">
        <v>90510</v>
      </c>
      <c r="K383">
        <v>92640</v>
      </c>
      <c r="L383">
        <v>84130</v>
      </c>
      <c r="M383">
        <v>84460</v>
      </c>
      <c r="N383" t="s">
        <v>988</v>
      </c>
    </row>
    <row r="384" spans="1:14" x14ac:dyDescent="0.3">
      <c r="A384">
        <v>2164</v>
      </c>
      <c r="B384" t="s">
        <v>1909</v>
      </c>
      <c r="C384" t="s">
        <v>2677</v>
      </c>
      <c r="D384" t="s">
        <v>159</v>
      </c>
      <c r="E384" t="s">
        <v>159</v>
      </c>
      <c r="F384">
        <v>6833</v>
      </c>
      <c r="G384" t="s">
        <v>2674</v>
      </c>
      <c r="H384" t="s">
        <v>2665</v>
      </c>
      <c r="I384">
        <v>163550</v>
      </c>
      <c r="J384">
        <v>165680</v>
      </c>
      <c r="K384">
        <v>170160</v>
      </c>
      <c r="L384">
        <v>175080</v>
      </c>
      <c r="M384">
        <v>182370</v>
      </c>
      <c r="N384" t="s">
        <v>988</v>
      </c>
    </row>
    <row r="385" spans="1:14" x14ac:dyDescent="0.3">
      <c r="A385">
        <v>2164</v>
      </c>
      <c r="B385" t="s">
        <v>1909</v>
      </c>
      <c r="C385" t="s">
        <v>2677</v>
      </c>
      <c r="D385" t="s">
        <v>159</v>
      </c>
      <c r="E385" t="s">
        <v>159</v>
      </c>
      <c r="F385">
        <v>6833</v>
      </c>
      <c r="G385" t="s">
        <v>2672</v>
      </c>
      <c r="H385" t="s">
        <v>2664</v>
      </c>
      <c r="N385" t="s">
        <v>988</v>
      </c>
    </row>
    <row r="386" spans="1:14" x14ac:dyDescent="0.3">
      <c r="A386">
        <v>3994</v>
      </c>
      <c r="B386" t="s">
        <v>837</v>
      </c>
      <c r="C386" t="s">
        <v>2677</v>
      </c>
      <c r="D386" t="s">
        <v>1203</v>
      </c>
      <c r="E386" t="s">
        <v>1204</v>
      </c>
      <c r="F386">
        <v>5789</v>
      </c>
      <c r="G386" t="s">
        <v>2676</v>
      </c>
      <c r="H386" t="s">
        <v>2664</v>
      </c>
      <c r="I386">
        <v>7488</v>
      </c>
      <c r="J386">
        <v>7488</v>
      </c>
      <c r="K386">
        <v>7488</v>
      </c>
      <c r="L386">
        <v>7488</v>
      </c>
      <c r="M386">
        <v>7488</v>
      </c>
      <c r="N386" t="s">
        <v>988</v>
      </c>
    </row>
    <row r="387" spans="1:14" x14ac:dyDescent="0.3">
      <c r="A387">
        <v>3994</v>
      </c>
      <c r="B387" t="s">
        <v>837</v>
      </c>
      <c r="C387" t="s">
        <v>2677</v>
      </c>
      <c r="D387" t="s">
        <v>1203</v>
      </c>
      <c r="E387" t="s">
        <v>1204</v>
      </c>
      <c r="F387">
        <v>5789</v>
      </c>
      <c r="G387" t="s">
        <v>2672</v>
      </c>
      <c r="H387" t="s">
        <v>2665</v>
      </c>
      <c r="N387" t="s">
        <v>988</v>
      </c>
    </row>
    <row r="388" spans="1:14" x14ac:dyDescent="0.3">
      <c r="A388">
        <v>3994</v>
      </c>
      <c r="B388" t="s">
        <v>837</v>
      </c>
      <c r="C388" t="s">
        <v>2677</v>
      </c>
      <c r="D388" t="s">
        <v>1203</v>
      </c>
      <c r="E388" t="s">
        <v>1204</v>
      </c>
      <c r="F388">
        <v>5789</v>
      </c>
      <c r="G388" t="s">
        <v>2676</v>
      </c>
      <c r="H388" t="s">
        <v>2665</v>
      </c>
      <c r="I388">
        <v>18421.55</v>
      </c>
      <c r="J388">
        <v>18734.400000000001</v>
      </c>
      <c r="K388">
        <v>19050.04</v>
      </c>
      <c r="L388">
        <v>19373.009999999998</v>
      </c>
      <c r="M388">
        <v>19698.91</v>
      </c>
      <c r="N388" t="s">
        <v>988</v>
      </c>
    </row>
    <row r="389" spans="1:14" x14ac:dyDescent="0.3">
      <c r="A389">
        <v>3994</v>
      </c>
      <c r="B389" t="s">
        <v>837</v>
      </c>
      <c r="C389" t="s">
        <v>2677</v>
      </c>
      <c r="D389" t="s">
        <v>1203</v>
      </c>
      <c r="E389" t="s">
        <v>1204</v>
      </c>
      <c r="F389">
        <v>5789</v>
      </c>
      <c r="G389" t="s">
        <v>2675</v>
      </c>
      <c r="H389" t="s">
        <v>2664</v>
      </c>
      <c r="I389">
        <v>7488</v>
      </c>
      <c r="J389">
        <v>7488</v>
      </c>
      <c r="K389">
        <v>7488</v>
      </c>
      <c r="L389">
        <v>7488</v>
      </c>
      <c r="M389">
        <v>7488</v>
      </c>
      <c r="N389" t="s">
        <v>988</v>
      </c>
    </row>
    <row r="390" spans="1:14" x14ac:dyDescent="0.3">
      <c r="A390">
        <v>3994</v>
      </c>
      <c r="B390" t="s">
        <v>837</v>
      </c>
      <c r="C390" t="s">
        <v>2677</v>
      </c>
      <c r="D390" t="s">
        <v>1203</v>
      </c>
      <c r="E390" t="s">
        <v>1204</v>
      </c>
      <c r="F390">
        <v>5789</v>
      </c>
      <c r="G390" t="s">
        <v>2675</v>
      </c>
      <c r="H390" t="s">
        <v>2665</v>
      </c>
      <c r="I390">
        <v>19808.669999999998</v>
      </c>
      <c r="J390">
        <v>20138.09</v>
      </c>
      <c r="K390">
        <v>20472.03</v>
      </c>
      <c r="L390">
        <v>20810.59</v>
      </c>
      <c r="M390">
        <v>21153.82</v>
      </c>
      <c r="N390" t="s">
        <v>988</v>
      </c>
    </row>
    <row r="391" spans="1:14" x14ac:dyDescent="0.3">
      <c r="A391">
        <v>3994</v>
      </c>
      <c r="B391" t="s">
        <v>837</v>
      </c>
      <c r="C391" t="s">
        <v>2677</v>
      </c>
      <c r="D391" t="s">
        <v>1203</v>
      </c>
      <c r="E391" t="s">
        <v>1204</v>
      </c>
      <c r="F391">
        <v>5789</v>
      </c>
      <c r="G391" t="s">
        <v>2674</v>
      </c>
      <c r="H391" t="s">
        <v>2664</v>
      </c>
      <c r="I391">
        <v>7488</v>
      </c>
      <c r="J391">
        <v>7488</v>
      </c>
      <c r="K391">
        <v>7488</v>
      </c>
      <c r="L391">
        <v>7488</v>
      </c>
      <c r="M391">
        <v>7488</v>
      </c>
      <c r="N391" t="s">
        <v>988</v>
      </c>
    </row>
    <row r="392" spans="1:14" x14ac:dyDescent="0.3">
      <c r="A392">
        <v>3994</v>
      </c>
      <c r="B392" t="s">
        <v>837</v>
      </c>
      <c r="C392" t="s">
        <v>2677</v>
      </c>
      <c r="D392" t="s">
        <v>1203</v>
      </c>
      <c r="E392" t="s">
        <v>1204</v>
      </c>
      <c r="F392">
        <v>5789</v>
      </c>
      <c r="G392" t="s">
        <v>2674</v>
      </c>
      <c r="H392" t="s">
        <v>2665</v>
      </c>
      <c r="I392">
        <v>20183.22</v>
      </c>
      <c r="J392">
        <v>20512.84</v>
      </c>
      <c r="K392">
        <v>20846.98</v>
      </c>
      <c r="L392">
        <v>21185.71</v>
      </c>
      <c r="M392">
        <v>21529.11</v>
      </c>
      <c r="N392" t="s">
        <v>988</v>
      </c>
    </row>
    <row r="393" spans="1:14" x14ac:dyDescent="0.3">
      <c r="A393">
        <v>3994</v>
      </c>
      <c r="B393" t="s">
        <v>837</v>
      </c>
      <c r="C393" t="s">
        <v>2677</v>
      </c>
      <c r="D393" t="s">
        <v>1203</v>
      </c>
      <c r="E393" t="s">
        <v>1204</v>
      </c>
      <c r="F393">
        <v>5789</v>
      </c>
      <c r="G393" t="s">
        <v>2673</v>
      </c>
      <c r="H393" t="s">
        <v>2664</v>
      </c>
      <c r="I393">
        <v>7488</v>
      </c>
      <c r="J393">
        <v>7488</v>
      </c>
      <c r="K393">
        <v>7488</v>
      </c>
      <c r="L393">
        <v>7488</v>
      </c>
      <c r="M393">
        <v>7488</v>
      </c>
      <c r="N393" t="s">
        <v>988</v>
      </c>
    </row>
    <row r="394" spans="1:14" x14ac:dyDescent="0.3">
      <c r="A394">
        <v>3994</v>
      </c>
      <c r="B394" t="s">
        <v>837</v>
      </c>
      <c r="C394" t="s">
        <v>2677</v>
      </c>
      <c r="D394" t="s">
        <v>1203</v>
      </c>
      <c r="E394" t="s">
        <v>1204</v>
      </c>
      <c r="F394">
        <v>5789</v>
      </c>
      <c r="G394" t="s">
        <v>2673</v>
      </c>
      <c r="H394" t="s">
        <v>2665</v>
      </c>
      <c r="I394">
        <v>19560.23</v>
      </c>
      <c r="J394">
        <v>19876.310000000001</v>
      </c>
      <c r="K394">
        <v>20196.68</v>
      </c>
      <c r="L394">
        <v>20521.41</v>
      </c>
      <c r="M394">
        <v>20850.560000000001</v>
      </c>
      <c r="N394" t="s">
        <v>988</v>
      </c>
    </row>
    <row r="395" spans="1:14" x14ac:dyDescent="0.3">
      <c r="A395">
        <v>3994</v>
      </c>
      <c r="B395" t="s">
        <v>837</v>
      </c>
      <c r="C395" t="s">
        <v>2677</v>
      </c>
      <c r="D395" t="s">
        <v>1203</v>
      </c>
      <c r="E395" t="s">
        <v>1204</v>
      </c>
      <c r="F395">
        <v>5789</v>
      </c>
      <c r="G395" t="s">
        <v>2671</v>
      </c>
      <c r="H395" t="s">
        <v>2664</v>
      </c>
      <c r="I395">
        <v>7488</v>
      </c>
      <c r="J395">
        <v>7488</v>
      </c>
      <c r="K395">
        <v>7488</v>
      </c>
      <c r="L395">
        <v>7488</v>
      </c>
      <c r="M395">
        <v>7488</v>
      </c>
      <c r="N395" t="s">
        <v>988</v>
      </c>
    </row>
    <row r="396" spans="1:14" x14ac:dyDescent="0.3">
      <c r="A396">
        <v>3994</v>
      </c>
      <c r="B396" t="s">
        <v>837</v>
      </c>
      <c r="C396" t="s">
        <v>2677</v>
      </c>
      <c r="D396" t="s">
        <v>1203</v>
      </c>
      <c r="E396" t="s">
        <v>1204</v>
      </c>
      <c r="F396">
        <v>5789</v>
      </c>
      <c r="G396" t="s">
        <v>2671</v>
      </c>
      <c r="H396" t="s">
        <v>2665</v>
      </c>
      <c r="I396">
        <v>15458.47</v>
      </c>
      <c r="J396">
        <v>15735.13</v>
      </c>
      <c r="K396">
        <v>16015.52</v>
      </c>
      <c r="L396">
        <v>16299.71</v>
      </c>
      <c r="M396">
        <v>16587.740000000002</v>
      </c>
      <c r="N396" t="s">
        <v>988</v>
      </c>
    </row>
    <row r="397" spans="1:14" x14ac:dyDescent="0.3">
      <c r="A397">
        <v>3994</v>
      </c>
      <c r="B397" t="s">
        <v>837</v>
      </c>
      <c r="C397" t="s">
        <v>2677</v>
      </c>
      <c r="D397" t="s">
        <v>1203</v>
      </c>
      <c r="E397" t="s">
        <v>1204</v>
      </c>
      <c r="F397">
        <v>5789</v>
      </c>
      <c r="G397" t="s">
        <v>2672</v>
      </c>
      <c r="H397" t="s">
        <v>2664</v>
      </c>
      <c r="N397" t="s">
        <v>988</v>
      </c>
    </row>
    <row r="398" spans="1:14" x14ac:dyDescent="0.3">
      <c r="A398">
        <v>2168</v>
      </c>
      <c r="B398" t="s">
        <v>839</v>
      </c>
      <c r="C398" t="s">
        <v>2677</v>
      </c>
      <c r="D398" t="s">
        <v>1203</v>
      </c>
      <c r="E398" t="s">
        <v>1204</v>
      </c>
      <c r="F398">
        <v>5670</v>
      </c>
      <c r="G398" t="s">
        <v>2672</v>
      </c>
      <c r="H398" t="s">
        <v>2665</v>
      </c>
      <c r="N398" t="s">
        <v>988</v>
      </c>
    </row>
    <row r="399" spans="1:14" x14ac:dyDescent="0.3">
      <c r="A399">
        <v>2168</v>
      </c>
      <c r="B399" t="s">
        <v>839</v>
      </c>
      <c r="C399" t="s">
        <v>2677</v>
      </c>
      <c r="D399" t="s">
        <v>1203</v>
      </c>
      <c r="E399" t="s">
        <v>1204</v>
      </c>
      <c r="F399">
        <v>5670</v>
      </c>
      <c r="G399" t="s">
        <v>2676</v>
      </c>
      <c r="H399" t="s">
        <v>2665</v>
      </c>
      <c r="I399">
        <v>30400</v>
      </c>
      <c r="J399">
        <v>32900</v>
      </c>
      <c r="K399">
        <v>35600</v>
      </c>
      <c r="L399">
        <v>38100</v>
      </c>
      <c r="M399">
        <v>40300</v>
      </c>
      <c r="N399" t="s">
        <v>988</v>
      </c>
    </row>
    <row r="400" spans="1:14" x14ac:dyDescent="0.3">
      <c r="A400">
        <v>2168</v>
      </c>
      <c r="B400" t="s">
        <v>839</v>
      </c>
      <c r="C400" t="s">
        <v>2677</v>
      </c>
      <c r="D400" t="s">
        <v>1203</v>
      </c>
      <c r="E400" t="s">
        <v>1204</v>
      </c>
      <c r="F400">
        <v>5670</v>
      </c>
      <c r="G400" t="s">
        <v>2675</v>
      </c>
      <c r="H400" t="s">
        <v>2664</v>
      </c>
      <c r="I400">
        <v>30400</v>
      </c>
      <c r="J400">
        <v>32900</v>
      </c>
      <c r="K400">
        <v>35600</v>
      </c>
      <c r="L400">
        <v>38100</v>
      </c>
      <c r="M400">
        <v>40300</v>
      </c>
      <c r="N400" t="s">
        <v>988</v>
      </c>
    </row>
    <row r="401" spans="1:14" x14ac:dyDescent="0.3">
      <c r="A401">
        <v>2168</v>
      </c>
      <c r="B401" t="s">
        <v>839</v>
      </c>
      <c r="C401" t="s">
        <v>2677</v>
      </c>
      <c r="D401" t="s">
        <v>1203</v>
      </c>
      <c r="E401" t="s">
        <v>1204</v>
      </c>
      <c r="F401">
        <v>5670</v>
      </c>
      <c r="G401" t="s">
        <v>2675</v>
      </c>
      <c r="H401" t="s">
        <v>2665</v>
      </c>
      <c r="I401">
        <v>30400</v>
      </c>
      <c r="J401">
        <v>32900</v>
      </c>
      <c r="K401">
        <v>35600</v>
      </c>
      <c r="L401">
        <v>38100</v>
      </c>
      <c r="M401">
        <v>40300</v>
      </c>
      <c r="N401" t="s">
        <v>988</v>
      </c>
    </row>
    <row r="402" spans="1:14" x14ac:dyDescent="0.3">
      <c r="A402">
        <v>2168</v>
      </c>
      <c r="B402" t="s">
        <v>839</v>
      </c>
      <c r="C402" t="s">
        <v>2677</v>
      </c>
      <c r="D402" t="s">
        <v>1203</v>
      </c>
      <c r="E402" t="s">
        <v>1204</v>
      </c>
      <c r="F402">
        <v>5670</v>
      </c>
      <c r="G402" t="s">
        <v>2674</v>
      </c>
      <c r="H402" t="s">
        <v>2664</v>
      </c>
      <c r="I402">
        <v>30400</v>
      </c>
      <c r="J402">
        <v>32900</v>
      </c>
      <c r="K402">
        <v>35600</v>
      </c>
      <c r="L402">
        <v>38100</v>
      </c>
      <c r="M402">
        <v>40300</v>
      </c>
      <c r="N402" t="s">
        <v>988</v>
      </c>
    </row>
    <row r="403" spans="1:14" x14ac:dyDescent="0.3">
      <c r="A403">
        <v>2168</v>
      </c>
      <c r="B403" t="s">
        <v>839</v>
      </c>
      <c r="C403" t="s">
        <v>2677</v>
      </c>
      <c r="D403" t="s">
        <v>1203</v>
      </c>
      <c r="E403" t="s">
        <v>1204</v>
      </c>
      <c r="F403">
        <v>5670</v>
      </c>
      <c r="G403" t="s">
        <v>2676</v>
      </c>
      <c r="H403" t="s">
        <v>2664</v>
      </c>
      <c r="I403">
        <v>30400</v>
      </c>
      <c r="J403">
        <v>32900</v>
      </c>
      <c r="K403">
        <v>35600</v>
      </c>
      <c r="L403">
        <v>38100</v>
      </c>
      <c r="M403">
        <v>40300</v>
      </c>
      <c r="N403" t="s">
        <v>988</v>
      </c>
    </row>
    <row r="404" spans="1:14" x14ac:dyDescent="0.3">
      <c r="A404">
        <v>2168</v>
      </c>
      <c r="B404" t="s">
        <v>839</v>
      </c>
      <c r="C404" t="s">
        <v>2677</v>
      </c>
      <c r="D404" t="s">
        <v>1203</v>
      </c>
      <c r="E404" t="s">
        <v>1204</v>
      </c>
      <c r="F404">
        <v>5670</v>
      </c>
      <c r="G404" t="s">
        <v>2673</v>
      </c>
      <c r="H404" t="s">
        <v>2664</v>
      </c>
      <c r="I404">
        <v>30400</v>
      </c>
      <c r="J404">
        <v>32900</v>
      </c>
      <c r="K404">
        <v>35600</v>
      </c>
      <c r="L404">
        <v>38100</v>
      </c>
      <c r="M404">
        <v>40300</v>
      </c>
      <c r="N404" t="s">
        <v>988</v>
      </c>
    </row>
    <row r="405" spans="1:14" x14ac:dyDescent="0.3">
      <c r="A405">
        <v>2168</v>
      </c>
      <c r="B405" t="s">
        <v>839</v>
      </c>
      <c r="C405" t="s">
        <v>2677</v>
      </c>
      <c r="D405" t="s">
        <v>1203</v>
      </c>
      <c r="E405" t="s">
        <v>1204</v>
      </c>
      <c r="F405">
        <v>5670</v>
      </c>
      <c r="G405" t="s">
        <v>2673</v>
      </c>
      <c r="H405" t="s">
        <v>2665</v>
      </c>
      <c r="I405">
        <v>30400</v>
      </c>
      <c r="J405">
        <v>32900</v>
      </c>
      <c r="K405">
        <v>35600</v>
      </c>
      <c r="L405">
        <v>38100</v>
      </c>
      <c r="M405">
        <v>40300</v>
      </c>
      <c r="N405" t="s">
        <v>988</v>
      </c>
    </row>
    <row r="406" spans="1:14" x14ac:dyDescent="0.3">
      <c r="A406">
        <v>2168</v>
      </c>
      <c r="B406" t="s">
        <v>839</v>
      </c>
      <c r="C406" t="s">
        <v>2677</v>
      </c>
      <c r="D406" t="s">
        <v>1203</v>
      </c>
      <c r="E406" t="s">
        <v>1204</v>
      </c>
      <c r="F406">
        <v>5670</v>
      </c>
      <c r="G406" t="s">
        <v>2671</v>
      </c>
      <c r="H406" t="s">
        <v>2664</v>
      </c>
      <c r="I406">
        <v>30400</v>
      </c>
      <c r="J406">
        <v>32900</v>
      </c>
      <c r="K406">
        <v>35600</v>
      </c>
      <c r="L406">
        <v>38100</v>
      </c>
      <c r="M406">
        <v>40300</v>
      </c>
      <c r="N406" t="s">
        <v>988</v>
      </c>
    </row>
    <row r="407" spans="1:14" x14ac:dyDescent="0.3">
      <c r="A407">
        <v>2168</v>
      </c>
      <c r="B407" t="s">
        <v>839</v>
      </c>
      <c r="C407" t="s">
        <v>2677</v>
      </c>
      <c r="D407" t="s">
        <v>1203</v>
      </c>
      <c r="E407" t="s">
        <v>1204</v>
      </c>
      <c r="F407">
        <v>5670</v>
      </c>
      <c r="G407" t="s">
        <v>2671</v>
      </c>
      <c r="H407" t="s">
        <v>2665</v>
      </c>
      <c r="I407">
        <v>30400</v>
      </c>
      <c r="J407">
        <v>32900</v>
      </c>
      <c r="K407">
        <v>35600</v>
      </c>
      <c r="L407">
        <v>38100</v>
      </c>
      <c r="M407">
        <v>40300</v>
      </c>
      <c r="N407" t="s">
        <v>988</v>
      </c>
    </row>
    <row r="408" spans="1:14" x14ac:dyDescent="0.3">
      <c r="A408">
        <v>2168</v>
      </c>
      <c r="B408" t="s">
        <v>839</v>
      </c>
      <c r="C408" t="s">
        <v>2677</v>
      </c>
      <c r="D408" t="s">
        <v>1203</v>
      </c>
      <c r="E408" t="s">
        <v>1204</v>
      </c>
      <c r="F408">
        <v>5670</v>
      </c>
      <c r="G408" t="s">
        <v>2672</v>
      </c>
      <c r="H408" t="s">
        <v>2664</v>
      </c>
      <c r="N408" t="s">
        <v>988</v>
      </c>
    </row>
    <row r="409" spans="1:14" x14ac:dyDescent="0.3">
      <c r="A409">
        <v>2168</v>
      </c>
      <c r="B409" t="s">
        <v>839</v>
      </c>
      <c r="C409" t="s">
        <v>2677</v>
      </c>
      <c r="D409" t="s">
        <v>1203</v>
      </c>
      <c r="E409" t="s">
        <v>1204</v>
      </c>
      <c r="F409">
        <v>5670</v>
      </c>
      <c r="G409" t="s">
        <v>2674</v>
      </c>
      <c r="H409" t="s">
        <v>2665</v>
      </c>
      <c r="I409">
        <v>30400</v>
      </c>
      <c r="J409">
        <v>32900</v>
      </c>
      <c r="K409">
        <v>35600</v>
      </c>
      <c r="L409">
        <v>38100</v>
      </c>
      <c r="M409">
        <v>40300</v>
      </c>
      <c r="N409" t="s">
        <v>988</v>
      </c>
    </row>
    <row r="410" spans="1:14" x14ac:dyDescent="0.3">
      <c r="A410">
        <v>2179</v>
      </c>
      <c r="B410" t="s">
        <v>774</v>
      </c>
      <c r="C410" t="s">
        <v>2677</v>
      </c>
      <c r="D410" t="s">
        <v>1203</v>
      </c>
      <c r="E410" t="s">
        <v>1204</v>
      </c>
      <c r="F410">
        <v>5657</v>
      </c>
      <c r="G410" t="s">
        <v>2672</v>
      </c>
      <c r="H410" t="s">
        <v>2665</v>
      </c>
      <c r="N410" t="s">
        <v>988</v>
      </c>
    </row>
    <row r="411" spans="1:14" x14ac:dyDescent="0.3">
      <c r="A411">
        <v>2179</v>
      </c>
      <c r="B411" t="s">
        <v>774</v>
      </c>
      <c r="C411" t="s">
        <v>2677</v>
      </c>
      <c r="D411" t="s">
        <v>1203</v>
      </c>
      <c r="E411" t="s">
        <v>1204</v>
      </c>
      <c r="F411">
        <v>5657</v>
      </c>
      <c r="G411" t="s">
        <v>2672</v>
      </c>
      <c r="H411" t="s">
        <v>2664</v>
      </c>
      <c r="N411" t="s">
        <v>988</v>
      </c>
    </row>
    <row r="412" spans="1:14" x14ac:dyDescent="0.3">
      <c r="A412">
        <v>2179</v>
      </c>
      <c r="B412" t="s">
        <v>774</v>
      </c>
      <c r="C412" t="s">
        <v>2677</v>
      </c>
      <c r="D412" t="s">
        <v>1203</v>
      </c>
      <c r="E412" t="s">
        <v>1204</v>
      </c>
      <c r="F412">
        <v>5657</v>
      </c>
      <c r="G412" t="s">
        <v>2671</v>
      </c>
      <c r="H412" t="s">
        <v>2665</v>
      </c>
      <c r="I412">
        <v>42612</v>
      </c>
      <c r="J412">
        <v>42510</v>
      </c>
      <c r="K412">
        <v>41560</v>
      </c>
      <c r="L412">
        <v>43090</v>
      </c>
      <c r="M412">
        <v>43640</v>
      </c>
      <c r="N412" t="s">
        <v>988</v>
      </c>
    </row>
    <row r="413" spans="1:14" x14ac:dyDescent="0.3">
      <c r="A413">
        <v>2179</v>
      </c>
      <c r="B413" t="s">
        <v>774</v>
      </c>
      <c r="C413" t="s">
        <v>2677</v>
      </c>
      <c r="D413" t="s">
        <v>1203</v>
      </c>
      <c r="E413" t="s">
        <v>1204</v>
      </c>
      <c r="F413">
        <v>5657</v>
      </c>
      <c r="G413" t="s">
        <v>2671</v>
      </c>
      <c r="H413" t="s">
        <v>2664</v>
      </c>
      <c r="I413">
        <v>46500</v>
      </c>
      <c r="J413">
        <v>46500</v>
      </c>
      <c r="K413">
        <v>46500</v>
      </c>
      <c r="L413">
        <v>46500</v>
      </c>
      <c r="M413">
        <v>46500</v>
      </c>
      <c r="N413" t="s">
        <v>988</v>
      </c>
    </row>
    <row r="414" spans="1:14" x14ac:dyDescent="0.3">
      <c r="A414">
        <v>2179</v>
      </c>
      <c r="B414" t="s">
        <v>774</v>
      </c>
      <c r="C414" t="s">
        <v>2677</v>
      </c>
      <c r="D414" t="s">
        <v>1203</v>
      </c>
      <c r="E414" t="s">
        <v>1204</v>
      </c>
      <c r="F414">
        <v>5657</v>
      </c>
      <c r="G414" t="s">
        <v>2673</v>
      </c>
      <c r="H414" t="s">
        <v>2665</v>
      </c>
      <c r="I414">
        <v>42357</v>
      </c>
      <c r="J414">
        <v>42410</v>
      </c>
      <c r="K414">
        <v>41620</v>
      </c>
      <c r="L414">
        <v>42950</v>
      </c>
      <c r="M414">
        <v>43520</v>
      </c>
      <c r="N414" t="s">
        <v>988</v>
      </c>
    </row>
    <row r="415" spans="1:14" x14ac:dyDescent="0.3">
      <c r="A415">
        <v>2179</v>
      </c>
      <c r="B415" t="s">
        <v>774</v>
      </c>
      <c r="C415" t="s">
        <v>2677</v>
      </c>
      <c r="D415" t="s">
        <v>1203</v>
      </c>
      <c r="E415" t="s">
        <v>1204</v>
      </c>
      <c r="F415">
        <v>5657</v>
      </c>
      <c r="G415" t="s">
        <v>2673</v>
      </c>
      <c r="H415" t="s">
        <v>2664</v>
      </c>
      <c r="I415">
        <v>46500</v>
      </c>
      <c r="J415">
        <v>46500</v>
      </c>
      <c r="K415">
        <v>46500</v>
      </c>
      <c r="L415">
        <v>46500</v>
      </c>
      <c r="M415">
        <v>46500</v>
      </c>
      <c r="N415" t="s">
        <v>988</v>
      </c>
    </row>
    <row r="416" spans="1:14" x14ac:dyDescent="0.3">
      <c r="A416">
        <v>2179</v>
      </c>
      <c r="B416" t="s">
        <v>774</v>
      </c>
      <c r="C416" t="s">
        <v>2677</v>
      </c>
      <c r="D416" t="s">
        <v>1203</v>
      </c>
      <c r="E416" t="s">
        <v>1204</v>
      </c>
      <c r="F416">
        <v>5657</v>
      </c>
      <c r="G416" t="s">
        <v>2674</v>
      </c>
      <c r="H416" t="s">
        <v>2665</v>
      </c>
      <c r="I416">
        <v>42101</v>
      </c>
      <c r="J416">
        <v>42310</v>
      </c>
      <c r="K416">
        <v>41680</v>
      </c>
      <c r="L416">
        <v>42810</v>
      </c>
      <c r="M416">
        <v>43400</v>
      </c>
      <c r="N416" t="s">
        <v>988</v>
      </c>
    </row>
    <row r="417" spans="1:14" x14ac:dyDescent="0.3">
      <c r="A417">
        <v>2179</v>
      </c>
      <c r="B417" t="s">
        <v>774</v>
      </c>
      <c r="C417" t="s">
        <v>2677</v>
      </c>
      <c r="D417" t="s">
        <v>1203</v>
      </c>
      <c r="E417" t="s">
        <v>1204</v>
      </c>
      <c r="F417">
        <v>5657</v>
      </c>
      <c r="G417" t="s">
        <v>2674</v>
      </c>
      <c r="H417" t="s">
        <v>2664</v>
      </c>
      <c r="I417">
        <v>46500</v>
      </c>
      <c r="J417">
        <v>46500</v>
      </c>
      <c r="K417">
        <v>46500</v>
      </c>
      <c r="L417">
        <v>46500</v>
      </c>
      <c r="M417">
        <v>46500</v>
      </c>
      <c r="N417" t="s">
        <v>988</v>
      </c>
    </row>
    <row r="418" spans="1:14" x14ac:dyDescent="0.3">
      <c r="A418">
        <v>2179</v>
      </c>
      <c r="B418" t="s">
        <v>774</v>
      </c>
      <c r="C418" t="s">
        <v>2677</v>
      </c>
      <c r="D418" t="s">
        <v>1203</v>
      </c>
      <c r="E418" t="s">
        <v>1204</v>
      </c>
      <c r="F418">
        <v>5657</v>
      </c>
      <c r="G418" t="s">
        <v>2675</v>
      </c>
      <c r="H418" t="s">
        <v>2665</v>
      </c>
      <c r="I418">
        <v>41846</v>
      </c>
      <c r="J418">
        <v>42210</v>
      </c>
      <c r="K418">
        <v>41740</v>
      </c>
      <c r="L418">
        <v>42670</v>
      </c>
      <c r="M418">
        <v>43280</v>
      </c>
      <c r="N418" t="s">
        <v>988</v>
      </c>
    </row>
    <row r="419" spans="1:14" x14ac:dyDescent="0.3">
      <c r="A419">
        <v>2179</v>
      </c>
      <c r="B419" t="s">
        <v>774</v>
      </c>
      <c r="C419" t="s">
        <v>2677</v>
      </c>
      <c r="D419" t="s">
        <v>1203</v>
      </c>
      <c r="E419" t="s">
        <v>1204</v>
      </c>
      <c r="F419">
        <v>5657</v>
      </c>
      <c r="G419" t="s">
        <v>2675</v>
      </c>
      <c r="H419" t="s">
        <v>2664</v>
      </c>
      <c r="I419">
        <v>46500</v>
      </c>
      <c r="J419">
        <v>46500</v>
      </c>
      <c r="K419">
        <v>46500</v>
      </c>
      <c r="L419">
        <v>46500</v>
      </c>
      <c r="M419">
        <v>46500</v>
      </c>
      <c r="N419" t="s">
        <v>988</v>
      </c>
    </row>
    <row r="420" spans="1:14" x14ac:dyDescent="0.3">
      <c r="A420">
        <v>2179</v>
      </c>
      <c r="B420" t="s">
        <v>774</v>
      </c>
      <c r="C420" t="s">
        <v>2677</v>
      </c>
      <c r="D420" t="s">
        <v>1203</v>
      </c>
      <c r="E420" t="s">
        <v>1204</v>
      </c>
      <c r="F420">
        <v>5657</v>
      </c>
      <c r="G420" t="s">
        <v>2676</v>
      </c>
      <c r="H420" t="s">
        <v>2665</v>
      </c>
      <c r="I420">
        <v>41590</v>
      </c>
      <c r="J420">
        <v>42110</v>
      </c>
      <c r="K420">
        <v>41800</v>
      </c>
      <c r="L420">
        <v>42530</v>
      </c>
      <c r="M420">
        <v>43160</v>
      </c>
      <c r="N420" t="s">
        <v>988</v>
      </c>
    </row>
    <row r="421" spans="1:14" x14ac:dyDescent="0.3">
      <c r="A421">
        <v>2179</v>
      </c>
      <c r="B421" t="s">
        <v>774</v>
      </c>
      <c r="C421" t="s">
        <v>2677</v>
      </c>
      <c r="D421" t="s">
        <v>1203</v>
      </c>
      <c r="E421" t="s">
        <v>1204</v>
      </c>
      <c r="F421">
        <v>5657</v>
      </c>
      <c r="G421" t="s">
        <v>2676</v>
      </c>
      <c r="H421" t="s">
        <v>2664</v>
      </c>
      <c r="I421">
        <v>46500</v>
      </c>
      <c r="J421">
        <v>46500</v>
      </c>
      <c r="K421">
        <v>46500</v>
      </c>
      <c r="L421">
        <v>46500</v>
      </c>
      <c r="M421">
        <v>46500</v>
      </c>
      <c r="N421" t="s">
        <v>988</v>
      </c>
    </row>
    <row r="422" spans="1:14" x14ac:dyDescent="0.3">
      <c r="A422">
        <v>2184</v>
      </c>
      <c r="B422" t="s">
        <v>935</v>
      </c>
      <c r="C422" t="s">
        <v>2677</v>
      </c>
      <c r="D422" t="s">
        <v>1203</v>
      </c>
      <c r="E422" t="s">
        <v>1204</v>
      </c>
      <c r="F422">
        <v>6523</v>
      </c>
      <c r="G422" t="s">
        <v>2672</v>
      </c>
      <c r="H422" t="s">
        <v>2665</v>
      </c>
      <c r="N422" t="s">
        <v>988</v>
      </c>
    </row>
    <row r="423" spans="1:14" x14ac:dyDescent="0.3">
      <c r="A423">
        <v>2184</v>
      </c>
      <c r="B423" t="s">
        <v>935</v>
      </c>
      <c r="C423" t="s">
        <v>2677</v>
      </c>
      <c r="D423" t="s">
        <v>1203</v>
      </c>
      <c r="E423" t="s">
        <v>1204</v>
      </c>
      <c r="F423">
        <v>6523</v>
      </c>
      <c r="G423" t="s">
        <v>2672</v>
      </c>
      <c r="H423" t="s">
        <v>2664</v>
      </c>
      <c r="N423" t="s">
        <v>988</v>
      </c>
    </row>
    <row r="424" spans="1:14" x14ac:dyDescent="0.3">
      <c r="A424">
        <v>2184</v>
      </c>
      <c r="B424" t="s">
        <v>935</v>
      </c>
      <c r="C424" t="s">
        <v>2677</v>
      </c>
      <c r="D424" t="s">
        <v>1203</v>
      </c>
      <c r="E424" t="s">
        <v>1204</v>
      </c>
      <c r="F424">
        <v>6523</v>
      </c>
      <c r="G424" t="s">
        <v>2671</v>
      </c>
      <c r="H424" t="s">
        <v>2665</v>
      </c>
      <c r="I424">
        <v>7877</v>
      </c>
      <c r="J424">
        <v>7877</v>
      </c>
      <c r="K424">
        <v>7877</v>
      </c>
      <c r="L424">
        <v>7877</v>
      </c>
      <c r="M424">
        <v>7877</v>
      </c>
      <c r="N424" t="s">
        <v>988</v>
      </c>
    </row>
    <row r="425" spans="1:14" x14ac:dyDescent="0.3">
      <c r="A425">
        <v>2184</v>
      </c>
      <c r="B425" t="s">
        <v>935</v>
      </c>
      <c r="C425" t="s">
        <v>2677</v>
      </c>
      <c r="D425" t="s">
        <v>1203</v>
      </c>
      <c r="E425" t="s">
        <v>1204</v>
      </c>
      <c r="F425">
        <v>6523</v>
      </c>
      <c r="G425" t="s">
        <v>2671</v>
      </c>
      <c r="H425" t="s">
        <v>2664</v>
      </c>
      <c r="I425">
        <v>7877</v>
      </c>
      <c r="J425">
        <v>7877</v>
      </c>
      <c r="K425">
        <v>7877</v>
      </c>
      <c r="L425">
        <v>7877</v>
      </c>
      <c r="M425">
        <v>7877</v>
      </c>
      <c r="N425" t="s">
        <v>988</v>
      </c>
    </row>
    <row r="426" spans="1:14" x14ac:dyDescent="0.3">
      <c r="A426">
        <v>2184</v>
      </c>
      <c r="B426" t="s">
        <v>935</v>
      </c>
      <c r="C426" t="s">
        <v>2677</v>
      </c>
      <c r="D426" t="s">
        <v>1203</v>
      </c>
      <c r="E426" t="s">
        <v>1204</v>
      </c>
      <c r="F426">
        <v>6523</v>
      </c>
      <c r="G426" t="s">
        <v>2673</v>
      </c>
      <c r="H426" t="s">
        <v>2665</v>
      </c>
      <c r="I426">
        <v>7877</v>
      </c>
      <c r="J426">
        <v>7877</v>
      </c>
      <c r="K426">
        <v>7877</v>
      </c>
      <c r="L426">
        <v>7877</v>
      </c>
      <c r="M426">
        <v>7877</v>
      </c>
      <c r="N426" t="s">
        <v>988</v>
      </c>
    </row>
    <row r="427" spans="1:14" x14ac:dyDescent="0.3">
      <c r="A427">
        <v>2184</v>
      </c>
      <c r="B427" t="s">
        <v>935</v>
      </c>
      <c r="C427" t="s">
        <v>2677</v>
      </c>
      <c r="D427" t="s">
        <v>1203</v>
      </c>
      <c r="E427" t="s">
        <v>1204</v>
      </c>
      <c r="F427">
        <v>6523</v>
      </c>
      <c r="G427" t="s">
        <v>2676</v>
      </c>
      <c r="H427" t="s">
        <v>2664</v>
      </c>
      <c r="I427">
        <v>8730</v>
      </c>
      <c r="J427">
        <v>8730</v>
      </c>
      <c r="K427">
        <v>8730</v>
      </c>
      <c r="L427">
        <v>8730</v>
      </c>
      <c r="M427">
        <v>8730</v>
      </c>
      <c r="N427" t="s">
        <v>988</v>
      </c>
    </row>
    <row r="428" spans="1:14" x14ac:dyDescent="0.3">
      <c r="A428">
        <v>2184</v>
      </c>
      <c r="B428" t="s">
        <v>935</v>
      </c>
      <c r="C428" t="s">
        <v>2677</v>
      </c>
      <c r="D428" t="s">
        <v>1203</v>
      </c>
      <c r="E428" t="s">
        <v>1204</v>
      </c>
      <c r="F428">
        <v>6523</v>
      </c>
      <c r="G428" t="s">
        <v>2674</v>
      </c>
      <c r="H428" t="s">
        <v>2665</v>
      </c>
      <c r="I428">
        <v>8730</v>
      </c>
      <c r="J428">
        <v>8730</v>
      </c>
      <c r="K428">
        <v>8730</v>
      </c>
      <c r="L428">
        <v>8730</v>
      </c>
      <c r="M428">
        <v>8730</v>
      </c>
      <c r="N428" t="s">
        <v>988</v>
      </c>
    </row>
    <row r="429" spans="1:14" x14ac:dyDescent="0.3">
      <c r="A429">
        <v>2184</v>
      </c>
      <c r="B429" t="s">
        <v>935</v>
      </c>
      <c r="C429" t="s">
        <v>2677</v>
      </c>
      <c r="D429" t="s">
        <v>1203</v>
      </c>
      <c r="E429" t="s">
        <v>1204</v>
      </c>
      <c r="F429">
        <v>6523</v>
      </c>
      <c r="G429" t="s">
        <v>2674</v>
      </c>
      <c r="H429" t="s">
        <v>2664</v>
      </c>
      <c r="I429">
        <v>8730</v>
      </c>
      <c r="J429">
        <v>8730</v>
      </c>
      <c r="K429">
        <v>8730</v>
      </c>
      <c r="L429">
        <v>8730</v>
      </c>
      <c r="M429">
        <v>8730</v>
      </c>
      <c r="N429" t="s">
        <v>988</v>
      </c>
    </row>
    <row r="430" spans="1:14" x14ac:dyDescent="0.3">
      <c r="A430">
        <v>2184</v>
      </c>
      <c r="B430" t="s">
        <v>935</v>
      </c>
      <c r="C430" t="s">
        <v>2677</v>
      </c>
      <c r="D430" t="s">
        <v>1203</v>
      </c>
      <c r="E430" t="s">
        <v>1204</v>
      </c>
      <c r="F430">
        <v>6523</v>
      </c>
      <c r="G430" t="s">
        <v>2675</v>
      </c>
      <c r="H430" t="s">
        <v>2665</v>
      </c>
      <c r="I430">
        <v>8730</v>
      </c>
      <c r="J430">
        <v>8730</v>
      </c>
      <c r="K430">
        <v>8730</v>
      </c>
      <c r="L430">
        <v>8730</v>
      </c>
      <c r="M430">
        <v>8730</v>
      </c>
      <c r="N430" t="s">
        <v>988</v>
      </c>
    </row>
    <row r="431" spans="1:14" x14ac:dyDescent="0.3">
      <c r="A431">
        <v>2184</v>
      </c>
      <c r="B431" t="s">
        <v>935</v>
      </c>
      <c r="C431" t="s">
        <v>2677</v>
      </c>
      <c r="D431" t="s">
        <v>1203</v>
      </c>
      <c r="E431" t="s">
        <v>1204</v>
      </c>
      <c r="F431">
        <v>6523</v>
      </c>
      <c r="G431" t="s">
        <v>2675</v>
      </c>
      <c r="H431" t="s">
        <v>2664</v>
      </c>
      <c r="I431">
        <v>8730</v>
      </c>
      <c r="J431">
        <v>8730</v>
      </c>
      <c r="K431">
        <v>8730</v>
      </c>
      <c r="L431">
        <v>8730</v>
      </c>
      <c r="M431">
        <v>8730</v>
      </c>
      <c r="N431" t="s">
        <v>988</v>
      </c>
    </row>
    <row r="432" spans="1:14" x14ac:dyDescent="0.3">
      <c r="A432">
        <v>2184</v>
      </c>
      <c r="B432" t="s">
        <v>935</v>
      </c>
      <c r="C432" t="s">
        <v>2677</v>
      </c>
      <c r="D432" t="s">
        <v>1203</v>
      </c>
      <c r="E432" t="s">
        <v>1204</v>
      </c>
      <c r="F432">
        <v>6523</v>
      </c>
      <c r="G432" t="s">
        <v>2676</v>
      </c>
      <c r="H432" t="s">
        <v>2665</v>
      </c>
      <c r="I432">
        <v>8730</v>
      </c>
      <c r="J432">
        <v>8730</v>
      </c>
      <c r="K432">
        <v>8730</v>
      </c>
      <c r="L432">
        <v>8730</v>
      </c>
      <c r="M432">
        <v>8730</v>
      </c>
      <c r="N432" t="s">
        <v>988</v>
      </c>
    </row>
    <row r="433" spans="1:14" x14ac:dyDescent="0.3">
      <c r="A433">
        <v>2184</v>
      </c>
      <c r="B433" t="s">
        <v>935</v>
      </c>
      <c r="C433" t="s">
        <v>2677</v>
      </c>
      <c r="D433" t="s">
        <v>1203</v>
      </c>
      <c r="E433" t="s">
        <v>1204</v>
      </c>
      <c r="F433">
        <v>6523</v>
      </c>
      <c r="G433" t="s">
        <v>2673</v>
      </c>
      <c r="H433" t="s">
        <v>2664</v>
      </c>
      <c r="I433">
        <v>7877</v>
      </c>
      <c r="J433">
        <v>7877</v>
      </c>
      <c r="K433">
        <v>7877</v>
      </c>
      <c r="L433">
        <v>7877</v>
      </c>
      <c r="M433">
        <v>7877</v>
      </c>
      <c r="N433" t="s">
        <v>988</v>
      </c>
    </row>
    <row r="434" spans="1:14" x14ac:dyDescent="0.3">
      <c r="A434">
        <v>2211</v>
      </c>
      <c r="B434" t="s">
        <v>811</v>
      </c>
      <c r="C434" t="s">
        <v>2677</v>
      </c>
      <c r="D434" t="s">
        <v>159</v>
      </c>
      <c r="E434" t="s">
        <v>159</v>
      </c>
      <c r="F434">
        <v>5461</v>
      </c>
      <c r="G434" t="s">
        <v>2673</v>
      </c>
      <c r="H434" t="s">
        <v>2664</v>
      </c>
      <c r="I434">
        <v>347000</v>
      </c>
      <c r="J434">
        <v>341000</v>
      </c>
      <c r="K434">
        <v>416000</v>
      </c>
      <c r="L434">
        <v>421000</v>
      </c>
      <c r="M434">
        <v>429000</v>
      </c>
      <c r="N434" t="s">
        <v>988</v>
      </c>
    </row>
    <row r="435" spans="1:14" x14ac:dyDescent="0.3">
      <c r="A435">
        <v>2211</v>
      </c>
      <c r="B435" t="s">
        <v>811</v>
      </c>
      <c r="C435" t="s">
        <v>2677</v>
      </c>
      <c r="D435" t="s">
        <v>159</v>
      </c>
      <c r="E435" t="s">
        <v>159</v>
      </c>
      <c r="F435">
        <v>5461</v>
      </c>
      <c r="G435" t="s">
        <v>2676</v>
      </c>
      <c r="H435" t="s">
        <v>2664</v>
      </c>
      <c r="I435">
        <v>345000</v>
      </c>
      <c r="J435">
        <v>349000</v>
      </c>
      <c r="K435">
        <v>491000</v>
      </c>
      <c r="L435">
        <v>483000</v>
      </c>
      <c r="M435">
        <v>487000</v>
      </c>
      <c r="N435" t="s">
        <v>988</v>
      </c>
    </row>
    <row r="436" spans="1:14" x14ac:dyDescent="0.3">
      <c r="A436">
        <v>2211</v>
      </c>
      <c r="B436" t="s">
        <v>811</v>
      </c>
      <c r="C436" t="s">
        <v>2677</v>
      </c>
      <c r="D436" t="s">
        <v>159</v>
      </c>
      <c r="E436" t="s">
        <v>159</v>
      </c>
      <c r="F436">
        <v>5461</v>
      </c>
      <c r="G436" t="s">
        <v>2676</v>
      </c>
      <c r="H436" t="s">
        <v>2665</v>
      </c>
      <c r="I436">
        <v>330000</v>
      </c>
      <c r="J436">
        <v>325000</v>
      </c>
      <c r="K436">
        <v>330000</v>
      </c>
      <c r="L436">
        <v>335000</v>
      </c>
      <c r="M436">
        <v>345000</v>
      </c>
      <c r="N436" t="s">
        <v>988</v>
      </c>
    </row>
    <row r="437" spans="1:14" x14ac:dyDescent="0.3">
      <c r="A437">
        <v>2211</v>
      </c>
      <c r="B437" t="s">
        <v>811</v>
      </c>
      <c r="C437" t="s">
        <v>2677</v>
      </c>
      <c r="D437" t="s">
        <v>159</v>
      </c>
      <c r="E437" t="s">
        <v>159</v>
      </c>
      <c r="F437">
        <v>5461</v>
      </c>
      <c r="G437" t="s">
        <v>2675</v>
      </c>
      <c r="H437" t="s">
        <v>2664</v>
      </c>
      <c r="I437">
        <v>370000</v>
      </c>
      <c r="J437">
        <v>376000</v>
      </c>
      <c r="K437">
        <v>477000</v>
      </c>
      <c r="L437">
        <v>482000</v>
      </c>
      <c r="M437">
        <v>501000</v>
      </c>
      <c r="N437" t="s">
        <v>988</v>
      </c>
    </row>
    <row r="438" spans="1:14" x14ac:dyDescent="0.3">
      <c r="A438">
        <v>2211</v>
      </c>
      <c r="B438" t="s">
        <v>811</v>
      </c>
      <c r="C438" t="s">
        <v>2677</v>
      </c>
      <c r="D438" t="s">
        <v>159</v>
      </c>
      <c r="E438" t="s">
        <v>159</v>
      </c>
      <c r="F438">
        <v>5461</v>
      </c>
      <c r="G438" t="s">
        <v>2675</v>
      </c>
      <c r="H438" t="s">
        <v>2665</v>
      </c>
      <c r="I438">
        <v>330000</v>
      </c>
      <c r="J438">
        <v>325000</v>
      </c>
      <c r="K438">
        <v>330000</v>
      </c>
      <c r="L438">
        <v>335000</v>
      </c>
      <c r="M438">
        <v>345000</v>
      </c>
      <c r="N438" t="s">
        <v>988</v>
      </c>
    </row>
    <row r="439" spans="1:14" x14ac:dyDescent="0.3">
      <c r="A439">
        <v>2211</v>
      </c>
      <c r="B439" t="s">
        <v>811</v>
      </c>
      <c r="C439" t="s">
        <v>2677</v>
      </c>
      <c r="D439" t="s">
        <v>159</v>
      </c>
      <c r="E439" t="s">
        <v>159</v>
      </c>
      <c r="F439">
        <v>5461</v>
      </c>
      <c r="G439" t="s">
        <v>2674</v>
      </c>
      <c r="H439" t="s">
        <v>2664</v>
      </c>
      <c r="I439">
        <v>340000</v>
      </c>
      <c r="J439">
        <v>349000</v>
      </c>
      <c r="K439">
        <v>443000</v>
      </c>
      <c r="L439">
        <v>450000</v>
      </c>
      <c r="M439">
        <v>448000</v>
      </c>
      <c r="N439" t="s">
        <v>988</v>
      </c>
    </row>
    <row r="440" spans="1:14" x14ac:dyDescent="0.3">
      <c r="A440">
        <v>2211</v>
      </c>
      <c r="B440" t="s">
        <v>811</v>
      </c>
      <c r="C440" t="s">
        <v>2677</v>
      </c>
      <c r="D440" t="s">
        <v>159</v>
      </c>
      <c r="E440" t="s">
        <v>159</v>
      </c>
      <c r="F440">
        <v>5461</v>
      </c>
      <c r="G440" t="s">
        <v>2674</v>
      </c>
      <c r="H440" t="s">
        <v>2665</v>
      </c>
      <c r="I440">
        <v>330000</v>
      </c>
      <c r="J440">
        <v>325000</v>
      </c>
      <c r="K440">
        <v>330000</v>
      </c>
      <c r="L440">
        <v>335000</v>
      </c>
      <c r="M440">
        <v>345000</v>
      </c>
      <c r="N440" t="s">
        <v>988</v>
      </c>
    </row>
    <row r="441" spans="1:14" x14ac:dyDescent="0.3">
      <c r="A441">
        <v>2211</v>
      </c>
      <c r="B441" t="s">
        <v>811</v>
      </c>
      <c r="C441" t="s">
        <v>2677</v>
      </c>
      <c r="D441" t="s">
        <v>159</v>
      </c>
      <c r="E441" t="s">
        <v>159</v>
      </c>
      <c r="F441">
        <v>5461</v>
      </c>
      <c r="G441" t="s">
        <v>2673</v>
      </c>
      <c r="H441" t="s">
        <v>2665</v>
      </c>
      <c r="I441">
        <v>330000</v>
      </c>
      <c r="J441">
        <v>325000</v>
      </c>
      <c r="K441">
        <v>330000</v>
      </c>
      <c r="L441">
        <v>335000</v>
      </c>
      <c r="M441">
        <v>345000</v>
      </c>
      <c r="N441" t="s">
        <v>988</v>
      </c>
    </row>
    <row r="442" spans="1:14" x14ac:dyDescent="0.3">
      <c r="A442">
        <v>2211</v>
      </c>
      <c r="B442" t="s">
        <v>811</v>
      </c>
      <c r="C442" t="s">
        <v>2677</v>
      </c>
      <c r="D442" t="s">
        <v>159</v>
      </c>
      <c r="E442" t="s">
        <v>159</v>
      </c>
      <c r="F442">
        <v>5461</v>
      </c>
      <c r="G442" t="s">
        <v>2671</v>
      </c>
      <c r="H442" t="s">
        <v>2664</v>
      </c>
      <c r="I442">
        <v>341000</v>
      </c>
      <c r="J442">
        <v>365000</v>
      </c>
      <c r="K442">
        <v>430000</v>
      </c>
      <c r="L442">
        <v>440000</v>
      </c>
      <c r="M442">
        <v>444000</v>
      </c>
      <c r="N442" t="s">
        <v>988</v>
      </c>
    </row>
    <row r="443" spans="1:14" x14ac:dyDescent="0.3">
      <c r="A443">
        <v>2211</v>
      </c>
      <c r="B443" t="s">
        <v>811</v>
      </c>
      <c r="C443" t="s">
        <v>2677</v>
      </c>
      <c r="D443" t="s">
        <v>159</v>
      </c>
      <c r="E443" t="s">
        <v>159</v>
      </c>
      <c r="F443">
        <v>5461</v>
      </c>
      <c r="G443" t="s">
        <v>2671</v>
      </c>
      <c r="H443" t="s">
        <v>2665</v>
      </c>
      <c r="I443">
        <v>330000</v>
      </c>
      <c r="J443">
        <v>325000</v>
      </c>
      <c r="K443">
        <v>330000</v>
      </c>
      <c r="L443">
        <v>335000</v>
      </c>
      <c r="M443">
        <v>345000</v>
      </c>
      <c r="N443" t="s">
        <v>988</v>
      </c>
    </row>
    <row r="444" spans="1:14" x14ac:dyDescent="0.3">
      <c r="A444">
        <v>2211</v>
      </c>
      <c r="B444" t="s">
        <v>811</v>
      </c>
      <c r="C444" t="s">
        <v>2677</v>
      </c>
      <c r="D444" t="s">
        <v>159</v>
      </c>
      <c r="E444" t="s">
        <v>159</v>
      </c>
      <c r="F444">
        <v>5461</v>
      </c>
      <c r="G444" t="s">
        <v>2672</v>
      </c>
      <c r="H444" t="s">
        <v>2664</v>
      </c>
      <c r="N444" t="s">
        <v>988</v>
      </c>
    </row>
    <row r="445" spans="1:14" x14ac:dyDescent="0.3">
      <c r="A445">
        <v>2211</v>
      </c>
      <c r="B445" t="s">
        <v>811</v>
      </c>
      <c r="C445" t="s">
        <v>2677</v>
      </c>
      <c r="D445" t="s">
        <v>159</v>
      </c>
      <c r="E445" t="s">
        <v>159</v>
      </c>
      <c r="F445">
        <v>5461</v>
      </c>
      <c r="G445" t="s">
        <v>2672</v>
      </c>
      <c r="H445" t="s">
        <v>2665</v>
      </c>
      <c r="N445" t="s">
        <v>988</v>
      </c>
    </row>
    <row r="446" spans="1:14" x14ac:dyDescent="0.3">
      <c r="A446">
        <v>2328</v>
      </c>
      <c r="B446" t="s">
        <v>2217</v>
      </c>
      <c r="C446" t="s">
        <v>2677</v>
      </c>
      <c r="D446" t="s">
        <v>1203</v>
      </c>
      <c r="E446" t="s">
        <v>1204</v>
      </c>
      <c r="F446">
        <v>5466</v>
      </c>
      <c r="G446" t="s">
        <v>2673</v>
      </c>
      <c r="H446" t="s">
        <v>2664</v>
      </c>
      <c r="I446">
        <v>65020</v>
      </c>
      <c r="J446">
        <v>69177</v>
      </c>
      <c r="K446">
        <v>70725</v>
      </c>
      <c r="L446">
        <v>72588</v>
      </c>
      <c r="M446">
        <v>74547</v>
      </c>
      <c r="N446" t="s">
        <v>988</v>
      </c>
    </row>
    <row r="447" spans="1:14" x14ac:dyDescent="0.3">
      <c r="A447">
        <v>2328</v>
      </c>
      <c r="B447" t="s">
        <v>2217</v>
      </c>
      <c r="C447" t="s">
        <v>2677</v>
      </c>
      <c r="D447" t="s">
        <v>1203</v>
      </c>
      <c r="E447" t="s">
        <v>1204</v>
      </c>
      <c r="F447">
        <v>5466</v>
      </c>
      <c r="G447" t="s">
        <v>2673</v>
      </c>
      <c r="H447" t="s">
        <v>2665</v>
      </c>
      <c r="I447">
        <v>65020</v>
      </c>
      <c r="J447">
        <v>69177</v>
      </c>
      <c r="K447">
        <v>70725</v>
      </c>
      <c r="L447">
        <v>72588</v>
      </c>
      <c r="M447">
        <v>74547</v>
      </c>
      <c r="N447" t="s">
        <v>988</v>
      </c>
    </row>
    <row r="448" spans="1:14" x14ac:dyDescent="0.3">
      <c r="A448">
        <v>2328</v>
      </c>
      <c r="B448" t="s">
        <v>2217</v>
      </c>
      <c r="C448" t="s">
        <v>2677</v>
      </c>
      <c r="D448" t="s">
        <v>1203</v>
      </c>
      <c r="E448" t="s">
        <v>1204</v>
      </c>
      <c r="F448">
        <v>5466</v>
      </c>
      <c r="G448" t="s">
        <v>2671</v>
      </c>
      <c r="H448" t="s">
        <v>2664</v>
      </c>
      <c r="I448">
        <v>65020</v>
      </c>
      <c r="J448">
        <v>69177</v>
      </c>
      <c r="K448">
        <v>70725</v>
      </c>
      <c r="L448">
        <v>72588</v>
      </c>
      <c r="M448">
        <v>74547</v>
      </c>
      <c r="N448" t="s">
        <v>988</v>
      </c>
    </row>
    <row r="449" spans="1:14" x14ac:dyDescent="0.3">
      <c r="A449">
        <v>2328</v>
      </c>
      <c r="B449" t="s">
        <v>2217</v>
      </c>
      <c r="C449" t="s">
        <v>2677</v>
      </c>
      <c r="D449" t="s">
        <v>1203</v>
      </c>
      <c r="E449" t="s">
        <v>1204</v>
      </c>
      <c r="F449">
        <v>5466</v>
      </c>
      <c r="G449" t="s">
        <v>2671</v>
      </c>
      <c r="H449" t="s">
        <v>2665</v>
      </c>
      <c r="I449">
        <v>65020</v>
      </c>
      <c r="J449">
        <v>69177</v>
      </c>
      <c r="K449">
        <v>70725</v>
      </c>
      <c r="L449">
        <v>72588</v>
      </c>
      <c r="M449">
        <v>74547</v>
      </c>
      <c r="N449" t="s">
        <v>988</v>
      </c>
    </row>
    <row r="450" spans="1:14" x14ac:dyDescent="0.3">
      <c r="A450">
        <v>2328</v>
      </c>
      <c r="B450" t="s">
        <v>2217</v>
      </c>
      <c r="C450" t="s">
        <v>2677</v>
      </c>
      <c r="D450" t="s">
        <v>1203</v>
      </c>
      <c r="E450" t="s">
        <v>1204</v>
      </c>
      <c r="F450">
        <v>5466</v>
      </c>
      <c r="G450" t="s">
        <v>2672</v>
      </c>
      <c r="H450" t="s">
        <v>2664</v>
      </c>
      <c r="N450" t="s">
        <v>988</v>
      </c>
    </row>
    <row r="451" spans="1:14" x14ac:dyDescent="0.3">
      <c r="A451">
        <v>2328</v>
      </c>
      <c r="B451" t="s">
        <v>2217</v>
      </c>
      <c r="C451" t="s">
        <v>2677</v>
      </c>
      <c r="D451" t="s">
        <v>1203</v>
      </c>
      <c r="E451" t="s">
        <v>1204</v>
      </c>
      <c r="F451">
        <v>5466</v>
      </c>
      <c r="G451" t="s">
        <v>2672</v>
      </c>
      <c r="H451" t="s">
        <v>2665</v>
      </c>
      <c r="N451" t="s">
        <v>988</v>
      </c>
    </row>
    <row r="452" spans="1:14" x14ac:dyDescent="0.3">
      <c r="A452">
        <v>2328</v>
      </c>
      <c r="B452" t="s">
        <v>2217</v>
      </c>
      <c r="C452" t="s">
        <v>2677</v>
      </c>
      <c r="D452" t="s">
        <v>1203</v>
      </c>
      <c r="E452" t="s">
        <v>1204</v>
      </c>
      <c r="F452">
        <v>5466</v>
      </c>
      <c r="G452" t="s">
        <v>2674</v>
      </c>
      <c r="H452" t="s">
        <v>2664</v>
      </c>
      <c r="I452">
        <v>65020</v>
      </c>
      <c r="J452">
        <v>69177</v>
      </c>
      <c r="K452">
        <v>70725</v>
      </c>
      <c r="L452">
        <v>72588</v>
      </c>
      <c r="M452">
        <v>74547</v>
      </c>
      <c r="N452" t="s">
        <v>988</v>
      </c>
    </row>
    <row r="453" spans="1:14" x14ac:dyDescent="0.3">
      <c r="A453">
        <v>2328</v>
      </c>
      <c r="B453" t="s">
        <v>2217</v>
      </c>
      <c r="C453" t="s">
        <v>2677</v>
      </c>
      <c r="D453" t="s">
        <v>1203</v>
      </c>
      <c r="E453" t="s">
        <v>1204</v>
      </c>
      <c r="F453">
        <v>5466</v>
      </c>
      <c r="G453" t="s">
        <v>2675</v>
      </c>
      <c r="H453" t="s">
        <v>2665</v>
      </c>
      <c r="I453">
        <v>65020</v>
      </c>
      <c r="J453">
        <v>69177</v>
      </c>
      <c r="K453">
        <v>70725</v>
      </c>
      <c r="L453">
        <v>72588</v>
      </c>
      <c r="M453">
        <v>74547</v>
      </c>
      <c r="N453" t="s">
        <v>988</v>
      </c>
    </row>
    <row r="454" spans="1:14" x14ac:dyDescent="0.3">
      <c r="A454">
        <v>2328</v>
      </c>
      <c r="B454" t="s">
        <v>2217</v>
      </c>
      <c r="C454" t="s">
        <v>2677</v>
      </c>
      <c r="D454" t="s">
        <v>1203</v>
      </c>
      <c r="E454" t="s">
        <v>1204</v>
      </c>
      <c r="F454">
        <v>5466</v>
      </c>
      <c r="G454" t="s">
        <v>2675</v>
      </c>
      <c r="H454" t="s">
        <v>2664</v>
      </c>
      <c r="I454">
        <v>65020</v>
      </c>
      <c r="J454">
        <v>69177</v>
      </c>
      <c r="K454">
        <v>70725</v>
      </c>
      <c r="L454">
        <v>72588</v>
      </c>
      <c r="M454">
        <v>74547</v>
      </c>
      <c r="N454" t="s">
        <v>988</v>
      </c>
    </row>
    <row r="455" spans="1:14" x14ac:dyDescent="0.3">
      <c r="A455">
        <v>2328</v>
      </c>
      <c r="B455" t="s">
        <v>2217</v>
      </c>
      <c r="C455" t="s">
        <v>2677</v>
      </c>
      <c r="D455" t="s">
        <v>1203</v>
      </c>
      <c r="E455" t="s">
        <v>1204</v>
      </c>
      <c r="F455">
        <v>5466</v>
      </c>
      <c r="G455" t="s">
        <v>2676</v>
      </c>
      <c r="H455" t="s">
        <v>2665</v>
      </c>
      <c r="I455">
        <v>65020</v>
      </c>
      <c r="J455">
        <v>69177</v>
      </c>
      <c r="K455">
        <v>70725</v>
      </c>
      <c r="L455">
        <v>72588</v>
      </c>
      <c r="M455">
        <v>74547</v>
      </c>
      <c r="N455" t="s">
        <v>988</v>
      </c>
    </row>
    <row r="456" spans="1:14" x14ac:dyDescent="0.3">
      <c r="A456">
        <v>2328</v>
      </c>
      <c r="B456" t="s">
        <v>2217</v>
      </c>
      <c r="C456" t="s">
        <v>2677</v>
      </c>
      <c r="D456" t="s">
        <v>1203</v>
      </c>
      <c r="E456" t="s">
        <v>1204</v>
      </c>
      <c r="F456">
        <v>5466</v>
      </c>
      <c r="G456" t="s">
        <v>2676</v>
      </c>
      <c r="H456" t="s">
        <v>2664</v>
      </c>
      <c r="I456">
        <v>65020</v>
      </c>
      <c r="J456">
        <v>69177</v>
      </c>
      <c r="K456">
        <v>70725</v>
      </c>
      <c r="L456">
        <v>72588</v>
      </c>
      <c r="M456">
        <v>74547</v>
      </c>
      <c r="N456" t="s">
        <v>988</v>
      </c>
    </row>
    <row r="457" spans="1:14" x14ac:dyDescent="0.3">
      <c r="A457">
        <v>2328</v>
      </c>
      <c r="B457" t="s">
        <v>2217</v>
      </c>
      <c r="C457" t="s">
        <v>2677</v>
      </c>
      <c r="D457" t="s">
        <v>1203</v>
      </c>
      <c r="E457" t="s">
        <v>1204</v>
      </c>
      <c r="F457">
        <v>5466</v>
      </c>
      <c r="G457" t="s">
        <v>2674</v>
      </c>
      <c r="H457" t="s">
        <v>2665</v>
      </c>
      <c r="I457">
        <v>65020</v>
      </c>
      <c r="J457">
        <v>69177</v>
      </c>
      <c r="K457">
        <v>70725</v>
      </c>
      <c r="L457">
        <v>72588</v>
      </c>
      <c r="M457">
        <v>74547</v>
      </c>
      <c r="N457" t="s">
        <v>988</v>
      </c>
    </row>
    <row r="458" spans="1:14" x14ac:dyDescent="0.3">
      <c r="A458">
        <v>2346</v>
      </c>
      <c r="B458" t="s">
        <v>2220</v>
      </c>
      <c r="C458" t="s">
        <v>2677</v>
      </c>
      <c r="D458" t="s">
        <v>159</v>
      </c>
      <c r="E458" t="s">
        <v>159</v>
      </c>
      <c r="F458">
        <v>7918</v>
      </c>
      <c r="G458" t="s">
        <v>2673</v>
      </c>
      <c r="H458" t="s">
        <v>2665</v>
      </c>
      <c r="I458">
        <v>31522</v>
      </c>
      <c r="J458">
        <v>31522</v>
      </c>
      <c r="K458">
        <v>31522</v>
      </c>
      <c r="L458">
        <v>43090</v>
      </c>
      <c r="M458">
        <v>43090</v>
      </c>
      <c r="N458" t="s">
        <v>988</v>
      </c>
    </row>
    <row r="459" spans="1:14" x14ac:dyDescent="0.3">
      <c r="A459">
        <v>2346</v>
      </c>
      <c r="B459" t="s">
        <v>2220</v>
      </c>
      <c r="C459" t="s">
        <v>2677</v>
      </c>
      <c r="D459" t="s">
        <v>159</v>
      </c>
      <c r="E459" t="s">
        <v>159</v>
      </c>
      <c r="F459">
        <v>7918</v>
      </c>
      <c r="G459" t="s">
        <v>2671</v>
      </c>
      <c r="H459" t="s">
        <v>2664</v>
      </c>
      <c r="I459">
        <v>31522</v>
      </c>
      <c r="J459">
        <v>31522</v>
      </c>
      <c r="K459">
        <v>31522</v>
      </c>
      <c r="L459">
        <v>43090</v>
      </c>
      <c r="M459">
        <v>43090</v>
      </c>
      <c r="N459" t="s">
        <v>988</v>
      </c>
    </row>
    <row r="460" spans="1:14" x14ac:dyDescent="0.3">
      <c r="A460">
        <v>2346</v>
      </c>
      <c r="B460" t="s">
        <v>2220</v>
      </c>
      <c r="C460" t="s">
        <v>2677</v>
      </c>
      <c r="D460" t="s">
        <v>159</v>
      </c>
      <c r="E460" t="s">
        <v>159</v>
      </c>
      <c r="F460">
        <v>7918</v>
      </c>
      <c r="G460" t="s">
        <v>2671</v>
      </c>
      <c r="H460" t="s">
        <v>2665</v>
      </c>
      <c r="I460">
        <v>31522</v>
      </c>
      <c r="J460">
        <v>31522</v>
      </c>
      <c r="K460">
        <v>31522</v>
      </c>
      <c r="L460">
        <v>43090</v>
      </c>
      <c r="M460">
        <v>43090</v>
      </c>
      <c r="N460" t="s">
        <v>988</v>
      </c>
    </row>
    <row r="461" spans="1:14" x14ac:dyDescent="0.3">
      <c r="A461">
        <v>2346</v>
      </c>
      <c r="B461" t="s">
        <v>2220</v>
      </c>
      <c r="C461" t="s">
        <v>2677</v>
      </c>
      <c r="D461" t="s">
        <v>159</v>
      </c>
      <c r="E461" t="s">
        <v>159</v>
      </c>
      <c r="F461">
        <v>7918</v>
      </c>
      <c r="G461" t="s">
        <v>2672</v>
      </c>
      <c r="H461" t="s">
        <v>2664</v>
      </c>
      <c r="N461" t="s">
        <v>988</v>
      </c>
    </row>
    <row r="462" spans="1:14" x14ac:dyDescent="0.3">
      <c r="A462">
        <v>2346</v>
      </c>
      <c r="B462" t="s">
        <v>2220</v>
      </c>
      <c r="C462" t="s">
        <v>2677</v>
      </c>
      <c r="D462" t="s">
        <v>159</v>
      </c>
      <c r="E462" t="s">
        <v>159</v>
      </c>
      <c r="F462">
        <v>7918</v>
      </c>
      <c r="G462" t="s">
        <v>2672</v>
      </c>
      <c r="H462" t="s">
        <v>2665</v>
      </c>
      <c r="N462" t="s">
        <v>988</v>
      </c>
    </row>
    <row r="463" spans="1:14" x14ac:dyDescent="0.3">
      <c r="A463">
        <v>2346</v>
      </c>
      <c r="B463" t="s">
        <v>2220</v>
      </c>
      <c r="C463" t="s">
        <v>2677</v>
      </c>
      <c r="D463" t="s">
        <v>159</v>
      </c>
      <c r="E463" t="s">
        <v>159</v>
      </c>
      <c r="F463">
        <v>7918</v>
      </c>
      <c r="G463" t="s">
        <v>2673</v>
      </c>
      <c r="H463" t="s">
        <v>2664</v>
      </c>
      <c r="I463">
        <v>26448</v>
      </c>
      <c r="J463">
        <v>28961.5</v>
      </c>
      <c r="K463">
        <v>31475</v>
      </c>
      <c r="L463">
        <v>33988</v>
      </c>
      <c r="M463">
        <v>36501</v>
      </c>
      <c r="N463" t="s">
        <v>988</v>
      </c>
    </row>
    <row r="464" spans="1:14" x14ac:dyDescent="0.3">
      <c r="A464">
        <v>2346</v>
      </c>
      <c r="B464" t="s">
        <v>2220</v>
      </c>
      <c r="C464" t="s">
        <v>2677</v>
      </c>
      <c r="D464" t="s">
        <v>159</v>
      </c>
      <c r="E464" t="s">
        <v>159</v>
      </c>
      <c r="F464">
        <v>7918</v>
      </c>
      <c r="G464" t="s">
        <v>2676</v>
      </c>
      <c r="H464" t="s">
        <v>2664</v>
      </c>
      <c r="I464">
        <v>31522</v>
      </c>
      <c r="J464">
        <v>31522</v>
      </c>
      <c r="K464">
        <v>31522</v>
      </c>
      <c r="L464">
        <v>43090</v>
      </c>
      <c r="M464">
        <v>43090</v>
      </c>
      <c r="N464" t="s">
        <v>988</v>
      </c>
    </row>
    <row r="465" spans="1:14" x14ac:dyDescent="0.3">
      <c r="A465">
        <v>2346</v>
      </c>
      <c r="B465" t="s">
        <v>2220</v>
      </c>
      <c r="C465" t="s">
        <v>2677</v>
      </c>
      <c r="D465" t="s">
        <v>159</v>
      </c>
      <c r="E465" t="s">
        <v>159</v>
      </c>
      <c r="F465">
        <v>7918</v>
      </c>
      <c r="G465" t="s">
        <v>2676</v>
      </c>
      <c r="H465" t="s">
        <v>2665</v>
      </c>
      <c r="I465">
        <v>31522</v>
      </c>
      <c r="J465">
        <v>31522</v>
      </c>
      <c r="K465">
        <v>31522</v>
      </c>
      <c r="L465">
        <v>43090</v>
      </c>
      <c r="M465">
        <v>43090</v>
      </c>
      <c r="N465" t="s">
        <v>988</v>
      </c>
    </row>
    <row r="466" spans="1:14" x14ac:dyDescent="0.3">
      <c r="A466">
        <v>2346</v>
      </c>
      <c r="B466" t="s">
        <v>2220</v>
      </c>
      <c r="C466" t="s">
        <v>2677</v>
      </c>
      <c r="D466" t="s">
        <v>159</v>
      </c>
      <c r="E466" t="s">
        <v>159</v>
      </c>
      <c r="F466">
        <v>7918</v>
      </c>
      <c r="G466" t="s">
        <v>2675</v>
      </c>
      <c r="H466" t="s">
        <v>2664</v>
      </c>
      <c r="I466">
        <v>31522</v>
      </c>
      <c r="J466">
        <v>31522</v>
      </c>
      <c r="K466">
        <v>31522</v>
      </c>
      <c r="L466">
        <v>43090</v>
      </c>
      <c r="M466">
        <v>43090</v>
      </c>
      <c r="N466" t="s">
        <v>988</v>
      </c>
    </row>
    <row r="467" spans="1:14" x14ac:dyDescent="0.3">
      <c r="A467">
        <v>2346</v>
      </c>
      <c r="B467" t="s">
        <v>2220</v>
      </c>
      <c r="C467" t="s">
        <v>2677</v>
      </c>
      <c r="D467" t="s">
        <v>159</v>
      </c>
      <c r="E467" t="s">
        <v>159</v>
      </c>
      <c r="F467">
        <v>7918</v>
      </c>
      <c r="G467" t="s">
        <v>2675</v>
      </c>
      <c r="H467" t="s">
        <v>2665</v>
      </c>
      <c r="I467">
        <v>31522</v>
      </c>
      <c r="J467">
        <v>31522</v>
      </c>
      <c r="K467">
        <v>31522</v>
      </c>
      <c r="L467">
        <v>43090</v>
      </c>
      <c r="M467">
        <v>43090</v>
      </c>
      <c r="N467" t="s">
        <v>988</v>
      </c>
    </row>
    <row r="468" spans="1:14" x14ac:dyDescent="0.3">
      <c r="A468">
        <v>2346</v>
      </c>
      <c r="B468" t="s">
        <v>2220</v>
      </c>
      <c r="C468" t="s">
        <v>2677</v>
      </c>
      <c r="D468" t="s">
        <v>159</v>
      </c>
      <c r="E468" t="s">
        <v>159</v>
      </c>
      <c r="F468">
        <v>7918</v>
      </c>
      <c r="G468" t="s">
        <v>2674</v>
      </c>
      <c r="H468" t="s">
        <v>2664</v>
      </c>
      <c r="I468">
        <v>26448</v>
      </c>
      <c r="J468">
        <v>28961.5</v>
      </c>
      <c r="K468">
        <v>31475</v>
      </c>
      <c r="L468">
        <v>33988</v>
      </c>
      <c r="M468">
        <v>36501</v>
      </c>
      <c r="N468" t="s">
        <v>988</v>
      </c>
    </row>
    <row r="469" spans="1:14" x14ac:dyDescent="0.3">
      <c r="A469">
        <v>2346</v>
      </c>
      <c r="B469" t="s">
        <v>2220</v>
      </c>
      <c r="C469" t="s">
        <v>2677</v>
      </c>
      <c r="D469" t="s">
        <v>159</v>
      </c>
      <c r="E469" t="s">
        <v>159</v>
      </c>
      <c r="F469">
        <v>7918</v>
      </c>
      <c r="G469" t="s">
        <v>2674</v>
      </c>
      <c r="H469" t="s">
        <v>2665</v>
      </c>
      <c r="I469">
        <v>31522</v>
      </c>
      <c r="J469">
        <v>31522</v>
      </c>
      <c r="K469">
        <v>31522</v>
      </c>
      <c r="L469">
        <v>43090</v>
      </c>
      <c r="M469">
        <v>43090</v>
      </c>
      <c r="N469" t="s">
        <v>988</v>
      </c>
    </row>
    <row r="470" spans="1:14" x14ac:dyDescent="0.3">
      <c r="A470">
        <v>2382</v>
      </c>
      <c r="B470" t="s">
        <v>912</v>
      </c>
      <c r="C470" t="s">
        <v>2677</v>
      </c>
      <c r="D470" t="s">
        <v>1203</v>
      </c>
      <c r="E470" t="s">
        <v>1204</v>
      </c>
      <c r="F470">
        <v>5810</v>
      </c>
      <c r="G470" t="s">
        <v>2675</v>
      </c>
      <c r="H470" t="s">
        <v>2664</v>
      </c>
      <c r="I470">
        <v>147429</v>
      </c>
      <c r="J470">
        <v>149848</v>
      </c>
      <c r="K470">
        <v>152268</v>
      </c>
      <c r="L470">
        <v>154687</v>
      </c>
      <c r="M470">
        <v>157106</v>
      </c>
      <c r="N470" t="s">
        <v>988</v>
      </c>
    </row>
    <row r="471" spans="1:14" x14ac:dyDescent="0.3">
      <c r="A471">
        <v>2382</v>
      </c>
      <c r="B471" t="s">
        <v>912</v>
      </c>
      <c r="C471" t="s">
        <v>2677</v>
      </c>
      <c r="D471" t="s">
        <v>1203</v>
      </c>
      <c r="E471" t="s">
        <v>1204</v>
      </c>
      <c r="F471">
        <v>5810</v>
      </c>
      <c r="G471" t="s">
        <v>2675</v>
      </c>
      <c r="H471" t="s">
        <v>2665</v>
      </c>
      <c r="I471">
        <v>70837</v>
      </c>
      <c r="J471">
        <v>73926</v>
      </c>
      <c r="K471">
        <v>0</v>
      </c>
      <c r="L471">
        <v>0</v>
      </c>
      <c r="M471">
        <v>0</v>
      </c>
      <c r="N471" t="s">
        <v>988</v>
      </c>
    </row>
    <row r="472" spans="1:14" x14ac:dyDescent="0.3">
      <c r="A472">
        <v>2382</v>
      </c>
      <c r="B472" t="s">
        <v>912</v>
      </c>
      <c r="C472" t="s">
        <v>2677</v>
      </c>
      <c r="D472" t="s">
        <v>1203</v>
      </c>
      <c r="E472" t="s">
        <v>1204</v>
      </c>
      <c r="F472">
        <v>5810</v>
      </c>
      <c r="G472" t="s">
        <v>2674</v>
      </c>
      <c r="H472" t="s">
        <v>2664</v>
      </c>
      <c r="I472">
        <v>64607</v>
      </c>
      <c r="J472">
        <v>67026</v>
      </c>
      <c r="K472">
        <v>92726</v>
      </c>
      <c r="L472">
        <v>99885</v>
      </c>
      <c r="M472">
        <v>107044</v>
      </c>
      <c r="N472" t="s">
        <v>988</v>
      </c>
    </row>
    <row r="473" spans="1:14" x14ac:dyDescent="0.3">
      <c r="A473">
        <v>2382</v>
      </c>
      <c r="B473" t="s">
        <v>912</v>
      </c>
      <c r="C473" t="s">
        <v>2677</v>
      </c>
      <c r="D473" t="s">
        <v>1203</v>
      </c>
      <c r="E473" t="s">
        <v>1204</v>
      </c>
      <c r="F473">
        <v>5810</v>
      </c>
      <c r="G473" t="s">
        <v>2674</v>
      </c>
      <c r="H473" t="s">
        <v>2665</v>
      </c>
      <c r="I473">
        <v>68415</v>
      </c>
      <c r="J473">
        <v>71504</v>
      </c>
      <c r="K473">
        <v>0</v>
      </c>
      <c r="L473">
        <v>0</v>
      </c>
      <c r="M473">
        <v>0</v>
      </c>
      <c r="N473" t="s">
        <v>988</v>
      </c>
    </row>
    <row r="474" spans="1:14" x14ac:dyDescent="0.3">
      <c r="A474">
        <v>2382</v>
      </c>
      <c r="B474" t="s">
        <v>912</v>
      </c>
      <c r="C474" t="s">
        <v>2677</v>
      </c>
      <c r="D474" t="s">
        <v>1203</v>
      </c>
      <c r="E474" t="s">
        <v>1204</v>
      </c>
      <c r="F474">
        <v>5810</v>
      </c>
      <c r="G474" t="s">
        <v>2673</v>
      </c>
      <c r="H474" t="s">
        <v>2664</v>
      </c>
      <c r="I474">
        <v>92429</v>
      </c>
      <c r="J474">
        <v>94848</v>
      </c>
      <c r="K474">
        <v>97268</v>
      </c>
      <c r="L474">
        <v>99687</v>
      </c>
      <c r="M474">
        <v>102106</v>
      </c>
      <c r="N474" t="s">
        <v>988</v>
      </c>
    </row>
    <row r="475" spans="1:14" x14ac:dyDescent="0.3">
      <c r="A475">
        <v>2382</v>
      </c>
      <c r="B475" t="s">
        <v>912</v>
      </c>
      <c r="C475" t="s">
        <v>2677</v>
      </c>
      <c r="D475" t="s">
        <v>1203</v>
      </c>
      <c r="E475" t="s">
        <v>1204</v>
      </c>
      <c r="F475">
        <v>5810</v>
      </c>
      <c r="G475" t="s">
        <v>2676</v>
      </c>
      <c r="H475" t="s">
        <v>2665</v>
      </c>
      <c r="I475">
        <v>78796</v>
      </c>
      <c r="J475">
        <v>81885</v>
      </c>
      <c r="K475">
        <v>4000</v>
      </c>
      <c r="L475">
        <v>4000</v>
      </c>
      <c r="M475">
        <v>4000</v>
      </c>
      <c r="N475" t="s">
        <v>988</v>
      </c>
    </row>
    <row r="476" spans="1:14" x14ac:dyDescent="0.3">
      <c r="A476">
        <v>2382</v>
      </c>
      <c r="B476" t="s">
        <v>912</v>
      </c>
      <c r="C476" t="s">
        <v>2677</v>
      </c>
      <c r="D476" t="s">
        <v>1203</v>
      </c>
      <c r="E476" t="s">
        <v>1204</v>
      </c>
      <c r="F476">
        <v>5810</v>
      </c>
      <c r="G476" t="s">
        <v>2672</v>
      </c>
      <c r="H476" t="s">
        <v>2664</v>
      </c>
      <c r="N476" t="s">
        <v>988</v>
      </c>
    </row>
    <row r="477" spans="1:14" x14ac:dyDescent="0.3">
      <c r="A477">
        <v>2382</v>
      </c>
      <c r="B477" t="s">
        <v>912</v>
      </c>
      <c r="C477" t="s">
        <v>2677</v>
      </c>
      <c r="D477" t="s">
        <v>1203</v>
      </c>
      <c r="E477" t="s">
        <v>1204</v>
      </c>
      <c r="F477">
        <v>5810</v>
      </c>
      <c r="G477" t="s">
        <v>2671</v>
      </c>
      <c r="H477" t="s">
        <v>2665</v>
      </c>
      <c r="I477">
        <v>74276</v>
      </c>
      <c r="J477">
        <v>77365</v>
      </c>
      <c r="K477">
        <v>4600</v>
      </c>
      <c r="L477">
        <v>4600</v>
      </c>
      <c r="M477">
        <v>4600</v>
      </c>
      <c r="N477" t="s">
        <v>988</v>
      </c>
    </row>
    <row r="478" spans="1:14" x14ac:dyDescent="0.3">
      <c r="A478">
        <v>2382</v>
      </c>
      <c r="B478" t="s">
        <v>912</v>
      </c>
      <c r="C478" t="s">
        <v>2677</v>
      </c>
      <c r="D478" t="s">
        <v>1203</v>
      </c>
      <c r="E478" t="s">
        <v>1204</v>
      </c>
      <c r="F478">
        <v>5810</v>
      </c>
      <c r="G478" t="s">
        <v>2671</v>
      </c>
      <c r="H478" t="s">
        <v>2664</v>
      </c>
      <c r="I478">
        <v>170000</v>
      </c>
      <c r="J478">
        <v>170000</v>
      </c>
      <c r="K478">
        <v>165000</v>
      </c>
      <c r="L478">
        <v>165000</v>
      </c>
      <c r="M478">
        <v>165000</v>
      </c>
      <c r="N478" t="s">
        <v>988</v>
      </c>
    </row>
    <row r="479" spans="1:14" x14ac:dyDescent="0.3">
      <c r="A479">
        <v>2382</v>
      </c>
      <c r="B479" t="s">
        <v>912</v>
      </c>
      <c r="C479" t="s">
        <v>2677</v>
      </c>
      <c r="D479" t="s">
        <v>1203</v>
      </c>
      <c r="E479" t="s">
        <v>1204</v>
      </c>
      <c r="F479">
        <v>5810</v>
      </c>
      <c r="G479" t="s">
        <v>2673</v>
      </c>
      <c r="H479" t="s">
        <v>2665</v>
      </c>
      <c r="I479">
        <v>68230</v>
      </c>
      <c r="J479">
        <v>71319</v>
      </c>
      <c r="K479">
        <v>0</v>
      </c>
      <c r="L479">
        <v>0</v>
      </c>
      <c r="M479">
        <v>0</v>
      </c>
      <c r="N479" t="s">
        <v>988</v>
      </c>
    </row>
    <row r="480" spans="1:14" x14ac:dyDescent="0.3">
      <c r="A480">
        <v>2382</v>
      </c>
      <c r="B480" t="s">
        <v>912</v>
      </c>
      <c r="C480" t="s">
        <v>2677</v>
      </c>
      <c r="D480" t="s">
        <v>1203</v>
      </c>
      <c r="E480" t="s">
        <v>1204</v>
      </c>
      <c r="F480">
        <v>5810</v>
      </c>
      <c r="G480" t="s">
        <v>2676</v>
      </c>
      <c r="H480" t="s">
        <v>2664</v>
      </c>
      <c r="I480">
        <v>170000</v>
      </c>
      <c r="J480">
        <v>170000</v>
      </c>
      <c r="K480">
        <v>165000</v>
      </c>
      <c r="L480">
        <v>165000</v>
      </c>
      <c r="M480">
        <v>165000</v>
      </c>
      <c r="N480" t="s">
        <v>988</v>
      </c>
    </row>
    <row r="481" spans="1:14" x14ac:dyDescent="0.3">
      <c r="A481">
        <v>2382</v>
      </c>
      <c r="B481" t="s">
        <v>912</v>
      </c>
      <c r="C481" t="s">
        <v>2677</v>
      </c>
      <c r="D481" t="s">
        <v>1203</v>
      </c>
      <c r="E481" t="s">
        <v>1204</v>
      </c>
      <c r="F481">
        <v>5810</v>
      </c>
      <c r="G481" t="s">
        <v>2672</v>
      </c>
      <c r="H481" t="s">
        <v>2665</v>
      </c>
      <c r="N481" t="s">
        <v>988</v>
      </c>
    </row>
    <row r="482" spans="1:14" x14ac:dyDescent="0.3">
      <c r="B482" t="s">
        <v>2023</v>
      </c>
      <c r="C482" t="s">
        <v>2677</v>
      </c>
      <c r="D482" t="s">
        <v>159</v>
      </c>
      <c r="E482" t="s">
        <v>159</v>
      </c>
      <c r="F482">
        <v>7910</v>
      </c>
      <c r="G482" t="s">
        <v>2676</v>
      </c>
      <c r="H482" t="s">
        <v>2665</v>
      </c>
      <c r="N482" t="s">
        <v>988</v>
      </c>
    </row>
    <row r="483" spans="1:14" x14ac:dyDescent="0.3">
      <c r="B483" t="s">
        <v>2023</v>
      </c>
      <c r="C483" t="s">
        <v>2677</v>
      </c>
      <c r="D483" t="s">
        <v>159</v>
      </c>
      <c r="E483" t="s">
        <v>159</v>
      </c>
      <c r="F483">
        <v>7910</v>
      </c>
      <c r="G483" t="s">
        <v>2676</v>
      </c>
      <c r="H483" t="s">
        <v>2664</v>
      </c>
      <c r="N483" t="s">
        <v>988</v>
      </c>
    </row>
    <row r="484" spans="1:14" x14ac:dyDescent="0.3">
      <c r="B484" t="s">
        <v>2023</v>
      </c>
      <c r="C484" t="s">
        <v>2677</v>
      </c>
      <c r="D484" t="s">
        <v>159</v>
      </c>
      <c r="E484" t="s">
        <v>159</v>
      </c>
      <c r="F484">
        <v>7910</v>
      </c>
      <c r="G484" t="s">
        <v>2672</v>
      </c>
      <c r="H484" t="s">
        <v>2665</v>
      </c>
      <c r="N484" t="s">
        <v>988</v>
      </c>
    </row>
    <row r="485" spans="1:14" x14ac:dyDescent="0.3">
      <c r="B485" t="s">
        <v>2023</v>
      </c>
      <c r="C485" t="s">
        <v>2677</v>
      </c>
      <c r="D485" t="s">
        <v>159</v>
      </c>
      <c r="E485" t="s">
        <v>159</v>
      </c>
      <c r="F485">
        <v>7910</v>
      </c>
      <c r="G485" t="s">
        <v>2672</v>
      </c>
      <c r="H485" t="s">
        <v>2664</v>
      </c>
      <c r="N485" t="s">
        <v>988</v>
      </c>
    </row>
    <row r="486" spans="1:14" x14ac:dyDescent="0.3">
      <c r="B486" t="s">
        <v>2023</v>
      </c>
      <c r="C486" t="s">
        <v>2677</v>
      </c>
      <c r="D486" t="s">
        <v>159</v>
      </c>
      <c r="E486" t="s">
        <v>159</v>
      </c>
      <c r="F486">
        <v>7910</v>
      </c>
      <c r="G486" t="s">
        <v>2671</v>
      </c>
      <c r="H486" t="s">
        <v>2665</v>
      </c>
      <c r="N486" t="s">
        <v>988</v>
      </c>
    </row>
    <row r="487" spans="1:14" x14ac:dyDescent="0.3">
      <c r="B487" t="s">
        <v>2023</v>
      </c>
      <c r="C487" t="s">
        <v>2677</v>
      </c>
      <c r="D487" t="s">
        <v>159</v>
      </c>
      <c r="E487" t="s">
        <v>159</v>
      </c>
      <c r="F487">
        <v>7910</v>
      </c>
      <c r="G487" t="s">
        <v>2671</v>
      </c>
      <c r="H487" t="s">
        <v>2664</v>
      </c>
      <c r="N487" t="s">
        <v>988</v>
      </c>
    </row>
    <row r="488" spans="1:14" x14ac:dyDescent="0.3">
      <c r="B488" t="s">
        <v>2023</v>
      </c>
      <c r="C488" t="s">
        <v>2677</v>
      </c>
      <c r="D488" t="s">
        <v>159</v>
      </c>
      <c r="E488" t="s">
        <v>159</v>
      </c>
      <c r="F488">
        <v>7910</v>
      </c>
      <c r="G488" t="s">
        <v>2673</v>
      </c>
      <c r="H488" t="s">
        <v>2665</v>
      </c>
      <c r="N488" t="s">
        <v>988</v>
      </c>
    </row>
    <row r="489" spans="1:14" x14ac:dyDescent="0.3">
      <c r="B489" t="s">
        <v>2023</v>
      </c>
      <c r="C489" t="s">
        <v>2677</v>
      </c>
      <c r="D489" t="s">
        <v>159</v>
      </c>
      <c r="E489" t="s">
        <v>159</v>
      </c>
      <c r="F489">
        <v>7910</v>
      </c>
      <c r="G489" t="s">
        <v>2673</v>
      </c>
      <c r="H489" t="s">
        <v>2664</v>
      </c>
      <c r="N489" t="s">
        <v>988</v>
      </c>
    </row>
    <row r="490" spans="1:14" x14ac:dyDescent="0.3">
      <c r="B490" t="s">
        <v>2023</v>
      </c>
      <c r="C490" t="s">
        <v>2677</v>
      </c>
      <c r="D490" t="s">
        <v>159</v>
      </c>
      <c r="E490" t="s">
        <v>159</v>
      </c>
      <c r="F490">
        <v>7910</v>
      </c>
      <c r="G490" t="s">
        <v>2674</v>
      </c>
      <c r="H490" t="s">
        <v>2665</v>
      </c>
      <c r="N490" t="s">
        <v>988</v>
      </c>
    </row>
    <row r="491" spans="1:14" x14ac:dyDescent="0.3">
      <c r="B491" t="s">
        <v>2023</v>
      </c>
      <c r="C491" t="s">
        <v>2677</v>
      </c>
      <c r="D491" t="s">
        <v>159</v>
      </c>
      <c r="E491" t="s">
        <v>159</v>
      </c>
      <c r="F491">
        <v>7910</v>
      </c>
      <c r="G491" t="s">
        <v>2674</v>
      </c>
      <c r="H491" t="s">
        <v>2664</v>
      </c>
      <c r="N491" t="s">
        <v>988</v>
      </c>
    </row>
    <row r="492" spans="1:14" x14ac:dyDescent="0.3">
      <c r="B492" t="s">
        <v>2023</v>
      </c>
      <c r="C492" t="s">
        <v>2677</v>
      </c>
      <c r="D492" t="s">
        <v>159</v>
      </c>
      <c r="E492" t="s">
        <v>159</v>
      </c>
      <c r="F492">
        <v>7910</v>
      </c>
      <c r="G492" t="s">
        <v>2675</v>
      </c>
      <c r="H492" t="s">
        <v>2665</v>
      </c>
      <c r="N492" t="s">
        <v>988</v>
      </c>
    </row>
    <row r="493" spans="1:14" x14ac:dyDescent="0.3">
      <c r="B493" t="s">
        <v>2023</v>
      </c>
      <c r="C493" t="s">
        <v>2677</v>
      </c>
      <c r="D493" t="s">
        <v>159</v>
      </c>
      <c r="E493" t="s">
        <v>159</v>
      </c>
      <c r="F493">
        <v>7910</v>
      </c>
      <c r="G493" t="s">
        <v>2675</v>
      </c>
      <c r="H493" t="s">
        <v>2664</v>
      </c>
      <c r="N493" t="s">
        <v>988</v>
      </c>
    </row>
    <row r="494" spans="1:14" x14ac:dyDescent="0.3">
      <c r="B494" t="s">
        <v>2025</v>
      </c>
      <c r="C494" t="s">
        <v>2677</v>
      </c>
      <c r="D494" t="s">
        <v>1203</v>
      </c>
      <c r="E494" t="s">
        <v>1204</v>
      </c>
      <c r="F494">
        <v>7912</v>
      </c>
      <c r="G494" t="s">
        <v>2676</v>
      </c>
      <c r="H494" t="s">
        <v>2665</v>
      </c>
      <c r="I494">
        <v>100</v>
      </c>
      <c r="J494">
        <v>100</v>
      </c>
      <c r="K494">
        <v>100</v>
      </c>
      <c r="L494">
        <v>100</v>
      </c>
      <c r="N494" t="s">
        <v>988</v>
      </c>
    </row>
    <row r="495" spans="1:14" x14ac:dyDescent="0.3">
      <c r="B495" t="s">
        <v>2025</v>
      </c>
      <c r="C495" t="s">
        <v>2677</v>
      </c>
      <c r="D495" t="s">
        <v>1203</v>
      </c>
      <c r="E495" t="s">
        <v>1204</v>
      </c>
      <c r="F495">
        <v>7912</v>
      </c>
      <c r="G495" t="s">
        <v>2676</v>
      </c>
      <c r="H495" t="s">
        <v>2664</v>
      </c>
      <c r="I495">
        <v>100</v>
      </c>
      <c r="J495">
        <v>100</v>
      </c>
      <c r="K495">
        <v>100</v>
      </c>
      <c r="L495">
        <v>100</v>
      </c>
      <c r="N495" t="s">
        <v>988</v>
      </c>
    </row>
    <row r="496" spans="1:14" x14ac:dyDescent="0.3">
      <c r="B496" t="s">
        <v>2025</v>
      </c>
      <c r="C496" t="s">
        <v>2677</v>
      </c>
      <c r="D496" t="s">
        <v>1203</v>
      </c>
      <c r="E496" t="s">
        <v>1204</v>
      </c>
      <c r="F496">
        <v>7912</v>
      </c>
      <c r="G496" t="s">
        <v>2672</v>
      </c>
      <c r="H496" t="s">
        <v>2665</v>
      </c>
      <c r="N496" t="s">
        <v>988</v>
      </c>
    </row>
    <row r="497" spans="1:14" x14ac:dyDescent="0.3">
      <c r="B497" t="s">
        <v>2025</v>
      </c>
      <c r="C497" t="s">
        <v>2677</v>
      </c>
      <c r="D497" t="s">
        <v>1203</v>
      </c>
      <c r="E497" t="s">
        <v>1204</v>
      </c>
      <c r="F497">
        <v>7912</v>
      </c>
      <c r="G497" t="s">
        <v>2672</v>
      </c>
      <c r="H497" t="s">
        <v>2664</v>
      </c>
      <c r="N497" t="s">
        <v>988</v>
      </c>
    </row>
    <row r="498" spans="1:14" x14ac:dyDescent="0.3">
      <c r="B498" t="s">
        <v>2025</v>
      </c>
      <c r="C498" t="s">
        <v>2677</v>
      </c>
      <c r="D498" t="s">
        <v>1203</v>
      </c>
      <c r="E498" t="s">
        <v>1204</v>
      </c>
      <c r="F498">
        <v>7912</v>
      </c>
      <c r="G498" t="s">
        <v>2671</v>
      </c>
      <c r="H498" t="s">
        <v>2665</v>
      </c>
      <c r="N498" t="s">
        <v>988</v>
      </c>
    </row>
    <row r="499" spans="1:14" x14ac:dyDescent="0.3">
      <c r="B499" t="s">
        <v>2025</v>
      </c>
      <c r="C499" t="s">
        <v>2677</v>
      </c>
      <c r="D499" t="s">
        <v>1203</v>
      </c>
      <c r="E499" t="s">
        <v>1204</v>
      </c>
      <c r="F499">
        <v>7912</v>
      </c>
      <c r="G499" t="s">
        <v>2673</v>
      </c>
      <c r="H499" t="s">
        <v>2664</v>
      </c>
      <c r="I499">
        <v>100</v>
      </c>
      <c r="J499">
        <v>100</v>
      </c>
      <c r="K499">
        <v>100</v>
      </c>
      <c r="L499">
        <v>100</v>
      </c>
      <c r="N499" t="s">
        <v>988</v>
      </c>
    </row>
    <row r="500" spans="1:14" x14ac:dyDescent="0.3">
      <c r="B500" t="s">
        <v>2025</v>
      </c>
      <c r="C500" t="s">
        <v>2677</v>
      </c>
      <c r="D500" t="s">
        <v>1203</v>
      </c>
      <c r="E500" t="s">
        <v>1204</v>
      </c>
      <c r="F500">
        <v>7912</v>
      </c>
      <c r="G500" t="s">
        <v>2673</v>
      </c>
      <c r="H500" t="s">
        <v>2665</v>
      </c>
      <c r="I500">
        <v>100</v>
      </c>
      <c r="J500">
        <v>100</v>
      </c>
      <c r="K500">
        <v>100</v>
      </c>
      <c r="L500">
        <v>100</v>
      </c>
      <c r="N500" t="s">
        <v>988</v>
      </c>
    </row>
    <row r="501" spans="1:14" x14ac:dyDescent="0.3">
      <c r="B501" t="s">
        <v>2025</v>
      </c>
      <c r="C501" t="s">
        <v>2677</v>
      </c>
      <c r="D501" t="s">
        <v>1203</v>
      </c>
      <c r="E501" t="s">
        <v>1204</v>
      </c>
      <c r="F501">
        <v>7912</v>
      </c>
      <c r="G501" t="s">
        <v>2675</v>
      </c>
      <c r="H501" t="s">
        <v>2664</v>
      </c>
      <c r="I501">
        <v>100</v>
      </c>
      <c r="J501">
        <v>100</v>
      </c>
      <c r="K501">
        <v>100</v>
      </c>
      <c r="L501">
        <v>100</v>
      </c>
      <c r="N501" t="s">
        <v>988</v>
      </c>
    </row>
    <row r="502" spans="1:14" x14ac:dyDescent="0.3">
      <c r="B502" t="s">
        <v>2025</v>
      </c>
      <c r="C502" t="s">
        <v>2677</v>
      </c>
      <c r="D502" t="s">
        <v>1203</v>
      </c>
      <c r="E502" t="s">
        <v>1204</v>
      </c>
      <c r="F502">
        <v>7912</v>
      </c>
      <c r="G502" t="s">
        <v>2675</v>
      </c>
      <c r="H502" t="s">
        <v>2665</v>
      </c>
      <c r="I502">
        <v>100</v>
      </c>
      <c r="J502">
        <v>100</v>
      </c>
      <c r="K502">
        <v>100</v>
      </c>
      <c r="L502">
        <v>100</v>
      </c>
      <c r="N502" t="s">
        <v>988</v>
      </c>
    </row>
    <row r="503" spans="1:14" x14ac:dyDescent="0.3">
      <c r="B503" t="s">
        <v>2025</v>
      </c>
      <c r="C503" t="s">
        <v>2677</v>
      </c>
      <c r="D503" t="s">
        <v>1203</v>
      </c>
      <c r="E503" t="s">
        <v>1204</v>
      </c>
      <c r="F503">
        <v>7912</v>
      </c>
      <c r="G503" t="s">
        <v>2674</v>
      </c>
      <c r="H503" t="s">
        <v>2664</v>
      </c>
      <c r="I503">
        <v>100</v>
      </c>
      <c r="J503">
        <v>100</v>
      </c>
      <c r="K503">
        <v>100</v>
      </c>
      <c r="L503">
        <v>100</v>
      </c>
      <c r="N503" t="s">
        <v>988</v>
      </c>
    </row>
    <row r="504" spans="1:14" x14ac:dyDescent="0.3">
      <c r="B504" t="s">
        <v>2025</v>
      </c>
      <c r="C504" t="s">
        <v>2677</v>
      </c>
      <c r="D504" t="s">
        <v>1203</v>
      </c>
      <c r="E504" t="s">
        <v>1204</v>
      </c>
      <c r="F504">
        <v>7912</v>
      </c>
      <c r="G504" t="s">
        <v>2674</v>
      </c>
      <c r="H504" t="s">
        <v>2665</v>
      </c>
      <c r="I504">
        <v>100</v>
      </c>
      <c r="J504">
        <v>100</v>
      </c>
      <c r="K504">
        <v>100</v>
      </c>
      <c r="L504">
        <v>100</v>
      </c>
      <c r="N504" t="s">
        <v>988</v>
      </c>
    </row>
    <row r="505" spans="1:14" x14ac:dyDescent="0.3">
      <c r="B505" t="s">
        <v>2025</v>
      </c>
      <c r="C505" t="s">
        <v>2677</v>
      </c>
      <c r="D505" t="s">
        <v>1203</v>
      </c>
      <c r="E505" t="s">
        <v>1204</v>
      </c>
      <c r="F505">
        <v>7912</v>
      </c>
      <c r="G505" t="s">
        <v>2671</v>
      </c>
      <c r="H505" t="s">
        <v>2664</v>
      </c>
      <c r="N505" t="s">
        <v>988</v>
      </c>
    </row>
    <row r="506" spans="1:14" x14ac:dyDescent="0.3">
      <c r="A506">
        <v>440</v>
      </c>
      <c r="B506" t="s">
        <v>2026</v>
      </c>
      <c r="C506" t="s">
        <v>2677</v>
      </c>
      <c r="D506" t="s">
        <v>159</v>
      </c>
      <c r="E506" t="s">
        <v>159</v>
      </c>
      <c r="F506">
        <v>7913</v>
      </c>
      <c r="G506" t="s">
        <v>2671</v>
      </c>
      <c r="H506" t="s">
        <v>2665</v>
      </c>
      <c r="I506">
        <v>2.2956840904900001E-3</v>
      </c>
      <c r="J506">
        <v>2.2956840904900001E-3</v>
      </c>
      <c r="K506">
        <v>2.2956840904900001E-3</v>
      </c>
      <c r="N506" t="s">
        <v>988</v>
      </c>
    </row>
    <row r="507" spans="1:14" x14ac:dyDescent="0.3">
      <c r="A507">
        <v>440</v>
      </c>
      <c r="B507" t="s">
        <v>2026</v>
      </c>
      <c r="C507" t="s">
        <v>2677</v>
      </c>
      <c r="D507" t="s">
        <v>159</v>
      </c>
      <c r="E507" t="s">
        <v>159</v>
      </c>
      <c r="F507">
        <v>7913</v>
      </c>
      <c r="G507" t="s">
        <v>2672</v>
      </c>
      <c r="H507" t="s">
        <v>2664</v>
      </c>
      <c r="N507" t="s">
        <v>988</v>
      </c>
    </row>
    <row r="508" spans="1:14" x14ac:dyDescent="0.3">
      <c r="A508">
        <v>440</v>
      </c>
      <c r="B508" t="s">
        <v>2026</v>
      </c>
      <c r="C508" t="s">
        <v>2677</v>
      </c>
      <c r="D508" t="s">
        <v>159</v>
      </c>
      <c r="E508" t="s">
        <v>159</v>
      </c>
      <c r="F508">
        <v>7913</v>
      </c>
      <c r="G508" t="s">
        <v>2672</v>
      </c>
      <c r="H508" t="s">
        <v>2665</v>
      </c>
      <c r="N508" t="s">
        <v>988</v>
      </c>
    </row>
    <row r="509" spans="1:14" x14ac:dyDescent="0.3">
      <c r="A509">
        <v>440</v>
      </c>
      <c r="B509" t="s">
        <v>2026</v>
      </c>
      <c r="C509" t="s">
        <v>2677</v>
      </c>
      <c r="D509" t="s">
        <v>159</v>
      </c>
      <c r="E509" t="s">
        <v>159</v>
      </c>
      <c r="F509">
        <v>7913</v>
      </c>
      <c r="G509" t="s">
        <v>2676</v>
      </c>
      <c r="H509" t="s">
        <v>2664</v>
      </c>
      <c r="I509">
        <v>9.1827363619600005E-3</v>
      </c>
      <c r="J509">
        <v>9.1827363619600005E-3</v>
      </c>
      <c r="K509">
        <v>9.1827363619600005E-3</v>
      </c>
      <c r="L509">
        <v>9.1827363619600005E-3</v>
      </c>
      <c r="N509" t="s">
        <v>988</v>
      </c>
    </row>
    <row r="510" spans="1:14" x14ac:dyDescent="0.3">
      <c r="A510">
        <v>440</v>
      </c>
      <c r="B510" t="s">
        <v>2026</v>
      </c>
      <c r="C510" t="s">
        <v>2677</v>
      </c>
      <c r="D510" t="s">
        <v>159</v>
      </c>
      <c r="E510" t="s">
        <v>159</v>
      </c>
      <c r="F510">
        <v>7913</v>
      </c>
      <c r="G510" t="s">
        <v>2675</v>
      </c>
      <c r="H510" t="s">
        <v>2664</v>
      </c>
      <c r="I510">
        <v>1.1478420452450001E-2</v>
      </c>
      <c r="J510">
        <v>1.1478420452450001E-2</v>
      </c>
      <c r="K510">
        <v>1.1478420452450001E-2</v>
      </c>
      <c r="L510">
        <v>1.1478420452450001E-2</v>
      </c>
      <c r="N510" t="s">
        <v>988</v>
      </c>
    </row>
    <row r="511" spans="1:14" x14ac:dyDescent="0.3">
      <c r="A511">
        <v>440</v>
      </c>
      <c r="B511" t="s">
        <v>2026</v>
      </c>
      <c r="C511" t="s">
        <v>2677</v>
      </c>
      <c r="D511" t="s">
        <v>159</v>
      </c>
      <c r="E511" t="s">
        <v>159</v>
      </c>
      <c r="F511">
        <v>7913</v>
      </c>
      <c r="G511" t="s">
        <v>2671</v>
      </c>
      <c r="H511" t="s">
        <v>2664</v>
      </c>
      <c r="I511">
        <v>1.8365472723920001E-2</v>
      </c>
      <c r="J511">
        <v>1.8365472723920001E-2</v>
      </c>
      <c r="K511">
        <v>1.8365472723920001E-2</v>
      </c>
      <c r="L511">
        <v>1.8365472723920001E-2</v>
      </c>
      <c r="N511" t="s">
        <v>988</v>
      </c>
    </row>
    <row r="512" spans="1:14" x14ac:dyDescent="0.3">
      <c r="A512">
        <v>440</v>
      </c>
      <c r="B512" t="s">
        <v>2026</v>
      </c>
      <c r="C512" t="s">
        <v>2677</v>
      </c>
      <c r="D512" t="s">
        <v>159</v>
      </c>
      <c r="E512" t="s">
        <v>159</v>
      </c>
      <c r="F512">
        <v>7913</v>
      </c>
      <c r="G512" t="s">
        <v>2676</v>
      </c>
      <c r="H512" t="s">
        <v>2665</v>
      </c>
      <c r="I512">
        <v>2.2956840904900001E-3</v>
      </c>
      <c r="J512">
        <v>2.2956840904900001E-3</v>
      </c>
      <c r="K512">
        <v>2.2956840904900001E-3</v>
      </c>
      <c r="L512">
        <v>2.2956840904900001E-3</v>
      </c>
      <c r="N512" t="s">
        <v>988</v>
      </c>
    </row>
    <row r="513" spans="1:14" x14ac:dyDescent="0.3">
      <c r="A513">
        <v>440</v>
      </c>
      <c r="B513" t="s">
        <v>2026</v>
      </c>
      <c r="C513" t="s">
        <v>2677</v>
      </c>
      <c r="D513" t="s">
        <v>159</v>
      </c>
      <c r="E513" t="s">
        <v>159</v>
      </c>
      <c r="F513">
        <v>7913</v>
      </c>
      <c r="G513" t="s">
        <v>2675</v>
      </c>
      <c r="H513" t="s">
        <v>2665</v>
      </c>
      <c r="I513">
        <v>2.2956840904900001E-3</v>
      </c>
      <c r="J513">
        <v>2.2956840904900001E-3</v>
      </c>
      <c r="K513">
        <v>2.2956840904900001E-3</v>
      </c>
      <c r="L513">
        <v>2.2956840904900001E-3</v>
      </c>
      <c r="N513" t="s">
        <v>988</v>
      </c>
    </row>
    <row r="514" spans="1:14" x14ac:dyDescent="0.3">
      <c r="A514">
        <v>440</v>
      </c>
      <c r="B514" t="s">
        <v>2026</v>
      </c>
      <c r="C514" t="s">
        <v>2677</v>
      </c>
      <c r="D514" t="s">
        <v>159</v>
      </c>
      <c r="E514" t="s">
        <v>159</v>
      </c>
      <c r="F514">
        <v>7913</v>
      </c>
      <c r="G514" t="s">
        <v>2674</v>
      </c>
      <c r="H514" t="s">
        <v>2664</v>
      </c>
      <c r="I514">
        <v>1.3774104542940001E-2</v>
      </c>
      <c r="J514">
        <v>1.3774104542940001E-2</v>
      </c>
      <c r="K514">
        <v>1.3774104542940001E-2</v>
      </c>
      <c r="L514">
        <v>1.3774104542940001E-2</v>
      </c>
      <c r="N514" t="s">
        <v>988</v>
      </c>
    </row>
    <row r="515" spans="1:14" x14ac:dyDescent="0.3">
      <c r="A515">
        <v>440</v>
      </c>
      <c r="B515" t="s">
        <v>2026</v>
      </c>
      <c r="C515" t="s">
        <v>2677</v>
      </c>
      <c r="D515" t="s">
        <v>159</v>
      </c>
      <c r="E515" t="s">
        <v>159</v>
      </c>
      <c r="F515">
        <v>7913</v>
      </c>
      <c r="G515" t="s">
        <v>2674</v>
      </c>
      <c r="H515" t="s">
        <v>2665</v>
      </c>
      <c r="I515">
        <v>2.2956840904900001E-3</v>
      </c>
      <c r="J515">
        <v>2.2956840904900001E-3</v>
      </c>
      <c r="K515">
        <v>2.2956840904900001E-3</v>
      </c>
      <c r="L515">
        <v>2.2956840904900001E-3</v>
      </c>
      <c r="N515" t="s">
        <v>988</v>
      </c>
    </row>
    <row r="516" spans="1:14" x14ac:dyDescent="0.3">
      <c r="A516">
        <v>440</v>
      </c>
      <c r="B516" t="s">
        <v>2026</v>
      </c>
      <c r="C516" t="s">
        <v>2677</v>
      </c>
      <c r="D516" t="s">
        <v>159</v>
      </c>
      <c r="E516" t="s">
        <v>159</v>
      </c>
      <c r="F516">
        <v>7913</v>
      </c>
      <c r="G516" t="s">
        <v>2673</v>
      </c>
      <c r="H516" t="s">
        <v>2664</v>
      </c>
      <c r="I516">
        <v>1.6069788633430001E-2</v>
      </c>
      <c r="J516">
        <v>1.6069788633430001E-2</v>
      </c>
      <c r="K516">
        <v>1.6069788633430001E-2</v>
      </c>
      <c r="L516">
        <v>1.6069788633430001E-2</v>
      </c>
      <c r="N516" t="s">
        <v>988</v>
      </c>
    </row>
    <row r="517" spans="1:14" x14ac:dyDescent="0.3">
      <c r="A517">
        <v>440</v>
      </c>
      <c r="B517" t="s">
        <v>2026</v>
      </c>
      <c r="C517" t="s">
        <v>2677</v>
      </c>
      <c r="D517" t="s">
        <v>159</v>
      </c>
      <c r="E517" t="s">
        <v>159</v>
      </c>
      <c r="F517">
        <v>7913</v>
      </c>
      <c r="G517" t="s">
        <v>2673</v>
      </c>
      <c r="H517" t="s">
        <v>2665</v>
      </c>
      <c r="I517">
        <v>2.2956840904900001E-3</v>
      </c>
      <c r="J517">
        <v>2.2956840904900001E-3</v>
      </c>
      <c r="K517">
        <v>2.2956840904900001E-3</v>
      </c>
      <c r="L517">
        <v>2.2956840904900001E-3</v>
      </c>
      <c r="N517" t="s">
        <v>988</v>
      </c>
    </row>
    <row r="518" spans="1:14" x14ac:dyDescent="0.3">
      <c r="A518">
        <v>2473</v>
      </c>
      <c r="B518" t="s">
        <v>2228</v>
      </c>
      <c r="C518" t="s">
        <v>2677</v>
      </c>
      <c r="D518" t="s">
        <v>159</v>
      </c>
      <c r="E518" t="s">
        <v>159</v>
      </c>
      <c r="F518">
        <v>5522</v>
      </c>
      <c r="G518" t="s">
        <v>2676</v>
      </c>
      <c r="H518" t="s">
        <v>2664</v>
      </c>
      <c r="I518">
        <v>54248</v>
      </c>
      <c r="J518">
        <v>54140</v>
      </c>
      <c r="K518">
        <v>54009</v>
      </c>
      <c r="L518">
        <v>53789</v>
      </c>
      <c r="M518">
        <v>53545</v>
      </c>
      <c r="N518" t="s">
        <v>988</v>
      </c>
    </row>
    <row r="519" spans="1:14" x14ac:dyDescent="0.3">
      <c r="A519">
        <v>2473</v>
      </c>
      <c r="B519" t="s">
        <v>2228</v>
      </c>
      <c r="C519" t="s">
        <v>2677</v>
      </c>
      <c r="D519" t="s">
        <v>159</v>
      </c>
      <c r="E519" t="s">
        <v>159</v>
      </c>
      <c r="F519">
        <v>5522</v>
      </c>
      <c r="G519" t="s">
        <v>2673</v>
      </c>
      <c r="H519" t="s">
        <v>2664</v>
      </c>
      <c r="I519">
        <v>52212</v>
      </c>
      <c r="J519">
        <v>52108</v>
      </c>
      <c r="K519">
        <v>51981</v>
      </c>
      <c r="L519">
        <v>51770</v>
      </c>
      <c r="M519">
        <v>51535</v>
      </c>
      <c r="N519" t="s">
        <v>988</v>
      </c>
    </row>
    <row r="520" spans="1:14" x14ac:dyDescent="0.3">
      <c r="A520">
        <v>2473</v>
      </c>
      <c r="B520" t="s">
        <v>2228</v>
      </c>
      <c r="C520" t="s">
        <v>2677</v>
      </c>
      <c r="D520" t="s">
        <v>159</v>
      </c>
      <c r="E520" t="s">
        <v>159</v>
      </c>
      <c r="F520">
        <v>5522</v>
      </c>
      <c r="G520" t="s">
        <v>2673</v>
      </c>
      <c r="H520" t="s">
        <v>2665</v>
      </c>
      <c r="I520">
        <v>52212</v>
      </c>
      <c r="J520">
        <v>52108</v>
      </c>
      <c r="K520">
        <v>51981</v>
      </c>
      <c r="L520">
        <v>51770</v>
      </c>
      <c r="M520">
        <v>51535</v>
      </c>
      <c r="N520" t="s">
        <v>988</v>
      </c>
    </row>
    <row r="521" spans="1:14" x14ac:dyDescent="0.3">
      <c r="A521">
        <v>2473</v>
      </c>
      <c r="B521" t="s">
        <v>2228</v>
      </c>
      <c r="C521" t="s">
        <v>2677</v>
      </c>
      <c r="D521" t="s">
        <v>159</v>
      </c>
      <c r="E521" t="s">
        <v>159</v>
      </c>
      <c r="F521">
        <v>5522</v>
      </c>
      <c r="G521" t="s">
        <v>2671</v>
      </c>
      <c r="H521" t="s">
        <v>2664</v>
      </c>
      <c r="I521">
        <v>48122</v>
      </c>
      <c r="J521">
        <v>48026</v>
      </c>
      <c r="K521">
        <v>47910</v>
      </c>
      <c r="L521">
        <v>47715</v>
      </c>
      <c r="M521">
        <v>47498</v>
      </c>
      <c r="N521" t="s">
        <v>988</v>
      </c>
    </row>
    <row r="522" spans="1:14" x14ac:dyDescent="0.3">
      <c r="A522">
        <v>2473</v>
      </c>
      <c r="B522" t="s">
        <v>2228</v>
      </c>
      <c r="C522" t="s">
        <v>2677</v>
      </c>
      <c r="D522" t="s">
        <v>159</v>
      </c>
      <c r="E522" t="s">
        <v>159</v>
      </c>
      <c r="F522">
        <v>5522</v>
      </c>
      <c r="G522" t="s">
        <v>2671</v>
      </c>
      <c r="H522" t="s">
        <v>2665</v>
      </c>
      <c r="I522">
        <v>48122</v>
      </c>
      <c r="J522">
        <v>48026</v>
      </c>
      <c r="K522">
        <v>47910</v>
      </c>
      <c r="L522">
        <v>47715</v>
      </c>
      <c r="M522">
        <v>47498</v>
      </c>
      <c r="N522" t="s">
        <v>988</v>
      </c>
    </row>
    <row r="523" spans="1:14" x14ac:dyDescent="0.3">
      <c r="A523">
        <v>2473</v>
      </c>
      <c r="B523" t="s">
        <v>2228</v>
      </c>
      <c r="C523" t="s">
        <v>2677</v>
      </c>
      <c r="D523" t="s">
        <v>159</v>
      </c>
      <c r="E523" t="s">
        <v>159</v>
      </c>
      <c r="F523">
        <v>5522</v>
      </c>
      <c r="G523" t="s">
        <v>2672</v>
      </c>
      <c r="H523" t="s">
        <v>2664</v>
      </c>
      <c r="N523" t="s">
        <v>988</v>
      </c>
    </row>
    <row r="524" spans="1:14" x14ac:dyDescent="0.3">
      <c r="A524">
        <v>2473</v>
      </c>
      <c r="B524" t="s">
        <v>2228</v>
      </c>
      <c r="C524" t="s">
        <v>2677</v>
      </c>
      <c r="D524" t="s">
        <v>159</v>
      </c>
      <c r="E524" t="s">
        <v>159</v>
      </c>
      <c r="F524">
        <v>5522</v>
      </c>
      <c r="G524" t="s">
        <v>2672</v>
      </c>
      <c r="H524" t="s">
        <v>2665</v>
      </c>
      <c r="N524" t="s">
        <v>988</v>
      </c>
    </row>
    <row r="525" spans="1:14" x14ac:dyDescent="0.3">
      <c r="A525">
        <v>2473</v>
      </c>
      <c r="B525" t="s">
        <v>2228</v>
      </c>
      <c r="C525" t="s">
        <v>2677</v>
      </c>
      <c r="D525" t="s">
        <v>159</v>
      </c>
      <c r="E525" t="s">
        <v>159</v>
      </c>
      <c r="F525">
        <v>5522</v>
      </c>
      <c r="G525" t="s">
        <v>2674</v>
      </c>
      <c r="H525" t="s">
        <v>2665</v>
      </c>
      <c r="I525">
        <v>62156</v>
      </c>
      <c r="J525">
        <v>62032</v>
      </c>
      <c r="K525">
        <v>61882</v>
      </c>
      <c r="L525">
        <v>61630</v>
      </c>
      <c r="M525">
        <v>61350</v>
      </c>
      <c r="N525" t="s">
        <v>988</v>
      </c>
    </row>
    <row r="526" spans="1:14" x14ac:dyDescent="0.3">
      <c r="A526">
        <v>2473</v>
      </c>
      <c r="B526" t="s">
        <v>2228</v>
      </c>
      <c r="C526" t="s">
        <v>2677</v>
      </c>
      <c r="D526" t="s">
        <v>159</v>
      </c>
      <c r="E526" t="s">
        <v>159</v>
      </c>
      <c r="F526">
        <v>5522</v>
      </c>
      <c r="G526" t="s">
        <v>2674</v>
      </c>
      <c r="H526" t="s">
        <v>2664</v>
      </c>
      <c r="I526">
        <v>62156</v>
      </c>
      <c r="J526">
        <v>62032</v>
      </c>
      <c r="K526">
        <v>61882</v>
      </c>
      <c r="L526">
        <v>61630</v>
      </c>
      <c r="M526">
        <v>61350</v>
      </c>
      <c r="N526" t="s">
        <v>988</v>
      </c>
    </row>
    <row r="527" spans="1:14" x14ac:dyDescent="0.3">
      <c r="A527">
        <v>2473</v>
      </c>
      <c r="B527" t="s">
        <v>2228</v>
      </c>
      <c r="C527" t="s">
        <v>2677</v>
      </c>
      <c r="D527" t="s">
        <v>159</v>
      </c>
      <c r="E527" t="s">
        <v>159</v>
      </c>
      <c r="F527">
        <v>5522</v>
      </c>
      <c r="G527" t="s">
        <v>2675</v>
      </c>
      <c r="H527" t="s">
        <v>2665</v>
      </c>
      <c r="I527">
        <v>59906</v>
      </c>
      <c r="J527">
        <v>59787</v>
      </c>
      <c r="K527">
        <v>59642</v>
      </c>
      <c r="L527">
        <v>59399</v>
      </c>
      <c r="M527">
        <v>59130</v>
      </c>
      <c r="N527" t="s">
        <v>988</v>
      </c>
    </row>
    <row r="528" spans="1:14" x14ac:dyDescent="0.3">
      <c r="A528">
        <v>2473</v>
      </c>
      <c r="B528" t="s">
        <v>2228</v>
      </c>
      <c r="C528" t="s">
        <v>2677</v>
      </c>
      <c r="D528" t="s">
        <v>159</v>
      </c>
      <c r="E528" t="s">
        <v>159</v>
      </c>
      <c r="F528">
        <v>5522</v>
      </c>
      <c r="G528" t="s">
        <v>2675</v>
      </c>
      <c r="H528" t="s">
        <v>2664</v>
      </c>
      <c r="I528">
        <v>59906</v>
      </c>
      <c r="J528">
        <v>59787</v>
      </c>
      <c r="K528">
        <v>59642</v>
      </c>
      <c r="L528">
        <v>59399</v>
      </c>
      <c r="M528">
        <v>59130</v>
      </c>
      <c r="N528" t="s">
        <v>988</v>
      </c>
    </row>
    <row r="529" spans="1:14" x14ac:dyDescent="0.3">
      <c r="A529">
        <v>2473</v>
      </c>
      <c r="B529" t="s">
        <v>2228</v>
      </c>
      <c r="C529" t="s">
        <v>2677</v>
      </c>
      <c r="D529" t="s">
        <v>159</v>
      </c>
      <c r="E529" t="s">
        <v>159</v>
      </c>
      <c r="F529">
        <v>5522</v>
      </c>
      <c r="G529" t="s">
        <v>2676</v>
      </c>
      <c r="H529" t="s">
        <v>2665</v>
      </c>
      <c r="I529">
        <v>54248</v>
      </c>
      <c r="J529">
        <v>54140</v>
      </c>
      <c r="K529">
        <v>54009</v>
      </c>
      <c r="L529">
        <v>53789</v>
      </c>
      <c r="M529">
        <v>53545</v>
      </c>
      <c r="N529" t="s">
        <v>988</v>
      </c>
    </row>
    <row r="530" spans="1:14" x14ac:dyDescent="0.3">
      <c r="A530">
        <v>2510</v>
      </c>
      <c r="B530" t="s">
        <v>2035</v>
      </c>
      <c r="C530" t="s">
        <v>2677</v>
      </c>
      <c r="D530" t="s">
        <v>1203</v>
      </c>
      <c r="E530" t="s">
        <v>1204</v>
      </c>
      <c r="F530">
        <v>5942</v>
      </c>
      <c r="G530" t="s">
        <v>2676</v>
      </c>
      <c r="H530" t="s">
        <v>2664</v>
      </c>
      <c r="I530">
        <v>509</v>
      </c>
      <c r="J530">
        <v>509</v>
      </c>
      <c r="K530">
        <v>509</v>
      </c>
      <c r="L530">
        <v>509</v>
      </c>
      <c r="N530" t="s">
        <v>988</v>
      </c>
    </row>
    <row r="531" spans="1:14" x14ac:dyDescent="0.3">
      <c r="A531">
        <v>2510</v>
      </c>
      <c r="B531" t="s">
        <v>2035</v>
      </c>
      <c r="C531" t="s">
        <v>2677</v>
      </c>
      <c r="D531" t="s">
        <v>1203</v>
      </c>
      <c r="E531" t="s">
        <v>1204</v>
      </c>
      <c r="F531">
        <v>5942</v>
      </c>
      <c r="G531" t="s">
        <v>2672</v>
      </c>
      <c r="H531" t="s">
        <v>2665</v>
      </c>
      <c r="N531" t="s">
        <v>988</v>
      </c>
    </row>
    <row r="532" spans="1:14" x14ac:dyDescent="0.3">
      <c r="A532">
        <v>2510</v>
      </c>
      <c r="B532" t="s">
        <v>2035</v>
      </c>
      <c r="C532" t="s">
        <v>2677</v>
      </c>
      <c r="D532" t="s">
        <v>1203</v>
      </c>
      <c r="E532" t="s">
        <v>1204</v>
      </c>
      <c r="F532">
        <v>5942</v>
      </c>
      <c r="G532" t="s">
        <v>2672</v>
      </c>
      <c r="H532" t="s">
        <v>2664</v>
      </c>
      <c r="N532" t="s">
        <v>988</v>
      </c>
    </row>
    <row r="533" spans="1:14" x14ac:dyDescent="0.3">
      <c r="A533">
        <v>2510</v>
      </c>
      <c r="B533" t="s">
        <v>2035</v>
      </c>
      <c r="C533" t="s">
        <v>2677</v>
      </c>
      <c r="D533" t="s">
        <v>1203</v>
      </c>
      <c r="E533" t="s">
        <v>1204</v>
      </c>
      <c r="F533">
        <v>5942</v>
      </c>
      <c r="G533" t="s">
        <v>2671</v>
      </c>
      <c r="H533" t="s">
        <v>2665</v>
      </c>
      <c r="I533">
        <v>509</v>
      </c>
      <c r="J533">
        <v>509</v>
      </c>
      <c r="K533">
        <v>509</v>
      </c>
      <c r="L533">
        <v>509</v>
      </c>
      <c r="N533" t="s">
        <v>988</v>
      </c>
    </row>
    <row r="534" spans="1:14" x14ac:dyDescent="0.3">
      <c r="A534">
        <v>2510</v>
      </c>
      <c r="B534" t="s">
        <v>2035</v>
      </c>
      <c r="C534" t="s">
        <v>2677</v>
      </c>
      <c r="D534" t="s">
        <v>1203</v>
      </c>
      <c r="E534" t="s">
        <v>1204</v>
      </c>
      <c r="F534">
        <v>5942</v>
      </c>
      <c r="G534" t="s">
        <v>2671</v>
      </c>
      <c r="H534" t="s">
        <v>2664</v>
      </c>
      <c r="I534">
        <v>509</v>
      </c>
      <c r="J534">
        <v>509</v>
      </c>
      <c r="K534">
        <v>509</v>
      </c>
      <c r="L534">
        <v>509</v>
      </c>
      <c r="N534" t="s">
        <v>988</v>
      </c>
    </row>
    <row r="535" spans="1:14" x14ac:dyDescent="0.3">
      <c r="A535">
        <v>2510</v>
      </c>
      <c r="B535" t="s">
        <v>2035</v>
      </c>
      <c r="C535" t="s">
        <v>2677</v>
      </c>
      <c r="D535" t="s">
        <v>1203</v>
      </c>
      <c r="E535" t="s">
        <v>1204</v>
      </c>
      <c r="F535">
        <v>5942</v>
      </c>
      <c r="G535" t="s">
        <v>2676</v>
      </c>
      <c r="H535" t="s">
        <v>2665</v>
      </c>
      <c r="I535">
        <v>509</v>
      </c>
      <c r="J535">
        <v>509</v>
      </c>
      <c r="K535">
        <v>509</v>
      </c>
      <c r="L535">
        <v>509</v>
      </c>
      <c r="N535" t="s">
        <v>988</v>
      </c>
    </row>
    <row r="536" spans="1:14" x14ac:dyDescent="0.3">
      <c r="A536">
        <v>2510</v>
      </c>
      <c r="B536" t="s">
        <v>2035</v>
      </c>
      <c r="C536" t="s">
        <v>2677</v>
      </c>
      <c r="D536" t="s">
        <v>1203</v>
      </c>
      <c r="E536" t="s">
        <v>1204</v>
      </c>
      <c r="F536">
        <v>5942</v>
      </c>
      <c r="G536" t="s">
        <v>2673</v>
      </c>
      <c r="H536" t="s">
        <v>2664</v>
      </c>
      <c r="I536">
        <v>509</v>
      </c>
      <c r="J536">
        <v>509</v>
      </c>
      <c r="K536">
        <v>509</v>
      </c>
      <c r="L536">
        <v>509</v>
      </c>
      <c r="N536" t="s">
        <v>988</v>
      </c>
    </row>
    <row r="537" spans="1:14" x14ac:dyDescent="0.3">
      <c r="A537">
        <v>2510</v>
      </c>
      <c r="B537" t="s">
        <v>2035</v>
      </c>
      <c r="C537" t="s">
        <v>2677</v>
      </c>
      <c r="D537" t="s">
        <v>1203</v>
      </c>
      <c r="E537" t="s">
        <v>1204</v>
      </c>
      <c r="F537">
        <v>5942</v>
      </c>
      <c r="G537" t="s">
        <v>2674</v>
      </c>
      <c r="H537" t="s">
        <v>2665</v>
      </c>
      <c r="I537">
        <v>509</v>
      </c>
      <c r="J537">
        <v>509</v>
      </c>
      <c r="K537">
        <v>509</v>
      </c>
      <c r="L537">
        <v>509</v>
      </c>
      <c r="N537" t="s">
        <v>988</v>
      </c>
    </row>
    <row r="538" spans="1:14" x14ac:dyDescent="0.3">
      <c r="A538">
        <v>2510</v>
      </c>
      <c r="B538" t="s">
        <v>2035</v>
      </c>
      <c r="C538" t="s">
        <v>2677</v>
      </c>
      <c r="D538" t="s">
        <v>1203</v>
      </c>
      <c r="E538" t="s">
        <v>1204</v>
      </c>
      <c r="F538">
        <v>5942</v>
      </c>
      <c r="G538" t="s">
        <v>2674</v>
      </c>
      <c r="H538" t="s">
        <v>2664</v>
      </c>
      <c r="I538">
        <v>509</v>
      </c>
      <c r="J538">
        <v>509</v>
      </c>
      <c r="K538">
        <v>509</v>
      </c>
      <c r="L538">
        <v>509</v>
      </c>
      <c r="N538" t="s">
        <v>988</v>
      </c>
    </row>
    <row r="539" spans="1:14" x14ac:dyDescent="0.3">
      <c r="A539">
        <v>2510</v>
      </c>
      <c r="B539" t="s">
        <v>2035</v>
      </c>
      <c r="C539" t="s">
        <v>2677</v>
      </c>
      <c r="D539" t="s">
        <v>1203</v>
      </c>
      <c r="E539" t="s">
        <v>1204</v>
      </c>
      <c r="F539">
        <v>5942</v>
      </c>
      <c r="G539" t="s">
        <v>2675</v>
      </c>
      <c r="H539" t="s">
        <v>2665</v>
      </c>
      <c r="I539">
        <v>509</v>
      </c>
      <c r="J539">
        <v>509</v>
      </c>
      <c r="K539">
        <v>509</v>
      </c>
      <c r="L539">
        <v>509</v>
      </c>
      <c r="N539" t="s">
        <v>988</v>
      </c>
    </row>
    <row r="540" spans="1:14" x14ac:dyDescent="0.3">
      <c r="A540">
        <v>2510</v>
      </c>
      <c r="B540" t="s">
        <v>2035</v>
      </c>
      <c r="C540" t="s">
        <v>2677</v>
      </c>
      <c r="D540" t="s">
        <v>1203</v>
      </c>
      <c r="E540" t="s">
        <v>1204</v>
      </c>
      <c r="F540">
        <v>5942</v>
      </c>
      <c r="G540" t="s">
        <v>2675</v>
      </c>
      <c r="H540" t="s">
        <v>2664</v>
      </c>
      <c r="I540">
        <v>509</v>
      </c>
      <c r="J540">
        <v>509</v>
      </c>
      <c r="K540">
        <v>509</v>
      </c>
      <c r="L540">
        <v>509</v>
      </c>
      <c r="N540" t="s">
        <v>988</v>
      </c>
    </row>
    <row r="541" spans="1:14" x14ac:dyDescent="0.3">
      <c r="A541">
        <v>2510</v>
      </c>
      <c r="B541" t="s">
        <v>2035</v>
      </c>
      <c r="C541" t="s">
        <v>2677</v>
      </c>
      <c r="D541" t="s">
        <v>1203</v>
      </c>
      <c r="E541" t="s">
        <v>1204</v>
      </c>
      <c r="F541">
        <v>5942</v>
      </c>
      <c r="G541" t="s">
        <v>2673</v>
      </c>
      <c r="H541" t="s">
        <v>2665</v>
      </c>
      <c r="I541">
        <v>509</v>
      </c>
      <c r="J541">
        <v>509</v>
      </c>
      <c r="K541">
        <v>509</v>
      </c>
      <c r="L541">
        <v>509</v>
      </c>
      <c r="N541" t="s">
        <v>988</v>
      </c>
    </row>
    <row r="542" spans="1:14" x14ac:dyDescent="0.3">
      <c r="A542">
        <v>2540</v>
      </c>
      <c r="B542" t="s">
        <v>2230</v>
      </c>
      <c r="C542" t="s">
        <v>2677</v>
      </c>
      <c r="D542" t="s">
        <v>1203</v>
      </c>
      <c r="E542" t="s">
        <v>1204</v>
      </c>
      <c r="F542">
        <v>5605</v>
      </c>
      <c r="G542" t="s">
        <v>2672</v>
      </c>
      <c r="H542" t="s">
        <v>2665</v>
      </c>
      <c r="N542" t="s">
        <v>988</v>
      </c>
    </row>
    <row r="543" spans="1:14" x14ac:dyDescent="0.3">
      <c r="A543">
        <v>2540</v>
      </c>
      <c r="B543" t="s">
        <v>2230</v>
      </c>
      <c r="C543" t="s">
        <v>2677</v>
      </c>
      <c r="D543" t="s">
        <v>1203</v>
      </c>
      <c r="E543" t="s">
        <v>1204</v>
      </c>
      <c r="F543">
        <v>5605</v>
      </c>
      <c r="G543" t="s">
        <v>2672</v>
      </c>
      <c r="H543" t="s">
        <v>2664</v>
      </c>
      <c r="N543" t="s">
        <v>988</v>
      </c>
    </row>
    <row r="544" spans="1:14" x14ac:dyDescent="0.3">
      <c r="A544">
        <v>2540</v>
      </c>
      <c r="B544" t="s">
        <v>2230</v>
      </c>
      <c r="C544" t="s">
        <v>2677</v>
      </c>
      <c r="D544" t="s">
        <v>1203</v>
      </c>
      <c r="E544" t="s">
        <v>1204</v>
      </c>
      <c r="F544">
        <v>5605</v>
      </c>
      <c r="G544" t="s">
        <v>2676</v>
      </c>
      <c r="H544" t="s">
        <v>2664</v>
      </c>
      <c r="I544">
        <v>12755</v>
      </c>
      <c r="J544">
        <v>10894</v>
      </c>
      <c r="K544">
        <v>9033</v>
      </c>
      <c r="L544">
        <v>7265</v>
      </c>
      <c r="M544">
        <v>7265</v>
      </c>
      <c r="N544" t="s">
        <v>988</v>
      </c>
    </row>
    <row r="545" spans="1:14" x14ac:dyDescent="0.3">
      <c r="A545">
        <v>2540</v>
      </c>
      <c r="B545" t="s">
        <v>2230</v>
      </c>
      <c r="C545" t="s">
        <v>2677</v>
      </c>
      <c r="D545" t="s">
        <v>1203</v>
      </c>
      <c r="E545" t="s">
        <v>1204</v>
      </c>
      <c r="F545">
        <v>5605</v>
      </c>
      <c r="G545" t="s">
        <v>2676</v>
      </c>
      <c r="H545" t="s">
        <v>2665</v>
      </c>
      <c r="I545">
        <v>12755</v>
      </c>
      <c r="J545">
        <v>10894</v>
      </c>
      <c r="K545">
        <v>9033</v>
      </c>
      <c r="L545">
        <v>7265</v>
      </c>
      <c r="M545">
        <v>7265</v>
      </c>
      <c r="N545" t="s">
        <v>988</v>
      </c>
    </row>
    <row r="546" spans="1:14" x14ac:dyDescent="0.3">
      <c r="A546">
        <v>2540</v>
      </c>
      <c r="B546" t="s">
        <v>2230</v>
      </c>
      <c r="C546" t="s">
        <v>2677</v>
      </c>
      <c r="D546" t="s">
        <v>1203</v>
      </c>
      <c r="E546" t="s">
        <v>1204</v>
      </c>
      <c r="F546">
        <v>5605</v>
      </c>
      <c r="G546" t="s">
        <v>2675</v>
      </c>
      <c r="H546" t="s">
        <v>2664</v>
      </c>
      <c r="I546">
        <v>12383</v>
      </c>
      <c r="J546">
        <v>10522</v>
      </c>
      <c r="K546">
        <v>8661</v>
      </c>
      <c r="L546">
        <v>7265</v>
      </c>
      <c r="M546">
        <v>7265</v>
      </c>
      <c r="N546" t="s">
        <v>988</v>
      </c>
    </row>
    <row r="547" spans="1:14" x14ac:dyDescent="0.3">
      <c r="A547">
        <v>2540</v>
      </c>
      <c r="B547" t="s">
        <v>2230</v>
      </c>
      <c r="C547" t="s">
        <v>2677</v>
      </c>
      <c r="D547" t="s">
        <v>1203</v>
      </c>
      <c r="E547" t="s">
        <v>1204</v>
      </c>
      <c r="F547">
        <v>5605</v>
      </c>
      <c r="G547" t="s">
        <v>2675</v>
      </c>
      <c r="H547" t="s">
        <v>2665</v>
      </c>
      <c r="I547">
        <v>12383</v>
      </c>
      <c r="J547">
        <v>10522</v>
      </c>
      <c r="K547">
        <v>8661</v>
      </c>
      <c r="L547">
        <v>7265</v>
      </c>
      <c r="M547">
        <v>7265</v>
      </c>
      <c r="N547" t="s">
        <v>988</v>
      </c>
    </row>
    <row r="548" spans="1:14" x14ac:dyDescent="0.3">
      <c r="A548">
        <v>2540</v>
      </c>
      <c r="B548" t="s">
        <v>2230</v>
      </c>
      <c r="C548" t="s">
        <v>2677</v>
      </c>
      <c r="D548" t="s">
        <v>1203</v>
      </c>
      <c r="E548" t="s">
        <v>1204</v>
      </c>
      <c r="F548">
        <v>5605</v>
      </c>
      <c r="G548" t="s">
        <v>2674</v>
      </c>
      <c r="H548" t="s">
        <v>2664</v>
      </c>
      <c r="I548">
        <v>12011</v>
      </c>
      <c r="J548">
        <v>10150</v>
      </c>
      <c r="K548">
        <v>8289</v>
      </c>
      <c r="L548">
        <v>7265</v>
      </c>
      <c r="M548">
        <v>7265</v>
      </c>
      <c r="N548" t="s">
        <v>988</v>
      </c>
    </row>
    <row r="549" spans="1:14" x14ac:dyDescent="0.3">
      <c r="A549">
        <v>2540</v>
      </c>
      <c r="B549" t="s">
        <v>2230</v>
      </c>
      <c r="C549" t="s">
        <v>2677</v>
      </c>
      <c r="D549" t="s">
        <v>1203</v>
      </c>
      <c r="E549" t="s">
        <v>1204</v>
      </c>
      <c r="F549">
        <v>5605</v>
      </c>
      <c r="G549" t="s">
        <v>2674</v>
      </c>
      <c r="H549" t="s">
        <v>2665</v>
      </c>
      <c r="I549">
        <v>12011</v>
      </c>
      <c r="J549">
        <v>10150</v>
      </c>
      <c r="K549">
        <v>8289</v>
      </c>
      <c r="L549">
        <v>7265</v>
      </c>
      <c r="M549">
        <v>7265</v>
      </c>
      <c r="N549" t="s">
        <v>988</v>
      </c>
    </row>
    <row r="550" spans="1:14" x14ac:dyDescent="0.3">
      <c r="A550">
        <v>2540</v>
      </c>
      <c r="B550" t="s">
        <v>2230</v>
      </c>
      <c r="C550" t="s">
        <v>2677</v>
      </c>
      <c r="D550" t="s">
        <v>1203</v>
      </c>
      <c r="E550" t="s">
        <v>1204</v>
      </c>
      <c r="F550">
        <v>5605</v>
      </c>
      <c r="G550" t="s">
        <v>2673</v>
      </c>
      <c r="H550" t="s">
        <v>2664</v>
      </c>
      <c r="I550">
        <v>11639</v>
      </c>
      <c r="J550">
        <v>9778</v>
      </c>
      <c r="K550">
        <v>7917</v>
      </c>
      <c r="L550">
        <v>7265</v>
      </c>
      <c r="M550">
        <v>7265</v>
      </c>
      <c r="N550" t="s">
        <v>988</v>
      </c>
    </row>
    <row r="551" spans="1:14" x14ac:dyDescent="0.3">
      <c r="A551">
        <v>2540</v>
      </c>
      <c r="B551" t="s">
        <v>2230</v>
      </c>
      <c r="C551" t="s">
        <v>2677</v>
      </c>
      <c r="D551" t="s">
        <v>1203</v>
      </c>
      <c r="E551" t="s">
        <v>1204</v>
      </c>
      <c r="F551">
        <v>5605</v>
      </c>
      <c r="G551" t="s">
        <v>2673</v>
      </c>
      <c r="H551" t="s">
        <v>2665</v>
      </c>
      <c r="I551">
        <v>11639</v>
      </c>
      <c r="J551">
        <v>9778</v>
      </c>
      <c r="K551">
        <v>7917</v>
      </c>
      <c r="L551">
        <v>7265</v>
      </c>
      <c r="M551">
        <v>7265</v>
      </c>
      <c r="N551" t="s">
        <v>988</v>
      </c>
    </row>
    <row r="552" spans="1:14" x14ac:dyDescent="0.3">
      <c r="A552">
        <v>2540</v>
      </c>
      <c r="B552" t="s">
        <v>2230</v>
      </c>
      <c r="C552" t="s">
        <v>2677</v>
      </c>
      <c r="D552" t="s">
        <v>1203</v>
      </c>
      <c r="E552" t="s">
        <v>1204</v>
      </c>
      <c r="F552">
        <v>5605</v>
      </c>
      <c r="G552" t="s">
        <v>2671</v>
      </c>
      <c r="H552" t="s">
        <v>2664</v>
      </c>
      <c r="I552">
        <v>11267</v>
      </c>
      <c r="J552">
        <v>9406</v>
      </c>
      <c r="K552">
        <v>7545</v>
      </c>
      <c r="L552">
        <v>7265</v>
      </c>
      <c r="M552">
        <v>7265</v>
      </c>
      <c r="N552" t="s">
        <v>988</v>
      </c>
    </row>
    <row r="553" spans="1:14" x14ac:dyDescent="0.3">
      <c r="A553">
        <v>2540</v>
      </c>
      <c r="B553" t="s">
        <v>2230</v>
      </c>
      <c r="C553" t="s">
        <v>2677</v>
      </c>
      <c r="D553" t="s">
        <v>1203</v>
      </c>
      <c r="E553" t="s">
        <v>1204</v>
      </c>
      <c r="F553">
        <v>5605</v>
      </c>
      <c r="G553" t="s">
        <v>2671</v>
      </c>
      <c r="H553" t="s">
        <v>2665</v>
      </c>
      <c r="I553">
        <v>11267</v>
      </c>
      <c r="J553">
        <v>9406</v>
      </c>
      <c r="K553">
        <v>7545</v>
      </c>
      <c r="L553">
        <v>7265</v>
      </c>
      <c r="M553">
        <v>7265</v>
      </c>
      <c r="N553" t="s">
        <v>988</v>
      </c>
    </row>
    <row r="554" spans="1:14" x14ac:dyDescent="0.3">
      <c r="A554">
        <v>2543</v>
      </c>
      <c r="B554" t="s">
        <v>2234</v>
      </c>
      <c r="C554" t="s">
        <v>2677</v>
      </c>
      <c r="D554" t="s">
        <v>1203</v>
      </c>
      <c r="E554" t="s">
        <v>1204</v>
      </c>
      <c r="F554">
        <v>5649</v>
      </c>
      <c r="G554" t="s">
        <v>2676</v>
      </c>
      <c r="H554" t="s">
        <v>2664</v>
      </c>
      <c r="I554">
        <v>78800</v>
      </c>
      <c r="J554">
        <v>76652</v>
      </c>
      <c r="K554">
        <v>110574</v>
      </c>
      <c r="L554">
        <v>105899</v>
      </c>
      <c r="M554">
        <v>102808</v>
      </c>
      <c r="N554" t="s">
        <v>988</v>
      </c>
    </row>
    <row r="555" spans="1:14" x14ac:dyDescent="0.3">
      <c r="A555">
        <v>2543</v>
      </c>
      <c r="B555" t="s">
        <v>2234</v>
      </c>
      <c r="C555" t="s">
        <v>2677</v>
      </c>
      <c r="D555" t="s">
        <v>1203</v>
      </c>
      <c r="E555" t="s">
        <v>1204</v>
      </c>
      <c r="F555">
        <v>5649</v>
      </c>
      <c r="G555" t="s">
        <v>2675</v>
      </c>
      <c r="H555" t="s">
        <v>2664</v>
      </c>
      <c r="I555">
        <v>78800</v>
      </c>
      <c r="J555">
        <v>76652</v>
      </c>
      <c r="K555">
        <v>110574</v>
      </c>
      <c r="L555">
        <v>105899</v>
      </c>
      <c r="M555">
        <v>102808</v>
      </c>
      <c r="N555" t="s">
        <v>988</v>
      </c>
    </row>
    <row r="556" spans="1:14" x14ac:dyDescent="0.3">
      <c r="A556">
        <v>2543</v>
      </c>
      <c r="B556" t="s">
        <v>2234</v>
      </c>
      <c r="C556" t="s">
        <v>2677</v>
      </c>
      <c r="D556" t="s">
        <v>1203</v>
      </c>
      <c r="E556" t="s">
        <v>1204</v>
      </c>
      <c r="F556">
        <v>5649</v>
      </c>
      <c r="G556" t="s">
        <v>2675</v>
      </c>
      <c r="H556" t="s">
        <v>2665</v>
      </c>
      <c r="I556">
        <v>73617</v>
      </c>
      <c r="J556">
        <v>71692</v>
      </c>
      <c r="K556">
        <v>70909</v>
      </c>
      <c r="L556">
        <v>66354</v>
      </c>
      <c r="M556">
        <v>63503</v>
      </c>
      <c r="N556" t="s">
        <v>988</v>
      </c>
    </row>
    <row r="557" spans="1:14" x14ac:dyDescent="0.3">
      <c r="A557">
        <v>2543</v>
      </c>
      <c r="B557" t="s">
        <v>2234</v>
      </c>
      <c r="C557" t="s">
        <v>2677</v>
      </c>
      <c r="D557" t="s">
        <v>1203</v>
      </c>
      <c r="E557" t="s">
        <v>1204</v>
      </c>
      <c r="F557">
        <v>5649</v>
      </c>
      <c r="G557" t="s">
        <v>2674</v>
      </c>
      <c r="H557" t="s">
        <v>2664</v>
      </c>
      <c r="I557">
        <v>78800</v>
      </c>
      <c r="J557">
        <v>76652</v>
      </c>
      <c r="K557">
        <v>110574</v>
      </c>
      <c r="L557">
        <v>105899</v>
      </c>
      <c r="M557">
        <v>102808</v>
      </c>
      <c r="N557" t="s">
        <v>988</v>
      </c>
    </row>
    <row r="558" spans="1:14" x14ac:dyDescent="0.3">
      <c r="A558">
        <v>2543</v>
      </c>
      <c r="B558" t="s">
        <v>2234</v>
      </c>
      <c r="C558" t="s">
        <v>2677</v>
      </c>
      <c r="D558" t="s">
        <v>1203</v>
      </c>
      <c r="E558" t="s">
        <v>1204</v>
      </c>
      <c r="F558">
        <v>5649</v>
      </c>
      <c r="G558" t="s">
        <v>2674</v>
      </c>
      <c r="H558" t="s">
        <v>2665</v>
      </c>
      <c r="I558">
        <v>73617</v>
      </c>
      <c r="J558">
        <v>71692</v>
      </c>
      <c r="K558">
        <v>70909</v>
      </c>
      <c r="L558">
        <v>66354</v>
      </c>
      <c r="M558">
        <v>63503</v>
      </c>
      <c r="N558" t="s">
        <v>988</v>
      </c>
    </row>
    <row r="559" spans="1:14" x14ac:dyDescent="0.3">
      <c r="A559">
        <v>2543</v>
      </c>
      <c r="B559" t="s">
        <v>2234</v>
      </c>
      <c r="C559" t="s">
        <v>2677</v>
      </c>
      <c r="D559" t="s">
        <v>1203</v>
      </c>
      <c r="E559" t="s">
        <v>1204</v>
      </c>
      <c r="F559">
        <v>5649</v>
      </c>
      <c r="G559" t="s">
        <v>2676</v>
      </c>
      <c r="H559" t="s">
        <v>2665</v>
      </c>
      <c r="I559">
        <v>73617</v>
      </c>
      <c r="J559">
        <v>71692</v>
      </c>
      <c r="K559">
        <v>70909</v>
      </c>
      <c r="L559">
        <v>66354</v>
      </c>
      <c r="M559">
        <v>63503</v>
      </c>
      <c r="N559" t="s">
        <v>988</v>
      </c>
    </row>
    <row r="560" spans="1:14" x14ac:dyDescent="0.3">
      <c r="A560">
        <v>2543</v>
      </c>
      <c r="B560" t="s">
        <v>2234</v>
      </c>
      <c r="C560" t="s">
        <v>2677</v>
      </c>
      <c r="D560" t="s">
        <v>1203</v>
      </c>
      <c r="E560" t="s">
        <v>1204</v>
      </c>
      <c r="F560">
        <v>5649</v>
      </c>
      <c r="G560" t="s">
        <v>2673</v>
      </c>
      <c r="H560" t="s">
        <v>2665</v>
      </c>
      <c r="I560">
        <v>73617</v>
      </c>
      <c r="J560">
        <v>71692</v>
      </c>
      <c r="K560">
        <v>70909</v>
      </c>
      <c r="L560">
        <v>66354</v>
      </c>
      <c r="M560">
        <v>63503</v>
      </c>
      <c r="N560" t="s">
        <v>988</v>
      </c>
    </row>
    <row r="561" spans="1:14" x14ac:dyDescent="0.3">
      <c r="A561">
        <v>2543</v>
      </c>
      <c r="B561" t="s">
        <v>2234</v>
      </c>
      <c r="C561" t="s">
        <v>2677</v>
      </c>
      <c r="D561" t="s">
        <v>1203</v>
      </c>
      <c r="E561" t="s">
        <v>1204</v>
      </c>
      <c r="F561">
        <v>5649</v>
      </c>
      <c r="G561" t="s">
        <v>2671</v>
      </c>
      <c r="H561" t="s">
        <v>2664</v>
      </c>
      <c r="I561">
        <v>78800</v>
      </c>
      <c r="J561">
        <v>76652</v>
      </c>
      <c r="K561">
        <v>110574</v>
      </c>
      <c r="L561">
        <v>105899</v>
      </c>
      <c r="M561">
        <v>102808</v>
      </c>
      <c r="N561" t="s">
        <v>988</v>
      </c>
    </row>
    <row r="562" spans="1:14" x14ac:dyDescent="0.3">
      <c r="A562">
        <v>2543</v>
      </c>
      <c r="B562" t="s">
        <v>2234</v>
      </c>
      <c r="C562" t="s">
        <v>2677</v>
      </c>
      <c r="D562" t="s">
        <v>1203</v>
      </c>
      <c r="E562" t="s">
        <v>1204</v>
      </c>
      <c r="F562">
        <v>5649</v>
      </c>
      <c r="G562" t="s">
        <v>2671</v>
      </c>
      <c r="H562" t="s">
        <v>2665</v>
      </c>
      <c r="I562">
        <v>73617</v>
      </c>
      <c r="J562">
        <v>71692</v>
      </c>
      <c r="K562">
        <v>70909</v>
      </c>
      <c r="L562">
        <v>66354</v>
      </c>
      <c r="M562">
        <v>63503</v>
      </c>
      <c r="N562" t="s">
        <v>988</v>
      </c>
    </row>
    <row r="563" spans="1:14" x14ac:dyDescent="0.3">
      <c r="A563">
        <v>2543</v>
      </c>
      <c r="B563" t="s">
        <v>2234</v>
      </c>
      <c r="C563" t="s">
        <v>2677</v>
      </c>
      <c r="D563" t="s">
        <v>1203</v>
      </c>
      <c r="E563" t="s">
        <v>1204</v>
      </c>
      <c r="F563">
        <v>5649</v>
      </c>
      <c r="G563" t="s">
        <v>2672</v>
      </c>
      <c r="H563" t="s">
        <v>2664</v>
      </c>
      <c r="N563" t="s">
        <v>988</v>
      </c>
    </row>
    <row r="564" spans="1:14" x14ac:dyDescent="0.3">
      <c r="A564">
        <v>2543</v>
      </c>
      <c r="B564" t="s">
        <v>2234</v>
      </c>
      <c r="C564" t="s">
        <v>2677</v>
      </c>
      <c r="D564" t="s">
        <v>1203</v>
      </c>
      <c r="E564" t="s">
        <v>1204</v>
      </c>
      <c r="F564">
        <v>5649</v>
      </c>
      <c r="G564" t="s">
        <v>2672</v>
      </c>
      <c r="H564" t="s">
        <v>2665</v>
      </c>
      <c r="N564" t="s">
        <v>988</v>
      </c>
    </row>
    <row r="565" spans="1:14" x14ac:dyDescent="0.3">
      <c r="A565">
        <v>2543</v>
      </c>
      <c r="B565" t="s">
        <v>2234</v>
      </c>
      <c r="C565" t="s">
        <v>2677</v>
      </c>
      <c r="D565" t="s">
        <v>1203</v>
      </c>
      <c r="E565" t="s">
        <v>1204</v>
      </c>
      <c r="F565">
        <v>5649</v>
      </c>
      <c r="G565" t="s">
        <v>2673</v>
      </c>
      <c r="H565" t="s">
        <v>2664</v>
      </c>
      <c r="I565">
        <v>78800</v>
      </c>
      <c r="J565">
        <v>76652</v>
      </c>
      <c r="K565">
        <v>110574</v>
      </c>
      <c r="L565">
        <v>105899</v>
      </c>
      <c r="M565">
        <v>102808</v>
      </c>
      <c r="N565" t="s">
        <v>988</v>
      </c>
    </row>
    <row r="566" spans="1:14" x14ac:dyDescent="0.3">
      <c r="A566">
        <v>2667</v>
      </c>
      <c r="B566" t="s">
        <v>2237</v>
      </c>
      <c r="C566" t="s">
        <v>2677</v>
      </c>
      <c r="D566" t="s">
        <v>1203</v>
      </c>
      <c r="E566" t="s">
        <v>1204</v>
      </c>
      <c r="F566">
        <v>5591</v>
      </c>
      <c r="G566" t="s">
        <v>2672</v>
      </c>
      <c r="H566" t="s">
        <v>2665</v>
      </c>
      <c r="N566" t="s">
        <v>988</v>
      </c>
    </row>
    <row r="567" spans="1:14" x14ac:dyDescent="0.3">
      <c r="A567">
        <v>2667</v>
      </c>
      <c r="B567" t="s">
        <v>2237</v>
      </c>
      <c r="C567" t="s">
        <v>2677</v>
      </c>
      <c r="D567" t="s">
        <v>1203</v>
      </c>
      <c r="E567" t="s">
        <v>1204</v>
      </c>
      <c r="F567">
        <v>5591</v>
      </c>
      <c r="G567" t="s">
        <v>2672</v>
      </c>
      <c r="H567" t="s">
        <v>2664</v>
      </c>
      <c r="N567" t="s">
        <v>988</v>
      </c>
    </row>
    <row r="568" spans="1:14" x14ac:dyDescent="0.3">
      <c r="A568">
        <v>2667</v>
      </c>
      <c r="B568" t="s">
        <v>2237</v>
      </c>
      <c r="C568" t="s">
        <v>2677</v>
      </c>
      <c r="D568" t="s">
        <v>1203</v>
      </c>
      <c r="E568" t="s">
        <v>1204</v>
      </c>
      <c r="F568">
        <v>5591</v>
      </c>
      <c r="G568" t="s">
        <v>2671</v>
      </c>
      <c r="H568" t="s">
        <v>2665</v>
      </c>
      <c r="I568">
        <v>18502</v>
      </c>
      <c r="J568">
        <v>19314</v>
      </c>
      <c r="K568">
        <v>20182</v>
      </c>
      <c r="L568">
        <v>21023</v>
      </c>
      <c r="M568">
        <v>21900</v>
      </c>
      <c r="N568" t="s">
        <v>988</v>
      </c>
    </row>
    <row r="569" spans="1:14" x14ac:dyDescent="0.3">
      <c r="A569">
        <v>2667</v>
      </c>
      <c r="B569" t="s">
        <v>2237</v>
      </c>
      <c r="C569" t="s">
        <v>2677</v>
      </c>
      <c r="D569" t="s">
        <v>1203</v>
      </c>
      <c r="E569" t="s">
        <v>1204</v>
      </c>
      <c r="F569">
        <v>5591</v>
      </c>
      <c r="G569" t="s">
        <v>2671</v>
      </c>
      <c r="H569" t="s">
        <v>2664</v>
      </c>
      <c r="I569">
        <v>18502</v>
      </c>
      <c r="J569">
        <v>19314</v>
      </c>
      <c r="K569">
        <v>20182</v>
      </c>
      <c r="L569">
        <v>21023</v>
      </c>
      <c r="M569">
        <v>21900</v>
      </c>
      <c r="N569" t="s">
        <v>988</v>
      </c>
    </row>
    <row r="570" spans="1:14" x14ac:dyDescent="0.3">
      <c r="A570">
        <v>2667</v>
      </c>
      <c r="B570" t="s">
        <v>2237</v>
      </c>
      <c r="C570" t="s">
        <v>2677</v>
      </c>
      <c r="D570" t="s">
        <v>1203</v>
      </c>
      <c r="E570" t="s">
        <v>1204</v>
      </c>
      <c r="F570">
        <v>5591</v>
      </c>
      <c r="G570" t="s">
        <v>2673</v>
      </c>
      <c r="H570" t="s">
        <v>2665</v>
      </c>
      <c r="I570">
        <v>33193</v>
      </c>
      <c r="J570">
        <v>34651</v>
      </c>
      <c r="K570">
        <v>36208</v>
      </c>
      <c r="L570">
        <v>37717</v>
      </c>
      <c r="M570">
        <v>39289</v>
      </c>
      <c r="N570" t="s">
        <v>988</v>
      </c>
    </row>
    <row r="571" spans="1:14" x14ac:dyDescent="0.3">
      <c r="A571">
        <v>2667</v>
      </c>
      <c r="B571" t="s">
        <v>2237</v>
      </c>
      <c r="C571" t="s">
        <v>2677</v>
      </c>
      <c r="D571" t="s">
        <v>1203</v>
      </c>
      <c r="E571" t="s">
        <v>1204</v>
      </c>
      <c r="F571">
        <v>5591</v>
      </c>
      <c r="G571" t="s">
        <v>2676</v>
      </c>
      <c r="H571" t="s">
        <v>2664</v>
      </c>
      <c r="I571">
        <v>30873</v>
      </c>
      <c r="J571">
        <v>32229</v>
      </c>
      <c r="K571">
        <v>33678</v>
      </c>
      <c r="L571">
        <v>35081</v>
      </c>
      <c r="M571">
        <v>36543</v>
      </c>
      <c r="N571" t="s">
        <v>988</v>
      </c>
    </row>
    <row r="572" spans="1:14" x14ac:dyDescent="0.3">
      <c r="A572">
        <v>2667</v>
      </c>
      <c r="B572" t="s">
        <v>2237</v>
      </c>
      <c r="C572" t="s">
        <v>2677</v>
      </c>
      <c r="D572" t="s">
        <v>1203</v>
      </c>
      <c r="E572" t="s">
        <v>1204</v>
      </c>
      <c r="F572">
        <v>5591</v>
      </c>
      <c r="G572" t="s">
        <v>2674</v>
      </c>
      <c r="H572" t="s">
        <v>2665</v>
      </c>
      <c r="I572">
        <v>34214</v>
      </c>
      <c r="J572">
        <v>35717</v>
      </c>
      <c r="K572">
        <v>37322</v>
      </c>
      <c r="L572">
        <v>38877</v>
      </c>
      <c r="M572">
        <v>40498</v>
      </c>
      <c r="N572" t="s">
        <v>988</v>
      </c>
    </row>
    <row r="573" spans="1:14" x14ac:dyDescent="0.3">
      <c r="A573">
        <v>2667</v>
      </c>
      <c r="B573" t="s">
        <v>2237</v>
      </c>
      <c r="C573" t="s">
        <v>2677</v>
      </c>
      <c r="D573" t="s">
        <v>1203</v>
      </c>
      <c r="E573" t="s">
        <v>1204</v>
      </c>
      <c r="F573">
        <v>5591</v>
      </c>
      <c r="G573" t="s">
        <v>2674</v>
      </c>
      <c r="H573" t="s">
        <v>2664</v>
      </c>
      <c r="I573">
        <v>34214</v>
      </c>
      <c r="J573">
        <v>35717</v>
      </c>
      <c r="K573">
        <v>37322</v>
      </c>
      <c r="L573">
        <v>38877</v>
      </c>
      <c r="M573">
        <v>40498</v>
      </c>
      <c r="N573" t="s">
        <v>988</v>
      </c>
    </row>
    <row r="574" spans="1:14" x14ac:dyDescent="0.3">
      <c r="A574">
        <v>2667</v>
      </c>
      <c r="B574" t="s">
        <v>2237</v>
      </c>
      <c r="C574" t="s">
        <v>2677</v>
      </c>
      <c r="D574" t="s">
        <v>1203</v>
      </c>
      <c r="E574" t="s">
        <v>1204</v>
      </c>
      <c r="F574">
        <v>5591</v>
      </c>
      <c r="G574" t="s">
        <v>2675</v>
      </c>
      <c r="H574" t="s">
        <v>2665</v>
      </c>
      <c r="I574">
        <v>33611</v>
      </c>
      <c r="J574">
        <v>35088</v>
      </c>
      <c r="K574">
        <v>36665</v>
      </c>
      <c r="L574">
        <v>38193</v>
      </c>
      <c r="M574">
        <v>39784</v>
      </c>
      <c r="N574" t="s">
        <v>988</v>
      </c>
    </row>
    <row r="575" spans="1:14" x14ac:dyDescent="0.3">
      <c r="A575">
        <v>2667</v>
      </c>
      <c r="B575" t="s">
        <v>2237</v>
      </c>
      <c r="C575" t="s">
        <v>2677</v>
      </c>
      <c r="D575" t="s">
        <v>1203</v>
      </c>
      <c r="E575" t="s">
        <v>1204</v>
      </c>
      <c r="F575">
        <v>5591</v>
      </c>
      <c r="G575" t="s">
        <v>2675</v>
      </c>
      <c r="H575" t="s">
        <v>2664</v>
      </c>
      <c r="I575">
        <v>33611</v>
      </c>
      <c r="J575">
        <v>35088</v>
      </c>
      <c r="K575">
        <v>36665</v>
      </c>
      <c r="L575">
        <v>38193</v>
      </c>
      <c r="M575">
        <v>39784</v>
      </c>
      <c r="N575" t="s">
        <v>988</v>
      </c>
    </row>
    <row r="576" spans="1:14" x14ac:dyDescent="0.3">
      <c r="A576">
        <v>2667</v>
      </c>
      <c r="B576" t="s">
        <v>2237</v>
      </c>
      <c r="C576" t="s">
        <v>2677</v>
      </c>
      <c r="D576" t="s">
        <v>1203</v>
      </c>
      <c r="E576" t="s">
        <v>1204</v>
      </c>
      <c r="F576">
        <v>5591</v>
      </c>
      <c r="G576" t="s">
        <v>2676</v>
      </c>
      <c r="H576" t="s">
        <v>2665</v>
      </c>
      <c r="I576">
        <v>30873</v>
      </c>
      <c r="J576">
        <v>32229</v>
      </c>
      <c r="K576">
        <v>33678</v>
      </c>
      <c r="L576">
        <v>35081</v>
      </c>
      <c r="M576">
        <v>36543</v>
      </c>
      <c r="N576" t="s">
        <v>988</v>
      </c>
    </row>
    <row r="577" spans="1:14" x14ac:dyDescent="0.3">
      <c r="A577">
        <v>2667</v>
      </c>
      <c r="B577" t="s">
        <v>2237</v>
      </c>
      <c r="C577" t="s">
        <v>2677</v>
      </c>
      <c r="D577" t="s">
        <v>1203</v>
      </c>
      <c r="E577" t="s">
        <v>1204</v>
      </c>
      <c r="F577">
        <v>5591</v>
      </c>
      <c r="G577" t="s">
        <v>2673</v>
      </c>
      <c r="H577" t="s">
        <v>2664</v>
      </c>
      <c r="I577">
        <v>33193</v>
      </c>
      <c r="J577">
        <v>34651</v>
      </c>
      <c r="K577">
        <v>36208</v>
      </c>
      <c r="L577">
        <v>37717</v>
      </c>
      <c r="M577">
        <v>39289</v>
      </c>
      <c r="N577" t="s">
        <v>988</v>
      </c>
    </row>
    <row r="578" spans="1:14" x14ac:dyDescent="0.3">
      <c r="A578">
        <v>2675</v>
      </c>
      <c r="B578" t="s">
        <v>2241</v>
      </c>
      <c r="C578" t="s">
        <v>2677</v>
      </c>
      <c r="D578" t="s">
        <v>1203</v>
      </c>
      <c r="E578" t="s">
        <v>1204</v>
      </c>
      <c r="F578">
        <v>5784</v>
      </c>
      <c r="G578" t="s">
        <v>2675</v>
      </c>
      <c r="H578" t="s">
        <v>2664</v>
      </c>
      <c r="I578">
        <v>146190</v>
      </c>
      <c r="J578">
        <v>150160</v>
      </c>
      <c r="K578">
        <v>160450</v>
      </c>
      <c r="L578">
        <v>165660</v>
      </c>
      <c r="M578">
        <v>165760</v>
      </c>
      <c r="N578" t="s">
        <v>988</v>
      </c>
    </row>
    <row r="579" spans="1:14" x14ac:dyDescent="0.3">
      <c r="A579">
        <v>2675</v>
      </c>
      <c r="B579" t="s">
        <v>2241</v>
      </c>
      <c r="C579" t="s">
        <v>2677</v>
      </c>
      <c r="D579" t="s">
        <v>1203</v>
      </c>
      <c r="E579" t="s">
        <v>1204</v>
      </c>
      <c r="F579">
        <v>5784</v>
      </c>
      <c r="G579" t="s">
        <v>2676</v>
      </c>
      <c r="H579" t="s">
        <v>2665</v>
      </c>
      <c r="I579">
        <v>146190</v>
      </c>
      <c r="J579">
        <v>150160</v>
      </c>
      <c r="K579">
        <v>160450</v>
      </c>
      <c r="L579">
        <v>165660</v>
      </c>
      <c r="M579">
        <v>165760</v>
      </c>
      <c r="N579" t="s">
        <v>988</v>
      </c>
    </row>
    <row r="580" spans="1:14" x14ac:dyDescent="0.3">
      <c r="A580">
        <v>2675</v>
      </c>
      <c r="B580" t="s">
        <v>2241</v>
      </c>
      <c r="C580" t="s">
        <v>2677</v>
      </c>
      <c r="D580" t="s">
        <v>1203</v>
      </c>
      <c r="E580" t="s">
        <v>1204</v>
      </c>
      <c r="F580">
        <v>5784</v>
      </c>
      <c r="G580" t="s">
        <v>2675</v>
      </c>
      <c r="H580" t="s">
        <v>2665</v>
      </c>
      <c r="I580">
        <v>146190</v>
      </c>
      <c r="J580">
        <v>150160</v>
      </c>
      <c r="K580">
        <v>160450</v>
      </c>
      <c r="L580">
        <v>165660</v>
      </c>
      <c r="M580">
        <v>165760</v>
      </c>
      <c r="N580" t="s">
        <v>988</v>
      </c>
    </row>
    <row r="581" spans="1:14" x14ac:dyDescent="0.3">
      <c r="A581">
        <v>2675</v>
      </c>
      <c r="B581" t="s">
        <v>2241</v>
      </c>
      <c r="C581" t="s">
        <v>2677</v>
      </c>
      <c r="D581" t="s">
        <v>1203</v>
      </c>
      <c r="E581" t="s">
        <v>1204</v>
      </c>
      <c r="F581">
        <v>5784</v>
      </c>
      <c r="G581" t="s">
        <v>2674</v>
      </c>
      <c r="H581" t="s">
        <v>2664</v>
      </c>
      <c r="I581">
        <v>146190</v>
      </c>
      <c r="J581">
        <v>150160</v>
      </c>
      <c r="K581">
        <v>160450</v>
      </c>
      <c r="L581">
        <v>165660</v>
      </c>
      <c r="M581">
        <v>165760</v>
      </c>
      <c r="N581" t="s">
        <v>988</v>
      </c>
    </row>
    <row r="582" spans="1:14" x14ac:dyDescent="0.3">
      <c r="A582">
        <v>2675</v>
      </c>
      <c r="B582" t="s">
        <v>2241</v>
      </c>
      <c r="C582" t="s">
        <v>2677</v>
      </c>
      <c r="D582" t="s">
        <v>1203</v>
      </c>
      <c r="E582" t="s">
        <v>1204</v>
      </c>
      <c r="F582">
        <v>5784</v>
      </c>
      <c r="G582" t="s">
        <v>2674</v>
      </c>
      <c r="H582" t="s">
        <v>2665</v>
      </c>
      <c r="I582">
        <v>146190</v>
      </c>
      <c r="J582">
        <v>150160</v>
      </c>
      <c r="K582">
        <v>160450</v>
      </c>
      <c r="L582">
        <v>165660</v>
      </c>
      <c r="M582">
        <v>165760</v>
      </c>
      <c r="N582" t="s">
        <v>988</v>
      </c>
    </row>
    <row r="583" spans="1:14" x14ac:dyDescent="0.3">
      <c r="A583">
        <v>2675</v>
      </c>
      <c r="B583" t="s">
        <v>2241</v>
      </c>
      <c r="C583" t="s">
        <v>2677</v>
      </c>
      <c r="D583" t="s">
        <v>1203</v>
      </c>
      <c r="E583" t="s">
        <v>1204</v>
      </c>
      <c r="F583">
        <v>5784</v>
      </c>
      <c r="G583" t="s">
        <v>2673</v>
      </c>
      <c r="H583" t="s">
        <v>2664</v>
      </c>
      <c r="I583">
        <v>146190</v>
      </c>
      <c r="J583">
        <v>150160</v>
      </c>
      <c r="K583">
        <v>160450</v>
      </c>
      <c r="L583">
        <v>165660</v>
      </c>
      <c r="M583">
        <v>165760</v>
      </c>
      <c r="N583" t="s">
        <v>988</v>
      </c>
    </row>
    <row r="584" spans="1:14" x14ac:dyDescent="0.3">
      <c r="A584">
        <v>2675</v>
      </c>
      <c r="B584" t="s">
        <v>2241</v>
      </c>
      <c r="C584" t="s">
        <v>2677</v>
      </c>
      <c r="D584" t="s">
        <v>1203</v>
      </c>
      <c r="E584" t="s">
        <v>1204</v>
      </c>
      <c r="F584">
        <v>5784</v>
      </c>
      <c r="G584" t="s">
        <v>2673</v>
      </c>
      <c r="H584" t="s">
        <v>2665</v>
      </c>
      <c r="I584">
        <v>146190</v>
      </c>
      <c r="J584">
        <v>150160</v>
      </c>
      <c r="K584">
        <v>160450</v>
      </c>
      <c r="L584">
        <v>165660</v>
      </c>
      <c r="M584">
        <v>165760</v>
      </c>
      <c r="N584" t="s">
        <v>988</v>
      </c>
    </row>
    <row r="585" spans="1:14" x14ac:dyDescent="0.3">
      <c r="A585">
        <v>2675</v>
      </c>
      <c r="B585" t="s">
        <v>2241</v>
      </c>
      <c r="C585" t="s">
        <v>2677</v>
      </c>
      <c r="D585" t="s">
        <v>1203</v>
      </c>
      <c r="E585" t="s">
        <v>1204</v>
      </c>
      <c r="F585">
        <v>5784</v>
      </c>
      <c r="G585" t="s">
        <v>2671</v>
      </c>
      <c r="H585" t="s">
        <v>2664</v>
      </c>
      <c r="I585">
        <v>146190</v>
      </c>
      <c r="J585">
        <v>150160</v>
      </c>
      <c r="K585">
        <v>160450</v>
      </c>
      <c r="L585">
        <v>165660</v>
      </c>
      <c r="M585">
        <v>165760</v>
      </c>
      <c r="N585" t="s">
        <v>988</v>
      </c>
    </row>
    <row r="586" spans="1:14" x14ac:dyDescent="0.3">
      <c r="A586">
        <v>2675</v>
      </c>
      <c r="B586" t="s">
        <v>2241</v>
      </c>
      <c r="C586" t="s">
        <v>2677</v>
      </c>
      <c r="D586" t="s">
        <v>1203</v>
      </c>
      <c r="E586" t="s">
        <v>1204</v>
      </c>
      <c r="F586">
        <v>5784</v>
      </c>
      <c r="G586" t="s">
        <v>2671</v>
      </c>
      <c r="H586" t="s">
        <v>2665</v>
      </c>
      <c r="I586">
        <v>146190</v>
      </c>
      <c r="J586">
        <v>150160</v>
      </c>
      <c r="K586">
        <v>160450</v>
      </c>
      <c r="L586">
        <v>165660</v>
      </c>
      <c r="M586">
        <v>165760</v>
      </c>
      <c r="N586" t="s">
        <v>988</v>
      </c>
    </row>
    <row r="587" spans="1:14" x14ac:dyDescent="0.3">
      <c r="A587">
        <v>2675</v>
      </c>
      <c r="B587" t="s">
        <v>2241</v>
      </c>
      <c r="C587" t="s">
        <v>2677</v>
      </c>
      <c r="D587" t="s">
        <v>1203</v>
      </c>
      <c r="E587" t="s">
        <v>1204</v>
      </c>
      <c r="F587">
        <v>5784</v>
      </c>
      <c r="G587" t="s">
        <v>2672</v>
      </c>
      <c r="H587" t="s">
        <v>2664</v>
      </c>
      <c r="N587" t="s">
        <v>988</v>
      </c>
    </row>
    <row r="588" spans="1:14" x14ac:dyDescent="0.3">
      <c r="A588">
        <v>2675</v>
      </c>
      <c r="B588" t="s">
        <v>2241</v>
      </c>
      <c r="C588" t="s">
        <v>2677</v>
      </c>
      <c r="D588" t="s">
        <v>1203</v>
      </c>
      <c r="E588" t="s">
        <v>1204</v>
      </c>
      <c r="F588">
        <v>5784</v>
      </c>
      <c r="G588" t="s">
        <v>2672</v>
      </c>
      <c r="H588" t="s">
        <v>2665</v>
      </c>
      <c r="N588" t="s">
        <v>988</v>
      </c>
    </row>
    <row r="589" spans="1:14" x14ac:dyDescent="0.3">
      <c r="A589">
        <v>2675</v>
      </c>
      <c r="B589" t="s">
        <v>2241</v>
      </c>
      <c r="C589" t="s">
        <v>2677</v>
      </c>
      <c r="D589" t="s">
        <v>1203</v>
      </c>
      <c r="E589" t="s">
        <v>1204</v>
      </c>
      <c r="F589">
        <v>5784</v>
      </c>
      <c r="G589" t="s">
        <v>2676</v>
      </c>
      <c r="H589" t="s">
        <v>2664</v>
      </c>
      <c r="I589">
        <v>146190</v>
      </c>
      <c r="J589">
        <v>150160</v>
      </c>
      <c r="K589">
        <v>160450</v>
      </c>
      <c r="L589">
        <v>165660</v>
      </c>
      <c r="M589">
        <v>165760</v>
      </c>
      <c r="N589" t="s">
        <v>988</v>
      </c>
    </row>
    <row r="590" spans="1:14" x14ac:dyDescent="0.3">
      <c r="A590">
        <v>2697</v>
      </c>
      <c r="B590" t="s">
        <v>2092</v>
      </c>
      <c r="C590" t="s">
        <v>2677</v>
      </c>
      <c r="D590" t="s">
        <v>159</v>
      </c>
      <c r="E590" t="s">
        <v>159</v>
      </c>
      <c r="F590">
        <v>7790</v>
      </c>
      <c r="G590" t="s">
        <v>2672</v>
      </c>
      <c r="H590" t="s">
        <v>2665</v>
      </c>
      <c r="N590" t="s">
        <v>988</v>
      </c>
    </row>
    <row r="591" spans="1:14" x14ac:dyDescent="0.3">
      <c r="A591">
        <v>2697</v>
      </c>
      <c r="B591" t="s">
        <v>2092</v>
      </c>
      <c r="C591" t="s">
        <v>2677</v>
      </c>
      <c r="D591" t="s">
        <v>159</v>
      </c>
      <c r="E591" t="s">
        <v>159</v>
      </c>
      <c r="F591">
        <v>7790</v>
      </c>
      <c r="G591" t="s">
        <v>2672</v>
      </c>
      <c r="H591" t="s">
        <v>2664</v>
      </c>
      <c r="N591" t="s">
        <v>988</v>
      </c>
    </row>
    <row r="592" spans="1:14" x14ac:dyDescent="0.3">
      <c r="A592">
        <v>2697</v>
      </c>
      <c r="B592" t="s">
        <v>2092</v>
      </c>
      <c r="C592" t="s">
        <v>2677</v>
      </c>
      <c r="D592" t="s">
        <v>159</v>
      </c>
      <c r="E592" t="s">
        <v>159</v>
      </c>
      <c r="F592">
        <v>7790</v>
      </c>
      <c r="G592" t="s">
        <v>2676</v>
      </c>
      <c r="H592" t="s">
        <v>2664</v>
      </c>
      <c r="I592">
        <v>96816</v>
      </c>
      <c r="J592">
        <v>100908</v>
      </c>
      <c r="K592">
        <v>106261</v>
      </c>
      <c r="L592">
        <v>112664</v>
      </c>
      <c r="M592">
        <v>121443</v>
      </c>
      <c r="N592" t="s">
        <v>988</v>
      </c>
    </row>
    <row r="593" spans="1:14" x14ac:dyDescent="0.3">
      <c r="A593">
        <v>2697</v>
      </c>
      <c r="B593" t="s">
        <v>2092</v>
      </c>
      <c r="C593" t="s">
        <v>2677</v>
      </c>
      <c r="D593" t="s">
        <v>159</v>
      </c>
      <c r="E593" t="s">
        <v>159</v>
      </c>
      <c r="F593">
        <v>7790</v>
      </c>
      <c r="G593" t="s">
        <v>2676</v>
      </c>
      <c r="H593" t="s">
        <v>2665</v>
      </c>
      <c r="I593">
        <v>96816</v>
      </c>
      <c r="J593">
        <v>100908</v>
      </c>
      <c r="K593">
        <v>106261</v>
      </c>
      <c r="L593">
        <v>112664</v>
      </c>
      <c r="M593">
        <v>121443</v>
      </c>
      <c r="N593" t="s">
        <v>988</v>
      </c>
    </row>
    <row r="594" spans="1:14" x14ac:dyDescent="0.3">
      <c r="A594">
        <v>2697</v>
      </c>
      <c r="B594" t="s">
        <v>2092</v>
      </c>
      <c r="C594" t="s">
        <v>2677</v>
      </c>
      <c r="D594" t="s">
        <v>159</v>
      </c>
      <c r="E594" t="s">
        <v>159</v>
      </c>
      <c r="F594">
        <v>7790</v>
      </c>
      <c r="G594" t="s">
        <v>2675</v>
      </c>
      <c r="H594" t="s">
        <v>2664</v>
      </c>
      <c r="I594">
        <v>96816</v>
      </c>
      <c r="J594">
        <v>100908</v>
      </c>
      <c r="K594">
        <v>106261</v>
      </c>
      <c r="L594">
        <v>112664</v>
      </c>
      <c r="M594">
        <v>121443</v>
      </c>
      <c r="N594" t="s">
        <v>988</v>
      </c>
    </row>
    <row r="595" spans="1:14" x14ac:dyDescent="0.3">
      <c r="A595">
        <v>2697</v>
      </c>
      <c r="B595" t="s">
        <v>2092</v>
      </c>
      <c r="C595" t="s">
        <v>2677</v>
      </c>
      <c r="D595" t="s">
        <v>159</v>
      </c>
      <c r="E595" t="s">
        <v>159</v>
      </c>
      <c r="F595">
        <v>7790</v>
      </c>
      <c r="G595" t="s">
        <v>2675</v>
      </c>
      <c r="H595" t="s">
        <v>2665</v>
      </c>
      <c r="I595">
        <v>96816</v>
      </c>
      <c r="J595">
        <v>100908</v>
      </c>
      <c r="K595">
        <v>106261</v>
      </c>
      <c r="L595">
        <v>112664</v>
      </c>
      <c r="M595">
        <v>121443</v>
      </c>
      <c r="N595" t="s">
        <v>988</v>
      </c>
    </row>
    <row r="596" spans="1:14" x14ac:dyDescent="0.3">
      <c r="A596">
        <v>2697</v>
      </c>
      <c r="B596" t="s">
        <v>2092</v>
      </c>
      <c r="C596" t="s">
        <v>2677</v>
      </c>
      <c r="D596" t="s">
        <v>159</v>
      </c>
      <c r="E596" t="s">
        <v>159</v>
      </c>
      <c r="F596">
        <v>7790</v>
      </c>
      <c r="G596" t="s">
        <v>2674</v>
      </c>
      <c r="H596" t="s">
        <v>2664</v>
      </c>
      <c r="I596">
        <v>96816</v>
      </c>
      <c r="J596">
        <v>100908</v>
      </c>
      <c r="K596">
        <v>106261</v>
      </c>
      <c r="L596">
        <v>112664</v>
      </c>
      <c r="M596">
        <v>121443</v>
      </c>
      <c r="N596" t="s">
        <v>988</v>
      </c>
    </row>
    <row r="597" spans="1:14" x14ac:dyDescent="0.3">
      <c r="A597">
        <v>2697</v>
      </c>
      <c r="B597" t="s">
        <v>2092</v>
      </c>
      <c r="C597" t="s">
        <v>2677</v>
      </c>
      <c r="D597" t="s">
        <v>159</v>
      </c>
      <c r="E597" t="s">
        <v>159</v>
      </c>
      <c r="F597">
        <v>7790</v>
      </c>
      <c r="G597" t="s">
        <v>2674</v>
      </c>
      <c r="H597" t="s">
        <v>2665</v>
      </c>
      <c r="I597">
        <v>96816</v>
      </c>
      <c r="J597">
        <v>100908</v>
      </c>
      <c r="K597">
        <v>106261</v>
      </c>
      <c r="L597">
        <v>112664</v>
      </c>
      <c r="M597">
        <v>121443</v>
      </c>
      <c r="N597" t="s">
        <v>988</v>
      </c>
    </row>
    <row r="598" spans="1:14" x14ac:dyDescent="0.3">
      <c r="A598">
        <v>2697</v>
      </c>
      <c r="B598" t="s">
        <v>2092</v>
      </c>
      <c r="C598" t="s">
        <v>2677</v>
      </c>
      <c r="D598" t="s">
        <v>159</v>
      </c>
      <c r="E598" t="s">
        <v>159</v>
      </c>
      <c r="F598">
        <v>7790</v>
      </c>
      <c r="G598" t="s">
        <v>2673</v>
      </c>
      <c r="H598" t="s">
        <v>2664</v>
      </c>
      <c r="I598">
        <v>96816</v>
      </c>
      <c r="J598">
        <v>100908</v>
      </c>
      <c r="K598">
        <v>106261</v>
      </c>
      <c r="L598">
        <v>112664</v>
      </c>
      <c r="M598">
        <v>121443</v>
      </c>
      <c r="N598" t="s">
        <v>988</v>
      </c>
    </row>
    <row r="599" spans="1:14" x14ac:dyDescent="0.3">
      <c r="A599">
        <v>2697</v>
      </c>
      <c r="B599" t="s">
        <v>2092</v>
      </c>
      <c r="C599" t="s">
        <v>2677</v>
      </c>
      <c r="D599" t="s">
        <v>159</v>
      </c>
      <c r="E599" t="s">
        <v>159</v>
      </c>
      <c r="F599">
        <v>7790</v>
      </c>
      <c r="G599" t="s">
        <v>2673</v>
      </c>
      <c r="H599" t="s">
        <v>2665</v>
      </c>
      <c r="I599">
        <v>96816</v>
      </c>
      <c r="J599">
        <v>100908</v>
      </c>
      <c r="K599">
        <v>106261</v>
      </c>
      <c r="L599">
        <v>112664</v>
      </c>
      <c r="M599">
        <v>121443</v>
      </c>
      <c r="N599" t="s">
        <v>988</v>
      </c>
    </row>
    <row r="600" spans="1:14" x14ac:dyDescent="0.3">
      <c r="A600">
        <v>2697</v>
      </c>
      <c r="B600" t="s">
        <v>2092</v>
      </c>
      <c r="C600" t="s">
        <v>2677</v>
      </c>
      <c r="D600" t="s">
        <v>159</v>
      </c>
      <c r="E600" t="s">
        <v>159</v>
      </c>
      <c r="F600">
        <v>7790</v>
      </c>
      <c r="G600" t="s">
        <v>2671</v>
      </c>
      <c r="H600" t="s">
        <v>2664</v>
      </c>
      <c r="I600">
        <v>96816</v>
      </c>
      <c r="J600">
        <v>100908</v>
      </c>
      <c r="K600">
        <v>106261</v>
      </c>
      <c r="L600">
        <v>112664</v>
      </c>
      <c r="M600">
        <v>121443</v>
      </c>
      <c r="N600" t="s">
        <v>988</v>
      </c>
    </row>
    <row r="601" spans="1:14" x14ac:dyDescent="0.3">
      <c r="A601">
        <v>2697</v>
      </c>
      <c r="B601" t="s">
        <v>2092</v>
      </c>
      <c r="C601" t="s">
        <v>2677</v>
      </c>
      <c r="D601" t="s">
        <v>159</v>
      </c>
      <c r="E601" t="s">
        <v>159</v>
      </c>
      <c r="F601">
        <v>7790</v>
      </c>
      <c r="G601" t="s">
        <v>2671</v>
      </c>
      <c r="H601" t="s">
        <v>2665</v>
      </c>
      <c r="I601">
        <v>96816</v>
      </c>
      <c r="J601">
        <v>100908</v>
      </c>
      <c r="K601">
        <v>106261</v>
      </c>
      <c r="L601">
        <v>112664</v>
      </c>
      <c r="M601">
        <v>121443</v>
      </c>
      <c r="N601" t="s">
        <v>988</v>
      </c>
    </row>
    <row r="602" spans="1:14" x14ac:dyDescent="0.3">
      <c r="A602">
        <v>4811</v>
      </c>
      <c r="B602" t="s">
        <v>2249</v>
      </c>
      <c r="C602" t="s">
        <v>2677</v>
      </c>
      <c r="D602" t="s">
        <v>1203</v>
      </c>
      <c r="E602" t="s">
        <v>1204</v>
      </c>
      <c r="F602">
        <v>6866</v>
      </c>
      <c r="G602" t="s">
        <v>2672</v>
      </c>
      <c r="H602" t="s">
        <v>2664</v>
      </c>
      <c r="N602" t="s">
        <v>988</v>
      </c>
    </row>
    <row r="603" spans="1:14" x14ac:dyDescent="0.3">
      <c r="A603">
        <v>4811</v>
      </c>
      <c r="B603" t="s">
        <v>2249</v>
      </c>
      <c r="C603" t="s">
        <v>2677</v>
      </c>
      <c r="D603" t="s">
        <v>1203</v>
      </c>
      <c r="E603" t="s">
        <v>1204</v>
      </c>
      <c r="F603">
        <v>6866</v>
      </c>
      <c r="G603" t="s">
        <v>2671</v>
      </c>
      <c r="H603" t="s">
        <v>2665</v>
      </c>
      <c r="I603">
        <v>20024</v>
      </c>
      <c r="J603">
        <v>20269</v>
      </c>
      <c r="K603">
        <v>21095</v>
      </c>
      <c r="L603">
        <v>21921</v>
      </c>
      <c r="M603">
        <v>22747</v>
      </c>
      <c r="N603" t="s">
        <v>988</v>
      </c>
    </row>
    <row r="604" spans="1:14" x14ac:dyDescent="0.3">
      <c r="A604">
        <v>4811</v>
      </c>
      <c r="B604" t="s">
        <v>2249</v>
      </c>
      <c r="C604" t="s">
        <v>2677</v>
      </c>
      <c r="D604" t="s">
        <v>1203</v>
      </c>
      <c r="E604" t="s">
        <v>1204</v>
      </c>
      <c r="F604">
        <v>6866</v>
      </c>
      <c r="G604" t="s">
        <v>2671</v>
      </c>
      <c r="H604" t="s">
        <v>2664</v>
      </c>
      <c r="I604">
        <v>31053</v>
      </c>
      <c r="J604">
        <v>31053</v>
      </c>
      <c r="K604">
        <v>31053</v>
      </c>
      <c r="L604">
        <v>31053</v>
      </c>
      <c r="M604">
        <v>31053</v>
      </c>
      <c r="N604" t="s">
        <v>988</v>
      </c>
    </row>
    <row r="605" spans="1:14" x14ac:dyDescent="0.3">
      <c r="A605">
        <v>4811</v>
      </c>
      <c r="B605" t="s">
        <v>2249</v>
      </c>
      <c r="C605" t="s">
        <v>2677</v>
      </c>
      <c r="D605" t="s">
        <v>1203</v>
      </c>
      <c r="E605" t="s">
        <v>1204</v>
      </c>
      <c r="F605">
        <v>6866</v>
      </c>
      <c r="G605" t="s">
        <v>2673</v>
      </c>
      <c r="H605" t="s">
        <v>2665</v>
      </c>
      <c r="I605">
        <v>20024</v>
      </c>
      <c r="J605">
        <v>20269</v>
      </c>
      <c r="K605">
        <v>21095</v>
      </c>
      <c r="L605">
        <v>21921</v>
      </c>
      <c r="M605">
        <v>22747</v>
      </c>
      <c r="N605" t="s">
        <v>988</v>
      </c>
    </row>
    <row r="606" spans="1:14" x14ac:dyDescent="0.3">
      <c r="A606">
        <v>4811</v>
      </c>
      <c r="B606" t="s">
        <v>2249</v>
      </c>
      <c r="C606" t="s">
        <v>2677</v>
      </c>
      <c r="D606" t="s">
        <v>1203</v>
      </c>
      <c r="E606" t="s">
        <v>1204</v>
      </c>
      <c r="F606">
        <v>6866</v>
      </c>
      <c r="G606" t="s">
        <v>2673</v>
      </c>
      <c r="H606" t="s">
        <v>2664</v>
      </c>
      <c r="I606">
        <v>19929</v>
      </c>
      <c r="J606">
        <v>19929</v>
      </c>
      <c r="K606">
        <v>19929</v>
      </c>
      <c r="L606">
        <v>19929</v>
      </c>
      <c r="M606">
        <v>19929</v>
      </c>
      <c r="N606" t="s">
        <v>988</v>
      </c>
    </row>
    <row r="607" spans="1:14" x14ac:dyDescent="0.3">
      <c r="A607">
        <v>4811</v>
      </c>
      <c r="B607" t="s">
        <v>2249</v>
      </c>
      <c r="C607" t="s">
        <v>2677</v>
      </c>
      <c r="D607" t="s">
        <v>1203</v>
      </c>
      <c r="E607" t="s">
        <v>1204</v>
      </c>
      <c r="F607">
        <v>6866</v>
      </c>
      <c r="G607" t="s">
        <v>2672</v>
      </c>
      <c r="H607" t="s">
        <v>2665</v>
      </c>
      <c r="N607" t="s">
        <v>988</v>
      </c>
    </row>
    <row r="608" spans="1:14" x14ac:dyDescent="0.3">
      <c r="A608">
        <v>4811</v>
      </c>
      <c r="B608" t="s">
        <v>2249</v>
      </c>
      <c r="C608" t="s">
        <v>2677</v>
      </c>
      <c r="D608" t="s">
        <v>1203</v>
      </c>
      <c r="E608" t="s">
        <v>1204</v>
      </c>
      <c r="F608">
        <v>6866</v>
      </c>
      <c r="G608" t="s">
        <v>2674</v>
      </c>
      <c r="H608" t="s">
        <v>2664</v>
      </c>
      <c r="I608">
        <v>19653</v>
      </c>
      <c r="J608">
        <v>19653</v>
      </c>
      <c r="K608">
        <v>19653</v>
      </c>
      <c r="L608">
        <v>19653</v>
      </c>
      <c r="M608">
        <v>19653</v>
      </c>
      <c r="N608" t="s">
        <v>988</v>
      </c>
    </row>
    <row r="609" spans="1:14" x14ac:dyDescent="0.3">
      <c r="A609">
        <v>4811</v>
      </c>
      <c r="B609" t="s">
        <v>2249</v>
      </c>
      <c r="C609" t="s">
        <v>2677</v>
      </c>
      <c r="D609" t="s">
        <v>1203</v>
      </c>
      <c r="E609" t="s">
        <v>1204</v>
      </c>
      <c r="F609">
        <v>6866</v>
      </c>
      <c r="G609" t="s">
        <v>2675</v>
      </c>
      <c r="H609" t="s">
        <v>2665</v>
      </c>
      <c r="I609">
        <v>20024</v>
      </c>
      <c r="J609">
        <v>20269</v>
      </c>
      <c r="K609">
        <v>21095</v>
      </c>
      <c r="L609">
        <v>21921</v>
      </c>
      <c r="M609">
        <v>22747</v>
      </c>
      <c r="N609" t="s">
        <v>988</v>
      </c>
    </row>
    <row r="610" spans="1:14" x14ac:dyDescent="0.3">
      <c r="A610">
        <v>4811</v>
      </c>
      <c r="B610" t="s">
        <v>2249</v>
      </c>
      <c r="C610" t="s">
        <v>2677</v>
      </c>
      <c r="D610" t="s">
        <v>1203</v>
      </c>
      <c r="E610" t="s">
        <v>1204</v>
      </c>
      <c r="F610">
        <v>6866</v>
      </c>
      <c r="G610" t="s">
        <v>2675</v>
      </c>
      <c r="H610" t="s">
        <v>2664</v>
      </c>
      <c r="I610">
        <v>22691</v>
      </c>
      <c r="J610">
        <v>22691</v>
      </c>
      <c r="K610">
        <v>22691</v>
      </c>
      <c r="L610">
        <v>22691</v>
      </c>
      <c r="M610">
        <v>22691</v>
      </c>
      <c r="N610" t="s">
        <v>988</v>
      </c>
    </row>
    <row r="611" spans="1:14" x14ac:dyDescent="0.3">
      <c r="A611">
        <v>4811</v>
      </c>
      <c r="B611" t="s">
        <v>2249</v>
      </c>
      <c r="C611" t="s">
        <v>2677</v>
      </c>
      <c r="D611" t="s">
        <v>1203</v>
      </c>
      <c r="E611" t="s">
        <v>1204</v>
      </c>
      <c r="F611">
        <v>6866</v>
      </c>
      <c r="G611" t="s">
        <v>2676</v>
      </c>
      <c r="H611" t="s">
        <v>2665</v>
      </c>
      <c r="I611">
        <v>20024</v>
      </c>
      <c r="J611">
        <v>20269</v>
      </c>
      <c r="K611">
        <v>21095</v>
      </c>
      <c r="L611">
        <v>21921</v>
      </c>
      <c r="M611">
        <v>22747</v>
      </c>
      <c r="N611" t="s">
        <v>988</v>
      </c>
    </row>
    <row r="612" spans="1:14" x14ac:dyDescent="0.3">
      <c r="A612">
        <v>4811</v>
      </c>
      <c r="B612" t="s">
        <v>2249</v>
      </c>
      <c r="C612" t="s">
        <v>2677</v>
      </c>
      <c r="D612" t="s">
        <v>1203</v>
      </c>
      <c r="E612" t="s">
        <v>1204</v>
      </c>
      <c r="F612">
        <v>6866</v>
      </c>
      <c r="G612" t="s">
        <v>2676</v>
      </c>
      <c r="H612" t="s">
        <v>2664</v>
      </c>
      <c r="I612">
        <v>33696</v>
      </c>
      <c r="J612">
        <v>33696</v>
      </c>
      <c r="K612">
        <v>33696</v>
      </c>
      <c r="L612">
        <v>33696</v>
      </c>
      <c r="M612">
        <v>33696</v>
      </c>
      <c r="N612" t="s">
        <v>988</v>
      </c>
    </row>
    <row r="613" spans="1:14" x14ac:dyDescent="0.3">
      <c r="A613">
        <v>4811</v>
      </c>
      <c r="B613" t="s">
        <v>2249</v>
      </c>
      <c r="C613" t="s">
        <v>2677</v>
      </c>
      <c r="D613" t="s">
        <v>1203</v>
      </c>
      <c r="E613" t="s">
        <v>1204</v>
      </c>
      <c r="F613">
        <v>6866</v>
      </c>
      <c r="G613" t="s">
        <v>2674</v>
      </c>
      <c r="H613" t="s">
        <v>2665</v>
      </c>
      <c r="I613">
        <v>20024</v>
      </c>
      <c r="J613">
        <v>20269</v>
      </c>
      <c r="K613">
        <v>21095</v>
      </c>
      <c r="L613">
        <v>21921</v>
      </c>
      <c r="M613">
        <v>22747</v>
      </c>
      <c r="N613" t="s">
        <v>988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24027-FD4B-4486-A838-5E7C32014BDD}">
  <sheetPr codeName="Sheet8">
    <tabColor theme="1"/>
  </sheetPr>
  <dimension ref="A1"/>
  <sheetViews>
    <sheetView workbookViewId="0"/>
  </sheetViews>
  <sheetFormatPr defaultRowHeight="14.4" x14ac:dyDescent="0.3"/>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F4FDD-E81C-4A3B-9650-0661453D05AF}">
  <sheetPr codeName="Sheet10">
    <tabColor theme="9"/>
  </sheetPr>
  <dimension ref="A1:AT2119"/>
  <sheetViews>
    <sheetView topLeftCell="A980" zoomScale="60" zoomScaleNormal="60" workbookViewId="0">
      <selection activeCell="B990" sqref="B990"/>
    </sheetView>
  </sheetViews>
  <sheetFormatPr defaultColWidth="0" defaultRowHeight="14.4" zeroHeight="1" outlineLevelRow="1" x14ac:dyDescent="0.3"/>
  <cols>
    <col min="1" max="1" width="87.21875" bestFit="1" customWidth="1"/>
    <col min="2" max="2" width="41.33203125" customWidth="1"/>
    <col min="3" max="3" width="65.33203125" bestFit="1" customWidth="1"/>
    <col min="4" max="4" width="17" customWidth="1"/>
    <col min="5" max="5" width="14.5546875" bestFit="1" customWidth="1"/>
    <col min="6" max="7" width="13.33203125" bestFit="1" customWidth="1"/>
    <col min="8" max="8" width="25.109375" customWidth="1"/>
    <col min="9" max="9" width="44.6640625" customWidth="1"/>
    <col min="10" max="10" width="24.5546875" style="70" customWidth="1"/>
    <col min="11" max="11" width="15.88671875" customWidth="1"/>
    <col min="12" max="15" width="12.6640625" customWidth="1"/>
    <col min="16" max="16" width="11.5546875" customWidth="1"/>
    <col min="17" max="17" width="9.109375" customWidth="1"/>
    <col min="18" max="18" width="36" bestFit="1" customWidth="1"/>
    <col min="19" max="38" width="9.109375" customWidth="1"/>
    <col min="39" max="39" width="43.6640625" bestFit="1" customWidth="1"/>
    <col min="40" max="44" width="9.109375" customWidth="1"/>
    <col min="45" max="45" width="41.5546875" bestFit="1" customWidth="1"/>
    <col min="46" max="16384" width="9.109375" hidden="1"/>
  </cols>
  <sheetData>
    <row r="1" spans="1:45" ht="25.8" x14ac:dyDescent="0.5">
      <c r="A1" s="74" t="s">
        <v>2678</v>
      </c>
      <c r="B1" s="74"/>
      <c r="C1" s="70"/>
      <c r="D1" s="70"/>
      <c r="E1" s="70"/>
      <c r="F1" s="70"/>
      <c r="G1" s="70"/>
      <c r="H1" s="70"/>
      <c r="I1" s="70"/>
      <c r="J1" s="72"/>
      <c r="K1" s="180"/>
      <c r="L1" s="70"/>
      <c r="M1" s="70"/>
      <c r="N1" s="70"/>
      <c r="O1" s="80" t="s">
        <v>985</v>
      </c>
      <c r="P1" s="70"/>
      <c r="Q1" s="70"/>
      <c r="R1" t="s">
        <v>2679</v>
      </c>
      <c r="S1" s="70" t="s">
        <v>754</v>
      </c>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row>
    <row r="2" spans="1:45" x14ac:dyDescent="0.3">
      <c r="A2" s="566" t="s">
        <v>2680</v>
      </c>
      <c r="B2" s="566"/>
      <c r="C2" s="566"/>
      <c r="D2" s="566"/>
      <c r="E2" s="566"/>
      <c r="F2" s="566"/>
      <c r="G2" s="566"/>
      <c r="H2" s="566"/>
      <c r="I2" s="566"/>
      <c r="J2" s="72"/>
      <c r="K2" s="72"/>
      <c r="L2" s="70"/>
      <c r="M2" s="70"/>
      <c r="N2" s="70"/>
      <c r="O2" s="70" t="s">
        <v>986</v>
      </c>
      <c r="P2" s="191">
        <v>2.29569E-5</v>
      </c>
      <c r="Q2" s="70"/>
      <c r="R2" t="s">
        <v>2681</v>
      </c>
      <c r="S2" s="70" t="s">
        <v>764</v>
      </c>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row>
    <row r="3" spans="1:45" ht="25.8" x14ac:dyDescent="0.5">
      <c r="A3" s="566"/>
      <c r="B3" s="566"/>
      <c r="C3" s="566"/>
      <c r="D3" s="566"/>
      <c r="E3" s="566"/>
      <c r="F3" s="566"/>
      <c r="G3" s="566"/>
      <c r="H3" s="566"/>
      <c r="I3" s="566"/>
      <c r="J3" s="74"/>
      <c r="K3" s="74"/>
      <c r="L3" s="74"/>
      <c r="M3" s="70"/>
      <c r="N3" s="70"/>
      <c r="O3" s="246" t="s">
        <v>2682</v>
      </c>
      <c r="P3" s="243"/>
      <c r="Q3" s="242"/>
      <c r="R3" s="242" t="s">
        <v>2679</v>
      </c>
      <c r="S3" s="242" t="s">
        <v>2679</v>
      </c>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row>
    <row r="4" spans="1:45" x14ac:dyDescent="0.3">
      <c r="A4" s="566"/>
      <c r="B4" s="566"/>
      <c r="C4" s="566"/>
      <c r="D4" s="566"/>
      <c r="E4" s="566"/>
      <c r="F4" s="566"/>
      <c r="G4" s="566"/>
      <c r="H4" s="566"/>
      <c r="I4" s="566"/>
      <c r="K4" s="70"/>
      <c r="L4" s="70"/>
      <c r="M4" s="70"/>
      <c r="N4" s="70"/>
      <c r="O4" s="242"/>
      <c r="P4" s="243"/>
      <c r="Q4" s="242"/>
      <c r="R4" s="242"/>
      <c r="S4" s="242"/>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row>
    <row r="5" spans="1:45" ht="81" customHeight="1" x14ac:dyDescent="0.3">
      <c r="A5" s="566"/>
      <c r="B5" s="566"/>
      <c r="C5" s="566"/>
      <c r="D5" s="566"/>
      <c r="E5" s="566"/>
      <c r="F5" s="566"/>
      <c r="G5" s="566"/>
      <c r="H5" s="566"/>
      <c r="I5" s="566"/>
      <c r="K5" s="70"/>
      <c r="L5" s="70"/>
      <c r="M5" s="70"/>
      <c r="N5" s="70"/>
      <c r="O5" s="242"/>
      <c r="P5" s="243"/>
      <c r="Q5" s="242"/>
      <c r="R5" s="242" t="s">
        <v>687</v>
      </c>
      <c r="S5" s="242" t="s">
        <v>687</v>
      </c>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row>
    <row r="6" spans="1:45" x14ac:dyDescent="0.3">
      <c r="A6" s="70"/>
      <c r="B6" s="70"/>
      <c r="C6" s="70"/>
      <c r="D6" s="70"/>
      <c r="E6" s="70"/>
      <c r="F6" s="70"/>
      <c r="G6" s="70"/>
      <c r="H6" s="70"/>
      <c r="I6" s="70"/>
      <c r="K6" s="70"/>
      <c r="L6" s="70"/>
      <c r="M6" s="70"/>
      <c r="N6" s="70"/>
      <c r="O6" s="242" t="s">
        <v>987</v>
      </c>
      <c r="P6" s="244">
        <v>3.0688878499999999</v>
      </c>
      <c r="Q6" s="242"/>
      <c r="R6" s="242" t="s">
        <v>2683</v>
      </c>
      <c r="S6" s="242" t="s">
        <v>2684</v>
      </c>
      <c r="T6" s="70"/>
      <c r="U6" s="70"/>
      <c r="V6" s="70"/>
      <c r="W6" s="70"/>
      <c r="X6" s="70"/>
      <c r="Y6" s="70"/>
      <c r="Z6" s="70"/>
      <c r="AA6" s="70"/>
      <c r="AB6" s="70"/>
      <c r="AC6" s="70"/>
      <c r="AD6" s="70"/>
      <c r="AE6" s="70"/>
      <c r="AF6" s="70"/>
      <c r="AG6" s="70"/>
      <c r="AH6" s="70"/>
      <c r="AI6" s="70"/>
      <c r="AJ6" s="70"/>
      <c r="AK6" s="70"/>
      <c r="AL6" s="70"/>
      <c r="AM6" s="70"/>
      <c r="AN6" s="70"/>
      <c r="AO6" s="70"/>
      <c r="AP6" s="70"/>
      <c r="AQ6" s="70"/>
      <c r="AR6" s="70"/>
      <c r="AS6" s="70"/>
    </row>
    <row r="7" spans="1:45" ht="25.8" x14ac:dyDescent="0.5">
      <c r="A7" s="562" t="s">
        <v>306</v>
      </c>
      <c r="B7" s="562"/>
      <c r="C7" s="567"/>
      <c r="D7" s="567"/>
      <c r="E7" s="567"/>
      <c r="F7" s="567"/>
      <c r="G7" s="567"/>
      <c r="H7" s="567"/>
      <c r="I7" s="567"/>
      <c r="K7" s="70"/>
      <c r="L7" s="70"/>
      <c r="M7" s="70"/>
      <c r="N7" s="70"/>
      <c r="O7" s="242" t="s">
        <v>988</v>
      </c>
      <c r="P7" s="242">
        <v>1</v>
      </c>
      <c r="Q7" s="242"/>
      <c r="R7" s="242" t="s">
        <v>2685</v>
      </c>
      <c r="S7" s="242" t="s">
        <v>2684</v>
      </c>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row>
    <row r="8" spans="1:45" ht="23.25" customHeight="1" x14ac:dyDescent="0.3">
      <c r="A8" s="557" t="s">
        <v>2686</v>
      </c>
      <c r="B8" s="557"/>
      <c r="C8" s="568"/>
      <c r="D8" s="568"/>
      <c r="E8" s="568"/>
      <c r="F8" s="568"/>
      <c r="G8" s="568"/>
      <c r="H8" s="568"/>
      <c r="I8" s="568"/>
      <c r="K8" s="70"/>
      <c r="L8" s="70"/>
      <c r="M8" s="70"/>
      <c r="N8" s="70"/>
      <c r="O8" s="242"/>
      <c r="P8" s="242"/>
      <c r="Q8" s="242"/>
      <c r="R8" s="242" t="s">
        <v>2687</v>
      </c>
      <c r="S8" s="242" t="s">
        <v>2688</v>
      </c>
      <c r="T8" s="70"/>
      <c r="U8" s="70"/>
      <c r="V8" s="70"/>
      <c r="W8" s="70"/>
      <c r="X8" s="70"/>
      <c r="Y8" s="70"/>
      <c r="Z8" s="70"/>
      <c r="AA8" s="70"/>
      <c r="AB8" s="70"/>
      <c r="AC8" s="70"/>
      <c r="AD8" s="70"/>
      <c r="AE8" s="70"/>
      <c r="AF8" s="70"/>
      <c r="AG8" s="70"/>
      <c r="AH8" s="70"/>
      <c r="AI8" s="70"/>
      <c r="AJ8" s="70"/>
      <c r="AK8" s="70"/>
      <c r="AL8" s="70"/>
      <c r="AM8" s="70"/>
      <c r="AN8" s="70"/>
      <c r="AO8" s="70"/>
      <c r="AP8" s="70"/>
      <c r="AQ8" s="70"/>
      <c r="AR8" s="70"/>
      <c r="AS8" s="70"/>
    </row>
    <row r="9" spans="1:45" ht="15.75" customHeight="1" x14ac:dyDescent="0.3">
      <c r="A9" s="568"/>
      <c r="B9" s="568"/>
      <c r="C9" s="568"/>
      <c r="D9" s="568"/>
      <c r="E9" s="568"/>
      <c r="F9" s="568"/>
      <c r="G9" s="568"/>
      <c r="H9" s="568"/>
      <c r="I9" s="568"/>
      <c r="J9" s="72"/>
      <c r="K9" s="180"/>
      <c r="L9" s="70"/>
      <c r="M9" s="71"/>
      <c r="N9" s="71"/>
      <c r="O9" s="245"/>
      <c r="P9" s="245"/>
      <c r="Q9" s="245"/>
      <c r="R9" s="242" t="s">
        <v>2689</v>
      </c>
      <c r="S9" s="242" t="s">
        <v>2688</v>
      </c>
      <c r="T9" s="70"/>
      <c r="U9" s="70"/>
      <c r="V9" s="70"/>
      <c r="W9" s="70"/>
      <c r="X9" s="70"/>
      <c r="Y9" s="70"/>
      <c r="Z9" s="70"/>
      <c r="AA9" s="70"/>
      <c r="AB9" s="70"/>
      <c r="AC9" s="70"/>
      <c r="AD9" s="70"/>
      <c r="AE9" s="70"/>
      <c r="AF9" s="70"/>
      <c r="AG9" s="70"/>
      <c r="AH9" s="70"/>
      <c r="AI9" s="70"/>
      <c r="AJ9" s="70"/>
      <c r="AK9" s="70"/>
      <c r="AL9" s="70"/>
      <c r="AM9" s="70"/>
      <c r="AN9" s="70"/>
      <c r="AO9" s="70"/>
      <c r="AP9" s="70"/>
      <c r="AQ9" s="70"/>
      <c r="AR9" s="70"/>
      <c r="AS9" s="70"/>
    </row>
    <row r="10" spans="1:45" x14ac:dyDescent="0.3">
      <c r="A10" s="135" t="s">
        <v>2690</v>
      </c>
      <c r="B10" s="135"/>
      <c r="C10" s="135"/>
      <c r="D10" s="135"/>
      <c r="E10" s="135"/>
      <c r="F10" s="135"/>
      <c r="G10" s="135"/>
      <c r="H10" s="135"/>
      <c r="I10" s="135"/>
      <c r="K10" s="70"/>
      <c r="L10" s="70"/>
      <c r="M10" s="71"/>
      <c r="N10" s="71"/>
      <c r="O10" s="245"/>
      <c r="P10" s="245"/>
      <c r="Q10" s="245"/>
      <c r="R10" s="242" t="s">
        <v>2691</v>
      </c>
      <c r="S10" s="242" t="s">
        <v>2692</v>
      </c>
      <c r="T10" s="70"/>
      <c r="U10" s="70"/>
      <c r="V10" s="70"/>
      <c r="W10" s="70"/>
      <c r="X10" s="70"/>
      <c r="Y10" s="70"/>
      <c r="Z10" s="70"/>
      <c r="AA10" s="70"/>
      <c r="AB10" s="70"/>
      <c r="AC10" s="70"/>
      <c r="AD10" s="70"/>
      <c r="AE10" s="70"/>
      <c r="AF10" s="70"/>
      <c r="AG10" s="70"/>
      <c r="AH10" s="70"/>
      <c r="AI10" s="70"/>
      <c r="AJ10" s="70"/>
      <c r="AK10" s="70"/>
      <c r="AL10" s="70"/>
      <c r="AM10" s="70"/>
      <c r="AN10" s="70"/>
      <c r="AO10" s="70"/>
      <c r="AP10" s="70"/>
      <c r="AQ10" s="70"/>
      <c r="AR10" s="70"/>
      <c r="AS10" s="70"/>
    </row>
    <row r="11" spans="1:45" x14ac:dyDescent="0.3">
      <c r="A11" s="48" t="s">
        <v>2694</v>
      </c>
      <c r="B11" s="48"/>
      <c r="C11" s="46" t="s">
        <v>2693</v>
      </c>
      <c r="D11" s="156">
        <v>962425.79613649996</v>
      </c>
      <c r="E11" s="156">
        <v>1018076.3723975</v>
      </c>
      <c r="F11" s="156">
        <v>1140456.9486584999</v>
      </c>
      <c r="G11" s="156">
        <v>1151297.9571152499</v>
      </c>
      <c r="H11" s="156">
        <v>1175815.10963725</v>
      </c>
      <c r="I11" s="49"/>
      <c r="K11" s="70"/>
      <c r="L11" s="70"/>
      <c r="M11" s="71"/>
      <c r="N11" s="71"/>
      <c r="O11" s="245"/>
      <c r="P11" s="245"/>
      <c r="Q11" s="245"/>
      <c r="R11" s="242" t="s">
        <v>687</v>
      </c>
      <c r="S11" s="242" t="s">
        <v>687</v>
      </c>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row>
    <row r="12" spans="1:45" x14ac:dyDescent="0.3">
      <c r="A12" s="48" t="s">
        <v>5</v>
      </c>
      <c r="B12" s="48" t="s">
        <v>847</v>
      </c>
      <c r="C12" s="48" t="s">
        <v>193</v>
      </c>
      <c r="D12" s="219">
        <v>2025</v>
      </c>
      <c r="E12" s="219">
        <v>2030</v>
      </c>
      <c r="F12" s="219">
        <v>2035</v>
      </c>
      <c r="G12" s="219">
        <v>2040</v>
      </c>
      <c r="H12" s="219">
        <v>2045</v>
      </c>
      <c r="I12" s="49" t="s">
        <v>153</v>
      </c>
      <c r="J12" s="424"/>
      <c r="K12" s="70"/>
      <c r="L12" s="70"/>
      <c r="M12" s="71"/>
      <c r="N12" s="71"/>
      <c r="O12" s="245"/>
      <c r="P12" s="245"/>
      <c r="Q12" s="245"/>
      <c r="R12" s="242" t="s">
        <v>784</v>
      </c>
      <c r="S12" s="242" t="s">
        <v>784</v>
      </c>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row>
    <row r="13" spans="1:45" hidden="1" outlineLevel="1" x14ac:dyDescent="0.3">
      <c r="A13" s="45" t="s">
        <v>2694</v>
      </c>
      <c r="B13" s="45" t="s">
        <v>855</v>
      </c>
      <c r="C13" s="48" t="s">
        <v>747</v>
      </c>
      <c r="D13" s="389" t="s">
        <v>204</v>
      </c>
      <c r="E13" s="389" t="s">
        <v>204</v>
      </c>
      <c r="F13" s="389" t="s">
        <v>204</v>
      </c>
      <c r="G13" s="389" t="s">
        <v>204</v>
      </c>
      <c r="H13" s="389" t="s">
        <v>204</v>
      </c>
      <c r="I13" s="50"/>
      <c r="K13" s="70"/>
      <c r="L13" s="71"/>
      <c r="M13" s="71"/>
      <c r="N13" s="71"/>
      <c r="O13" s="71"/>
      <c r="P13" s="71"/>
      <c r="Q13" s="71"/>
      <c r="R13" t="s">
        <v>2695</v>
      </c>
      <c r="S13" s="70" t="s">
        <v>687</v>
      </c>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row>
    <row r="14" spans="1:45" hidden="1" outlineLevel="1" x14ac:dyDescent="0.3">
      <c r="A14" s="45" t="s">
        <v>2694</v>
      </c>
      <c r="B14" s="45" t="s">
        <v>855</v>
      </c>
      <c r="C14" s="48" t="s">
        <v>751</v>
      </c>
      <c r="D14" s="155">
        <v>27000</v>
      </c>
      <c r="E14" s="155">
        <v>27000</v>
      </c>
      <c r="F14" s="155">
        <v>27000</v>
      </c>
      <c r="G14" s="155">
        <v>27000</v>
      </c>
      <c r="H14" s="155">
        <v>27000</v>
      </c>
      <c r="I14" s="50" t="s">
        <v>2696</v>
      </c>
      <c r="K14" s="70"/>
      <c r="L14" s="71"/>
      <c r="M14" s="71"/>
      <c r="N14" s="71"/>
      <c r="O14" s="71"/>
      <c r="P14" s="71"/>
      <c r="Q14" s="71"/>
      <c r="R14" t="s">
        <v>2695</v>
      </c>
      <c r="S14" s="70" t="s">
        <v>687</v>
      </c>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row>
    <row r="15" spans="1:45" hidden="1" outlineLevel="1" x14ac:dyDescent="0.3">
      <c r="A15" s="45" t="s">
        <v>2694</v>
      </c>
      <c r="B15" s="45" t="s">
        <v>855</v>
      </c>
      <c r="C15" s="48" t="s">
        <v>755</v>
      </c>
      <c r="D15" s="155">
        <v>0</v>
      </c>
      <c r="E15" s="155">
        <v>0</v>
      </c>
      <c r="F15" s="155">
        <v>0</v>
      </c>
      <c r="G15" s="155">
        <v>0</v>
      </c>
      <c r="H15" s="155">
        <v>0</v>
      </c>
      <c r="I15" s="50" t="s">
        <v>2697</v>
      </c>
      <c r="K15" s="71"/>
      <c r="L15" s="71"/>
      <c r="M15" s="71"/>
      <c r="N15" s="71"/>
      <c r="O15" s="71"/>
      <c r="P15" s="71"/>
      <c r="Q15" s="71"/>
      <c r="R15" t="s">
        <v>2698</v>
      </c>
      <c r="S15" s="70" t="s">
        <v>2698</v>
      </c>
      <c r="T15" s="70"/>
      <c r="U15" s="70"/>
      <c r="V15" s="70"/>
      <c r="W15" s="70"/>
      <c r="X15" s="70"/>
      <c r="Y15" s="70"/>
      <c r="Z15" s="70"/>
      <c r="AA15" s="70"/>
      <c r="AB15" s="70"/>
      <c r="AC15" s="70"/>
      <c r="AD15" s="70"/>
      <c r="AE15" s="70"/>
      <c r="AF15" s="70"/>
      <c r="AG15" s="70"/>
      <c r="AH15" s="70"/>
      <c r="AI15" s="70"/>
      <c r="AJ15" s="70"/>
      <c r="AK15" s="70"/>
      <c r="AL15" s="70"/>
      <c r="AM15" s="70"/>
      <c r="AN15" s="70"/>
      <c r="AO15" s="70"/>
      <c r="AP15" s="70"/>
      <c r="AQ15" s="70"/>
      <c r="AR15" s="70"/>
      <c r="AS15" s="70"/>
    </row>
    <row r="16" spans="1:45" hidden="1" outlineLevel="1" x14ac:dyDescent="0.3">
      <c r="A16" s="45" t="s">
        <v>2694</v>
      </c>
      <c r="B16" s="45" t="s">
        <v>855</v>
      </c>
      <c r="C16" s="48" t="s">
        <v>758</v>
      </c>
      <c r="D16" s="155">
        <v>0</v>
      </c>
      <c r="E16" s="155">
        <v>0</v>
      </c>
      <c r="F16" s="155">
        <v>0</v>
      </c>
      <c r="G16" s="155">
        <v>0</v>
      </c>
      <c r="H16" s="155">
        <v>0</v>
      </c>
      <c r="I16" s="50" t="s">
        <v>2699</v>
      </c>
      <c r="K16" s="71"/>
      <c r="L16" s="71"/>
      <c r="M16" s="71"/>
      <c r="N16" s="71"/>
      <c r="O16" s="71"/>
      <c r="P16" s="71"/>
      <c r="Q16" s="71"/>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c r="AR16" s="70"/>
      <c r="AS16" s="70"/>
    </row>
    <row r="17" spans="1:45" hidden="1" outlineLevel="1" x14ac:dyDescent="0.3">
      <c r="A17" s="45" t="s">
        <v>2694</v>
      </c>
      <c r="B17" s="45" t="s">
        <v>855</v>
      </c>
      <c r="C17" s="48" t="s">
        <v>761</v>
      </c>
      <c r="D17" s="155">
        <v>18350</v>
      </c>
      <c r="E17" s="155">
        <v>18350</v>
      </c>
      <c r="F17" s="155">
        <v>18350</v>
      </c>
      <c r="G17" s="155">
        <v>18350</v>
      </c>
      <c r="H17" s="155">
        <v>18350</v>
      </c>
      <c r="I17" s="50" t="s">
        <v>2700</v>
      </c>
      <c r="K17" s="71"/>
      <c r="L17" s="71"/>
      <c r="M17" s="71"/>
      <c r="N17" s="71"/>
      <c r="O17" s="71"/>
      <c r="P17" s="71"/>
      <c r="Q17" s="71"/>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R17" s="70"/>
      <c r="AS17" s="70"/>
    </row>
    <row r="18" spans="1:45" hidden="1" outlineLevel="1" x14ac:dyDescent="0.3">
      <c r="A18" s="45" t="s">
        <v>2694</v>
      </c>
      <c r="B18" s="45" t="s">
        <v>855</v>
      </c>
      <c r="C18" s="48" t="s">
        <v>763</v>
      </c>
      <c r="D18" s="155">
        <v>15500</v>
      </c>
      <c r="E18" s="155">
        <v>15500</v>
      </c>
      <c r="F18" s="155">
        <v>15500</v>
      </c>
      <c r="G18" s="155">
        <v>15500</v>
      </c>
      <c r="H18" s="155">
        <v>15500</v>
      </c>
      <c r="I18" s="50" t="s">
        <v>2701</v>
      </c>
      <c r="K18" s="71"/>
      <c r="L18" s="71"/>
      <c r="M18" s="71"/>
      <c r="N18" s="71"/>
      <c r="O18" s="71"/>
      <c r="P18" s="71"/>
      <c r="Q18" s="71"/>
      <c r="R18" s="70"/>
      <c r="S18" s="70"/>
      <c r="T18" s="70"/>
      <c r="U18" s="70"/>
      <c r="V18" s="70"/>
      <c r="W18" s="70"/>
      <c r="X18" s="70"/>
      <c r="Y18" s="70"/>
      <c r="Z18" s="70"/>
      <c r="AA18" s="70"/>
      <c r="AB18" s="70"/>
      <c r="AC18" s="70"/>
      <c r="AD18" s="70"/>
      <c r="AE18" s="70"/>
      <c r="AF18" s="70"/>
      <c r="AG18" s="70"/>
      <c r="AH18" s="70"/>
      <c r="AI18" s="70"/>
      <c r="AJ18" s="70"/>
      <c r="AK18" s="70"/>
      <c r="AL18" s="70"/>
      <c r="AM18" s="70"/>
      <c r="AN18" s="70"/>
      <c r="AO18" s="70"/>
      <c r="AP18" s="70"/>
      <c r="AQ18" s="70"/>
      <c r="AR18" s="70"/>
      <c r="AS18" s="70"/>
    </row>
    <row r="19" spans="1:45" hidden="1" outlineLevel="1" x14ac:dyDescent="0.3">
      <c r="A19" s="45" t="s">
        <v>2694</v>
      </c>
      <c r="B19" s="45" t="s">
        <v>855</v>
      </c>
      <c r="C19" s="48" t="s">
        <v>765</v>
      </c>
      <c r="D19" s="155">
        <v>59744</v>
      </c>
      <c r="E19" s="155">
        <v>59744</v>
      </c>
      <c r="F19" s="155">
        <v>59744</v>
      </c>
      <c r="G19" s="155">
        <v>59744</v>
      </c>
      <c r="H19" s="155">
        <v>74000</v>
      </c>
      <c r="I19" s="50" t="s">
        <v>2702</v>
      </c>
      <c r="K19" s="70"/>
      <c r="L19" s="71"/>
      <c r="M19" s="71"/>
      <c r="N19" s="71"/>
      <c r="O19" s="71"/>
      <c r="P19" s="71"/>
      <c r="Q19" s="71"/>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row>
    <row r="20" spans="1:45" hidden="1" outlineLevel="1" x14ac:dyDescent="0.3">
      <c r="A20" s="45" t="s">
        <v>2694</v>
      </c>
      <c r="B20" s="45" t="s">
        <v>855</v>
      </c>
      <c r="C20" s="48" t="s">
        <v>768</v>
      </c>
      <c r="D20" s="389" t="s">
        <v>204</v>
      </c>
      <c r="E20" s="389" t="s">
        <v>204</v>
      </c>
      <c r="F20" s="389" t="s">
        <v>204</v>
      </c>
      <c r="G20" s="389" t="s">
        <v>204</v>
      </c>
      <c r="H20" s="389" t="s">
        <v>204</v>
      </c>
      <c r="I20" s="50"/>
      <c r="K20" s="181"/>
      <c r="L20" s="71"/>
      <c r="M20" s="71"/>
      <c r="N20" s="71"/>
      <c r="O20" s="71"/>
      <c r="P20" s="71"/>
      <c r="Q20" s="71"/>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c r="AR20" s="70"/>
      <c r="AS20" s="70"/>
    </row>
    <row r="21" spans="1:45" hidden="1" outlineLevel="1" x14ac:dyDescent="0.3">
      <c r="A21" s="45" t="s">
        <v>2694</v>
      </c>
      <c r="B21" s="45" t="s">
        <v>855</v>
      </c>
      <c r="C21" s="48" t="s">
        <v>771</v>
      </c>
      <c r="D21" s="155">
        <v>123400</v>
      </c>
      <c r="E21" s="155">
        <v>123400</v>
      </c>
      <c r="F21" s="155">
        <v>123400</v>
      </c>
      <c r="G21" s="155">
        <v>123400</v>
      </c>
      <c r="H21" s="155">
        <v>123400</v>
      </c>
      <c r="I21" s="50" t="s">
        <v>2703</v>
      </c>
      <c r="K21" s="71"/>
      <c r="L21" s="71"/>
      <c r="M21" s="71"/>
      <c r="N21" s="71"/>
      <c r="O21" s="71"/>
      <c r="P21" s="71"/>
      <c r="Q21" s="71"/>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0"/>
      <c r="AQ21" s="70"/>
      <c r="AR21" s="70"/>
      <c r="AS21" s="70"/>
    </row>
    <row r="22" spans="1:45" hidden="1" outlineLevel="1" x14ac:dyDescent="0.3">
      <c r="A22" s="45" t="s">
        <v>2694</v>
      </c>
      <c r="B22" s="45" t="s">
        <v>855</v>
      </c>
      <c r="C22" s="48" t="s">
        <v>772</v>
      </c>
      <c r="D22" s="155">
        <v>72646</v>
      </c>
      <c r="E22" s="155">
        <v>72646</v>
      </c>
      <c r="F22" s="155">
        <v>72646</v>
      </c>
      <c r="G22" s="155">
        <v>72646</v>
      </c>
      <c r="H22" s="155">
        <v>72646</v>
      </c>
      <c r="I22" s="50" t="s">
        <v>2704</v>
      </c>
      <c r="K22" s="71"/>
      <c r="L22" s="71"/>
      <c r="M22" s="71"/>
      <c r="N22" s="71"/>
      <c r="O22" s="71"/>
      <c r="P22" s="71"/>
      <c r="Q22" s="71"/>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70"/>
      <c r="AQ22" s="70"/>
      <c r="AR22" s="70"/>
      <c r="AS22" s="70"/>
    </row>
    <row r="23" spans="1:45" hidden="1" outlineLevel="1" x14ac:dyDescent="0.3">
      <c r="A23" s="45" t="s">
        <v>2694</v>
      </c>
      <c r="B23" s="45" t="s">
        <v>855</v>
      </c>
      <c r="C23" s="48" t="s">
        <v>774</v>
      </c>
      <c r="D23" s="155">
        <v>58000</v>
      </c>
      <c r="E23" s="155">
        <v>58000</v>
      </c>
      <c r="F23" s="155">
        <v>58000</v>
      </c>
      <c r="G23" s="155">
        <v>58000</v>
      </c>
      <c r="H23" s="155">
        <v>58000</v>
      </c>
      <c r="I23" s="50" t="s">
        <v>2705</v>
      </c>
      <c r="K23" s="71"/>
      <c r="L23" s="71"/>
      <c r="M23" s="71"/>
      <c r="N23" s="71"/>
      <c r="O23" s="71"/>
      <c r="P23" s="71"/>
      <c r="Q23" s="71"/>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row>
    <row r="24" spans="1:45" hidden="1" outlineLevel="1" x14ac:dyDescent="0.3">
      <c r="A24" s="45" t="s">
        <v>2694</v>
      </c>
      <c r="B24" s="45" t="s">
        <v>855</v>
      </c>
      <c r="C24" s="48" t="s">
        <v>775</v>
      </c>
      <c r="D24" s="389" t="s">
        <v>204</v>
      </c>
      <c r="E24" s="389" t="s">
        <v>204</v>
      </c>
      <c r="F24" s="389" t="s">
        <v>204</v>
      </c>
      <c r="G24" s="389" t="s">
        <v>204</v>
      </c>
      <c r="H24" s="389" t="s">
        <v>204</v>
      </c>
      <c r="I24" s="50"/>
      <c r="K24" s="71"/>
      <c r="L24" s="71"/>
      <c r="M24" s="71"/>
      <c r="N24" s="71"/>
      <c r="O24" s="71"/>
      <c r="P24" s="71"/>
      <c r="Q24" s="71"/>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row>
    <row r="25" spans="1:45" hidden="1" outlineLevel="1" x14ac:dyDescent="0.3">
      <c r="A25" s="45" t="s">
        <v>2694</v>
      </c>
      <c r="B25" s="45" t="s">
        <v>855</v>
      </c>
      <c r="C25" s="48" t="s">
        <v>779</v>
      </c>
      <c r="D25" s="389" t="s">
        <v>204</v>
      </c>
      <c r="E25" s="389" t="s">
        <v>204</v>
      </c>
      <c r="F25" s="389" t="s">
        <v>204</v>
      </c>
      <c r="G25" s="389" t="s">
        <v>204</v>
      </c>
      <c r="H25" s="389" t="s">
        <v>204</v>
      </c>
      <c r="I25" s="50"/>
      <c r="K25" s="71"/>
      <c r="L25" s="71"/>
      <c r="M25" s="71"/>
      <c r="N25" s="71"/>
      <c r="O25" s="71"/>
      <c r="P25" s="71"/>
      <c r="Q25" s="71"/>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c r="AR25" s="70"/>
      <c r="AS25" s="70"/>
    </row>
    <row r="26" spans="1:45" hidden="1" outlineLevel="1" x14ac:dyDescent="0.3">
      <c r="A26" s="45" t="s">
        <v>2694</v>
      </c>
      <c r="B26" s="45" t="s">
        <v>894</v>
      </c>
      <c r="C26" s="48" t="s">
        <v>781</v>
      </c>
      <c r="D26" s="389" t="s">
        <v>204</v>
      </c>
      <c r="E26" s="389" t="s">
        <v>204</v>
      </c>
      <c r="F26" s="389" t="s">
        <v>204</v>
      </c>
      <c r="G26" s="389" t="s">
        <v>204</v>
      </c>
      <c r="H26" s="389" t="s">
        <v>204</v>
      </c>
      <c r="I26" s="50"/>
      <c r="K26" s="71"/>
      <c r="L26" s="71"/>
      <c r="M26" s="71"/>
      <c r="N26" s="71"/>
      <c r="O26" s="71"/>
      <c r="P26" s="71"/>
      <c r="Q26" s="71"/>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row>
    <row r="27" spans="1:45" hidden="1" outlineLevel="1" x14ac:dyDescent="0.3">
      <c r="A27" s="45" t="s">
        <v>2694</v>
      </c>
      <c r="B27" s="45" t="s">
        <v>894</v>
      </c>
      <c r="C27" s="48" t="s">
        <v>783</v>
      </c>
      <c r="D27" s="155">
        <v>0</v>
      </c>
      <c r="E27" s="155">
        <v>0</v>
      </c>
      <c r="F27" s="155">
        <v>0</v>
      </c>
      <c r="G27" s="155">
        <v>0</v>
      </c>
      <c r="H27" s="155">
        <v>0</v>
      </c>
      <c r="I27" s="50" t="s">
        <v>2706</v>
      </c>
      <c r="K27" s="71"/>
      <c r="L27" s="71"/>
      <c r="M27" s="71"/>
      <c r="N27" s="71"/>
      <c r="O27" s="71"/>
      <c r="P27" s="71"/>
      <c r="Q27" s="71"/>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c r="AR27" s="70"/>
      <c r="AS27" s="70"/>
    </row>
    <row r="28" spans="1:45" hidden="1" outlineLevel="1" x14ac:dyDescent="0.3">
      <c r="A28" s="45" t="s">
        <v>2694</v>
      </c>
      <c r="B28" s="45" t="s">
        <v>894</v>
      </c>
      <c r="C28" s="48" t="s">
        <v>785</v>
      </c>
      <c r="D28" s="155">
        <v>125030</v>
      </c>
      <c r="E28" s="155">
        <v>131600</v>
      </c>
      <c r="F28" s="155">
        <v>131600</v>
      </c>
      <c r="G28" s="155">
        <v>131600</v>
      </c>
      <c r="H28" s="155">
        <v>131600</v>
      </c>
      <c r="I28" s="50" t="s">
        <v>2707</v>
      </c>
      <c r="K28" s="71"/>
      <c r="L28" s="71"/>
      <c r="M28" s="71"/>
      <c r="N28" s="71"/>
      <c r="O28" s="71"/>
      <c r="P28" s="71"/>
      <c r="Q28" s="71"/>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row>
    <row r="29" spans="1:45" hidden="1" outlineLevel="1" x14ac:dyDescent="0.3">
      <c r="A29" s="45" t="s">
        <v>2694</v>
      </c>
      <c r="B29" s="45" t="s">
        <v>894</v>
      </c>
      <c r="C29" s="48" t="s">
        <v>787</v>
      </c>
      <c r="D29" s="389" t="s">
        <v>204</v>
      </c>
      <c r="E29" s="389" t="s">
        <v>204</v>
      </c>
      <c r="F29" s="389" t="s">
        <v>204</v>
      </c>
      <c r="G29" s="389" t="s">
        <v>204</v>
      </c>
      <c r="H29" s="389" t="s">
        <v>204</v>
      </c>
      <c r="I29" s="50"/>
      <c r="K29" s="71"/>
      <c r="L29" s="71"/>
      <c r="M29" s="71"/>
      <c r="N29" s="71"/>
      <c r="O29" s="71"/>
      <c r="P29" s="71"/>
      <c r="Q29" s="71"/>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row>
    <row r="30" spans="1:45" hidden="1" outlineLevel="1" x14ac:dyDescent="0.3">
      <c r="A30" s="45" t="s">
        <v>2694</v>
      </c>
      <c r="B30" s="45" t="s">
        <v>894</v>
      </c>
      <c r="C30" s="48" t="s">
        <v>788</v>
      </c>
      <c r="D30" s="389" t="s">
        <v>204</v>
      </c>
      <c r="E30" s="389" t="s">
        <v>204</v>
      </c>
      <c r="F30" s="389" t="s">
        <v>204</v>
      </c>
      <c r="G30" s="389" t="s">
        <v>204</v>
      </c>
      <c r="H30" s="389" t="s">
        <v>204</v>
      </c>
      <c r="I30" s="50"/>
      <c r="K30" s="71"/>
      <c r="L30" s="71"/>
      <c r="M30" s="71"/>
      <c r="N30" s="71"/>
      <c r="O30" s="71"/>
      <c r="P30" s="71"/>
      <c r="Q30" s="71"/>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c r="AR30" s="70"/>
      <c r="AS30" s="70"/>
    </row>
    <row r="31" spans="1:45" hidden="1" outlineLevel="1" x14ac:dyDescent="0.3">
      <c r="A31" s="45" t="s">
        <v>2694</v>
      </c>
      <c r="B31" s="45" t="s">
        <v>894</v>
      </c>
      <c r="C31" s="48" t="s">
        <v>789</v>
      </c>
      <c r="D31" s="389" t="s">
        <v>204</v>
      </c>
      <c r="E31" s="389" t="s">
        <v>204</v>
      </c>
      <c r="F31" s="389" t="s">
        <v>204</v>
      </c>
      <c r="G31" s="389" t="s">
        <v>204</v>
      </c>
      <c r="H31" s="389" t="s">
        <v>204</v>
      </c>
      <c r="I31" s="50"/>
      <c r="K31" s="71"/>
      <c r="L31" s="71"/>
      <c r="M31" s="71"/>
      <c r="N31" s="71"/>
      <c r="O31" s="71"/>
      <c r="P31" s="71"/>
      <c r="Q31" s="71"/>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row>
    <row r="32" spans="1:45" hidden="1" outlineLevel="1" x14ac:dyDescent="0.3">
      <c r="A32" s="45" t="s">
        <v>2694</v>
      </c>
      <c r="B32" s="45" t="s">
        <v>894</v>
      </c>
      <c r="C32" s="48" t="s">
        <v>790</v>
      </c>
      <c r="D32" s="366">
        <v>0</v>
      </c>
      <c r="E32" s="366">
        <v>0</v>
      </c>
      <c r="F32" s="366">
        <v>0</v>
      </c>
      <c r="G32" s="366">
        <v>0</v>
      </c>
      <c r="H32" s="366">
        <v>0</v>
      </c>
      <c r="I32" s="50" t="s">
        <v>2708</v>
      </c>
      <c r="K32" s="182"/>
      <c r="L32" s="71"/>
      <c r="M32" s="71"/>
      <c r="N32" s="71"/>
      <c r="O32" s="71"/>
      <c r="P32" s="71"/>
      <c r="Q32" s="71"/>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row>
    <row r="33" spans="1:45" hidden="1" outlineLevel="1" x14ac:dyDescent="0.3">
      <c r="A33" s="45" t="s">
        <v>2694</v>
      </c>
      <c r="B33" s="45" t="s">
        <v>894</v>
      </c>
      <c r="C33" s="48" t="s">
        <v>793</v>
      </c>
      <c r="D33" s="389" t="s">
        <v>204</v>
      </c>
      <c r="E33" s="389" t="s">
        <v>204</v>
      </c>
      <c r="F33" s="389" t="s">
        <v>204</v>
      </c>
      <c r="G33" s="389" t="s">
        <v>204</v>
      </c>
      <c r="H33" s="389" t="s">
        <v>204</v>
      </c>
      <c r="I33" s="50"/>
      <c r="K33" s="71"/>
      <c r="L33" s="71"/>
      <c r="M33" s="71"/>
      <c r="N33" s="71"/>
      <c r="O33" s="71"/>
      <c r="P33" s="71"/>
      <c r="Q33" s="71"/>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row>
    <row r="34" spans="1:45" hidden="1" outlineLevel="1" x14ac:dyDescent="0.3">
      <c r="A34" s="45" t="s">
        <v>2694</v>
      </c>
      <c r="B34" s="45" t="s">
        <v>894</v>
      </c>
      <c r="C34" s="48" t="s">
        <v>795</v>
      </c>
      <c r="D34" s="389" t="s">
        <v>204</v>
      </c>
      <c r="E34" s="389" t="s">
        <v>204</v>
      </c>
      <c r="F34" s="389" t="s">
        <v>204</v>
      </c>
      <c r="G34" s="389" t="s">
        <v>204</v>
      </c>
      <c r="H34" s="389" t="s">
        <v>204</v>
      </c>
      <c r="I34" s="50"/>
      <c r="K34" s="70"/>
      <c r="L34" s="71"/>
      <c r="M34" s="71"/>
      <c r="N34" s="71"/>
      <c r="O34" s="71"/>
      <c r="P34" s="71"/>
      <c r="Q34" s="71"/>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row>
    <row r="35" spans="1:45" hidden="1" outlineLevel="1" x14ac:dyDescent="0.3">
      <c r="A35" s="45" t="s">
        <v>2694</v>
      </c>
      <c r="B35" s="45" t="s">
        <v>894</v>
      </c>
      <c r="C35" s="48" t="s">
        <v>797</v>
      </c>
      <c r="D35" s="155">
        <v>0</v>
      </c>
      <c r="E35" s="155">
        <v>0</v>
      </c>
      <c r="F35" s="155">
        <v>0</v>
      </c>
      <c r="G35" s="155">
        <v>0</v>
      </c>
      <c r="H35" s="155">
        <v>0</v>
      </c>
      <c r="I35" s="50" t="s">
        <v>2709</v>
      </c>
      <c r="K35" s="71"/>
      <c r="L35" s="71"/>
      <c r="M35" s="71"/>
      <c r="N35" s="71"/>
      <c r="O35" s="71"/>
      <c r="P35" s="71"/>
      <c r="Q35" s="71"/>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row>
    <row r="36" spans="1:45" hidden="1" outlineLevel="1" x14ac:dyDescent="0.3">
      <c r="A36" s="45" t="s">
        <v>2694</v>
      </c>
      <c r="B36" s="45" t="s">
        <v>915</v>
      </c>
      <c r="C36" s="48" t="s">
        <v>799</v>
      </c>
      <c r="D36" s="155">
        <v>5500</v>
      </c>
      <c r="E36" s="155">
        <v>5500</v>
      </c>
      <c r="F36" s="155">
        <v>5500</v>
      </c>
      <c r="G36" s="155">
        <v>5500</v>
      </c>
      <c r="H36" s="155">
        <v>5500</v>
      </c>
      <c r="I36" s="50" t="s">
        <v>2710</v>
      </c>
      <c r="K36" s="71"/>
      <c r="L36" s="71"/>
      <c r="M36" s="71"/>
      <c r="N36" s="71"/>
      <c r="O36" s="71"/>
      <c r="P36" s="71"/>
      <c r="Q36" s="71"/>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row>
    <row r="37" spans="1:45" hidden="1" outlineLevel="1" x14ac:dyDescent="0.3">
      <c r="A37" s="45" t="s">
        <v>2694</v>
      </c>
      <c r="B37" s="45" t="s">
        <v>915</v>
      </c>
      <c r="C37" s="48" t="s">
        <v>801</v>
      </c>
      <c r="D37" s="155">
        <v>5000</v>
      </c>
      <c r="E37" s="155">
        <v>5000</v>
      </c>
      <c r="F37" s="155">
        <v>5000</v>
      </c>
      <c r="G37" s="155">
        <v>5000</v>
      </c>
      <c r="H37" s="155">
        <v>5000</v>
      </c>
      <c r="I37" s="50" t="s">
        <v>2711</v>
      </c>
      <c r="K37" s="71"/>
      <c r="L37" s="71"/>
      <c r="M37" s="71"/>
      <c r="N37" s="71"/>
      <c r="O37" s="71"/>
      <c r="P37" s="71"/>
      <c r="Q37" s="71"/>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row>
    <row r="38" spans="1:45" hidden="1" outlineLevel="1" x14ac:dyDescent="0.3">
      <c r="A38" s="45" t="s">
        <v>2694</v>
      </c>
      <c r="B38" s="45" t="s">
        <v>915</v>
      </c>
      <c r="C38" s="48" t="s">
        <v>804</v>
      </c>
      <c r="D38" s="155">
        <v>104400</v>
      </c>
      <c r="E38" s="155">
        <v>107000</v>
      </c>
      <c r="F38" s="155">
        <v>109900</v>
      </c>
      <c r="G38" s="155">
        <v>112900</v>
      </c>
      <c r="H38" s="155">
        <v>114200</v>
      </c>
      <c r="I38" s="50" t="s">
        <v>2712</v>
      </c>
      <c r="K38" s="71"/>
      <c r="L38" s="71"/>
      <c r="M38" s="71"/>
      <c r="N38" s="71"/>
      <c r="O38" s="71"/>
      <c r="P38" s="71"/>
      <c r="Q38" s="71"/>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row>
    <row r="39" spans="1:45" hidden="1" outlineLevel="1" x14ac:dyDescent="0.3">
      <c r="A39" s="45" t="s">
        <v>2694</v>
      </c>
      <c r="B39" s="45" t="s">
        <v>915</v>
      </c>
      <c r="C39" s="48" t="s">
        <v>806</v>
      </c>
      <c r="D39" s="155">
        <v>208346.79613649999</v>
      </c>
      <c r="E39" s="155">
        <v>212827.3723975</v>
      </c>
      <c r="F39" s="155">
        <v>217307.94865850001</v>
      </c>
      <c r="G39" s="155">
        <v>225148.95711525</v>
      </c>
      <c r="H39" s="155">
        <v>234110.10963724999</v>
      </c>
      <c r="I39" s="50"/>
      <c r="K39" s="71"/>
      <c r="L39" s="71"/>
      <c r="M39" s="71"/>
      <c r="N39" s="71"/>
      <c r="O39" s="71"/>
      <c r="P39" s="71"/>
      <c r="Q39" s="71"/>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row>
    <row r="40" spans="1:45" hidden="1" outlineLevel="1" x14ac:dyDescent="0.3">
      <c r="A40" s="45" t="s">
        <v>2694</v>
      </c>
      <c r="B40" s="45" t="s">
        <v>915</v>
      </c>
      <c r="C40" s="48" t="s">
        <v>808</v>
      </c>
      <c r="D40" s="155">
        <v>0</v>
      </c>
      <c r="E40" s="155">
        <v>0</v>
      </c>
      <c r="F40" s="155">
        <v>0</v>
      </c>
      <c r="G40" s="155">
        <v>0</v>
      </c>
      <c r="H40" s="155">
        <v>0</v>
      </c>
      <c r="I40" s="50"/>
      <c r="K40" s="71"/>
      <c r="L40" s="71"/>
      <c r="M40" s="71"/>
      <c r="N40" s="71"/>
      <c r="O40" s="71"/>
      <c r="P40" s="71"/>
      <c r="Q40" s="71"/>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c r="AR40" s="70"/>
      <c r="AS40" s="70"/>
    </row>
    <row r="41" spans="1:45" hidden="1" outlineLevel="1" x14ac:dyDescent="0.3">
      <c r="A41" s="45" t="s">
        <v>2694</v>
      </c>
      <c r="B41" s="45" t="s">
        <v>915</v>
      </c>
      <c r="C41" s="48" t="s">
        <v>811</v>
      </c>
      <c r="D41" s="155">
        <v>30000</v>
      </c>
      <c r="E41" s="155">
        <v>70000</v>
      </c>
      <c r="F41" s="155">
        <v>185000</v>
      </c>
      <c r="G41" s="155">
        <v>185000</v>
      </c>
      <c r="H41" s="155">
        <v>185000</v>
      </c>
      <c r="I41" s="50" t="s">
        <v>2713</v>
      </c>
      <c r="K41" s="71"/>
      <c r="L41" s="71"/>
      <c r="M41" s="71"/>
      <c r="N41" s="71"/>
      <c r="O41" s="71"/>
      <c r="P41" s="71"/>
      <c r="Q41" s="71"/>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row>
    <row r="42" spans="1:45" hidden="1" outlineLevel="1" x14ac:dyDescent="0.3">
      <c r="A42" s="45" t="s">
        <v>2694</v>
      </c>
      <c r="B42" s="45" t="s">
        <v>934</v>
      </c>
      <c r="C42" s="48" t="s">
        <v>814</v>
      </c>
      <c r="D42" s="415" t="s">
        <v>204</v>
      </c>
      <c r="E42" s="415" t="s">
        <v>204</v>
      </c>
      <c r="F42" s="415" t="s">
        <v>204</v>
      </c>
      <c r="G42" s="415" t="s">
        <v>204</v>
      </c>
      <c r="H42" s="415" t="s">
        <v>204</v>
      </c>
      <c r="I42" s="416"/>
      <c r="K42" s="71"/>
      <c r="L42" s="71"/>
      <c r="M42" s="71"/>
      <c r="N42" s="71"/>
      <c r="O42" s="71"/>
      <c r="P42" s="71"/>
      <c r="Q42" s="71"/>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row>
    <row r="43" spans="1:45" hidden="1" outlineLevel="1" x14ac:dyDescent="0.3">
      <c r="A43" s="45" t="s">
        <v>2694</v>
      </c>
      <c r="B43" s="45" t="s">
        <v>934</v>
      </c>
      <c r="C43" s="48" t="s">
        <v>815</v>
      </c>
      <c r="D43" s="389" t="s">
        <v>204</v>
      </c>
      <c r="E43" s="389" t="s">
        <v>204</v>
      </c>
      <c r="F43" s="389" t="s">
        <v>204</v>
      </c>
      <c r="G43" s="389" t="s">
        <v>204</v>
      </c>
      <c r="H43" s="389" t="s">
        <v>204</v>
      </c>
      <c r="I43" s="50"/>
      <c r="K43" s="71"/>
      <c r="L43" s="71"/>
      <c r="M43" s="71"/>
      <c r="N43" s="71"/>
      <c r="O43" s="71"/>
      <c r="P43" s="71"/>
      <c r="Q43" s="71"/>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row>
    <row r="44" spans="1:45" hidden="1" outlineLevel="1" x14ac:dyDescent="0.3">
      <c r="A44" s="45" t="s">
        <v>2694</v>
      </c>
      <c r="B44" s="45" t="s">
        <v>940</v>
      </c>
      <c r="C44" s="48" t="s">
        <v>817</v>
      </c>
      <c r="D44" s="155">
        <v>0</v>
      </c>
      <c r="E44" s="155">
        <v>0</v>
      </c>
      <c r="F44" s="155">
        <v>0</v>
      </c>
      <c r="G44" s="155">
        <v>0</v>
      </c>
      <c r="H44" s="155">
        <v>0</v>
      </c>
      <c r="I44" s="50" t="s">
        <v>2714</v>
      </c>
      <c r="K44" s="71"/>
      <c r="L44" s="71"/>
      <c r="M44" s="71"/>
      <c r="N44" s="71"/>
      <c r="O44" s="71"/>
      <c r="P44" s="71"/>
      <c r="Q44" s="71"/>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row>
    <row r="45" spans="1:45" hidden="1" outlineLevel="1" x14ac:dyDescent="0.3">
      <c r="A45" s="45" t="s">
        <v>2694</v>
      </c>
      <c r="B45" s="45" t="s">
        <v>940</v>
      </c>
      <c r="C45" s="48" t="s">
        <v>944</v>
      </c>
      <c r="D45" s="155">
        <v>0</v>
      </c>
      <c r="E45" s="155">
        <v>0</v>
      </c>
      <c r="F45" s="155">
        <v>0</v>
      </c>
      <c r="G45" s="155">
        <v>0</v>
      </c>
      <c r="H45" s="155">
        <v>0</v>
      </c>
      <c r="I45" s="50"/>
      <c r="K45" s="71"/>
      <c r="L45" s="71"/>
      <c r="M45" s="71"/>
      <c r="N45" s="71"/>
      <c r="O45" s="71"/>
      <c r="P45" s="71"/>
      <c r="Q45" s="71"/>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row>
    <row r="46" spans="1:45" hidden="1" outlineLevel="1" x14ac:dyDescent="0.3">
      <c r="A46" s="45" t="s">
        <v>2694</v>
      </c>
      <c r="B46" s="45" t="s">
        <v>940</v>
      </c>
      <c r="C46" s="48" t="s">
        <v>821</v>
      </c>
      <c r="D46" s="389" t="s">
        <v>204</v>
      </c>
      <c r="E46" s="389" t="s">
        <v>204</v>
      </c>
      <c r="F46" s="389" t="s">
        <v>204</v>
      </c>
      <c r="G46" s="389" t="s">
        <v>204</v>
      </c>
      <c r="H46" s="389" t="s">
        <v>204</v>
      </c>
      <c r="I46" s="50"/>
      <c r="K46" s="71"/>
      <c r="L46" s="71"/>
      <c r="M46" s="71"/>
      <c r="N46" s="71"/>
      <c r="O46" s="71"/>
      <c r="P46" s="71"/>
      <c r="Q46" s="71"/>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c r="AR46" s="70"/>
      <c r="AS46" s="70"/>
    </row>
    <row r="47" spans="1:45" hidden="1" outlineLevel="1" x14ac:dyDescent="0.3">
      <c r="A47" s="45" t="s">
        <v>2694</v>
      </c>
      <c r="B47" s="45" t="s">
        <v>940</v>
      </c>
      <c r="C47" s="48" t="s">
        <v>823</v>
      </c>
      <c r="D47" s="389" t="s">
        <v>204</v>
      </c>
      <c r="E47" s="389" t="s">
        <v>204</v>
      </c>
      <c r="F47" s="389" t="s">
        <v>204</v>
      </c>
      <c r="G47" s="389" t="s">
        <v>204</v>
      </c>
      <c r="H47" s="389" t="s">
        <v>204</v>
      </c>
      <c r="I47" s="50"/>
      <c r="K47" s="71"/>
      <c r="L47" s="71"/>
      <c r="M47" s="71"/>
      <c r="N47" s="71"/>
      <c r="O47" s="71"/>
      <c r="P47" s="71"/>
      <c r="Q47" s="71"/>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row>
    <row r="48" spans="1:45" hidden="1" outlineLevel="1" x14ac:dyDescent="0.3">
      <c r="A48" s="45" t="s">
        <v>2694</v>
      </c>
      <c r="B48" s="45" t="s">
        <v>940</v>
      </c>
      <c r="C48" s="48" t="s">
        <v>825</v>
      </c>
      <c r="D48" s="389" t="s">
        <v>204</v>
      </c>
      <c r="E48" s="389" t="s">
        <v>204</v>
      </c>
      <c r="F48" s="389" t="s">
        <v>204</v>
      </c>
      <c r="G48" s="389" t="s">
        <v>204</v>
      </c>
      <c r="H48" s="389" t="s">
        <v>204</v>
      </c>
      <c r="I48" s="50"/>
      <c r="K48" s="71"/>
      <c r="L48" s="71"/>
      <c r="M48" s="71"/>
      <c r="N48" s="71"/>
      <c r="O48" s="71"/>
      <c r="P48" s="71"/>
      <c r="Q48" s="71"/>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c r="AR48" s="70"/>
      <c r="AS48" s="70"/>
    </row>
    <row r="49" spans="1:45" hidden="1" outlineLevel="1" x14ac:dyDescent="0.3">
      <c r="A49" s="45" t="s">
        <v>2694</v>
      </c>
      <c r="B49" s="45" t="s">
        <v>940</v>
      </c>
      <c r="C49" s="48" t="s">
        <v>827</v>
      </c>
      <c r="D49" s="155">
        <v>80000</v>
      </c>
      <c r="E49" s="155">
        <v>82000</v>
      </c>
      <c r="F49" s="155">
        <v>82000</v>
      </c>
      <c r="G49" s="155">
        <v>82000</v>
      </c>
      <c r="H49" s="155">
        <v>82000</v>
      </c>
      <c r="I49" s="50" t="s">
        <v>1024</v>
      </c>
      <c r="K49" s="71"/>
      <c r="L49" s="71"/>
      <c r="M49" s="71"/>
      <c r="N49" s="71"/>
      <c r="O49" s="71"/>
      <c r="P49" s="71"/>
      <c r="Q49" s="71"/>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row>
    <row r="50" spans="1:45" hidden="1" outlineLevel="1" x14ac:dyDescent="0.3">
      <c r="A50" s="45" t="s">
        <v>2694</v>
      </c>
      <c r="B50" s="45" t="s">
        <v>940</v>
      </c>
      <c r="C50" s="48" t="s">
        <v>829</v>
      </c>
      <c r="D50" s="155">
        <v>0</v>
      </c>
      <c r="E50" s="155">
        <v>0</v>
      </c>
      <c r="F50" s="155">
        <v>0</v>
      </c>
      <c r="G50" s="155">
        <v>0</v>
      </c>
      <c r="H50" s="155">
        <v>0</v>
      </c>
      <c r="I50" s="50" t="s">
        <v>2715</v>
      </c>
      <c r="K50" s="71"/>
      <c r="L50" s="71"/>
      <c r="M50" s="71"/>
      <c r="N50" s="71"/>
      <c r="O50" s="71"/>
      <c r="P50" s="71"/>
      <c r="Q50" s="71"/>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row>
    <row r="51" spans="1:45" hidden="1" outlineLevel="1" x14ac:dyDescent="0.3">
      <c r="A51" s="45" t="s">
        <v>2694</v>
      </c>
      <c r="B51" s="45" t="s">
        <v>940</v>
      </c>
      <c r="C51" s="48" t="s">
        <v>833</v>
      </c>
      <c r="D51" s="155">
        <v>4000</v>
      </c>
      <c r="E51" s="155">
        <v>4000</v>
      </c>
      <c r="F51" s="155">
        <v>4000</v>
      </c>
      <c r="G51" s="155">
        <v>4000</v>
      </c>
      <c r="H51" s="155">
        <v>4000</v>
      </c>
      <c r="I51" s="50" t="s">
        <v>2716</v>
      </c>
      <c r="K51" s="71"/>
      <c r="L51" s="71"/>
      <c r="M51" s="71"/>
      <c r="N51" s="71"/>
      <c r="O51" s="71"/>
      <c r="P51" s="71"/>
      <c r="Q51" s="71"/>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row>
    <row r="52" spans="1:45" hidden="1" outlineLevel="1" x14ac:dyDescent="0.3">
      <c r="A52" s="45" t="s">
        <v>2694</v>
      </c>
      <c r="B52" s="45" t="s">
        <v>940</v>
      </c>
      <c r="C52" s="48" t="s">
        <v>836</v>
      </c>
      <c r="D52" s="155">
        <v>25509</v>
      </c>
      <c r="E52" s="155">
        <v>25509</v>
      </c>
      <c r="F52" s="155">
        <v>25509</v>
      </c>
      <c r="G52" s="155">
        <v>25509</v>
      </c>
      <c r="H52" s="155">
        <v>25509</v>
      </c>
      <c r="I52" s="50" t="s">
        <v>2717</v>
      </c>
      <c r="K52" s="71"/>
      <c r="L52" s="71"/>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row>
    <row r="53" spans="1:45" hidden="1" outlineLevel="1" x14ac:dyDescent="0.3">
      <c r="A53" s="45" t="s">
        <v>2694</v>
      </c>
      <c r="B53" s="45" t="s">
        <v>940</v>
      </c>
      <c r="C53" s="48" t="s">
        <v>837</v>
      </c>
      <c r="D53" s="389" t="s">
        <v>204</v>
      </c>
      <c r="E53" s="389" t="s">
        <v>204</v>
      </c>
      <c r="F53" s="389" t="s">
        <v>204</v>
      </c>
      <c r="G53" s="389" t="s">
        <v>204</v>
      </c>
      <c r="H53" s="389" t="s">
        <v>204</v>
      </c>
      <c r="I53" s="50"/>
      <c r="K53" s="71"/>
      <c r="L53" s="71"/>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row>
    <row r="54" spans="1:45" hidden="1" outlineLevel="1" x14ac:dyDescent="0.3">
      <c r="A54" s="45" t="s">
        <v>2694</v>
      </c>
      <c r="B54" s="45" t="s">
        <v>940</v>
      </c>
      <c r="C54" s="48" t="s">
        <v>839</v>
      </c>
      <c r="D54" s="155">
        <v>0</v>
      </c>
      <c r="E54" s="155">
        <v>0</v>
      </c>
      <c r="F54" s="155">
        <v>0</v>
      </c>
      <c r="G54" s="155">
        <v>0</v>
      </c>
      <c r="H54" s="155">
        <v>0</v>
      </c>
      <c r="I54" s="50" t="s">
        <v>2718</v>
      </c>
      <c r="K54" s="71"/>
      <c r="L54" s="71"/>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row>
    <row r="55" spans="1:45" hidden="1" outlineLevel="1" x14ac:dyDescent="0.3">
      <c r="A55" s="45" t="s">
        <v>2694</v>
      </c>
      <c r="B55" s="45" t="s">
        <v>940</v>
      </c>
      <c r="C55" s="48" t="s">
        <v>840</v>
      </c>
      <c r="D55" s="389" t="s">
        <v>204</v>
      </c>
      <c r="E55" s="389" t="s">
        <v>204</v>
      </c>
      <c r="F55" s="389" t="s">
        <v>204</v>
      </c>
      <c r="G55" s="389" t="s">
        <v>204</v>
      </c>
      <c r="H55" s="389" t="s">
        <v>204</v>
      </c>
      <c r="I55" s="50"/>
      <c r="K55" s="71"/>
      <c r="L55" s="71"/>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row>
    <row r="56" spans="1:45" hidden="1" outlineLevel="1" collapsed="1" x14ac:dyDescent="0.3">
      <c r="A56" s="45"/>
      <c r="B56" s="45"/>
      <c r="C56" s="530" t="s">
        <v>2719</v>
      </c>
      <c r="D56" s="50"/>
      <c r="E56" s="50"/>
      <c r="F56" s="50"/>
      <c r="G56" s="50"/>
      <c r="H56" s="50"/>
      <c r="I56" s="5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row>
    <row r="57" spans="1:45" collapsed="1" x14ac:dyDescent="0.3">
      <c r="A57" s="48" t="s">
        <v>2720</v>
      </c>
      <c r="B57" s="69"/>
      <c r="C57" s="46" t="s">
        <v>2693</v>
      </c>
      <c r="D57" s="47">
        <v>608005</v>
      </c>
      <c r="E57" s="47">
        <v>652925</v>
      </c>
      <c r="F57" s="47">
        <v>749355</v>
      </c>
      <c r="G57" s="47">
        <v>751785</v>
      </c>
      <c r="H57" s="47">
        <v>752965</v>
      </c>
      <c r="I57" s="50"/>
      <c r="K57" s="70"/>
      <c r="L57" s="182"/>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row>
    <row r="58" spans="1:45" x14ac:dyDescent="0.3">
      <c r="A58" s="48" t="s">
        <v>5</v>
      </c>
      <c r="B58" s="48" t="s">
        <v>847</v>
      </c>
      <c r="C58" s="48" t="s">
        <v>193</v>
      </c>
      <c r="D58" s="49">
        <v>2025</v>
      </c>
      <c r="E58" s="49">
        <v>2030</v>
      </c>
      <c r="F58" s="49">
        <v>2035</v>
      </c>
      <c r="G58" s="49">
        <v>2040</v>
      </c>
      <c r="H58" s="49">
        <v>2045</v>
      </c>
      <c r="I58" s="49" t="s">
        <v>153</v>
      </c>
      <c r="K58" s="70"/>
      <c r="L58" s="183"/>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row>
    <row r="59" spans="1:45" hidden="1" outlineLevel="1" x14ac:dyDescent="0.3">
      <c r="A59" s="45" t="s">
        <v>2720</v>
      </c>
      <c r="B59" s="45" t="s">
        <v>855</v>
      </c>
      <c r="C59" s="48" t="s">
        <v>747</v>
      </c>
      <c r="D59" s="389" t="s">
        <v>204</v>
      </c>
      <c r="E59" s="389" t="s">
        <v>204</v>
      </c>
      <c r="F59" s="389" t="s">
        <v>204</v>
      </c>
      <c r="G59" s="389" t="s">
        <v>204</v>
      </c>
      <c r="H59" s="389" t="s">
        <v>204</v>
      </c>
      <c r="I59" s="50"/>
      <c r="K59" s="70"/>
      <c r="L59" s="71"/>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row>
    <row r="60" spans="1:45" hidden="1" outlineLevel="1" x14ac:dyDescent="0.3">
      <c r="A60" s="45" t="s">
        <v>2720</v>
      </c>
      <c r="B60" s="45" t="s">
        <v>855</v>
      </c>
      <c r="C60" s="48" t="s">
        <v>751</v>
      </c>
      <c r="D60" s="155">
        <v>27000</v>
      </c>
      <c r="E60" s="155">
        <v>27000</v>
      </c>
      <c r="F60" s="155">
        <v>27000</v>
      </c>
      <c r="G60" s="155">
        <v>27000</v>
      </c>
      <c r="H60" s="155">
        <v>27000</v>
      </c>
      <c r="I60" s="50" t="s">
        <v>2696</v>
      </c>
      <c r="K60" s="70"/>
      <c r="L60" s="71"/>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row>
    <row r="61" spans="1:45" hidden="1" outlineLevel="1" x14ac:dyDescent="0.3">
      <c r="A61" s="45" t="s">
        <v>2720</v>
      </c>
      <c r="B61" s="45" t="s">
        <v>855</v>
      </c>
      <c r="C61" s="48" t="s">
        <v>755</v>
      </c>
      <c r="D61" s="155">
        <v>0</v>
      </c>
      <c r="E61" s="155">
        <v>0</v>
      </c>
      <c r="F61" s="155">
        <v>0</v>
      </c>
      <c r="G61" s="155">
        <v>0</v>
      </c>
      <c r="H61" s="155">
        <v>0</v>
      </c>
      <c r="I61" s="50" t="s">
        <v>2697</v>
      </c>
      <c r="K61" s="70"/>
      <c r="L61" s="71"/>
      <c r="M61" s="71"/>
      <c r="N61" s="71"/>
      <c r="O61" s="71"/>
      <c r="P61" s="71"/>
      <c r="Q61" s="71"/>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row>
    <row r="62" spans="1:45" hidden="1" outlineLevel="1" x14ac:dyDescent="0.3">
      <c r="A62" s="45" t="s">
        <v>2720</v>
      </c>
      <c r="B62" s="45" t="s">
        <v>855</v>
      </c>
      <c r="C62" s="48" t="s">
        <v>758</v>
      </c>
      <c r="D62" s="155">
        <v>0</v>
      </c>
      <c r="E62" s="155">
        <v>0</v>
      </c>
      <c r="F62" s="155">
        <v>0</v>
      </c>
      <c r="G62" s="155">
        <v>0</v>
      </c>
      <c r="H62" s="155">
        <v>0</v>
      </c>
      <c r="I62" s="50" t="s">
        <v>2699</v>
      </c>
      <c r="K62" s="70"/>
      <c r="L62" s="71"/>
      <c r="M62" s="71"/>
      <c r="N62" s="71"/>
      <c r="O62" s="71"/>
      <c r="P62" s="71"/>
      <c r="Q62" s="71"/>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row>
    <row r="63" spans="1:45" hidden="1" outlineLevel="1" x14ac:dyDescent="0.3">
      <c r="A63" s="45" t="s">
        <v>2720</v>
      </c>
      <c r="B63" s="45" t="s">
        <v>855</v>
      </c>
      <c r="C63" s="48" t="s">
        <v>761</v>
      </c>
      <c r="D63" s="155">
        <v>14879</v>
      </c>
      <c r="E63" s="155">
        <v>14879</v>
      </c>
      <c r="F63" s="155">
        <v>14879</v>
      </c>
      <c r="G63" s="155">
        <v>14879</v>
      </c>
      <c r="H63" s="155">
        <v>14879</v>
      </c>
      <c r="I63" s="50" t="s">
        <v>2721</v>
      </c>
      <c r="K63" s="70"/>
      <c r="L63" s="71"/>
      <c r="M63" s="71"/>
      <c r="N63" s="71"/>
      <c r="O63" s="71"/>
      <c r="P63" s="71"/>
      <c r="Q63" s="71"/>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0"/>
    </row>
    <row r="64" spans="1:45" hidden="1" outlineLevel="1" x14ac:dyDescent="0.3">
      <c r="A64" s="45" t="s">
        <v>2720</v>
      </c>
      <c r="B64" s="45" t="s">
        <v>855</v>
      </c>
      <c r="C64" s="48" t="s">
        <v>763</v>
      </c>
      <c r="D64" s="155">
        <v>18539</v>
      </c>
      <c r="E64" s="155">
        <v>18539</v>
      </c>
      <c r="F64" s="155">
        <v>18539</v>
      </c>
      <c r="G64" s="155">
        <v>18539</v>
      </c>
      <c r="H64" s="155">
        <v>18539</v>
      </c>
      <c r="I64" s="394" t="s">
        <v>2701</v>
      </c>
      <c r="K64" s="70"/>
      <c r="L64" s="71"/>
      <c r="M64" s="71"/>
      <c r="N64" s="71"/>
      <c r="O64" s="71"/>
      <c r="P64" s="71"/>
      <c r="Q64" s="71"/>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row>
    <row r="65" spans="1:45" hidden="1" outlineLevel="1" x14ac:dyDescent="0.3">
      <c r="A65" s="45" t="s">
        <v>2720</v>
      </c>
      <c r="B65" s="45" t="s">
        <v>855</v>
      </c>
      <c r="C65" s="48" t="s">
        <v>765</v>
      </c>
      <c r="D65" s="155">
        <v>56104</v>
      </c>
      <c r="E65" s="155">
        <v>56104</v>
      </c>
      <c r="F65" s="155">
        <v>56104</v>
      </c>
      <c r="G65" s="155">
        <v>56104</v>
      </c>
      <c r="H65" s="155">
        <v>56104</v>
      </c>
      <c r="I65" s="50" t="s">
        <v>2722</v>
      </c>
      <c r="K65" s="70"/>
      <c r="L65" s="71"/>
      <c r="M65" s="71"/>
      <c r="N65" s="71"/>
      <c r="O65" s="71"/>
      <c r="P65" s="71"/>
      <c r="Q65" s="71"/>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row>
    <row r="66" spans="1:45" hidden="1" outlineLevel="1" x14ac:dyDescent="0.3">
      <c r="A66" s="45" t="s">
        <v>2720</v>
      </c>
      <c r="B66" s="45" t="s">
        <v>855</v>
      </c>
      <c r="C66" s="48" t="s">
        <v>768</v>
      </c>
      <c r="D66" s="389" t="s">
        <v>204</v>
      </c>
      <c r="E66" s="389" t="s">
        <v>204</v>
      </c>
      <c r="F66" s="389" t="s">
        <v>204</v>
      </c>
      <c r="G66" s="389" t="s">
        <v>204</v>
      </c>
      <c r="H66" s="389" t="s">
        <v>204</v>
      </c>
      <c r="I66" s="50"/>
      <c r="K66" s="70"/>
      <c r="L66" s="71"/>
      <c r="M66" s="71"/>
      <c r="N66" s="71"/>
      <c r="O66" s="71"/>
      <c r="P66" s="71"/>
      <c r="Q66" s="71"/>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c r="AR66" s="70"/>
      <c r="AS66" s="70"/>
    </row>
    <row r="67" spans="1:45" hidden="1" outlineLevel="1" x14ac:dyDescent="0.3">
      <c r="A67" s="45" t="s">
        <v>2720</v>
      </c>
      <c r="B67" s="45" t="s">
        <v>855</v>
      </c>
      <c r="C67" s="48" t="s">
        <v>771</v>
      </c>
      <c r="D67" s="155">
        <v>120850</v>
      </c>
      <c r="E67" s="155">
        <v>120850</v>
      </c>
      <c r="F67" s="155">
        <v>120850</v>
      </c>
      <c r="G67" s="155">
        <v>120850</v>
      </c>
      <c r="H67" s="155">
        <v>120850</v>
      </c>
      <c r="I67" s="50" t="s">
        <v>2723</v>
      </c>
      <c r="K67" s="70"/>
      <c r="L67" s="71"/>
      <c r="M67" s="71"/>
      <c r="N67" s="71"/>
      <c r="O67" s="71"/>
      <c r="P67" s="71"/>
      <c r="Q67" s="71"/>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row>
    <row r="68" spans="1:45" hidden="1" outlineLevel="1" x14ac:dyDescent="0.3">
      <c r="A68" s="45" t="s">
        <v>2720</v>
      </c>
      <c r="B68" s="45" t="s">
        <v>855</v>
      </c>
      <c r="C68" s="48" t="s">
        <v>772</v>
      </c>
      <c r="D68" s="155">
        <v>41226</v>
      </c>
      <c r="E68" s="155">
        <v>41226</v>
      </c>
      <c r="F68" s="155">
        <v>41226</v>
      </c>
      <c r="G68" s="155">
        <v>41226</v>
      </c>
      <c r="H68" s="155">
        <v>41226</v>
      </c>
      <c r="I68" s="50" t="s">
        <v>2704</v>
      </c>
      <c r="K68" s="70"/>
      <c r="L68" s="71"/>
      <c r="M68" s="71"/>
      <c r="N68" s="71"/>
      <c r="O68" s="71"/>
      <c r="P68" s="71"/>
      <c r="Q68" s="71"/>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row>
    <row r="69" spans="1:45" hidden="1" outlineLevel="1" x14ac:dyDescent="0.3">
      <c r="A69" s="45" t="s">
        <v>2720</v>
      </c>
      <c r="B69" s="45" t="s">
        <v>855</v>
      </c>
      <c r="C69" s="48" t="s">
        <v>774</v>
      </c>
      <c r="D69" s="155">
        <v>58000</v>
      </c>
      <c r="E69" s="155">
        <v>58000</v>
      </c>
      <c r="F69" s="155">
        <v>58000</v>
      </c>
      <c r="G69" s="155">
        <v>58000</v>
      </c>
      <c r="H69" s="155">
        <v>58000</v>
      </c>
      <c r="I69" s="50" t="s">
        <v>2705</v>
      </c>
      <c r="K69" s="70"/>
      <c r="L69" s="71"/>
      <c r="M69" s="71"/>
      <c r="N69" s="71"/>
      <c r="O69" s="71"/>
      <c r="P69" s="71"/>
      <c r="Q69" s="71"/>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row>
    <row r="70" spans="1:45" hidden="1" outlineLevel="1" x14ac:dyDescent="0.3">
      <c r="A70" s="45" t="s">
        <v>2720</v>
      </c>
      <c r="B70" s="45" t="s">
        <v>855</v>
      </c>
      <c r="C70" s="48" t="s">
        <v>775</v>
      </c>
      <c r="D70" s="389" t="s">
        <v>204</v>
      </c>
      <c r="E70" s="389" t="s">
        <v>204</v>
      </c>
      <c r="F70" s="389" t="s">
        <v>204</v>
      </c>
      <c r="G70" s="389" t="s">
        <v>204</v>
      </c>
      <c r="H70" s="389" t="s">
        <v>204</v>
      </c>
      <c r="I70" s="50"/>
      <c r="K70" s="70"/>
      <c r="L70" s="71"/>
      <c r="M70" s="71"/>
      <c r="N70" s="71"/>
      <c r="O70" s="71"/>
      <c r="P70" s="71"/>
      <c r="Q70" s="71"/>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row>
    <row r="71" spans="1:45" hidden="1" outlineLevel="1" x14ac:dyDescent="0.3">
      <c r="A71" s="45" t="s">
        <v>2720</v>
      </c>
      <c r="B71" s="45" t="s">
        <v>855</v>
      </c>
      <c r="C71" s="48" t="s">
        <v>779</v>
      </c>
      <c r="D71" s="389" t="s">
        <v>204</v>
      </c>
      <c r="E71" s="389" t="s">
        <v>204</v>
      </c>
      <c r="F71" s="389" t="s">
        <v>204</v>
      </c>
      <c r="G71" s="389" t="s">
        <v>204</v>
      </c>
      <c r="H71" s="389" t="s">
        <v>204</v>
      </c>
      <c r="I71" s="50"/>
      <c r="K71" s="71"/>
      <c r="L71" s="71"/>
      <c r="M71" s="71"/>
      <c r="N71" s="71"/>
      <c r="O71" s="71"/>
      <c r="P71" s="71"/>
      <c r="Q71" s="71"/>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row>
    <row r="72" spans="1:45" hidden="1" outlineLevel="1" x14ac:dyDescent="0.3">
      <c r="A72" s="45" t="s">
        <v>2720</v>
      </c>
      <c r="B72" s="45" t="s">
        <v>894</v>
      </c>
      <c r="C72" s="48" t="s">
        <v>781</v>
      </c>
      <c r="D72" s="389" t="s">
        <v>204</v>
      </c>
      <c r="E72" s="389" t="s">
        <v>204</v>
      </c>
      <c r="F72" s="389" t="s">
        <v>204</v>
      </c>
      <c r="G72" s="389" t="s">
        <v>204</v>
      </c>
      <c r="H72" s="389" t="s">
        <v>204</v>
      </c>
      <c r="I72" s="50"/>
      <c r="K72" s="71"/>
      <c r="L72" s="71"/>
      <c r="M72" s="71"/>
      <c r="N72" s="71"/>
      <c r="O72" s="71"/>
      <c r="P72" s="71"/>
      <c r="Q72" s="71"/>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row>
    <row r="73" spans="1:45" hidden="1" outlineLevel="1" x14ac:dyDescent="0.3">
      <c r="A73" s="45" t="s">
        <v>2720</v>
      </c>
      <c r="B73" s="45" t="s">
        <v>894</v>
      </c>
      <c r="C73" s="48" t="s">
        <v>783</v>
      </c>
      <c r="D73" s="155">
        <v>0</v>
      </c>
      <c r="E73" s="155">
        <v>0</v>
      </c>
      <c r="F73" s="155">
        <v>0</v>
      </c>
      <c r="G73" s="155">
        <v>0</v>
      </c>
      <c r="H73" s="155">
        <v>0</v>
      </c>
      <c r="I73" s="50" t="s">
        <v>2706</v>
      </c>
      <c r="K73" s="71"/>
      <c r="L73" s="71"/>
      <c r="M73" s="71"/>
      <c r="N73" s="71"/>
      <c r="O73" s="71"/>
      <c r="P73" s="71"/>
      <c r="Q73" s="71"/>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row>
    <row r="74" spans="1:45" hidden="1" outlineLevel="1" x14ac:dyDescent="0.3">
      <c r="A74" s="45" t="s">
        <v>2720</v>
      </c>
      <c r="B74" s="45" t="s">
        <v>894</v>
      </c>
      <c r="C74" s="48" t="s">
        <v>785</v>
      </c>
      <c r="D74" s="155">
        <v>45852</v>
      </c>
      <c r="E74" s="155">
        <v>45852</v>
      </c>
      <c r="F74" s="155">
        <v>45852</v>
      </c>
      <c r="G74" s="155">
        <v>45852</v>
      </c>
      <c r="H74" s="155">
        <v>45852</v>
      </c>
      <c r="I74" s="50" t="s">
        <v>2724</v>
      </c>
      <c r="K74" s="71"/>
      <c r="L74" s="71"/>
      <c r="M74" s="71"/>
      <c r="N74" s="71"/>
      <c r="O74" s="71"/>
      <c r="P74" s="71"/>
      <c r="Q74" s="71"/>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row>
    <row r="75" spans="1:45" hidden="1" outlineLevel="1" x14ac:dyDescent="0.3">
      <c r="A75" s="45" t="s">
        <v>2720</v>
      </c>
      <c r="B75" s="45" t="s">
        <v>894</v>
      </c>
      <c r="C75" s="48" t="s">
        <v>787</v>
      </c>
      <c r="D75" s="389" t="s">
        <v>204</v>
      </c>
      <c r="E75" s="389" t="s">
        <v>204</v>
      </c>
      <c r="F75" s="389" t="s">
        <v>204</v>
      </c>
      <c r="G75" s="389" t="s">
        <v>204</v>
      </c>
      <c r="H75" s="389" t="s">
        <v>204</v>
      </c>
      <c r="I75" s="50"/>
      <c r="K75" s="71"/>
      <c r="L75" s="71"/>
      <c r="M75" s="71"/>
      <c r="N75" s="71"/>
      <c r="O75" s="71"/>
      <c r="P75" s="71"/>
      <c r="Q75" s="71"/>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row>
    <row r="76" spans="1:45" hidden="1" outlineLevel="1" x14ac:dyDescent="0.3">
      <c r="A76" s="45" t="s">
        <v>2720</v>
      </c>
      <c r="B76" s="45" t="s">
        <v>894</v>
      </c>
      <c r="C76" s="48" t="s">
        <v>788</v>
      </c>
      <c r="D76" s="389" t="s">
        <v>204</v>
      </c>
      <c r="E76" s="389" t="s">
        <v>204</v>
      </c>
      <c r="F76" s="389" t="s">
        <v>204</v>
      </c>
      <c r="G76" s="389" t="s">
        <v>204</v>
      </c>
      <c r="H76" s="389" t="s">
        <v>204</v>
      </c>
      <c r="I76" s="50"/>
      <c r="K76" s="71"/>
      <c r="L76" s="71"/>
      <c r="M76" s="71"/>
      <c r="N76" s="71"/>
      <c r="O76" s="71"/>
      <c r="P76" s="71"/>
      <c r="Q76" s="71"/>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row>
    <row r="77" spans="1:45" hidden="1" outlineLevel="1" x14ac:dyDescent="0.3">
      <c r="A77" s="45" t="s">
        <v>2720</v>
      </c>
      <c r="B77" s="45" t="s">
        <v>894</v>
      </c>
      <c r="C77" s="48" t="s">
        <v>789</v>
      </c>
      <c r="D77" s="389" t="s">
        <v>204</v>
      </c>
      <c r="E77" s="389" t="s">
        <v>204</v>
      </c>
      <c r="F77" s="389" t="s">
        <v>204</v>
      </c>
      <c r="G77" s="389" t="s">
        <v>204</v>
      </c>
      <c r="H77" s="389" t="s">
        <v>204</v>
      </c>
      <c r="I77" s="50"/>
      <c r="K77" s="71"/>
      <c r="L77" s="71"/>
      <c r="M77" s="71"/>
      <c r="N77" s="71"/>
      <c r="O77" s="71"/>
      <c r="P77" s="71"/>
      <c r="Q77" s="71"/>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row>
    <row r="78" spans="1:45" hidden="1" outlineLevel="1" x14ac:dyDescent="0.3">
      <c r="A78" s="45" t="s">
        <v>2720</v>
      </c>
      <c r="B78" s="45" t="s">
        <v>894</v>
      </c>
      <c r="C78" s="48" t="s">
        <v>790</v>
      </c>
      <c r="D78" s="353">
        <v>0</v>
      </c>
      <c r="E78" s="353">
        <v>0</v>
      </c>
      <c r="F78" s="353">
        <v>0</v>
      </c>
      <c r="G78" s="353">
        <v>0</v>
      </c>
      <c r="H78" s="353">
        <v>0</v>
      </c>
      <c r="I78" s="50" t="s">
        <v>2725</v>
      </c>
      <c r="K78" s="71"/>
      <c r="L78" s="71"/>
      <c r="M78" s="71"/>
      <c r="N78" s="71"/>
      <c r="O78" s="71"/>
      <c r="P78" s="71"/>
      <c r="Q78" s="71"/>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row>
    <row r="79" spans="1:45" hidden="1" outlineLevel="1" x14ac:dyDescent="0.3">
      <c r="A79" s="45" t="s">
        <v>2720</v>
      </c>
      <c r="B79" s="45" t="s">
        <v>894</v>
      </c>
      <c r="C79" s="48" t="s">
        <v>793</v>
      </c>
      <c r="D79" s="389" t="s">
        <v>204</v>
      </c>
      <c r="E79" s="389" t="s">
        <v>204</v>
      </c>
      <c r="F79" s="389" t="s">
        <v>204</v>
      </c>
      <c r="G79" s="389" t="s">
        <v>204</v>
      </c>
      <c r="H79" s="389" t="s">
        <v>204</v>
      </c>
      <c r="I79" s="50"/>
      <c r="K79" s="71"/>
      <c r="L79" s="71"/>
      <c r="M79" s="71"/>
      <c r="N79" s="71"/>
      <c r="O79" s="71"/>
      <c r="P79" s="71"/>
      <c r="Q79" s="71"/>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row>
    <row r="80" spans="1:45" hidden="1" outlineLevel="1" x14ac:dyDescent="0.3">
      <c r="A80" s="45" t="s">
        <v>2720</v>
      </c>
      <c r="B80" s="45" t="s">
        <v>894</v>
      </c>
      <c r="C80" s="48" t="s">
        <v>795</v>
      </c>
      <c r="D80" s="389" t="s">
        <v>204</v>
      </c>
      <c r="E80" s="389" t="s">
        <v>204</v>
      </c>
      <c r="F80" s="389" t="s">
        <v>204</v>
      </c>
      <c r="G80" s="389" t="s">
        <v>204</v>
      </c>
      <c r="H80" s="389" t="s">
        <v>204</v>
      </c>
      <c r="I80" s="50"/>
      <c r="K80" s="71"/>
      <c r="L80" s="71"/>
      <c r="M80" s="71"/>
      <c r="N80" s="71"/>
      <c r="O80" s="71"/>
      <c r="P80" s="71"/>
      <c r="Q80" s="71"/>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row>
    <row r="81" spans="1:45" hidden="1" outlineLevel="1" x14ac:dyDescent="0.3">
      <c r="A81" s="45" t="s">
        <v>2720</v>
      </c>
      <c r="B81" s="45" t="s">
        <v>894</v>
      </c>
      <c r="C81" s="48" t="s">
        <v>797</v>
      </c>
      <c r="D81" s="155">
        <v>0</v>
      </c>
      <c r="E81" s="155">
        <v>0</v>
      </c>
      <c r="F81" s="155">
        <v>0</v>
      </c>
      <c r="G81" s="155">
        <v>0</v>
      </c>
      <c r="H81" s="155">
        <v>0</v>
      </c>
      <c r="I81" s="50" t="s">
        <v>2726</v>
      </c>
      <c r="K81" s="71"/>
      <c r="L81" s="71"/>
      <c r="M81" s="71"/>
      <c r="N81" s="71"/>
      <c r="O81" s="71"/>
      <c r="P81" s="71"/>
      <c r="Q81" s="71"/>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row>
    <row r="82" spans="1:45" hidden="1" outlineLevel="1" x14ac:dyDescent="0.3">
      <c r="A82" s="45" t="s">
        <v>2720</v>
      </c>
      <c r="B82" s="45" t="s">
        <v>915</v>
      </c>
      <c r="C82" s="48" t="s">
        <v>799</v>
      </c>
      <c r="D82" s="155">
        <v>0</v>
      </c>
      <c r="E82" s="155">
        <v>8300</v>
      </c>
      <c r="F82" s="155">
        <v>9800</v>
      </c>
      <c r="G82" s="155">
        <v>9400</v>
      </c>
      <c r="H82" s="155">
        <v>9100</v>
      </c>
      <c r="I82" s="50" t="s">
        <v>2727</v>
      </c>
      <c r="K82" s="71"/>
      <c r="L82" s="71"/>
      <c r="M82" s="71"/>
      <c r="N82" s="71"/>
      <c r="O82" s="71"/>
      <c r="P82" s="71"/>
      <c r="Q82" s="71"/>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c r="AR82" s="70"/>
      <c r="AS82" s="70"/>
    </row>
    <row r="83" spans="1:45" hidden="1" outlineLevel="1" x14ac:dyDescent="0.3">
      <c r="A83" s="45" t="s">
        <v>2720</v>
      </c>
      <c r="B83" s="45" t="s">
        <v>915</v>
      </c>
      <c r="C83" s="48" t="s">
        <v>801</v>
      </c>
      <c r="D83" s="353">
        <v>0</v>
      </c>
      <c r="E83" s="353">
        <v>0</v>
      </c>
      <c r="F83" s="353">
        <v>0</v>
      </c>
      <c r="G83" s="353">
        <v>0</v>
      </c>
      <c r="H83" s="353">
        <v>0</v>
      </c>
      <c r="I83" s="50" t="s">
        <v>2728</v>
      </c>
      <c r="K83" s="71"/>
      <c r="L83" s="71"/>
      <c r="M83" s="71"/>
      <c r="N83" s="71"/>
      <c r="O83" s="71"/>
      <c r="P83" s="71"/>
      <c r="Q83" s="71"/>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row>
    <row r="84" spans="1:45" hidden="1" outlineLevel="1" x14ac:dyDescent="0.3">
      <c r="A84" s="45" t="s">
        <v>2720</v>
      </c>
      <c r="B84" s="45" t="s">
        <v>915</v>
      </c>
      <c r="C84" s="48" t="s">
        <v>804</v>
      </c>
      <c r="D84" s="155">
        <v>108880</v>
      </c>
      <c r="E84" s="155">
        <v>111500</v>
      </c>
      <c r="F84" s="155">
        <v>114430</v>
      </c>
      <c r="G84" s="155">
        <v>117260</v>
      </c>
      <c r="H84" s="155">
        <v>118740</v>
      </c>
      <c r="I84" s="50" t="s">
        <v>2729</v>
      </c>
      <c r="K84" s="71"/>
      <c r="L84" s="71"/>
      <c r="M84" s="71"/>
      <c r="N84" s="71"/>
      <c r="O84" s="71"/>
      <c r="P84" s="71"/>
      <c r="Q84" s="71"/>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c r="AS84" s="70"/>
    </row>
    <row r="85" spans="1:45" hidden="1" outlineLevel="1" x14ac:dyDescent="0.3">
      <c r="A85" s="45" t="s">
        <v>2720</v>
      </c>
      <c r="B85" s="45" t="s">
        <v>915</v>
      </c>
      <c r="C85" s="48" t="s">
        <v>806</v>
      </c>
      <c r="D85" s="155">
        <v>0</v>
      </c>
      <c r="E85" s="155">
        <v>0</v>
      </c>
      <c r="F85" s="155">
        <v>0</v>
      </c>
      <c r="G85" s="155">
        <v>0</v>
      </c>
      <c r="H85" s="155">
        <v>0</v>
      </c>
      <c r="I85" s="50"/>
      <c r="K85" s="71"/>
      <c r="L85" s="71"/>
      <c r="M85" s="71"/>
      <c r="N85" s="71"/>
      <c r="O85" s="71"/>
      <c r="P85" s="71"/>
      <c r="Q85" s="71"/>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row>
    <row r="86" spans="1:45" hidden="1" outlineLevel="1" x14ac:dyDescent="0.3">
      <c r="A86" s="45" t="s">
        <v>2720</v>
      </c>
      <c r="B86" s="45" t="s">
        <v>915</v>
      </c>
      <c r="C86" s="48" t="s">
        <v>808</v>
      </c>
      <c r="D86" s="155">
        <v>0</v>
      </c>
      <c r="E86" s="155">
        <v>0</v>
      </c>
      <c r="F86" s="155">
        <v>0</v>
      </c>
      <c r="G86" s="155">
        <v>0</v>
      </c>
      <c r="H86" s="155">
        <v>0</v>
      </c>
      <c r="I86" s="50"/>
      <c r="K86" s="71"/>
      <c r="L86" s="71"/>
      <c r="M86" s="71"/>
      <c r="N86" s="71"/>
      <c r="O86" s="71"/>
      <c r="P86" s="71"/>
      <c r="Q86" s="71"/>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c r="AR86" s="70"/>
      <c r="AS86" s="70"/>
    </row>
    <row r="87" spans="1:45" hidden="1" outlineLevel="1" x14ac:dyDescent="0.3">
      <c r="A87" s="45" t="s">
        <v>2720</v>
      </c>
      <c r="B87" s="45" t="s">
        <v>915</v>
      </c>
      <c r="C87" s="48" t="s">
        <v>811</v>
      </c>
      <c r="D87" s="155">
        <v>24000</v>
      </c>
      <c r="E87" s="155">
        <v>56000</v>
      </c>
      <c r="F87" s="155">
        <v>148000</v>
      </c>
      <c r="G87" s="155">
        <v>148000</v>
      </c>
      <c r="H87" s="155">
        <v>148000</v>
      </c>
      <c r="I87" s="50" t="s">
        <v>2730</v>
      </c>
      <c r="K87" s="71"/>
      <c r="L87" s="71"/>
      <c r="M87" s="71"/>
      <c r="N87" s="71"/>
      <c r="O87" s="71"/>
      <c r="P87" s="71"/>
      <c r="Q87" s="71"/>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c r="AR87" s="70"/>
      <c r="AS87" s="70"/>
    </row>
    <row r="88" spans="1:45" hidden="1" outlineLevel="1" x14ac:dyDescent="0.3">
      <c r="A88" s="45" t="s">
        <v>2720</v>
      </c>
      <c r="B88" s="45" t="s">
        <v>934</v>
      </c>
      <c r="C88" s="48" t="s">
        <v>814</v>
      </c>
      <c r="D88" s="415" t="s">
        <v>204</v>
      </c>
      <c r="E88" s="415" t="s">
        <v>204</v>
      </c>
      <c r="F88" s="415" t="s">
        <v>204</v>
      </c>
      <c r="G88" s="415" t="s">
        <v>204</v>
      </c>
      <c r="H88" s="415" t="s">
        <v>204</v>
      </c>
      <c r="I88" s="416"/>
      <c r="K88" s="71"/>
      <c r="L88" s="71"/>
      <c r="M88" s="71"/>
      <c r="N88" s="71"/>
      <c r="O88" s="71"/>
      <c r="P88" s="71"/>
      <c r="Q88" s="71"/>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row>
    <row r="89" spans="1:45" hidden="1" outlineLevel="1" x14ac:dyDescent="0.3">
      <c r="A89" s="45" t="s">
        <v>2720</v>
      </c>
      <c r="B89" s="45" t="s">
        <v>934</v>
      </c>
      <c r="C89" s="48" t="s">
        <v>815</v>
      </c>
      <c r="D89" s="389" t="s">
        <v>204</v>
      </c>
      <c r="E89" s="389" t="s">
        <v>204</v>
      </c>
      <c r="F89" s="389" t="s">
        <v>204</v>
      </c>
      <c r="G89" s="389" t="s">
        <v>204</v>
      </c>
      <c r="H89" s="389" t="s">
        <v>204</v>
      </c>
      <c r="I89" s="50"/>
      <c r="K89" s="71"/>
      <c r="L89" s="71"/>
      <c r="M89" s="71"/>
      <c r="N89" s="71"/>
      <c r="O89" s="71"/>
      <c r="P89" s="71"/>
      <c r="Q89" s="71"/>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row>
    <row r="90" spans="1:45" hidden="1" outlineLevel="1" x14ac:dyDescent="0.3">
      <c r="A90" s="45" t="s">
        <v>2720</v>
      </c>
      <c r="B90" s="45" t="s">
        <v>940</v>
      </c>
      <c r="C90" s="48" t="s">
        <v>817</v>
      </c>
      <c r="D90" s="155">
        <v>0</v>
      </c>
      <c r="E90" s="155">
        <v>0</v>
      </c>
      <c r="F90" s="155">
        <v>0</v>
      </c>
      <c r="G90" s="155">
        <v>0</v>
      </c>
      <c r="H90" s="155">
        <v>0</v>
      </c>
      <c r="I90" s="50" t="s">
        <v>2731</v>
      </c>
      <c r="K90" s="71"/>
      <c r="L90" s="71"/>
      <c r="M90" s="71"/>
      <c r="N90" s="71"/>
      <c r="O90" s="71"/>
      <c r="P90" s="71"/>
      <c r="Q90" s="71"/>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c r="AR90" s="70"/>
      <c r="AS90" s="70"/>
    </row>
    <row r="91" spans="1:45" hidden="1" outlineLevel="1" x14ac:dyDescent="0.3">
      <c r="A91" s="45" t="s">
        <v>2720</v>
      </c>
      <c r="B91" s="45" t="s">
        <v>940</v>
      </c>
      <c r="C91" s="48" t="s">
        <v>944</v>
      </c>
      <c r="D91" s="155">
        <v>0</v>
      </c>
      <c r="E91" s="155">
        <v>0</v>
      </c>
      <c r="F91" s="155">
        <v>0</v>
      </c>
      <c r="G91" s="155">
        <v>0</v>
      </c>
      <c r="H91" s="155">
        <v>0</v>
      </c>
      <c r="I91" s="50"/>
      <c r="K91" s="71"/>
      <c r="L91" s="71"/>
      <c r="M91" s="71"/>
      <c r="N91" s="71"/>
      <c r="O91" s="71"/>
      <c r="P91" s="71"/>
      <c r="Q91" s="71"/>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row>
    <row r="92" spans="1:45" hidden="1" outlineLevel="1" x14ac:dyDescent="0.3">
      <c r="A92" s="45" t="s">
        <v>2720</v>
      </c>
      <c r="B92" s="45" t="s">
        <v>940</v>
      </c>
      <c r="C92" s="48" t="s">
        <v>821</v>
      </c>
      <c r="D92" s="389" t="s">
        <v>204</v>
      </c>
      <c r="E92" s="389" t="s">
        <v>204</v>
      </c>
      <c r="F92" s="389" t="s">
        <v>204</v>
      </c>
      <c r="G92" s="389" t="s">
        <v>204</v>
      </c>
      <c r="H92" s="389" t="s">
        <v>204</v>
      </c>
      <c r="I92" s="50"/>
      <c r="K92" s="71"/>
      <c r="L92" s="71"/>
      <c r="M92" s="71"/>
      <c r="N92" s="71"/>
      <c r="O92" s="71"/>
      <c r="P92" s="71"/>
      <c r="Q92" s="71"/>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row>
    <row r="93" spans="1:45" hidden="1" outlineLevel="1" x14ac:dyDescent="0.3">
      <c r="A93" s="45" t="s">
        <v>2720</v>
      </c>
      <c r="B93" s="45" t="s">
        <v>940</v>
      </c>
      <c r="C93" s="48" t="s">
        <v>823</v>
      </c>
      <c r="D93" s="389" t="s">
        <v>204</v>
      </c>
      <c r="E93" s="389" t="s">
        <v>204</v>
      </c>
      <c r="F93" s="389" t="s">
        <v>204</v>
      </c>
      <c r="G93" s="389" t="s">
        <v>204</v>
      </c>
      <c r="H93" s="389" t="s">
        <v>204</v>
      </c>
      <c r="I93" s="50"/>
      <c r="K93" s="71"/>
      <c r="L93" s="71"/>
      <c r="M93" s="71"/>
      <c r="N93" s="71"/>
      <c r="O93" s="71"/>
      <c r="P93" s="71"/>
      <c r="Q93" s="71"/>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c r="AS93" s="70"/>
    </row>
    <row r="94" spans="1:45" hidden="1" outlineLevel="1" x14ac:dyDescent="0.3">
      <c r="A94" s="45" t="s">
        <v>2720</v>
      </c>
      <c r="B94" s="45" t="s">
        <v>940</v>
      </c>
      <c r="C94" s="48" t="s">
        <v>825</v>
      </c>
      <c r="D94" s="389" t="s">
        <v>204</v>
      </c>
      <c r="E94" s="389" t="s">
        <v>204</v>
      </c>
      <c r="F94" s="389" t="s">
        <v>204</v>
      </c>
      <c r="G94" s="389" t="s">
        <v>204</v>
      </c>
      <c r="H94" s="389" t="s">
        <v>204</v>
      </c>
      <c r="I94" s="50"/>
      <c r="K94" s="71"/>
      <c r="L94" s="71"/>
      <c r="M94" s="71"/>
      <c r="N94" s="71"/>
      <c r="O94" s="71"/>
      <c r="P94" s="71"/>
      <c r="Q94" s="71"/>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70"/>
      <c r="AQ94" s="70"/>
      <c r="AR94" s="70"/>
      <c r="AS94" s="70"/>
    </row>
    <row r="95" spans="1:45" hidden="1" outlineLevel="1" x14ac:dyDescent="0.3">
      <c r="A95" s="45" t="s">
        <v>2720</v>
      </c>
      <c r="B95" s="45" t="s">
        <v>940</v>
      </c>
      <c r="C95" s="48" t="s">
        <v>827</v>
      </c>
      <c r="D95" s="155">
        <v>78000</v>
      </c>
      <c r="E95" s="155">
        <v>80000</v>
      </c>
      <c r="F95" s="155">
        <v>80000</v>
      </c>
      <c r="G95" s="155">
        <v>80000</v>
      </c>
      <c r="H95" s="155">
        <v>80000</v>
      </c>
      <c r="I95" s="50" t="s">
        <v>1068</v>
      </c>
      <c r="K95" s="71"/>
      <c r="L95" s="71"/>
      <c r="M95" s="71"/>
      <c r="N95" s="71"/>
      <c r="O95" s="71"/>
      <c r="P95" s="71"/>
      <c r="Q95" s="71"/>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row>
    <row r="96" spans="1:45" hidden="1" outlineLevel="1" x14ac:dyDescent="0.3">
      <c r="A96" s="45" t="s">
        <v>2720</v>
      </c>
      <c r="B96" s="45" t="s">
        <v>940</v>
      </c>
      <c r="C96" s="48" t="s">
        <v>829</v>
      </c>
      <c r="D96" s="155">
        <v>0</v>
      </c>
      <c r="E96" s="155">
        <v>0</v>
      </c>
      <c r="F96" s="155">
        <v>0</v>
      </c>
      <c r="G96" s="155">
        <v>0</v>
      </c>
      <c r="H96" s="155">
        <v>0</v>
      </c>
      <c r="I96" s="50" t="s">
        <v>2715</v>
      </c>
      <c r="K96" s="71"/>
      <c r="L96" s="71"/>
      <c r="M96" s="71"/>
      <c r="N96" s="71"/>
      <c r="O96" s="71"/>
      <c r="P96" s="71"/>
      <c r="Q96" s="71"/>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c r="AQ96" s="70"/>
      <c r="AR96" s="70"/>
      <c r="AS96" s="70"/>
    </row>
    <row r="97" spans="1:45" hidden="1" outlineLevel="1" x14ac:dyDescent="0.3">
      <c r="A97" s="45" t="s">
        <v>2720</v>
      </c>
      <c r="B97" s="45" t="s">
        <v>940</v>
      </c>
      <c r="C97" s="48" t="s">
        <v>833</v>
      </c>
      <c r="D97" s="155">
        <v>4000</v>
      </c>
      <c r="E97" s="155">
        <v>4000</v>
      </c>
      <c r="F97" s="155">
        <v>4000</v>
      </c>
      <c r="G97" s="155">
        <v>4000</v>
      </c>
      <c r="H97" s="155">
        <v>4000</v>
      </c>
      <c r="I97" s="50" t="s">
        <v>2732</v>
      </c>
      <c r="K97" s="71"/>
      <c r="L97" s="71"/>
      <c r="M97" s="71"/>
      <c r="N97" s="71"/>
      <c r="O97" s="71"/>
      <c r="P97" s="71"/>
      <c r="Q97" s="71"/>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row>
    <row r="98" spans="1:45" hidden="1" outlineLevel="1" x14ac:dyDescent="0.3">
      <c r="A98" s="45" t="s">
        <v>2720</v>
      </c>
      <c r="B98" s="45" t="s">
        <v>940</v>
      </c>
      <c r="C98" s="48" t="s">
        <v>836</v>
      </c>
      <c r="D98" s="155">
        <v>10675</v>
      </c>
      <c r="E98" s="155">
        <v>10675</v>
      </c>
      <c r="F98" s="155">
        <v>10675</v>
      </c>
      <c r="G98" s="155">
        <v>10675</v>
      </c>
      <c r="H98" s="155">
        <v>10675</v>
      </c>
      <c r="I98" s="50" t="s">
        <v>2733</v>
      </c>
      <c r="K98" s="71"/>
      <c r="L98" s="71"/>
      <c r="M98" s="71"/>
      <c r="N98" s="71"/>
      <c r="O98" s="71"/>
      <c r="P98" s="71"/>
      <c r="Q98" s="71"/>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c r="AQ98" s="70"/>
      <c r="AR98" s="70"/>
      <c r="AS98" s="70"/>
    </row>
    <row r="99" spans="1:45" hidden="1" outlineLevel="1" x14ac:dyDescent="0.3">
      <c r="A99" s="45" t="s">
        <v>2720</v>
      </c>
      <c r="B99" s="45" t="s">
        <v>940</v>
      </c>
      <c r="C99" s="48" t="s">
        <v>837</v>
      </c>
      <c r="D99" s="389" t="s">
        <v>204</v>
      </c>
      <c r="E99" s="389" t="s">
        <v>204</v>
      </c>
      <c r="F99" s="389" t="s">
        <v>204</v>
      </c>
      <c r="G99" s="389" t="s">
        <v>204</v>
      </c>
      <c r="H99" s="389" t="s">
        <v>204</v>
      </c>
      <c r="I99" s="50"/>
      <c r="K99" s="71"/>
      <c r="L99" s="71"/>
      <c r="M99" s="71"/>
      <c r="N99" s="71"/>
      <c r="O99" s="71"/>
      <c r="P99" s="71"/>
      <c r="Q99" s="71"/>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row>
    <row r="100" spans="1:45" hidden="1" outlineLevel="1" x14ac:dyDescent="0.3">
      <c r="A100" s="45" t="s">
        <v>2720</v>
      </c>
      <c r="B100" s="45" t="s">
        <v>940</v>
      </c>
      <c r="C100" s="48" t="s">
        <v>839</v>
      </c>
      <c r="D100" s="155">
        <v>0</v>
      </c>
      <c r="E100" s="155">
        <v>0</v>
      </c>
      <c r="F100" s="155">
        <v>0</v>
      </c>
      <c r="G100" s="155">
        <v>0</v>
      </c>
      <c r="H100" s="155">
        <v>0</v>
      </c>
      <c r="I100" s="50" t="s">
        <v>2718</v>
      </c>
      <c r="K100" s="71"/>
      <c r="L100" s="71"/>
      <c r="M100" s="71"/>
      <c r="N100" s="71"/>
      <c r="O100" s="71"/>
      <c r="P100" s="71"/>
      <c r="Q100" s="71"/>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row>
    <row r="101" spans="1:45" hidden="1" outlineLevel="1" x14ac:dyDescent="0.3">
      <c r="A101" s="45" t="s">
        <v>2720</v>
      </c>
      <c r="B101" s="45" t="s">
        <v>940</v>
      </c>
      <c r="C101" s="48" t="s">
        <v>840</v>
      </c>
      <c r="D101" s="389" t="s">
        <v>204</v>
      </c>
      <c r="E101" s="389" t="s">
        <v>204</v>
      </c>
      <c r="F101" s="389" t="s">
        <v>204</v>
      </c>
      <c r="G101" s="389" t="s">
        <v>204</v>
      </c>
      <c r="H101" s="389" t="s">
        <v>204</v>
      </c>
      <c r="I101" s="50"/>
      <c r="K101" s="71"/>
      <c r="L101" s="71"/>
      <c r="M101" s="71"/>
      <c r="N101" s="71"/>
      <c r="O101" s="71"/>
      <c r="P101" s="71"/>
      <c r="Q101" s="71"/>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row>
    <row r="102" spans="1:45" collapsed="1" x14ac:dyDescent="0.3">
      <c r="A102" s="45"/>
      <c r="B102" s="45"/>
      <c r="C102" s="530" t="s">
        <v>2719</v>
      </c>
      <c r="D102" s="50"/>
      <c r="E102" s="50"/>
      <c r="F102" s="50"/>
      <c r="G102" s="50"/>
      <c r="H102" s="50"/>
      <c r="I102" s="50"/>
      <c r="K102" s="181"/>
      <c r="L102" s="181"/>
      <c r="M102" s="71"/>
      <c r="N102" s="71"/>
      <c r="O102" s="71"/>
      <c r="P102" s="71"/>
      <c r="Q102" s="71"/>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row>
    <row r="103" spans="1:45" collapsed="1" x14ac:dyDescent="0.3">
      <c r="A103" s="48" t="s">
        <v>2734</v>
      </c>
      <c r="B103" s="45"/>
      <c r="C103" s="46" t="s">
        <v>2693</v>
      </c>
      <c r="D103" s="47">
        <v>666545</v>
      </c>
      <c r="E103" s="47">
        <v>705321</v>
      </c>
      <c r="F103" s="47">
        <v>804619</v>
      </c>
      <c r="G103" s="47">
        <v>810109</v>
      </c>
      <c r="H103" s="47">
        <v>813629</v>
      </c>
      <c r="I103" s="5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row>
    <row r="104" spans="1:45" x14ac:dyDescent="0.3">
      <c r="A104" s="48" t="s">
        <v>5</v>
      </c>
      <c r="B104" s="48" t="s">
        <v>847</v>
      </c>
      <c r="C104" s="48" t="s">
        <v>193</v>
      </c>
      <c r="D104" s="49">
        <v>2025</v>
      </c>
      <c r="E104" s="49">
        <v>2030</v>
      </c>
      <c r="F104" s="49">
        <v>2035</v>
      </c>
      <c r="G104" s="49">
        <v>2040</v>
      </c>
      <c r="H104" s="49">
        <v>2045</v>
      </c>
      <c r="I104" s="49" t="s">
        <v>153</v>
      </c>
      <c r="K104" s="70"/>
      <c r="L104" s="70"/>
      <c r="M104" s="182"/>
      <c r="N104" s="182"/>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row>
    <row r="105" spans="1:45" hidden="1" outlineLevel="1" x14ac:dyDescent="0.3">
      <c r="A105" s="45" t="s">
        <v>2734</v>
      </c>
      <c r="B105" s="45" t="s">
        <v>855</v>
      </c>
      <c r="C105" s="48" t="s">
        <v>747</v>
      </c>
      <c r="D105" s="389" t="s">
        <v>204</v>
      </c>
      <c r="E105" s="389" t="s">
        <v>204</v>
      </c>
      <c r="F105" s="389" t="s">
        <v>204</v>
      </c>
      <c r="G105" s="389" t="s">
        <v>204</v>
      </c>
      <c r="H105" s="389" t="s">
        <v>204</v>
      </c>
      <c r="I105" s="50"/>
      <c r="K105" s="71"/>
      <c r="L105" s="71"/>
      <c r="M105" s="182"/>
      <c r="N105" s="182"/>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row>
    <row r="106" spans="1:45" hidden="1" outlineLevel="1" x14ac:dyDescent="0.3">
      <c r="A106" s="45" t="s">
        <v>2734</v>
      </c>
      <c r="B106" s="45" t="s">
        <v>855</v>
      </c>
      <c r="C106" s="48" t="s">
        <v>751</v>
      </c>
      <c r="D106" s="155">
        <v>27000</v>
      </c>
      <c r="E106" s="155">
        <v>27000</v>
      </c>
      <c r="F106" s="155">
        <v>27000</v>
      </c>
      <c r="G106" s="155">
        <v>27000</v>
      </c>
      <c r="H106" s="155">
        <v>27000</v>
      </c>
      <c r="I106" s="50" t="s">
        <v>2696</v>
      </c>
      <c r="K106" s="71"/>
      <c r="L106" s="71"/>
      <c r="M106" s="182"/>
      <c r="N106" s="182"/>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row>
    <row r="107" spans="1:45" hidden="1" outlineLevel="1" x14ac:dyDescent="0.3">
      <c r="A107" s="45" t="s">
        <v>2734</v>
      </c>
      <c r="B107" s="45" t="s">
        <v>855</v>
      </c>
      <c r="C107" s="48" t="s">
        <v>755</v>
      </c>
      <c r="D107" s="155">
        <v>0</v>
      </c>
      <c r="E107" s="155">
        <v>0</v>
      </c>
      <c r="F107" s="155">
        <v>0</v>
      </c>
      <c r="G107" s="155">
        <v>0</v>
      </c>
      <c r="H107" s="155">
        <v>0</v>
      </c>
      <c r="I107" s="50" t="s">
        <v>2697</v>
      </c>
      <c r="K107" s="71"/>
      <c r="L107" s="71"/>
      <c r="M107" s="71"/>
      <c r="N107" s="71"/>
      <c r="O107" s="71"/>
      <c r="P107" s="71"/>
      <c r="Q107" s="71"/>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row>
    <row r="108" spans="1:45" hidden="1" outlineLevel="1" x14ac:dyDescent="0.3">
      <c r="A108" s="45" t="s">
        <v>2734</v>
      </c>
      <c r="B108" s="45" t="s">
        <v>855</v>
      </c>
      <c r="C108" s="48" t="s">
        <v>758</v>
      </c>
      <c r="D108" s="155">
        <v>0</v>
      </c>
      <c r="E108" s="155">
        <v>0</v>
      </c>
      <c r="F108" s="155">
        <v>0</v>
      </c>
      <c r="G108" s="155">
        <v>0</v>
      </c>
      <c r="H108" s="155">
        <v>0</v>
      </c>
      <c r="I108" s="50" t="s">
        <v>2699</v>
      </c>
      <c r="K108" s="71"/>
      <c r="L108" s="71"/>
      <c r="M108" s="71"/>
      <c r="N108" s="71"/>
      <c r="O108" s="71"/>
      <c r="P108" s="71"/>
      <c r="Q108" s="71"/>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row>
    <row r="109" spans="1:45" hidden="1" outlineLevel="1" x14ac:dyDescent="0.3">
      <c r="A109" s="45" t="s">
        <v>2734</v>
      </c>
      <c r="B109" s="45" t="s">
        <v>855</v>
      </c>
      <c r="C109" s="48" t="s">
        <v>761</v>
      </c>
      <c r="D109" s="155">
        <v>17655</v>
      </c>
      <c r="E109" s="155">
        <v>17655</v>
      </c>
      <c r="F109" s="155">
        <v>17655</v>
      </c>
      <c r="G109" s="155">
        <v>17655</v>
      </c>
      <c r="H109" s="155">
        <v>17655</v>
      </c>
      <c r="I109" s="50" t="s">
        <v>2721</v>
      </c>
      <c r="K109" s="71"/>
      <c r="L109" s="71"/>
      <c r="M109" s="71"/>
      <c r="N109" s="71"/>
      <c r="O109" s="71"/>
      <c r="P109" s="71"/>
      <c r="Q109" s="71"/>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row>
    <row r="110" spans="1:45" hidden="1" outlineLevel="1" x14ac:dyDescent="0.3">
      <c r="A110" s="45" t="s">
        <v>2734</v>
      </c>
      <c r="B110" s="45" t="s">
        <v>855</v>
      </c>
      <c r="C110" s="48" t="s">
        <v>763</v>
      </c>
      <c r="D110" s="155">
        <v>17789.599999999999</v>
      </c>
      <c r="E110" s="155">
        <v>17789.599999999999</v>
      </c>
      <c r="F110" s="155">
        <v>17789.599999999999</v>
      </c>
      <c r="G110" s="155">
        <v>17789.599999999999</v>
      </c>
      <c r="H110" s="155">
        <v>17789.599999999999</v>
      </c>
      <c r="I110" s="155" t="s">
        <v>2701</v>
      </c>
      <c r="K110" s="71"/>
      <c r="L110" s="71"/>
      <c r="M110" s="71"/>
      <c r="N110" s="71"/>
      <c r="O110" s="71"/>
      <c r="P110" s="71"/>
      <c r="Q110" s="71"/>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row>
    <row r="111" spans="1:45" hidden="1" outlineLevel="1" x14ac:dyDescent="0.3">
      <c r="A111" s="45" t="s">
        <v>2734</v>
      </c>
      <c r="B111" s="45" t="s">
        <v>855</v>
      </c>
      <c r="C111" s="48" t="s">
        <v>765</v>
      </c>
      <c r="D111" s="155">
        <v>51995.199999999997</v>
      </c>
      <c r="E111" s="155">
        <v>51995.199999999997</v>
      </c>
      <c r="F111" s="155">
        <v>51995.199999999997</v>
      </c>
      <c r="G111" s="155">
        <v>51995.199999999997</v>
      </c>
      <c r="H111" s="155">
        <v>51995.199999999997</v>
      </c>
      <c r="I111" s="50" t="s">
        <v>2735</v>
      </c>
      <c r="K111" s="71"/>
      <c r="L111" s="71"/>
      <c r="M111" s="71"/>
      <c r="N111" s="71"/>
      <c r="O111" s="71"/>
      <c r="P111" s="71"/>
      <c r="Q111" s="71"/>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row>
    <row r="112" spans="1:45" hidden="1" outlineLevel="1" x14ac:dyDescent="0.3">
      <c r="A112" s="45" t="s">
        <v>2734</v>
      </c>
      <c r="B112" s="45" t="s">
        <v>855</v>
      </c>
      <c r="C112" s="48" t="s">
        <v>768</v>
      </c>
      <c r="D112" s="389" t="s">
        <v>204</v>
      </c>
      <c r="E112" s="389" t="s">
        <v>204</v>
      </c>
      <c r="F112" s="389" t="s">
        <v>204</v>
      </c>
      <c r="G112" s="389" t="s">
        <v>204</v>
      </c>
      <c r="H112" s="389" t="s">
        <v>204</v>
      </c>
      <c r="I112" s="50"/>
      <c r="K112" s="71"/>
      <c r="L112" s="71"/>
      <c r="M112" s="71"/>
      <c r="N112" s="71"/>
      <c r="O112" s="71"/>
      <c r="P112" s="71"/>
      <c r="Q112" s="71"/>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row>
    <row r="113" spans="1:45" hidden="1" outlineLevel="1" x14ac:dyDescent="0.3">
      <c r="A113" s="45" t="s">
        <v>2734</v>
      </c>
      <c r="B113" s="45" t="s">
        <v>855</v>
      </c>
      <c r="C113" s="48" t="s">
        <v>771</v>
      </c>
      <c r="D113" s="155">
        <v>121700</v>
      </c>
      <c r="E113" s="155">
        <v>121700</v>
      </c>
      <c r="F113" s="155">
        <v>121700</v>
      </c>
      <c r="G113" s="155">
        <v>121700</v>
      </c>
      <c r="H113" s="155">
        <v>121700</v>
      </c>
      <c r="I113" s="50" t="s">
        <v>2736</v>
      </c>
      <c r="K113" s="71"/>
      <c r="L113" s="71"/>
      <c r="M113" s="71"/>
      <c r="N113" s="71"/>
      <c r="O113" s="71"/>
      <c r="P113" s="71"/>
      <c r="Q113" s="71"/>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row>
    <row r="114" spans="1:45" hidden="1" outlineLevel="1" x14ac:dyDescent="0.3">
      <c r="A114" s="45" t="s">
        <v>2734</v>
      </c>
      <c r="B114" s="45" t="s">
        <v>855</v>
      </c>
      <c r="C114" s="48" t="s">
        <v>772</v>
      </c>
      <c r="D114" s="155">
        <v>50652</v>
      </c>
      <c r="E114" s="155">
        <v>50652</v>
      </c>
      <c r="F114" s="155">
        <v>50652</v>
      </c>
      <c r="G114" s="155">
        <v>50652</v>
      </c>
      <c r="H114" s="155">
        <v>50652</v>
      </c>
      <c r="I114" s="50" t="s">
        <v>2704</v>
      </c>
      <c r="K114" s="71"/>
      <c r="L114" s="71"/>
      <c r="M114" s="71"/>
      <c r="N114" s="71"/>
      <c r="O114" s="71"/>
      <c r="P114" s="71"/>
      <c r="Q114" s="71"/>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row>
    <row r="115" spans="1:45" hidden="1" outlineLevel="1" x14ac:dyDescent="0.3">
      <c r="A115" s="45" t="s">
        <v>2734</v>
      </c>
      <c r="B115" s="45" t="s">
        <v>855</v>
      </c>
      <c r="C115" s="48" t="s">
        <v>774</v>
      </c>
      <c r="D115" s="155">
        <v>58000</v>
      </c>
      <c r="E115" s="155">
        <v>58000</v>
      </c>
      <c r="F115" s="155">
        <v>58000</v>
      </c>
      <c r="G115" s="155">
        <v>58000</v>
      </c>
      <c r="H115" s="155">
        <v>58000</v>
      </c>
      <c r="I115" s="50" t="s">
        <v>2705</v>
      </c>
      <c r="K115" s="71"/>
      <c r="L115" s="71"/>
      <c r="M115" s="71"/>
      <c r="N115" s="71"/>
      <c r="O115" s="71"/>
      <c r="P115" s="71"/>
      <c r="Q115" s="71"/>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row>
    <row r="116" spans="1:45" hidden="1" outlineLevel="1" x14ac:dyDescent="0.3">
      <c r="A116" s="45" t="s">
        <v>2734</v>
      </c>
      <c r="B116" s="45" t="s">
        <v>855</v>
      </c>
      <c r="C116" s="48" t="s">
        <v>775</v>
      </c>
      <c r="D116" s="389" t="s">
        <v>204</v>
      </c>
      <c r="E116" s="389" t="s">
        <v>204</v>
      </c>
      <c r="F116" s="389" t="s">
        <v>204</v>
      </c>
      <c r="G116" s="389" t="s">
        <v>204</v>
      </c>
      <c r="H116" s="389" t="s">
        <v>204</v>
      </c>
      <c r="I116" s="50"/>
      <c r="K116" s="71"/>
      <c r="L116" s="71"/>
      <c r="M116" s="71"/>
      <c r="N116" s="71"/>
      <c r="O116" s="71"/>
      <c r="P116" s="71"/>
      <c r="Q116" s="71"/>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row>
    <row r="117" spans="1:45" hidden="1" outlineLevel="1" x14ac:dyDescent="0.3">
      <c r="A117" s="45" t="s">
        <v>2734</v>
      </c>
      <c r="B117" s="45" t="s">
        <v>855</v>
      </c>
      <c r="C117" s="48" t="s">
        <v>779</v>
      </c>
      <c r="D117" s="389" t="s">
        <v>204</v>
      </c>
      <c r="E117" s="389" t="s">
        <v>204</v>
      </c>
      <c r="F117" s="389" t="s">
        <v>204</v>
      </c>
      <c r="G117" s="389" t="s">
        <v>204</v>
      </c>
      <c r="H117" s="389" t="s">
        <v>204</v>
      </c>
      <c r="I117" s="50"/>
      <c r="K117" s="71"/>
      <c r="L117" s="71"/>
      <c r="M117" s="71"/>
      <c r="N117" s="71"/>
      <c r="O117" s="71"/>
      <c r="P117" s="71"/>
      <c r="Q117" s="71"/>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row>
    <row r="118" spans="1:45" hidden="1" outlineLevel="1" x14ac:dyDescent="0.3">
      <c r="A118" s="45" t="s">
        <v>2734</v>
      </c>
      <c r="B118" s="45" t="s">
        <v>894</v>
      </c>
      <c r="C118" s="48" t="s">
        <v>781</v>
      </c>
      <c r="D118" s="389" t="s">
        <v>204</v>
      </c>
      <c r="E118" s="389" t="s">
        <v>204</v>
      </c>
      <c r="F118" s="389" t="s">
        <v>204</v>
      </c>
      <c r="G118" s="389" t="s">
        <v>204</v>
      </c>
      <c r="H118" s="389" t="s">
        <v>204</v>
      </c>
      <c r="I118" s="50"/>
      <c r="K118" s="71"/>
      <c r="L118" s="71"/>
      <c r="M118" s="71"/>
      <c r="N118" s="71"/>
      <c r="O118" s="71"/>
      <c r="P118" s="71"/>
      <c r="Q118" s="71"/>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row>
    <row r="119" spans="1:45" hidden="1" outlineLevel="1" x14ac:dyDescent="0.3">
      <c r="A119" s="45" t="s">
        <v>2734</v>
      </c>
      <c r="B119" s="45" t="s">
        <v>894</v>
      </c>
      <c r="C119" s="48" t="s">
        <v>783</v>
      </c>
      <c r="D119" s="155">
        <v>0</v>
      </c>
      <c r="E119" s="155">
        <v>0</v>
      </c>
      <c r="F119" s="155">
        <v>0</v>
      </c>
      <c r="G119" s="155">
        <v>0</v>
      </c>
      <c r="H119" s="155">
        <v>0</v>
      </c>
      <c r="I119" s="50" t="s">
        <v>2706</v>
      </c>
      <c r="K119" s="71"/>
      <c r="L119" s="71"/>
      <c r="M119" s="71"/>
      <c r="N119" s="71"/>
      <c r="O119" s="71"/>
      <c r="P119" s="71"/>
      <c r="Q119" s="71"/>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0"/>
    </row>
    <row r="120" spans="1:45" hidden="1" outlineLevel="1" x14ac:dyDescent="0.3">
      <c r="A120" s="45" t="s">
        <v>2734</v>
      </c>
      <c r="B120" s="45" t="s">
        <v>894</v>
      </c>
      <c r="C120" s="48" t="s">
        <v>785</v>
      </c>
      <c r="D120" s="155">
        <v>87682.2</v>
      </c>
      <c r="E120" s="155">
        <v>87682.2</v>
      </c>
      <c r="F120" s="155">
        <v>87682.2</v>
      </c>
      <c r="G120" s="155">
        <v>87682.2</v>
      </c>
      <c r="H120" s="155">
        <v>87682.2</v>
      </c>
      <c r="I120" s="50" t="s">
        <v>2737</v>
      </c>
      <c r="K120" s="71"/>
      <c r="L120" s="71"/>
      <c r="M120" s="71"/>
      <c r="N120" s="71"/>
      <c r="O120" s="71"/>
      <c r="P120" s="71"/>
      <c r="Q120" s="71"/>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row>
    <row r="121" spans="1:45" hidden="1" outlineLevel="1" x14ac:dyDescent="0.3">
      <c r="A121" s="45" t="s">
        <v>2734</v>
      </c>
      <c r="B121" s="45" t="s">
        <v>894</v>
      </c>
      <c r="C121" s="48" t="s">
        <v>787</v>
      </c>
      <c r="D121" s="389" t="s">
        <v>204</v>
      </c>
      <c r="E121" s="389" t="s">
        <v>204</v>
      </c>
      <c r="F121" s="389" t="s">
        <v>204</v>
      </c>
      <c r="G121" s="389" t="s">
        <v>204</v>
      </c>
      <c r="H121" s="389" t="s">
        <v>204</v>
      </c>
      <c r="I121" s="50"/>
      <c r="K121" s="71"/>
      <c r="L121" s="71"/>
      <c r="M121" s="71"/>
      <c r="N121" s="71"/>
      <c r="O121" s="71"/>
      <c r="P121" s="71"/>
      <c r="Q121" s="71"/>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row>
    <row r="122" spans="1:45" hidden="1" outlineLevel="1" x14ac:dyDescent="0.3">
      <c r="A122" s="45" t="s">
        <v>2734</v>
      </c>
      <c r="B122" s="45" t="s">
        <v>894</v>
      </c>
      <c r="C122" s="48" t="s">
        <v>788</v>
      </c>
      <c r="D122" s="389" t="s">
        <v>204</v>
      </c>
      <c r="E122" s="389" t="s">
        <v>204</v>
      </c>
      <c r="F122" s="389" t="s">
        <v>204</v>
      </c>
      <c r="G122" s="389" t="s">
        <v>204</v>
      </c>
      <c r="H122" s="389" t="s">
        <v>204</v>
      </c>
      <c r="I122" s="50"/>
      <c r="K122" s="71"/>
      <c r="L122" s="71"/>
      <c r="M122" s="71"/>
      <c r="N122" s="71"/>
      <c r="O122" s="71"/>
      <c r="P122" s="71"/>
      <c r="Q122" s="71"/>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row>
    <row r="123" spans="1:45" hidden="1" outlineLevel="1" x14ac:dyDescent="0.3">
      <c r="A123" s="45" t="s">
        <v>2734</v>
      </c>
      <c r="B123" s="45" t="s">
        <v>894</v>
      </c>
      <c r="C123" s="48" t="s">
        <v>789</v>
      </c>
      <c r="D123" s="389" t="s">
        <v>204</v>
      </c>
      <c r="E123" s="389" t="s">
        <v>204</v>
      </c>
      <c r="F123" s="389" t="s">
        <v>204</v>
      </c>
      <c r="G123" s="389" t="s">
        <v>204</v>
      </c>
      <c r="H123" s="389" t="s">
        <v>204</v>
      </c>
      <c r="I123" s="50"/>
      <c r="K123" s="71"/>
      <c r="L123" s="71"/>
      <c r="M123" s="71"/>
      <c r="N123" s="71"/>
      <c r="O123" s="71"/>
      <c r="P123" s="71"/>
      <c r="Q123" s="71"/>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row>
    <row r="124" spans="1:45" hidden="1" outlineLevel="1" x14ac:dyDescent="0.3">
      <c r="A124" s="45" t="s">
        <v>2734</v>
      </c>
      <c r="B124" s="45" t="s">
        <v>894</v>
      </c>
      <c r="C124" s="48" t="s">
        <v>790</v>
      </c>
      <c r="D124" s="353">
        <v>0</v>
      </c>
      <c r="E124" s="353">
        <v>0</v>
      </c>
      <c r="F124" s="353">
        <v>0</v>
      </c>
      <c r="G124" s="353">
        <v>0</v>
      </c>
      <c r="H124" s="353">
        <v>0</v>
      </c>
      <c r="I124" s="50" t="s">
        <v>2738</v>
      </c>
      <c r="K124" s="71"/>
      <c r="L124" s="71"/>
      <c r="M124" s="71"/>
      <c r="N124" s="71"/>
      <c r="O124" s="71"/>
      <c r="P124" s="71"/>
      <c r="Q124" s="71"/>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row>
    <row r="125" spans="1:45" hidden="1" outlineLevel="1" x14ac:dyDescent="0.3">
      <c r="A125" s="45" t="s">
        <v>2734</v>
      </c>
      <c r="B125" s="45" t="s">
        <v>894</v>
      </c>
      <c r="C125" s="48" t="s">
        <v>793</v>
      </c>
      <c r="D125" s="389" t="s">
        <v>204</v>
      </c>
      <c r="E125" s="389" t="s">
        <v>204</v>
      </c>
      <c r="F125" s="389" t="s">
        <v>204</v>
      </c>
      <c r="G125" s="389" t="s">
        <v>204</v>
      </c>
      <c r="H125" s="389" t="s">
        <v>204</v>
      </c>
      <c r="I125" s="50"/>
      <c r="K125" s="71"/>
      <c r="L125" s="71"/>
      <c r="M125" s="71"/>
      <c r="N125" s="71"/>
      <c r="O125" s="71"/>
      <c r="P125" s="71"/>
      <c r="Q125" s="71"/>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row>
    <row r="126" spans="1:45" hidden="1" outlineLevel="1" x14ac:dyDescent="0.3">
      <c r="A126" s="45" t="s">
        <v>2734</v>
      </c>
      <c r="B126" s="45" t="s">
        <v>894</v>
      </c>
      <c r="C126" s="48" t="s">
        <v>795</v>
      </c>
      <c r="D126" s="389" t="s">
        <v>204</v>
      </c>
      <c r="E126" s="389" t="s">
        <v>204</v>
      </c>
      <c r="F126" s="389" t="s">
        <v>204</v>
      </c>
      <c r="G126" s="389" t="s">
        <v>204</v>
      </c>
      <c r="H126" s="389" t="s">
        <v>204</v>
      </c>
      <c r="I126" s="50"/>
      <c r="K126" s="71"/>
      <c r="L126" s="71"/>
      <c r="M126" s="71"/>
      <c r="N126" s="71"/>
      <c r="O126" s="71"/>
      <c r="P126" s="71"/>
      <c r="Q126" s="71"/>
      <c r="R126" s="184"/>
      <c r="S126" s="184"/>
      <c r="T126" s="184"/>
      <c r="U126" s="184"/>
      <c r="V126" s="184"/>
      <c r="W126" s="184"/>
      <c r="X126" s="184"/>
      <c r="Y126" s="184"/>
      <c r="Z126" s="184"/>
      <c r="AA126" s="70"/>
      <c r="AB126" s="70"/>
      <c r="AC126" s="70"/>
      <c r="AD126" s="70"/>
      <c r="AE126" s="70"/>
      <c r="AF126" s="70"/>
      <c r="AG126" s="70"/>
      <c r="AH126" s="70"/>
      <c r="AI126" s="70"/>
      <c r="AJ126" s="70"/>
      <c r="AK126" s="70"/>
      <c r="AL126" s="70"/>
      <c r="AM126" s="70"/>
      <c r="AN126" s="70"/>
      <c r="AO126" s="70"/>
      <c r="AP126" s="70"/>
      <c r="AQ126" s="70"/>
      <c r="AR126" s="70"/>
      <c r="AS126" s="70"/>
    </row>
    <row r="127" spans="1:45" hidden="1" outlineLevel="1" x14ac:dyDescent="0.3">
      <c r="A127" s="45" t="s">
        <v>2734</v>
      </c>
      <c r="B127" s="45" t="s">
        <v>894</v>
      </c>
      <c r="C127" s="48" t="s">
        <v>797</v>
      </c>
      <c r="D127" s="155">
        <v>0</v>
      </c>
      <c r="E127" s="155">
        <v>0</v>
      </c>
      <c r="F127" s="155">
        <v>0</v>
      </c>
      <c r="G127" s="155">
        <v>0</v>
      </c>
      <c r="H127" s="155">
        <v>0</v>
      </c>
      <c r="I127" s="50" t="s">
        <v>2739</v>
      </c>
      <c r="K127" s="71"/>
      <c r="L127" s="71"/>
      <c r="M127" s="71"/>
      <c r="N127" s="71"/>
      <c r="O127" s="71"/>
      <c r="P127" s="71"/>
      <c r="Q127" s="71"/>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row>
    <row r="128" spans="1:45" hidden="1" outlineLevel="1" x14ac:dyDescent="0.3">
      <c r="A128" s="45" t="s">
        <v>2734</v>
      </c>
      <c r="B128" s="45" t="s">
        <v>915</v>
      </c>
      <c r="C128" s="48" t="s">
        <v>799</v>
      </c>
      <c r="D128" s="155">
        <v>1700</v>
      </c>
      <c r="E128" s="155">
        <v>10500</v>
      </c>
      <c r="F128" s="155">
        <v>11700</v>
      </c>
      <c r="G128" s="155">
        <v>11300</v>
      </c>
      <c r="H128" s="155">
        <v>11000</v>
      </c>
      <c r="I128" s="50" t="s">
        <v>2740</v>
      </c>
      <c r="K128" s="71"/>
      <c r="L128" s="71"/>
      <c r="M128" s="71"/>
      <c r="N128" s="71"/>
      <c r="O128" s="71"/>
      <c r="P128" s="71"/>
      <c r="Q128" s="71"/>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row>
    <row r="129" spans="1:45" hidden="1" outlineLevel="1" x14ac:dyDescent="0.3">
      <c r="A129" s="45" t="s">
        <v>2734</v>
      </c>
      <c r="B129" s="45" t="s">
        <v>915</v>
      </c>
      <c r="C129" s="48" t="s">
        <v>801</v>
      </c>
      <c r="D129" s="155">
        <v>5100</v>
      </c>
      <c r="E129" s="155">
        <v>5100</v>
      </c>
      <c r="F129" s="155">
        <v>5100</v>
      </c>
      <c r="G129" s="155">
        <v>5100</v>
      </c>
      <c r="H129" s="155">
        <v>5100</v>
      </c>
      <c r="I129" s="50" t="s">
        <v>2741</v>
      </c>
      <c r="K129" s="71"/>
      <c r="L129" s="71"/>
      <c r="M129" s="71"/>
      <c r="N129" s="71"/>
      <c r="O129" s="71"/>
      <c r="P129" s="71"/>
      <c r="Q129" s="71"/>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row>
    <row r="130" spans="1:45" hidden="1" outlineLevel="1" x14ac:dyDescent="0.3">
      <c r="A130" s="45" t="s">
        <v>2734</v>
      </c>
      <c r="B130" s="45" t="s">
        <v>915</v>
      </c>
      <c r="C130" s="48" t="s">
        <v>804</v>
      </c>
      <c r="D130" s="155">
        <v>105986</v>
      </c>
      <c r="E130" s="155">
        <v>105522</v>
      </c>
      <c r="F130" s="155">
        <v>112230</v>
      </c>
      <c r="G130" s="155">
        <v>118120</v>
      </c>
      <c r="H130" s="155">
        <v>121940</v>
      </c>
      <c r="I130" s="50" t="s">
        <v>2742</v>
      </c>
      <c r="K130" s="71"/>
      <c r="L130" s="71"/>
      <c r="M130" s="71"/>
      <c r="N130" s="71"/>
      <c r="O130" s="71"/>
      <c r="P130" s="71"/>
      <c r="Q130" s="71"/>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row>
    <row r="131" spans="1:45" hidden="1" outlineLevel="1" x14ac:dyDescent="0.3">
      <c r="A131" s="45" t="s">
        <v>2734</v>
      </c>
      <c r="B131" s="45" t="s">
        <v>915</v>
      </c>
      <c r="C131" s="48" t="s">
        <v>806</v>
      </c>
      <c r="D131" s="155">
        <v>0</v>
      </c>
      <c r="E131" s="155">
        <v>0</v>
      </c>
      <c r="F131" s="155">
        <v>0</v>
      </c>
      <c r="G131" s="155">
        <v>0</v>
      </c>
      <c r="H131" s="155">
        <v>0</v>
      </c>
      <c r="I131" s="50"/>
      <c r="K131" s="71"/>
      <c r="L131" s="71"/>
      <c r="M131" s="71"/>
      <c r="N131" s="71"/>
      <c r="O131" s="71"/>
      <c r="P131" s="71"/>
      <c r="Q131" s="71"/>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c r="AR131" s="70"/>
      <c r="AS131" s="70"/>
    </row>
    <row r="132" spans="1:45" hidden="1" outlineLevel="1" x14ac:dyDescent="0.3">
      <c r="A132" s="45" t="s">
        <v>2734</v>
      </c>
      <c r="B132" s="45" t="s">
        <v>915</v>
      </c>
      <c r="C132" s="48" t="s">
        <v>808</v>
      </c>
      <c r="D132" s="155">
        <v>0</v>
      </c>
      <c r="E132" s="155">
        <v>0</v>
      </c>
      <c r="F132" s="155">
        <v>0</v>
      </c>
      <c r="G132" s="155">
        <v>0</v>
      </c>
      <c r="H132" s="155">
        <v>0</v>
      </c>
      <c r="I132" s="50"/>
      <c r="K132" s="71"/>
      <c r="L132" s="71"/>
      <c r="M132" s="71"/>
      <c r="N132" s="71"/>
      <c r="O132" s="71"/>
      <c r="P132" s="71"/>
      <c r="Q132" s="71"/>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row>
    <row r="133" spans="1:45" hidden="1" outlineLevel="1" x14ac:dyDescent="0.3">
      <c r="A133" s="45" t="s">
        <v>2734</v>
      </c>
      <c r="B133" s="45" t="s">
        <v>915</v>
      </c>
      <c r="C133" s="48" t="s">
        <v>811</v>
      </c>
      <c r="D133" s="155">
        <v>23580</v>
      </c>
      <c r="E133" s="155">
        <v>55020</v>
      </c>
      <c r="F133" s="155">
        <v>145410</v>
      </c>
      <c r="G133" s="155">
        <v>145410</v>
      </c>
      <c r="H133" s="155">
        <v>145410</v>
      </c>
      <c r="I133" s="50" t="s">
        <v>2730</v>
      </c>
      <c r="K133" s="71"/>
      <c r="L133" s="71"/>
      <c r="M133" s="71"/>
      <c r="N133" s="71"/>
      <c r="O133" s="71"/>
      <c r="P133" s="71"/>
      <c r="Q133" s="71"/>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row>
    <row r="134" spans="1:45" hidden="1" outlineLevel="1" x14ac:dyDescent="0.3">
      <c r="A134" s="45" t="s">
        <v>2734</v>
      </c>
      <c r="B134" s="45" t="s">
        <v>934</v>
      </c>
      <c r="C134" s="48" t="s">
        <v>814</v>
      </c>
      <c r="D134" s="415" t="s">
        <v>204</v>
      </c>
      <c r="E134" s="415" t="s">
        <v>204</v>
      </c>
      <c r="F134" s="415" t="s">
        <v>204</v>
      </c>
      <c r="G134" s="415" t="s">
        <v>204</v>
      </c>
      <c r="H134" s="415" t="s">
        <v>204</v>
      </c>
      <c r="I134" s="416"/>
      <c r="K134" s="71"/>
      <c r="L134" s="71"/>
      <c r="M134" s="71"/>
      <c r="N134" s="71"/>
      <c r="O134" s="71"/>
      <c r="P134" s="71"/>
      <c r="Q134" s="71"/>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row>
    <row r="135" spans="1:45" hidden="1" outlineLevel="1" x14ac:dyDescent="0.3">
      <c r="A135" s="45" t="s">
        <v>2734</v>
      </c>
      <c r="B135" s="45" t="s">
        <v>934</v>
      </c>
      <c r="C135" s="48" t="s">
        <v>815</v>
      </c>
      <c r="D135" s="389" t="s">
        <v>204</v>
      </c>
      <c r="E135" s="389" t="s">
        <v>204</v>
      </c>
      <c r="F135" s="389" t="s">
        <v>204</v>
      </c>
      <c r="G135" s="389" t="s">
        <v>204</v>
      </c>
      <c r="H135" s="389" t="s">
        <v>204</v>
      </c>
      <c r="I135" s="50"/>
      <c r="K135" s="71"/>
      <c r="L135" s="71"/>
      <c r="M135" s="71"/>
      <c r="N135" s="71"/>
      <c r="O135" s="71"/>
      <c r="P135" s="71"/>
      <c r="Q135" s="71"/>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row>
    <row r="136" spans="1:45" hidden="1" outlineLevel="1" x14ac:dyDescent="0.3">
      <c r="A136" s="45" t="s">
        <v>2734</v>
      </c>
      <c r="B136" s="45" t="s">
        <v>940</v>
      </c>
      <c r="C136" s="48" t="s">
        <v>817</v>
      </c>
      <c r="D136" s="155">
        <v>0</v>
      </c>
      <c r="E136" s="155">
        <v>0</v>
      </c>
      <c r="F136" s="155">
        <v>0</v>
      </c>
      <c r="G136" s="155">
        <v>0</v>
      </c>
      <c r="H136" s="155">
        <v>0</v>
      </c>
      <c r="I136" s="50" t="s">
        <v>2743</v>
      </c>
      <c r="K136" s="71"/>
      <c r="L136" s="71"/>
      <c r="M136" s="71"/>
      <c r="N136" s="71"/>
      <c r="O136" s="71"/>
      <c r="P136" s="71"/>
      <c r="Q136" s="71"/>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row>
    <row r="137" spans="1:45" hidden="1" outlineLevel="1" x14ac:dyDescent="0.3">
      <c r="A137" s="45" t="s">
        <v>2734</v>
      </c>
      <c r="B137" s="45" t="s">
        <v>940</v>
      </c>
      <c r="C137" s="48" t="s">
        <v>944</v>
      </c>
      <c r="D137" s="155">
        <v>0</v>
      </c>
      <c r="E137" s="155">
        <v>0</v>
      </c>
      <c r="F137" s="155">
        <v>0</v>
      </c>
      <c r="G137" s="155">
        <v>0</v>
      </c>
      <c r="H137" s="155">
        <v>0</v>
      </c>
      <c r="I137" s="50"/>
      <c r="K137" s="71"/>
      <c r="L137" s="71"/>
      <c r="M137" s="71"/>
      <c r="N137" s="71"/>
      <c r="O137" s="71"/>
      <c r="P137" s="71"/>
      <c r="Q137" s="71"/>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row>
    <row r="138" spans="1:45" hidden="1" outlineLevel="1" x14ac:dyDescent="0.3">
      <c r="A138" s="45" t="s">
        <v>2734</v>
      </c>
      <c r="B138" s="45" t="s">
        <v>940</v>
      </c>
      <c r="C138" s="48" t="s">
        <v>821</v>
      </c>
      <c r="D138" s="389" t="s">
        <v>204</v>
      </c>
      <c r="E138" s="389" t="s">
        <v>204</v>
      </c>
      <c r="F138" s="389" t="s">
        <v>204</v>
      </c>
      <c r="G138" s="389" t="s">
        <v>204</v>
      </c>
      <c r="H138" s="389" t="s">
        <v>204</v>
      </c>
      <c r="I138" s="50"/>
      <c r="K138" s="71"/>
      <c r="L138" s="71"/>
      <c r="M138" s="71"/>
      <c r="N138" s="71"/>
      <c r="O138" s="71"/>
      <c r="P138" s="71"/>
      <c r="Q138" s="71"/>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row>
    <row r="139" spans="1:45" hidden="1" outlineLevel="1" x14ac:dyDescent="0.3">
      <c r="A139" s="45" t="s">
        <v>2734</v>
      </c>
      <c r="B139" s="45" t="s">
        <v>940</v>
      </c>
      <c r="C139" s="48" t="s">
        <v>823</v>
      </c>
      <c r="D139" s="389" t="s">
        <v>204</v>
      </c>
      <c r="E139" s="389" t="s">
        <v>204</v>
      </c>
      <c r="F139" s="389" t="s">
        <v>204</v>
      </c>
      <c r="G139" s="389" t="s">
        <v>204</v>
      </c>
      <c r="H139" s="389" t="s">
        <v>204</v>
      </c>
      <c r="I139" s="50"/>
      <c r="K139" s="71"/>
      <c r="L139" s="71"/>
      <c r="M139" s="71"/>
      <c r="N139" s="71"/>
      <c r="O139" s="71"/>
      <c r="P139" s="71"/>
      <c r="Q139" s="71"/>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row>
    <row r="140" spans="1:45" hidden="1" outlineLevel="1" x14ac:dyDescent="0.3">
      <c r="A140" s="45" t="s">
        <v>2734</v>
      </c>
      <c r="B140" s="45" t="s">
        <v>940</v>
      </c>
      <c r="C140" s="48" t="s">
        <v>825</v>
      </c>
      <c r="D140" s="389" t="s">
        <v>204</v>
      </c>
      <c r="E140" s="389" t="s">
        <v>204</v>
      </c>
      <c r="F140" s="389" t="s">
        <v>204</v>
      </c>
      <c r="G140" s="389" t="s">
        <v>204</v>
      </c>
      <c r="H140" s="389" t="s">
        <v>204</v>
      </c>
      <c r="I140" s="50"/>
      <c r="K140" s="71"/>
      <c r="L140" s="71"/>
      <c r="M140" s="71"/>
      <c r="N140" s="71"/>
      <c r="O140" s="71"/>
      <c r="P140" s="71"/>
      <c r="Q140" s="71"/>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row>
    <row r="141" spans="1:45" hidden="1" outlineLevel="1" x14ac:dyDescent="0.3">
      <c r="A141" s="45" t="s">
        <v>2734</v>
      </c>
      <c r="B141" s="45" t="s">
        <v>940</v>
      </c>
      <c r="C141" s="48" t="s">
        <v>827</v>
      </c>
      <c r="D141" s="155">
        <v>77000</v>
      </c>
      <c r="E141" s="155">
        <v>76000</v>
      </c>
      <c r="F141" s="155">
        <v>77000</v>
      </c>
      <c r="G141" s="155">
        <v>77000</v>
      </c>
      <c r="H141" s="155">
        <v>77000</v>
      </c>
      <c r="I141" s="50" t="s">
        <v>1001</v>
      </c>
      <c r="K141" s="71"/>
      <c r="L141" s="71"/>
      <c r="M141" s="71"/>
      <c r="N141" s="71"/>
      <c r="O141" s="71"/>
      <c r="P141" s="71"/>
      <c r="Q141" s="71"/>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row>
    <row r="142" spans="1:45" hidden="1" outlineLevel="1" x14ac:dyDescent="0.3">
      <c r="A142" s="45" t="s">
        <v>2734</v>
      </c>
      <c r="B142" s="45" t="s">
        <v>940</v>
      </c>
      <c r="C142" s="48" t="s">
        <v>829</v>
      </c>
      <c r="D142" s="155">
        <v>0</v>
      </c>
      <c r="E142" s="155">
        <v>0</v>
      </c>
      <c r="F142" s="155">
        <v>0</v>
      </c>
      <c r="G142" s="155">
        <v>0</v>
      </c>
      <c r="H142" s="155">
        <v>0</v>
      </c>
      <c r="I142" s="50" t="s">
        <v>2715</v>
      </c>
      <c r="K142" s="71"/>
      <c r="L142" s="71"/>
      <c r="M142" s="71"/>
      <c r="N142" s="71"/>
      <c r="O142" s="71"/>
      <c r="P142" s="71"/>
      <c r="Q142" s="71"/>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row>
    <row r="143" spans="1:45" hidden="1" outlineLevel="1" x14ac:dyDescent="0.3">
      <c r="A143" s="45" t="s">
        <v>2734</v>
      </c>
      <c r="B143" s="45" t="s">
        <v>940</v>
      </c>
      <c r="C143" s="48" t="s">
        <v>833</v>
      </c>
      <c r="D143" s="155">
        <v>4000</v>
      </c>
      <c r="E143" s="155">
        <v>4000</v>
      </c>
      <c r="F143" s="155">
        <v>4000</v>
      </c>
      <c r="G143" s="155">
        <v>4000</v>
      </c>
      <c r="H143" s="155">
        <v>4000</v>
      </c>
      <c r="I143" s="50" t="s">
        <v>2744</v>
      </c>
      <c r="K143" s="71"/>
      <c r="L143" s="71"/>
      <c r="M143" s="71"/>
      <c r="N143" s="71"/>
      <c r="O143" s="71"/>
      <c r="P143" s="71"/>
      <c r="Q143" s="71"/>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row>
    <row r="144" spans="1:45" hidden="1" outlineLevel="1" x14ac:dyDescent="0.3">
      <c r="A144" s="45" t="s">
        <v>2734</v>
      </c>
      <c r="B144" s="45" t="s">
        <v>940</v>
      </c>
      <c r="C144" s="48" t="s">
        <v>836</v>
      </c>
      <c r="D144" s="155">
        <v>16705</v>
      </c>
      <c r="E144" s="155">
        <v>16705</v>
      </c>
      <c r="F144" s="155">
        <v>16705</v>
      </c>
      <c r="G144" s="155">
        <v>16705</v>
      </c>
      <c r="H144" s="155">
        <v>16705</v>
      </c>
      <c r="I144" s="50" t="s">
        <v>2745</v>
      </c>
      <c r="K144" s="71"/>
      <c r="L144" s="71"/>
      <c r="M144" s="71"/>
      <c r="N144" s="71"/>
      <c r="O144" s="71"/>
      <c r="P144" s="71"/>
      <c r="Q144" s="71"/>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row>
    <row r="145" spans="1:45" hidden="1" outlineLevel="1" x14ac:dyDescent="0.3">
      <c r="A145" s="45" t="s">
        <v>2734</v>
      </c>
      <c r="B145" s="45" t="s">
        <v>940</v>
      </c>
      <c r="C145" s="48" t="s">
        <v>837</v>
      </c>
      <c r="D145" s="389" t="s">
        <v>204</v>
      </c>
      <c r="E145" s="389" t="s">
        <v>204</v>
      </c>
      <c r="F145" s="389" t="s">
        <v>204</v>
      </c>
      <c r="G145" s="389" t="s">
        <v>204</v>
      </c>
      <c r="H145" s="389" t="s">
        <v>204</v>
      </c>
      <c r="I145" s="50"/>
      <c r="K145" s="71"/>
      <c r="L145" s="71"/>
      <c r="M145" s="71"/>
      <c r="N145" s="71"/>
      <c r="O145" s="71"/>
      <c r="P145" s="71"/>
      <c r="Q145" s="71"/>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row>
    <row r="146" spans="1:45" hidden="1" outlineLevel="1" x14ac:dyDescent="0.3">
      <c r="A146" s="45" t="s">
        <v>2734</v>
      </c>
      <c r="B146" s="45" t="s">
        <v>940</v>
      </c>
      <c r="C146" s="48" t="s">
        <v>839</v>
      </c>
      <c r="D146" s="155">
        <v>0</v>
      </c>
      <c r="E146" s="155">
        <v>0</v>
      </c>
      <c r="F146" s="155">
        <v>0</v>
      </c>
      <c r="G146" s="155">
        <v>0</v>
      </c>
      <c r="H146" s="155">
        <v>0</v>
      </c>
      <c r="I146" s="50" t="s">
        <v>2718</v>
      </c>
      <c r="K146" s="71"/>
      <c r="L146" s="71"/>
      <c r="M146" s="71"/>
      <c r="N146" s="71"/>
      <c r="O146" s="71"/>
      <c r="P146" s="71"/>
      <c r="Q146" s="71"/>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row>
    <row r="147" spans="1:45" hidden="1" outlineLevel="1" x14ac:dyDescent="0.3">
      <c r="A147" s="45" t="s">
        <v>2734</v>
      </c>
      <c r="B147" s="45" t="s">
        <v>940</v>
      </c>
      <c r="C147" s="48" t="s">
        <v>840</v>
      </c>
      <c r="D147" s="389" t="s">
        <v>204</v>
      </c>
      <c r="E147" s="389" t="s">
        <v>204</v>
      </c>
      <c r="F147" s="389" t="s">
        <v>204</v>
      </c>
      <c r="G147" s="389" t="s">
        <v>204</v>
      </c>
      <c r="H147" s="389" t="s">
        <v>204</v>
      </c>
      <c r="I147" s="50"/>
      <c r="K147" s="71"/>
      <c r="L147" s="71"/>
      <c r="M147" s="71"/>
      <c r="N147" s="71"/>
      <c r="O147" s="71"/>
      <c r="P147" s="71"/>
      <c r="Q147" s="71"/>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row>
    <row r="148" spans="1:45" collapsed="1" x14ac:dyDescent="0.3">
      <c r="A148" s="135" t="s">
        <v>2746</v>
      </c>
      <c r="B148" s="135"/>
      <c r="C148" s="483" t="s">
        <v>2719</v>
      </c>
      <c r="D148" s="135"/>
      <c r="E148" s="135"/>
      <c r="F148" s="135"/>
      <c r="G148" s="135"/>
      <c r="H148" s="135"/>
      <c r="I148" s="135"/>
      <c r="K148" s="70"/>
      <c r="L148" s="70"/>
      <c r="M148" s="71"/>
      <c r="N148" s="71"/>
      <c r="O148" s="71"/>
      <c r="P148" s="71"/>
      <c r="Q148" s="71"/>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row>
    <row r="149" spans="1:45" collapsed="1" x14ac:dyDescent="0.3">
      <c r="A149" s="53" t="s">
        <v>2747</v>
      </c>
      <c r="B149" s="53"/>
      <c r="C149" s="52" t="s">
        <v>2693</v>
      </c>
      <c r="D149" s="158">
        <v>2329008</v>
      </c>
      <c r="E149" s="158">
        <v>2398976</v>
      </c>
      <c r="F149" s="158">
        <v>2464143</v>
      </c>
      <c r="G149" s="158">
        <v>2533047</v>
      </c>
      <c r="H149" s="158">
        <v>2557894</v>
      </c>
      <c r="I149" s="55"/>
      <c r="K149" s="70"/>
      <c r="L149" s="70"/>
      <c r="M149" s="182"/>
      <c r="N149" s="182"/>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row>
    <row r="150" spans="1:45" x14ac:dyDescent="0.3">
      <c r="A150" s="53" t="s">
        <v>5</v>
      </c>
      <c r="B150" s="53" t="s">
        <v>847</v>
      </c>
      <c r="C150" s="53" t="s">
        <v>193</v>
      </c>
      <c r="D150" s="54">
        <v>2025</v>
      </c>
      <c r="E150" s="54">
        <v>2030</v>
      </c>
      <c r="F150" s="54">
        <v>2035</v>
      </c>
      <c r="G150" s="54">
        <v>2040</v>
      </c>
      <c r="H150" s="54">
        <v>2045</v>
      </c>
      <c r="I150" s="54" t="s">
        <v>153</v>
      </c>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row>
    <row r="151" spans="1:45" hidden="1" outlineLevel="1" x14ac:dyDescent="0.3">
      <c r="A151" s="51" t="s">
        <v>2747</v>
      </c>
      <c r="B151" s="51" t="s">
        <v>855</v>
      </c>
      <c r="C151" s="53" t="s">
        <v>747</v>
      </c>
      <c r="D151" s="384" t="s">
        <v>204</v>
      </c>
      <c r="E151" s="384" t="s">
        <v>204</v>
      </c>
      <c r="F151" s="384" t="s">
        <v>204</v>
      </c>
      <c r="G151" s="384" t="s">
        <v>204</v>
      </c>
      <c r="H151" s="384" t="s">
        <v>204</v>
      </c>
      <c r="I151" s="157"/>
      <c r="K151" s="70"/>
      <c r="L151" s="71"/>
      <c r="M151" s="71"/>
      <c r="N151" s="71"/>
      <c r="O151" s="71"/>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row>
    <row r="152" spans="1:45" hidden="1" outlineLevel="1" x14ac:dyDescent="0.3">
      <c r="A152" s="51" t="s">
        <v>2747</v>
      </c>
      <c r="B152" s="51" t="s">
        <v>855</v>
      </c>
      <c r="C152" s="53" t="s">
        <v>751</v>
      </c>
      <c r="D152" s="157">
        <v>3250</v>
      </c>
      <c r="E152" s="157">
        <v>3250</v>
      </c>
      <c r="F152" s="157">
        <v>3250</v>
      </c>
      <c r="G152" s="157">
        <v>3250</v>
      </c>
      <c r="H152" s="157">
        <v>3250</v>
      </c>
      <c r="I152" s="157" t="s">
        <v>2696</v>
      </c>
      <c r="K152" s="70"/>
      <c r="L152" s="71"/>
      <c r="M152" s="71"/>
      <c r="N152" s="71"/>
      <c r="O152" s="71"/>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row>
    <row r="153" spans="1:45" hidden="1" outlineLevel="1" x14ac:dyDescent="0.3">
      <c r="A153" s="51" t="s">
        <v>2747</v>
      </c>
      <c r="B153" s="51" t="s">
        <v>855</v>
      </c>
      <c r="C153" s="53" t="s">
        <v>755</v>
      </c>
      <c r="D153" s="157">
        <v>13000</v>
      </c>
      <c r="E153" s="157">
        <v>13300</v>
      </c>
      <c r="F153" s="157">
        <v>13300</v>
      </c>
      <c r="G153" s="157">
        <v>13300</v>
      </c>
      <c r="H153" s="157">
        <v>13300</v>
      </c>
      <c r="I153" s="55" t="s">
        <v>2697</v>
      </c>
      <c r="K153" s="70"/>
      <c r="L153" s="71"/>
      <c r="M153" s="71"/>
      <c r="N153" s="71"/>
      <c r="O153" s="71"/>
      <c r="P153" s="71"/>
      <c r="Q153" s="71"/>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row>
    <row r="154" spans="1:45" hidden="1" outlineLevel="1" x14ac:dyDescent="0.3">
      <c r="A154" s="51" t="s">
        <v>2747</v>
      </c>
      <c r="B154" s="51" t="s">
        <v>855</v>
      </c>
      <c r="C154" s="53" t="s">
        <v>758</v>
      </c>
      <c r="D154" s="157">
        <v>1560</v>
      </c>
      <c r="E154" s="157">
        <v>2720</v>
      </c>
      <c r="F154" s="157">
        <v>3350</v>
      </c>
      <c r="G154" s="157">
        <v>3350</v>
      </c>
      <c r="H154" s="157">
        <v>3350</v>
      </c>
      <c r="I154" s="55" t="s">
        <v>2699</v>
      </c>
      <c r="K154" s="70"/>
      <c r="L154" s="71"/>
      <c r="M154" s="71"/>
      <c r="N154" s="71"/>
      <c r="O154" s="71"/>
      <c r="P154" s="71"/>
      <c r="Q154" s="71"/>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row>
    <row r="155" spans="1:45" hidden="1" outlineLevel="1" x14ac:dyDescent="0.3">
      <c r="A155" s="51" t="s">
        <v>2747</v>
      </c>
      <c r="B155" s="51" t="s">
        <v>855</v>
      </c>
      <c r="C155" s="53" t="s">
        <v>761</v>
      </c>
      <c r="D155" s="157">
        <v>2000</v>
      </c>
      <c r="E155" s="157">
        <v>2000</v>
      </c>
      <c r="F155" s="157">
        <v>2000</v>
      </c>
      <c r="G155" s="157">
        <v>2000</v>
      </c>
      <c r="H155" s="157">
        <v>2000</v>
      </c>
      <c r="I155" s="55" t="s">
        <v>2748</v>
      </c>
      <c r="K155" s="70"/>
      <c r="L155" s="71"/>
      <c r="M155" s="71"/>
      <c r="N155" s="71"/>
      <c r="O155" s="71"/>
      <c r="P155" s="71"/>
      <c r="Q155" s="71"/>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row>
    <row r="156" spans="1:45" hidden="1" outlineLevel="1" x14ac:dyDescent="0.3">
      <c r="A156" s="51" t="s">
        <v>2747</v>
      </c>
      <c r="B156" s="51" t="s">
        <v>855</v>
      </c>
      <c r="C156" s="53" t="s">
        <v>763</v>
      </c>
      <c r="D156" s="157">
        <v>2400</v>
      </c>
      <c r="E156" s="157">
        <v>2400</v>
      </c>
      <c r="F156" s="157">
        <v>2400</v>
      </c>
      <c r="G156" s="157">
        <v>2400</v>
      </c>
      <c r="H156" s="157">
        <v>2400</v>
      </c>
      <c r="I156" s="55" t="s">
        <v>2749</v>
      </c>
      <c r="K156" s="70"/>
      <c r="L156" s="71"/>
      <c r="M156" s="71"/>
      <c r="N156" s="71"/>
      <c r="O156" s="71"/>
      <c r="P156" s="71"/>
      <c r="Q156" s="71"/>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row>
    <row r="157" spans="1:45" hidden="1" outlineLevel="1" x14ac:dyDescent="0.3">
      <c r="A157" s="51" t="s">
        <v>2747</v>
      </c>
      <c r="B157" s="51" t="s">
        <v>855</v>
      </c>
      <c r="C157" s="53" t="s">
        <v>765</v>
      </c>
      <c r="D157" s="157">
        <v>0</v>
      </c>
      <c r="E157" s="157">
        <v>0</v>
      </c>
      <c r="F157" s="157">
        <v>0</v>
      </c>
      <c r="G157" s="157">
        <v>0</v>
      </c>
      <c r="H157" s="157">
        <v>0</v>
      </c>
      <c r="I157" s="55" t="s">
        <v>2702</v>
      </c>
      <c r="K157" s="70"/>
      <c r="L157" s="71"/>
      <c r="M157" s="71"/>
      <c r="N157" s="71"/>
      <c r="O157" s="71"/>
      <c r="P157" s="71"/>
      <c r="Q157" s="71"/>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row>
    <row r="158" spans="1:45" hidden="1" outlineLevel="1" x14ac:dyDescent="0.3">
      <c r="A158" s="51" t="s">
        <v>2747</v>
      </c>
      <c r="B158" s="51" t="s">
        <v>855</v>
      </c>
      <c r="C158" s="53" t="s">
        <v>768</v>
      </c>
      <c r="D158" s="384" t="s">
        <v>204</v>
      </c>
      <c r="E158" s="384" t="s">
        <v>204</v>
      </c>
      <c r="F158" s="384" t="s">
        <v>204</v>
      </c>
      <c r="G158" s="384" t="s">
        <v>204</v>
      </c>
      <c r="H158" s="384" t="s">
        <v>204</v>
      </c>
      <c r="I158" s="55"/>
      <c r="K158" s="181"/>
      <c r="L158" s="71"/>
      <c r="M158" s="71"/>
      <c r="N158" s="71"/>
      <c r="O158" s="71"/>
      <c r="P158" s="71"/>
      <c r="Q158" s="71"/>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row>
    <row r="159" spans="1:45" hidden="1" outlineLevel="1" x14ac:dyDescent="0.3">
      <c r="A159" s="51" t="s">
        <v>2747</v>
      </c>
      <c r="B159" s="51" t="s">
        <v>855</v>
      </c>
      <c r="C159" s="53" t="s">
        <v>771</v>
      </c>
      <c r="D159" s="157">
        <v>2000</v>
      </c>
      <c r="E159" s="157">
        <v>4000</v>
      </c>
      <c r="F159" s="157">
        <v>4000</v>
      </c>
      <c r="G159" s="157">
        <v>5000</v>
      </c>
      <c r="H159" s="157">
        <v>5000</v>
      </c>
      <c r="I159" s="55" t="s">
        <v>2703</v>
      </c>
      <c r="K159" s="71"/>
      <c r="L159" s="71"/>
      <c r="M159" s="71"/>
      <c r="N159" s="71"/>
      <c r="O159" s="71"/>
      <c r="P159" s="71"/>
      <c r="Q159" s="71"/>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row>
    <row r="160" spans="1:45" hidden="1" outlineLevel="1" x14ac:dyDescent="0.3">
      <c r="A160" s="51" t="s">
        <v>2747</v>
      </c>
      <c r="B160" s="51" t="s">
        <v>855</v>
      </c>
      <c r="C160" s="53" t="s">
        <v>772</v>
      </c>
      <c r="D160" s="157">
        <v>46070</v>
      </c>
      <c r="E160" s="157">
        <v>51070</v>
      </c>
      <c r="F160" s="157">
        <v>61070</v>
      </c>
      <c r="G160" s="157">
        <v>61070</v>
      </c>
      <c r="H160" s="157">
        <v>61070</v>
      </c>
      <c r="I160" s="55" t="s">
        <v>2750</v>
      </c>
      <c r="K160" s="71"/>
      <c r="L160" s="71"/>
      <c r="M160" s="71"/>
      <c r="N160" s="71"/>
      <c r="O160" s="71"/>
      <c r="P160" s="71"/>
      <c r="Q160" s="71"/>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row>
    <row r="161" spans="1:45" hidden="1" outlineLevel="1" x14ac:dyDescent="0.3">
      <c r="A161" s="51" t="s">
        <v>2747</v>
      </c>
      <c r="B161" s="51" t="s">
        <v>855</v>
      </c>
      <c r="C161" s="53" t="s">
        <v>774</v>
      </c>
      <c r="D161" s="157">
        <v>16130</v>
      </c>
      <c r="E161" s="157">
        <v>16130</v>
      </c>
      <c r="F161" s="157">
        <v>16130</v>
      </c>
      <c r="G161" s="157">
        <v>16130</v>
      </c>
      <c r="H161" s="157">
        <v>16130</v>
      </c>
      <c r="I161" s="55" t="s">
        <v>2751</v>
      </c>
      <c r="K161" s="71"/>
      <c r="L161" s="71"/>
      <c r="M161" s="71"/>
      <c r="N161" s="71"/>
      <c r="O161" s="71"/>
      <c r="P161" s="71"/>
      <c r="Q161" s="71"/>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row>
    <row r="162" spans="1:45" hidden="1" outlineLevel="1" x14ac:dyDescent="0.3">
      <c r="A162" s="51" t="s">
        <v>2747</v>
      </c>
      <c r="B162" s="51" t="s">
        <v>855</v>
      </c>
      <c r="C162" s="53" t="s">
        <v>775</v>
      </c>
      <c r="D162" s="384" t="s">
        <v>204</v>
      </c>
      <c r="E162" s="384" t="s">
        <v>204</v>
      </c>
      <c r="F162" s="384" t="s">
        <v>204</v>
      </c>
      <c r="G162" s="384" t="s">
        <v>204</v>
      </c>
      <c r="H162" s="384" t="s">
        <v>204</v>
      </c>
      <c r="I162" s="55"/>
      <c r="K162" s="71"/>
      <c r="L162" s="71"/>
      <c r="M162" s="71"/>
      <c r="N162" s="71"/>
      <c r="O162" s="71"/>
      <c r="P162" s="71"/>
      <c r="Q162" s="71"/>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row>
    <row r="163" spans="1:45" hidden="1" outlineLevel="1" x14ac:dyDescent="0.3">
      <c r="A163" s="51" t="s">
        <v>2747</v>
      </c>
      <c r="B163" s="51" t="s">
        <v>855</v>
      </c>
      <c r="C163" s="53" t="s">
        <v>779</v>
      </c>
      <c r="D163" s="384" t="s">
        <v>204</v>
      </c>
      <c r="E163" s="384" t="s">
        <v>204</v>
      </c>
      <c r="F163" s="384" t="s">
        <v>204</v>
      </c>
      <c r="G163" s="384" t="s">
        <v>204</v>
      </c>
      <c r="H163" s="384" t="s">
        <v>204</v>
      </c>
      <c r="I163" s="55"/>
      <c r="K163" s="71"/>
      <c r="L163" s="71"/>
      <c r="M163" s="71"/>
      <c r="N163" s="71"/>
      <c r="O163" s="71"/>
      <c r="P163" s="71"/>
      <c r="Q163" s="71"/>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row>
    <row r="164" spans="1:45" hidden="1" outlineLevel="1" x14ac:dyDescent="0.3">
      <c r="A164" s="51" t="s">
        <v>2747</v>
      </c>
      <c r="B164" s="51" t="s">
        <v>894</v>
      </c>
      <c r="C164" s="53" t="s">
        <v>781</v>
      </c>
      <c r="D164" s="384" t="s">
        <v>204</v>
      </c>
      <c r="E164" s="384" t="s">
        <v>204</v>
      </c>
      <c r="F164" s="384" t="s">
        <v>204</v>
      </c>
      <c r="G164" s="384" t="s">
        <v>204</v>
      </c>
      <c r="H164" s="384" t="s">
        <v>204</v>
      </c>
      <c r="I164" s="55"/>
      <c r="K164" s="71"/>
      <c r="L164" s="71"/>
      <c r="M164" s="71"/>
      <c r="N164" s="71"/>
      <c r="O164" s="71"/>
      <c r="P164" s="71"/>
      <c r="Q164" s="71"/>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row>
    <row r="165" spans="1:45" hidden="1" outlineLevel="1" x14ac:dyDescent="0.3">
      <c r="A165" s="51" t="s">
        <v>2747</v>
      </c>
      <c r="B165" s="51" t="s">
        <v>894</v>
      </c>
      <c r="C165" s="53" t="s">
        <v>783</v>
      </c>
      <c r="D165" s="157">
        <v>0</v>
      </c>
      <c r="E165" s="157">
        <v>0</v>
      </c>
      <c r="F165" s="157">
        <v>0</v>
      </c>
      <c r="G165" s="157">
        <v>0</v>
      </c>
      <c r="H165" s="157">
        <v>0</v>
      </c>
      <c r="I165" s="55" t="s">
        <v>2706</v>
      </c>
      <c r="K165" s="71"/>
      <c r="L165" s="71"/>
      <c r="M165" s="71"/>
      <c r="N165" s="71"/>
      <c r="O165" s="71"/>
      <c r="P165" s="71"/>
      <c r="Q165" s="71"/>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row>
    <row r="166" spans="1:45" hidden="1" outlineLevel="1" x14ac:dyDescent="0.3">
      <c r="A166" s="51" t="s">
        <v>2747</v>
      </c>
      <c r="B166" s="51" t="s">
        <v>894</v>
      </c>
      <c r="C166" s="53" t="s">
        <v>785</v>
      </c>
      <c r="D166" s="157">
        <v>138090</v>
      </c>
      <c r="E166" s="157">
        <v>143630</v>
      </c>
      <c r="F166" s="157">
        <v>149100</v>
      </c>
      <c r="G166" s="157">
        <v>154490</v>
      </c>
      <c r="H166" s="157">
        <v>159820</v>
      </c>
      <c r="I166" s="55" t="s">
        <v>2707</v>
      </c>
      <c r="K166" s="71"/>
      <c r="L166" s="71"/>
      <c r="M166" s="71"/>
      <c r="N166" s="71"/>
      <c r="O166" s="71"/>
      <c r="P166" s="71"/>
      <c r="Q166" s="71"/>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row>
    <row r="167" spans="1:45" hidden="1" outlineLevel="1" x14ac:dyDescent="0.3">
      <c r="A167" s="51" t="s">
        <v>2747</v>
      </c>
      <c r="B167" s="51" t="s">
        <v>894</v>
      </c>
      <c r="C167" s="53" t="s">
        <v>787</v>
      </c>
      <c r="D167" s="384" t="s">
        <v>204</v>
      </c>
      <c r="E167" s="384" t="s">
        <v>204</v>
      </c>
      <c r="F167" s="384" t="s">
        <v>204</v>
      </c>
      <c r="G167" s="384" t="s">
        <v>204</v>
      </c>
      <c r="H167" s="384" t="s">
        <v>204</v>
      </c>
      <c r="I167" s="55"/>
      <c r="K167" s="71"/>
      <c r="L167" s="71"/>
      <c r="M167" s="71"/>
      <c r="N167" s="71"/>
      <c r="O167" s="71"/>
      <c r="P167" s="71"/>
      <c r="Q167" s="71"/>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row>
    <row r="168" spans="1:45" hidden="1" outlineLevel="1" x14ac:dyDescent="0.3">
      <c r="A168" s="51" t="s">
        <v>2747</v>
      </c>
      <c r="B168" s="51" t="s">
        <v>894</v>
      </c>
      <c r="C168" s="53" t="s">
        <v>788</v>
      </c>
      <c r="D168" s="384" t="s">
        <v>204</v>
      </c>
      <c r="E168" s="384" t="s">
        <v>204</v>
      </c>
      <c r="F168" s="384" t="s">
        <v>204</v>
      </c>
      <c r="G168" s="384" t="s">
        <v>204</v>
      </c>
      <c r="H168" s="384" t="s">
        <v>204</v>
      </c>
      <c r="I168" s="55"/>
      <c r="K168" s="71"/>
      <c r="L168" s="71"/>
      <c r="M168" s="71"/>
      <c r="N168" s="71"/>
      <c r="O168" s="71"/>
      <c r="P168" s="71"/>
      <c r="Q168" s="71"/>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row>
    <row r="169" spans="1:45" hidden="1" outlineLevel="1" x14ac:dyDescent="0.3">
      <c r="A169" s="51" t="s">
        <v>2747</v>
      </c>
      <c r="B169" s="51" t="s">
        <v>894</v>
      </c>
      <c r="C169" s="53" t="s">
        <v>789</v>
      </c>
      <c r="D169" s="384" t="s">
        <v>204</v>
      </c>
      <c r="E169" s="384" t="s">
        <v>204</v>
      </c>
      <c r="F169" s="384" t="s">
        <v>204</v>
      </c>
      <c r="G169" s="384" t="s">
        <v>204</v>
      </c>
      <c r="H169" s="384" t="s">
        <v>204</v>
      </c>
      <c r="I169" s="55"/>
      <c r="K169" s="71"/>
      <c r="L169" s="71"/>
      <c r="M169" s="71"/>
      <c r="N169" s="71"/>
      <c r="O169" s="71"/>
      <c r="P169" s="71"/>
      <c r="Q169" s="71"/>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row>
    <row r="170" spans="1:45" hidden="1" outlineLevel="1" x14ac:dyDescent="0.3">
      <c r="A170" s="51" t="s">
        <v>2747</v>
      </c>
      <c r="B170" s="51" t="s">
        <v>894</v>
      </c>
      <c r="C170" s="53" t="s">
        <v>790</v>
      </c>
      <c r="D170" s="157">
        <v>2500</v>
      </c>
      <c r="E170" s="157">
        <v>2500</v>
      </c>
      <c r="F170" s="157">
        <v>2500</v>
      </c>
      <c r="G170" s="157">
        <v>2500</v>
      </c>
      <c r="H170" s="157">
        <v>2500</v>
      </c>
      <c r="I170" s="55" t="s">
        <v>2708</v>
      </c>
      <c r="K170" s="71"/>
      <c r="L170" s="71"/>
      <c r="M170" s="71"/>
      <c r="N170" s="71"/>
      <c r="O170" s="71"/>
      <c r="P170" s="71"/>
      <c r="Q170" s="71"/>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row>
    <row r="171" spans="1:45" hidden="1" outlineLevel="1" x14ac:dyDescent="0.3">
      <c r="A171" s="51" t="s">
        <v>2747</v>
      </c>
      <c r="B171" s="51" t="s">
        <v>894</v>
      </c>
      <c r="C171" s="53" t="s">
        <v>793</v>
      </c>
      <c r="D171" s="384" t="s">
        <v>204</v>
      </c>
      <c r="E171" s="384" t="s">
        <v>204</v>
      </c>
      <c r="F171" s="384" t="s">
        <v>204</v>
      </c>
      <c r="G171" s="384" t="s">
        <v>204</v>
      </c>
      <c r="H171" s="384" t="s">
        <v>204</v>
      </c>
      <c r="I171" s="55"/>
      <c r="K171" s="71"/>
      <c r="L171" s="71"/>
      <c r="M171" s="71"/>
      <c r="N171" s="71"/>
      <c r="O171" s="71"/>
      <c r="P171" s="71"/>
      <c r="Q171" s="71"/>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row>
    <row r="172" spans="1:45" hidden="1" outlineLevel="1" x14ac:dyDescent="0.3">
      <c r="A172" s="51" t="s">
        <v>2747</v>
      </c>
      <c r="B172" s="51" t="s">
        <v>894</v>
      </c>
      <c r="C172" s="53" t="s">
        <v>795</v>
      </c>
      <c r="D172" s="384" t="s">
        <v>204</v>
      </c>
      <c r="E172" s="384" t="s">
        <v>204</v>
      </c>
      <c r="F172" s="384" t="s">
        <v>204</v>
      </c>
      <c r="G172" s="384" t="s">
        <v>204</v>
      </c>
      <c r="H172" s="384" t="s">
        <v>204</v>
      </c>
      <c r="I172" s="55"/>
      <c r="K172" s="71"/>
      <c r="L172" s="71"/>
      <c r="M172" s="71"/>
      <c r="N172" s="71"/>
      <c r="O172" s="71"/>
      <c r="P172" s="71"/>
      <c r="Q172" s="71"/>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row>
    <row r="173" spans="1:45" hidden="1" outlineLevel="1" x14ac:dyDescent="0.3">
      <c r="A173" s="51" t="s">
        <v>2747</v>
      </c>
      <c r="B173" s="51" t="s">
        <v>894</v>
      </c>
      <c r="C173" s="53" t="s">
        <v>797</v>
      </c>
      <c r="D173" s="157">
        <v>0</v>
      </c>
      <c r="E173" s="157">
        <v>0</v>
      </c>
      <c r="F173" s="157">
        <v>0</v>
      </c>
      <c r="G173" s="157">
        <v>0</v>
      </c>
      <c r="H173" s="157">
        <v>0</v>
      </c>
      <c r="I173" s="55" t="s">
        <v>2752</v>
      </c>
      <c r="K173" s="71"/>
      <c r="L173" s="71"/>
      <c r="M173" s="71"/>
      <c r="N173" s="71"/>
      <c r="O173" s="71"/>
      <c r="P173" s="71"/>
      <c r="Q173" s="71"/>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row>
    <row r="174" spans="1:45" hidden="1" outlineLevel="1" x14ac:dyDescent="0.3">
      <c r="A174" s="51" t="s">
        <v>2747</v>
      </c>
      <c r="B174" s="51" t="s">
        <v>915</v>
      </c>
      <c r="C174" s="53" t="s">
        <v>799</v>
      </c>
      <c r="D174" s="157">
        <v>9200</v>
      </c>
      <c r="E174" s="157">
        <v>9200</v>
      </c>
      <c r="F174" s="157">
        <v>9200</v>
      </c>
      <c r="G174" s="157">
        <v>9200</v>
      </c>
      <c r="H174" s="157">
        <v>9200</v>
      </c>
      <c r="I174" s="55" t="s">
        <v>2753</v>
      </c>
      <c r="K174" s="182"/>
      <c r="L174" s="71"/>
      <c r="M174" s="71"/>
      <c r="N174" s="71"/>
      <c r="O174" s="71"/>
      <c r="P174" s="71"/>
      <c r="Q174" s="71"/>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row>
    <row r="175" spans="1:45" hidden="1" outlineLevel="1" x14ac:dyDescent="0.3">
      <c r="A175" s="51" t="s">
        <v>2747</v>
      </c>
      <c r="B175" s="51" t="s">
        <v>915</v>
      </c>
      <c r="C175" s="53" t="s">
        <v>801</v>
      </c>
      <c r="D175" s="157">
        <v>21800</v>
      </c>
      <c r="E175" s="157">
        <v>21800</v>
      </c>
      <c r="F175" s="157">
        <v>21900</v>
      </c>
      <c r="G175" s="157">
        <v>21900</v>
      </c>
      <c r="H175" s="157">
        <v>21800</v>
      </c>
      <c r="I175" s="55" t="s">
        <v>2711</v>
      </c>
      <c r="K175" s="71"/>
      <c r="L175" s="71"/>
      <c r="M175" s="71"/>
      <c r="N175" s="71"/>
      <c r="O175" s="71"/>
      <c r="P175" s="71"/>
      <c r="Q175" s="71"/>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row>
    <row r="176" spans="1:45" hidden="1" outlineLevel="1" x14ac:dyDescent="0.3">
      <c r="A176" s="51" t="s">
        <v>2747</v>
      </c>
      <c r="B176" s="51" t="s">
        <v>915</v>
      </c>
      <c r="C176" s="53" t="s">
        <v>804</v>
      </c>
      <c r="D176" s="157">
        <v>6800</v>
      </c>
      <c r="E176" s="157">
        <v>7000</v>
      </c>
      <c r="F176" s="157">
        <v>7300</v>
      </c>
      <c r="G176" s="157">
        <v>7600</v>
      </c>
      <c r="H176" s="157">
        <v>7900</v>
      </c>
      <c r="I176" s="55" t="s">
        <v>2712</v>
      </c>
      <c r="K176" s="70"/>
      <c r="L176" s="71"/>
      <c r="M176" s="71"/>
      <c r="N176" s="71"/>
      <c r="O176" s="71"/>
      <c r="P176" s="71"/>
      <c r="Q176" s="71"/>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row>
    <row r="177" spans="1:45" hidden="1" outlineLevel="1" x14ac:dyDescent="0.3">
      <c r="A177" s="51" t="s">
        <v>2747</v>
      </c>
      <c r="B177" s="51" t="s">
        <v>915</v>
      </c>
      <c r="C177" s="53" t="s">
        <v>806</v>
      </c>
      <c r="D177" s="157">
        <v>0</v>
      </c>
      <c r="E177" s="157">
        <v>0</v>
      </c>
      <c r="F177" s="157">
        <v>0</v>
      </c>
      <c r="G177" s="157">
        <v>0</v>
      </c>
      <c r="H177" s="157">
        <v>0</v>
      </c>
      <c r="I177" s="55"/>
      <c r="K177" s="71"/>
      <c r="L177" s="71"/>
      <c r="M177" s="71"/>
      <c r="N177" s="71"/>
      <c r="O177" s="71"/>
      <c r="P177" s="71"/>
      <c r="Q177" s="71"/>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row>
    <row r="178" spans="1:45" hidden="1" outlineLevel="1" x14ac:dyDescent="0.3">
      <c r="A178" s="51" t="s">
        <v>2747</v>
      </c>
      <c r="B178" s="51" t="s">
        <v>915</v>
      </c>
      <c r="C178" s="53" t="s">
        <v>808</v>
      </c>
      <c r="D178" s="157">
        <v>1919</v>
      </c>
      <c r="E178" s="157">
        <v>2661</v>
      </c>
      <c r="F178" s="157">
        <v>3996</v>
      </c>
      <c r="G178" s="157">
        <v>5369</v>
      </c>
      <c r="H178" s="157">
        <v>5369</v>
      </c>
      <c r="I178" s="55" t="s">
        <v>2754</v>
      </c>
      <c r="K178" s="71"/>
      <c r="L178" s="71"/>
      <c r="M178" s="71"/>
      <c r="N178" s="71"/>
      <c r="O178" s="71"/>
      <c r="P178" s="71"/>
      <c r="Q178" s="71"/>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row>
    <row r="179" spans="1:45" hidden="1" outlineLevel="1" x14ac:dyDescent="0.3">
      <c r="A179" s="51" t="s">
        <v>2747</v>
      </c>
      <c r="B179" s="51" t="s">
        <v>915</v>
      </c>
      <c r="C179" s="53" t="s">
        <v>811</v>
      </c>
      <c r="D179" s="157">
        <v>140000</v>
      </c>
      <c r="E179" s="157">
        <v>164000</v>
      </c>
      <c r="F179" s="157">
        <v>163000</v>
      </c>
      <c r="G179" s="157">
        <v>162000</v>
      </c>
      <c r="H179" s="157">
        <v>162000</v>
      </c>
      <c r="I179" s="55" t="s">
        <v>2713</v>
      </c>
      <c r="K179" s="71"/>
      <c r="L179" s="71"/>
      <c r="M179" s="71"/>
      <c r="N179" s="71"/>
      <c r="O179" s="71"/>
      <c r="P179" s="71"/>
      <c r="Q179" s="71"/>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row>
    <row r="180" spans="1:45" hidden="1" outlineLevel="1" x14ac:dyDescent="0.3">
      <c r="A180" s="51" t="s">
        <v>2747</v>
      </c>
      <c r="B180" s="51" t="s">
        <v>934</v>
      </c>
      <c r="C180" s="53" t="s">
        <v>814</v>
      </c>
      <c r="D180" s="157" t="s">
        <v>204</v>
      </c>
      <c r="E180" s="157" t="s">
        <v>204</v>
      </c>
      <c r="F180" s="157" t="s">
        <v>204</v>
      </c>
      <c r="G180" s="157" t="s">
        <v>204</v>
      </c>
      <c r="H180" s="157" t="s">
        <v>204</v>
      </c>
      <c r="I180" s="55"/>
      <c r="K180" s="71"/>
      <c r="L180" s="71"/>
      <c r="M180" s="71"/>
      <c r="N180" s="71"/>
      <c r="O180" s="71"/>
      <c r="P180" s="71"/>
      <c r="Q180" s="71"/>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c r="AR180" s="70"/>
      <c r="AS180" s="70"/>
    </row>
    <row r="181" spans="1:45" hidden="1" outlineLevel="1" x14ac:dyDescent="0.3">
      <c r="A181" s="51" t="s">
        <v>2747</v>
      </c>
      <c r="B181" s="51" t="s">
        <v>934</v>
      </c>
      <c r="C181" s="53" t="s">
        <v>815</v>
      </c>
      <c r="D181" s="384" t="s">
        <v>204</v>
      </c>
      <c r="E181" s="384" t="s">
        <v>204</v>
      </c>
      <c r="F181" s="384" t="s">
        <v>204</v>
      </c>
      <c r="G181" s="384" t="s">
        <v>204</v>
      </c>
      <c r="H181" s="384" t="s">
        <v>204</v>
      </c>
      <c r="I181" s="55"/>
      <c r="K181" s="71"/>
      <c r="L181" s="71"/>
      <c r="M181" s="71"/>
      <c r="N181" s="71"/>
      <c r="O181" s="71"/>
      <c r="P181" s="71"/>
      <c r="Q181" s="71"/>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c r="AR181" s="70"/>
      <c r="AS181" s="70"/>
    </row>
    <row r="182" spans="1:45" hidden="1" outlineLevel="1" x14ac:dyDescent="0.3">
      <c r="A182" s="51" t="s">
        <v>2747</v>
      </c>
      <c r="B182" s="51" t="s">
        <v>940</v>
      </c>
      <c r="C182" s="53" t="s">
        <v>817</v>
      </c>
      <c r="D182" s="157">
        <v>4350</v>
      </c>
      <c r="E182" s="157">
        <v>4350</v>
      </c>
      <c r="F182" s="157">
        <v>4350</v>
      </c>
      <c r="G182" s="157">
        <v>4350</v>
      </c>
      <c r="H182" s="157">
        <v>4350</v>
      </c>
      <c r="I182" s="55" t="s">
        <v>2714</v>
      </c>
      <c r="K182" s="71"/>
      <c r="L182" s="71"/>
      <c r="M182" s="71"/>
      <c r="N182" s="71"/>
      <c r="O182" s="71"/>
      <c r="P182" s="71"/>
      <c r="Q182" s="71"/>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c r="AS182" s="70"/>
    </row>
    <row r="183" spans="1:45" hidden="1" outlineLevel="1" x14ac:dyDescent="0.3">
      <c r="A183" s="51" t="s">
        <v>2747</v>
      </c>
      <c r="B183" s="51" t="s">
        <v>940</v>
      </c>
      <c r="C183" s="53" t="s">
        <v>944</v>
      </c>
      <c r="D183" s="157">
        <v>23340</v>
      </c>
      <c r="E183" s="157">
        <v>15290</v>
      </c>
      <c r="F183" s="157">
        <v>14410</v>
      </c>
      <c r="G183" s="157">
        <v>14410</v>
      </c>
      <c r="H183" s="157">
        <v>14410</v>
      </c>
      <c r="I183" s="55" t="s">
        <v>2755</v>
      </c>
      <c r="K183" s="71"/>
      <c r="L183" s="71"/>
      <c r="M183" s="71"/>
      <c r="N183" s="71"/>
      <c r="O183" s="71"/>
      <c r="P183" s="71"/>
      <c r="Q183" s="71"/>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c r="AR183" s="70"/>
      <c r="AS183" s="70"/>
    </row>
    <row r="184" spans="1:45" hidden="1" outlineLevel="1" x14ac:dyDescent="0.3">
      <c r="A184" s="51" t="s">
        <v>2747</v>
      </c>
      <c r="B184" s="51" t="s">
        <v>940</v>
      </c>
      <c r="C184" s="53" t="s">
        <v>821</v>
      </c>
      <c r="D184" s="384" t="s">
        <v>204</v>
      </c>
      <c r="E184" s="384" t="s">
        <v>204</v>
      </c>
      <c r="F184" s="384" t="s">
        <v>204</v>
      </c>
      <c r="G184" s="384" t="s">
        <v>204</v>
      </c>
      <c r="H184" s="384" t="s">
        <v>204</v>
      </c>
      <c r="I184" s="55"/>
      <c r="K184" s="71"/>
      <c r="L184" s="71"/>
      <c r="M184" s="71"/>
      <c r="N184" s="71"/>
      <c r="O184" s="71"/>
      <c r="P184" s="71"/>
      <c r="Q184" s="71"/>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c r="AR184" s="70"/>
      <c r="AS184" s="70"/>
    </row>
    <row r="185" spans="1:45" hidden="1" outlineLevel="1" x14ac:dyDescent="0.3">
      <c r="A185" s="51" t="s">
        <v>2747</v>
      </c>
      <c r="B185" s="51" t="s">
        <v>940</v>
      </c>
      <c r="C185" s="53" t="s">
        <v>823</v>
      </c>
      <c r="D185" s="384" t="s">
        <v>204</v>
      </c>
      <c r="E185" s="384" t="s">
        <v>204</v>
      </c>
      <c r="F185" s="384" t="s">
        <v>204</v>
      </c>
      <c r="G185" s="384" t="s">
        <v>204</v>
      </c>
      <c r="H185" s="384" t="s">
        <v>204</v>
      </c>
      <c r="I185" s="55"/>
      <c r="K185" s="71"/>
      <c r="L185" s="71"/>
      <c r="M185" s="71"/>
      <c r="N185" s="71"/>
      <c r="O185" s="71"/>
      <c r="P185" s="71"/>
      <c r="Q185" s="71"/>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c r="AR185" s="70"/>
      <c r="AS185" s="70"/>
    </row>
    <row r="186" spans="1:45" hidden="1" outlineLevel="1" x14ac:dyDescent="0.3">
      <c r="A186" s="51" t="s">
        <v>2747</v>
      </c>
      <c r="B186" s="51" t="s">
        <v>940</v>
      </c>
      <c r="C186" s="53" t="s">
        <v>825</v>
      </c>
      <c r="D186" s="384" t="s">
        <v>204</v>
      </c>
      <c r="E186" s="384" t="s">
        <v>204</v>
      </c>
      <c r="F186" s="384" t="s">
        <v>204</v>
      </c>
      <c r="G186" s="384" t="s">
        <v>204</v>
      </c>
      <c r="H186" s="384" t="s">
        <v>204</v>
      </c>
      <c r="I186" s="55"/>
      <c r="K186" s="71"/>
      <c r="L186" s="71"/>
      <c r="M186" s="71"/>
      <c r="N186" s="71"/>
      <c r="O186" s="71"/>
      <c r="P186" s="71"/>
      <c r="Q186" s="71"/>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c r="AR186" s="70"/>
      <c r="AS186" s="70"/>
    </row>
    <row r="187" spans="1:45" hidden="1" outlineLevel="1" x14ac:dyDescent="0.3">
      <c r="A187" s="51" t="s">
        <v>2747</v>
      </c>
      <c r="B187" s="51" t="s">
        <v>940</v>
      </c>
      <c r="C187" s="53" t="s">
        <v>827</v>
      </c>
      <c r="D187" s="157">
        <v>1398000</v>
      </c>
      <c r="E187" s="157">
        <v>1430000</v>
      </c>
      <c r="F187" s="157">
        <v>1454000</v>
      </c>
      <c r="G187" s="157">
        <v>1469000</v>
      </c>
      <c r="H187" s="157">
        <v>1485000</v>
      </c>
      <c r="I187" s="55" t="s">
        <v>2756</v>
      </c>
      <c r="K187" s="71"/>
      <c r="L187" s="71"/>
      <c r="M187" s="71"/>
      <c r="N187" s="71"/>
      <c r="O187" s="71"/>
      <c r="P187" s="71"/>
      <c r="Q187" s="71"/>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row>
    <row r="188" spans="1:45" hidden="1" outlineLevel="1" x14ac:dyDescent="0.3">
      <c r="A188" s="51" t="s">
        <v>2747</v>
      </c>
      <c r="B188" s="51" t="s">
        <v>940</v>
      </c>
      <c r="C188" s="53" t="s">
        <v>829</v>
      </c>
      <c r="D188" s="157">
        <v>107804</v>
      </c>
      <c r="E188" s="157">
        <v>110062</v>
      </c>
      <c r="F188" s="157">
        <v>111329</v>
      </c>
      <c r="G188" s="157">
        <v>112603</v>
      </c>
      <c r="H188" s="157">
        <v>114014</v>
      </c>
      <c r="I188" s="55" t="s">
        <v>2757</v>
      </c>
      <c r="K188" s="71"/>
      <c r="L188" s="71"/>
      <c r="M188" s="71"/>
      <c r="N188" s="71"/>
      <c r="O188" s="71"/>
      <c r="P188" s="71"/>
      <c r="Q188" s="71"/>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c r="AR188" s="70"/>
      <c r="AS188" s="70"/>
    </row>
    <row r="189" spans="1:45" hidden="1" outlineLevel="1" x14ac:dyDescent="0.3">
      <c r="A189" s="51" t="s">
        <v>2747</v>
      </c>
      <c r="B189" s="51" t="s">
        <v>940</v>
      </c>
      <c r="C189" s="53" t="s">
        <v>833</v>
      </c>
      <c r="D189" s="157">
        <v>14545</v>
      </c>
      <c r="E189" s="157">
        <v>13095</v>
      </c>
      <c r="F189" s="157">
        <v>13095</v>
      </c>
      <c r="G189" s="157">
        <v>13095</v>
      </c>
      <c r="H189" s="157">
        <v>13095</v>
      </c>
      <c r="I189" s="55" t="s">
        <v>2716</v>
      </c>
      <c r="K189" s="71"/>
      <c r="L189" s="71"/>
      <c r="M189" s="71"/>
      <c r="N189" s="71"/>
      <c r="O189" s="71"/>
      <c r="P189" s="71"/>
      <c r="Q189" s="71"/>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0"/>
    </row>
    <row r="190" spans="1:45" hidden="1" outlineLevel="1" x14ac:dyDescent="0.3">
      <c r="A190" s="51" t="s">
        <v>2747</v>
      </c>
      <c r="B190" s="51" t="s">
        <v>940</v>
      </c>
      <c r="C190" s="53" t="s">
        <v>836</v>
      </c>
      <c r="D190" s="157">
        <v>374250</v>
      </c>
      <c r="E190" s="157">
        <v>380518</v>
      </c>
      <c r="F190" s="157">
        <v>404463</v>
      </c>
      <c r="G190" s="157">
        <v>450030</v>
      </c>
      <c r="H190" s="157">
        <v>451936</v>
      </c>
      <c r="I190" s="55" t="s">
        <v>2717</v>
      </c>
      <c r="K190" s="71"/>
      <c r="L190" s="71"/>
      <c r="M190" s="71"/>
      <c r="N190" s="71"/>
      <c r="O190" s="71"/>
      <c r="P190" s="71"/>
      <c r="Q190" s="71"/>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c r="AR190" s="70"/>
      <c r="AS190" s="70"/>
    </row>
    <row r="191" spans="1:45" hidden="1" outlineLevel="1" x14ac:dyDescent="0.3">
      <c r="A191" s="51" t="s">
        <v>2747</v>
      </c>
      <c r="B191" s="51" t="s">
        <v>940</v>
      </c>
      <c r="C191" s="53" t="s">
        <v>837</v>
      </c>
      <c r="D191" s="384" t="s">
        <v>204</v>
      </c>
      <c r="E191" s="384" t="s">
        <v>204</v>
      </c>
      <c r="F191" s="384" t="s">
        <v>204</v>
      </c>
      <c r="G191" s="384" t="s">
        <v>204</v>
      </c>
      <c r="H191" s="384" t="s">
        <v>204</v>
      </c>
      <c r="I191" s="55"/>
      <c r="K191" s="71"/>
      <c r="L191" s="71"/>
      <c r="M191" s="71"/>
      <c r="N191" s="71"/>
      <c r="O191" s="71"/>
      <c r="P191" s="71"/>
      <c r="Q191" s="71"/>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c r="AR191" s="70"/>
      <c r="AS191" s="70"/>
    </row>
    <row r="192" spans="1:45" hidden="1" outlineLevel="1" x14ac:dyDescent="0.3">
      <c r="A192" s="51" t="s">
        <v>2747</v>
      </c>
      <c r="B192" s="51" t="s">
        <v>940</v>
      </c>
      <c r="C192" s="53" t="s">
        <v>839</v>
      </c>
      <c r="D192" s="157">
        <v>0</v>
      </c>
      <c r="E192" s="157">
        <v>0</v>
      </c>
      <c r="F192" s="157">
        <v>0</v>
      </c>
      <c r="G192" s="157">
        <v>0</v>
      </c>
      <c r="H192" s="157">
        <v>0</v>
      </c>
      <c r="I192" s="55" t="s">
        <v>2758</v>
      </c>
      <c r="K192" s="71"/>
      <c r="L192" s="71"/>
      <c r="M192" s="71"/>
      <c r="N192" s="71"/>
      <c r="O192" s="71"/>
      <c r="P192" s="71"/>
      <c r="Q192" s="71"/>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row>
    <row r="193" spans="1:45" hidden="1" outlineLevel="1" x14ac:dyDescent="0.3">
      <c r="A193" s="51" t="s">
        <v>2747</v>
      </c>
      <c r="B193" s="51" t="s">
        <v>940</v>
      </c>
      <c r="C193" s="53" t="s">
        <v>840</v>
      </c>
      <c r="D193" s="384" t="s">
        <v>204</v>
      </c>
      <c r="E193" s="384" t="s">
        <v>204</v>
      </c>
      <c r="F193" s="384" t="s">
        <v>204</v>
      </c>
      <c r="G193" s="384" t="s">
        <v>204</v>
      </c>
      <c r="H193" s="384" t="s">
        <v>204</v>
      </c>
      <c r="I193" s="55"/>
      <c r="K193" s="71"/>
      <c r="L193" s="71"/>
      <c r="M193" s="71"/>
      <c r="N193" s="71"/>
      <c r="O193" s="71"/>
      <c r="P193" s="71"/>
      <c r="Q193" s="71"/>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0"/>
    </row>
    <row r="194" spans="1:45" collapsed="1" x14ac:dyDescent="0.3">
      <c r="A194" s="51"/>
      <c r="B194" s="51"/>
      <c r="C194" s="531" t="s">
        <v>2719</v>
      </c>
      <c r="D194" s="55"/>
      <c r="E194" s="55"/>
      <c r="F194" s="55"/>
      <c r="G194" s="55"/>
      <c r="H194" s="55"/>
      <c r="I194" s="55"/>
      <c r="K194" s="70"/>
      <c r="L194" s="70"/>
      <c r="M194" s="71"/>
      <c r="N194" s="71"/>
      <c r="O194" s="71"/>
      <c r="P194" s="71"/>
      <c r="Q194" s="71"/>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c r="AR194" s="70"/>
      <c r="AS194" s="70"/>
    </row>
    <row r="195" spans="1:45" collapsed="1" x14ac:dyDescent="0.3">
      <c r="A195" s="53" t="s">
        <v>2759</v>
      </c>
      <c r="B195" s="53"/>
      <c r="C195" s="52" t="s">
        <v>2693</v>
      </c>
      <c r="D195" s="158">
        <v>2325028</v>
      </c>
      <c r="E195" s="158">
        <v>2407575</v>
      </c>
      <c r="F195" s="158">
        <v>2459483</v>
      </c>
      <c r="G195" s="158">
        <v>2483732</v>
      </c>
      <c r="H195" s="158">
        <v>2507087</v>
      </c>
      <c r="I195" s="55"/>
      <c r="K195" s="70"/>
      <c r="L195" s="182"/>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0"/>
    </row>
    <row r="196" spans="1:45" x14ac:dyDescent="0.3">
      <c r="A196" s="53" t="s">
        <v>5</v>
      </c>
      <c r="B196" s="53" t="s">
        <v>847</v>
      </c>
      <c r="C196" s="53" t="s">
        <v>193</v>
      </c>
      <c r="D196" s="54">
        <v>2025</v>
      </c>
      <c r="E196" s="54">
        <v>2030</v>
      </c>
      <c r="F196" s="54">
        <v>2035</v>
      </c>
      <c r="G196" s="54">
        <v>2040</v>
      </c>
      <c r="H196" s="54">
        <v>2045</v>
      </c>
      <c r="I196" s="54" t="s">
        <v>153</v>
      </c>
      <c r="K196" s="70"/>
      <c r="L196" s="183"/>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c r="AR196" s="70"/>
      <c r="AS196" s="70"/>
    </row>
    <row r="197" spans="1:45" hidden="1" outlineLevel="1" x14ac:dyDescent="0.3">
      <c r="A197" s="51" t="s">
        <v>2759</v>
      </c>
      <c r="B197" s="51" t="s">
        <v>855</v>
      </c>
      <c r="C197" s="53" t="s">
        <v>747</v>
      </c>
      <c r="D197" s="384" t="s">
        <v>204</v>
      </c>
      <c r="E197" s="384" t="s">
        <v>204</v>
      </c>
      <c r="F197" s="384" t="s">
        <v>204</v>
      </c>
      <c r="G197" s="384" t="s">
        <v>204</v>
      </c>
      <c r="H197" s="384" t="s">
        <v>204</v>
      </c>
      <c r="I197" s="55"/>
      <c r="K197" s="70"/>
      <c r="L197" s="71"/>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c r="AR197" s="70"/>
      <c r="AS197" s="70"/>
    </row>
    <row r="198" spans="1:45" hidden="1" outlineLevel="1" x14ac:dyDescent="0.3">
      <c r="A198" s="51" t="s">
        <v>2759</v>
      </c>
      <c r="B198" s="51" t="s">
        <v>855</v>
      </c>
      <c r="C198" s="53" t="s">
        <v>751</v>
      </c>
      <c r="D198" s="157">
        <v>3250</v>
      </c>
      <c r="E198" s="157">
        <v>3250</v>
      </c>
      <c r="F198" s="157">
        <v>3250</v>
      </c>
      <c r="G198" s="157">
        <v>3250</v>
      </c>
      <c r="H198" s="157">
        <v>3250</v>
      </c>
      <c r="I198" s="157" t="s">
        <v>2696</v>
      </c>
      <c r="K198" s="70"/>
      <c r="L198" s="71"/>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c r="AR198" s="70"/>
      <c r="AS198" s="70"/>
    </row>
    <row r="199" spans="1:45" hidden="1" outlineLevel="1" x14ac:dyDescent="0.3">
      <c r="A199" s="51" t="s">
        <v>2759</v>
      </c>
      <c r="B199" s="51" t="s">
        <v>855</v>
      </c>
      <c r="C199" s="53" t="s">
        <v>755</v>
      </c>
      <c r="D199" s="157">
        <v>13000</v>
      </c>
      <c r="E199" s="157">
        <v>13300</v>
      </c>
      <c r="F199" s="157">
        <v>13300</v>
      </c>
      <c r="G199" s="157">
        <v>13300</v>
      </c>
      <c r="H199" s="157">
        <v>13300</v>
      </c>
      <c r="I199" s="55" t="s">
        <v>2760</v>
      </c>
      <c r="K199" s="70"/>
      <c r="L199" s="71"/>
      <c r="M199" s="71"/>
      <c r="N199" s="71"/>
      <c r="O199" s="71"/>
      <c r="P199" s="71"/>
      <c r="Q199" s="71"/>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c r="AR199" s="70"/>
      <c r="AS199" s="70"/>
    </row>
    <row r="200" spans="1:45" hidden="1" outlineLevel="1" x14ac:dyDescent="0.3">
      <c r="A200" s="51" t="s">
        <v>2759</v>
      </c>
      <c r="B200" s="51" t="s">
        <v>855</v>
      </c>
      <c r="C200" s="53" t="s">
        <v>758</v>
      </c>
      <c r="D200" s="157">
        <v>7920</v>
      </c>
      <c r="E200" s="157">
        <v>12570</v>
      </c>
      <c r="F200" s="157">
        <v>14431</v>
      </c>
      <c r="G200" s="157">
        <v>14431</v>
      </c>
      <c r="H200" s="157">
        <v>14431</v>
      </c>
      <c r="I200" s="55" t="s">
        <v>2699</v>
      </c>
      <c r="K200" s="70"/>
      <c r="L200" s="71"/>
      <c r="M200" s="71"/>
      <c r="N200" s="71"/>
      <c r="O200" s="71"/>
      <c r="P200" s="71"/>
      <c r="Q200" s="71"/>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row>
    <row r="201" spans="1:45" hidden="1" outlineLevel="1" x14ac:dyDescent="0.3">
      <c r="A201" s="51" t="s">
        <v>2759</v>
      </c>
      <c r="B201" s="51" t="s">
        <v>855</v>
      </c>
      <c r="C201" s="53" t="s">
        <v>761</v>
      </c>
      <c r="D201" s="157">
        <v>2000</v>
      </c>
      <c r="E201" s="157">
        <v>2000</v>
      </c>
      <c r="F201" s="157">
        <v>2000</v>
      </c>
      <c r="G201" s="157">
        <v>2000</v>
      </c>
      <c r="H201" s="157">
        <v>2000</v>
      </c>
      <c r="I201" s="55" t="s">
        <v>2748</v>
      </c>
      <c r="K201" s="70"/>
      <c r="L201" s="71"/>
      <c r="M201" s="71"/>
      <c r="N201" s="71"/>
      <c r="O201" s="71"/>
      <c r="P201" s="71"/>
      <c r="Q201" s="71"/>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70"/>
      <c r="AS201" s="70"/>
    </row>
    <row r="202" spans="1:45" hidden="1" outlineLevel="1" x14ac:dyDescent="0.3">
      <c r="A202" s="51" t="s">
        <v>2759</v>
      </c>
      <c r="B202" s="51" t="s">
        <v>855</v>
      </c>
      <c r="C202" s="53" t="s">
        <v>763</v>
      </c>
      <c r="D202" s="157">
        <v>2400</v>
      </c>
      <c r="E202" s="157">
        <v>2400</v>
      </c>
      <c r="F202" s="157">
        <v>2400</v>
      </c>
      <c r="G202" s="157">
        <v>2400</v>
      </c>
      <c r="H202" s="157">
        <v>2400</v>
      </c>
      <c r="I202" s="55" t="s">
        <v>2749</v>
      </c>
      <c r="K202" s="70"/>
      <c r="L202" s="71"/>
      <c r="M202" s="71"/>
      <c r="N202" s="71"/>
      <c r="O202" s="71"/>
      <c r="P202" s="71"/>
      <c r="Q202" s="71"/>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c r="AR202" s="70"/>
      <c r="AS202" s="70"/>
    </row>
    <row r="203" spans="1:45" hidden="1" outlineLevel="1" x14ac:dyDescent="0.3">
      <c r="A203" s="51" t="s">
        <v>2759</v>
      </c>
      <c r="B203" s="51" t="s">
        <v>855</v>
      </c>
      <c r="C203" s="53" t="s">
        <v>765</v>
      </c>
      <c r="D203" s="157">
        <v>0</v>
      </c>
      <c r="E203" s="157">
        <v>0</v>
      </c>
      <c r="F203" s="157">
        <v>0</v>
      </c>
      <c r="G203" s="157">
        <v>0</v>
      </c>
      <c r="H203" s="157">
        <v>0</v>
      </c>
      <c r="I203" s="55" t="s">
        <v>2722</v>
      </c>
      <c r="K203" s="70"/>
      <c r="L203" s="71"/>
      <c r="M203" s="71"/>
      <c r="N203" s="71"/>
      <c r="O203" s="71"/>
      <c r="P203" s="71"/>
      <c r="Q203" s="71"/>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c r="AR203" s="70"/>
      <c r="AS203" s="70"/>
    </row>
    <row r="204" spans="1:45" hidden="1" outlineLevel="1" x14ac:dyDescent="0.3">
      <c r="A204" s="51" t="s">
        <v>2759</v>
      </c>
      <c r="B204" s="51" t="s">
        <v>855</v>
      </c>
      <c r="C204" s="53" t="s">
        <v>768</v>
      </c>
      <c r="D204" s="384" t="s">
        <v>204</v>
      </c>
      <c r="E204" s="384" t="s">
        <v>204</v>
      </c>
      <c r="F204" s="384" t="s">
        <v>204</v>
      </c>
      <c r="G204" s="384" t="s">
        <v>204</v>
      </c>
      <c r="H204" s="384" t="s">
        <v>204</v>
      </c>
      <c r="I204" s="55"/>
      <c r="K204" s="70"/>
      <c r="L204" s="71"/>
      <c r="M204" s="71"/>
      <c r="N204" s="71"/>
      <c r="O204" s="71"/>
      <c r="P204" s="71"/>
      <c r="Q204" s="71"/>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row>
    <row r="205" spans="1:45" hidden="1" outlineLevel="1" x14ac:dyDescent="0.3">
      <c r="A205" s="51" t="s">
        <v>2759</v>
      </c>
      <c r="B205" s="51" t="s">
        <v>855</v>
      </c>
      <c r="C205" s="53" t="s">
        <v>771</v>
      </c>
      <c r="D205" s="157">
        <v>2000</v>
      </c>
      <c r="E205" s="157">
        <v>4000</v>
      </c>
      <c r="F205" s="157">
        <v>4000</v>
      </c>
      <c r="G205" s="157">
        <v>5000</v>
      </c>
      <c r="H205" s="157">
        <v>5000</v>
      </c>
      <c r="I205" s="55" t="s">
        <v>2723</v>
      </c>
      <c r="K205" s="71"/>
      <c r="L205" s="71"/>
      <c r="M205" s="71"/>
      <c r="N205" s="71"/>
      <c r="O205" s="71"/>
      <c r="P205" s="71"/>
      <c r="Q205" s="71"/>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0"/>
    </row>
    <row r="206" spans="1:45" hidden="1" outlineLevel="1" x14ac:dyDescent="0.3">
      <c r="A206" s="51" t="s">
        <v>2759</v>
      </c>
      <c r="B206" s="51" t="s">
        <v>855</v>
      </c>
      <c r="C206" s="53" t="s">
        <v>772</v>
      </c>
      <c r="D206" s="157">
        <v>46070</v>
      </c>
      <c r="E206" s="157">
        <v>51070</v>
      </c>
      <c r="F206" s="157">
        <v>61070</v>
      </c>
      <c r="G206" s="157">
        <v>61070</v>
      </c>
      <c r="H206" s="157">
        <v>61070</v>
      </c>
      <c r="I206" s="55" t="s">
        <v>2750</v>
      </c>
      <c r="K206" s="71"/>
      <c r="L206" s="71"/>
      <c r="M206" s="71"/>
      <c r="N206" s="71"/>
      <c r="O206" s="71"/>
      <c r="P206" s="71"/>
      <c r="Q206" s="71"/>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row>
    <row r="207" spans="1:45" hidden="1" outlineLevel="1" x14ac:dyDescent="0.3">
      <c r="A207" s="51" t="s">
        <v>2759</v>
      </c>
      <c r="B207" s="51" t="s">
        <v>855</v>
      </c>
      <c r="C207" s="53" t="s">
        <v>774</v>
      </c>
      <c r="D207" s="157">
        <v>16130</v>
      </c>
      <c r="E207" s="157">
        <v>16130</v>
      </c>
      <c r="F207" s="157">
        <v>16130</v>
      </c>
      <c r="G207" s="157">
        <v>16130</v>
      </c>
      <c r="H207" s="157">
        <v>16130</v>
      </c>
      <c r="I207" s="55" t="s">
        <v>2751</v>
      </c>
      <c r="K207" s="71"/>
      <c r="L207" s="71"/>
      <c r="M207" s="71"/>
      <c r="N207" s="71"/>
      <c r="O207" s="71"/>
      <c r="P207" s="71"/>
      <c r="Q207" s="71"/>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0"/>
    </row>
    <row r="208" spans="1:45" hidden="1" outlineLevel="1" x14ac:dyDescent="0.3">
      <c r="A208" s="51" t="s">
        <v>2759</v>
      </c>
      <c r="B208" s="51" t="s">
        <v>855</v>
      </c>
      <c r="C208" s="53" t="s">
        <v>775</v>
      </c>
      <c r="D208" s="384" t="s">
        <v>204</v>
      </c>
      <c r="E208" s="384" t="s">
        <v>204</v>
      </c>
      <c r="F208" s="384" t="s">
        <v>204</v>
      </c>
      <c r="G208" s="384" t="s">
        <v>204</v>
      </c>
      <c r="H208" s="384" t="s">
        <v>204</v>
      </c>
      <c r="I208" s="55"/>
      <c r="K208" s="71"/>
      <c r="L208" s="71"/>
      <c r="M208" s="71"/>
      <c r="N208" s="71"/>
      <c r="O208" s="71"/>
      <c r="P208" s="71"/>
      <c r="Q208" s="71"/>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row>
    <row r="209" spans="1:45" hidden="1" outlineLevel="1" x14ac:dyDescent="0.3">
      <c r="A209" s="51" t="s">
        <v>2759</v>
      </c>
      <c r="B209" s="51" t="s">
        <v>855</v>
      </c>
      <c r="C209" s="53" t="s">
        <v>779</v>
      </c>
      <c r="D209" s="384" t="s">
        <v>204</v>
      </c>
      <c r="E209" s="384" t="s">
        <v>204</v>
      </c>
      <c r="F209" s="384" t="s">
        <v>204</v>
      </c>
      <c r="G209" s="384" t="s">
        <v>204</v>
      </c>
      <c r="H209" s="384" t="s">
        <v>204</v>
      </c>
      <c r="I209" s="55"/>
      <c r="K209" s="71"/>
      <c r="L209" s="71"/>
      <c r="M209" s="71"/>
      <c r="N209" s="71"/>
      <c r="O209" s="71"/>
      <c r="P209" s="71"/>
      <c r="Q209" s="71"/>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0"/>
    </row>
    <row r="210" spans="1:45" hidden="1" outlineLevel="1" x14ac:dyDescent="0.3">
      <c r="A210" s="51" t="s">
        <v>2759</v>
      </c>
      <c r="B210" s="51" t="s">
        <v>894</v>
      </c>
      <c r="C210" s="53" t="s">
        <v>781</v>
      </c>
      <c r="D210" s="384" t="s">
        <v>204</v>
      </c>
      <c r="E210" s="384" t="s">
        <v>204</v>
      </c>
      <c r="F210" s="384" t="s">
        <v>204</v>
      </c>
      <c r="G210" s="384" t="s">
        <v>204</v>
      </c>
      <c r="H210" s="384" t="s">
        <v>204</v>
      </c>
      <c r="I210" s="55"/>
      <c r="K210" s="71"/>
      <c r="L210" s="71"/>
      <c r="M210" s="71"/>
      <c r="N210" s="71"/>
      <c r="O210" s="71"/>
      <c r="P210" s="71"/>
      <c r="Q210" s="71"/>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row>
    <row r="211" spans="1:45" hidden="1" outlineLevel="1" x14ac:dyDescent="0.3">
      <c r="A211" s="51" t="s">
        <v>2759</v>
      </c>
      <c r="B211" s="51" t="s">
        <v>894</v>
      </c>
      <c r="C211" s="53" t="s">
        <v>783</v>
      </c>
      <c r="D211" s="157">
        <v>0</v>
      </c>
      <c r="E211" s="157">
        <v>0</v>
      </c>
      <c r="F211" s="157">
        <v>0</v>
      </c>
      <c r="G211" s="157">
        <v>0</v>
      </c>
      <c r="H211" s="157">
        <v>0</v>
      </c>
      <c r="I211" s="55" t="s">
        <v>2706</v>
      </c>
      <c r="K211" s="71"/>
      <c r="L211" s="71"/>
      <c r="M211" s="71"/>
      <c r="N211" s="71"/>
      <c r="O211" s="71"/>
      <c r="P211" s="71"/>
      <c r="Q211" s="71"/>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row>
    <row r="212" spans="1:45" hidden="1" outlineLevel="1" x14ac:dyDescent="0.3">
      <c r="A212" s="51" t="s">
        <v>2759</v>
      </c>
      <c r="B212" s="51" t="s">
        <v>894</v>
      </c>
      <c r="C212" s="53" t="s">
        <v>785</v>
      </c>
      <c r="D212" s="157">
        <v>138090</v>
      </c>
      <c r="E212" s="157">
        <v>143630</v>
      </c>
      <c r="F212" s="157">
        <v>149100</v>
      </c>
      <c r="G212" s="157">
        <v>154490</v>
      </c>
      <c r="H212" s="157">
        <v>159820</v>
      </c>
      <c r="I212" s="55" t="s">
        <v>2724</v>
      </c>
      <c r="K212" s="71"/>
      <c r="L212" s="71"/>
      <c r="M212" s="71"/>
      <c r="N212" s="71"/>
      <c r="O212" s="71"/>
      <c r="P212" s="71"/>
      <c r="Q212" s="71"/>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70"/>
      <c r="AS212" s="70"/>
    </row>
    <row r="213" spans="1:45" hidden="1" outlineLevel="1" x14ac:dyDescent="0.3">
      <c r="A213" s="51" t="s">
        <v>2759</v>
      </c>
      <c r="B213" s="51" t="s">
        <v>894</v>
      </c>
      <c r="C213" s="53" t="s">
        <v>787</v>
      </c>
      <c r="D213" s="384" t="s">
        <v>204</v>
      </c>
      <c r="E213" s="384" t="s">
        <v>204</v>
      </c>
      <c r="F213" s="384" t="s">
        <v>204</v>
      </c>
      <c r="G213" s="384" t="s">
        <v>204</v>
      </c>
      <c r="H213" s="384" t="s">
        <v>204</v>
      </c>
      <c r="I213" s="55"/>
      <c r="K213" s="71"/>
      <c r="L213" s="71"/>
      <c r="M213" s="71"/>
      <c r="N213" s="71"/>
      <c r="O213" s="71"/>
      <c r="P213" s="71"/>
      <c r="Q213" s="71"/>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0"/>
    </row>
    <row r="214" spans="1:45" hidden="1" outlineLevel="1" x14ac:dyDescent="0.3">
      <c r="A214" s="51" t="s">
        <v>2759</v>
      </c>
      <c r="B214" s="51" t="s">
        <v>894</v>
      </c>
      <c r="C214" s="53" t="s">
        <v>788</v>
      </c>
      <c r="D214" s="384" t="s">
        <v>204</v>
      </c>
      <c r="E214" s="384" t="s">
        <v>204</v>
      </c>
      <c r="F214" s="384" t="s">
        <v>204</v>
      </c>
      <c r="G214" s="384" t="s">
        <v>204</v>
      </c>
      <c r="H214" s="384" t="s">
        <v>204</v>
      </c>
      <c r="I214" s="55"/>
      <c r="K214" s="71"/>
      <c r="L214" s="71"/>
      <c r="M214" s="71"/>
      <c r="N214" s="71"/>
      <c r="O214" s="71"/>
      <c r="P214" s="71"/>
      <c r="Q214" s="71"/>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row>
    <row r="215" spans="1:45" hidden="1" outlineLevel="1" x14ac:dyDescent="0.3">
      <c r="A215" s="51" t="s">
        <v>2759</v>
      </c>
      <c r="B215" s="51" t="s">
        <v>894</v>
      </c>
      <c r="C215" s="53" t="s">
        <v>789</v>
      </c>
      <c r="D215" s="384" t="s">
        <v>204</v>
      </c>
      <c r="E215" s="384" t="s">
        <v>204</v>
      </c>
      <c r="F215" s="384" t="s">
        <v>204</v>
      </c>
      <c r="G215" s="384" t="s">
        <v>204</v>
      </c>
      <c r="H215" s="384" t="s">
        <v>204</v>
      </c>
      <c r="I215" s="55"/>
      <c r="K215" s="71"/>
      <c r="L215" s="71"/>
      <c r="M215" s="71"/>
      <c r="N215" s="71"/>
      <c r="O215" s="71"/>
      <c r="P215" s="71"/>
      <c r="Q215" s="71"/>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0"/>
    </row>
    <row r="216" spans="1:45" hidden="1" outlineLevel="1" x14ac:dyDescent="0.3">
      <c r="A216" s="51" t="s">
        <v>2759</v>
      </c>
      <c r="B216" s="51" t="s">
        <v>894</v>
      </c>
      <c r="C216" s="53" t="s">
        <v>790</v>
      </c>
      <c r="D216" s="157">
        <v>5200</v>
      </c>
      <c r="E216" s="157">
        <v>5200</v>
      </c>
      <c r="F216" s="157">
        <v>5200</v>
      </c>
      <c r="G216" s="157">
        <v>5500</v>
      </c>
      <c r="H216" s="157">
        <v>5500</v>
      </c>
      <c r="I216" s="55" t="s">
        <v>2725</v>
      </c>
      <c r="K216" s="71"/>
      <c r="L216" s="71"/>
      <c r="M216" s="71"/>
      <c r="N216" s="71"/>
      <c r="O216" s="71"/>
      <c r="P216" s="71"/>
      <c r="Q216" s="71"/>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70"/>
      <c r="AS216" s="70"/>
    </row>
    <row r="217" spans="1:45" hidden="1" outlineLevel="1" x14ac:dyDescent="0.3">
      <c r="A217" s="51" t="s">
        <v>2759</v>
      </c>
      <c r="B217" s="51" t="s">
        <v>894</v>
      </c>
      <c r="C217" s="53" t="s">
        <v>793</v>
      </c>
      <c r="D217" s="384" t="s">
        <v>204</v>
      </c>
      <c r="E217" s="384" t="s">
        <v>204</v>
      </c>
      <c r="F217" s="384" t="s">
        <v>204</v>
      </c>
      <c r="G217" s="384" t="s">
        <v>204</v>
      </c>
      <c r="H217" s="384" t="s">
        <v>204</v>
      </c>
      <c r="I217" s="55"/>
      <c r="K217" s="71"/>
      <c r="L217" s="71"/>
      <c r="M217" s="71"/>
      <c r="N217" s="71"/>
      <c r="O217" s="71"/>
      <c r="P217" s="71"/>
      <c r="Q217" s="71"/>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0"/>
    </row>
    <row r="218" spans="1:45" hidden="1" outlineLevel="1" x14ac:dyDescent="0.3">
      <c r="A218" s="51" t="s">
        <v>2759</v>
      </c>
      <c r="B218" s="51" t="s">
        <v>894</v>
      </c>
      <c r="C218" s="53" t="s">
        <v>795</v>
      </c>
      <c r="D218" s="384" t="s">
        <v>204</v>
      </c>
      <c r="E218" s="384" t="s">
        <v>204</v>
      </c>
      <c r="F218" s="384" t="s">
        <v>204</v>
      </c>
      <c r="G218" s="384" t="s">
        <v>204</v>
      </c>
      <c r="H218" s="384" t="s">
        <v>204</v>
      </c>
      <c r="I218" s="55"/>
      <c r="K218" s="71"/>
      <c r="L218" s="71"/>
      <c r="M218" s="71"/>
      <c r="N218" s="71"/>
      <c r="O218" s="71"/>
      <c r="P218" s="71"/>
      <c r="Q218" s="71"/>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row>
    <row r="219" spans="1:45" hidden="1" outlineLevel="1" x14ac:dyDescent="0.3">
      <c r="A219" s="51" t="s">
        <v>2759</v>
      </c>
      <c r="B219" s="51" t="s">
        <v>894</v>
      </c>
      <c r="C219" s="53" t="s">
        <v>797</v>
      </c>
      <c r="D219" s="157">
        <v>16129</v>
      </c>
      <c r="E219" s="157">
        <v>18548</v>
      </c>
      <c r="F219" s="157">
        <v>20968</v>
      </c>
      <c r="G219" s="157">
        <v>23387</v>
      </c>
      <c r="H219" s="157">
        <v>25806</v>
      </c>
      <c r="I219" s="55" t="s">
        <v>2726</v>
      </c>
      <c r="K219" s="71"/>
      <c r="L219" s="71"/>
      <c r="M219" s="71"/>
      <c r="N219" s="71"/>
      <c r="O219" s="71"/>
      <c r="P219" s="71"/>
      <c r="Q219" s="71"/>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0"/>
    </row>
    <row r="220" spans="1:45" hidden="1" outlineLevel="1" x14ac:dyDescent="0.3">
      <c r="A220" s="51" t="s">
        <v>2759</v>
      </c>
      <c r="B220" s="51" t="s">
        <v>915</v>
      </c>
      <c r="C220" s="53" t="s">
        <v>799</v>
      </c>
      <c r="D220" s="157">
        <v>27600</v>
      </c>
      <c r="E220" s="157">
        <v>29900</v>
      </c>
      <c r="F220" s="157">
        <v>31800</v>
      </c>
      <c r="G220" s="157">
        <v>32200</v>
      </c>
      <c r="H220" s="157">
        <v>32500</v>
      </c>
      <c r="I220" s="55" t="s">
        <v>2761</v>
      </c>
      <c r="K220" s="71"/>
      <c r="L220" s="71"/>
      <c r="M220" s="71"/>
      <c r="N220" s="71"/>
      <c r="O220" s="71"/>
      <c r="P220" s="71"/>
      <c r="Q220" s="71"/>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row>
    <row r="221" spans="1:45" hidden="1" outlineLevel="1" x14ac:dyDescent="0.3">
      <c r="A221" s="51" t="s">
        <v>2759</v>
      </c>
      <c r="B221" s="51" t="s">
        <v>915</v>
      </c>
      <c r="C221" s="53" t="s">
        <v>801</v>
      </c>
      <c r="D221" s="157">
        <v>24200</v>
      </c>
      <c r="E221" s="157">
        <v>24200</v>
      </c>
      <c r="F221" s="157">
        <v>24200</v>
      </c>
      <c r="G221" s="157">
        <v>24300</v>
      </c>
      <c r="H221" s="157">
        <v>23000</v>
      </c>
      <c r="I221" s="55" t="s">
        <v>2728</v>
      </c>
      <c r="K221" s="71"/>
      <c r="L221" s="71"/>
      <c r="M221" s="71"/>
      <c r="N221" s="71"/>
      <c r="O221" s="71"/>
      <c r="P221" s="71"/>
      <c r="Q221" s="71"/>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0"/>
    </row>
    <row r="222" spans="1:45" hidden="1" outlineLevel="1" x14ac:dyDescent="0.3">
      <c r="A222" s="51" t="s">
        <v>2759</v>
      </c>
      <c r="B222" s="51" t="s">
        <v>915</v>
      </c>
      <c r="C222" s="53" t="s">
        <v>804</v>
      </c>
      <c r="D222" s="157">
        <v>0</v>
      </c>
      <c r="E222" s="157">
        <v>0</v>
      </c>
      <c r="F222" s="157">
        <v>0</v>
      </c>
      <c r="G222" s="157">
        <v>0</v>
      </c>
      <c r="H222" s="157">
        <v>0</v>
      </c>
      <c r="I222" s="55" t="s">
        <v>2762</v>
      </c>
      <c r="K222" s="71"/>
      <c r="L222" s="71"/>
      <c r="M222" s="71"/>
      <c r="N222" s="71"/>
      <c r="O222" s="71"/>
      <c r="P222" s="71"/>
      <c r="Q222" s="71"/>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row>
    <row r="223" spans="1:45" hidden="1" outlineLevel="1" x14ac:dyDescent="0.3">
      <c r="A223" s="51" t="s">
        <v>2759</v>
      </c>
      <c r="B223" s="51" t="s">
        <v>915</v>
      </c>
      <c r="C223" s="53" t="s">
        <v>806</v>
      </c>
      <c r="D223" s="157">
        <v>0</v>
      </c>
      <c r="E223" s="157">
        <v>0</v>
      </c>
      <c r="F223" s="157">
        <v>0</v>
      </c>
      <c r="G223" s="157">
        <v>0</v>
      </c>
      <c r="H223" s="157">
        <v>0</v>
      </c>
      <c r="I223" s="55"/>
      <c r="K223" s="71"/>
      <c r="L223" s="71"/>
      <c r="M223" s="71"/>
      <c r="N223" s="71"/>
      <c r="O223" s="71"/>
      <c r="P223" s="71"/>
      <c r="Q223" s="71"/>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0"/>
    </row>
    <row r="224" spans="1:45" hidden="1" outlineLevel="1" x14ac:dyDescent="0.3">
      <c r="A224" s="51" t="s">
        <v>2759</v>
      </c>
      <c r="B224" s="51" t="s">
        <v>915</v>
      </c>
      <c r="C224" s="53" t="s">
        <v>808</v>
      </c>
      <c r="D224" s="157">
        <v>1919</v>
      </c>
      <c r="E224" s="157">
        <v>2222</v>
      </c>
      <c r="F224" s="157">
        <v>3423</v>
      </c>
      <c r="G224" s="157">
        <v>4659</v>
      </c>
      <c r="H224" s="157">
        <v>4659</v>
      </c>
      <c r="I224" s="55" t="s">
        <v>2754</v>
      </c>
      <c r="K224" s="71"/>
      <c r="L224" s="71"/>
      <c r="M224" s="71"/>
      <c r="N224" s="71"/>
      <c r="O224" s="71"/>
      <c r="P224" s="71"/>
      <c r="Q224" s="71"/>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row>
    <row r="225" spans="1:45" hidden="1" outlineLevel="1" x14ac:dyDescent="0.3">
      <c r="A225" s="51" t="s">
        <v>2759</v>
      </c>
      <c r="B225" s="51" t="s">
        <v>915</v>
      </c>
      <c r="C225" s="53" t="s">
        <v>811</v>
      </c>
      <c r="D225" s="157">
        <v>112000</v>
      </c>
      <c r="E225" s="157">
        <v>131200</v>
      </c>
      <c r="F225" s="157">
        <v>130400</v>
      </c>
      <c r="G225" s="157">
        <v>129600</v>
      </c>
      <c r="H225" s="157">
        <v>129600</v>
      </c>
      <c r="I225" s="55" t="s">
        <v>2730</v>
      </c>
      <c r="K225" s="71"/>
      <c r="L225" s="71"/>
      <c r="M225" s="71"/>
      <c r="N225" s="71"/>
      <c r="O225" s="71"/>
      <c r="P225" s="71"/>
      <c r="Q225" s="71"/>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row>
    <row r="226" spans="1:45" hidden="1" outlineLevel="1" x14ac:dyDescent="0.3">
      <c r="A226" s="51" t="s">
        <v>2759</v>
      </c>
      <c r="B226" s="51" t="s">
        <v>934</v>
      </c>
      <c r="C226" s="53" t="s">
        <v>814</v>
      </c>
      <c r="D226" s="157" t="s">
        <v>204</v>
      </c>
      <c r="E226" s="157" t="s">
        <v>204</v>
      </c>
      <c r="F226" s="157" t="s">
        <v>204</v>
      </c>
      <c r="G226" s="157" t="s">
        <v>204</v>
      </c>
      <c r="H226" s="157" t="s">
        <v>204</v>
      </c>
      <c r="I226" s="55"/>
      <c r="K226" s="71"/>
      <c r="L226" s="71"/>
      <c r="M226" s="71"/>
      <c r="N226" s="71"/>
      <c r="O226" s="71"/>
      <c r="P226" s="71"/>
      <c r="Q226" s="71"/>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c r="AS226" s="70"/>
    </row>
    <row r="227" spans="1:45" hidden="1" outlineLevel="1" x14ac:dyDescent="0.3">
      <c r="A227" s="51" t="s">
        <v>2759</v>
      </c>
      <c r="B227" s="51" t="s">
        <v>934</v>
      </c>
      <c r="C227" s="53" t="s">
        <v>815</v>
      </c>
      <c r="D227" s="384" t="s">
        <v>204</v>
      </c>
      <c r="E227" s="384" t="s">
        <v>204</v>
      </c>
      <c r="F227" s="384" t="s">
        <v>204</v>
      </c>
      <c r="G227" s="384" t="s">
        <v>204</v>
      </c>
      <c r="H227" s="384" t="s">
        <v>204</v>
      </c>
      <c r="I227" s="55"/>
      <c r="K227" s="71"/>
      <c r="L227" s="71"/>
      <c r="M227" s="71"/>
      <c r="N227" s="71"/>
      <c r="O227" s="71"/>
      <c r="P227" s="71"/>
      <c r="Q227" s="71"/>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0"/>
    </row>
    <row r="228" spans="1:45" hidden="1" outlineLevel="1" x14ac:dyDescent="0.3">
      <c r="A228" s="51" t="s">
        <v>2759</v>
      </c>
      <c r="B228" s="51" t="s">
        <v>940</v>
      </c>
      <c r="C228" s="53" t="s">
        <v>817</v>
      </c>
      <c r="D228" s="157">
        <v>4350</v>
      </c>
      <c r="E228" s="157">
        <v>4350</v>
      </c>
      <c r="F228" s="157">
        <v>4350</v>
      </c>
      <c r="G228" s="157">
        <v>4350</v>
      </c>
      <c r="H228" s="157">
        <v>4350</v>
      </c>
      <c r="I228" s="55" t="s">
        <v>2731</v>
      </c>
      <c r="K228" s="71"/>
      <c r="L228" s="71"/>
      <c r="M228" s="71"/>
      <c r="N228" s="71"/>
      <c r="O228" s="71"/>
      <c r="P228" s="71"/>
      <c r="Q228" s="71"/>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row>
    <row r="229" spans="1:45" hidden="1" outlineLevel="1" x14ac:dyDescent="0.3">
      <c r="A229" s="51" t="s">
        <v>2759</v>
      </c>
      <c r="B229" s="51" t="s">
        <v>940</v>
      </c>
      <c r="C229" s="53" t="s">
        <v>944</v>
      </c>
      <c r="D229" s="157">
        <v>23930</v>
      </c>
      <c r="E229" s="157">
        <v>22960</v>
      </c>
      <c r="F229" s="157">
        <v>22220</v>
      </c>
      <c r="G229" s="157">
        <v>22220</v>
      </c>
      <c r="H229" s="157">
        <v>22220</v>
      </c>
      <c r="I229" s="55" t="s">
        <v>2763</v>
      </c>
      <c r="K229" s="71"/>
      <c r="L229" s="71"/>
      <c r="M229" s="71"/>
      <c r="N229" s="71"/>
      <c r="O229" s="71"/>
      <c r="P229" s="71"/>
      <c r="Q229" s="71"/>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0"/>
    </row>
    <row r="230" spans="1:45" hidden="1" outlineLevel="1" x14ac:dyDescent="0.3">
      <c r="A230" s="51" t="s">
        <v>2759</v>
      </c>
      <c r="B230" s="51" t="s">
        <v>940</v>
      </c>
      <c r="C230" s="53" t="s">
        <v>821</v>
      </c>
      <c r="D230" s="384" t="s">
        <v>204</v>
      </c>
      <c r="E230" s="384" t="s">
        <v>204</v>
      </c>
      <c r="F230" s="384" t="s">
        <v>204</v>
      </c>
      <c r="G230" s="384" t="s">
        <v>204</v>
      </c>
      <c r="H230" s="384" t="s">
        <v>204</v>
      </c>
      <c r="I230" s="55"/>
      <c r="K230" s="71"/>
      <c r="L230" s="71"/>
      <c r="M230" s="71"/>
      <c r="N230" s="71"/>
      <c r="O230" s="71"/>
      <c r="P230" s="71"/>
      <c r="Q230" s="71"/>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row>
    <row r="231" spans="1:45" hidden="1" outlineLevel="1" x14ac:dyDescent="0.3">
      <c r="A231" s="51" t="s">
        <v>2759</v>
      </c>
      <c r="B231" s="51" t="s">
        <v>940</v>
      </c>
      <c r="C231" s="53" t="s">
        <v>823</v>
      </c>
      <c r="D231" s="384" t="s">
        <v>204</v>
      </c>
      <c r="E231" s="384" t="s">
        <v>204</v>
      </c>
      <c r="F231" s="384" t="s">
        <v>204</v>
      </c>
      <c r="G231" s="384" t="s">
        <v>204</v>
      </c>
      <c r="H231" s="384" t="s">
        <v>204</v>
      </c>
      <c r="I231" s="55"/>
      <c r="K231" s="71"/>
      <c r="L231" s="71"/>
      <c r="M231" s="71"/>
      <c r="N231" s="71"/>
      <c r="O231" s="71"/>
      <c r="P231" s="71"/>
      <c r="Q231" s="71"/>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0"/>
    </row>
    <row r="232" spans="1:45" hidden="1" outlineLevel="1" x14ac:dyDescent="0.3">
      <c r="A232" s="51" t="s">
        <v>2759</v>
      </c>
      <c r="B232" s="51" t="s">
        <v>940</v>
      </c>
      <c r="C232" s="53" t="s">
        <v>825</v>
      </c>
      <c r="D232" s="384" t="s">
        <v>204</v>
      </c>
      <c r="E232" s="384" t="s">
        <v>204</v>
      </c>
      <c r="F232" s="384" t="s">
        <v>204</v>
      </c>
      <c r="G232" s="384" t="s">
        <v>204</v>
      </c>
      <c r="H232" s="384" t="s">
        <v>204</v>
      </c>
      <c r="I232" s="55"/>
      <c r="K232" s="71"/>
      <c r="L232" s="71"/>
      <c r="M232" s="71"/>
      <c r="N232" s="71"/>
      <c r="O232" s="71"/>
      <c r="P232" s="71"/>
      <c r="Q232" s="71"/>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c r="AR232" s="70"/>
      <c r="AS232" s="70"/>
    </row>
    <row r="233" spans="1:45" hidden="1" outlineLevel="1" x14ac:dyDescent="0.3">
      <c r="A233" s="51" t="s">
        <v>2759</v>
      </c>
      <c r="B233" s="51" t="s">
        <v>940</v>
      </c>
      <c r="C233" s="53" t="s">
        <v>827</v>
      </c>
      <c r="D233" s="157">
        <v>1421000</v>
      </c>
      <c r="E233" s="157">
        <v>1457000</v>
      </c>
      <c r="F233" s="157">
        <v>1482000</v>
      </c>
      <c r="G233" s="157">
        <v>1491000</v>
      </c>
      <c r="H233" s="157">
        <v>1503000</v>
      </c>
      <c r="I233" s="55" t="s">
        <v>2764</v>
      </c>
      <c r="K233" s="71"/>
      <c r="L233" s="71"/>
      <c r="M233" s="71"/>
      <c r="N233" s="71"/>
      <c r="O233" s="71"/>
      <c r="P233" s="71"/>
      <c r="Q233" s="71"/>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0"/>
    </row>
    <row r="234" spans="1:45" hidden="1" outlineLevel="1" x14ac:dyDescent="0.3">
      <c r="A234" s="51" t="s">
        <v>2759</v>
      </c>
      <c r="B234" s="51" t="s">
        <v>940</v>
      </c>
      <c r="C234" s="53" t="s">
        <v>829</v>
      </c>
      <c r="D234" s="157">
        <v>126310</v>
      </c>
      <c r="E234" s="157">
        <v>130810</v>
      </c>
      <c r="F234" s="157">
        <v>133210</v>
      </c>
      <c r="G234" s="157">
        <v>135710</v>
      </c>
      <c r="H234" s="157">
        <v>138410</v>
      </c>
      <c r="I234" s="55" t="s">
        <v>2757</v>
      </c>
      <c r="K234" s="71"/>
      <c r="L234" s="71"/>
      <c r="M234" s="71"/>
      <c r="N234" s="71"/>
      <c r="O234" s="71"/>
      <c r="P234" s="71"/>
      <c r="Q234" s="71"/>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c r="AR234" s="70"/>
      <c r="AS234" s="70"/>
    </row>
    <row r="235" spans="1:45" hidden="1" outlineLevel="1" x14ac:dyDescent="0.3">
      <c r="A235" s="51" t="s">
        <v>2759</v>
      </c>
      <c r="B235" s="51" t="s">
        <v>940</v>
      </c>
      <c r="C235" s="53" t="s">
        <v>833</v>
      </c>
      <c r="D235" s="157">
        <v>14545</v>
      </c>
      <c r="E235" s="157">
        <v>13095</v>
      </c>
      <c r="F235" s="157">
        <v>13095</v>
      </c>
      <c r="G235" s="157">
        <v>13095</v>
      </c>
      <c r="H235" s="157">
        <v>13095</v>
      </c>
      <c r="I235" s="55" t="s">
        <v>2732</v>
      </c>
      <c r="K235" s="71"/>
      <c r="L235" s="71"/>
      <c r="M235" s="71"/>
      <c r="N235" s="71"/>
      <c r="O235" s="71"/>
      <c r="P235" s="71"/>
      <c r="Q235" s="71"/>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0"/>
    </row>
    <row r="236" spans="1:45" hidden="1" outlineLevel="1" x14ac:dyDescent="0.3">
      <c r="A236" s="51" t="s">
        <v>2759</v>
      </c>
      <c r="B236" s="51" t="s">
        <v>940</v>
      </c>
      <c r="C236" s="53" t="s">
        <v>836</v>
      </c>
      <c r="D236" s="157">
        <v>316985</v>
      </c>
      <c r="E236" s="157">
        <v>319740</v>
      </c>
      <c r="F236" s="157">
        <v>322936</v>
      </c>
      <c r="G236" s="157">
        <v>325640</v>
      </c>
      <c r="H236" s="157">
        <v>327546</v>
      </c>
      <c r="I236" s="55" t="s">
        <v>2733</v>
      </c>
      <c r="K236" s="71"/>
      <c r="L236" s="71"/>
      <c r="M236" s="71"/>
      <c r="N236" s="71"/>
      <c r="O236" s="71"/>
      <c r="P236" s="71"/>
      <c r="Q236" s="71"/>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row>
    <row r="237" spans="1:45" hidden="1" outlineLevel="1" x14ac:dyDescent="0.3">
      <c r="A237" s="51" t="s">
        <v>2759</v>
      </c>
      <c r="B237" s="51" t="s">
        <v>940</v>
      </c>
      <c r="C237" s="53" t="s">
        <v>837</v>
      </c>
      <c r="D237" s="384" t="s">
        <v>204</v>
      </c>
      <c r="E237" s="384" t="s">
        <v>204</v>
      </c>
      <c r="F237" s="384" t="s">
        <v>204</v>
      </c>
      <c r="G237" s="384" t="s">
        <v>204</v>
      </c>
      <c r="H237" s="384" t="s">
        <v>204</v>
      </c>
      <c r="I237" s="55"/>
      <c r="K237" s="71"/>
      <c r="L237" s="71"/>
      <c r="M237" s="71"/>
      <c r="N237" s="71"/>
      <c r="O237" s="71"/>
      <c r="P237" s="71"/>
      <c r="Q237" s="71"/>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0"/>
    </row>
    <row r="238" spans="1:45" hidden="1" outlineLevel="1" x14ac:dyDescent="0.3">
      <c r="A238" s="51" t="s">
        <v>2759</v>
      </c>
      <c r="B238" s="51" t="s">
        <v>940</v>
      </c>
      <c r="C238" s="53" t="s">
        <v>839</v>
      </c>
      <c r="D238" s="157">
        <v>0</v>
      </c>
      <c r="E238" s="157">
        <v>0</v>
      </c>
      <c r="F238" s="157">
        <v>0</v>
      </c>
      <c r="G238" s="157">
        <v>0</v>
      </c>
      <c r="H238" s="157">
        <v>0</v>
      </c>
      <c r="I238" s="55" t="s">
        <v>2758</v>
      </c>
      <c r="K238" s="71"/>
      <c r="L238" s="71"/>
      <c r="M238" s="71"/>
      <c r="N238" s="71"/>
      <c r="O238" s="71"/>
      <c r="P238" s="71"/>
      <c r="Q238" s="71"/>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c r="AR238" s="70"/>
      <c r="AS238" s="70"/>
    </row>
    <row r="239" spans="1:45" hidden="1" outlineLevel="1" x14ac:dyDescent="0.3">
      <c r="A239" s="51" t="s">
        <v>2759</v>
      </c>
      <c r="B239" s="51" t="s">
        <v>940</v>
      </c>
      <c r="C239" s="53" t="s">
        <v>840</v>
      </c>
      <c r="D239" s="384" t="s">
        <v>204</v>
      </c>
      <c r="E239" s="384" t="s">
        <v>204</v>
      </c>
      <c r="F239" s="384" t="s">
        <v>204</v>
      </c>
      <c r="G239" s="384" t="s">
        <v>204</v>
      </c>
      <c r="H239" s="384" t="s">
        <v>204</v>
      </c>
      <c r="I239" s="55"/>
      <c r="K239" s="71"/>
      <c r="L239" s="71"/>
      <c r="M239" s="71"/>
      <c r="N239" s="71"/>
      <c r="O239" s="71"/>
      <c r="P239" s="71"/>
      <c r="Q239" s="71"/>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row>
    <row r="240" spans="1:45" collapsed="1" x14ac:dyDescent="0.3">
      <c r="A240" s="51"/>
      <c r="B240" s="51"/>
      <c r="C240" s="531" t="s">
        <v>992</v>
      </c>
      <c r="D240" s="157"/>
      <c r="E240" s="157"/>
      <c r="F240" s="157"/>
      <c r="G240" s="157"/>
      <c r="H240" s="157"/>
      <c r="I240" s="55"/>
      <c r="K240" s="181"/>
      <c r="L240" s="181"/>
      <c r="M240" s="71"/>
      <c r="N240" s="71"/>
      <c r="O240" s="71"/>
      <c r="P240" s="71"/>
      <c r="Q240" s="71"/>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row>
    <row r="241" spans="1:45" collapsed="1" x14ac:dyDescent="0.3">
      <c r="A241" s="53" t="s">
        <v>2765</v>
      </c>
      <c r="B241" s="51"/>
      <c r="C241" s="52" t="s">
        <v>2693</v>
      </c>
      <c r="D241" s="158">
        <v>2245573.3333333335</v>
      </c>
      <c r="E241" s="158">
        <v>2358689.9333333336</v>
      </c>
      <c r="F241" s="158">
        <v>2412525.7333333334</v>
      </c>
      <c r="G241" s="158">
        <v>2443433.7333333334</v>
      </c>
      <c r="H241" s="158">
        <v>2466357.6666666665</v>
      </c>
      <c r="I241" s="55"/>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0"/>
    </row>
    <row r="242" spans="1:45" x14ac:dyDescent="0.3">
      <c r="A242" s="53" t="s">
        <v>5</v>
      </c>
      <c r="B242" s="53" t="s">
        <v>847</v>
      </c>
      <c r="C242" s="53" t="s">
        <v>193</v>
      </c>
      <c r="D242" s="54">
        <v>2025</v>
      </c>
      <c r="E242" s="54">
        <v>2030</v>
      </c>
      <c r="F242" s="54">
        <v>2035</v>
      </c>
      <c r="G242" s="54">
        <v>2040</v>
      </c>
      <c r="H242" s="54">
        <v>2045</v>
      </c>
      <c r="I242" s="54" t="s">
        <v>153</v>
      </c>
      <c r="K242" s="70"/>
      <c r="L242" s="70"/>
      <c r="M242" s="182"/>
      <c r="N242" s="182"/>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row>
    <row r="243" spans="1:45" hidden="1" outlineLevel="1" x14ac:dyDescent="0.3">
      <c r="A243" s="51" t="s">
        <v>2765</v>
      </c>
      <c r="B243" s="51" t="s">
        <v>855</v>
      </c>
      <c r="C243" s="53" t="s">
        <v>747</v>
      </c>
      <c r="D243" s="384" t="s">
        <v>204</v>
      </c>
      <c r="E243" s="384" t="s">
        <v>204</v>
      </c>
      <c r="F243" s="384" t="s">
        <v>204</v>
      </c>
      <c r="G243" s="384" t="s">
        <v>204</v>
      </c>
      <c r="H243" s="384" t="s">
        <v>204</v>
      </c>
      <c r="I243" s="157"/>
      <c r="K243" s="71"/>
      <c r="L243" s="71"/>
      <c r="M243" s="182"/>
      <c r="N243" s="182"/>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0"/>
    </row>
    <row r="244" spans="1:45" hidden="1" outlineLevel="1" x14ac:dyDescent="0.3">
      <c r="A244" s="51" t="s">
        <v>2765</v>
      </c>
      <c r="B244" s="51" t="s">
        <v>855</v>
      </c>
      <c r="C244" s="53" t="s">
        <v>751</v>
      </c>
      <c r="D244" s="157">
        <v>3250</v>
      </c>
      <c r="E244" s="157">
        <v>3250</v>
      </c>
      <c r="F244" s="157">
        <v>3250</v>
      </c>
      <c r="G244" s="157">
        <v>3250</v>
      </c>
      <c r="H244" s="157">
        <v>3250</v>
      </c>
      <c r="I244" s="157" t="s">
        <v>2696</v>
      </c>
      <c r="K244" s="71"/>
      <c r="L244" s="71"/>
      <c r="M244" s="182"/>
      <c r="N244" s="182"/>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row>
    <row r="245" spans="1:45" hidden="1" outlineLevel="1" x14ac:dyDescent="0.3">
      <c r="A245" s="51" t="s">
        <v>2765</v>
      </c>
      <c r="B245" s="51" t="s">
        <v>855</v>
      </c>
      <c r="C245" s="53" t="s">
        <v>755</v>
      </c>
      <c r="D245" s="157">
        <v>13000</v>
      </c>
      <c r="E245" s="157">
        <v>13300</v>
      </c>
      <c r="F245" s="157">
        <v>13300</v>
      </c>
      <c r="G245" s="157">
        <v>13300</v>
      </c>
      <c r="H245" s="157">
        <v>13300</v>
      </c>
      <c r="I245" s="55" t="s">
        <v>2760</v>
      </c>
      <c r="K245" s="71"/>
      <c r="L245" s="71"/>
      <c r="M245" s="71"/>
      <c r="N245" s="71"/>
      <c r="O245" s="71"/>
      <c r="P245" s="71"/>
      <c r="Q245" s="71"/>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0"/>
    </row>
    <row r="246" spans="1:45" hidden="1" outlineLevel="1" x14ac:dyDescent="0.3">
      <c r="A246" s="51" t="s">
        <v>2765</v>
      </c>
      <c r="B246" s="51" t="s">
        <v>855</v>
      </c>
      <c r="C246" s="53" t="s">
        <v>758</v>
      </c>
      <c r="D246" s="157">
        <v>2832</v>
      </c>
      <c r="E246" s="157">
        <v>2832</v>
      </c>
      <c r="F246" s="157">
        <v>2832</v>
      </c>
      <c r="G246" s="157">
        <v>2832</v>
      </c>
      <c r="H246" s="157">
        <v>2832</v>
      </c>
      <c r="I246" s="55" t="s">
        <v>2699</v>
      </c>
      <c r="K246" s="71"/>
      <c r="L246" s="71"/>
      <c r="M246" s="71"/>
      <c r="N246" s="71"/>
      <c r="O246" s="71"/>
      <c r="P246" s="71"/>
      <c r="Q246" s="71"/>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row>
    <row r="247" spans="1:45" hidden="1" outlineLevel="1" x14ac:dyDescent="0.3">
      <c r="A247" s="51" t="s">
        <v>2765</v>
      </c>
      <c r="B247" s="51" t="s">
        <v>855</v>
      </c>
      <c r="C247" s="53" t="s">
        <v>761</v>
      </c>
      <c r="D247" s="157">
        <v>2000</v>
      </c>
      <c r="E247" s="157">
        <v>2000</v>
      </c>
      <c r="F247" s="157">
        <v>2000</v>
      </c>
      <c r="G247" s="157">
        <v>2000</v>
      </c>
      <c r="H247" s="157">
        <v>2000</v>
      </c>
      <c r="I247" s="55" t="s">
        <v>2748</v>
      </c>
      <c r="K247" s="71"/>
      <c r="L247" s="71"/>
      <c r="M247" s="71"/>
      <c r="N247" s="71"/>
      <c r="O247" s="71"/>
      <c r="P247" s="71"/>
      <c r="Q247" s="71"/>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0"/>
    </row>
    <row r="248" spans="1:45" hidden="1" outlineLevel="1" x14ac:dyDescent="0.3">
      <c r="A248" s="51" t="s">
        <v>2765</v>
      </c>
      <c r="B248" s="51" t="s">
        <v>855</v>
      </c>
      <c r="C248" s="53" t="s">
        <v>763</v>
      </c>
      <c r="D248" s="157">
        <v>2400</v>
      </c>
      <c r="E248" s="157">
        <v>2400</v>
      </c>
      <c r="F248" s="157">
        <v>2400</v>
      </c>
      <c r="G248" s="157">
        <v>2400</v>
      </c>
      <c r="H248" s="157">
        <v>2400</v>
      </c>
      <c r="I248" s="55" t="s">
        <v>2749</v>
      </c>
      <c r="K248" s="71"/>
      <c r="L248" s="71"/>
      <c r="M248" s="71"/>
      <c r="N248" s="71"/>
      <c r="O248" s="71"/>
      <c r="P248" s="71"/>
      <c r="Q248" s="71"/>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c r="AR248" s="70"/>
      <c r="AS248" s="70"/>
    </row>
    <row r="249" spans="1:45" hidden="1" outlineLevel="1" x14ac:dyDescent="0.3">
      <c r="A249" s="51" t="s">
        <v>2765</v>
      </c>
      <c r="B249" s="51" t="s">
        <v>855</v>
      </c>
      <c r="C249" s="53" t="s">
        <v>765</v>
      </c>
      <c r="D249" s="157">
        <v>0</v>
      </c>
      <c r="E249" s="157">
        <v>0</v>
      </c>
      <c r="F249" s="157">
        <v>0</v>
      </c>
      <c r="G249" s="157">
        <v>0</v>
      </c>
      <c r="H249" s="157">
        <v>0</v>
      </c>
      <c r="I249" s="55" t="s">
        <v>2735</v>
      </c>
      <c r="K249" s="71"/>
      <c r="L249" s="71"/>
      <c r="M249" s="71"/>
      <c r="N249" s="71"/>
      <c r="O249" s="71"/>
      <c r="P249" s="71"/>
      <c r="Q249" s="71"/>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row>
    <row r="250" spans="1:45" hidden="1" outlineLevel="1" x14ac:dyDescent="0.3">
      <c r="A250" s="51" t="s">
        <v>2765</v>
      </c>
      <c r="B250" s="51" t="s">
        <v>855</v>
      </c>
      <c r="C250" s="53" t="s">
        <v>768</v>
      </c>
      <c r="D250" s="384" t="s">
        <v>204</v>
      </c>
      <c r="E250" s="384" t="s">
        <v>204</v>
      </c>
      <c r="F250" s="384" t="s">
        <v>204</v>
      </c>
      <c r="G250" s="384" t="s">
        <v>204</v>
      </c>
      <c r="H250" s="384" t="s">
        <v>204</v>
      </c>
      <c r="I250" s="55"/>
      <c r="K250" s="71"/>
      <c r="L250" s="71"/>
      <c r="M250" s="71"/>
      <c r="N250" s="71"/>
      <c r="O250" s="71"/>
      <c r="P250" s="71"/>
      <c r="Q250" s="71"/>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c r="AR250" s="70"/>
      <c r="AS250" s="70"/>
    </row>
    <row r="251" spans="1:45" hidden="1" outlineLevel="1" x14ac:dyDescent="0.3">
      <c r="A251" s="51" t="s">
        <v>2765</v>
      </c>
      <c r="B251" s="51" t="s">
        <v>855</v>
      </c>
      <c r="C251" s="53" t="s">
        <v>771</v>
      </c>
      <c r="D251" s="157">
        <v>2000</v>
      </c>
      <c r="E251" s="157">
        <v>4000</v>
      </c>
      <c r="F251" s="157">
        <v>4000</v>
      </c>
      <c r="G251" s="157">
        <v>5000</v>
      </c>
      <c r="H251" s="157">
        <v>5000</v>
      </c>
      <c r="I251" s="55" t="s">
        <v>2736</v>
      </c>
      <c r="K251" s="71"/>
      <c r="L251" s="71"/>
      <c r="M251" s="71"/>
      <c r="N251" s="71"/>
      <c r="O251" s="71"/>
      <c r="P251" s="71"/>
      <c r="Q251" s="71"/>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c r="AR251" s="70"/>
      <c r="AS251" s="70"/>
    </row>
    <row r="252" spans="1:45" hidden="1" outlineLevel="1" x14ac:dyDescent="0.3">
      <c r="A252" s="51" t="s">
        <v>2765</v>
      </c>
      <c r="B252" s="51" t="s">
        <v>855</v>
      </c>
      <c r="C252" s="53" t="s">
        <v>772</v>
      </c>
      <c r="D252" s="157">
        <v>46070</v>
      </c>
      <c r="E252" s="157">
        <v>51070</v>
      </c>
      <c r="F252" s="157">
        <v>61070</v>
      </c>
      <c r="G252" s="157">
        <v>61070</v>
      </c>
      <c r="H252" s="157">
        <v>61070</v>
      </c>
      <c r="I252" s="55" t="s">
        <v>2750</v>
      </c>
      <c r="K252" s="71"/>
      <c r="L252" s="71"/>
      <c r="M252" s="71"/>
      <c r="N252" s="71"/>
      <c r="O252" s="71"/>
      <c r="P252" s="71"/>
      <c r="Q252" s="71"/>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c r="AR252" s="70"/>
      <c r="AS252" s="70"/>
    </row>
    <row r="253" spans="1:45" hidden="1" outlineLevel="1" x14ac:dyDescent="0.3">
      <c r="A253" s="51" t="s">
        <v>2765</v>
      </c>
      <c r="B253" s="51" t="s">
        <v>855</v>
      </c>
      <c r="C253" s="53" t="s">
        <v>774</v>
      </c>
      <c r="D253" s="157">
        <v>16130</v>
      </c>
      <c r="E253" s="157">
        <v>16130</v>
      </c>
      <c r="F253" s="157">
        <v>16130</v>
      </c>
      <c r="G253" s="157">
        <v>16130</v>
      </c>
      <c r="H253" s="157">
        <v>16130</v>
      </c>
      <c r="I253" s="55" t="s">
        <v>2751</v>
      </c>
      <c r="K253" s="71"/>
      <c r="L253" s="71"/>
      <c r="M253" s="71"/>
      <c r="N253" s="71"/>
      <c r="O253" s="71"/>
      <c r="P253" s="71"/>
      <c r="Q253" s="71"/>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c r="AR253" s="70"/>
      <c r="AS253" s="70"/>
    </row>
    <row r="254" spans="1:45" hidden="1" outlineLevel="1" x14ac:dyDescent="0.3">
      <c r="A254" s="51" t="s">
        <v>2765</v>
      </c>
      <c r="B254" s="51" t="s">
        <v>855</v>
      </c>
      <c r="C254" s="53" t="s">
        <v>775</v>
      </c>
      <c r="D254" s="384" t="s">
        <v>204</v>
      </c>
      <c r="E254" s="384" t="s">
        <v>204</v>
      </c>
      <c r="F254" s="384" t="s">
        <v>204</v>
      </c>
      <c r="G254" s="384" t="s">
        <v>204</v>
      </c>
      <c r="H254" s="384" t="s">
        <v>204</v>
      </c>
      <c r="I254" s="55"/>
      <c r="K254" s="71"/>
      <c r="L254" s="71"/>
      <c r="M254" s="71"/>
      <c r="N254" s="71"/>
      <c r="O254" s="71"/>
      <c r="P254" s="71"/>
      <c r="Q254" s="71"/>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c r="AR254" s="70"/>
      <c r="AS254" s="70"/>
    </row>
    <row r="255" spans="1:45" hidden="1" outlineLevel="1" x14ac:dyDescent="0.3">
      <c r="A255" s="51" t="s">
        <v>2765</v>
      </c>
      <c r="B255" s="51" t="s">
        <v>855</v>
      </c>
      <c r="C255" s="53" t="s">
        <v>779</v>
      </c>
      <c r="D255" s="384" t="s">
        <v>204</v>
      </c>
      <c r="E255" s="384" t="s">
        <v>204</v>
      </c>
      <c r="F255" s="384" t="s">
        <v>204</v>
      </c>
      <c r="G255" s="384" t="s">
        <v>204</v>
      </c>
      <c r="H255" s="384" t="s">
        <v>204</v>
      </c>
      <c r="I255" s="55"/>
      <c r="K255" s="71"/>
      <c r="L255" s="71"/>
      <c r="M255" s="71"/>
      <c r="N255" s="71"/>
      <c r="O255" s="71"/>
      <c r="P255" s="71"/>
      <c r="Q255" s="71"/>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c r="AR255" s="70"/>
      <c r="AS255" s="70"/>
    </row>
    <row r="256" spans="1:45" hidden="1" outlineLevel="1" x14ac:dyDescent="0.3">
      <c r="A256" s="51" t="s">
        <v>2765</v>
      </c>
      <c r="B256" s="51" t="s">
        <v>894</v>
      </c>
      <c r="C256" s="53" t="s">
        <v>781</v>
      </c>
      <c r="D256" s="384" t="s">
        <v>204</v>
      </c>
      <c r="E256" s="384" t="s">
        <v>204</v>
      </c>
      <c r="F256" s="384" t="s">
        <v>204</v>
      </c>
      <c r="G256" s="384" t="s">
        <v>204</v>
      </c>
      <c r="H256" s="384" t="s">
        <v>204</v>
      </c>
      <c r="I256" s="55"/>
      <c r="K256" s="71"/>
      <c r="L256" s="71"/>
      <c r="M256" s="71"/>
      <c r="N256" s="71"/>
      <c r="O256" s="71"/>
      <c r="P256" s="71"/>
      <c r="Q256" s="71"/>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c r="AR256" s="70"/>
      <c r="AS256" s="70"/>
    </row>
    <row r="257" spans="1:45" hidden="1" outlineLevel="1" x14ac:dyDescent="0.3">
      <c r="A257" s="51" t="s">
        <v>2765</v>
      </c>
      <c r="B257" s="51" t="s">
        <v>894</v>
      </c>
      <c r="C257" s="53" t="s">
        <v>783</v>
      </c>
      <c r="D257" s="157">
        <v>0</v>
      </c>
      <c r="E257" s="157">
        <v>0</v>
      </c>
      <c r="F257" s="157">
        <v>0</v>
      </c>
      <c r="G257" s="157">
        <v>0</v>
      </c>
      <c r="H257" s="157">
        <v>0</v>
      </c>
      <c r="I257" s="55" t="s">
        <v>2706</v>
      </c>
      <c r="K257" s="71"/>
      <c r="L257" s="71"/>
      <c r="M257" s="71"/>
      <c r="N257" s="71"/>
      <c r="O257" s="71"/>
      <c r="P257" s="71"/>
      <c r="Q257" s="71"/>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c r="AR257" s="70"/>
      <c r="AS257" s="70"/>
    </row>
    <row r="258" spans="1:45" hidden="1" outlineLevel="1" x14ac:dyDescent="0.3">
      <c r="A258" s="51" t="s">
        <v>2765</v>
      </c>
      <c r="B258" s="51" t="s">
        <v>894</v>
      </c>
      <c r="C258" s="53" t="s">
        <v>785</v>
      </c>
      <c r="D258" s="157">
        <v>138090</v>
      </c>
      <c r="E258" s="157">
        <v>143630</v>
      </c>
      <c r="F258" s="157">
        <v>149100</v>
      </c>
      <c r="G258" s="157">
        <v>154490</v>
      </c>
      <c r="H258" s="157">
        <v>159820</v>
      </c>
      <c r="I258" s="55" t="s">
        <v>2737</v>
      </c>
      <c r="K258" s="71"/>
      <c r="L258" s="71"/>
      <c r="M258" s="71"/>
      <c r="N258" s="71"/>
      <c r="O258" s="71"/>
      <c r="P258" s="71"/>
      <c r="Q258" s="71"/>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c r="AR258" s="70"/>
      <c r="AS258" s="70"/>
    </row>
    <row r="259" spans="1:45" hidden="1" outlineLevel="1" x14ac:dyDescent="0.3">
      <c r="A259" s="51" t="s">
        <v>2765</v>
      </c>
      <c r="B259" s="51" t="s">
        <v>894</v>
      </c>
      <c r="C259" s="53" t="s">
        <v>787</v>
      </c>
      <c r="D259" s="384" t="s">
        <v>204</v>
      </c>
      <c r="E259" s="384" t="s">
        <v>204</v>
      </c>
      <c r="F259" s="384" t="s">
        <v>204</v>
      </c>
      <c r="G259" s="384" t="s">
        <v>204</v>
      </c>
      <c r="H259" s="384" t="s">
        <v>204</v>
      </c>
      <c r="I259" s="55"/>
      <c r="K259" s="71"/>
      <c r="L259" s="71"/>
      <c r="M259" s="71"/>
      <c r="N259" s="71"/>
      <c r="O259" s="71"/>
      <c r="P259" s="71"/>
      <c r="Q259" s="71"/>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c r="AR259" s="70"/>
      <c r="AS259" s="70"/>
    </row>
    <row r="260" spans="1:45" hidden="1" outlineLevel="1" x14ac:dyDescent="0.3">
      <c r="A260" s="51" t="s">
        <v>2765</v>
      </c>
      <c r="B260" s="51" t="s">
        <v>894</v>
      </c>
      <c r="C260" s="53" t="s">
        <v>788</v>
      </c>
      <c r="D260" s="384" t="s">
        <v>204</v>
      </c>
      <c r="E260" s="384" t="s">
        <v>204</v>
      </c>
      <c r="F260" s="384" t="s">
        <v>204</v>
      </c>
      <c r="G260" s="384" t="s">
        <v>204</v>
      </c>
      <c r="H260" s="384" t="s">
        <v>204</v>
      </c>
      <c r="I260" s="55"/>
      <c r="K260" s="71"/>
      <c r="L260" s="71"/>
      <c r="M260" s="71"/>
      <c r="N260" s="71"/>
      <c r="O260" s="71"/>
      <c r="P260" s="71"/>
      <c r="Q260" s="71"/>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row>
    <row r="261" spans="1:45" hidden="1" outlineLevel="1" x14ac:dyDescent="0.3">
      <c r="A261" s="51" t="s">
        <v>2765</v>
      </c>
      <c r="B261" s="51" t="s">
        <v>894</v>
      </c>
      <c r="C261" s="53" t="s">
        <v>789</v>
      </c>
      <c r="D261" s="384" t="s">
        <v>204</v>
      </c>
      <c r="E261" s="384" t="s">
        <v>204</v>
      </c>
      <c r="F261" s="384" t="s">
        <v>204</v>
      </c>
      <c r="G261" s="384" t="s">
        <v>204</v>
      </c>
      <c r="H261" s="384" t="s">
        <v>204</v>
      </c>
      <c r="I261" s="55"/>
      <c r="K261" s="71"/>
      <c r="L261" s="71"/>
      <c r="M261" s="71"/>
      <c r="N261" s="71"/>
      <c r="O261" s="71"/>
      <c r="P261" s="71"/>
      <c r="Q261" s="71"/>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row>
    <row r="262" spans="1:45" hidden="1" outlineLevel="1" x14ac:dyDescent="0.3">
      <c r="A262" s="51" t="s">
        <v>2765</v>
      </c>
      <c r="B262" s="51" t="s">
        <v>894</v>
      </c>
      <c r="C262" s="53" t="s">
        <v>790</v>
      </c>
      <c r="D262" s="157">
        <v>4780</v>
      </c>
      <c r="E262" s="157">
        <v>4780</v>
      </c>
      <c r="F262" s="157">
        <v>4780</v>
      </c>
      <c r="G262" s="157">
        <v>4900</v>
      </c>
      <c r="H262" s="157">
        <v>4900</v>
      </c>
      <c r="I262" s="55" t="s">
        <v>2738</v>
      </c>
      <c r="K262" s="71"/>
      <c r="L262" s="71"/>
      <c r="M262" s="71"/>
      <c r="N262" s="71"/>
      <c r="O262" s="71"/>
      <c r="P262" s="71"/>
      <c r="Q262" s="71"/>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row>
    <row r="263" spans="1:45" hidden="1" outlineLevel="1" x14ac:dyDescent="0.3">
      <c r="A263" s="51" t="s">
        <v>2765</v>
      </c>
      <c r="B263" s="51" t="s">
        <v>894</v>
      </c>
      <c r="C263" s="53" t="s">
        <v>793</v>
      </c>
      <c r="D263" s="384" t="s">
        <v>204</v>
      </c>
      <c r="E263" s="384" t="s">
        <v>204</v>
      </c>
      <c r="F263" s="384" t="s">
        <v>204</v>
      </c>
      <c r="G263" s="384" t="s">
        <v>204</v>
      </c>
      <c r="H263" s="384" t="s">
        <v>204</v>
      </c>
      <c r="I263" s="55"/>
      <c r="K263" s="71"/>
      <c r="L263" s="71"/>
      <c r="M263" s="71"/>
      <c r="N263" s="71"/>
      <c r="O263" s="71"/>
      <c r="P263" s="71"/>
      <c r="Q263" s="71"/>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row>
    <row r="264" spans="1:45" hidden="1" outlineLevel="1" x14ac:dyDescent="0.3">
      <c r="A264" s="51" t="s">
        <v>2765</v>
      </c>
      <c r="B264" s="51" t="s">
        <v>894</v>
      </c>
      <c r="C264" s="53" t="s">
        <v>795</v>
      </c>
      <c r="D264" s="384" t="s">
        <v>204</v>
      </c>
      <c r="E264" s="384" t="s">
        <v>204</v>
      </c>
      <c r="F264" s="384" t="s">
        <v>204</v>
      </c>
      <c r="G264" s="384" t="s">
        <v>204</v>
      </c>
      <c r="H264" s="384" t="s">
        <v>204</v>
      </c>
      <c r="I264" s="55"/>
      <c r="K264" s="71"/>
      <c r="L264" s="71"/>
      <c r="M264" s="71"/>
      <c r="N264" s="71"/>
      <c r="O264" s="71"/>
      <c r="P264" s="71"/>
      <c r="Q264" s="71"/>
      <c r="R264" s="184"/>
      <c r="S264" s="184"/>
      <c r="T264" s="184"/>
      <c r="U264" s="184"/>
      <c r="V264" s="184"/>
      <c r="W264" s="184"/>
      <c r="X264" s="184"/>
      <c r="Y264" s="184"/>
      <c r="Z264" s="184"/>
      <c r="AA264" s="70"/>
      <c r="AB264" s="70"/>
      <c r="AC264" s="70"/>
      <c r="AD264" s="70"/>
      <c r="AE264" s="70"/>
      <c r="AF264" s="70"/>
      <c r="AG264" s="70"/>
      <c r="AH264" s="70"/>
      <c r="AI264" s="70"/>
      <c r="AJ264" s="70"/>
      <c r="AK264" s="70"/>
      <c r="AL264" s="70"/>
      <c r="AM264" s="70"/>
      <c r="AN264" s="70"/>
      <c r="AO264" s="70"/>
      <c r="AP264" s="70"/>
      <c r="AQ264" s="70"/>
      <c r="AR264" s="70"/>
      <c r="AS264" s="70"/>
    </row>
    <row r="265" spans="1:45" hidden="1" outlineLevel="1" x14ac:dyDescent="0.3">
      <c r="A265" s="51" t="s">
        <v>2765</v>
      </c>
      <c r="B265" s="51" t="s">
        <v>894</v>
      </c>
      <c r="C265" s="53" t="s">
        <v>797</v>
      </c>
      <c r="D265" s="157">
        <v>9677.4</v>
      </c>
      <c r="E265" s="157">
        <v>11128.8</v>
      </c>
      <c r="F265" s="157">
        <v>12580.8</v>
      </c>
      <c r="G265" s="157">
        <v>14032.2</v>
      </c>
      <c r="H265" s="157">
        <v>15483.6</v>
      </c>
      <c r="I265" s="55" t="s">
        <v>2739</v>
      </c>
      <c r="K265" s="71"/>
      <c r="L265" s="71"/>
      <c r="M265" s="71"/>
      <c r="N265" s="71"/>
      <c r="O265" s="71"/>
      <c r="P265" s="71"/>
      <c r="Q265" s="71"/>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row>
    <row r="266" spans="1:45" hidden="1" outlineLevel="1" x14ac:dyDescent="0.3">
      <c r="A266" s="51" t="s">
        <v>2765</v>
      </c>
      <c r="B266" s="51" t="s">
        <v>915</v>
      </c>
      <c r="C266" s="53" t="s">
        <v>799</v>
      </c>
      <c r="D266" s="157">
        <v>17533.333333333332</v>
      </c>
      <c r="E266" s="157">
        <v>27183.333333333332</v>
      </c>
      <c r="F266" s="157">
        <v>29033.333333333332</v>
      </c>
      <c r="G266" s="157">
        <v>28883.333333333332</v>
      </c>
      <c r="H266" s="157">
        <v>29216.666666666668</v>
      </c>
      <c r="I266" s="55" t="s">
        <v>2766</v>
      </c>
      <c r="K266" s="71"/>
      <c r="L266" s="71"/>
      <c r="M266" s="71"/>
      <c r="N266" s="71"/>
      <c r="O266" s="71"/>
      <c r="P266" s="71"/>
      <c r="Q266" s="71"/>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c r="AR266" s="70"/>
      <c r="AS266" s="70"/>
    </row>
    <row r="267" spans="1:45" hidden="1" outlineLevel="1" x14ac:dyDescent="0.3">
      <c r="A267" s="51" t="s">
        <v>2765</v>
      </c>
      <c r="B267" s="51" t="s">
        <v>915</v>
      </c>
      <c r="C267" s="53" t="s">
        <v>801</v>
      </c>
      <c r="D267" s="157">
        <v>20200</v>
      </c>
      <c r="E267" s="157">
        <v>20200</v>
      </c>
      <c r="F267" s="157">
        <v>20100</v>
      </c>
      <c r="G267" s="157">
        <v>19900</v>
      </c>
      <c r="H267" s="157">
        <v>18900</v>
      </c>
      <c r="I267" s="55" t="s">
        <v>2741</v>
      </c>
      <c r="K267" s="71"/>
      <c r="L267" s="71"/>
      <c r="M267" s="71"/>
      <c r="N267" s="71"/>
      <c r="O267" s="71"/>
      <c r="P267" s="71"/>
      <c r="Q267" s="71"/>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row>
    <row r="268" spans="1:45" hidden="1" outlineLevel="1" x14ac:dyDescent="0.3">
      <c r="A268" s="51" t="s">
        <v>2765</v>
      </c>
      <c r="B268" s="51" t="s">
        <v>915</v>
      </c>
      <c r="C268" s="53" t="s">
        <v>804</v>
      </c>
      <c r="D268" s="157">
        <v>0</v>
      </c>
      <c r="E268" s="157">
        <v>0</v>
      </c>
      <c r="F268" s="157">
        <v>0</v>
      </c>
      <c r="G268" s="157">
        <v>0</v>
      </c>
      <c r="H268" s="157">
        <v>0</v>
      </c>
      <c r="I268" s="55" t="s">
        <v>2762</v>
      </c>
      <c r="K268" s="71"/>
      <c r="L268" s="71"/>
      <c r="M268" s="71"/>
      <c r="N268" s="71"/>
      <c r="O268" s="71"/>
      <c r="P268" s="71"/>
      <c r="Q268" s="71"/>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row>
    <row r="269" spans="1:45" hidden="1" outlineLevel="1" x14ac:dyDescent="0.3">
      <c r="A269" s="51" t="s">
        <v>2765</v>
      </c>
      <c r="B269" s="51" t="s">
        <v>915</v>
      </c>
      <c r="C269" s="53" t="s">
        <v>806</v>
      </c>
      <c r="D269" s="157">
        <v>0</v>
      </c>
      <c r="E269" s="157">
        <v>0</v>
      </c>
      <c r="F269" s="157">
        <v>0</v>
      </c>
      <c r="G269" s="157">
        <v>0</v>
      </c>
      <c r="H269" s="157">
        <v>0</v>
      </c>
      <c r="I269" s="55"/>
      <c r="K269" s="71"/>
      <c r="L269" s="71"/>
      <c r="M269" s="71"/>
      <c r="N269" s="71"/>
      <c r="O269" s="71"/>
      <c r="P269" s="71"/>
      <c r="Q269" s="71"/>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row>
    <row r="270" spans="1:45" hidden="1" outlineLevel="1" x14ac:dyDescent="0.3">
      <c r="A270" s="51" t="s">
        <v>2765</v>
      </c>
      <c r="B270" s="51" t="s">
        <v>915</v>
      </c>
      <c r="C270" s="53" t="s">
        <v>808</v>
      </c>
      <c r="D270" s="157">
        <v>1919</v>
      </c>
      <c r="E270" s="157">
        <v>2001</v>
      </c>
      <c r="F270" s="157">
        <v>2822</v>
      </c>
      <c r="G270" s="157">
        <v>4058</v>
      </c>
      <c r="H270" s="157">
        <v>4058</v>
      </c>
      <c r="I270" s="55" t="s">
        <v>2754</v>
      </c>
      <c r="K270" s="71"/>
      <c r="L270" s="71"/>
      <c r="M270" s="71"/>
      <c r="N270" s="71"/>
      <c r="O270" s="71"/>
      <c r="P270" s="71"/>
      <c r="Q270" s="71"/>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row>
    <row r="271" spans="1:45" hidden="1" outlineLevel="1" x14ac:dyDescent="0.3">
      <c r="A271" s="51" t="s">
        <v>2765</v>
      </c>
      <c r="B271" s="51" t="s">
        <v>915</v>
      </c>
      <c r="C271" s="53" t="s">
        <v>811</v>
      </c>
      <c r="D271" s="157">
        <v>110040</v>
      </c>
      <c r="E271" s="157">
        <v>128904</v>
      </c>
      <c r="F271" s="157">
        <v>128118</v>
      </c>
      <c r="G271" s="157">
        <v>127332</v>
      </c>
      <c r="H271" s="157">
        <v>127332</v>
      </c>
      <c r="I271" s="55" t="s">
        <v>2730</v>
      </c>
      <c r="K271" s="71"/>
      <c r="L271" s="71"/>
      <c r="M271" s="71"/>
      <c r="N271" s="71"/>
      <c r="O271" s="71"/>
      <c r="P271" s="71"/>
      <c r="Q271" s="71"/>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row>
    <row r="272" spans="1:45" hidden="1" outlineLevel="1" x14ac:dyDescent="0.3">
      <c r="A272" s="51" t="s">
        <v>2765</v>
      </c>
      <c r="B272" s="51" t="s">
        <v>934</v>
      </c>
      <c r="C272" s="53" t="s">
        <v>814</v>
      </c>
      <c r="D272" s="157" t="s">
        <v>204</v>
      </c>
      <c r="E272" s="157" t="s">
        <v>204</v>
      </c>
      <c r="F272" s="157" t="s">
        <v>204</v>
      </c>
      <c r="G272" s="157" t="s">
        <v>204</v>
      </c>
      <c r="H272" s="157" t="s">
        <v>204</v>
      </c>
      <c r="I272" s="55"/>
      <c r="K272" s="71"/>
      <c r="L272" s="71"/>
      <c r="M272" s="71"/>
      <c r="N272" s="71"/>
      <c r="O272" s="71"/>
      <c r="P272" s="71"/>
      <c r="Q272" s="71"/>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row>
    <row r="273" spans="1:45" hidden="1" outlineLevel="1" x14ac:dyDescent="0.3">
      <c r="A273" s="51" t="s">
        <v>2765</v>
      </c>
      <c r="B273" s="51" t="s">
        <v>934</v>
      </c>
      <c r="C273" s="53" t="s">
        <v>815</v>
      </c>
      <c r="D273" s="384" t="s">
        <v>204</v>
      </c>
      <c r="E273" s="384" t="s">
        <v>204</v>
      </c>
      <c r="F273" s="384" t="s">
        <v>204</v>
      </c>
      <c r="G273" s="384" t="s">
        <v>204</v>
      </c>
      <c r="H273" s="384" t="s">
        <v>204</v>
      </c>
      <c r="I273" s="55"/>
      <c r="K273" s="71"/>
      <c r="L273" s="71"/>
      <c r="M273" s="71"/>
      <c r="N273" s="71"/>
      <c r="O273" s="71"/>
      <c r="P273" s="71"/>
      <c r="Q273" s="71"/>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row>
    <row r="274" spans="1:45" hidden="1" outlineLevel="1" x14ac:dyDescent="0.3">
      <c r="A274" s="51" t="s">
        <v>2765</v>
      </c>
      <c r="B274" s="51" t="s">
        <v>940</v>
      </c>
      <c r="C274" s="53" t="s">
        <v>817</v>
      </c>
      <c r="D274" s="157">
        <v>4350</v>
      </c>
      <c r="E274" s="157">
        <v>4350</v>
      </c>
      <c r="F274" s="157">
        <v>4350</v>
      </c>
      <c r="G274" s="157">
        <v>4350</v>
      </c>
      <c r="H274" s="157">
        <v>4350</v>
      </c>
      <c r="I274" s="55" t="s">
        <v>2743</v>
      </c>
      <c r="K274" s="71"/>
      <c r="L274" s="71"/>
      <c r="M274" s="71"/>
      <c r="N274" s="71"/>
      <c r="O274" s="71"/>
      <c r="P274" s="71"/>
      <c r="Q274" s="71"/>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row>
    <row r="275" spans="1:45" hidden="1" outlineLevel="1" x14ac:dyDescent="0.3">
      <c r="A275" s="51" t="s">
        <v>2765</v>
      </c>
      <c r="B275" s="51" t="s">
        <v>940</v>
      </c>
      <c r="C275" s="53" t="s">
        <v>944</v>
      </c>
      <c r="D275" s="157">
        <v>25180</v>
      </c>
      <c r="E275" s="157">
        <v>24330</v>
      </c>
      <c r="F275" s="157">
        <v>23500</v>
      </c>
      <c r="G275" s="157">
        <v>23200</v>
      </c>
      <c r="H275" s="157">
        <v>23200</v>
      </c>
      <c r="I275" s="55" t="s">
        <v>2763</v>
      </c>
      <c r="K275" s="71"/>
      <c r="L275" s="71"/>
      <c r="M275" s="71"/>
      <c r="N275" s="71"/>
      <c r="O275" s="71"/>
      <c r="P275" s="71"/>
      <c r="Q275" s="71"/>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row>
    <row r="276" spans="1:45" hidden="1" outlineLevel="1" x14ac:dyDescent="0.3">
      <c r="A276" s="51" t="s">
        <v>2765</v>
      </c>
      <c r="B276" s="51" t="s">
        <v>940</v>
      </c>
      <c r="C276" s="53" t="s">
        <v>821</v>
      </c>
      <c r="D276" s="384" t="s">
        <v>204</v>
      </c>
      <c r="E276" s="384" t="s">
        <v>204</v>
      </c>
      <c r="F276" s="384" t="s">
        <v>204</v>
      </c>
      <c r="G276" s="384" t="s">
        <v>204</v>
      </c>
      <c r="H276" s="384" t="s">
        <v>204</v>
      </c>
      <c r="I276" s="55"/>
      <c r="K276" s="71"/>
      <c r="L276" s="71"/>
      <c r="M276" s="71"/>
      <c r="N276" s="71"/>
      <c r="O276" s="71"/>
      <c r="P276" s="71"/>
      <c r="Q276" s="71"/>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row>
    <row r="277" spans="1:45" hidden="1" outlineLevel="1" x14ac:dyDescent="0.3">
      <c r="A277" s="51" t="s">
        <v>2765</v>
      </c>
      <c r="B277" s="51" t="s">
        <v>940</v>
      </c>
      <c r="C277" s="53" t="s">
        <v>823</v>
      </c>
      <c r="D277" s="384" t="s">
        <v>204</v>
      </c>
      <c r="E277" s="384" t="s">
        <v>204</v>
      </c>
      <c r="F277" s="384" t="s">
        <v>204</v>
      </c>
      <c r="G277" s="384" t="s">
        <v>204</v>
      </c>
      <c r="H277" s="384" t="s">
        <v>204</v>
      </c>
      <c r="I277" s="55"/>
      <c r="K277" s="71"/>
      <c r="L277" s="71"/>
      <c r="M277" s="71"/>
      <c r="N277" s="71"/>
      <c r="O277" s="71"/>
      <c r="P277" s="71"/>
      <c r="Q277" s="71"/>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row>
    <row r="278" spans="1:45" hidden="1" outlineLevel="1" x14ac:dyDescent="0.3">
      <c r="A278" s="51" t="s">
        <v>2765</v>
      </c>
      <c r="B278" s="51" t="s">
        <v>940</v>
      </c>
      <c r="C278" s="53" t="s">
        <v>825</v>
      </c>
      <c r="D278" s="384" t="s">
        <v>204</v>
      </c>
      <c r="E278" s="384" t="s">
        <v>204</v>
      </c>
      <c r="F278" s="384" t="s">
        <v>204</v>
      </c>
      <c r="G278" s="384" t="s">
        <v>204</v>
      </c>
      <c r="H278" s="384" t="s">
        <v>204</v>
      </c>
      <c r="I278" s="55"/>
      <c r="K278" s="71"/>
      <c r="L278" s="71"/>
      <c r="M278" s="71"/>
      <c r="N278" s="71"/>
      <c r="O278" s="71"/>
      <c r="P278" s="71"/>
      <c r="Q278" s="71"/>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c r="AR278" s="70"/>
      <c r="AS278" s="70"/>
    </row>
    <row r="279" spans="1:45" hidden="1" outlineLevel="1" x14ac:dyDescent="0.3">
      <c r="A279" s="51" t="s">
        <v>2765</v>
      </c>
      <c r="B279" s="51" t="s">
        <v>940</v>
      </c>
      <c r="C279" s="53" t="s">
        <v>827</v>
      </c>
      <c r="D279" s="157">
        <v>1379000</v>
      </c>
      <c r="E279" s="157">
        <v>1445000</v>
      </c>
      <c r="F279" s="157">
        <v>1474000</v>
      </c>
      <c r="G279" s="157">
        <v>1491000</v>
      </c>
      <c r="H279" s="157">
        <v>1504000</v>
      </c>
      <c r="I279" s="55" t="s">
        <v>2767</v>
      </c>
      <c r="K279" s="71"/>
      <c r="L279" s="71"/>
      <c r="M279" s="71"/>
      <c r="N279" s="71"/>
      <c r="O279" s="71"/>
      <c r="P279" s="71"/>
      <c r="Q279" s="71"/>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row>
    <row r="280" spans="1:45" hidden="1" outlineLevel="1" x14ac:dyDescent="0.3">
      <c r="A280" s="51" t="s">
        <v>2765</v>
      </c>
      <c r="B280" s="51" t="s">
        <v>940</v>
      </c>
      <c r="C280" s="53" t="s">
        <v>829</v>
      </c>
      <c r="D280" s="157">
        <v>116213.6</v>
      </c>
      <c r="E280" s="157">
        <v>119816.79999999999</v>
      </c>
      <c r="F280" s="157">
        <v>121763.6</v>
      </c>
      <c r="G280" s="157">
        <v>123773.20000000001</v>
      </c>
      <c r="H280" s="157">
        <v>125675.4</v>
      </c>
      <c r="I280" s="55" t="s">
        <v>2757</v>
      </c>
      <c r="K280" s="71"/>
      <c r="L280" s="71"/>
      <c r="M280" s="71"/>
      <c r="N280" s="71"/>
      <c r="O280" s="71"/>
      <c r="P280" s="71"/>
      <c r="Q280" s="71"/>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row>
    <row r="281" spans="1:45" hidden="1" outlineLevel="1" x14ac:dyDescent="0.3">
      <c r="A281" s="51" t="s">
        <v>2765</v>
      </c>
      <c r="B281" s="51" t="s">
        <v>940</v>
      </c>
      <c r="C281" s="53" t="s">
        <v>833</v>
      </c>
      <c r="D281" s="157">
        <v>14545</v>
      </c>
      <c r="E281" s="157">
        <v>13095</v>
      </c>
      <c r="F281" s="157">
        <v>13095</v>
      </c>
      <c r="G281" s="157">
        <v>13095</v>
      </c>
      <c r="H281" s="157">
        <v>13095</v>
      </c>
      <c r="I281" s="55" t="s">
        <v>2744</v>
      </c>
      <c r="K281" s="71"/>
      <c r="L281" s="71"/>
      <c r="M281" s="71"/>
      <c r="N281" s="71"/>
      <c r="O281" s="71"/>
      <c r="P281" s="71"/>
      <c r="Q281" s="71"/>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row>
    <row r="282" spans="1:45" hidden="1" outlineLevel="1" x14ac:dyDescent="0.3">
      <c r="A282" s="51" t="s">
        <v>2765</v>
      </c>
      <c r="B282" s="51" t="s">
        <v>940</v>
      </c>
      <c r="C282" s="53" t="s">
        <v>836</v>
      </c>
      <c r="D282" s="157">
        <v>316363</v>
      </c>
      <c r="E282" s="157">
        <v>319289</v>
      </c>
      <c r="F282" s="157">
        <v>324301</v>
      </c>
      <c r="G282" s="157">
        <v>328438</v>
      </c>
      <c r="H282" s="157">
        <v>330345</v>
      </c>
      <c r="I282" s="55" t="s">
        <v>2745</v>
      </c>
      <c r="K282" s="71"/>
      <c r="L282" s="71"/>
      <c r="M282" s="71"/>
      <c r="N282" s="71"/>
      <c r="O282" s="71"/>
      <c r="P282" s="71"/>
      <c r="Q282" s="71"/>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row>
    <row r="283" spans="1:45" hidden="1" outlineLevel="1" x14ac:dyDescent="0.3">
      <c r="A283" s="51" t="s">
        <v>2765</v>
      </c>
      <c r="B283" s="51" t="s">
        <v>940</v>
      </c>
      <c r="C283" s="53" t="s">
        <v>837</v>
      </c>
      <c r="D283" s="384" t="s">
        <v>204</v>
      </c>
      <c r="E283" s="384" t="s">
        <v>204</v>
      </c>
      <c r="F283" s="384" t="s">
        <v>204</v>
      </c>
      <c r="G283" s="384" t="s">
        <v>204</v>
      </c>
      <c r="H283" s="384" t="s">
        <v>204</v>
      </c>
      <c r="I283" s="55"/>
      <c r="K283" s="71"/>
      <c r="L283" s="71"/>
      <c r="M283" s="71"/>
      <c r="N283" s="71"/>
      <c r="O283" s="71"/>
      <c r="P283" s="71"/>
      <c r="Q283" s="71"/>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row>
    <row r="284" spans="1:45" hidden="1" outlineLevel="1" x14ac:dyDescent="0.3">
      <c r="A284" s="51" t="s">
        <v>2765</v>
      </c>
      <c r="B284" s="51" t="s">
        <v>940</v>
      </c>
      <c r="C284" s="53" t="s">
        <v>839</v>
      </c>
      <c r="D284" s="157">
        <v>0</v>
      </c>
      <c r="E284" s="157">
        <v>0</v>
      </c>
      <c r="F284" s="157">
        <v>0</v>
      </c>
      <c r="G284" s="157">
        <v>0</v>
      </c>
      <c r="H284" s="157">
        <v>0</v>
      </c>
      <c r="I284" s="55" t="s">
        <v>2758</v>
      </c>
      <c r="K284" s="71"/>
      <c r="L284" s="71"/>
      <c r="M284" s="71"/>
      <c r="N284" s="71"/>
      <c r="O284" s="71"/>
      <c r="P284" s="71"/>
      <c r="Q284" s="71"/>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row>
    <row r="285" spans="1:45" hidden="1" outlineLevel="1" x14ac:dyDescent="0.3">
      <c r="A285" s="51" t="s">
        <v>2765</v>
      </c>
      <c r="B285" s="51" t="s">
        <v>940</v>
      </c>
      <c r="C285" s="53" t="s">
        <v>840</v>
      </c>
      <c r="D285" s="384" t="s">
        <v>204</v>
      </c>
      <c r="E285" s="384" t="s">
        <v>204</v>
      </c>
      <c r="F285" s="384" t="s">
        <v>204</v>
      </c>
      <c r="G285" s="384" t="s">
        <v>204</v>
      </c>
      <c r="H285" s="384" t="s">
        <v>204</v>
      </c>
      <c r="I285" s="55"/>
      <c r="K285" s="71"/>
      <c r="L285" s="71"/>
      <c r="M285" s="71"/>
      <c r="N285" s="71"/>
      <c r="O285" s="71"/>
      <c r="P285" s="71"/>
      <c r="Q285" s="71"/>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row>
    <row r="286" spans="1:45" collapsed="1" x14ac:dyDescent="0.3">
      <c r="A286" s="51"/>
      <c r="B286" s="51"/>
      <c r="C286" s="532" t="s">
        <v>2719</v>
      </c>
      <c r="D286" s="157"/>
      <c r="E286" s="157"/>
      <c r="F286" s="157"/>
      <c r="G286" s="157"/>
      <c r="H286" s="157"/>
      <c r="I286" s="55"/>
      <c r="K286" s="71"/>
      <c r="L286" s="71"/>
      <c r="M286" s="71"/>
      <c r="N286" s="71"/>
      <c r="O286" s="71"/>
      <c r="P286" s="71"/>
      <c r="Q286" s="71"/>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row>
    <row r="287" spans="1:45" collapsed="1" x14ac:dyDescent="0.3">
      <c r="A287" s="135" t="s">
        <v>2768</v>
      </c>
      <c r="B287" s="135"/>
      <c r="C287" s="483" t="s">
        <v>992</v>
      </c>
      <c r="D287" s="135"/>
      <c r="E287" s="135"/>
      <c r="F287" s="135"/>
      <c r="G287" s="135"/>
      <c r="H287" s="135"/>
      <c r="I287" s="135"/>
      <c r="K287" s="70"/>
      <c r="L287" s="70"/>
      <c r="M287" s="182"/>
      <c r="N287" s="182"/>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row>
    <row r="288" spans="1:45" x14ac:dyDescent="0.3">
      <c r="A288" s="60" t="s">
        <v>2769</v>
      </c>
      <c r="B288" s="60"/>
      <c r="C288" s="59" t="s">
        <v>2693</v>
      </c>
      <c r="D288" s="159">
        <v>56100</v>
      </c>
      <c r="E288" s="159">
        <v>56100</v>
      </c>
      <c r="F288" s="159">
        <v>56100</v>
      </c>
      <c r="G288" s="159">
        <v>56100</v>
      </c>
      <c r="H288" s="159">
        <v>56100</v>
      </c>
      <c r="I288" s="62"/>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row>
    <row r="289" spans="1:45" x14ac:dyDescent="0.3">
      <c r="A289" s="60" t="s">
        <v>5</v>
      </c>
      <c r="B289" s="60" t="s">
        <v>847</v>
      </c>
      <c r="C289" s="60" t="s">
        <v>193</v>
      </c>
      <c r="D289" s="61">
        <v>2025</v>
      </c>
      <c r="E289" s="61">
        <v>2030</v>
      </c>
      <c r="F289" s="61">
        <v>2035</v>
      </c>
      <c r="G289" s="61">
        <v>2040</v>
      </c>
      <c r="H289" s="61">
        <v>2045</v>
      </c>
      <c r="I289" s="61" t="s">
        <v>153</v>
      </c>
      <c r="K289" s="70"/>
      <c r="L289" s="70"/>
      <c r="M289" s="71"/>
      <c r="N289" s="71"/>
      <c r="O289" s="71"/>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row>
    <row r="290" spans="1:45" hidden="1" outlineLevel="1" x14ac:dyDescent="0.3">
      <c r="A290" s="58" t="s">
        <v>2769</v>
      </c>
      <c r="B290" s="58" t="s">
        <v>855</v>
      </c>
      <c r="C290" s="60" t="s">
        <v>747</v>
      </c>
      <c r="D290" s="479" t="s">
        <v>204</v>
      </c>
      <c r="E290" s="479" t="s">
        <v>204</v>
      </c>
      <c r="F290" s="479" t="s">
        <v>204</v>
      </c>
      <c r="G290" s="479" t="s">
        <v>204</v>
      </c>
      <c r="H290" s="479" t="s">
        <v>204</v>
      </c>
      <c r="I290" s="62"/>
      <c r="K290" s="70"/>
      <c r="L290" s="71"/>
      <c r="M290" s="71"/>
      <c r="N290" s="71"/>
      <c r="O290" s="71"/>
      <c r="P290" s="71"/>
      <c r="Q290" s="71"/>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row>
    <row r="291" spans="1:45" hidden="1" outlineLevel="1" x14ac:dyDescent="0.3">
      <c r="A291" s="58" t="s">
        <v>2769</v>
      </c>
      <c r="B291" s="58" t="s">
        <v>855</v>
      </c>
      <c r="C291" s="60" t="s">
        <v>751</v>
      </c>
      <c r="D291" s="162">
        <v>0</v>
      </c>
      <c r="E291" s="162">
        <v>0</v>
      </c>
      <c r="F291" s="162">
        <v>0</v>
      </c>
      <c r="G291" s="162">
        <v>0</v>
      </c>
      <c r="H291" s="162">
        <v>0</v>
      </c>
      <c r="I291" s="62" t="s">
        <v>2696</v>
      </c>
      <c r="K291" s="70"/>
      <c r="L291" s="71"/>
      <c r="M291" s="71"/>
      <c r="N291" s="71"/>
      <c r="O291" s="71"/>
      <c r="P291" s="71"/>
      <c r="Q291" s="71"/>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row>
    <row r="292" spans="1:45" hidden="1" outlineLevel="1" x14ac:dyDescent="0.3">
      <c r="A292" s="58" t="s">
        <v>2769</v>
      </c>
      <c r="B292" s="58" t="s">
        <v>855</v>
      </c>
      <c r="C292" s="60" t="s">
        <v>755</v>
      </c>
      <c r="D292" s="162">
        <v>0</v>
      </c>
      <c r="E292" s="162">
        <v>0</v>
      </c>
      <c r="F292" s="162">
        <v>0</v>
      </c>
      <c r="G292" s="162">
        <v>0</v>
      </c>
      <c r="H292" s="162">
        <v>0</v>
      </c>
      <c r="I292" s="62"/>
      <c r="K292" s="71"/>
      <c r="L292" s="71"/>
      <c r="M292" s="71"/>
      <c r="N292" s="71"/>
      <c r="O292" s="71"/>
      <c r="P292" s="71"/>
      <c r="Q292" s="71"/>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row>
    <row r="293" spans="1:45" hidden="1" outlineLevel="1" x14ac:dyDescent="0.3">
      <c r="A293" s="58" t="s">
        <v>2769</v>
      </c>
      <c r="B293" s="58" t="s">
        <v>855</v>
      </c>
      <c r="C293" s="60" t="s">
        <v>758</v>
      </c>
      <c r="D293" s="162">
        <v>0</v>
      </c>
      <c r="E293" s="162">
        <v>0</v>
      </c>
      <c r="F293" s="162">
        <v>0</v>
      </c>
      <c r="G293" s="162">
        <v>0</v>
      </c>
      <c r="H293" s="162">
        <v>0</v>
      </c>
      <c r="I293" s="62" t="s">
        <v>2699</v>
      </c>
      <c r="K293" s="71"/>
      <c r="L293" s="71"/>
      <c r="M293" s="71"/>
      <c r="N293" s="71"/>
      <c r="O293" s="71"/>
      <c r="P293" s="71"/>
      <c r="Q293" s="71"/>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row>
    <row r="294" spans="1:45" hidden="1" outlineLevel="1" x14ac:dyDescent="0.3">
      <c r="A294" s="58" t="s">
        <v>2769</v>
      </c>
      <c r="B294" s="58" t="s">
        <v>855</v>
      </c>
      <c r="C294" s="60" t="s">
        <v>761</v>
      </c>
      <c r="D294" s="162">
        <v>0</v>
      </c>
      <c r="E294" s="162">
        <v>0</v>
      </c>
      <c r="F294" s="162">
        <v>0</v>
      </c>
      <c r="G294" s="162">
        <v>0</v>
      </c>
      <c r="H294" s="162">
        <v>0</v>
      </c>
      <c r="I294" s="62"/>
      <c r="K294" s="71"/>
      <c r="L294" s="71"/>
      <c r="M294" s="71"/>
      <c r="N294" s="71"/>
      <c r="O294" s="71"/>
      <c r="P294" s="71"/>
      <c r="Q294" s="71"/>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c r="AR294" s="70"/>
      <c r="AS294" s="70"/>
    </row>
    <row r="295" spans="1:45" hidden="1" outlineLevel="1" x14ac:dyDescent="0.3">
      <c r="A295" s="58" t="s">
        <v>2769</v>
      </c>
      <c r="B295" s="58" t="s">
        <v>855</v>
      </c>
      <c r="C295" s="60" t="s">
        <v>763</v>
      </c>
      <c r="D295" s="162">
        <v>0</v>
      </c>
      <c r="E295" s="162">
        <v>0</v>
      </c>
      <c r="F295" s="162">
        <v>0</v>
      </c>
      <c r="G295" s="162">
        <v>0</v>
      </c>
      <c r="H295" s="162">
        <v>0</v>
      </c>
      <c r="I295" s="62" t="s">
        <v>2770</v>
      </c>
      <c r="K295" s="71"/>
      <c r="L295" s="71"/>
      <c r="M295" s="71"/>
      <c r="N295" s="71"/>
      <c r="O295" s="71"/>
      <c r="P295" s="71"/>
      <c r="Q295" s="71"/>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row>
    <row r="296" spans="1:45" hidden="1" outlineLevel="1" x14ac:dyDescent="0.3">
      <c r="A296" s="58" t="s">
        <v>2769</v>
      </c>
      <c r="B296" s="58" t="s">
        <v>855</v>
      </c>
      <c r="C296" s="60" t="s">
        <v>765</v>
      </c>
      <c r="D296" s="162">
        <v>0</v>
      </c>
      <c r="E296" s="162">
        <v>0</v>
      </c>
      <c r="F296" s="162">
        <v>0</v>
      </c>
      <c r="G296" s="162">
        <v>0</v>
      </c>
      <c r="H296" s="162">
        <v>0</v>
      </c>
      <c r="I296" s="62" t="s">
        <v>2702</v>
      </c>
      <c r="K296" s="70"/>
      <c r="L296" s="71"/>
      <c r="M296" s="71"/>
      <c r="N296" s="71"/>
      <c r="O296" s="71"/>
      <c r="P296" s="71"/>
      <c r="Q296" s="71"/>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row>
    <row r="297" spans="1:45" hidden="1" outlineLevel="1" x14ac:dyDescent="0.3">
      <c r="A297" s="58" t="s">
        <v>2769</v>
      </c>
      <c r="B297" s="58" t="s">
        <v>855</v>
      </c>
      <c r="C297" s="60" t="s">
        <v>768</v>
      </c>
      <c r="D297" s="479" t="s">
        <v>204</v>
      </c>
      <c r="E297" s="479" t="s">
        <v>204</v>
      </c>
      <c r="F297" s="479" t="s">
        <v>204</v>
      </c>
      <c r="G297" s="479" t="s">
        <v>204</v>
      </c>
      <c r="H297" s="479" t="s">
        <v>204</v>
      </c>
      <c r="I297" s="62"/>
      <c r="K297" s="181"/>
      <c r="L297" s="71"/>
      <c r="M297" s="71"/>
      <c r="N297" s="71"/>
      <c r="O297" s="71"/>
      <c r="P297" s="71"/>
      <c r="Q297" s="71"/>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row>
    <row r="298" spans="1:45" hidden="1" outlineLevel="1" x14ac:dyDescent="0.3">
      <c r="A298" s="58" t="s">
        <v>2769</v>
      </c>
      <c r="B298" s="58" t="s">
        <v>855</v>
      </c>
      <c r="C298" s="60" t="s">
        <v>771</v>
      </c>
      <c r="D298" s="162">
        <v>0</v>
      </c>
      <c r="E298" s="162">
        <v>0</v>
      </c>
      <c r="F298" s="162">
        <v>0</v>
      </c>
      <c r="G298" s="162">
        <v>0</v>
      </c>
      <c r="H298" s="162">
        <v>0</v>
      </c>
      <c r="I298" s="62"/>
      <c r="K298" s="71"/>
      <c r="L298" s="71"/>
      <c r="M298" s="71"/>
      <c r="N298" s="71"/>
      <c r="O298" s="71"/>
      <c r="P298" s="71"/>
      <c r="Q298" s="71"/>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c r="AR298" s="70"/>
      <c r="AS298" s="70"/>
    </row>
    <row r="299" spans="1:45" hidden="1" outlineLevel="1" x14ac:dyDescent="0.3">
      <c r="A299" s="58" t="s">
        <v>2769</v>
      </c>
      <c r="B299" s="58" t="s">
        <v>855</v>
      </c>
      <c r="C299" s="60" t="s">
        <v>772</v>
      </c>
      <c r="D299" s="162">
        <v>0</v>
      </c>
      <c r="E299" s="162">
        <v>0</v>
      </c>
      <c r="F299" s="162">
        <v>0</v>
      </c>
      <c r="G299" s="162">
        <v>0</v>
      </c>
      <c r="H299" s="162">
        <v>0</v>
      </c>
      <c r="I299" s="62"/>
      <c r="K299" s="71"/>
      <c r="L299" s="71"/>
      <c r="M299" s="71"/>
      <c r="N299" s="71"/>
      <c r="O299" s="71"/>
      <c r="P299" s="71"/>
      <c r="Q299" s="71"/>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row>
    <row r="300" spans="1:45" hidden="1" outlineLevel="1" x14ac:dyDescent="0.3">
      <c r="A300" s="58" t="s">
        <v>2769</v>
      </c>
      <c r="B300" s="58" t="s">
        <v>855</v>
      </c>
      <c r="C300" s="60" t="s">
        <v>774</v>
      </c>
      <c r="D300" s="162">
        <v>0</v>
      </c>
      <c r="E300" s="162">
        <v>0</v>
      </c>
      <c r="F300" s="162">
        <v>0</v>
      </c>
      <c r="G300" s="162">
        <v>0</v>
      </c>
      <c r="H300" s="162">
        <v>0</v>
      </c>
      <c r="I300" s="62" t="s">
        <v>2771</v>
      </c>
      <c r="K300" s="71"/>
      <c r="L300" s="71"/>
      <c r="M300" s="71"/>
      <c r="N300" s="71"/>
      <c r="O300" s="71"/>
      <c r="P300" s="71"/>
      <c r="Q300" s="71"/>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row>
    <row r="301" spans="1:45" hidden="1" outlineLevel="1" x14ac:dyDescent="0.3">
      <c r="A301" s="58" t="s">
        <v>2769</v>
      </c>
      <c r="B301" s="58" t="s">
        <v>855</v>
      </c>
      <c r="C301" s="60" t="s">
        <v>775</v>
      </c>
      <c r="D301" s="479" t="s">
        <v>204</v>
      </c>
      <c r="E301" s="479" t="s">
        <v>204</v>
      </c>
      <c r="F301" s="479" t="s">
        <v>204</v>
      </c>
      <c r="G301" s="479" t="s">
        <v>204</v>
      </c>
      <c r="H301" s="479" t="s">
        <v>204</v>
      </c>
      <c r="I301" s="62"/>
      <c r="K301" s="71"/>
      <c r="L301" s="71"/>
      <c r="M301" s="71"/>
      <c r="N301" s="71"/>
      <c r="O301" s="71"/>
      <c r="P301" s="71"/>
      <c r="Q301" s="71"/>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row>
    <row r="302" spans="1:45" hidden="1" outlineLevel="1" x14ac:dyDescent="0.3">
      <c r="A302" s="58" t="s">
        <v>2769</v>
      </c>
      <c r="B302" s="58" t="s">
        <v>855</v>
      </c>
      <c r="C302" s="60" t="s">
        <v>779</v>
      </c>
      <c r="D302" s="479" t="s">
        <v>204</v>
      </c>
      <c r="E302" s="479" t="s">
        <v>204</v>
      </c>
      <c r="F302" s="479" t="s">
        <v>204</v>
      </c>
      <c r="G302" s="479" t="s">
        <v>204</v>
      </c>
      <c r="H302" s="479" t="s">
        <v>204</v>
      </c>
      <c r="I302" s="62"/>
      <c r="K302" s="71"/>
      <c r="L302" s="71"/>
      <c r="M302" s="71"/>
      <c r="N302" s="71"/>
      <c r="O302" s="71"/>
      <c r="P302" s="71"/>
      <c r="Q302" s="71"/>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row>
    <row r="303" spans="1:45" hidden="1" outlineLevel="1" x14ac:dyDescent="0.3">
      <c r="A303" s="58" t="s">
        <v>2769</v>
      </c>
      <c r="B303" s="58" t="s">
        <v>894</v>
      </c>
      <c r="C303" s="60" t="s">
        <v>781</v>
      </c>
      <c r="D303" s="479" t="s">
        <v>204</v>
      </c>
      <c r="E303" s="479" t="s">
        <v>204</v>
      </c>
      <c r="F303" s="479" t="s">
        <v>204</v>
      </c>
      <c r="G303" s="479" t="s">
        <v>204</v>
      </c>
      <c r="H303" s="479" t="s">
        <v>204</v>
      </c>
      <c r="I303" s="62"/>
      <c r="K303" s="71"/>
      <c r="L303" s="71"/>
      <c r="M303" s="71"/>
      <c r="N303" s="71"/>
      <c r="O303" s="71"/>
      <c r="P303" s="71"/>
      <c r="Q303" s="71"/>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row>
    <row r="304" spans="1:45" hidden="1" outlineLevel="1" x14ac:dyDescent="0.3">
      <c r="A304" s="58" t="s">
        <v>2769</v>
      </c>
      <c r="B304" s="58" t="s">
        <v>894</v>
      </c>
      <c r="C304" s="60" t="s">
        <v>783</v>
      </c>
      <c r="D304" s="162">
        <v>0</v>
      </c>
      <c r="E304" s="162">
        <v>0</v>
      </c>
      <c r="F304" s="162">
        <v>0</v>
      </c>
      <c r="G304" s="162">
        <v>0</v>
      </c>
      <c r="H304" s="162">
        <v>0</v>
      </c>
      <c r="I304" s="62" t="s">
        <v>2706</v>
      </c>
      <c r="K304" s="71"/>
      <c r="L304" s="71"/>
      <c r="M304" s="71"/>
      <c r="N304" s="71"/>
      <c r="O304" s="71"/>
      <c r="P304" s="71"/>
      <c r="Q304" s="71"/>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row>
    <row r="305" spans="1:45" hidden="1" outlineLevel="1" x14ac:dyDescent="0.3">
      <c r="A305" s="58" t="s">
        <v>2769</v>
      </c>
      <c r="B305" s="58" t="s">
        <v>894</v>
      </c>
      <c r="C305" s="60" t="s">
        <v>785</v>
      </c>
      <c r="D305" s="162">
        <v>0</v>
      </c>
      <c r="E305" s="162">
        <v>0</v>
      </c>
      <c r="F305" s="162">
        <v>0</v>
      </c>
      <c r="G305" s="162">
        <v>0</v>
      </c>
      <c r="H305" s="162">
        <v>0</v>
      </c>
      <c r="I305" s="62" t="s">
        <v>2707</v>
      </c>
      <c r="K305" s="71"/>
      <c r="L305" s="71"/>
      <c r="M305" s="71"/>
      <c r="N305" s="71"/>
      <c r="O305" s="71"/>
      <c r="P305" s="71"/>
      <c r="Q305" s="71"/>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row>
    <row r="306" spans="1:45" hidden="1" outlineLevel="1" x14ac:dyDescent="0.3">
      <c r="A306" s="58" t="s">
        <v>2769</v>
      </c>
      <c r="B306" s="58" t="s">
        <v>894</v>
      </c>
      <c r="C306" s="60" t="s">
        <v>787</v>
      </c>
      <c r="D306" s="479" t="s">
        <v>204</v>
      </c>
      <c r="E306" s="479" t="s">
        <v>204</v>
      </c>
      <c r="F306" s="479" t="s">
        <v>204</v>
      </c>
      <c r="G306" s="479" t="s">
        <v>204</v>
      </c>
      <c r="H306" s="479" t="s">
        <v>204</v>
      </c>
      <c r="I306" s="62"/>
      <c r="K306" s="71"/>
      <c r="L306" s="71"/>
      <c r="M306" s="71"/>
      <c r="N306" s="71"/>
      <c r="O306" s="71"/>
      <c r="P306" s="71"/>
      <c r="Q306" s="71"/>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row>
    <row r="307" spans="1:45" hidden="1" outlineLevel="1" x14ac:dyDescent="0.3">
      <c r="A307" s="58" t="s">
        <v>2769</v>
      </c>
      <c r="B307" s="58" t="s">
        <v>894</v>
      </c>
      <c r="C307" s="60" t="s">
        <v>788</v>
      </c>
      <c r="D307" s="479" t="s">
        <v>204</v>
      </c>
      <c r="E307" s="479" t="s">
        <v>204</v>
      </c>
      <c r="F307" s="479" t="s">
        <v>204</v>
      </c>
      <c r="G307" s="479" t="s">
        <v>204</v>
      </c>
      <c r="H307" s="479" t="s">
        <v>204</v>
      </c>
      <c r="I307" s="62"/>
      <c r="K307" s="71"/>
      <c r="L307" s="71"/>
      <c r="M307" s="71"/>
      <c r="N307" s="71"/>
      <c r="O307" s="71"/>
      <c r="P307" s="71"/>
      <c r="Q307" s="71"/>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row>
    <row r="308" spans="1:45" hidden="1" outlineLevel="1" x14ac:dyDescent="0.3">
      <c r="A308" s="58" t="s">
        <v>2769</v>
      </c>
      <c r="B308" s="58" t="s">
        <v>894</v>
      </c>
      <c r="C308" s="60" t="s">
        <v>789</v>
      </c>
      <c r="D308" s="479" t="s">
        <v>204</v>
      </c>
      <c r="E308" s="479" t="s">
        <v>204</v>
      </c>
      <c r="F308" s="479" t="s">
        <v>204</v>
      </c>
      <c r="G308" s="479" t="s">
        <v>204</v>
      </c>
      <c r="H308" s="479" t="s">
        <v>204</v>
      </c>
      <c r="I308" s="62"/>
      <c r="K308" s="71"/>
      <c r="L308" s="71"/>
      <c r="M308" s="71"/>
      <c r="N308" s="71"/>
      <c r="O308" s="71"/>
      <c r="P308" s="71"/>
      <c r="Q308" s="71"/>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row>
    <row r="309" spans="1:45" hidden="1" outlineLevel="1" x14ac:dyDescent="0.3">
      <c r="A309" s="58" t="s">
        <v>2769</v>
      </c>
      <c r="B309" s="58" t="s">
        <v>894</v>
      </c>
      <c r="C309" s="60" t="s">
        <v>790</v>
      </c>
      <c r="D309" s="162">
        <v>0</v>
      </c>
      <c r="E309" s="162">
        <v>0</v>
      </c>
      <c r="F309" s="162">
        <v>0</v>
      </c>
      <c r="G309" s="162">
        <v>0</v>
      </c>
      <c r="H309" s="162">
        <v>0</v>
      </c>
      <c r="I309" s="62" t="s">
        <v>2708</v>
      </c>
      <c r="K309" s="71"/>
      <c r="L309" s="71"/>
      <c r="M309" s="71"/>
      <c r="N309" s="71"/>
      <c r="O309" s="71"/>
      <c r="P309" s="71"/>
      <c r="Q309" s="71"/>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row>
    <row r="310" spans="1:45" hidden="1" outlineLevel="1" x14ac:dyDescent="0.3">
      <c r="A310" s="58" t="s">
        <v>2769</v>
      </c>
      <c r="B310" s="58" t="s">
        <v>894</v>
      </c>
      <c r="C310" s="60" t="s">
        <v>793</v>
      </c>
      <c r="D310" s="479" t="s">
        <v>204</v>
      </c>
      <c r="E310" s="479" t="s">
        <v>204</v>
      </c>
      <c r="F310" s="479" t="s">
        <v>204</v>
      </c>
      <c r="G310" s="479" t="s">
        <v>204</v>
      </c>
      <c r="H310" s="479" t="s">
        <v>204</v>
      </c>
      <c r="I310" s="62"/>
      <c r="K310" s="71"/>
      <c r="L310" s="71"/>
      <c r="M310" s="71"/>
      <c r="N310" s="71"/>
      <c r="O310" s="71"/>
      <c r="P310" s="71"/>
      <c r="Q310" s="71"/>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row>
    <row r="311" spans="1:45" hidden="1" outlineLevel="1" x14ac:dyDescent="0.3">
      <c r="A311" s="58" t="s">
        <v>2769</v>
      </c>
      <c r="B311" s="58" t="s">
        <v>894</v>
      </c>
      <c r="C311" s="60" t="s">
        <v>795</v>
      </c>
      <c r="D311" s="479" t="s">
        <v>204</v>
      </c>
      <c r="E311" s="479" t="s">
        <v>204</v>
      </c>
      <c r="F311" s="479" t="s">
        <v>204</v>
      </c>
      <c r="G311" s="479" t="s">
        <v>204</v>
      </c>
      <c r="H311" s="479" t="s">
        <v>204</v>
      </c>
      <c r="I311" s="62"/>
      <c r="K311" s="71"/>
      <c r="L311" s="71"/>
      <c r="M311" s="71"/>
      <c r="N311" s="71"/>
      <c r="O311" s="71"/>
      <c r="P311" s="71"/>
      <c r="Q311" s="71"/>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row>
    <row r="312" spans="1:45" hidden="1" outlineLevel="1" x14ac:dyDescent="0.3">
      <c r="A312" s="58" t="s">
        <v>2769</v>
      </c>
      <c r="B312" s="58" t="s">
        <v>894</v>
      </c>
      <c r="C312" s="60" t="s">
        <v>797</v>
      </c>
      <c r="D312" s="162">
        <v>0</v>
      </c>
      <c r="E312" s="162">
        <v>0</v>
      </c>
      <c r="F312" s="162">
        <v>0</v>
      </c>
      <c r="G312" s="162">
        <v>0</v>
      </c>
      <c r="H312" s="162">
        <v>0</v>
      </c>
      <c r="I312" s="62" t="s">
        <v>2752</v>
      </c>
      <c r="K312" s="71"/>
      <c r="L312" s="71"/>
      <c r="M312" s="71"/>
      <c r="N312" s="71"/>
      <c r="O312" s="71"/>
      <c r="P312" s="71"/>
      <c r="Q312" s="71"/>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row>
    <row r="313" spans="1:45" hidden="1" outlineLevel="1" x14ac:dyDescent="0.3">
      <c r="A313" s="58" t="s">
        <v>2769</v>
      </c>
      <c r="B313" s="58" t="s">
        <v>915</v>
      </c>
      <c r="C313" s="60" t="s">
        <v>799</v>
      </c>
      <c r="D313" s="162">
        <v>0</v>
      </c>
      <c r="E313" s="162">
        <v>0</v>
      </c>
      <c r="F313" s="162">
        <v>0</v>
      </c>
      <c r="G313" s="162">
        <v>0</v>
      </c>
      <c r="H313" s="162">
        <v>0</v>
      </c>
      <c r="I313" s="62" t="s">
        <v>2772</v>
      </c>
      <c r="K313" s="182"/>
      <c r="L313" s="71"/>
      <c r="M313" s="71"/>
      <c r="N313" s="71"/>
      <c r="O313" s="71"/>
      <c r="P313" s="71"/>
      <c r="Q313" s="71"/>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row>
    <row r="314" spans="1:45" hidden="1" outlineLevel="1" x14ac:dyDescent="0.3">
      <c r="A314" s="58" t="s">
        <v>2769</v>
      </c>
      <c r="B314" s="58" t="s">
        <v>915</v>
      </c>
      <c r="C314" s="60" t="s">
        <v>801</v>
      </c>
      <c r="D314" s="162">
        <v>5100</v>
      </c>
      <c r="E314" s="162">
        <v>5100</v>
      </c>
      <c r="F314" s="162">
        <v>5100</v>
      </c>
      <c r="G314" s="162">
        <v>5100</v>
      </c>
      <c r="H314" s="162">
        <v>5100</v>
      </c>
      <c r="I314" s="62" t="s">
        <v>2711</v>
      </c>
      <c r="K314" s="71"/>
      <c r="L314" s="71"/>
      <c r="M314" s="71"/>
      <c r="N314" s="71"/>
      <c r="O314" s="71"/>
      <c r="P314" s="71"/>
      <c r="Q314" s="71"/>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row>
    <row r="315" spans="1:45" hidden="1" outlineLevel="1" x14ac:dyDescent="0.3">
      <c r="A315" s="58" t="s">
        <v>2769</v>
      </c>
      <c r="B315" s="58" t="s">
        <v>915</v>
      </c>
      <c r="C315" s="60" t="s">
        <v>804</v>
      </c>
      <c r="D315" s="162">
        <v>0</v>
      </c>
      <c r="E315" s="162">
        <v>0</v>
      </c>
      <c r="F315" s="162">
        <v>0</v>
      </c>
      <c r="G315" s="162">
        <v>0</v>
      </c>
      <c r="H315" s="162">
        <v>0</v>
      </c>
      <c r="I315" s="62"/>
      <c r="K315" s="70"/>
      <c r="L315" s="71"/>
      <c r="M315" s="71"/>
      <c r="N315" s="71"/>
      <c r="O315" s="71"/>
      <c r="P315" s="71"/>
      <c r="Q315" s="71"/>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row>
    <row r="316" spans="1:45" hidden="1" outlineLevel="1" x14ac:dyDescent="0.3">
      <c r="A316" s="58" t="s">
        <v>2769</v>
      </c>
      <c r="B316" s="58" t="s">
        <v>915</v>
      </c>
      <c r="C316" s="60" t="s">
        <v>806</v>
      </c>
      <c r="D316" s="162">
        <v>0</v>
      </c>
      <c r="E316" s="162">
        <v>0</v>
      </c>
      <c r="F316" s="162">
        <v>0</v>
      </c>
      <c r="G316" s="162">
        <v>0</v>
      </c>
      <c r="H316" s="162">
        <v>0</v>
      </c>
      <c r="I316" s="62"/>
      <c r="K316" s="71"/>
      <c r="L316" s="71"/>
      <c r="M316" s="71"/>
      <c r="N316" s="71"/>
      <c r="O316" s="71"/>
      <c r="P316" s="71"/>
      <c r="Q316" s="71"/>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row>
    <row r="317" spans="1:45" hidden="1" outlineLevel="1" x14ac:dyDescent="0.3">
      <c r="A317" s="58" t="s">
        <v>2769</v>
      </c>
      <c r="B317" s="58" t="s">
        <v>915</v>
      </c>
      <c r="C317" s="60" t="s">
        <v>808</v>
      </c>
      <c r="D317" s="162">
        <v>0</v>
      </c>
      <c r="E317" s="162">
        <v>0</v>
      </c>
      <c r="F317" s="162">
        <v>0</v>
      </c>
      <c r="G317" s="162">
        <v>0</v>
      </c>
      <c r="H317" s="162">
        <v>0</v>
      </c>
      <c r="I317" s="62"/>
      <c r="K317" s="71"/>
      <c r="L317" s="71"/>
      <c r="M317" s="71"/>
      <c r="N317" s="71"/>
      <c r="O317" s="71"/>
      <c r="P317" s="71"/>
      <c r="Q317" s="71"/>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row>
    <row r="318" spans="1:45" hidden="1" outlineLevel="1" x14ac:dyDescent="0.3">
      <c r="A318" s="58" t="s">
        <v>2769</v>
      </c>
      <c r="B318" s="58" t="s">
        <v>915</v>
      </c>
      <c r="C318" s="60" t="s">
        <v>811</v>
      </c>
      <c r="D318" s="162">
        <v>0</v>
      </c>
      <c r="E318" s="162">
        <v>0</v>
      </c>
      <c r="F318" s="162">
        <v>0</v>
      </c>
      <c r="G318" s="162">
        <v>0</v>
      </c>
      <c r="H318" s="162">
        <v>0</v>
      </c>
      <c r="I318" s="62" t="s">
        <v>2713</v>
      </c>
      <c r="K318" s="71"/>
      <c r="L318" s="71"/>
      <c r="M318" s="71"/>
      <c r="N318" s="71"/>
      <c r="O318" s="71"/>
      <c r="P318" s="71"/>
      <c r="Q318" s="71"/>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row>
    <row r="319" spans="1:45" hidden="1" outlineLevel="1" x14ac:dyDescent="0.3">
      <c r="A319" s="58" t="s">
        <v>2769</v>
      </c>
      <c r="B319" s="58" t="s">
        <v>934</v>
      </c>
      <c r="C319" s="60" t="s">
        <v>814</v>
      </c>
      <c r="D319" s="162" t="s">
        <v>204</v>
      </c>
      <c r="E319" s="162" t="s">
        <v>204</v>
      </c>
      <c r="F319" s="162" t="s">
        <v>204</v>
      </c>
      <c r="G319" s="162" t="s">
        <v>204</v>
      </c>
      <c r="H319" s="162" t="s">
        <v>204</v>
      </c>
      <c r="I319" s="62"/>
      <c r="K319" s="71"/>
      <c r="L319" s="71"/>
      <c r="M319" s="71"/>
      <c r="N319" s="71"/>
      <c r="O319" s="71"/>
      <c r="P319" s="71"/>
      <c r="Q319" s="71"/>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row>
    <row r="320" spans="1:45" hidden="1" outlineLevel="1" x14ac:dyDescent="0.3">
      <c r="A320" s="58" t="s">
        <v>2769</v>
      </c>
      <c r="B320" s="58" t="s">
        <v>934</v>
      </c>
      <c r="C320" s="60" t="s">
        <v>815</v>
      </c>
      <c r="D320" s="479" t="s">
        <v>204</v>
      </c>
      <c r="E320" s="479" t="s">
        <v>204</v>
      </c>
      <c r="F320" s="479" t="s">
        <v>204</v>
      </c>
      <c r="G320" s="479" t="s">
        <v>204</v>
      </c>
      <c r="H320" s="479" t="s">
        <v>204</v>
      </c>
      <c r="I320" s="62"/>
      <c r="K320" s="71"/>
      <c r="L320" s="71"/>
      <c r="M320" s="71"/>
      <c r="N320" s="71"/>
      <c r="O320" s="71"/>
      <c r="P320" s="71"/>
      <c r="Q320" s="71"/>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row>
    <row r="321" spans="1:45" hidden="1" outlineLevel="1" x14ac:dyDescent="0.3">
      <c r="A321" s="58" t="s">
        <v>2769</v>
      </c>
      <c r="B321" s="58" t="s">
        <v>940</v>
      </c>
      <c r="C321" s="60" t="s">
        <v>817</v>
      </c>
      <c r="D321" s="162">
        <v>0</v>
      </c>
      <c r="E321" s="162">
        <v>0</v>
      </c>
      <c r="F321" s="162">
        <v>0</v>
      </c>
      <c r="G321" s="162">
        <v>0</v>
      </c>
      <c r="H321" s="162">
        <v>0</v>
      </c>
      <c r="I321" s="62" t="s">
        <v>2714</v>
      </c>
      <c r="K321" s="71"/>
      <c r="L321" s="71"/>
      <c r="M321" s="71"/>
      <c r="N321" s="71"/>
      <c r="O321" s="71"/>
      <c r="P321" s="71"/>
      <c r="Q321" s="71"/>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row>
    <row r="322" spans="1:45" hidden="1" outlineLevel="1" x14ac:dyDescent="0.3">
      <c r="A322" s="58" t="s">
        <v>2769</v>
      </c>
      <c r="B322" s="58" t="s">
        <v>940</v>
      </c>
      <c r="C322" s="60" t="s">
        <v>944</v>
      </c>
      <c r="D322" s="162">
        <v>0</v>
      </c>
      <c r="E322" s="162">
        <v>0</v>
      </c>
      <c r="F322" s="162">
        <v>0</v>
      </c>
      <c r="G322" s="162">
        <v>0</v>
      </c>
      <c r="H322" s="162">
        <v>0</v>
      </c>
      <c r="I322" s="62"/>
      <c r="K322" s="71"/>
      <c r="L322" s="71"/>
      <c r="M322" s="71"/>
      <c r="N322" s="71"/>
      <c r="O322" s="71"/>
      <c r="P322" s="71"/>
      <c r="Q322" s="71"/>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c r="AR322" s="70"/>
      <c r="AS322" s="70"/>
    </row>
    <row r="323" spans="1:45" hidden="1" outlineLevel="1" x14ac:dyDescent="0.3">
      <c r="A323" s="58" t="s">
        <v>2769</v>
      </c>
      <c r="B323" s="58" t="s">
        <v>940</v>
      </c>
      <c r="C323" s="60" t="s">
        <v>821</v>
      </c>
      <c r="D323" s="479" t="s">
        <v>204</v>
      </c>
      <c r="E323" s="479" t="s">
        <v>204</v>
      </c>
      <c r="F323" s="479" t="s">
        <v>204</v>
      </c>
      <c r="G323" s="479" t="s">
        <v>204</v>
      </c>
      <c r="H323" s="479" t="s">
        <v>204</v>
      </c>
      <c r="I323" s="62"/>
      <c r="K323" s="71"/>
      <c r="L323" s="71"/>
      <c r="M323" s="71"/>
      <c r="N323" s="71"/>
      <c r="O323" s="71"/>
      <c r="P323" s="71"/>
      <c r="Q323" s="71"/>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row>
    <row r="324" spans="1:45" hidden="1" outlineLevel="1" x14ac:dyDescent="0.3">
      <c r="A324" s="58" t="s">
        <v>2769</v>
      </c>
      <c r="B324" s="58" t="s">
        <v>940</v>
      </c>
      <c r="C324" s="60" t="s">
        <v>823</v>
      </c>
      <c r="D324" s="479" t="s">
        <v>204</v>
      </c>
      <c r="E324" s="479" t="s">
        <v>204</v>
      </c>
      <c r="F324" s="479" t="s">
        <v>204</v>
      </c>
      <c r="G324" s="479" t="s">
        <v>204</v>
      </c>
      <c r="H324" s="479" t="s">
        <v>204</v>
      </c>
      <c r="I324" s="62"/>
      <c r="K324" s="71"/>
      <c r="L324" s="71"/>
      <c r="M324" s="71"/>
      <c r="N324" s="71"/>
      <c r="O324" s="71"/>
      <c r="P324" s="71"/>
      <c r="Q324" s="71"/>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row>
    <row r="325" spans="1:45" hidden="1" outlineLevel="1" x14ac:dyDescent="0.3">
      <c r="A325" s="58" t="s">
        <v>2769</v>
      </c>
      <c r="B325" s="58" t="s">
        <v>940</v>
      </c>
      <c r="C325" s="60" t="s">
        <v>825</v>
      </c>
      <c r="D325" s="479" t="s">
        <v>204</v>
      </c>
      <c r="E325" s="479" t="s">
        <v>204</v>
      </c>
      <c r="F325" s="479" t="s">
        <v>204</v>
      </c>
      <c r="G325" s="479" t="s">
        <v>204</v>
      </c>
      <c r="H325" s="479" t="s">
        <v>204</v>
      </c>
      <c r="I325" s="62"/>
      <c r="K325" s="71"/>
      <c r="L325" s="71"/>
      <c r="M325" s="71"/>
      <c r="N325" s="71"/>
      <c r="O325" s="71"/>
      <c r="P325" s="71"/>
      <c r="Q325" s="71"/>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c r="AR325" s="70"/>
      <c r="AS325" s="70"/>
    </row>
    <row r="326" spans="1:45" hidden="1" outlineLevel="1" x14ac:dyDescent="0.3">
      <c r="A326" s="58" t="s">
        <v>2769</v>
      </c>
      <c r="B326" s="58" t="s">
        <v>940</v>
      </c>
      <c r="C326" s="60" t="s">
        <v>827</v>
      </c>
      <c r="D326" s="162">
        <v>51000</v>
      </c>
      <c r="E326" s="162">
        <v>51000</v>
      </c>
      <c r="F326" s="162">
        <v>51000</v>
      </c>
      <c r="G326" s="162">
        <v>51000</v>
      </c>
      <c r="H326" s="162">
        <v>51000</v>
      </c>
      <c r="I326" s="62" t="s">
        <v>2773</v>
      </c>
      <c r="K326" s="71"/>
      <c r="L326" s="71"/>
      <c r="M326" s="71"/>
      <c r="N326" s="71"/>
      <c r="O326" s="71"/>
      <c r="P326" s="71"/>
      <c r="Q326" s="71"/>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c r="AR326" s="70"/>
      <c r="AS326" s="70"/>
    </row>
    <row r="327" spans="1:45" hidden="1" outlineLevel="1" x14ac:dyDescent="0.3">
      <c r="A327" s="58" t="s">
        <v>2769</v>
      </c>
      <c r="B327" s="58" t="s">
        <v>940</v>
      </c>
      <c r="C327" s="60" t="s">
        <v>829</v>
      </c>
      <c r="D327" s="162">
        <v>0</v>
      </c>
      <c r="E327" s="162">
        <v>0</v>
      </c>
      <c r="F327" s="162">
        <v>0</v>
      </c>
      <c r="G327" s="162">
        <v>0</v>
      </c>
      <c r="H327" s="162">
        <v>0</v>
      </c>
      <c r="I327" s="62" t="s">
        <v>2715</v>
      </c>
      <c r="K327" s="71"/>
      <c r="L327" s="71"/>
      <c r="M327" s="71"/>
      <c r="N327" s="71"/>
      <c r="O327" s="71"/>
      <c r="P327" s="71"/>
      <c r="Q327" s="71"/>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c r="AR327" s="70"/>
      <c r="AS327" s="70"/>
    </row>
    <row r="328" spans="1:45" hidden="1" outlineLevel="1" x14ac:dyDescent="0.3">
      <c r="A328" s="58" t="s">
        <v>2769</v>
      </c>
      <c r="B328" s="58" t="s">
        <v>940</v>
      </c>
      <c r="C328" s="60" t="s">
        <v>833</v>
      </c>
      <c r="D328" s="162">
        <v>0</v>
      </c>
      <c r="E328" s="162">
        <v>0</v>
      </c>
      <c r="F328" s="162">
        <v>0</v>
      </c>
      <c r="G328" s="162">
        <v>0</v>
      </c>
      <c r="H328" s="162">
        <v>0</v>
      </c>
      <c r="I328" s="62" t="s">
        <v>2716</v>
      </c>
      <c r="K328" s="71"/>
      <c r="L328" s="71"/>
      <c r="M328" s="71"/>
      <c r="N328" s="71"/>
      <c r="O328" s="71"/>
      <c r="P328" s="71"/>
      <c r="Q328" s="71"/>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c r="AR328" s="70"/>
      <c r="AS328" s="70"/>
    </row>
    <row r="329" spans="1:45" hidden="1" outlineLevel="1" x14ac:dyDescent="0.3">
      <c r="A329" s="58" t="s">
        <v>2769</v>
      </c>
      <c r="B329" s="58" t="s">
        <v>940</v>
      </c>
      <c r="C329" s="60" t="s">
        <v>836</v>
      </c>
      <c r="D329" s="162">
        <v>0</v>
      </c>
      <c r="E329" s="162">
        <v>0</v>
      </c>
      <c r="F329" s="162">
        <v>0</v>
      </c>
      <c r="G329" s="162">
        <v>0</v>
      </c>
      <c r="H329" s="162">
        <v>0</v>
      </c>
      <c r="I329" s="62"/>
      <c r="K329" s="71"/>
      <c r="L329" s="71"/>
      <c r="M329" s="71"/>
      <c r="N329" s="71"/>
      <c r="O329" s="71"/>
      <c r="P329" s="71"/>
      <c r="Q329" s="71"/>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c r="AR329" s="70"/>
      <c r="AS329" s="70"/>
    </row>
    <row r="330" spans="1:45" hidden="1" outlineLevel="1" x14ac:dyDescent="0.3">
      <c r="A330" s="58" t="s">
        <v>2769</v>
      </c>
      <c r="B330" s="58" t="s">
        <v>940</v>
      </c>
      <c r="C330" s="60" t="s">
        <v>837</v>
      </c>
      <c r="D330" s="479" t="s">
        <v>204</v>
      </c>
      <c r="E330" s="479" t="s">
        <v>204</v>
      </c>
      <c r="F330" s="479" t="s">
        <v>204</v>
      </c>
      <c r="G330" s="479" t="s">
        <v>204</v>
      </c>
      <c r="H330" s="479" t="s">
        <v>204</v>
      </c>
      <c r="I330" s="62"/>
      <c r="K330" s="71"/>
      <c r="L330" s="71"/>
      <c r="M330" s="71"/>
      <c r="N330" s="71"/>
      <c r="O330" s="71"/>
      <c r="P330" s="71"/>
      <c r="Q330" s="71"/>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c r="AR330" s="70"/>
      <c r="AS330" s="70"/>
    </row>
    <row r="331" spans="1:45" hidden="1" outlineLevel="1" x14ac:dyDescent="0.3">
      <c r="A331" s="58" t="s">
        <v>2769</v>
      </c>
      <c r="B331" s="58" t="s">
        <v>940</v>
      </c>
      <c r="C331" s="60" t="s">
        <v>839</v>
      </c>
      <c r="D331" s="162">
        <v>0</v>
      </c>
      <c r="E331" s="162">
        <v>0</v>
      </c>
      <c r="F331" s="162">
        <v>0</v>
      </c>
      <c r="G331" s="162">
        <v>0</v>
      </c>
      <c r="H331" s="162">
        <v>0</v>
      </c>
      <c r="I331" s="62" t="s">
        <v>2718</v>
      </c>
      <c r="K331" s="71"/>
      <c r="L331" s="71"/>
      <c r="M331" s="71"/>
      <c r="N331" s="71"/>
      <c r="O331" s="71"/>
      <c r="P331" s="71"/>
      <c r="Q331" s="71"/>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c r="AR331" s="70"/>
      <c r="AS331" s="70"/>
    </row>
    <row r="332" spans="1:45" hidden="1" outlineLevel="1" x14ac:dyDescent="0.3">
      <c r="A332" s="58" t="s">
        <v>2769</v>
      </c>
      <c r="B332" s="58" t="s">
        <v>940</v>
      </c>
      <c r="C332" s="60" t="s">
        <v>840</v>
      </c>
      <c r="D332" s="479" t="s">
        <v>204</v>
      </c>
      <c r="E332" s="479" t="s">
        <v>204</v>
      </c>
      <c r="F332" s="479" t="s">
        <v>204</v>
      </c>
      <c r="G332" s="479" t="s">
        <v>204</v>
      </c>
      <c r="H332" s="479" t="s">
        <v>204</v>
      </c>
      <c r="I332" s="62"/>
      <c r="K332" s="71"/>
      <c r="L332" s="71"/>
      <c r="M332" s="71"/>
      <c r="N332" s="71"/>
      <c r="O332" s="71"/>
      <c r="P332" s="71"/>
      <c r="Q332" s="71"/>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c r="AR332" s="70"/>
      <c r="AS332" s="70"/>
    </row>
    <row r="333" spans="1:45" collapsed="1" x14ac:dyDescent="0.3">
      <c r="A333" s="60" t="s">
        <v>2774</v>
      </c>
      <c r="B333" s="58"/>
      <c r="C333" s="59" t="s">
        <v>2693</v>
      </c>
      <c r="D333" s="159">
        <v>61100</v>
      </c>
      <c r="E333" s="159">
        <v>61100</v>
      </c>
      <c r="F333" s="159">
        <v>61100</v>
      </c>
      <c r="G333" s="159">
        <v>61100</v>
      </c>
      <c r="H333" s="159">
        <v>61100</v>
      </c>
      <c r="I333" s="62"/>
      <c r="K333" s="70"/>
      <c r="L333" s="70"/>
      <c r="M333" s="71"/>
      <c r="N333" s="71"/>
      <c r="O333" s="71"/>
      <c r="P333" s="71"/>
      <c r="Q333" s="71"/>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c r="AR333" s="70"/>
      <c r="AS333" s="70"/>
    </row>
    <row r="334" spans="1:45" collapsed="1" x14ac:dyDescent="0.3">
      <c r="A334" s="60" t="s">
        <v>5</v>
      </c>
      <c r="B334" s="60" t="s">
        <v>847</v>
      </c>
      <c r="C334" s="60" t="s">
        <v>193</v>
      </c>
      <c r="D334" s="61">
        <v>2025</v>
      </c>
      <c r="E334" s="61">
        <v>2030</v>
      </c>
      <c r="F334" s="61">
        <v>2035</v>
      </c>
      <c r="G334" s="61">
        <v>2040</v>
      </c>
      <c r="H334" s="61">
        <v>2045</v>
      </c>
      <c r="I334" s="61" t="s">
        <v>153</v>
      </c>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c r="AR334" s="70"/>
      <c r="AS334" s="70"/>
    </row>
    <row r="335" spans="1:45" hidden="1" outlineLevel="1" x14ac:dyDescent="0.3">
      <c r="A335" s="58" t="s">
        <v>2774</v>
      </c>
      <c r="B335" s="58" t="s">
        <v>855</v>
      </c>
      <c r="C335" s="60" t="s">
        <v>747</v>
      </c>
      <c r="D335" s="479" t="s">
        <v>204</v>
      </c>
      <c r="E335" s="479" t="s">
        <v>204</v>
      </c>
      <c r="F335" s="479" t="s">
        <v>204</v>
      </c>
      <c r="G335" s="479" t="s">
        <v>204</v>
      </c>
      <c r="H335" s="479" t="s">
        <v>204</v>
      </c>
      <c r="I335" s="62"/>
      <c r="K335" s="70"/>
      <c r="L335" s="71"/>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c r="AR335" s="70"/>
      <c r="AS335" s="70"/>
    </row>
    <row r="336" spans="1:45" hidden="1" outlineLevel="1" x14ac:dyDescent="0.3">
      <c r="A336" s="58" t="s">
        <v>2774</v>
      </c>
      <c r="B336" s="58" t="s">
        <v>855</v>
      </c>
      <c r="C336" s="60" t="s">
        <v>751</v>
      </c>
      <c r="D336" s="162">
        <v>0</v>
      </c>
      <c r="E336" s="162">
        <v>0</v>
      </c>
      <c r="F336" s="162">
        <v>0</v>
      </c>
      <c r="G336" s="162">
        <v>0</v>
      </c>
      <c r="H336" s="162">
        <v>0</v>
      </c>
      <c r="I336" s="62" t="s">
        <v>2696</v>
      </c>
      <c r="K336" s="70"/>
      <c r="L336" s="71"/>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c r="AR336" s="70"/>
      <c r="AS336" s="70"/>
    </row>
    <row r="337" spans="1:45" hidden="1" outlineLevel="1" x14ac:dyDescent="0.3">
      <c r="A337" s="58" t="s">
        <v>2774</v>
      </c>
      <c r="B337" s="58" t="s">
        <v>855</v>
      </c>
      <c r="C337" s="60" t="s">
        <v>755</v>
      </c>
      <c r="D337" s="162">
        <v>0</v>
      </c>
      <c r="E337" s="162">
        <v>0</v>
      </c>
      <c r="F337" s="162">
        <v>0</v>
      </c>
      <c r="G337" s="162">
        <v>0</v>
      </c>
      <c r="H337" s="162">
        <v>0</v>
      </c>
      <c r="I337" s="62"/>
      <c r="K337" s="71"/>
      <c r="L337" s="71"/>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row>
    <row r="338" spans="1:45" hidden="1" outlineLevel="1" x14ac:dyDescent="0.3">
      <c r="A338" s="58" t="s">
        <v>2774</v>
      </c>
      <c r="B338" s="58" t="s">
        <v>855</v>
      </c>
      <c r="C338" s="60" t="s">
        <v>758</v>
      </c>
      <c r="D338" s="162">
        <v>0</v>
      </c>
      <c r="E338" s="162">
        <v>0</v>
      </c>
      <c r="F338" s="162">
        <v>0</v>
      </c>
      <c r="G338" s="162">
        <v>0</v>
      </c>
      <c r="H338" s="162">
        <v>0</v>
      </c>
      <c r="I338" s="62" t="s">
        <v>2699</v>
      </c>
      <c r="K338" s="71"/>
      <c r="L338" s="71"/>
      <c r="M338" s="71"/>
      <c r="N338" s="71"/>
      <c r="O338" s="71"/>
      <c r="P338" s="71"/>
      <c r="Q338" s="71"/>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c r="AR338" s="70"/>
      <c r="AS338" s="70"/>
    </row>
    <row r="339" spans="1:45" hidden="1" outlineLevel="1" x14ac:dyDescent="0.3">
      <c r="A339" s="58" t="s">
        <v>2774</v>
      </c>
      <c r="B339" s="58" t="s">
        <v>855</v>
      </c>
      <c r="C339" s="60" t="s">
        <v>761</v>
      </c>
      <c r="D339" s="162">
        <v>0</v>
      </c>
      <c r="E339" s="162">
        <v>0</v>
      </c>
      <c r="F339" s="162">
        <v>0</v>
      </c>
      <c r="G339" s="162">
        <v>0</v>
      </c>
      <c r="H339" s="162">
        <v>0</v>
      </c>
      <c r="I339" s="62"/>
      <c r="K339" s="71"/>
      <c r="L339" s="71"/>
      <c r="M339" s="71"/>
      <c r="N339" s="71"/>
      <c r="O339" s="71"/>
      <c r="P339" s="71"/>
      <c r="Q339" s="71"/>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row>
    <row r="340" spans="1:45" hidden="1" outlineLevel="1" x14ac:dyDescent="0.3">
      <c r="A340" s="58" t="s">
        <v>2774</v>
      </c>
      <c r="B340" s="58" t="s">
        <v>855</v>
      </c>
      <c r="C340" s="60" t="s">
        <v>763</v>
      </c>
      <c r="D340" s="162">
        <v>0</v>
      </c>
      <c r="E340" s="162">
        <v>0</v>
      </c>
      <c r="F340" s="162">
        <v>0</v>
      </c>
      <c r="G340" s="162">
        <v>0</v>
      </c>
      <c r="H340" s="162">
        <v>0</v>
      </c>
      <c r="I340" s="62" t="s">
        <v>2770</v>
      </c>
      <c r="K340" s="71"/>
      <c r="L340" s="71"/>
      <c r="M340" s="71"/>
      <c r="N340" s="71"/>
      <c r="O340" s="71"/>
      <c r="P340" s="71"/>
      <c r="Q340" s="71"/>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row>
    <row r="341" spans="1:45" hidden="1" outlineLevel="1" x14ac:dyDescent="0.3">
      <c r="A341" s="58" t="s">
        <v>2774</v>
      </c>
      <c r="B341" s="58" t="s">
        <v>855</v>
      </c>
      <c r="C341" s="60" t="s">
        <v>765</v>
      </c>
      <c r="D341" s="162">
        <v>0</v>
      </c>
      <c r="E341" s="162">
        <v>0</v>
      </c>
      <c r="F341" s="162">
        <v>0</v>
      </c>
      <c r="G341" s="162">
        <v>0</v>
      </c>
      <c r="H341" s="162">
        <v>0</v>
      </c>
      <c r="I341" s="62" t="s">
        <v>2722</v>
      </c>
      <c r="K341" s="70"/>
      <c r="L341" s="71"/>
      <c r="M341" s="71"/>
      <c r="N341" s="71"/>
      <c r="O341" s="71"/>
      <c r="P341" s="71"/>
      <c r="Q341" s="71"/>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row>
    <row r="342" spans="1:45" hidden="1" outlineLevel="1" x14ac:dyDescent="0.3">
      <c r="A342" s="58" t="s">
        <v>2774</v>
      </c>
      <c r="B342" s="58" t="s">
        <v>855</v>
      </c>
      <c r="C342" s="60" t="s">
        <v>768</v>
      </c>
      <c r="D342" s="479" t="s">
        <v>204</v>
      </c>
      <c r="E342" s="479" t="s">
        <v>204</v>
      </c>
      <c r="F342" s="479" t="s">
        <v>204</v>
      </c>
      <c r="G342" s="479" t="s">
        <v>204</v>
      </c>
      <c r="H342" s="479" t="s">
        <v>204</v>
      </c>
      <c r="I342" s="62"/>
      <c r="K342" s="181"/>
      <c r="L342" s="71"/>
      <c r="M342" s="71"/>
      <c r="N342" s="71"/>
      <c r="O342" s="71"/>
      <c r="P342" s="71"/>
      <c r="Q342" s="71"/>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row>
    <row r="343" spans="1:45" hidden="1" outlineLevel="1" x14ac:dyDescent="0.3">
      <c r="A343" s="58" t="s">
        <v>2774</v>
      </c>
      <c r="B343" s="58" t="s">
        <v>855</v>
      </c>
      <c r="C343" s="60" t="s">
        <v>771</v>
      </c>
      <c r="D343" s="162">
        <v>0</v>
      </c>
      <c r="E343" s="162">
        <v>0</v>
      </c>
      <c r="F343" s="162">
        <v>0</v>
      </c>
      <c r="G343" s="162">
        <v>0</v>
      </c>
      <c r="H343" s="162">
        <v>0</v>
      </c>
      <c r="I343" s="62"/>
      <c r="K343" s="71"/>
      <c r="L343" s="71"/>
      <c r="M343" s="71"/>
      <c r="N343" s="71"/>
      <c r="O343" s="71"/>
      <c r="P343" s="71"/>
      <c r="Q343" s="71"/>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row>
    <row r="344" spans="1:45" hidden="1" outlineLevel="1" x14ac:dyDescent="0.3">
      <c r="A344" s="58" t="s">
        <v>2774</v>
      </c>
      <c r="B344" s="58" t="s">
        <v>855</v>
      </c>
      <c r="C344" s="60" t="s">
        <v>772</v>
      </c>
      <c r="D344" s="162">
        <v>0</v>
      </c>
      <c r="E344" s="162">
        <v>0</v>
      </c>
      <c r="F344" s="162">
        <v>0</v>
      </c>
      <c r="G344" s="162">
        <v>0</v>
      </c>
      <c r="H344" s="162">
        <v>0</v>
      </c>
      <c r="I344" s="62"/>
      <c r="K344" s="71"/>
      <c r="L344" s="71"/>
      <c r="M344" s="71"/>
      <c r="N344" s="71"/>
      <c r="O344" s="71"/>
      <c r="P344" s="71"/>
      <c r="Q344" s="71"/>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row>
    <row r="345" spans="1:45" hidden="1" outlineLevel="1" x14ac:dyDescent="0.3">
      <c r="A345" s="58" t="s">
        <v>2774</v>
      </c>
      <c r="B345" s="58" t="s">
        <v>855</v>
      </c>
      <c r="C345" s="60" t="s">
        <v>774</v>
      </c>
      <c r="D345" s="162">
        <v>0</v>
      </c>
      <c r="E345" s="162">
        <v>0</v>
      </c>
      <c r="F345" s="162">
        <v>0</v>
      </c>
      <c r="G345" s="162">
        <v>0</v>
      </c>
      <c r="H345" s="162">
        <v>0</v>
      </c>
      <c r="I345" s="62" t="s">
        <v>2771</v>
      </c>
      <c r="K345" s="71"/>
      <c r="L345" s="71"/>
      <c r="M345" s="71"/>
      <c r="N345" s="71"/>
      <c r="O345" s="71"/>
      <c r="P345" s="71"/>
      <c r="Q345" s="71"/>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row>
    <row r="346" spans="1:45" hidden="1" outlineLevel="1" x14ac:dyDescent="0.3">
      <c r="A346" s="58" t="s">
        <v>2774</v>
      </c>
      <c r="B346" s="58" t="s">
        <v>855</v>
      </c>
      <c r="C346" s="60" t="s">
        <v>775</v>
      </c>
      <c r="D346" s="479" t="s">
        <v>204</v>
      </c>
      <c r="E346" s="479" t="s">
        <v>204</v>
      </c>
      <c r="F346" s="479" t="s">
        <v>204</v>
      </c>
      <c r="G346" s="479" t="s">
        <v>204</v>
      </c>
      <c r="H346" s="479" t="s">
        <v>204</v>
      </c>
      <c r="I346" s="62"/>
      <c r="K346" s="71"/>
      <c r="L346" s="71"/>
      <c r="M346" s="71"/>
      <c r="N346" s="71"/>
      <c r="O346" s="71"/>
      <c r="P346" s="71"/>
      <c r="Q346" s="71"/>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row>
    <row r="347" spans="1:45" hidden="1" outlineLevel="1" x14ac:dyDescent="0.3">
      <c r="A347" s="58" t="s">
        <v>2774</v>
      </c>
      <c r="B347" s="58" t="s">
        <v>855</v>
      </c>
      <c r="C347" s="60" t="s">
        <v>779</v>
      </c>
      <c r="D347" s="479" t="s">
        <v>204</v>
      </c>
      <c r="E347" s="479" t="s">
        <v>204</v>
      </c>
      <c r="F347" s="479" t="s">
        <v>204</v>
      </c>
      <c r="G347" s="479" t="s">
        <v>204</v>
      </c>
      <c r="H347" s="479" t="s">
        <v>204</v>
      </c>
      <c r="I347" s="62"/>
      <c r="K347" s="71"/>
      <c r="L347" s="71"/>
      <c r="M347" s="71"/>
      <c r="N347" s="71"/>
      <c r="O347" s="71"/>
      <c r="P347" s="71"/>
      <c r="Q347" s="71"/>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row>
    <row r="348" spans="1:45" hidden="1" outlineLevel="1" x14ac:dyDescent="0.3">
      <c r="A348" s="58" t="s">
        <v>2774</v>
      </c>
      <c r="B348" s="58" t="s">
        <v>894</v>
      </c>
      <c r="C348" s="60" t="s">
        <v>781</v>
      </c>
      <c r="D348" s="479" t="s">
        <v>204</v>
      </c>
      <c r="E348" s="479" t="s">
        <v>204</v>
      </c>
      <c r="F348" s="479" t="s">
        <v>204</v>
      </c>
      <c r="G348" s="479" t="s">
        <v>204</v>
      </c>
      <c r="H348" s="479" t="s">
        <v>204</v>
      </c>
      <c r="I348" s="62"/>
      <c r="K348" s="71"/>
      <c r="L348" s="71"/>
      <c r="M348" s="71"/>
      <c r="N348" s="71"/>
      <c r="O348" s="71"/>
      <c r="P348" s="71"/>
      <c r="Q348" s="71"/>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row>
    <row r="349" spans="1:45" hidden="1" outlineLevel="1" x14ac:dyDescent="0.3">
      <c r="A349" s="58" t="s">
        <v>2774</v>
      </c>
      <c r="B349" s="58" t="s">
        <v>894</v>
      </c>
      <c r="C349" s="60" t="s">
        <v>783</v>
      </c>
      <c r="D349" s="162">
        <v>0</v>
      </c>
      <c r="E349" s="162">
        <v>0</v>
      </c>
      <c r="F349" s="162">
        <v>0</v>
      </c>
      <c r="G349" s="162">
        <v>0</v>
      </c>
      <c r="H349" s="162">
        <v>0</v>
      </c>
      <c r="I349" s="62" t="s">
        <v>2706</v>
      </c>
      <c r="K349" s="71"/>
      <c r="L349" s="71"/>
      <c r="M349" s="71"/>
      <c r="N349" s="71"/>
      <c r="O349" s="71"/>
      <c r="P349" s="71"/>
      <c r="Q349" s="71"/>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row>
    <row r="350" spans="1:45" hidden="1" outlineLevel="1" x14ac:dyDescent="0.3">
      <c r="A350" s="58" t="s">
        <v>2774</v>
      </c>
      <c r="B350" s="58" t="s">
        <v>894</v>
      </c>
      <c r="C350" s="60" t="s">
        <v>785</v>
      </c>
      <c r="D350" s="350">
        <v>0</v>
      </c>
      <c r="E350" s="350">
        <v>0</v>
      </c>
      <c r="F350" s="350">
        <v>0</v>
      </c>
      <c r="G350" s="350">
        <v>0</v>
      </c>
      <c r="H350" s="350">
        <v>0</v>
      </c>
      <c r="I350" s="62" t="s">
        <v>2724</v>
      </c>
      <c r="K350" s="71"/>
      <c r="L350" s="71"/>
      <c r="M350" s="71"/>
      <c r="N350" s="71"/>
      <c r="O350" s="71"/>
      <c r="P350" s="71"/>
      <c r="Q350" s="71"/>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row>
    <row r="351" spans="1:45" hidden="1" outlineLevel="1" x14ac:dyDescent="0.3">
      <c r="A351" s="58" t="s">
        <v>2774</v>
      </c>
      <c r="B351" s="58" t="s">
        <v>894</v>
      </c>
      <c r="C351" s="60" t="s">
        <v>787</v>
      </c>
      <c r="D351" s="479" t="s">
        <v>204</v>
      </c>
      <c r="E351" s="479" t="s">
        <v>204</v>
      </c>
      <c r="F351" s="479" t="s">
        <v>204</v>
      </c>
      <c r="G351" s="479" t="s">
        <v>204</v>
      </c>
      <c r="H351" s="479" t="s">
        <v>204</v>
      </c>
      <c r="I351" s="62"/>
      <c r="K351" s="71"/>
      <c r="L351" s="71"/>
      <c r="M351" s="71"/>
      <c r="N351" s="71"/>
      <c r="O351" s="71"/>
      <c r="P351" s="71"/>
      <c r="Q351" s="71"/>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row>
    <row r="352" spans="1:45" hidden="1" outlineLevel="1" x14ac:dyDescent="0.3">
      <c r="A352" s="58" t="s">
        <v>2774</v>
      </c>
      <c r="B352" s="58" t="s">
        <v>894</v>
      </c>
      <c r="C352" s="60" t="s">
        <v>788</v>
      </c>
      <c r="D352" s="479" t="s">
        <v>204</v>
      </c>
      <c r="E352" s="479" t="s">
        <v>204</v>
      </c>
      <c r="F352" s="479" t="s">
        <v>204</v>
      </c>
      <c r="G352" s="479" t="s">
        <v>204</v>
      </c>
      <c r="H352" s="479" t="s">
        <v>204</v>
      </c>
      <c r="I352" s="62"/>
      <c r="K352" s="71"/>
      <c r="L352" s="71"/>
      <c r="M352" s="71"/>
      <c r="N352" s="71"/>
      <c r="O352" s="71"/>
      <c r="P352" s="71"/>
      <c r="Q352" s="71"/>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row>
    <row r="353" spans="1:45" hidden="1" outlineLevel="1" x14ac:dyDescent="0.3">
      <c r="A353" s="58" t="s">
        <v>2774</v>
      </c>
      <c r="B353" s="58" t="s">
        <v>894</v>
      </c>
      <c r="C353" s="60" t="s">
        <v>789</v>
      </c>
      <c r="D353" s="479" t="s">
        <v>204</v>
      </c>
      <c r="E353" s="479" t="s">
        <v>204</v>
      </c>
      <c r="F353" s="479" t="s">
        <v>204</v>
      </c>
      <c r="G353" s="479" t="s">
        <v>204</v>
      </c>
      <c r="H353" s="479" t="s">
        <v>204</v>
      </c>
      <c r="I353" s="62"/>
      <c r="K353" s="71"/>
      <c r="L353" s="71"/>
      <c r="M353" s="71"/>
      <c r="N353" s="71"/>
      <c r="O353" s="71"/>
      <c r="P353" s="71"/>
      <c r="Q353" s="71"/>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row>
    <row r="354" spans="1:45" hidden="1" outlineLevel="1" x14ac:dyDescent="0.3">
      <c r="A354" s="58" t="s">
        <v>2774</v>
      </c>
      <c r="B354" s="58" t="s">
        <v>894</v>
      </c>
      <c r="C354" s="60" t="s">
        <v>790</v>
      </c>
      <c r="D354" s="350">
        <v>0</v>
      </c>
      <c r="E354" s="350">
        <v>0</v>
      </c>
      <c r="F354" s="350">
        <v>0</v>
      </c>
      <c r="G354" s="350">
        <v>0</v>
      </c>
      <c r="H354" s="350">
        <v>0</v>
      </c>
      <c r="I354" s="62" t="s">
        <v>2725</v>
      </c>
      <c r="K354" s="71"/>
      <c r="L354" s="71"/>
      <c r="M354" s="71"/>
      <c r="N354" s="71"/>
      <c r="O354" s="71"/>
      <c r="P354" s="71"/>
      <c r="Q354" s="71"/>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row>
    <row r="355" spans="1:45" hidden="1" outlineLevel="1" x14ac:dyDescent="0.3">
      <c r="A355" s="58" t="s">
        <v>2774</v>
      </c>
      <c r="B355" s="58" t="s">
        <v>894</v>
      </c>
      <c r="C355" s="60" t="s">
        <v>793</v>
      </c>
      <c r="D355" s="479" t="s">
        <v>204</v>
      </c>
      <c r="E355" s="479" t="s">
        <v>204</v>
      </c>
      <c r="F355" s="479" t="s">
        <v>204</v>
      </c>
      <c r="G355" s="479" t="s">
        <v>204</v>
      </c>
      <c r="H355" s="479" t="s">
        <v>204</v>
      </c>
      <c r="I355" s="62"/>
      <c r="K355" s="71"/>
      <c r="L355" s="71"/>
      <c r="M355" s="71"/>
      <c r="N355" s="71"/>
      <c r="O355" s="71"/>
      <c r="P355" s="71"/>
      <c r="Q355" s="71"/>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row>
    <row r="356" spans="1:45" hidden="1" outlineLevel="1" x14ac:dyDescent="0.3">
      <c r="A356" s="58" t="s">
        <v>2774</v>
      </c>
      <c r="B356" s="58" t="s">
        <v>894</v>
      </c>
      <c r="C356" s="60" t="s">
        <v>795</v>
      </c>
      <c r="D356" s="479" t="s">
        <v>204</v>
      </c>
      <c r="E356" s="479" t="s">
        <v>204</v>
      </c>
      <c r="F356" s="479" t="s">
        <v>204</v>
      </c>
      <c r="G356" s="479" t="s">
        <v>204</v>
      </c>
      <c r="H356" s="479" t="s">
        <v>204</v>
      </c>
      <c r="I356" s="62"/>
      <c r="K356" s="71"/>
      <c r="L356" s="71"/>
      <c r="M356" s="71"/>
      <c r="N356" s="71"/>
      <c r="O356" s="71"/>
      <c r="P356" s="71"/>
      <c r="Q356" s="71"/>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row>
    <row r="357" spans="1:45" hidden="1" outlineLevel="1" x14ac:dyDescent="0.3">
      <c r="A357" s="58" t="s">
        <v>2774</v>
      </c>
      <c r="B357" s="58" t="s">
        <v>894</v>
      </c>
      <c r="C357" s="60" t="s">
        <v>797</v>
      </c>
      <c r="D357" s="162">
        <v>0</v>
      </c>
      <c r="E357" s="162">
        <v>0</v>
      </c>
      <c r="F357" s="162">
        <v>0</v>
      </c>
      <c r="G357" s="162">
        <v>0</v>
      </c>
      <c r="H357" s="162">
        <v>0</v>
      </c>
      <c r="I357" s="62" t="s">
        <v>2726</v>
      </c>
      <c r="K357" s="71"/>
      <c r="L357" s="71"/>
      <c r="M357" s="71"/>
      <c r="N357" s="71"/>
      <c r="O357" s="71"/>
      <c r="P357" s="71"/>
      <c r="Q357" s="71"/>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row>
    <row r="358" spans="1:45" hidden="1" outlineLevel="1" x14ac:dyDescent="0.3">
      <c r="A358" s="58" t="s">
        <v>2774</v>
      </c>
      <c r="B358" s="58" t="s">
        <v>915</v>
      </c>
      <c r="C358" s="60" t="s">
        <v>799</v>
      </c>
      <c r="D358" s="162">
        <v>0</v>
      </c>
      <c r="E358" s="162">
        <v>0</v>
      </c>
      <c r="F358" s="162">
        <v>0</v>
      </c>
      <c r="G358" s="162">
        <v>0</v>
      </c>
      <c r="H358" s="162">
        <v>0</v>
      </c>
      <c r="I358" s="62" t="s">
        <v>2775</v>
      </c>
      <c r="K358" s="182"/>
      <c r="L358" s="71"/>
      <c r="M358" s="71"/>
      <c r="N358" s="71"/>
      <c r="O358" s="71"/>
      <c r="P358" s="71"/>
      <c r="Q358" s="71"/>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row>
    <row r="359" spans="1:45" hidden="1" outlineLevel="1" x14ac:dyDescent="0.3">
      <c r="A359" s="58" t="s">
        <v>2774</v>
      </c>
      <c r="B359" s="58" t="s">
        <v>915</v>
      </c>
      <c r="C359" s="60" t="s">
        <v>801</v>
      </c>
      <c r="D359" s="162">
        <v>5100</v>
      </c>
      <c r="E359" s="162">
        <v>5100</v>
      </c>
      <c r="F359" s="162">
        <v>5100</v>
      </c>
      <c r="G359" s="162">
        <v>5100</v>
      </c>
      <c r="H359" s="162">
        <v>5100</v>
      </c>
      <c r="I359" s="62" t="s">
        <v>2728</v>
      </c>
      <c r="K359" s="71"/>
      <c r="L359" s="71"/>
      <c r="M359" s="71"/>
      <c r="N359" s="71"/>
      <c r="O359" s="71"/>
      <c r="P359" s="71"/>
      <c r="Q359" s="71"/>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row>
    <row r="360" spans="1:45" hidden="1" outlineLevel="1" x14ac:dyDescent="0.3">
      <c r="A360" s="58" t="s">
        <v>2774</v>
      </c>
      <c r="B360" s="58" t="s">
        <v>915</v>
      </c>
      <c r="C360" s="60" t="s">
        <v>804</v>
      </c>
      <c r="D360" s="162">
        <v>0</v>
      </c>
      <c r="E360" s="162">
        <v>0</v>
      </c>
      <c r="F360" s="162">
        <v>0</v>
      </c>
      <c r="G360" s="162">
        <v>0</v>
      </c>
      <c r="H360" s="162">
        <v>0</v>
      </c>
      <c r="I360" s="62"/>
      <c r="K360" s="70"/>
      <c r="L360" s="71"/>
      <c r="M360" s="71"/>
      <c r="N360" s="71"/>
      <c r="O360" s="71"/>
      <c r="P360" s="71"/>
      <c r="Q360" s="71"/>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row>
    <row r="361" spans="1:45" hidden="1" outlineLevel="1" x14ac:dyDescent="0.3">
      <c r="A361" s="58" t="s">
        <v>2774</v>
      </c>
      <c r="B361" s="58" t="s">
        <v>915</v>
      </c>
      <c r="C361" s="60" t="s">
        <v>806</v>
      </c>
      <c r="D361" s="162">
        <v>0</v>
      </c>
      <c r="E361" s="162">
        <v>0</v>
      </c>
      <c r="F361" s="162">
        <v>0</v>
      </c>
      <c r="G361" s="162">
        <v>0</v>
      </c>
      <c r="H361" s="162">
        <v>0</v>
      </c>
      <c r="I361" s="62"/>
      <c r="K361" s="71"/>
      <c r="L361" s="71"/>
      <c r="M361" s="71"/>
      <c r="N361" s="71"/>
      <c r="O361" s="71"/>
      <c r="P361" s="71"/>
      <c r="Q361" s="71"/>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row>
    <row r="362" spans="1:45" hidden="1" outlineLevel="1" x14ac:dyDescent="0.3">
      <c r="A362" s="58" t="s">
        <v>2774</v>
      </c>
      <c r="B362" s="58" t="s">
        <v>915</v>
      </c>
      <c r="C362" s="60" t="s">
        <v>808</v>
      </c>
      <c r="D362" s="162">
        <v>0</v>
      </c>
      <c r="E362" s="162">
        <v>0</v>
      </c>
      <c r="F362" s="162">
        <v>0</v>
      </c>
      <c r="G362" s="162">
        <v>0</v>
      </c>
      <c r="H362" s="162">
        <v>0</v>
      </c>
      <c r="I362" s="62"/>
      <c r="K362" s="71"/>
      <c r="L362" s="71"/>
      <c r="M362" s="71"/>
      <c r="N362" s="71"/>
      <c r="O362" s="71"/>
      <c r="P362" s="71"/>
      <c r="Q362" s="71"/>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row>
    <row r="363" spans="1:45" hidden="1" outlineLevel="1" x14ac:dyDescent="0.3">
      <c r="A363" s="58" t="s">
        <v>2774</v>
      </c>
      <c r="B363" s="58" t="s">
        <v>915</v>
      </c>
      <c r="C363" s="60" t="s">
        <v>811</v>
      </c>
      <c r="D363" s="162">
        <v>0</v>
      </c>
      <c r="E363" s="162">
        <v>0</v>
      </c>
      <c r="F363" s="162">
        <v>0</v>
      </c>
      <c r="G363" s="162">
        <v>0</v>
      </c>
      <c r="H363" s="162">
        <v>0</v>
      </c>
      <c r="I363" s="62" t="s">
        <v>2713</v>
      </c>
      <c r="K363" s="71"/>
      <c r="L363" s="71"/>
      <c r="M363" s="71"/>
      <c r="N363" s="71"/>
      <c r="O363" s="71"/>
      <c r="P363" s="71"/>
      <c r="Q363" s="71"/>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row>
    <row r="364" spans="1:45" hidden="1" outlineLevel="1" x14ac:dyDescent="0.3">
      <c r="A364" s="58" t="s">
        <v>2774</v>
      </c>
      <c r="B364" s="58" t="s">
        <v>934</v>
      </c>
      <c r="C364" s="60" t="s">
        <v>814</v>
      </c>
      <c r="D364" s="162" t="s">
        <v>204</v>
      </c>
      <c r="E364" s="162" t="s">
        <v>204</v>
      </c>
      <c r="F364" s="162" t="s">
        <v>204</v>
      </c>
      <c r="G364" s="162" t="s">
        <v>204</v>
      </c>
      <c r="H364" s="162" t="s">
        <v>204</v>
      </c>
      <c r="I364" s="62"/>
      <c r="K364" s="71"/>
      <c r="L364" s="71"/>
      <c r="M364" s="71"/>
      <c r="N364" s="71"/>
      <c r="O364" s="71"/>
      <c r="P364" s="71"/>
      <c r="Q364" s="71"/>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row>
    <row r="365" spans="1:45" hidden="1" outlineLevel="1" x14ac:dyDescent="0.3">
      <c r="A365" s="58" t="s">
        <v>2774</v>
      </c>
      <c r="B365" s="58" t="s">
        <v>934</v>
      </c>
      <c r="C365" s="60" t="s">
        <v>815</v>
      </c>
      <c r="D365" s="479" t="s">
        <v>204</v>
      </c>
      <c r="E365" s="479" t="s">
        <v>204</v>
      </c>
      <c r="F365" s="479" t="s">
        <v>204</v>
      </c>
      <c r="G365" s="479" t="s">
        <v>204</v>
      </c>
      <c r="H365" s="479" t="s">
        <v>204</v>
      </c>
      <c r="I365" s="62"/>
      <c r="K365" s="71"/>
      <c r="L365" s="71"/>
      <c r="M365" s="71"/>
      <c r="N365" s="71"/>
      <c r="O365" s="71"/>
      <c r="P365" s="71"/>
      <c r="Q365" s="71"/>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row>
    <row r="366" spans="1:45" hidden="1" outlineLevel="1" x14ac:dyDescent="0.3">
      <c r="A366" s="58" t="s">
        <v>2774</v>
      </c>
      <c r="B366" s="58" t="s">
        <v>940</v>
      </c>
      <c r="C366" s="60" t="s">
        <v>817</v>
      </c>
      <c r="D366" s="162">
        <v>0</v>
      </c>
      <c r="E366" s="162">
        <v>0</v>
      </c>
      <c r="F366" s="162">
        <v>0</v>
      </c>
      <c r="G366" s="162">
        <v>0</v>
      </c>
      <c r="H366" s="162">
        <v>0</v>
      </c>
      <c r="I366" s="62" t="s">
        <v>2731</v>
      </c>
      <c r="K366" s="71"/>
      <c r="L366" s="71"/>
      <c r="M366" s="71"/>
      <c r="N366" s="71"/>
      <c r="O366" s="71"/>
      <c r="P366" s="71"/>
      <c r="Q366" s="71"/>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row>
    <row r="367" spans="1:45" hidden="1" outlineLevel="1" x14ac:dyDescent="0.3">
      <c r="A367" s="58" t="s">
        <v>2774</v>
      </c>
      <c r="B367" s="58" t="s">
        <v>940</v>
      </c>
      <c r="C367" s="60" t="s">
        <v>944</v>
      </c>
      <c r="D367" s="162">
        <v>0</v>
      </c>
      <c r="E367" s="162">
        <v>0</v>
      </c>
      <c r="F367" s="162">
        <v>0</v>
      </c>
      <c r="G367" s="162">
        <v>0</v>
      </c>
      <c r="H367" s="162">
        <v>0</v>
      </c>
      <c r="I367" s="62"/>
      <c r="K367" s="71"/>
      <c r="L367" s="71"/>
      <c r="M367" s="71"/>
      <c r="N367" s="71"/>
      <c r="O367" s="71"/>
      <c r="P367" s="71"/>
      <c r="Q367" s="71"/>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row>
    <row r="368" spans="1:45" hidden="1" outlineLevel="1" x14ac:dyDescent="0.3">
      <c r="A368" s="58" t="s">
        <v>2774</v>
      </c>
      <c r="B368" s="58" t="s">
        <v>940</v>
      </c>
      <c r="C368" s="60" t="s">
        <v>821</v>
      </c>
      <c r="D368" s="479" t="s">
        <v>204</v>
      </c>
      <c r="E368" s="479" t="s">
        <v>204</v>
      </c>
      <c r="F368" s="479" t="s">
        <v>204</v>
      </c>
      <c r="G368" s="479" t="s">
        <v>204</v>
      </c>
      <c r="H368" s="479" t="s">
        <v>204</v>
      </c>
      <c r="I368" s="62"/>
      <c r="K368" s="71"/>
      <c r="L368" s="71"/>
      <c r="M368" s="71"/>
      <c r="N368" s="71"/>
      <c r="O368" s="71"/>
      <c r="P368" s="71"/>
      <c r="Q368" s="71"/>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row>
    <row r="369" spans="1:45" hidden="1" outlineLevel="1" x14ac:dyDescent="0.3">
      <c r="A369" s="58" t="s">
        <v>2774</v>
      </c>
      <c r="B369" s="58" t="s">
        <v>940</v>
      </c>
      <c r="C369" s="60" t="s">
        <v>823</v>
      </c>
      <c r="D369" s="479" t="s">
        <v>204</v>
      </c>
      <c r="E369" s="479" t="s">
        <v>204</v>
      </c>
      <c r="F369" s="479" t="s">
        <v>204</v>
      </c>
      <c r="G369" s="479" t="s">
        <v>204</v>
      </c>
      <c r="H369" s="479" t="s">
        <v>204</v>
      </c>
      <c r="I369" s="62"/>
      <c r="K369" s="71"/>
      <c r="L369" s="71"/>
      <c r="M369" s="71"/>
      <c r="N369" s="71"/>
      <c r="O369" s="71"/>
      <c r="P369" s="71"/>
      <c r="Q369" s="71"/>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row>
    <row r="370" spans="1:45" hidden="1" outlineLevel="1" x14ac:dyDescent="0.3">
      <c r="A370" s="58" t="s">
        <v>2774</v>
      </c>
      <c r="B370" s="58" t="s">
        <v>940</v>
      </c>
      <c r="C370" s="60" t="s">
        <v>825</v>
      </c>
      <c r="D370" s="479" t="s">
        <v>204</v>
      </c>
      <c r="E370" s="479" t="s">
        <v>204</v>
      </c>
      <c r="F370" s="479" t="s">
        <v>204</v>
      </c>
      <c r="G370" s="479" t="s">
        <v>204</v>
      </c>
      <c r="H370" s="479" t="s">
        <v>204</v>
      </c>
      <c r="I370" s="62"/>
      <c r="K370" s="71"/>
      <c r="L370" s="71"/>
      <c r="M370" s="71"/>
      <c r="N370" s="71"/>
      <c r="O370" s="71"/>
      <c r="P370" s="71"/>
      <c r="Q370" s="71"/>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row>
    <row r="371" spans="1:45" hidden="1" outlineLevel="1" x14ac:dyDescent="0.3">
      <c r="A371" s="58" t="s">
        <v>2774</v>
      </c>
      <c r="B371" s="58" t="s">
        <v>940</v>
      </c>
      <c r="C371" s="60" t="s">
        <v>827</v>
      </c>
      <c r="D371" s="162">
        <v>56000</v>
      </c>
      <c r="E371" s="162">
        <v>56000</v>
      </c>
      <c r="F371" s="162">
        <v>56000</v>
      </c>
      <c r="G371" s="162">
        <v>56000</v>
      </c>
      <c r="H371" s="162">
        <v>56000</v>
      </c>
      <c r="I371" s="62" t="s">
        <v>2776</v>
      </c>
      <c r="K371" s="71"/>
      <c r="L371" s="71"/>
      <c r="M371" s="71"/>
      <c r="N371" s="71"/>
      <c r="O371" s="71"/>
      <c r="P371" s="71"/>
      <c r="Q371" s="71"/>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row>
    <row r="372" spans="1:45" hidden="1" outlineLevel="1" x14ac:dyDescent="0.3">
      <c r="A372" s="58" t="s">
        <v>2774</v>
      </c>
      <c r="B372" s="58" t="s">
        <v>940</v>
      </c>
      <c r="C372" s="60" t="s">
        <v>829</v>
      </c>
      <c r="D372" s="162">
        <v>0</v>
      </c>
      <c r="E372" s="162">
        <v>0</v>
      </c>
      <c r="F372" s="162">
        <v>0</v>
      </c>
      <c r="G372" s="162">
        <v>0</v>
      </c>
      <c r="H372" s="162">
        <v>0</v>
      </c>
      <c r="I372" s="62" t="s">
        <v>2715</v>
      </c>
      <c r="K372" s="71"/>
      <c r="L372" s="71"/>
      <c r="M372" s="71"/>
      <c r="N372" s="71"/>
      <c r="O372" s="71"/>
      <c r="P372" s="71"/>
      <c r="Q372" s="71"/>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row>
    <row r="373" spans="1:45" hidden="1" outlineLevel="1" x14ac:dyDescent="0.3">
      <c r="A373" s="58" t="s">
        <v>2774</v>
      </c>
      <c r="B373" s="58" t="s">
        <v>940</v>
      </c>
      <c r="C373" s="60" t="s">
        <v>833</v>
      </c>
      <c r="D373" s="350">
        <v>0</v>
      </c>
      <c r="E373" s="350">
        <v>0</v>
      </c>
      <c r="F373" s="350">
        <v>0</v>
      </c>
      <c r="G373" s="350">
        <v>0</v>
      </c>
      <c r="H373" s="350">
        <v>0</v>
      </c>
      <c r="I373" s="62" t="s">
        <v>2732</v>
      </c>
      <c r="K373" s="71"/>
      <c r="L373" s="71"/>
      <c r="M373" s="71"/>
      <c r="N373" s="71"/>
      <c r="O373" s="71"/>
      <c r="P373" s="71"/>
      <c r="Q373" s="71"/>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row>
    <row r="374" spans="1:45" hidden="1" outlineLevel="1" x14ac:dyDescent="0.3">
      <c r="A374" s="58" t="s">
        <v>2774</v>
      </c>
      <c r="B374" s="58" t="s">
        <v>940</v>
      </c>
      <c r="C374" s="60" t="s">
        <v>836</v>
      </c>
      <c r="D374" s="162">
        <v>0</v>
      </c>
      <c r="E374" s="162">
        <v>0</v>
      </c>
      <c r="F374" s="162">
        <v>0</v>
      </c>
      <c r="G374" s="162">
        <v>0</v>
      </c>
      <c r="H374" s="162">
        <v>0</v>
      </c>
      <c r="I374" s="62"/>
      <c r="K374" s="71"/>
      <c r="L374" s="71"/>
      <c r="M374" s="71"/>
      <c r="N374" s="71"/>
      <c r="O374" s="71"/>
      <c r="P374" s="71"/>
      <c r="Q374" s="71"/>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row>
    <row r="375" spans="1:45" hidden="1" outlineLevel="1" x14ac:dyDescent="0.3">
      <c r="A375" s="58" t="s">
        <v>2774</v>
      </c>
      <c r="B375" s="58" t="s">
        <v>940</v>
      </c>
      <c r="C375" s="60" t="s">
        <v>837</v>
      </c>
      <c r="D375" s="479" t="s">
        <v>204</v>
      </c>
      <c r="E375" s="479" t="s">
        <v>204</v>
      </c>
      <c r="F375" s="479" t="s">
        <v>204</v>
      </c>
      <c r="G375" s="479" t="s">
        <v>204</v>
      </c>
      <c r="H375" s="479" t="s">
        <v>204</v>
      </c>
      <c r="I375" s="62"/>
      <c r="K375" s="71"/>
      <c r="L375" s="71"/>
      <c r="M375" s="71"/>
      <c r="N375" s="71"/>
      <c r="O375" s="71"/>
      <c r="P375" s="71"/>
      <c r="Q375" s="71"/>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row>
    <row r="376" spans="1:45" hidden="1" outlineLevel="1" x14ac:dyDescent="0.3">
      <c r="A376" s="58" t="s">
        <v>2774</v>
      </c>
      <c r="B376" s="58" t="s">
        <v>940</v>
      </c>
      <c r="C376" s="60" t="s">
        <v>839</v>
      </c>
      <c r="D376" s="162">
        <v>0</v>
      </c>
      <c r="E376" s="162">
        <v>0</v>
      </c>
      <c r="F376" s="162">
        <v>0</v>
      </c>
      <c r="G376" s="162">
        <v>0</v>
      </c>
      <c r="H376" s="162">
        <v>0</v>
      </c>
      <c r="I376" s="62" t="s">
        <v>2718</v>
      </c>
      <c r="K376" s="71"/>
      <c r="L376" s="71"/>
      <c r="M376" s="71"/>
      <c r="N376" s="71"/>
      <c r="O376" s="71"/>
      <c r="P376" s="71"/>
      <c r="Q376" s="71"/>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row>
    <row r="377" spans="1:45" hidden="1" outlineLevel="1" x14ac:dyDescent="0.3">
      <c r="A377" s="58" t="s">
        <v>2774</v>
      </c>
      <c r="B377" s="58" t="s">
        <v>940</v>
      </c>
      <c r="C377" s="60" t="s">
        <v>840</v>
      </c>
      <c r="D377" s="479" t="s">
        <v>204</v>
      </c>
      <c r="E377" s="479" t="s">
        <v>204</v>
      </c>
      <c r="F377" s="479" t="s">
        <v>204</v>
      </c>
      <c r="G377" s="479" t="s">
        <v>204</v>
      </c>
      <c r="H377" s="479" t="s">
        <v>204</v>
      </c>
      <c r="I377" s="62"/>
      <c r="K377" s="71"/>
      <c r="L377" s="71"/>
      <c r="M377" s="71"/>
      <c r="N377" s="71"/>
      <c r="O377" s="71"/>
      <c r="P377" s="71"/>
      <c r="Q377" s="71"/>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row>
    <row r="378" spans="1:45" collapsed="1" x14ac:dyDescent="0.3">
      <c r="A378" s="60" t="s">
        <v>2777</v>
      </c>
      <c r="B378" s="58"/>
      <c r="C378" s="59" t="s">
        <v>2693</v>
      </c>
      <c r="D378" s="159">
        <v>61100</v>
      </c>
      <c r="E378" s="159">
        <v>61100</v>
      </c>
      <c r="F378" s="159">
        <v>61100</v>
      </c>
      <c r="G378" s="159">
        <v>61100</v>
      </c>
      <c r="H378" s="159">
        <v>61100</v>
      </c>
      <c r="I378" s="62"/>
      <c r="K378" s="70"/>
      <c r="L378" s="70"/>
      <c r="M378" s="71"/>
      <c r="N378" s="71"/>
      <c r="O378" s="71"/>
      <c r="P378" s="71"/>
      <c r="Q378" s="71"/>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row>
    <row r="379" spans="1:45" x14ac:dyDescent="0.3">
      <c r="A379" s="60" t="s">
        <v>5</v>
      </c>
      <c r="B379" s="60" t="s">
        <v>847</v>
      </c>
      <c r="C379" s="60" t="s">
        <v>193</v>
      </c>
      <c r="D379" s="61">
        <v>2025</v>
      </c>
      <c r="E379" s="61">
        <v>2030</v>
      </c>
      <c r="F379" s="61">
        <v>2035</v>
      </c>
      <c r="G379" s="61">
        <v>2040</v>
      </c>
      <c r="H379" s="61">
        <v>2045</v>
      </c>
      <c r="I379" s="61" t="s">
        <v>153</v>
      </c>
      <c r="K379" s="70"/>
      <c r="L379" s="70"/>
      <c r="M379" s="71"/>
      <c r="N379" s="71"/>
      <c r="O379" s="71"/>
      <c r="P379" s="71"/>
      <c r="Q379" s="71"/>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row>
    <row r="380" spans="1:45" hidden="1" outlineLevel="1" collapsed="1" x14ac:dyDescent="0.3">
      <c r="A380" s="58" t="s">
        <v>2777</v>
      </c>
      <c r="B380" s="58" t="s">
        <v>855</v>
      </c>
      <c r="C380" s="60" t="s">
        <v>747</v>
      </c>
      <c r="D380" s="479" t="s">
        <v>204</v>
      </c>
      <c r="E380" s="479" t="s">
        <v>204</v>
      </c>
      <c r="F380" s="479" t="s">
        <v>204</v>
      </c>
      <c r="G380" s="479" t="s">
        <v>204</v>
      </c>
      <c r="H380" s="479" t="s">
        <v>204</v>
      </c>
      <c r="I380" s="62"/>
      <c r="K380" s="70"/>
      <c r="L380" s="71"/>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row>
    <row r="381" spans="1:45" hidden="1" outlineLevel="1" collapsed="1" x14ac:dyDescent="0.3">
      <c r="A381" s="58" t="s">
        <v>2777</v>
      </c>
      <c r="B381" s="58" t="s">
        <v>855</v>
      </c>
      <c r="C381" s="60" t="s">
        <v>751</v>
      </c>
      <c r="D381" s="162">
        <v>0</v>
      </c>
      <c r="E381" s="162">
        <v>0</v>
      </c>
      <c r="F381" s="162">
        <v>0</v>
      </c>
      <c r="G381" s="162">
        <v>0</v>
      </c>
      <c r="H381" s="162">
        <v>0</v>
      </c>
      <c r="I381" s="62" t="s">
        <v>2696</v>
      </c>
      <c r="K381" s="70"/>
      <c r="L381" s="71"/>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row>
    <row r="382" spans="1:45" hidden="1" outlineLevel="1" x14ac:dyDescent="0.3">
      <c r="A382" s="58" t="s">
        <v>2777</v>
      </c>
      <c r="B382" s="58" t="s">
        <v>855</v>
      </c>
      <c r="C382" s="60" t="s">
        <v>755</v>
      </c>
      <c r="D382" s="162">
        <v>0</v>
      </c>
      <c r="E382" s="162">
        <v>0</v>
      </c>
      <c r="F382" s="162">
        <v>0</v>
      </c>
      <c r="G382" s="162">
        <v>0</v>
      </c>
      <c r="H382" s="162">
        <v>0</v>
      </c>
      <c r="I382" s="62"/>
      <c r="K382" s="71"/>
      <c r="L382" s="71"/>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row>
    <row r="383" spans="1:45" hidden="1" outlineLevel="1" x14ac:dyDescent="0.3">
      <c r="A383" s="58" t="s">
        <v>2777</v>
      </c>
      <c r="B383" s="58" t="s">
        <v>855</v>
      </c>
      <c r="C383" s="60" t="s">
        <v>758</v>
      </c>
      <c r="D383" s="162">
        <v>0</v>
      </c>
      <c r="E383" s="162">
        <v>0</v>
      </c>
      <c r="F383" s="162">
        <v>0</v>
      </c>
      <c r="G383" s="162">
        <v>0</v>
      </c>
      <c r="H383" s="162">
        <v>0</v>
      </c>
      <c r="I383" s="62" t="s">
        <v>2699</v>
      </c>
      <c r="K383" s="71"/>
      <c r="L383" s="71"/>
      <c r="M383" s="71"/>
      <c r="N383" s="71"/>
      <c r="O383" s="71"/>
      <c r="P383" s="71"/>
      <c r="Q383" s="71"/>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row>
    <row r="384" spans="1:45" hidden="1" outlineLevel="1" x14ac:dyDescent="0.3">
      <c r="A384" s="58" t="s">
        <v>2777</v>
      </c>
      <c r="B384" s="58" t="s">
        <v>855</v>
      </c>
      <c r="C384" s="60" t="s">
        <v>761</v>
      </c>
      <c r="D384" s="162">
        <v>0</v>
      </c>
      <c r="E384" s="162">
        <v>0</v>
      </c>
      <c r="F384" s="162">
        <v>0</v>
      </c>
      <c r="G384" s="162">
        <v>0</v>
      </c>
      <c r="H384" s="162">
        <v>0</v>
      </c>
      <c r="I384" s="62"/>
      <c r="K384" s="71"/>
      <c r="L384" s="71"/>
      <c r="M384" s="71"/>
      <c r="N384" s="71"/>
      <c r="O384" s="71"/>
      <c r="P384" s="71"/>
      <c r="Q384" s="71"/>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row>
    <row r="385" spans="1:45" hidden="1" outlineLevel="1" x14ac:dyDescent="0.3">
      <c r="A385" s="58" t="s">
        <v>2777</v>
      </c>
      <c r="B385" s="58" t="s">
        <v>855</v>
      </c>
      <c r="C385" s="60" t="s">
        <v>763</v>
      </c>
      <c r="D385" s="162">
        <v>0</v>
      </c>
      <c r="E385" s="162">
        <v>0</v>
      </c>
      <c r="F385" s="162">
        <v>0</v>
      </c>
      <c r="G385" s="162">
        <v>0</v>
      </c>
      <c r="H385" s="162">
        <v>0</v>
      </c>
      <c r="I385" s="62" t="s">
        <v>2770</v>
      </c>
      <c r="K385" s="71"/>
      <c r="L385" s="71"/>
      <c r="M385" s="71"/>
      <c r="N385" s="71"/>
      <c r="O385" s="71"/>
      <c r="P385" s="71"/>
      <c r="Q385" s="71"/>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row>
    <row r="386" spans="1:45" hidden="1" outlineLevel="1" x14ac:dyDescent="0.3">
      <c r="A386" s="58" t="s">
        <v>2777</v>
      </c>
      <c r="B386" s="58" t="s">
        <v>855</v>
      </c>
      <c r="C386" s="60" t="s">
        <v>765</v>
      </c>
      <c r="D386" s="162">
        <v>0</v>
      </c>
      <c r="E386" s="162">
        <v>0</v>
      </c>
      <c r="F386" s="162">
        <v>0</v>
      </c>
      <c r="G386" s="162">
        <v>0</v>
      </c>
      <c r="H386" s="162">
        <v>0</v>
      </c>
      <c r="I386" s="62" t="s">
        <v>2735</v>
      </c>
      <c r="K386" s="70"/>
      <c r="L386" s="71"/>
      <c r="M386" s="71"/>
      <c r="N386" s="71"/>
      <c r="O386" s="71"/>
      <c r="P386" s="71"/>
      <c r="Q386" s="71"/>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row>
    <row r="387" spans="1:45" hidden="1" outlineLevel="1" x14ac:dyDescent="0.3">
      <c r="A387" s="58" t="s">
        <v>2777</v>
      </c>
      <c r="B387" s="58" t="s">
        <v>855</v>
      </c>
      <c r="C387" s="60" t="s">
        <v>768</v>
      </c>
      <c r="D387" s="479" t="s">
        <v>204</v>
      </c>
      <c r="E387" s="479" t="s">
        <v>204</v>
      </c>
      <c r="F387" s="479" t="s">
        <v>204</v>
      </c>
      <c r="G387" s="479" t="s">
        <v>204</v>
      </c>
      <c r="H387" s="479" t="s">
        <v>204</v>
      </c>
      <c r="I387" s="62"/>
      <c r="K387" s="181"/>
      <c r="L387" s="71"/>
      <c r="M387" s="71"/>
      <c r="N387" s="71"/>
      <c r="O387" s="71"/>
      <c r="P387" s="71"/>
      <c r="Q387" s="71"/>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row>
    <row r="388" spans="1:45" hidden="1" outlineLevel="1" x14ac:dyDescent="0.3">
      <c r="A388" s="58" t="s">
        <v>2777</v>
      </c>
      <c r="B388" s="58" t="s">
        <v>855</v>
      </c>
      <c r="C388" s="60" t="s">
        <v>771</v>
      </c>
      <c r="D388" s="162">
        <v>0</v>
      </c>
      <c r="E388" s="162">
        <v>0</v>
      </c>
      <c r="F388" s="162">
        <v>0</v>
      </c>
      <c r="G388" s="162">
        <v>0</v>
      </c>
      <c r="H388" s="162">
        <v>0</v>
      </c>
      <c r="I388" s="62"/>
      <c r="K388" s="71"/>
      <c r="L388" s="71"/>
      <c r="M388" s="71"/>
      <c r="N388" s="71"/>
      <c r="O388" s="71"/>
      <c r="P388" s="71"/>
      <c r="Q388" s="71"/>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row>
    <row r="389" spans="1:45" hidden="1" outlineLevel="1" x14ac:dyDescent="0.3">
      <c r="A389" s="58" t="s">
        <v>2777</v>
      </c>
      <c r="B389" s="58" t="s">
        <v>855</v>
      </c>
      <c r="C389" s="60" t="s">
        <v>772</v>
      </c>
      <c r="D389" s="162">
        <v>0</v>
      </c>
      <c r="E389" s="162">
        <v>0</v>
      </c>
      <c r="F389" s="162">
        <v>0</v>
      </c>
      <c r="G389" s="162">
        <v>0</v>
      </c>
      <c r="H389" s="162">
        <v>0</v>
      </c>
      <c r="I389" s="62"/>
      <c r="K389" s="71"/>
      <c r="L389" s="71"/>
      <c r="M389" s="71"/>
      <c r="N389" s="71"/>
      <c r="O389" s="71"/>
      <c r="P389" s="71"/>
      <c r="Q389" s="71"/>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row>
    <row r="390" spans="1:45" hidden="1" outlineLevel="1" x14ac:dyDescent="0.3">
      <c r="A390" s="58" t="s">
        <v>2777</v>
      </c>
      <c r="B390" s="58" t="s">
        <v>855</v>
      </c>
      <c r="C390" s="60" t="s">
        <v>774</v>
      </c>
      <c r="D390" s="162">
        <v>0</v>
      </c>
      <c r="E390" s="162">
        <v>0</v>
      </c>
      <c r="F390" s="162">
        <v>0</v>
      </c>
      <c r="G390" s="162">
        <v>0</v>
      </c>
      <c r="H390" s="162">
        <v>0</v>
      </c>
      <c r="I390" s="62" t="s">
        <v>2771</v>
      </c>
      <c r="K390" s="71"/>
      <c r="L390" s="71"/>
      <c r="M390" s="71"/>
      <c r="N390" s="71"/>
      <c r="O390" s="71"/>
      <c r="P390" s="71"/>
      <c r="Q390" s="71"/>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row>
    <row r="391" spans="1:45" hidden="1" outlineLevel="1" x14ac:dyDescent="0.3">
      <c r="A391" s="58" t="s">
        <v>2777</v>
      </c>
      <c r="B391" s="58" t="s">
        <v>855</v>
      </c>
      <c r="C391" s="60" t="s">
        <v>775</v>
      </c>
      <c r="D391" s="479" t="s">
        <v>204</v>
      </c>
      <c r="E391" s="479" t="s">
        <v>204</v>
      </c>
      <c r="F391" s="479" t="s">
        <v>204</v>
      </c>
      <c r="G391" s="479" t="s">
        <v>204</v>
      </c>
      <c r="H391" s="479" t="s">
        <v>204</v>
      </c>
      <c r="I391" s="62"/>
      <c r="K391" s="71"/>
      <c r="L391" s="71"/>
      <c r="M391" s="71"/>
      <c r="N391" s="71"/>
      <c r="O391" s="71"/>
      <c r="P391" s="71"/>
      <c r="Q391" s="71"/>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row>
    <row r="392" spans="1:45" hidden="1" outlineLevel="1" x14ac:dyDescent="0.3">
      <c r="A392" s="58" t="s">
        <v>2777</v>
      </c>
      <c r="B392" s="58" t="s">
        <v>855</v>
      </c>
      <c r="C392" s="60" t="s">
        <v>779</v>
      </c>
      <c r="D392" s="479" t="s">
        <v>204</v>
      </c>
      <c r="E392" s="479" t="s">
        <v>204</v>
      </c>
      <c r="F392" s="479" t="s">
        <v>204</v>
      </c>
      <c r="G392" s="479" t="s">
        <v>204</v>
      </c>
      <c r="H392" s="479" t="s">
        <v>204</v>
      </c>
      <c r="I392" s="62"/>
      <c r="K392" s="71"/>
      <c r="L392" s="71"/>
      <c r="M392" s="71"/>
      <c r="N392" s="71"/>
      <c r="O392" s="71"/>
      <c r="P392" s="71"/>
      <c r="Q392" s="71"/>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row>
    <row r="393" spans="1:45" hidden="1" outlineLevel="1" x14ac:dyDescent="0.3">
      <c r="A393" s="58" t="s">
        <v>2777</v>
      </c>
      <c r="B393" s="58" t="s">
        <v>894</v>
      </c>
      <c r="C393" s="60" t="s">
        <v>781</v>
      </c>
      <c r="D393" s="479" t="s">
        <v>204</v>
      </c>
      <c r="E393" s="479" t="s">
        <v>204</v>
      </c>
      <c r="F393" s="479" t="s">
        <v>204</v>
      </c>
      <c r="G393" s="479" t="s">
        <v>204</v>
      </c>
      <c r="H393" s="479" t="s">
        <v>204</v>
      </c>
      <c r="I393" s="62"/>
      <c r="K393" s="71"/>
      <c r="L393" s="71"/>
      <c r="M393" s="71"/>
      <c r="N393" s="71"/>
      <c r="O393" s="71"/>
      <c r="P393" s="71"/>
      <c r="Q393" s="71"/>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row>
    <row r="394" spans="1:45" hidden="1" outlineLevel="1" x14ac:dyDescent="0.3">
      <c r="A394" s="58" t="s">
        <v>2777</v>
      </c>
      <c r="B394" s="58" t="s">
        <v>894</v>
      </c>
      <c r="C394" s="60" t="s">
        <v>783</v>
      </c>
      <c r="D394" s="162">
        <v>0</v>
      </c>
      <c r="E394" s="162">
        <v>0</v>
      </c>
      <c r="F394" s="162">
        <v>0</v>
      </c>
      <c r="G394" s="162">
        <v>0</v>
      </c>
      <c r="H394" s="162">
        <v>0</v>
      </c>
      <c r="I394" s="62" t="s">
        <v>2706</v>
      </c>
      <c r="K394" s="71"/>
      <c r="L394" s="71"/>
      <c r="M394" s="71"/>
      <c r="N394" s="71"/>
      <c r="O394" s="71"/>
      <c r="P394" s="71"/>
      <c r="Q394" s="71"/>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row>
    <row r="395" spans="1:45" hidden="1" outlineLevel="1" x14ac:dyDescent="0.3">
      <c r="A395" s="58" t="s">
        <v>2777</v>
      </c>
      <c r="B395" s="58" t="s">
        <v>894</v>
      </c>
      <c r="C395" s="60" t="s">
        <v>785</v>
      </c>
      <c r="D395" s="350">
        <v>0</v>
      </c>
      <c r="E395" s="350">
        <v>0</v>
      </c>
      <c r="F395" s="350">
        <v>0</v>
      </c>
      <c r="G395" s="350">
        <v>0</v>
      </c>
      <c r="H395" s="350">
        <v>0</v>
      </c>
      <c r="I395" s="62" t="s">
        <v>2737</v>
      </c>
      <c r="K395" s="71"/>
      <c r="L395" s="71"/>
      <c r="M395" s="71"/>
      <c r="N395" s="71"/>
      <c r="O395" s="71"/>
      <c r="P395" s="71"/>
      <c r="Q395" s="71"/>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row>
    <row r="396" spans="1:45" hidden="1" outlineLevel="1" x14ac:dyDescent="0.3">
      <c r="A396" s="58" t="s">
        <v>2777</v>
      </c>
      <c r="B396" s="58" t="s">
        <v>894</v>
      </c>
      <c r="C396" s="60" t="s">
        <v>787</v>
      </c>
      <c r="D396" s="479" t="s">
        <v>204</v>
      </c>
      <c r="E396" s="479" t="s">
        <v>204</v>
      </c>
      <c r="F396" s="479" t="s">
        <v>204</v>
      </c>
      <c r="G396" s="479" t="s">
        <v>204</v>
      </c>
      <c r="H396" s="479" t="s">
        <v>204</v>
      </c>
      <c r="I396" s="62"/>
      <c r="K396" s="71"/>
      <c r="L396" s="71"/>
      <c r="M396" s="71"/>
      <c r="N396" s="71"/>
      <c r="O396" s="71"/>
      <c r="P396" s="71"/>
      <c r="Q396" s="71"/>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row>
    <row r="397" spans="1:45" hidden="1" outlineLevel="1" x14ac:dyDescent="0.3">
      <c r="A397" s="58" t="s">
        <v>2777</v>
      </c>
      <c r="B397" s="58" t="s">
        <v>894</v>
      </c>
      <c r="C397" s="60" t="s">
        <v>788</v>
      </c>
      <c r="D397" s="479" t="s">
        <v>204</v>
      </c>
      <c r="E397" s="479" t="s">
        <v>204</v>
      </c>
      <c r="F397" s="479" t="s">
        <v>204</v>
      </c>
      <c r="G397" s="479" t="s">
        <v>204</v>
      </c>
      <c r="H397" s="479" t="s">
        <v>204</v>
      </c>
      <c r="I397" s="62"/>
      <c r="K397" s="71"/>
      <c r="L397" s="71"/>
      <c r="M397" s="71"/>
      <c r="N397" s="71"/>
      <c r="O397" s="71"/>
      <c r="P397" s="71"/>
      <c r="Q397" s="71"/>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row>
    <row r="398" spans="1:45" hidden="1" outlineLevel="1" x14ac:dyDescent="0.3">
      <c r="A398" s="58" t="s">
        <v>2777</v>
      </c>
      <c r="B398" s="58" t="s">
        <v>894</v>
      </c>
      <c r="C398" s="60" t="s">
        <v>789</v>
      </c>
      <c r="D398" s="479" t="s">
        <v>204</v>
      </c>
      <c r="E398" s="479" t="s">
        <v>204</v>
      </c>
      <c r="F398" s="479" t="s">
        <v>204</v>
      </c>
      <c r="G398" s="479" t="s">
        <v>204</v>
      </c>
      <c r="H398" s="479" t="s">
        <v>204</v>
      </c>
      <c r="I398" s="62"/>
      <c r="K398" s="71"/>
      <c r="L398" s="71"/>
      <c r="M398" s="71"/>
      <c r="N398" s="71"/>
      <c r="O398" s="71"/>
      <c r="P398" s="71"/>
      <c r="Q398" s="71"/>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row>
    <row r="399" spans="1:45" hidden="1" outlineLevel="1" x14ac:dyDescent="0.3">
      <c r="A399" s="58" t="s">
        <v>2777</v>
      </c>
      <c r="B399" s="58" t="s">
        <v>894</v>
      </c>
      <c r="C399" s="60" t="s">
        <v>790</v>
      </c>
      <c r="D399" s="350">
        <v>0</v>
      </c>
      <c r="E399" s="350">
        <v>0</v>
      </c>
      <c r="F399" s="350">
        <v>0</v>
      </c>
      <c r="G399" s="350">
        <v>0</v>
      </c>
      <c r="H399" s="350">
        <v>0</v>
      </c>
      <c r="I399" s="62" t="s">
        <v>2738</v>
      </c>
      <c r="K399" s="71"/>
      <c r="L399" s="71"/>
      <c r="M399" s="71"/>
      <c r="N399" s="71"/>
      <c r="O399" s="71"/>
      <c r="P399" s="71"/>
      <c r="Q399" s="71"/>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row>
    <row r="400" spans="1:45" hidden="1" outlineLevel="1" x14ac:dyDescent="0.3">
      <c r="A400" s="58" t="s">
        <v>2777</v>
      </c>
      <c r="B400" s="58" t="s">
        <v>894</v>
      </c>
      <c r="C400" s="60" t="s">
        <v>793</v>
      </c>
      <c r="D400" s="479" t="s">
        <v>204</v>
      </c>
      <c r="E400" s="479" t="s">
        <v>204</v>
      </c>
      <c r="F400" s="479" t="s">
        <v>204</v>
      </c>
      <c r="G400" s="479" t="s">
        <v>204</v>
      </c>
      <c r="H400" s="479" t="s">
        <v>204</v>
      </c>
      <c r="I400" s="62"/>
      <c r="K400" s="71"/>
      <c r="L400" s="71"/>
      <c r="M400" s="71"/>
      <c r="N400" s="71"/>
      <c r="O400" s="71"/>
      <c r="P400" s="71"/>
      <c r="Q400" s="71"/>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row>
    <row r="401" spans="1:45" hidden="1" outlineLevel="1" x14ac:dyDescent="0.3">
      <c r="A401" s="58" t="s">
        <v>2777</v>
      </c>
      <c r="B401" s="58" t="s">
        <v>894</v>
      </c>
      <c r="C401" s="60" t="s">
        <v>795</v>
      </c>
      <c r="D401" s="479" t="s">
        <v>204</v>
      </c>
      <c r="E401" s="479" t="s">
        <v>204</v>
      </c>
      <c r="F401" s="479" t="s">
        <v>204</v>
      </c>
      <c r="G401" s="479" t="s">
        <v>204</v>
      </c>
      <c r="H401" s="479" t="s">
        <v>204</v>
      </c>
      <c r="I401" s="62"/>
      <c r="K401" s="71"/>
      <c r="L401" s="71"/>
      <c r="M401" s="71"/>
      <c r="N401" s="71"/>
      <c r="O401" s="71"/>
      <c r="P401" s="71"/>
      <c r="Q401" s="71"/>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row>
    <row r="402" spans="1:45" hidden="1" outlineLevel="1" x14ac:dyDescent="0.3">
      <c r="A402" s="58" t="s">
        <v>2777</v>
      </c>
      <c r="B402" s="58" t="s">
        <v>894</v>
      </c>
      <c r="C402" s="60" t="s">
        <v>797</v>
      </c>
      <c r="D402" s="162">
        <v>0</v>
      </c>
      <c r="E402" s="162">
        <v>0</v>
      </c>
      <c r="F402" s="162">
        <v>0</v>
      </c>
      <c r="G402" s="162">
        <v>0</v>
      </c>
      <c r="H402" s="162">
        <v>0</v>
      </c>
      <c r="I402" s="62" t="s">
        <v>2739</v>
      </c>
      <c r="K402" s="71"/>
      <c r="L402" s="71"/>
      <c r="M402" s="71"/>
      <c r="N402" s="71"/>
      <c r="O402" s="71"/>
      <c r="P402" s="71"/>
      <c r="Q402" s="71"/>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row>
    <row r="403" spans="1:45" hidden="1" outlineLevel="1" x14ac:dyDescent="0.3">
      <c r="A403" s="58" t="s">
        <v>2777</v>
      </c>
      <c r="B403" s="58" t="s">
        <v>915</v>
      </c>
      <c r="C403" s="60" t="s">
        <v>799</v>
      </c>
      <c r="D403" s="162">
        <v>0</v>
      </c>
      <c r="E403" s="162">
        <v>0</v>
      </c>
      <c r="F403" s="162">
        <v>0</v>
      </c>
      <c r="G403" s="162">
        <v>0</v>
      </c>
      <c r="H403" s="162">
        <v>0</v>
      </c>
      <c r="I403" s="62" t="s">
        <v>2775</v>
      </c>
      <c r="K403" s="182"/>
      <c r="L403" s="71"/>
      <c r="M403" s="71"/>
      <c r="N403" s="71"/>
      <c r="O403" s="71"/>
      <c r="P403" s="71"/>
      <c r="Q403" s="71"/>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row>
    <row r="404" spans="1:45" hidden="1" outlineLevel="1" x14ac:dyDescent="0.3">
      <c r="A404" s="58" t="s">
        <v>2777</v>
      </c>
      <c r="B404" s="58" t="s">
        <v>915</v>
      </c>
      <c r="C404" s="60" t="s">
        <v>801</v>
      </c>
      <c r="D404" s="162">
        <v>5100</v>
      </c>
      <c r="E404" s="162">
        <v>5100</v>
      </c>
      <c r="F404" s="162">
        <v>5100</v>
      </c>
      <c r="G404" s="162">
        <v>5100</v>
      </c>
      <c r="H404" s="162">
        <v>5100</v>
      </c>
      <c r="I404" s="62" t="s">
        <v>2741</v>
      </c>
      <c r="K404" s="71"/>
      <c r="L404" s="71"/>
      <c r="M404" s="71"/>
      <c r="N404" s="71"/>
      <c r="O404" s="71"/>
      <c r="P404" s="71"/>
      <c r="Q404" s="71"/>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row>
    <row r="405" spans="1:45" hidden="1" outlineLevel="1" x14ac:dyDescent="0.3">
      <c r="A405" s="58" t="s">
        <v>2777</v>
      </c>
      <c r="B405" s="58" t="s">
        <v>915</v>
      </c>
      <c r="C405" s="60" t="s">
        <v>804</v>
      </c>
      <c r="D405" s="162">
        <v>0</v>
      </c>
      <c r="E405" s="162">
        <v>0</v>
      </c>
      <c r="F405" s="162">
        <v>0</v>
      </c>
      <c r="G405" s="162">
        <v>0</v>
      </c>
      <c r="H405" s="162">
        <v>0</v>
      </c>
      <c r="I405" s="62"/>
      <c r="K405" s="70"/>
      <c r="L405" s="71"/>
      <c r="M405" s="71"/>
      <c r="N405" s="71"/>
      <c r="O405" s="71"/>
      <c r="P405" s="71"/>
      <c r="Q405" s="71"/>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row>
    <row r="406" spans="1:45" hidden="1" outlineLevel="1" x14ac:dyDescent="0.3">
      <c r="A406" s="58" t="s">
        <v>2777</v>
      </c>
      <c r="B406" s="58" t="s">
        <v>915</v>
      </c>
      <c r="C406" s="60" t="s">
        <v>806</v>
      </c>
      <c r="D406" s="162">
        <v>0</v>
      </c>
      <c r="E406" s="162">
        <v>0</v>
      </c>
      <c r="F406" s="162">
        <v>0</v>
      </c>
      <c r="G406" s="162">
        <v>0</v>
      </c>
      <c r="H406" s="162">
        <v>0</v>
      </c>
      <c r="I406" s="62"/>
      <c r="K406" s="71"/>
      <c r="L406" s="71"/>
      <c r="M406" s="71"/>
      <c r="N406" s="71"/>
      <c r="O406" s="71"/>
      <c r="P406" s="71"/>
      <c r="Q406" s="71"/>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row>
    <row r="407" spans="1:45" hidden="1" outlineLevel="1" x14ac:dyDescent="0.3">
      <c r="A407" s="58" t="s">
        <v>2777</v>
      </c>
      <c r="B407" s="58" t="s">
        <v>915</v>
      </c>
      <c r="C407" s="60" t="s">
        <v>808</v>
      </c>
      <c r="D407" s="162">
        <v>0</v>
      </c>
      <c r="E407" s="162">
        <v>0</v>
      </c>
      <c r="F407" s="162">
        <v>0</v>
      </c>
      <c r="G407" s="162">
        <v>0</v>
      </c>
      <c r="H407" s="162">
        <v>0</v>
      </c>
      <c r="I407" s="62"/>
      <c r="K407" s="71"/>
      <c r="L407" s="71"/>
      <c r="M407" s="71"/>
      <c r="N407" s="71"/>
      <c r="O407" s="71"/>
      <c r="P407" s="71"/>
      <c r="Q407" s="71"/>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row>
    <row r="408" spans="1:45" hidden="1" outlineLevel="1" x14ac:dyDescent="0.3">
      <c r="A408" s="58" t="s">
        <v>2777</v>
      </c>
      <c r="B408" s="58" t="s">
        <v>915</v>
      </c>
      <c r="C408" s="60" t="s">
        <v>811</v>
      </c>
      <c r="D408" s="162">
        <v>0</v>
      </c>
      <c r="E408" s="162">
        <v>0</v>
      </c>
      <c r="F408" s="162">
        <v>0</v>
      </c>
      <c r="G408" s="162">
        <v>0</v>
      </c>
      <c r="H408" s="162">
        <v>0</v>
      </c>
      <c r="I408" s="62" t="s">
        <v>2713</v>
      </c>
      <c r="K408" s="71"/>
      <c r="L408" s="71"/>
      <c r="M408" s="71"/>
      <c r="N408" s="71"/>
      <c r="O408" s="71"/>
      <c r="P408" s="71"/>
      <c r="Q408" s="71"/>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row>
    <row r="409" spans="1:45" hidden="1" outlineLevel="1" x14ac:dyDescent="0.3">
      <c r="A409" s="58" t="s">
        <v>2777</v>
      </c>
      <c r="B409" s="58" t="s">
        <v>934</v>
      </c>
      <c r="C409" s="60" t="s">
        <v>814</v>
      </c>
      <c r="D409" s="162" t="s">
        <v>204</v>
      </c>
      <c r="E409" s="162" t="s">
        <v>204</v>
      </c>
      <c r="F409" s="162" t="s">
        <v>204</v>
      </c>
      <c r="G409" s="162" t="s">
        <v>204</v>
      </c>
      <c r="H409" s="162" t="s">
        <v>204</v>
      </c>
      <c r="I409" s="62"/>
      <c r="K409" s="71"/>
      <c r="L409" s="71"/>
      <c r="M409" s="71"/>
      <c r="N409" s="71"/>
      <c r="O409" s="71"/>
      <c r="P409" s="71"/>
      <c r="Q409" s="71"/>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row>
    <row r="410" spans="1:45" hidden="1" outlineLevel="1" x14ac:dyDescent="0.3">
      <c r="A410" s="58" t="s">
        <v>2777</v>
      </c>
      <c r="B410" s="58" t="s">
        <v>934</v>
      </c>
      <c r="C410" s="60" t="s">
        <v>815</v>
      </c>
      <c r="D410" s="479" t="s">
        <v>204</v>
      </c>
      <c r="E410" s="479" t="s">
        <v>204</v>
      </c>
      <c r="F410" s="479" t="s">
        <v>204</v>
      </c>
      <c r="G410" s="479" t="s">
        <v>204</v>
      </c>
      <c r="H410" s="479" t="s">
        <v>204</v>
      </c>
      <c r="I410" s="62"/>
      <c r="K410" s="71"/>
      <c r="L410" s="71"/>
      <c r="M410" s="71"/>
      <c r="N410" s="71"/>
      <c r="O410" s="71"/>
      <c r="P410" s="71"/>
      <c r="Q410" s="71"/>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row>
    <row r="411" spans="1:45" hidden="1" outlineLevel="1" x14ac:dyDescent="0.3">
      <c r="A411" s="58" t="s">
        <v>2777</v>
      </c>
      <c r="B411" s="58" t="s">
        <v>940</v>
      </c>
      <c r="C411" s="60" t="s">
        <v>817</v>
      </c>
      <c r="D411" s="162">
        <v>0</v>
      </c>
      <c r="E411" s="162">
        <v>0</v>
      </c>
      <c r="F411" s="162">
        <v>0</v>
      </c>
      <c r="G411" s="162">
        <v>0</v>
      </c>
      <c r="H411" s="162">
        <v>0</v>
      </c>
      <c r="I411" s="62" t="s">
        <v>2743</v>
      </c>
      <c r="K411" s="71"/>
      <c r="L411" s="71"/>
      <c r="M411" s="71"/>
      <c r="N411" s="71"/>
      <c r="O411" s="71"/>
      <c r="P411" s="71"/>
      <c r="Q411" s="71"/>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row>
    <row r="412" spans="1:45" hidden="1" outlineLevel="1" x14ac:dyDescent="0.3">
      <c r="A412" s="58" t="s">
        <v>2777</v>
      </c>
      <c r="B412" s="58" t="s">
        <v>940</v>
      </c>
      <c r="C412" s="60" t="s">
        <v>944</v>
      </c>
      <c r="D412" s="162">
        <v>0</v>
      </c>
      <c r="E412" s="162">
        <v>0</v>
      </c>
      <c r="F412" s="162">
        <v>0</v>
      </c>
      <c r="G412" s="162">
        <v>0</v>
      </c>
      <c r="H412" s="162">
        <v>0</v>
      </c>
      <c r="I412" s="62"/>
      <c r="K412" s="71"/>
      <c r="L412" s="71"/>
      <c r="M412" s="71"/>
      <c r="N412" s="71"/>
      <c r="O412" s="71"/>
      <c r="P412" s="71"/>
      <c r="Q412" s="71"/>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row>
    <row r="413" spans="1:45" hidden="1" outlineLevel="1" x14ac:dyDescent="0.3">
      <c r="A413" s="58" t="s">
        <v>2777</v>
      </c>
      <c r="B413" s="58" t="s">
        <v>940</v>
      </c>
      <c r="C413" s="60" t="s">
        <v>821</v>
      </c>
      <c r="D413" s="479" t="s">
        <v>204</v>
      </c>
      <c r="E413" s="479" t="s">
        <v>204</v>
      </c>
      <c r="F413" s="479" t="s">
        <v>204</v>
      </c>
      <c r="G413" s="479" t="s">
        <v>204</v>
      </c>
      <c r="H413" s="479" t="s">
        <v>204</v>
      </c>
      <c r="I413" s="62"/>
      <c r="K413" s="71"/>
      <c r="L413" s="71"/>
      <c r="M413" s="71"/>
      <c r="N413" s="71"/>
      <c r="O413" s="71"/>
      <c r="P413" s="71"/>
      <c r="Q413" s="71"/>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row>
    <row r="414" spans="1:45" hidden="1" outlineLevel="1" x14ac:dyDescent="0.3">
      <c r="A414" s="58" t="s">
        <v>2777</v>
      </c>
      <c r="B414" s="58" t="s">
        <v>940</v>
      </c>
      <c r="C414" s="60" t="s">
        <v>823</v>
      </c>
      <c r="D414" s="479" t="s">
        <v>204</v>
      </c>
      <c r="E414" s="479" t="s">
        <v>204</v>
      </c>
      <c r="F414" s="479" t="s">
        <v>204</v>
      </c>
      <c r="G414" s="479" t="s">
        <v>204</v>
      </c>
      <c r="H414" s="479" t="s">
        <v>204</v>
      </c>
      <c r="I414" s="62"/>
      <c r="K414" s="71"/>
      <c r="L414" s="71"/>
      <c r="M414" s="71"/>
      <c r="N414" s="71"/>
      <c r="O414" s="71"/>
      <c r="P414" s="71"/>
      <c r="Q414" s="71"/>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row>
    <row r="415" spans="1:45" hidden="1" outlineLevel="1" x14ac:dyDescent="0.3">
      <c r="A415" s="58" t="s">
        <v>2777</v>
      </c>
      <c r="B415" s="58" t="s">
        <v>940</v>
      </c>
      <c r="C415" s="60" t="s">
        <v>825</v>
      </c>
      <c r="D415" s="479" t="s">
        <v>204</v>
      </c>
      <c r="E415" s="479" t="s">
        <v>204</v>
      </c>
      <c r="F415" s="479" t="s">
        <v>204</v>
      </c>
      <c r="G415" s="479" t="s">
        <v>204</v>
      </c>
      <c r="H415" s="479" t="s">
        <v>204</v>
      </c>
      <c r="I415" s="62"/>
      <c r="K415" s="71"/>
      <c r="L415" s="71"/>
      <c r="M415" s="71"/>
      <c r="N415" s="71"/>
      <c r="O415" s="71"/>
      <c r="P415" s="71"/>
      <c r="Q415" s="71"/>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row>
    <row r="416" spans="1:45" hidden="1" outlineLevel="1" x14ac:dyDescent="0.3">
      <c r="A416" s="58" t="s">
        <v>2777</v>
      </c>
      <c r="B416" s="58" t="s">
        <v>940</v>
      </c>
      <c r="C416" s="60" t="s">
        <v>827</v>
      </c>
      <c r="D416" s="162">
        <v>56000</v>
      </c>
      <c r="E416" s="162">
        <v>56000</v>
      </c>
      <c r="F416" s="162">
        <v>56000</v>
      </c>
      <c r="G416" s="162">
        <v>56000</v>
      </c>
      <c r="H416" s="162">
        <v>56000</v>
      </c>
      <c r="I416" s="62" t="s">
        <v>2778</v>
      </c>
      <c r="K416" s="71"/>
      <c r="L416" s="71"/>
      <c r="M416" s="71"/>
      <c r="N416" s="71"/>
      <c r="O416" s="71"/>
      <c r="P416" s="71"/>
      <c r="Q416" s="71"/>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row>
    <row r="417" spans="1:45" hidden="1" outlineLevel="1" x14ac:dyDescent="0.3">
      <c r="A417" s="58" t="s">
        <v>2777</v>
      </c>
      <c r="B417" s="58" t="s">
        <v>940</v>
      </c>
      <c r="C417" s="60" t="s">
        <v>829</v>
      </c>
      <c r="D417" s="162">
        <v>0</v>
      </c>
      <c r="E417" s="162">
        <v>0</v>
      </c>
      <c r="F417" s="162">
        <v>0</v>
      </c>
      <c r="G417" s="162">
        <v>0</v>
      </c>
      <c r="H417" s="162">
        <v>0</v>
      </c>
      <c r="I417" s="62" t="s">
        <v>2715</v>
      </c>
      <c r="K417" s="71"/>
      <c r="L417" s="71"/>
      <c r="M417" s="71"/>
      <c r="N417" s="71"/>
      <c r="O417" s="71"/>
      <c r="P417" s="71"/>
      <c r="Q417" s="71"/>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row>
    <row r="418" spans="1:45" hidden="1" outlineLevel="1" x14ac:dyDescent="0.3">
      <c r="A418" s="58" t="s">
        <v>2777</v>
      </c>
      <c r="B418" s="58" t="s">
        <v>940</v>
      </c>
      <c r="C418" s="60" t="s">
        <v>833</v>
      </c>
      <c r="D418" s="350">
        <v>0</v>
      </c>
      <c r="E418" s="350">
        <v>0</v>
      </c>
      <c r="F418" s="350">
        <v>0</v>
      </c>
      <c r="G418" s="350">
        <v>0</v>
      </c>
      <c r="H418" s="350">
        <v>0</v>
      </c>
      <c r="I418" s="62" t="s">
        <v>2744</v>
      </c>
      <c r="K418" s="71"/>
      <c r="L418" s="71"/>
      <c r="M418" s="71"/>
      <c r="N418" s="71"/>
      <c r="O418" s="71"/>
      <c r="P418" s="71"/>
      <c r="Q418" s="71"/>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row>
    <row r="419" spans="1:45" hidden="1" outlineLevel="1" x14ac:dyDescent="0.3">
      <c r="A419" s="58" t="s">
        <v>2777</v>
      </c>
      <c r="B419" s="58" t="s">
        <v>940</v>
      </c>
      <c r="C419" s="60" t="s">
        <v>836</v>
      </c>
      <c r="D419" s="162">
        <v>0</v>
      </c>
      <c r="E419" s="162">
        <v>0</v>
      </c>
      <c r="F419" s="162">
        <v>0</v>
      </c>
      <c r="G419" s="162">
        <v>0</v>
      </c>
      <c r="H419" s="162">
        <v>0</v>
      </c>
      <c r="I419" s="62"/>
      <c r="K419" s="71"/>
      <c r="L419" s="71"/>
      <c r="M419" s="71"/>
      <c r="N419" s="71"/>
      <c r="O419" s="71"/>
      <c r="P419" s="71"/>
      <c r="Q419" s="71"/>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row>
    <row r="420" spans="1:45" hidden="1" outlineLevel="1" x14ac:dyDescent="0.3">
      <c r="A420" s="58" t="s">
        <v>2777</v>
      </c>
      <c r="B420" s="58" t="s">
        <v>940</v>
      </c>
      <c r="C420" s="60" t="s">
        <v>837</v>
      </c>
      <c r="D420" s="479" t="s">
        <v>204</v>
      </c>
      <c r="E420" s="479" t="s">
        <v>204</v>
      </c>
      <c r="F420" s="479" t="s">
        <v>204</v>
      </c>
      <c r="G420" s="479" t="s">
        <v>204</v>
      </c>
      <c r="H420" s="479" t="s">
        <v>204</v>
      </c>
      <c r="I420" s="62"/>
      <c r="K420" s="71"/>
      <c r="L420" s="71"/>
      <c r="M420" s="71"/>
      <c r="N420" s="71"/>
      <c r="O420" s="71"/>
      <c r="P420" s="71"/>
      <c r="Q420" s="71"/>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row>
    <row r="421" spans="1:45" hidden="1" outlineLevel="1" x14ac:dyDescent="0.3">
      <c r="A421" s="58" t="s">
        <v>2777</v>
      </c>
      <c r="B421" s="58" t="s">
        <v>940</v>
      </c>
      <c r="C421" s="60" t="s">
        <v>839</v>
      </c>
      <c r="D421" s="162">
        <v>0</v>
      </c>
      <c r="E421" s="162">
        <v>0</v>
      </c>
      <c r="F421" s="162">
        <v>0</v>
      </c>
      <c r="G421" s="162">
        <v>0</v>
      </c>
      <c r="H421" s="162">
        <v>0</v>
      </c>
      <c r="I421" s="62" t="s">
        <v>2718</v>
      </c>
      <c r="K421" s="71"/>
      <c r="L421" s="71"/>
      <c r="M421" s="71"/>
      <c r="N421" s="71"/>
      <c r="O421" s="71"/>
      <c r="P421" s="71"/>
      <c r="Q421" s="71"/>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row>
    <row r="422" spans="1:45" hidden="1" outlineLevel="1" x14ac:dyDescent="0.3">
      <c r="A422" s="58" t="s">
        <v>2777</v>
      </c>
      <c r="B422" s="58" t="s">
        <v>940</v>
      </c>
      <c r="C422" s="60" t="s">
        <v>840</v>
      </c>
      <c r="D422" s="479" t="s">
        <v>204</v>
      </c>
      <c r="E422" s="479" t="s">
        <v>204</v>
      </c>
      <c r="F422" s="479" t="s">
        <v>204</v>
      </c>
      <c r="G422" s="479" t="s">
        <v>204</v>
      </c>
      <c r="H422" s="479" t="s">
        <v>204</v>
      </c>
      <c r="I422" s="62"/>
      <c r="K422" s="71"/>
      <c r="L422" s="71"/>
      <c r="M422" s="71"/>
      <c r="N422" s="71"/>
      <c r="O422" s="71"/>
      <c r="P422" s="71"/>
      <c r="Q422" s="71"/>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row>
    <row r="423" spans="1:45" collapsed="1" x14ac:dyDescent="0.3">
      <c r="A423" s="58"/>
      <c r="B423" s="58"/>
      <c r="C423" s="533" t="s">
        <v>2719</v>
      </c>
      <c r="D423" s="62"/>
      <c r="E423" s="62"/>
      <c r="F423" s="62"/>
      <c r="G423" s="62"/>
      <c r="H423" s="62"/>
      <c r="I423" s="62"/>
      <c r="K423" s="70"/>
      <c r="L423" s="70"/>
      <c r="M423" s="71"/>
      <c r="N423" s="71"/>
      <c r="O423" s="71"/>
      <c r="P423" s="71"/>
      <c r="Q423" s="71"/>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row>
    <row r="424" spans="1:45" collapsed="1" x14ac:dyDescent="0.3">
      <c r="A424" s="135" t="s">
        <v>2779</v>
      </c>
      <c r="B424" s="135"/>
      <c r="C424" s="483" t="s">
        <v>2719</v>
      </c>
      <c r="D424" s="135"/>
      <c r="E424" s="135"/>
      <c r="F424" s="135"/>
      <c r="G424" s="135"/>
      <c r="H424" s="135"/>
      <c r="I424" s="135"/>
      <c r="K424" s="70"/>
      <c r="L424" s="70"/>
      <c r="M424" s="71"/>
      <c r="N424" s="71"/>
      <c r="O424" s="71"/>
      <c r="P424" s="71"/>
      <c r="Q424" s="71"/>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row>
    <row r="425" spans="1:45" collapsed="1" x14ac:dyDescent="0.3">
      <c r="A425" s="230" t="s">
        <v>2780</v>
      </c>
      <c r="B425" s="230"/>
      <c r="C425" s="231" t="s">
        <v>2693</v>
      </c>
      <c r="D425" s="232">
        <v>642919.17326065002</v>
      </c>
      <c r="E425" s="232">
        <v>727800.17326065002</v>
      </c>
      <c r="F425" s="232">
        <v>814548.53656855004</v>
      </c>
      <c r="G425" s="232">
        <v>839811.18171739997</v>
      </c>
      <c r="H425" s="232">
        <v>851878.18171739997</v>
      </c>
      <c r="I425" s="233"/>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row>
    <row r="426" spans="1:45" x14ac:dyDescent="0.3">
      <c r="A426" s="230" t="s">
        <v>5</v>
      </c>
      <c r="B426" s="230" t="s">
        <v>847</v>
      </c>
      <c r="C426" s="230" t="s">
        <v>193</v>
      </c>
      <c r="D426" s="234">
        <v>2025</v>
      </c>
      <c r="E426" s="234">
        <v>2030</v>
      </c>
      <c r="F426" s="234">
        <v>2035</v>
      </c>
      <c r="G426" s="234">
        <v>2040</v>
      </c>
      <c r="H426" s="234">
        <v>2045</v>
      </c>
      <c r="I426" s="234" t="s">
        <v>153</v>
      </c>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row>
    <row r="427" spans="1:45" hidden="1" outlineLevel="1" x14ac:dyDescent="0.3">
      <c r="A427" s="235" t="s">
        <v>2780</v>
      </c>
      <c r="B427" s="235" t="s">
        <v>855</v>
      </c>
      <c r="C427" s="230" t="s">
        <v>747</v>
      </c>
      <c r="D427" s="480" t="s">
        <v>204</v>
      </c>
      <c r="E427" s="480" t="s">
        <v>204</v>
      </c>
      <c r="F427" s="480" t="s">
        <v>204</v>
      </c>
      <c r="G427" s="480" t="s">
        <v>204</v>
      </c>
      <c r="H427" s="480" t="s">
        <v>204</v>
      </c>
      <c r="I427" s="233"/>
      <c r="K427" s="70"/>
      <c r="L427" s="71"/>
      <c r="M427" s="71"/>
      <c r="N427" s="71"/>
      <c r="O427" s="71"/>
      <c r="P427" s="71"/>
      <c r="Q427" s="71"/>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row>
    <row r="428" spans="1:45" hidden="1" outlineLevel="1" x14ac:dyDescent="0.3">
      <c r="A428" s="235" t="s">
        <v>2780</v>
      </c>
      <c r="B428" s="235" t="s">
        <v>855</v>
      </c>
      <c r="C428" s="230" t="s">
        <v>751</v>
      </c>
      <c r="D428" s="236">
        <v>0</v>
      </c>
      <c r="E428" s="236">
        <v>0</v>
      </c>
      <c r="F428" s="236">
        <v>0</v>
      </c>
      <c r="G428" s="236">
        <v>0</v>
      </c>
      <c r="H428" s="236">
        <v>0</v>
      </c>
      <c r="I428" s="233" t="s">
        <v>2696</v>
      </c>
      <c r="K428" s="70"/>
      <c r="L428" s="71"/>
      <c r="M428" s="71"/>
      <c r="N428" s="71"/>
      <c r="O428" s="71"/>
      <c r="P428" s="71"/>
      <c r="Q428" s="71"/>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row>
    <row r="429" spans="1:45" hidden="1" outlineLevel="1" x14ac:dyDescent="0.3">
      <c r="A429" s="235" t="s">
        <v>2780</v>
      </c>
      <c r="B429" s="235" t="s">
        <v>855</v>
      </c>
      <c r="C429" s="230" t="s">
        <v>755</v>
      </c>
      <c r="D429" s="236">
        <v>58.30886915</v>
      </c>
      <c r="E429" s="236">
        <v>58.30886915</v>
      </c>
      <c r="F429" s="236">
        <v>58.30886915</v>
      </c>
      <c r="G429" s="236">
        <v>58.30886915</v>
      </c>
      <c r="H429" s="236">
        <v>58.30886915</v>
      </c>
      <c r="I429" s="233"/>
      <c r="K429" s="71"/>
      <c r="L429" s="71"/>
      <c r="M429" s="71"/>
      <c r="N429" s="71"/>
      <c r="O429" s="71"/>
      <c r="P429" s="71"/>
      <c r="Q429" s="71"/>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row>
    <row r="430" spans="1:45" hidden="1" outlineLevel="1" x14ac:dyDescent="0.3">
      <c r="A430" s="235" t="s">
        <v>2780</v>
      </c>
      <c r="B430" s="235" t="s">
        <v>855</v>
      </c>
      <c r="C430" s="230" t="s">
        <v>758</v>
      </c>
      <c r="D430" s="236">
        <v>4791</v>
      </c>
      <c r="E430" s="236">
        <v>5269</v>
      </c>
      <c r="F430" s="236">
        <v>5643</v>
      </c>
      <c r="G430" s="236">
        <v>5958</v>
      </c>
      <c r="H430" s="236">
        <v>6383</v>
      </c>
      <c r="I430" s="233" t="s">
        <v>2699</v>
      </c>
      <c r="K430" s="71"/>
      <c r="L430" s="71"/>
      <c r="M430" s="71"/>
      <c r="N430" s="71"/>
      <c r="O430" s="71"/>
      <c r="P430" s="71"/>
      <c r="Q430" s="71"/>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row>
    <row r="431" spans="1:45" hidden="1" outlineLevel="1" x14ac:dyDescent="0.3">
      <c r="A431" s="235" t="s">
        <v>2780</v>
      </c>
      <c r="B431" s="235" t="s">
        <v>855</v>
      </c>
      <c r="C431" s="230" t="s">
        <v>761</v>
      </c>
      <c r="D431" s="236">
        <v>0</v>
      </c>
      <c r="E431" s="236">
        <v>0</v>
      </c>
      <c r="F431" s="236">
        <v>0</v>
      </c>
      <c r="G431" s="236">
        <v>0</v>
      </c>
      <c r="H431" s="236">
        <v>0</v>
      </c>
      <c r="I431" s="233"/>
      <c r="K431" s="71"/>
      <c r="L431" s="71"/>
      <c r="M431" s="71"/>
      <c r="N431" s="71"/>
      <c r="O431" s="71"/>
      <c r="P431" s="71"/>
      <c r="Q431" s="71"/>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row>
    <row r="432" spans="1:45" hidden="1" outlineLevel="1" x14ac:dyDescent="0.3">
      <c r="A432" s="235" t="s">
        <v>2780</v>
      </c>
      <c r="B432" s="235" t="s">
        <v>855</v>
      </c>
      <c r="C432" s="230" t="s">
        <v>763</v>
      </c>
      <c r="D432" s="236">
        <v>650</v>
      </c>
      <c r="E432" s="236">
        <v>650</v>
      </c>
      <c r="F432" s="236">
        <v>650</v>
      </c>
      <c r="G432" s="236">
        <v>650</v>
      </c>
      <c r="H432" s="236">
        <v>650</v>
      </c>
      <c r="I432" s="233" t="s">
        <v>2781</v>
      </c>
      <c r="K432" s="71"/>
      <c r="L432" s="71"/>
      <c r="M432" s="71"/>
      <c r="N432" s="71"/>
      <c r="O432" s="71"/>
      <c r="P432" s="71"/>
      <c r="Q432" s="71"/>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row>
    <row r="433" spans="1:45" hidden="1" outlineLevel="1" x14ac:dyDescent="0.3">
      <c r="A433" s="235" t="s">
        <v>2780</v>
      </c>
      <c r="B433" s="235" t="s">
        <v>855</v>
      </c>
      <c r="C433" s="230" t="s">
        <v>765</v>
      </c>
      <c r="D433" s="236">
        <v>3500</v>
      </c>
      <c r="E433" s="236">
        <v>3500</v>
      </c>
      <c r="F433" s="236">
        <v>3500</v>
      </c>
      <c r="G433" s="236">
        <v>3500</v>
      </c>
      <c r="H433" s="236">
        <v>3500</v>
      </c>
      <c r="I433" s="233" t="s">
        <v>2702</v>
      </c>
      <c r="K433" s="71"/>
      <c r="L433" s="71"/>
      <c r="M433" s="71"/>
      <c r="N433" s="71"/>
      <c r="O433" s="71"/>
      <c r="P433" s="71"/>
      <c r="Q433" s="71"/>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row>
    <row r="434" spans="1:45" hidden="1" outlineLevel="1" x14ac:dyDescent="0.3">
      <c r="A434" s="235" t="s">
        <v>2780</v>
      </c>
      <c r="B434" s="235" t="s">
        <v>855</v>
      </c>
      <c r="C434" s="230" t="s">
        <v>768</v>
      </c>
      <c r="D434" s="480" t="s">
        <v>204</v>
      </c>
      <c r="E434" s="480" t="s">
        <v>204</v>
      </c>
      <c r="F434" s="480" t="s">
        <v>204</v>
      </c>
      <c r="G434" s="480" t="s">
        <v>204</v>
      </c>
      <c r="H434" s="480" t="s">
        <v>204</v>
      </c>
      <c r="I434" s="233"/>
      <c r="K434" s="71"/>
      <c r="L434" s="71"/>
      <c r="M434" s="71"/>
      <c r="N434" s="71"/>
      <c r="O434" s="71"/>
      <c r="P434" s="71"/>
      <c r="Q434" s="71"/>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row>
    <row r="435" spans="1:45" hidden="1" outlineLevel="1" x14ac:dyDescent="0.3">
      <c r="A435" s="235" t="s">
        <v>2780</v>
      </c>
      <c r="B435" s="235" t="s">
        <v>855</v>
      </c>
      <c r="C435" s="230" t="s">
        <v>771</v>
      </c>
      <c r="D435" s="236">
        <v>0</v>
      </c>
      <c r="E435" s="236">
        <v>0</v>
      </c>
      <c r="F435" s="236">
        <v>0</v>
      </c>
      <c r="G435" s="236">
        <v>0</v>
      </c>
      <c r="H435" s="236">
        <v>0</v>
      </c>
      <c r="I435" s="233" t="s">
        <v>2782</v>
      </c>
      <c r="K435" s="71"/>
      <c r="L435" s="71"/>
      <c r="M435" s="71"/>
      <c r="N435" s="71"/>
      <c r="O435" s="71"/>
      <c r="P435" s="71"/>
      <c r="Q435" s="71"/>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row>
    <row r="436" spans="1:45" hidden="1" outlineLevel="1" x14ac:dyDescent="0.3">
      <c r="A436" s="235" t="s">
        <v>2780</v>
      </c>
      <c r="B436" s="235" t="s">
        <v>855</v>
      </c>
      <c r="C436" s="230" t="s">
        <v>772</v>
      </c>
      <c r="D436" s="236">
        <v>3921</v>
      </c>
      <c r="E436" s="236">
        <v>3921</v>
      </c>
      <c r="F436" s="236">
        <v>3921</v>
      </c>
      <c r="G436" s="236">
        <v>3921</v>
      </c>
      <c r="H436" s="236">
        <v>3921</v>
      </c>
      <c r="I436" s="233" t="s">
        <v>2783</v>
      </c>
      <c r="K436" s="71"/>
      <c r="L436" s="71"/>
      <c r="M436" s="71"/>
      <c r="N436" s="71"/>
      <c r="O436" s="71"/>
      <c r="P436" s="71"/>
      <c r="Q436" s="71"/>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c r="AR436" s="70"/>
      <c r="AS436" s="70"/>
    </row>
    <row r="437" spans="1:45" hidden="1" outlineLevel="1" x14ac:dyDescent="0.3">
      <c r="A437" s="235" t="s">
        <v>2780</v>
      </c>
      <c r="B437" s="235" t="s">
        <v>855</v>
      </c>
      <c r="C437" s="230" t="s">
        <v>774</v>
      </c>
      <c r="D437" s="236">
        <v>0</v>
      </c>
      <c r="E437" s="236">
        <v>0</v>
      </c>
      <c r="F437" s="236">
        <v>0</v>
      </c>
      <c r="G437" s="236">
        <v>0</v>
      </c>
      <c r="H437" s="236">
        <v>0</v>
      </c>
      <c r="I437" s="233" t="s">
        <v>2771</v>
      </c>
      <c r="K437" s="70"/>
      <c r="L437" s="71"/>
      <c r="M437" s="71"/>
      <c r="N437" s="71"/>
      <c r="O437" s="71"/>
      <c r="P437" s="71"/>
      <c r="Q437" s="71"/>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c r="AR437" s="70"/>
      <c r="AS437" s="70"/>
    </row>
    <row r="438" spans="1:45" hidden="1" outlineLevel="1" x14ac:dyDescent="0.3">
      <c r="A438" s="235" t="s">
        <v>2780</v>
      </c>
      <c r="B438" s="235" t="s">
        <v>855</v>
      </c>
      <c r="C438" s="230" t="s">
        <v>775</v>
      </c>
      <c r="D438" s="480" t="s">
        <v>204</v>
      </c>
      <c r="E438" s="480" t="s">
        <v>204</v>
      </c>
      <c r="F438" s="480" t="s">
        <v>204</v>
      </c>
      <c r="G438" s="480" t="s">
        <v>204</v>
      </c>
      <c r="H438" s="480" t="s">
        <v>204</v>
      </c>
      <c r="I438" s="233"/>
      <c r="K438" s="181"/>
      <c r="L438" s="71"/>
      <c r="M438" s="71"/>
      <c r="N438" s="71"/>
      <c r="O438" s="71"/>
      <c r="P438" s="71"/>
      <c r="Q438" s="71"/>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c r="AR438" s="70"/>
      <c r="AS438" s="70"/>
    </row>
    <row r="439" spans="1:45" hidden="1" outlineLevel="1" x14ac:dyDescent="0.3">
      <c r="A439" s="235" t="s">
        <v>2780</v>
      </c>
      <c r="B439" s="235" t="s">
        <v>855</v>
      </c>
      <c r="C439" s="230" t="s">
        <v>779</v>
      </c>
      <c r="D439" s="480" t="s">
        <v>204</v>
      </c>
      <c r="E439" s="480" t="s">
        <v>204</v>
      </c>
      <c r="F439" s="480" t="s">
        <v>204</v>
      </c>
      <c r="G439" s="480" t="s">
        <v>204</v>
      </c>
      <c r="H439" s="480" t="s">
        <v>204</v>
      </c>
      <c r="I439" s="233"/>
      <c r="K439" s="71"/>
      <c r="L439" s="71"/>
      <c r="M439" s="71"/>
      <c r="N439" s="71"/>
      <c r="O439" s="71"/>
      <c r="P439" s="71"/>
      <c r="Q439" s="71"/>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c r="AR439" s="70"/>
      <c r="AS439" s="70"/>
    </row>
    <row r="440" spans="1:45" hidden="1" outlineLevel="1" x14ac:dyDescent="0.3">
      <c r="A440" s="235" t="s">
        <v>2780</v>
      </c>
      <c r="B440" s="235" t="s">
        <v>894</v>
      </c>
      <c r="C440" s="230" t="s">
        <v>781</v>
      </c>
      <c r="D440" s="480" t="s">
        <v>204</v>
      </c>
      <c r="E440" s="480" t="s">
        <v>204</v>
      </c>
      <c r="F440" s="480" t="s">
        <v>204</v>
      </c>
      <c r="G440" s="480" t="s">
        <v>204</v>
      </c>
      <c r="H440" s="480" t="s">
        <v>204</v>
      </c>
      <c r="I440" s="233"/>
      <c r="K440" s="71"/>
      <c r="L440" s="71"/>
      <c r="M440" s="71"/>
      <c r="N440" s="71"/>
      <c r="O440" s="71"/>
      <c r="P440" s="71"/>
      <c r="Q440" s="71"/>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c r="AR440" s="70"/>
      <c r="AS440" s="70"/>
    </row>
    <row r="441" spans="1:45" hidden="1" outlineLevel="1" x14ac:dyDescent="0.3">
      <c r="A441" s="235" t="s">
        <v>2780</v>
      </c>
      <c r="B441" s="235" t="s">
        <v>894</v>
      </c>
      <c r="C441" s="230" t="s">
        <v>783</v>
      </c>
      <c r="D441" s="236">
        <v>0</v>
      </c>
      <c r="E441" s="236">
        <v>0</v>
      </c>
      <c r="F441" s="236">
        <v>0</v>
      </c>
      <c r="G441" s="236">
        <v>0</v>
      </c>
      <c r="H441" s="236">
        <v>0</v>
      </c>
      <c r="I441" s="233" t="s">
        <v>2706</v>
      </c>
      <c r="K441" s="71"/>
      <c r="L441" s="71"/>
      <c r="M441" s="71"/>
      <c r="N441" s="71"/>
      <c r="O441" s="71"/>
      <c r="P441" s="71"/>
      <c r="Q441" s="71"/>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c r="AR441" s="70"/>
      <c r="AS441" s="70"/>
    </row>
    <row r="442" spans="1:45" hidden="1" outlineLevel="1" x14ac:dyDescent="0.3">
      <c r="A442" s="235" t="s">
        <v>2780</v>
      </c>
      <c r="B442" s="235" t="s">
        <v>894</v>
      </c>
      <c r="C442" s="230" t="s">
        <v>785</v>
      </c>
      <c r="D442" s="236">
        <v>5910</v>
      </c>
      <c r="E442" s="236">
        <v>5910</v>
      </c>
      <c r="F442" s="236">
        <v>5910</v>
      </c>
      <c r="G442" s="236">
        <v>5910</v>
      </c>
      <c r="H442" s="236">
        <v>5910</v>
      </c>
      <c r="I442" s="233" t="s">
        <v>2707</v>
      </c>
      <c r="K442" s="71"/>
      <c r="L442" s="71"/>
      <c r="M442" s="71"/>
      <c r="N442" s="71"/>
      <c r="O442" s="71"/>
      <c r="P442" s="71"/>
      <c r="Q442" s="71"/>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c r="AR442" s="70"/>
      <c r="AS442" s="70"/>
    </row>
    <row r="443" spans="1:45" hidden="1" outlineLevel="1" x14ac:dyDescent="0.3">
      <c r="A443" s="235" t="s">
        <v>2780</v>
      </c>
      <c r="B443" s="235" t="s">
        <v>894</v>
      </c>
      <c r="C443" s="230" t="s">
        <v>787</v>
      </c>
      <c r="D443" s="480" t="s">
        <v>204</v>
      </c>
      <c r="E443" s="480" t="s">
        <v>204</v>
      </c>
      <c r="F443" s="480" t="s">
        <v>204</v>
      </c>
      <c r="G443" s="480" t="s">
        <v>204</v>
      </c>
      <c r="H443" s="480" t="s">
        <v>204</v>
      </c>
      <c r="I443" s="233"/>
      <c r="K443" s="71"/>
      <c r="L443" s="71"/>
      <c r="M443" s="71"/>
      <c r="N443" s="71"/>
      <c r="O443" s="71"/>
      <c r="P443" s="71"/>
      <c r="Q443" s="71"/>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c r="AR443" s="70"/>
      <c r="AS443" s="70"/>
    </row>
    <row r="444" spans="1:45" hidden="1" outlineLevel="1" x14ac:dyDescent="0.3">
      <c r="A444" s="235" t="s">
        <v>2780</v>
      </c>
      <c r="B444" s="235" t="s">
        <v>894</v>
      </c>
      <c r="C444" s="230" t="s">
        <v>788</v>
      </c>
      <c r="D444" s="480" t="s">
        <v>204</v>
      </c>
      <c r="E444" s="480" t="s">
        <v>204</v>
      </c>
      <c r="F444" s="480" t="s">
        <v>204</v>
      </c>
      <c r="G444" s="480" t="s">
        <v>204</v>
      </c>
      <c r="H444" s="480" t="s">
        <v>204</v>
      </c>
      <c r="I444" s="233"/>
      <c r="K444" s="71"/>
      <c r="L444" s="71"/>
      <c r="M444" s="71"/>
      <c r="N444" s="71"/>
      <c r="O444" s="71"/>
      <c r="P444" s="71"/>
      <c r="Q444" s="71"/>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c r="AR444" s="70"/>
      <c r="AS444" s="70"/>
    </row>
    <row r="445" spans="1:45" hidden="1" outlineLevel="1" x14ac:dyDescent="0.3">
      <c r="A445" s="235" t="s">
        <v>2780</v>
      </c>
      <c r="B445" s="235" t="s">
        <v>894</v>
      </c>
      <c r="C445" s="230" t="s">
        <v>789</v>
      </c>
      <c r="D445" s="480" t="s">
        <v>204</v>
      </c>
      <c r="E445" s="480" t="s">
        <v>204</v>
      </c>
      <c r="F445" s="480" t="s">
        <v>204</v>
      </c>
      <c r="G445" s="480" t="s">
        <v>204</v>
      </c>
      <c r="H445" s="480" t="s">
        <v>204</v>
      </c>
      <c r="I445" s="233"/>
      <c r="K445" s="71"/>
      <c r="L445" s="71"/>
      <c r="M445" s="71"/>
      <c r="N445" s="71"/>
      <c r="O445" s="71"/>
      <c r="P445" s="71"/>
      <c r="Q445" s="71"/>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c r="AR445" s="70"/>
      <c r="AS445" s="70"/>
    </row>
    <row r="446" spans="1:45" hidden="1" outlineLevel="1" x14ac:dyDescent="0.3">
      <c r="A446" s="235" t="s">
        <v>2780</v>
      </c>
      <c r="B446" s="235" t="s">
        <v>894</v>
      </c>
      <c r="C446" s="230" t="s">
        <v>790</v>
      </c>
      <c r="D446" s="354">
        <v>0</v>
      </c>
      <c r="E446" s="354">
        <v>0</v>
      </c>
      <c r="F446" s="354">
        <v>0</v>
      </c>
      <c r="G446" s="354">
        <v>0</v>
      </c>
      <c r="H446" s="354">
        <v>0</v>
      </c>
      <c r="I446" s="233" t="s">
        <v>2708</v>
      </c>
      <c r="K446" s="71"/>
      <c r="L446" s="71"/>
      <c r="M446" s="71"/>
      <c r="N446" s="71"/>
      <c r="O446" s="71"/>
      <c r="P446" s="71"/>
      <c r="Q446" s="71"/>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c r="AR446" s="70"/>
      <c r="AS446" s="70"/>
    </row>
    <row r="447" spans="1:45" hidden="1" outlineLevel="1" x14ac:dyDescent="0.3">
      <c r="A447" s="235" t="s">
        <v>2780</v>
      </c>
      <c r="B447" s="235" t="s">
        <v>894</v>
      </c>
      <c r="C447" s="230" t="s">
        <v>793</v>
      </c>
      <c r="D447" s="480" t="s">
        <v>204</v>
      </c>
      <c r="E447" s="480" t="s">
        <v>204</v>
      </c>
      <c r="F447" s="480" t="s">
        <v>204</v>
      </c>
      <c r="G447" s="480" t="s">
        <v>204</v>
      </c>
      <c r="H447" s="480" t="s">
        <v>204</v>
      </c>
      <c r="I447" s="233"/>
      <c r="K447" s="71"/>
      <c r="L447" s="71"/>
      <c r="M447" s="71"/>
      <c r="N447" s="71"/>
      <c r="O447" s="71"/>
      <c r="P447" s="71"/>
      <c r="Q447" s="71"/>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c r="AR447" s="70"/>
      <c r="AS447" s="70"/>
    </row>
    <row r="448" spans="1:45" hidden="1" outlineLevel="1" x14ac:dyDescent="0.3">
      <c r="A448" s="235" t="s">
        <v>2780</v>
      </c>
      <c r="B448" s="235" t="s">
        <v>894</v>
      </c>
      <c r="C448" s="230" t="s">
        <v>795</v>
      </c>
      <c r="D448" s="480" t="s">
        <v>204</v>
      </c>
      <c r="E448" s="480" t="s">
        <v>204</v>
      </c>
      <c r="F448" s="480" t="s">
        <v>204</v>
      </c>
      <c r="G448" s="480" t="s">
        <v>204</v>
      </c>
      <c r="H448" s="480" t="s">
        <v>204</v>
      </c>
      <c r="I448" s="233"/>
      <c r="K448" s="71"/>
      <c r="L448" s="71"/>
      <c r="M448" s="71"/>
      <c r="N448" s="71"/>
      <c r="O448" s="71"/>
      <c r="P448" s="71"/>
      <c r="Q448" s="71"/>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c r="AR448" s="70"/>
      <c r="AS448" s="70"/>
    </row>
    <row r="449" spans="1:45" hidden="1" outlineLevel="1" x14ac:dyDescent="0.3">
      <c r="A449" s="235" t="s">
        <v>2780</v>
      </c>
      <c r="B449" s="235" t="s">
        <v>894</v>
      </c>
      <c r="C449" s="230" t="s">
        <v>797</v>
      </c>
      <c r="D449" s="236">
        <v>0</v>
      </c>
      <c r="E449" s="236">
        <v>0</v>
      </c>
      <c r="F449" s="236">
        <v>0</v>
      </c>
      <c r="G449" s="236">
        <v>0</v>
      </c>
      <c r="H449" s="236">
        <v>0</v>
      </c>
      <c r="I449" s="233" t="s">
        <v>2752</v>
      </c>
      <c r="K449" s="71"/>
      <c r="L449" s="71"/>
      <c r="M449" s="71"/>
      <c r="N449" s="71"/>
      <c r="O449" s="71"/>
      <c r="P449" s="71"/>
      <c r="Q449" s="71"/>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c r="AR449" s="70"/>
      <c r="AS449" s="70"/>
    </row>
    <row r="450" spans="1:45" hidden="1" outlineLevel="1" x14ac:dyDescent="0.3">
      <c r="A450" s="235" t="s">
        <v>2780</v>
      </c>
      <c r="B450" s="235" t="s">
        <v>915</v>
      </c>
      <c r="C450" s="230" t="s">
        <v>799</v>
      </c>
      <c r="D450" s="236">
        <v>0</v>
      </c>
      <c r="E450" s="236">
        <v>0</v>
      </c>
      <c r="F450" s="236">
        <v>0</v>
      </c>
      <c r="G450" s="236">
        <v>0</v>
      </c>
      <c r="H450" s="236">
        <v>0</v>
      </c>
      <c r="I450" s="233" t="s">
        <v>2784</v>
      </c>
      <c r="K450" s="182"/>
      <c r="L450" s="71"/>
      <c r="M450" s="71"/>
      <c r="N450" s="71"/>
      <c r="O450" s="71"/>
      <c r="P450" s="71"/>
      <c r="Q450" s="71"/>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c r="AR450" s="70"/>
      <c r="AS450" s="70"/>
    </row>
    <row r="451" spans="1:45" hidden="1" outlineLevel="1" x14ac:dyDescent="0.3">
      <c r="A451" s="235" t="s">
        <v>2780</v>
      </c>
      <c r="B451" s="235" t="s">
        <v>915</v>
      </c>
      <c r="C451" s="230" t="s">
        <v>801</v>
      </c>
      <c r="D451" s="236">
        <v>0</v>
      </c>
      <c r="E451" s="236">
        <v>0</v>
      </c>
      <c r="F451" s="236">
        <v>0</v>
      </c>
      <c r="G451" s="236">
        <v>0</v>
      </c>
      <c r="H451" s="236">
        <v>0</v>
      </c>
      <c r="I451" s="233" t="s">
        <v>2711</v>
      </c>
      <c r="K451" s="71"/>
      <c r="L451" s="71"/>
      <c r="M451" s="71"/>
      <c r="N451" s="71"/>
      <c r="O451" s="71"/>
      <c r="P451" s="71"/>
      <c r="Q451" s="71"/>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c r="AR451" s="70"/>
      <c r="AS451" s="70"/>
    </row>
    <row r="452" spans="1:45" hidden="1" outlineLevel="1" x14ac:dyDescent="0.3">
      <c r="A452" s="235" t="s">
        <v>2780</v>
      </c>
      <c r="B452" s="235" t="s">
        <v>915</v>
      </c>
      <c r="C452" s="230" t="s">
        <v>804</v>
      </c>
      <c r="D452" s="236">
        <v>22340</v>
      </c>
      <c r="E452" s="236">
        <v>31390</v>
      </c>
      <c r="F452" s="236">
        <v>33260</v>
      </c>
      <c r="G452" s="236">
        <v>34800</v>
      </c>
      <c r="H452" s="236">
        <v>35250</v>
      </c>
      <c r="I452" s="233" t="s">
        <v>2712</v>
      </c>
      <c r="K452" s="70"/>
      <c r="L452" s="71"/>
      <c r="M452" s="71"/>
      <c r="N452" s="71"/>
      <c r="O452" s="71"/>
      <c r="P452" s="71"/>
      <c r="Q452" s="71"/>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c r="AR452" s="70"/>
      <c r="AS452" s="70"/>
    </row>
    <row r="453" spans="1:45" hidden="1" outlineLevel="1" x14ac:dyDescent="0.3">
      <c r="A453" s="235" t="s">
        <v>2780</v>
      </c>
      <c r="B453" s="235" t="s">
        <v>915</v>
      </c>
      <c r="C453" s="230" t="s">
        <v>806</v>
      </c>
      <c r="D453" s="236">
        <v>6720.8643915000002</v>
      </c>
      <c r="E453" s="236">
        <v>6720.8643915000002</v>
      </c>
      <c r="F453" s="236">
        <v>10078.2276994</v>
      </c>
      <c r="G453" s="236">
        <v>14561.872848249999</v>
      </c>
      <c r="H453" s="236">
        <v>14561.872848249999</v>
      </c>
      <c r="I453" s="233"/>
      <c r="K453" s="71"/>
      <c r="L453" s="71"/>
      <c r="M453" s="71"/>
      <c r="N453" s="71"/>
      <c r="O453" s="71"/>
      <c r="P453" s="71"/>
      <c r="Q453" s="71"/>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c r="AR453" s="70"/>
      <c r="AS453" s="70"/>
    </row>
    <row r="454" spans="1:45" hidden="1" outlineLevel="1" x14ac:dyDescent="0.3">
      <c r="A454" s="235" t="s">
        <v>2780</v>
      </c>
      <c r="B454" s="235" t="s">
        <v>915</v>
      </c>
      <c r="C454" s="230" t="s">
        <v>808</v>
      </c>
      <c r="D454" s="236">
        <v>100</v>
      </c>
      <c r="E454" s="236">
        <v>100</v>
      </c>
      <c r="F454" s="236">
        <v>100</v>
      </c>
      <c r="G454" s="236">
        <v>100</v>
      </c>
      <c r="H454" s="236">
        <v>100</v>
      </c>
      <c r="I454" s="233" t="s">
        <v>2754</v>
      </c>
      <c r="K454" s="71"/>
      <c r="L454" s="71"/>
      <c r="M454" s="71"/>
      <c r="N454" s="71"/>
      <c r="O454" s="71"/>
      <c r="P454" s="71"/>
      <c r="Q454" s="71"/>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c r="AR454" s="70"/>
      <c r="AS454" s="70"/>
    </row>
    <row r="455" spans="1:45" hidden="1" outlineLevel="1" x14ac:dyDescent="0.3">
      <c r="A455" s="235" t="s">
        <v>2780</v>
      </c>
      <c r="B455" s="235" t="s">
        <v>915</v>
      </c>
      <c r="C455" s="230" t="s">
        <v>811</v>
      </c>
      <c r="D455" s="236">
        <v>16000</v>
      </c>
      <c r="E455" s="236">
        <v>19000</v>
      </c>
      <c r="F455" s="236">
        <v>22000</v>
      </c>
      <c r="G455" s="236">
        <v>26000</v>
      </c>
      <c r="H455" s="236">
        <v>28000</v>
      </c>
      <c r="I455" s="233" t="s">
        <v>2785</v>
      </c>
      <c r="K455" s="71"/>
      <c r="L455" s="71"/>
      <c r="M455" s="71"/>
      <c r="N455" s="71"/>
      <c r="O455" s="71"/>
      <c r="P455" s="71"/>
      <c r="Q455" s="71"/>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c r="AR455" s="70"/>
      <c r="AS455" s="70"/>
    </row>
    <row r="456" spans="1:45" hidden="1" outlineLevel="1" x14ac:dyDescent="0.3">
      <c r="A456" s="235" t="s">
        <v>2780</v>
      </c>
      <c r="B456" s="235" t="s">
        <v>934</v>
      </c>
      <c r="C456" s="230" t="s">
        <v>814</v>
      </c>
      <c r="D456" s="236" t="s">
        <v>204</v>
      </c>
      <c r="E456" s="236" t="s">
        <v>204</v>
      </c>
      <c r="F456" s="236" t="s">
        <v>204</v>
      </c>
      <c r="G456" s="236" t="s">
        <v>204</v>
      </c>
      <c r="H456" s="236" t="s">
        <v>204</v>
      </c>
      <c r="I456" s="233"/>
      <c r="K456" s="71"/>
      <c r="L456" s="71"/>
      <c r="M456" s="71"/>
      <c r="N456" s="71"/>
      <c r="O456" s="71"/>
      <c r="P456" s="71"/>
      <c r="Q456" s="71"/>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row>
    <row r="457" spans="1:45" hidden="1" outlineLevel="1" x14ac:dyDescent="0.3">
      <c r="A457" s="235" t="s">
        <v>2780</v>
      </c>
      <c r="B457" s="235" t="s">
        <v>934</v>
      </c>
      <c r="C457" s="230" t="s">
        <v>815</v>
      </c>
      <c r="D457" s="480" t="s">
        <v>204</v>
      </c>
      <c r="E457" s="480" t="s">
        <v>204</v>
      </c>
      <c r="F457" s="480" t="s">
        <v>204</v>
      </c>
      <c r="G457" s="480" t="s">
        <v>204</v>
      </c>
      <c r="H457" s="480" t="s">
        <v>204</v>
      </c>
      <c r="I457" s="233"/>
      <c r="K457" s="71"/>
      <c r="L457" s="71"/>
      <c r="M457" s="71"/>
      <c r="N457" s="71"/>
      <c r="O457" s="71"/>
      <c r="P457" s="71"/>
      <c r="Q457" s="71"/>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row>
    <row r="458" spans="1:45" hidden="1" outlineLevel="1" x14ac:dyDescent="0.3">
      <c r="A458" s="235" t="s">
        <v>2780</v>
      </c>
      <c r="B458" s="235" t="s">
        <v>940</v>
      </c>
      <c r="C458" s="230" t="s">
        <v>817</v>
      </c>
      <c r="D458" s="236">
        <v>0</v>
      </c>
      <c r="E458" s="236">
        <v>0</v>
      </c>
      <c r="F458" s="236">
        <v>0</v>
      </c>
      <c r="G458" s="236">
        <v>0</v>
      </c>
      <c r="H458" s="236">
        <v>0</v>
      </c>
      <c r="I458" s="233" t="s">
        <v>2714</v>
      </c>
      <c r="K458" s="71"/>
      <c r="L458" s="71"/>
      <c r="M458" s="71"/>
      <c r="N458" s="71"/>
      <c r="O458" s="71"/>
      <c r="P458" s="71"/>
      <c r="Q458" s="71"/>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row>
    <row r="459" spans="1:45" hidden="1" outlineLevel="1" x14ac:dyDescent="0.3">
      <c r="A459" s="235" t="s">
        <v>2780</v>
      </c>
      <c r="B459" s="235" t="s">
        <v>940</v>
      </c>
      <c r="C459" s="230" t="s">
        <v>944</v>
      </c>
      <c r="D459" s="236">
        <v>450</v>
      </c>
      <c r="E459" s="236">
        <v>450</v>
      </c>
      <c r="F459" s="236">
        <v>450</v>
      </c>
      <c r="G459" s="236">
        <v>450</v>
      </c>
      <c r="H459" s="236">
        <v>450</v>
      </c>
      <c r="I459" s="233" t="s">
        <v>2755</v>
      </c>
      <c r="K459" s="71"/>
      <c r="L459" s="71"/>
      <c r="M459" s="71"/>
      <c r="N459" s="71"/>
      <c r="O459" s="71"/>
      <c r="P459" s="71"/>
      <c r="Q459" s="71"/>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c r="AR459" s="70"/>
      <c r="AS459" s="70"/>
    </row>
    <row r="460" spans="1:45" hidden="1" outlineLevel="1" x14ac:dyDescent="0.3">
      <c r="A460" s="235" t="s">
        <v>2780</v>
      </c>
      <c r="B460" s="235" t="s">
        <v>940</v>
      </c>
      <c r="C460" s="230" t="s">
        <v>821</v>
      </c>
      <c r="D460" s="480" t="s">
        <v>204</v>
      </c>
      <c r="E460" s="480" t="s">
        <v>204</v>
      </c>
      <c r="F460" s="480" t="s">
        <v>204</v>
      </c>
      <c r="G460" s="480" t="s">
        <v>204</v>
      </c>
      <c r="H460" s="480" t="s">
        <v>204</v>
      </c>
      <c r="I460" s="233"/>
      <c r="K460" s="71"/>
      <c r="L460" s="71"/>
      <c r="M460" s="71"/>
      <c r="N460" s="71"/>
      <c r="O460" s="71"/>
      <c r="P460" s="71"/>
      <c r="Q460" s="71"/>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c r="AR460" s="70"/>
      <c r="AS460" s="70"/>
    </row>
    <row r="461" spans="1:45" hidden="1" outlineLevel="1" x14ac:dyDescent="0.3">
      <c r="A461" s="235" t="s">
        <v>2780</v>
      </c>
      <c r="B461" s="235" t="s">
        <v>940</v>
      </c>
      <c r="C461" s="230" t="s">
        <v>823</v>
      </c>
      <c r="D461" s="480" t="s">
        <v>204</v>
      </c>
      <c r="E461" s="480" t="s">
        <v>204</v>
      </c>
      <c r="F461" s="480" t="s">
        <v>204</v>
      </c>
      <c r="G461" s="480" t="s">
        <v>204</v>
      </c>
      <c r="H461" s="480" t="s">
        <v>204</v>
      </c>
      <c r="I461" s="233"/>
      <c r="K461" s="71"/>
      <c r="L461" s="71"/>
      <c r="M461" s="71"/>
      <c r="N461" s="71"/>
      <c r="O461" s="71"/>
      <c r="P461" s="71"/>
      <c r="Q461" s="71"/>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row>
    <row r="462" spans="1:45" hidden="1" outlineLevel="1" x14ac:dyDescent="0.3">
      <c r="A462" s="235" t="s">
        <v>2780</v>
      </c>
      <c r="B462" s="235" t="s">
        <v>940</v>
      </c>
      <c r="C462" s="230" t="s">
        <v>825</v>
      </c>
      <c r="D462" s="480" t="s">
        <v>204</v>
      </c>
      <c r="E462" s="480" t="s">
        <v>204</v>
      </c>
      <c r="F462" s="480" t="s">
        <v>204</v>
      </c>
      <c r="G462" s="480" t="s">
        <v>204</v>
      </c>
      <c r="H462" s="480" t="s">
        <v>204</v>
      </c>
      <c r="I462" s="233"/>
      <c r="K462" s="71"/>
      <c r="L462" s="71"/>
      <c r="M462" s="71"/>
      <c r="N462" s="71"/>
      <c r="O462" s="71"/>
      <c r="P462" s="71"/>
      <c r="Q462" s="71"/>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c r="AR462" s="70"/>
      <c r="AS462" s="70"/>
    </row>
    <row r="463" spans="1:45" hidden="1" outlineLevel="1" x14ac:dyDescent="0.3">
      <c r="A463" s="235" t="s">
        <v>2780</v>
      </c>
      <c r="B463" s="235" t="s">
        <v>940</v>
      </c>
      <c r="C463" s="230" t="s">
        <v>827</v>
      </c>
      <c r="D463" s="236">
        <v>550000</v>
      </c>
      <c r="E463" s="236">
        <v>613000</v>
      </c>
      <c r="F463" s="236">
        <v>687000</v>
      </c>
      <c r="G463" s="236">
        <v>698000</v>
      </c>
      <c r="H463" s="236">
        <v>706000</v>
      </c>
      <c r="I463" s="233" t="s">
        <v>1024</v>
      </c>
      <c r="K463" s="71"/>
      <c r="L463" s="71"/>
      <c r="M463" s="71"/>
      <c r="N463" s="71"/>
      <c r="O463" s="71"/>
      <c r="P463" s="71"/>
      <c r="Q463" s="71"/>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row>
    <row r="464" spans="1:45" hidden="1" outlineLevel="1" x14ac:dyDescent="0.3">
      <c r="A464" s="235" t="s">
        <v>2780</v>
      </c>
      <c r="B464" s="235" t="s">
        <v>940</v>
      </c>
      <c r="C464" s="230" t="s">
        <v>829</v>
      </c>
      <c r="D464" s="236">
        <v>0</v>
      </c>
      <c r="E464" s="236">
        <v>0</v>
      </c>
      <c r="F464" s="236">
        <v>0</v>
      </c>
      <c r="G464" s="236">
        <v>0</v>
      </c>
      <c r="H464" s="236">
        <v>0</v>
      </c>
      <c r="I464" s="233" t="s">
        <v>2715</v>
      </c>
      <c r="K464" s="71"/>
      <c r="L464" s="71"/>
      <c r="M464" s="71"/>
      <c r="N464" s="71"/>
      <c r="O464" s="71"/>
      <c r="P464" s="71"/>
      <c r="Q464" s="71"/>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row>
    <row r="465" spans="1:45" hidden="1" outlineLevel="1" x14ac:dyDescent="0.3">
      <c r="A465" s="235" t="s">
        <v>2780</v>
      </c>
      <c r="B465" s="235" t="s">
        <v>940</v>
      </c>
      <c r="C465" s="230" t="s">
        <v>833</v>
      </c>
      <c r="D465" s="236">
        <v>500</v>
      </c>
      <c r="E465" s="236">
        <v>1000</v>
      </c>
      <c r="F465" s="236">
        <v>1500</v>
      </c>
      <c r="G465" s="236">
        <v>2000</v>
      </c>
      <c r="H465" s="236">
        <v>2000</v>
      </c>
      <c r="I465" s="233" t="s">
        <v>2716</v>
      </c>
      <c r="K465" s="71"/>
      <c r="L465" s="71"/>
      <c r="M465" s="71"/>
      <c r="N465" s="71"/>
      <c r="O465" s="71"/>
      <c r="P465" s="71"/>
      <c r="Q465" s="71"/>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row>
    <row r="466" spans="1:45" hidden="1" outlineLevel="1" x14ac:dyDescent="0.3">
      <c r="A466" s="235" t="s">
        <v>2780</v>
      </c>
      <c r="B466" s="235" t="s">
        <v>940</v>
      </c>
      <c r="C466" s="230" t="s">
        <v>836</v>
      </c>
      <c r="D466" s="236">
        <v>27978</v>
      </c>
      <c r="E466" s="236">
        <v>36831</v>
      </c>
      <c r="F466" s="236">
        <v>40478</v>
      </c>
      <c r="G466" s="236">
        <v>43902</v>
      </c>
      <c r="H466" s="236">
        <v>45094</v>
      </c>
      <c r="I466" s="233" t="s">
        <v>2717</v>
      </c>
      <c r="K466" s="71"/>
      <c r="L466" s="71"/>
      <c r="M466" s="71"/>
      <c r="N466" s="71"/>
      <c r="O466" s="71"/>
      <c r="P466" s="71"/>
      <c r="Q466" s="71"/>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c r="AR466" s="70"/>
      <c r="AS466" s="70"/>
    </row>
    <row r="467" spans="1:45" hidden="1" outlineLevel="1" x14ac:dyDescent="0.3">
      <c r="A467" s="235" t="s">
        <v>2780</v>
      </c>
      <c r="B467" s="235" t="s">
        <v>940</v>
      </c>
      <c r="C467" s="230" t="s">
        <v>837</v>
      </c>
      <c r="D467" s="480" t="s">
        <v>204</v>
      </c>
      <c r="E467" s="480" t="s">
        <v>204</v>
      </c>
      <c r="F467" s="480" t="s">
        <v>204</v>
      </c>
      <c r="G467" s="480" t="s">
        <v>204</v>
      </c>
      <c r="H467" s="480" t="s">
        <v>204</v>
      </c>
      <c r="I467" s="233"/>
      <c r="K467" s="71"/>
      <c r="L467" s="71"/>
      <c r="M467" s="71"/>
      <c r="N467" s="71"/>
      <c r="O467" s="71"/>
      <c r="P467" s="71"/>
      <c r="Q467" s="71"/>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c r="AR467" s="70"/>
      <c r="AS467" s="70"/>
    </row>
    <row r="468" spans="1:45" hidden="1" outlineLevel="1" x14ac:dyDescent="0.3">
      <c r="A468" s="235" t="s">
        <v>2780</v>
      </c>
      <c r="B468" s="235" t="s">
        <v>940</v>
      </c>
      <c r="C468" s="230" t="s">
        <v>839</v>
      </c>
      <c r="D468" s="236">
        <v>0</v>
      </c>
      <c r="E468" s="236">
        <v>0</v>
      </c>
      <c r="F468" s="236">
        <v>0</v>
      </c>
      <c r="G468" s="236">
        <v>0</v>
      </c>
      <c r="H468" s="236">
        <v>0</v>
      </c>
      <c r="I468" s="233" t="s">
        <v>2718</v>
      </c>
      <c r="K468" s="71"/>
      <c r="L468" s="71"/>
      <c r="M468" s="71"/>
      <c r="N468" s="71"/>
      <c r="O468" s="71"/>
      <c r="P468" s="71"/>
      <c r="Q468" s="71"/>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c r="AR468" s="70"/>
      <c r="AS468" s="70"/>
    </row>
    <row r="469" spans="1:45" hidden="1" outlineLevel="1" x14ac:dyDescent="0.3">
      <c r="A469" s="235" t="s">
        <v>2780</v>
      </c>
      <c r="B469" s="235" t="s">
        <v>940</v>
      </c>
      <c r="C469" s="230" t="s">
        <v>840</v>
      </c>
      <c r="D469" s="480" t="s">
        <v>204</v>
      </c>
      <c r="E469" s="480" t="s">
        <v>204</v>
      </c>
      <c r="F469" s="480" t="s">
        <v>204</v>
      </c>
      <c r="G469" s="480" t="s">
        <v>204</v>
      </c>
      <c r="H469" s="480" t="s">
        <v>204</v>
      </c>
      <c r="I469" s="233"/>
      <c r="K469" s="71"/>
      <c r="L469" s="71"/>
      <c r="M469" s="71"/>
      <c r="N469" s="71"/>
      <c r="O469" s="71"/>
      <c r="P469" s="71"/>
      <c r="Q469" s="71"/>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c r="AR469" s="70"/>
      <c r="AS469" s="70"/>
    </row>
    <row r="470" spans="1:45" collapsed="1" x14ac:dyDescent="0.3">
      <c r="A470" s="235"/>
      <c r="B470" s="235"/>
      <c r="C470" s="484" t="s">
        <v>2719</v>
      </c>
      <c r="D470" s="233"/>
      <c r="E470" s="233"/>
      <c r="F470" s="233"/>
      <c r="G470" s="233"/>
      <c r="H470" s="233"/>
      <c r="I470" s="233"/>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c r="AR470" s="70"/>
      <c r="AS470" s="70"/>
    </row>
    <row r="471" spans="1:45" x14ac:dyDescent="0.3">
      <c r="A471" s="230" t="s">
        <v>2786</v>
      </c>
      <c r="B471" s="235"/>
      <c r="C471" s="231" t="s">
        <v>2693</v>
      </c>
      <c r="D471" s="232">
        <v>632940</v>
      </c>
      <c r="E471" s="232">
        <v>717221</v>
      </c>
      <c r="F471" s="232">
        <v>800012</v>
      </c>
      <c r="G471" s="232">
        <v>819991</v>
      </c>
      <c r="H471" s="232">
        <v>831658</v>
      </c>
      <c r="I471" s="233"/>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c r="AR471" s="70"/>
      <c r="AS471" s="70"/>
    </row>
    <row r="472" spans="1:45" x14ac:dyDescent="0.3">
      <c r="A472" s="230" t="s">
        <v>5</v>
      </c>
      <c r="B472" s="230" t="s">
        <v>847</v>
      </c>
      <c r="C472" s="230" t="s">
        <v>193</v>
      </c>
      <c r="D472" s="234">
        <v>2025</v>
      </c>
      <c r="E472" s="234">
        <v>2030</v>
      </c>
      <c r="F472" s="234">
        <v>2035</v>
      </c>
      <c r="G472" s="234">
        <v>2040</v>
      </c>
      <c r="H472" s="234">
        <v>2045</v>
      </c>
      <c r="I472" s="234" t="s">
        <v>153</v>
      </c>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c r="AR472" s="70"/>
      <c r="AS472" s="70"/>
    </row>
    <row r="473" spans="1:45" hidden="1" outlineLevel="1" x14ac:dyDescent="0.3">
      <c r="A473" s="235" t="s">
        <v>2786</v>
      </c>
      <c r="B473" s="235" t="s">
        <v>855</v>
      </c>
      <c r="C473" s="230" t="s">
        <v>747</v>
      </c>
      <c r="D473" s="480" t="s">
        <v>204</v>
      </c>
      <c r="E473" s="480" t="s">
        <v>204</v>
      </c>
      <c r="F473" s="480" t="s">
        <v>204</v>
      </c>
      <c r="G473" s="480" t="s">
        <v>204</v>
      </c>
      <c r="H473" s="480" t="s">
        <v>204</v>
      </c>
      <c r="I473" s="233"/>
      <c r="K473" s="70"/>
      <c r="L473" s="71"/>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c r="AR473" s="70"/>
      <c r="AS473" s="70"/>
    </row>
    <row r="474" spans="1:45" hidden="1" outlineLevel="1" x14ac:dyDescent="0.3">
      <c r="A474" s="235" t="s">
        <v>2786</v>
      </c>
      <c r="B474" s="235" t="s">
        <v>855</v>
      </c>
      <c r="C474" s="230" t="s">
        <v>751</v>
      </c>
      <c r="D474" s="236">
        <v>0</v>
      </c>
      <c r="E474" s="236">
        <v>0</v>
      </c>
      <c r="F474" s="236">
        <v>0</v>
      </c>
      <c r="G474" s="236">
        <v>0</v>
      </c>
      <c r="H474" s="236">
        <v>0</v>
      </c>
      <c r="I474" s="233" t="s">
        <v>2696</v>
      </c>
      <c r="K474" s="70"/>
      <c r="L474" s="71"/>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c r="AR474" s="70"/>
      <c r="AS474" s="70"/>
    </row>
    <row r="475" spans="1:45" hidden="1" outlineLevel="1" x14ac:dyDescent="0.3">
      <c r="A475" s="235" t="s">
        <v>2786</v>
      </c>
      <c r="B475" s="235" t="s">
        <v>855</v>
      </c>
      <c r="C475" s="230" t="s">
        <v>755</v>
      </c>
      <c r="D475" s="236">
        <v>0</v>
      </c>
      <c r="E475" s="236">
        <v>0</v>
      </c>
      <c r="F475" s="236">
        <v>0</v>
      </c>
      <c r="G475" s="236">
        <v>0</v>
      </c>
      <c r="H475" s="236">
        <v>0</v>
      </c>
      <c r="I475" s="233"/>
      <c r="K475" s="71"/>
      <c r="L475" s="71"/>
      <c r="M475" s="71"/>
      <c r="N475" s="71"/>
      <c r="O475" s="71"/>
      <c r="P475" s="71"/>
      <c r="Q475" s="71"/>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c r="AR475" s="70"/>
      <c r="AS475" s="70"/>
    </row>
    <row r="476" spans="1:45" hidden="1" outlineLevel="1" x14ac:dyDescent="0.3">
      <c r="A476" s="235" t="s">
        <v>2786</v>
      </c>
      <c r="B476" s="235" t="s">
        <v>855</v>
      </c>
      <c r="C476" s="230" t="s">
        <v>758</v>
      </c>
      <c r="D476" s="236">
        <v>4791</v>
      </c>
      <c r="E476" s="236">
        <v>5269</v>
      </c>
      <c r="F476" s="236">
        <v>5643</v>
      </c>
      <c r="G476" s="236">
        <v>5958</v>
      </c>
      <c r="H476" s="236">
        <v>6383</v>
      </c>
      <c r="I476" s="236" t="s">
        <v>2699</v>
      </c>
      <c r="K476" s="71"/>
      <c r="L476" s="71"/>
      <c r="M476" s="71"/>
      <c r="N476" s="71"/>
      <c r="O476" s="71"/>
      <c r="P476" s="71"/>
      <c r="Q476" s="71"/>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c r="AR476" s="70"/>
      <c r="AS476" s="70"/>
    </row>
    <row r="477" spans="1:45" hidden="1" outlineLevel="1" x14ac:dyDescent="0.3">
      <c r="A477" s="235" t="s">
        <v>2786</v>
      </c>
      <c r="B477" s="235" t="s">
        <v>855</v>
      </c>
      <c r="C477" s="230" t="s">
        <v>761</v>
      </c>
      <c r="D477" s="236">
        <v>0</v>
      </c>
      <c r="E477" s="236">
        <v>0</v>
      </c>
      <c r="F477" s="236">
        <v>0</v>
      </c>
      <c r="G477" s="236">
        <v>0</v>
      </c>
      <c r="H477" s="236">
        <v>0</v>
      </c>
      <c r="I477" s="233"/>
      <c r="K477" s="71"/>
      <c r="L477" s="71"/>
      <c r="M477" s="71"/>
      <c r="N477" s="71"/>
      <c r="O477" s="71"/>
      <c r="P477" s="71"/>
      <c r="Q477" s="71"/>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c r="AR477" s="70"/>
      <c r="AS477" s="70"/>
    </row>
    <row r="478" spans="1:45" hidden="1" outlineLevel="1" x14ac:dyDescent="0.3">
      <c r="A478" s="235" t="s">
        <v>2786</v>
      </c>
      <c r="B478" s="235" t="s">
        <v>855</v>
      </c>
      <c r="C478" s="230" t="s">
        <v>763</v>
      </c>
      <c r="D478" s="236">
        <v>650</v>
      </c>
      <c r="E478" s="236">
        <v>650</v>
      </c>
      <c r="F478" s="236">
        <v>650</v>
      </c>
      <c r="G478" s="236">
        <v>650</v>
      </c>
      <c r="H478" s="236">
        <v>650</v>
      </c>
      <c r="I478" s="233" t="s">
        <v>2781</v>
      </c>
      <c r="K478" s="71"/>
      <c r="L478" s="71"/>
      <c r="M478" s="71"/>
      <c r="N478" s="71"/>
      <c r="O478" s="71"/>
      <c r="P478" s="71"/>
      <c r="Q478" s="71"/>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c r="AR478" s="70"/>
      <c r="AS478" s="70"/>
    </row>
    <row r="479" spans="1:45" hidden="1" outlineLevel="1" x14ac:dyDescent="0.3">
      <c r="A479" s="235" t="s">
        <v>2786</v>
      </c>
      <c r="B479" s="235" t="s">
        <v>855</v>
      </c>
      <c r="C479" s="230" t="s">
        <v>765</v>
      </c>
      <c r="D479" s="236">
        <v>3500</v>
      </c>
      <c r="E479" s="236">
        <v>3500</v>
      </c>
      <c r="F479" s="236">
        <v>3500</v>
      </c>
      <c r="G479" s="236">
        <v>3500</v>
      </c>
      <c r="H479" s="236">
        <v>3500</v>
      </c>
      <c r="I479" s="233" t="s">
        <v>2722</v>
      </c>
      <c r="K479" s="71"/>
      <c r="L479" s="71"/>
      <c r="M479" s="71"/>
      <c r="N479" s="71"/>
      <c r="O479" s="71"/>
      <c r="P479" s="71"/>
      <c r="Q479" s="71"/>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c r="AR479" s="70"/>
      <c r="AS479" s="70"/>
    </row>
    <row r="480" spans="1:45" hidden="1" outlineLevel="1" x14ac:dyDescent="0.3">
      <c r="A480" s="235" t="s">
        <v>2786</v>
      </c>
      <c r="B480" s="235" t="s">
        <v>855</v>
      </c>
      <c r="C480" s="230" t="s">
        <v>768</v>
      </c>
      <c r="D480" s="480" t="s">
        <v>204</v>
      </c>
      <c r="E480" s="480" t="s">
        <v>204</v>
      </c>
      <c r="F480" s="480" t="s">
        <v>204</v>
      </c>
      <c r="G480" s="480" t="s">
        <v>204</v>
      </c>
      <c r="H480" s="480" t="s">
        <v>204</v>
      </c>
      <c r="I480" s="233"/>
      <c r="K480" s="71"/>
      <c r="L480" s="71"/>
      <c r="M480" s="71"/>
      <c r="N480" s="71"/>
      <c r="O480" s="71"/>
      <c r="P480" s="71"/>
      <c r="Q480" s="71"/>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c r="AR480" s="70"/>
      <c r="AS480" s="70"/>
    </row>
    <row r="481" spans="1:45" hidden="1" outlineLevel="1" x14ac:dyDescent="0.3">
      <c r="A481" s="235" t="s">
        <v>2786</v>
      </c>
      <c r="B481" s="235" t="s">
        <v>855</v>
      </c>
      <c r="C481" s="230" t="s">
        <v>771</v>
      </c>
      <c r="D481" s="236">
        <v>0</v>
      </c>
      <c r="E481" s="236">
        <v>0</v>
      </c>
      <c r="F481" s="236">
        <v>0</v>
      </c>
      <c r="G481" s="236">
        <v>0</v>
      </c>
      <c r="H481" s="236">
        <v>0</v>
      </c>
      <c r="I481" s="233" t="s">
        <v>2787</v>
      </c>
      <c r="K481" s="71"/>
      <c r="L481" s="71"/>
      <c r="M481" s="71"/>
      <c r="N481" s="71"/>
      <c r="O481" s="71"/>
      <c r="P481" s="71"/>
      <c r="Q481" s="71"/>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c r="AR481" s="70"/>
      <c r="AS481" s="70"/>
    </row>
    <row r="482" spans="1:45" hidden="1" outlineLevel="1" x14ac:dyDescent="0.3">
      <c r="A482" s="235" t="s">
        <v>2786</v>
      </c>
      <c r="B482" s="235" t="s">
        <v>855</v>
      </c>
      <c r="C482" s="230" t="s">
        <v>772</v>
      </c>
      <c r="D482" s="236">
        <v>3921</v>
      </c>
      <c r="E482" s="236">
        <v>3921</v>
      </c>
      <c r="F482" s="236">
        <v>3921</v>
      </c>
      <c r="G482" s="236">
        <v>3921</v>
      </c>
      <c r="H482" s="236">
        <v>3921</v>
      </c>
      <c r="I482" s="233" t="s">
        <v>2783</v>
      </c>
      <c r="K482" s="71"/>
      <c r="L482" s="71"/>
      <c r="M482" s="71"/>
      <c r="N482" s="71"/>
      <c r="O482" s="71"/>
      <c r="P482" s="71"/>
      <c r="Q482" s="71"/>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c r="AR482" s="70"/>
      <c r="AS482" s="70"/>
    </row>
    <row r="483" spans="1:45" hidden="1" outlineLevel="1" x14ac:dyDescent="0.3">
      <c r="A483" s="235" t="s">
        <v>2786</v>
      </c>
      <c r="B483" s="235" t="s">
        <v>855</v>
      </c>
      <c r="C483" s="230" t="s">
        <v>774</v>
      </c>
      <c r="D483" s="236">
        <v>0</v>
      </c>
      <c r="E483" s="236">
        <v>0</v>
      </c>
      <c r="F483" s="236">
        <v>0</v>
      </c>
      <c r="G483" s="236">
        <v>0</v>
      </c>
      <c r="H483" s="236">
        <v>0</v>
      </c>
      <c r="I483" s="233" t="s">
        <v>2771</v>
      </c>
      <c r="K483" s="70"/>
      <c r="L483" s="71"/>
      <c r="M483" s="71"/>
      <c r="N483" s="71"/>
      <c r="O483" s="71"/>
      <c r="P483" s="71"/>
      <c r="Q483" s="71"/>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c r="AR483" s="70"/>
      <c r="AS483" s="70"/>
    </row>
    <row r="484" spans="1:45" hidden="1" outlineLevel="1" x14ac:dyDescent="0.3">
      <c r="A484" s="235" t="s">
        <v>2786</v>
      </c>
      <c r="B484" s="235" t="s">
        <v>855</v>
      </c>
      <c r="C484" s="230" t="s">
        <v>775</v>
      </c>
      <c r="D484" s="480" t="s">
        <v>204</v>
      </c>
      <c r="E484" s="480" t="s">
        <v>204</v>
      </c>
      <c r="F484" s="480" t="s">
        <v>204</v>
      </c>
      <c r="G484" s="480" t="s">
        <v>204</v>
      </c>
      <c r="H484" s="480" t="s">
        <v>204</v>
      </c>
      <c r="I484" s="233"/>
      <c r="K484" s="181"/>
      <c r="L484" s="71"/>
      <c r="M484" s="71"/>
      <c r="N484" s="71"/>
      <c r="O484" s="71"/>
      <c r="P484" s="71"/>
      <c r="Q484" s="71"/>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c r="AR484" s="70"/>
      <c r="AS484" s="70"/>
    </row>
    <row r="485" spans="1:45" hidden="1" outlineLevel="1" x14ac:dyDescent="0.3">
      <c r="A485" s="235" t="s">
        <v>2786</v>
      </c>
      <c r="B485" s="235" t="s">
        <v>855</v>
      </c>
      <c r="C485" s="230" t="s">
        <v>779</v>
      </c>
      <c r="D485" s="480" t="s">
        <v>204</v>
      </c>
      <c r="E485" s="480" t="s">
        <v>204</v>
      </c>
      <c r="F485" s="480" t="s">
        <v>204</v>
      </c>
      <c r="G485" s="480" t="s">
        <v>204</v>
      </c>
      <c r="H485" s="480" t="s">
        <v>204</v>
      </c>
      <c r="I485" s="233"/>
      <c r="K485" s="71"/>
      <c r="L485" s="71"/>
      <c r="M485" s="71"/>
      <c r="N485" s="71"/>
      <c r="O485" s="71"/>
      <c r="P485" s="71"/>
      <c r="Q485" s="71"/>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c r="AR485" s="70"/>
      <c r="AS485" s="70"/>
    </row>
    <row r="486" spans="1:45" hidden="1" outlineLevel="1" x14ac:dyDescent="0.3">
      <c r="A486" s="235" t="s">
        <v>2786</v>
      </c>
      <c r="B486" s="235" t="s">
        <v>894</v>
      </c>
      <c r="C486" s="230" t="s">
        <v>781</v>
      </c>
      <c r="D486" s="480" t="s">
        <v>204</v>
      </c>
      <c r="E486" s="480" t="s">
        <v>204</v>
      </c>
      <c r="F486" s="480" t="s">
        <v>204</v>
      </c>
      <c r="G486" s="480" t="s">
        <v>204</v>
      </c>
      <c r="H486" s="480" t="s">
        <v>204</v>
      </c>
      <c r="I486" s="233"/>
      <c r="K486" s="71"/>
      <c r="L486" s="71"/>
      <c r="M486" s="71"/>
      <c r="N486" s="71"/>
      <c r="O486" s="71"/>
      <c r="P486" s="71"/>
      <c r="Q486" s="71"/>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c r="AR486" s="70"/>
      <c r="AS486" s="70"/>
    </row>
    <row r="487" spans="1:45" hidden="1" outlineLevel="1" x14ac:dyDescent="0.3">
      <c r="A487" s="235" t="s">
        <v>2786</v>
      </c>
      <c r="B487" s="235" t="s">
        <v>894</v>
      </c>
      <c r="C487" s="230" t="s">
        <v>783</v>
      </c>
      <c r="D487" s="236">
        <v>0</v>
      </c>
      <c r="E487" s="236">
        <v>0</v>
      </c>
      <c r="F487" s="236">
        <v>0</v>
      </c>
      <c r="G487" s="236">
        <v>0</v>
      </c>
      <c r="H487" s="236">
        <v>0</v>
      </c>
      <c r="I487" s="233" t="s">
        <v>2706</v>
      </c>
      <c r="K487" s="71"/>
      <c r="L487" s="71"/>
      <c r="M487" s="71"/>
      <c r="N487" s="71"/>
      <c r="O487" s="71"/>
      <c r="P487" s="71"/>
      <c r="Q487" s="71"/>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c r="AR487" s="70"/>
      <c r="AS487" s="70"/>
    </row>
    <row r="488" spans="1:45" hidden="1" outlineLevel="1" x14ac:dyDescent="0.3">
      <c r="A488" s="235" t="s">
        <v>2786</v>
      </c>
      <c r="B488" s="235" t="s">
        <v>894</v>
      </c>
      <c r="C488" s="230" t="s">
        <v>785</v>
      </c>
      <c r="D488" s="236">
        <v>5910</v>
      </c>
      <c r="E488" s="236">
        <v>5910</v>
      </c>
      <c r="F488" s="236">
        <v>5910</v>
      </c>
      <c r="G488" s="236">
        <v>5910</v>
      </c>
      <c r="H488" s="236">
        <v>5910</v>
      </c>
      <c r="I488" s="233" t="s">
        <v>2724</v>
      </c>
      <c r="K488" s="71"/>
      <c r="L488" s="71"/>
      <c r="M488" s="71"/>
      <c r="N488" s="71"/>
      <c r="O488" s="71"/>
      <c r="P488" s="71"/>
      <c r="Q488" s="71"/>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c r="AR488" s="70"/>
      <c r="AS488" s="70"/>
    </row>
    <row r="489" spans="1:45" hidden="1" outlineLevel="1" x14ac:dyDescent="0.3">
      <c r="A489" s="235" t="s">
        <v>2786</v>
      </c>
      <c r="B489" s="235" t="s">
        <v>894</v>
      </c>
      <c r="C489" s="230" t="s">
        <v>787</v>
      </c>
      <c r="D489" s="480" t="s">
        <v>204</v>
      </c>
      <c r="E489" s="480" t="s">
        <v>204</v>
      </c>
      <c r="F489" s="480" t="s">
        <v>204</v>
      </c>
      <c r="G489" s="480" t="s">
        <v>204</v>
      </c>
      <c r="H489" s="480" t="s">
        <v>204</v>
      </c>
      <c r="I489" s="233"/>
      <c r="K489" s="71"/>
      <c r="L489" s="71"/>
      <c r="M489" s="71"/>
      <c r="N489" s="71"/>
      <c r="O489" s="71"/>
      <c r="P489" s="71"/>
      <c r="Q489" s="71"/>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row>
    <row r="490" spans="1:45" hidden="1" outlineLevel="1" x14ac:dyDescent="0.3">
      <c r="A490" s="235" t="s">
        <v>2786</v>
      </c>
      <c r="B490" s="235" t="s">
        <v>894</v>
      </c>
      <c r="C490" s="230" t="s">
        <v>788</v>
      </c>
      <c r="D490" s="480" t="s">
        <v>204</v>
      </c>
      <c r="E490" s="480" t="s">
        <v>204</v>
      </c>
      <c r="F490" s="480" t="s">
        <v>204</v>
      </c>
      <c r="G490" s="480" t="s">
        <v>204</v>
      </c>
      <c r="H490" s="480" t="s">
        <v>204</v>
      </c>
      <c r="I490" s="233"/>
      <c r="K490" s="71"/>
      <c r="L490" s="71"/>
      <c r="M490" s="71"/>
      <c r="N490" s="71"/>
      <c r="O490" s="71"/>
      <c r="P490" s="71"/>
      <c r="Q490" s="71"/>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c r="AR490" s="70"/>
      <c r="AS490" s="70"/>
    </row>
    <row r="491" spans="1:45" hidden="1" outlineLevel="1" x14ac:dyDescent="0.3">
      <c r="A491" s="235" t="s">
        <v>2786</v>
      </c>
      <c r="B491" s="235" t="s">
        <v>894</v>
      </c>
      <c r="C491" s="230" t="s">
        <v>789</v>
      </c>
      <c r="D491" s="480" t="s">
        <v>204</v>
      </c>
      <c r="E491" s="480" t="s">
        <v>204</v>
      </c>
      <c r="F491" s="480" t="s">
        <v>204</v>
      </c>
      <c r="G491" s="480" t="s">
        <v>204</v>
      </c>
      <c r="H491" s="480" t="s">
        <v>204</v>
      </c>
      <c r="I491" s="233"/>
      <c r="K491" s="71"/>
      <c r="L491" s="71"/>
      <c r="M491" s="71"/>
      <c r="N491" s="71"/>
      <c r="O491" s="71"/>
      <c r="P491" s="71"/>
      <c r="Q491" s="71"/>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c r="AR491" s="70"/>
      <c r="AS491" s="70"/>
    </row>
    <row r="492" spans="1:45" hidden="1" outlineLevel="1" x14ac:dyDescent="0.3">
      <c r="A492" s="235" t="s">
        <v>2786</v>
      </c>
      <c r="B492" s="235" t="s">
        <v>894</v>
      </c>
      <c r="C492" s="230" t="s">
        <v>790</v>
      </c>
      <c r="D492" s="354">
        <v>0</v>
      </c>
      <c r="E492" s="354">
        <v>0</v>
      </c>
      <c r="F492" s="354">
        <v>0</v>
      </c>
      <c r="G492" s="354">
        <v>0</v>
      </c>
      <c r="H492" s="354">
        <v>0</v>
      </c>
      <c r="I492" s="233" t="s">
        <v>2725</v>
      </c>
      <c r="K492" s="71"/>
      <c r="L492" s="71"/>
      <c r="M492" s="71"/>
      <c r="N492" s="71"/>
      <c r="O492" s="71"/>
      <c r="P492" s="71"/>
      <c r="Q492" s="71"/>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c r="AR492" s="70"/>
      <c r="AS492" s="70"/>
    </row>
    <row r="493" spans="1:45" hidden="1" outlineLevel="1" x14ac:dyDescent="0.3">
      <c r="A493" s="235" t="s">
        <v>2786</v>
      </c>
      <c r="B493" s="235" t="s">
        <v>894</v>
      </c>
      <c r="C493" s="230" t="s">
        <v>793</v>
      </c>
      <c r="D493" s="480" t="s">
        <v>204</v>
      </c>
      <c r="E493" s="480" t="s">
        <v>204</v>
      </c>
      <c r="F493" s="480" t="s">
        <v>204</v>
      </c>
      <c r="G493" s="480" t="s">
        <v>204</v>
      </c>
      <c r="H493" s="480" t="s">
        <v>204</v>
      </c>
      <c r="I493" s="233"/>
      <c r="K493" s="71"/>
      <c r="L493" s="71"/>
      <c r="M493" s="71"/>
      <c r="N493" s="71"/>
      <c r="O493" s="71"/>
      <c r="P493" s="71"/>
      <c r="Q493" s="71"/>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c r="AR493" s="70"/>
      <c r="AS493" s="70"/>
    </row>
    <row r="494" spans="1:45" hidden="1" outlineLevel="1" x14ac:dyDescent="0.3">
      <c r="A494" s="235" t="s">
        <v>2786</v>
      </c>
      <c r="B494" s="235" t="s">
        <v>894</v>
      </c>
      <c r="C494" s="230" t="s">
        <v>795</v>
      </c>
      <c r="D494" s="480" t="s">
        <v>204</v>
      </c>
      <c r="E494" s="480" t="s">
        <v>204</v>
      </c>
      <c r="F494" s="480" t="s">
        <v>204</v>
      </c>
      <c r="G494" s="480" t="s">
        <v>204</v>
      </c>
      <c r="H494" s="480" t="s">
        <v>204</v>
      </c>
      <c r="I494" s="233"/>
      <c r="K494" s="71"/>
      <c r="L494" s="71"/>
      <c r="M494" s="71"/>
      <c r="N494" s="71"/>
      <c r="O494" s="71"/>
      <c r="P494" s="71"/>
      <c r="Q494" s="71"/>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c r="AR494" s="70"/>
      <c r="AS494" s="70"/>
    </row>
    <row r="495" spans="1:45" hidden="1" outlineLevel="1" x14ac:dyDescent="0.3">
      <c r="A495" s="235" t="s">
        <v>2786</v>
      </c>
      <c r="B495" s="235" t="s">
        <v>894</v>
      </c>
      <c r="C495" s="230" t="s">
        <v>797</v>
      </c>
      <c r="D495" s="236">
        <v>0</v>
      </c>
      <c r="E495" s="236">
        <v>0</v>
      </c>
      <c r="F495" s="236">
        <v>0</v>
      </c>
      <c r="G495" s="236">
        <v>0</v>
      </c>
      <c r="H495" s="236">
        <v>0</v>
      </c>
      <c r="I495" s="233" t="s">
        <v>2726</v>
      </c>
      <c r="K495" s="71"/>
      <c r="L495" s="71"/>
      <c r="M495" s="71"/>
      <c r="N495" s="71"/>
      <c r="O495" s="71"/>
      <c r="P495" s="71"/>
      <c r="Q495" s="71"/>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row>
    <row r="496" spans="1:45" hidden="1" outlineLevel="1" x14ac:dyDescent="0.3">
      <c r="A496" s="235" t="s">
        <v>2786</v>
      </c>
      <c r="B496" s="235" t="s">
        <v>915</v>
      </c>
      <c r="C496" s="230" t="s">
        <v>799</v>
      </c>
      <c r="D496" s="236">
        <v>0</v>
      </c>
      <c r="E496" s="236">
        <v>0</v>
      </c>
      <c r="F496" s="236">
        <v>0</v>
      </c>
      <c r="G496" s="236">
        <v>0</v>
      </c>
      <c r="H496" s="236">
        <v>0</v>
      </c>
      <c r="I496" s="233" t="s">
        <v>2775</v>
      </c>
      <c r="K496" s="182"/>
      <c r="L496" s="71"/>
      <c r="M496" s="71"/>
      <c r="N496" s="71"/>
      <c r="O496" s="71"/>
      <c r="P496" s="71"/>
      <c r="Q496" s="71"/>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c r="AR496" s="70"/>
      <c r="AS496" s="70"/>
    </row>
    <row r="497" spans="1:45" hidden="1" outlineLevel="1" x14ac:dyDescent="0.3">
      <c r="A497" s="235" t="s">
        <v>2786</v>
      </c>
      <c r="B497" s="235" t="s">
        <v>915</v>
      </c>
      <c r="C497" s="230" t="s">
        <v>801</v>
      </c>
      <c r="D497" s="354">
        <v>0</v>
      </c>
      <c r="E497" s="354">
        <v>0</v>
      </c>
      <c r="F497" s="354">
        <v>0</v>
      </c>
      <c r="G497" s="354">
        <v>0</v>
      </c>
      <c r="H497" s="354">
        <v>0</v>
      </c>
      <c r="I497" s="233" t="s">
        <v>2728</v>
      </c>
      <c r="K497" s="71"/>
      <c r="L497" s="71"/>
      <c r="M497" s="71"/>
      <c r="N497" s="71"/>
      <c r="O497" s="71"/>
      <c r="P497" s="71"/>
      <c r="Q497" s="71"/>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c r="AR497" s="70"/>
      <c r="AS497" s="70"/>
    </row>
    <row r="498" spans="1:45" hidden="1" outlineLevel="1" x14ac:dyDescent="0.3">
      <c r="A498" s="235" t="s">
        <v>2786</v>
      </c>
      <c r="B498" s="235" t="s">
        <v>915</v>
      </c>
      <c r="C498" s="230" t="s">
        <v>804</v>
      </c>
      <c r="D498" s="236">
        <v>22340</v>
      </c>
      <c r="E498" s="236">
        <v>31390</v>
      </c>
      <c r="F498" s="236">
        <v>33260</v>
      </c>
      <c r="G498" s="236">
        <v>34800</v>
      </c>
      <c r="H498" s="236">
        <v>35250</v>
      </c>
      <c r="I498" s="233" t="s">
        <v>2762</v>
      </c>
      <c r="K498" s="70"/>
      <c r="L498" s="71"/>
      <c r="M498" s="71"/>
      <c r="N498" s="71"/>
      <c r="O498" s="71"/>
      <c r="P498" s="71"/>
      <c r="Q498" s="71"/>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c r="AR498" s="70"/>
      <c r="AS498" s="70"/>
    </row>
    <row r="499" spans="1:45" hidden="1" outlineLevel="1" x14ac:dyDescent="0.3">
      <c r="A499" s="235" t="s">
        <v>2786</v>
      </c>
      <c r="B499" s="235" t="s">
        <v>915</v>
      </c>
      <c r="C499" s="230" t="s">
        <v>806</v>
      </c>
      <c r="D499" s="236">
        <v>0</v>
      </c>
      <c r="E499" s="236">
        <v>0</v>
      </c>
      <c r="F499" s="236">
        <v>0</v>
      </c>
      <c r="G499" s="236">
        <v>0</v>
      </c>
      <c r="H499" s="236">
        <v>0</v>
      </c>
      <c r="I499" s="233"/>
      <c r="K499" s="71"/>
      <c r="L499" s="71"/>
      <c r="M499" s="71"/>
      <c r="N499" s="71"/>
      <c r="O499" s="71"/>
      <c r="P499" s="71"/>
      <c r="Q499" s="71"/>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c r="AR499" s="70"/>
      <c r="AS499" s="70"/>
    </row>
    <row r="500" spans="1:45" hidden="1" outlineLevel="1" x14ac:dyDescent="0.3">
      <c r="A500" s="235" t="s">
        <v>2786</v>
      </c>
      <c r="B500" s="235" t="s">
        <v>915</v>
      </c>
      <c r="C500" s="230" t="s">
        <v>808</v>
      </c>
      <c r="D500" s="236">
        <v>100</v>
      </c>
      <c r="E500" s="236">
        <v>100</v>
      </c>
      <c r="F500" s="236">
        <v>100</v>
      </c>
      <c r="G500" s="236">
        <v>100</v>
      </c>
      <c r="H500" s="236">
        <v>100</v>
      </c>
      <c r="I500" s="233" t="s">
        <v>2754</v>
      </c>
      <c r="K500" s="71"/>
      <c r="L500" s="71"/>
      <c r="M500" s="71"/>
      <c r="N500" s="71"/>
      <c r="O500" s="71"/>
      <c r="P500" s="71"/>
      <c r="Q500" s="71"/>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c r="AR500" s="70"/>
      <c r="AS500" s="70"/>
    </row>
    <row r="501" spans="1:45" hidden="1" outlineLevel="1" x14ac:dyDescent="0.3">
      <c r="A501" s="235" t="s">
        <v>2786</v>
      </c>
      <c r="B501" s="235" t="s">
        <v>915</v>
      </c>
      <c r="C501" s="230" t="s">
        <v>811</v>
      </c>
      <c r="D501" s="236">
        <v>12800</v>
      </c>
      <c r="E501" s="236">
        <v>15200</v>
      </c>
      <c r="F501" s="236">
        <v>17600</v>
      </c>
      <c r="G501" s="236">
        <v>20800</v>
      </c>
      <c r="H501" s="236">
        <v>22400</v>
      </c>
      <c r="I501" s="233" t="s">
        <v>2730</v>
      </c>
      <c r="K501" s="71"/>
      <c r="L501" s="71"/>
      <c r="M501" s="71"/>
      <c r="N501" s="71"/>
      <c r="O501" s="71"/>
      <c r="P501" s="71"/>
      <c r="Q501" s="71"/>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c r="AR501" s="70"/>
      <c r="AS501" s="70"/>
    </row>
    <row r="502" spans="1:45" hidden="1" outlineLevel="1" x14ac:dyDescent="0.3">
      <c r="A502" s="235" t="s">
        <v>2786</v>
      </c>
      <c r="B502" s="235" t="s">
        <v>934</v>
      </c>
      <c r="C502" s="230" t="s">
        <v>814</v>
      </c>
      <c r="D502" s="236" t="s">
        <v>204</v>
      </c>
      <c r="E502" s="236" t="s">
        <v>204</v>
      </c>
      <c r="F502" s="236" t="s">
        <v>204</v>
      </c>
      <c r="G502" s="236" t="s">
        <v>204</v>
      </c>
      <c r="H502" s="236" t="s">
        <v>204</v>
      </c>
      <c r="I502" s="233"/>
      <c r="K502" s="71"/>
      <c r="L502" s="71"/>
      <c r="M502" s="71"/>
      <c r="N502" s="71"/>
      <c r="O502" s="71"/>
      <c r="P502" s="71"/>
      <c r="Q502" s="71"/>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c r="AR502" s="70"/>
      <c r="AS502" s="70"/>
    </row>
    <row r="503" spans="1:45" hidden="1" outlineLevel="1" x14ac:dyDescent="0.3">
      <c r="A503" s="235" t="s">
        <v>2786</v>
      </c>
      <c r="B503" s="235" t="s">
        <v>934</v>
      </c>
      <c r="C503" s="230" t="s">
        <v>815</v>
      </c>
      <c r="D503" s="480" t="s">
        <v>204</v>
      </c>
      <c r="E503" s="480" t="s">
        <v>204</v>
      </c>
      <c r="F503" s="480" t="s">
        <v>204</v>
      </c>
      <c r="G503" s="480" t="s">
        <v>204</v>
      </c>
      <c r="H503" s="480" t="s">
        <v>204</v>
      </c>
      <c r="I503" s="233"/>
      <c r="K503" s="71"/>
      <c r="L503" s="71"/>
      <c r="M503" s="71"/>
      <c r="N503" s="71"/>
      <c r="O503" s="71"/>
      <c r="P503" s="71"/>
      <c r="Q503" s="71"/>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c r="AR503" s="70"/>
      <c r="AS503" s="70"/>
    </row>
    <row r="504" spans="1:45" hidden="1" outlineLevel="1" x14ac:dyDescent="0.3">
      <c r="A504" s="235" t="s">
        <v>2786</v>
      </c>
      <c r="B504" s="235" t="s">
        <v>940</v>
      </c>
      <c r="C504" s="230" t="s">
        <v>817</v>
      </c>
      <c r="D504" s="236">
        <v>0</v>
      </c>
      <c r="E504" s="236">
        <v>0</v>
      </c>
      <c r="F504" s="236">
        <v>0</v>
      </c>
      <c r="G504" s="236">
        <v>0</v>
      </c>
      <c r="H504" s="236">
        <v>0</v>
      </c>
      <c r="I504" s="233" t="s">
        <v>2731</v>
      </c>
      <c r="K504" s="71"/>
      <c r="L504" s="71"/>
      <c r="M504" s="71"/>
      <c r="N504" s="71"/>
      <c r="O504" s="71"/>
      <c r="P504" s="71"/>
      <c r="Q504" s="71"/>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c r="AR504" s="70"/>
      <c r="AS504" s="70"/>
    </row>
    <row r="505" spans="1:45" hidden="1" outlineLevel="1" x14ac:dyDescent="0.3">
      <c r="A505" s="235" t="s">
        <v>2786</v>
      </c>
      <c r="B505" s="235" t="s">
        <v>940</v>
      </c>
      <c r="C505" s="230" t="s">
        <v>944</v>
      </c>
      <c r="D505" s="236">
        <v>450</v>
      </c>
      <c r="E505" s="236">
        <v>450</v>
      </c>
      <c r="F505" s="236">
        <v>450</v>
      </c>
      <c r="G505" s="236">
        <v>450</v>
      </c>
      <c r="H505" s="236">
        <v>450</v>
      </c>
      <c r="I505" s="233" t="s">
        <v>2763</v>
      </c>
      <c r="K505" s="71"/>
      <c r="L505" s="71"/>
      <c r="M505" s="71"/>
      <c r="N505" s="71"/>
      <c r="O505" s="71"/>
      <c r="P505" s="71"/>
      <c r="Q505" s="71"/>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c r="AR505" s="70"/>
      <c r="AS505" s="70"/>
    </row>
    <row r="506" spans="1:45" hidden="1" outlineLevel="1" x14ac:dyDescent="0.3">
      <c r="A506" s="235" t="s">
        <v>2786</v>
      </c>
      <c r="B506" s="235" t="s">
        <v>940</v>
      </c>
      <c r="C506" s="230" t="s">
        <v>821</v>
      </c>
      <c r="D506" s="480" t="s">
        <v>204</v>
      </c>
      <c r="E506" s="480" t="s">
        <v>204</v>
      </c>
      <c r="F506" s="480" t="s">
        <v>204</v>
      </c>
      <c r="G506" s="480" t="s">
        <v>204</v>
      </c>
      <c r="H506" s="480" t="s">
        <v>204</v>
      </c>
      <c r="I506" s="233"/>
      <c r="K506" s="71"/>
      <c r="L506" s="71"/>
      <c r="M506" s="71"/>
      <c r="N506" s="71"/>
      <c r="O506" s="71"/>
      <c r="P506" s="71"/>
      <c r="Q506" s="71"/>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c r="AR506" s="70"/>
      <c r="AS506" s="70"/>
    </row>
    <row r="507" spans="1:45" hidden="1" outlineLevel="1" x14ac:dyDescent="0.3">
      <c r="A507" s="235" t="s">
        <v>2786</v>
      </c>
      <c r="B507" s="235" t="s">
        <v>940</v>
      </c>
      <c r="C507" s="230" t="s">
        <v>823</v>
      </c>
      <c r="D507" s="480" t="s">
        <v>204</v>
      </c>
      <c r="E507" s="480" t="s">
        <v>204</v>
      </c>
      <c r="F507" s="480" t="s">
        <v>204</v>
      </c>
      <c r="G507" s="480" t="s">
        <v>204</v>
      </c>
      <c r="H507" s="480" t="s">
        <v>204</v>
      </c>
      <c r="I507" s="233"/>
      <c r="K507" s="71"/>
      <c r="L507" s="71"/>
      <c r="M507" s="71"/>
      <c r="N507" s="71"/>
      <c r="O507" s="71"/>
      <c r="P507" s="71"/>
      <c r="Q507" s="71"/>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c r="AR507" s="70"/>
      <c r="AS507" s="70"/>
    </row>
    <row r="508" spans="1:45" hidden="1" outlineLevel="1" x14ac:dyDescent="0.3">
      <c r="A508" s="235" t="s">
        <v>2786</v>
      </c>
      <c r="B508" s="235" t="s">
        <v>940</v>
      </c>
      <c r="C508" s="230" t="s">
        <v>825</v>
      </c>
      <c r="D508" s="480" t="s">
        <v>204</v>
      </c>
      <c r="E508" s="480" t="s">
        <v>204</v>
      </c>
      <c r="F508" s="480" t="s">
        <v>204</v>
      </c>
      <c r="G508" s="480" t="s">
        <v>204</v>
      </c>
      <c r="H508" s="480" t="s">
        <v>204</v>
      </c>
      <c r="I508" s="233"/>
      <c r="K508" s="71"/>
      <c r="L508" s="71"/>
      <c r="M508" s="71"/>
      <c r="N508" s="71"/>
      <c r="O508" s="71"/>
      <c r="P508" s="71"/>
      <c r="Q508" s="71"/>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c r="AR508" s="70"/>
      <c r="AS508" s="70"/>
    </row>
    <row r="509" spans="1:45" hidden="1" outlineLevel="1" x14ac:dyDescent="0.3">
      <c r="A509" s="235" t="s">
        <v>2786</v>
      </c>
      <c r="B509" s="235" t="s">
        <v>940</v>
      </c>
      <c r="C509" s="230" t="s">
        <v>827</v>
      </c>
      <c r="D509" s="236">
        <v>550000</v>
      </c>
      <c r="E509" s="236">
        <v>613000</v>
      </c>
      <c r="F509" s="236">
        <v>687000</v>
      </c>
      <c r="G509" s="236">
        <v>698000</v>
      </c>
      <c r="H509" s="236">
        <v>706000</v>
      </c>
      <c r="I509" s="233" t="s">
        <v>1068</v>
      </c>
      <c r="K509" s="71"/>
      <c r="L509" s="71"/>
      <c r="M509" s="71"/>
      <c r="N509" s="71"/>
      <c r="O509" s="71"/>
      <c r="P509" s="71"/>
      <c r="Q509" s="71"/>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c r="AR509" s="70"/>
      <c r="AS509" s="70"/>
    </row>
    <row r="510" spans="1:45" hidden="1" outlineLevel="1" x14ac:dyDescent="0.3">
      <c r="A510" s="235" t="s">
        <v>2786</v>
      </c>
      <c r="B510" s="235" t="s">
        <v>940</v>
      </c>
      <c r="C510" s="230" t="s">
        <v>829</v>
      </c>
      <c r="D510" s="236">
        <v>0</v>
      </c>
      <c r="E510" s="236">
        <v>0</v>
      </c>
      <c r="F510" s="236">
        <v>0</v>
      </c>
      <c r="G510" s="236">
        <v>0</v>
      </c>
      <c r="H510" s="236">
        <v>0</v>
      </c>
      <c r="I510" s="233" t="s">
        <v>2715</v>
      </c>
      <c r="K510" s="71"/>
      <c r="L510" s="71"/>
      <c r="M510" s="71"/>
      <c r="N510" s="71"/>
      <c r="O510" s="71"/>
      <c r="P510" s="71"/>
      <c r="Q510" s="71"/>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c r="AR510" s="70"/>
      <c r="AS510" s="70"/>
    </row>
    <row r="511" spans="1:45" hidden="1" outlineLevel="1" x14ac:dyDescent="0.3">
      <c r="A511" s="235" t="s">
        <v>2786</v>
      </c>
      <c r="B511" s="235" t="s">
        <v>940</v>
      </c>
      <c r="C511" s="230" t="s">
        <v>833</v>
      </c>
      <c r="D511" s="236">
        <v>500</v>
      </c>
      <c r="E511" s="236">
        <v>1000</v>
      </c>
      <c r="F511" s="236">
        <v>1500</v>
      </c>
      <c r="G511" s="236">
        <v>2000</v>
      </c>
      <c r="H511" s="236">
        <v>2000</v>
      </c>
      <c r="I511" s="233" t="s">
        <v>2732</v>
      </c>
      <c r="K511" s="71"/>
      <c r="L511" s="71"/>
      <c r="M511" s="71"/>
      <c r="N511" s="71"/>
      <c r="O511" s="71"/>
      <c r="P511" s="71"/>
      <c r="Q511" s="71"/>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c r="AR511" s="70"/>
      <c r="AS511" s="70"/>
    </row>
    <row r="512" spans="1:45" hidden="1" outlineLevel="1" x14ac:dyDescent="0.3">
      <c r="A512" s="235" t="s">
        <v>2786</v>
      </c>
      <c r="B512" s="235" t="s">
        <v>940</v>
      </c>
      <c r="C512" s="230" t="s">
        <v>836</v>
      </c>
      <c r="D512" s="236">
        <v>27978</v>
      </c>
      <c r="E512" s="236">
        <v>36831</v>
      </c>
      <c r="F512" s="236">
        <v>40478</v>
      </c>
      <c r="G512" s="236">
        <v>43902</v>
      </c>
      <c r="H512" s="236">
        <v>45094</v>
      </c>
      <c r="I512" s="233" t="s">
        <v>2733</v>
      </c>
      <c r="K512" s="71"/>
      <c r="L512" s="71"/>
      <c r="M512" s="71"/>
      <c r="N512" s="71"/>
      <c r="O512" s="71"/>
      <c r="P512" s="71"/>
      <c r="Q512" s="71"/>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c r="AR512" s="70"/>
      <c r="AS512" s="70"/>
    </row>
    <row r="513" spans="1:45" hidden="1" outlineLevel="1" x14ac:dyDescent="0.3">
      <c r="A513" s="235" t="s">
        <v>2786</v>
      </c>
      <c r="B513" s="235" t="s">
        <v>940</v>
      </c>
      <c r="C513" s="230" t="s">
        <v>837</v>
      </c>
      <c r="D513" s="480" t="s">
        <v>204</v>
      </c>
      <c r="E513" s="480" t="s">
        <v>204</v>
      </c>
      <c r="F513" s="480" t="s">
        <v>204</v>
      </c>
      <c r="G513" s="480" t="s">
        <v>204</v>
      </c>
      <c r="H513" s="480" t="s">
        <v>204</v>
      </c>
      <c r="I513" s="233"/>
      <c r="K513" s="71"/>
      <c r="L513" s="71"/>
      <c r="M513" s="71"/>
      <c r="N513" s="71"/>
      <c r="O513" s="71"/>
      <c r="P513" s="71"/>
      <c r="Q513" s="71"/>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c r="AR513" s="70"/>
      <c r="AS513" s="70"/>
    </row>
    <row r="514" spans="1:45" hidden="1" outlineLevel="1" x14ac:dyDescent="0.3">
      <c r="A514" s="235" t="s">
        <v>2786</v>
      </c>
      <c r="B514" s="235" t="s">
        <v>940</v>
      </c>
      <c r="C514" s="230" t="s">
        <v>839</v>
      </c>
      <c r="D514" s="236">
        <v>0</v>
      </c>
      <c r="E514" s="236">
        <v>0</v>
      </c>
      <c r="F514" s="236">
        <v>0</v>
      </c>
      <c r="G514" s="236">
        <v>0</v>
      </c>
      <c r="H514" s="236">
        <v>0</v>
      </c>
      <c r="I514" s="233" t="s">
        <v>2718</v>
      </c>
      <c r="K514" s="71"/>
      <c r="L514" s="71"/>
      <c r="M514" s="71"/>
      <c r="N514" s="71"/>
      <c r="O514" s="71"/>
      <c r="P514" s="71"/>
      <c r="Q514" s="71"/>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c r="AR514" s="70"/>
      <c r="AS514" s="70"/>
    </row>
    <row r="515" spans="1:45" hidden="1" outlineLevel="1" x14ac:dyDescent="0.3">
      <c r="A515" s="235" t="s">
        <v>2786</v>
      </c>
      <c r="B515" s="235" t="s">
        <v>940</v>
      </c>
      <c r="C515" s="230" t="s">
        <v>840</v>
      </c>
      <c r="D515" s="480" t="s">
        <v>204</v>
      </c>
      <c r="E515" s="480" t="s">
        <v>204</v>
      </c>
      <c r="F515" s="480" t="s">
        <v>204</v>
      </c>
      <c r="G515" s="480" t="s">
        <v>204</v>
      </c>
      <c r="H515" s="480" t="s">
        <v>204</v>
      </c>
      <c r="I515" s="233"/>
      <c r="K515" s="71"/>
      <c r="L515" s="71"/>
      <c r="M515" s="71"/>
      <c r="N515" s="71"/>
      <c r="O515" s="71"/>
      <c r="P515" s="71"/>
      <c r="Q515" s="71"/>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row>
    <row r="516" spans="1:45" collapsed="1" x14ac:dyDescent="0.3">
      <c r="A516" s="235"/>
      <c r="B516" s="235"/>
      <c r="C516" s="484" t="s">
        <v>2719</v>
      </c>
      <c r="D516" s="233"/>
      <c r="E516" s="233"/>
      <c r="F516" s="233"/>
      <c r="G516" s="233"/>
      <c r="H516" s="233"/>
      <c r="I516" s="233"/>
      <c r="K516" s="70"/>
      <c r="L516" s="70"/>
      <c r="M516" s="71"/>
      <c r="N516" s="71"/>
      <c r="O516" s="71"/>
      <c r="P516" s="71"/>
      <c r="Q516" s="71"/>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row>
    <row r="517" spans="1:45" collapsed="1" x14ac:dyDescent="0.3">
      <c r="A517" s="230" t="s">
        <v>2788</v>
      </c>
      <c r="B517" s="235"/>
      <c r="C517" s="231" t="s">
        <v>2693</v>
      </c>
      <c r="D517" s="232">
        <v>573716</v>
      </c>
      <c r="E517" s="232">
        <v>691955</v>
      </c>
      <c r="F517" s="232">
        <v>770704</v>
      </c>
      <c r="G517" s="232">
        <v>815627</v>
      </c>
      <c r="H517" s="232">
        <v>828266</v>
      </c>
      <c r="I517" s="233"/>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row>
    <row r="518" spans="1:45" x14ac:dyDescent="0.3">
      <c r="A518" s="230" t="s">
        <v>5</v>
      </c>
      <c r="B518" s="230" t="s">
        <v>847</v>
      </c>
      <c r="C518" s="230" t="s">
        <v>193</v>
      </c>
      <c r="D518" s="234">
        <v>2025</v>
      </c>
      <c r="E518" s="234">
        <v>2030</v>
      </c>
      <c r="F518" s="234">
        <v>2035</v>
      </c>
      <c r="G518" s="234">
        <v>2040</v>
      </c>
      <c r="H518" s="234">
        <v>2045</v>
      </c>
      <c r="I518" s="234" t="s">
        <v>153</v>
      </c>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c r="AR518" s="70"/>
      <c r="AS518" s="70"/>
    </row>
    <row r="519" spans="1:45" hidden="1" outlineLevel="1" x14ac:dyDescent="0.3">
      <c r="A519" s="235" t="s">
        <v>2788</v>
      </c>
      <c r="B519" s="235" t="s">
        <v>855</v>
      </c>
      <c r="C519" s="230" t="s">
        <v>747</v>
      </c>
      <c r="D519" s="480" t="s">
        <v>204</v>
      </c>
      <c r="E519" s="480" t="s">
        <v>204</v>
      </c>
      <c r="F519" s="480" t="s">
        <v>204</v>
      </c>
      <c r="G519" s="480" t="s">
        <v>204</v>
      </c>
      <c r="H519" s="480" t="s">
        <v>204</v>
      </c>
      <c r="I519" s="233"/>
      <c r="K519" s="70"/>
      <c r="L519" s="71"/>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c r="AR519" s="70"/>
      <c r="AS519" s="70"/>
    </row>
    <row r="520" spans="1:45" hidden="1" outlineLevel="1" x14ac:dyDescent="0.3">
      <c r="A520" s="235" t="s">
        <v>2788</v>
      </c>
      <c r="B520" s="235" t="s">
        <v>855</v>
      </c>
      <c r="C520" s="230" t="s">
        <v>751</v>
      </c>
      <c r="D520" s="236">
        <v>0</v>
      </c>
      <c r="E520" s="236">
        <v>0</v>
      </c>
      <c r="F520" s="236">
        <v>0</v>
      </c>
      <c r="G520" s="236">
        <v>0</v>
      </c>
      <c r="H520" s="236">
        <v>0</v>
      </c>
      <c r="I520" s="233" t="s">
        <v>2696</v>
      </c>
      <c r="K520" s="70"/>
      <c r="L520" s="71"/>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row>
    <row r="521" spans="1:45" hidden="1" outlineLevel="1" x14ac:dyDescent="0.3">
      <c r="A521" s="235" t="s">
        <v>2788</v>
      </c>
      <c r="B521" s="235" t="s">
        <v>855</v>
      </c>
      <c r="C521" s="230" t="s">
        <v>755</v>
      </c>
      <c r="D521" s="236">
        <v>0</v>
      </c>
      <c r="E521" s="236">
        <v>0</v>
      </c>
      <c r="F521" s="236">
        <v>0</v>
      </c>
      <c r="G521" s="236">
        <v>0</v>
      </c>
      <c r="H521" s="236">
        <v>0</v>
      </c>
      <c r="I521" s="233"/>
      <c r="K521" s="71"/>
      <c r="L521" s="71"/>
      <c r="M521" s="71"/>
      <c r="N521" s="71"/>
      <c r="O521" s="71"/>
      <c r="P521" s="71"/>
      <c r="Q521" s="71"/>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row>
    <row r="522" spans="1:45" hidden="1" outlineLevel="1" x14ac:dyDescent="0.3">
      <c r="A522" s="235" t="s">
        <v>2788</v>
      </c>
      <c r="B522" s="235" t="s">
        <v>855</v>
      </c>
      <c r="C522" s="230" t="s">
        <v>758</v>
      </c>
      <c r="D522" s="236">
        <v>4791</v>
      </c>
      <c r="E522" s="236">
        <v>5269</v>
      </c>
      <c r="F522" s="236">
        <v>5643</v>
      </c>
      <c r="G522" s="236">
        <v>5958</v>
      </c>
      <c r="H522" s="236">
        <v>6383</v>
      </c>
      <c r="I522" s="236" t="s">
        <v>2789</v>
      </c>
      <c r="K522" s="71"/>
      <c r="L522" s="71"/>
      <c r="M522" s="71"/>
      <c r="N522" s="71"/>
      <c r="O522" s="71"/>
      <c r="P522" s="71"/>
      <c r="Q522" s="71"/>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c r="AR522" s="70"/>
      <c r="AS522" s="70"/>
    </row>
    <row r="523" spans="1:45" hidden="1" outlineLevel="1" x14ac:dyDescent="0.3">
      <c r="A523" s="235" t="s">
        <v>2788</v>
      </c>
      <c r="B523" s="235" t="s">
        <v>855</v>
      </c>
      <c r="C523" s="230" t="s">
        <v>761</v>
      </c>
      <c r="D523" s="236">
        <v>0</v>
      </c>
      <c r="E523" s="236">
        <v>0</v>
      </c>
      <c r="F523" s="236">
        <v>0</v>
      </c>
      <c r="G523" s="236">
        <v>0</v>
      </c>
      <c r="H523" s="236">
        <v>0</v>
      </c>
      <c r="I523" s="233"/>
      <c r="K523" s="71"/>
      <c r="L523" s="71"/>
      <c r="M523" s="71"/>
      <c r="N523" s="71"/>
      <c r="O523" s="71"/>
      <c r="P523" s="71"/>
      <c r="Q523" s="71"/>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c r="AR523" s="70"/>
      <c r="AS523" s="70"/>
    </row>
    <row r="524" spans="1:45" hidden="1" outlineLevel="1" x14ac:dyDescent="0.3">
      <c r="A524" s="235" t="s">
        <v>2788</v>
      </c>
      <c r="B524" s="235" t="s">
        <v>855</v>
      </c>
      <c r="C524" s="230" t="s">
        <v>763</v>
      </c>
      <c r="D524" s="236">
        <v>650</v>
      </c>
      <c r="E524" s="236">
        <v>650</v>
      </c>
      <c r="F524" s="236">
        <v>650</v>
      </c>
      <c r="G524" s="236">
        <v>650</v>
      </c>
      <c r="H524" s="236">
        <v>650</v>
      </c>
      <c r="I524" s="233" t="s">
        <v>2781</v>
      </c>
      <c r="K524" s="71"/>
      <c r="L524" s="71"/>
      <c r="M524" s="71"/>
      <c r="N524" s="71"/>
      <c r="O524" s="71"/>
      <c r="P524" s="71"/>
      <c r="Q524" s="71"/>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c r="AR524" s="70"/>
      <c r="AS524" s="70"/>
    </row>
    <row r="525" spans="1:45" hidden="1" outlineLevel="1" x14ac:dyDescent="0.3">
      <c r="A525" s="235" t="s">
        <v>2788</v>
      </c>
      <c r="B525" s="235" t="s">
        <v>855</v>
      </c>
      <c r="C525" s="230" t="s">
        <v>765</v>
      </c>
      <c r="D525" s="236">
        <v>3500</v>
      </c>
      <c r="E525" s="236">
        <v>3500</v>
      </c>
      <c r="F525" s="236">
        <v>3500</v>
      </c>
      <c r="G525" s="236">
        <v>3500</v>
      </c>
      <c r="H525" s="236">
        <v>3500</v>
      </c>
      <c r="I525" s="233" t="s">
        <v>2735</v>
      </c>
      <c r="K525" s="71"/>
      <c r="L525" s="71"/>
      <c r="M525" s="71"/>
      <c r="N525" s="71"/>
      <c r="O525" s="71"/>
      <c r="P525" s="71"/>
      <c r="Q525" s="71"/>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c r="AR525" s="70"/>
      <c r="AS525" s="70"/>
    </row>
    <row r="526" spans="1:45" hidden="1" outlineLevel="1" x14ac:dyDescent="0.3">
      <c r="A526" s="235" t="s">
        <v>2788</v>
      </c>
      <c r="B526" s="235" t="s">
        <v>855</v>
      </c>
      <c r="C526" s="230" t="s">
        <v>768</v>
      </c>
      <c r="D526" s="480" t="s">
        <v>204</v>
      </c>
      <c r="E526" s="480" t="s">
        <v>204</v>
      </c>
      <c r="F526" s="480" t="s">
        <v>204</v>
      </c>
      <c r="G526" s="480" t="s">
        <v>204</v>
      </c>
      <c r="H526" s="480" t="s">
        <v>204</v>
      </c>
      <c r="I526" s="233"/>
      <c r="K526" s="71"/>
      <c r="L526" s="71"/>
      <c r="M526" s="71"/>
      <c r="N526" s="71"/>
      <c r="O526" s="71"/>
      <c r="P526" s="71"/>
      <c r="Q526" s="71"/>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c r="AR526" s="70"/>
      <c r="AS526" s="70"/>
    </row>
    <row r="527" spans="1:45" hidden="1" outlineLevel="1" x14ac:dyDescent="0.3">
      <c r="A527" s="235" t="s">
        <v>2788</v>
      </c>
      <c r="B527" s="235" t="s">
        <v>855</v>
      </c>
      <c r="C527" s="230" t="s">
        <v>771</v>
      </c>
      <c r="D527" s="236">
        <v>0</v>
      </c>
      <c r="E527" s="236">
        <v>0</v>
      </c>
      <c r="F527" s="236">
        <v>0</v>
      </c>
      <c r="G527" s="236">
        <v>0</v>
      </c>
      <c r="H527" s="236">
        <v>0</v>
      </c>
      <c r="I527" s="233" t="s">
        <v>2790</v>
      </c>
      <c r="K527" s="71"/>
      <c r="L527" s="71"/>
      <c r="M527" s="71"/>
      <c r="N527" s="71"/>
      <c r="O527" s="71"/>
      <c r="P527" s="71"/>
      <c r="Q527" s="71"/>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c r="AR527" s="70"/>
      <c r="AS527" s="70"/>
    </row>
    <row r="528" spans="1:45" hidden="1" outlineLevel="1" x14ac:dyDescent="0.3">
      <c r="A528" s="235" t="s">
        <v>2788</v>
      </c>
      <c r="B528" s="235" t="s">
        <v>855</v>
      </c>
      <c r="C528" s="230" t="s">
        <v>772</v>
      </c>
      <c r="D528" s="236">
        <v>3921</v>
      </c>
      <c r="E528" s="236">
        <v>3921</v>
      </c>
      <c r="F528" s="236">
        <v>3921</v>
      </c>
      <c r="G528" s="236">
        <v>3921</v>
      </c>
      <c r="H528" s="236">
        <v>3921</v>
      </c>
      <c r="I528" s="233" t="s">
        <v>2783</v>
      </c>
      <c r="K528" s="71"/>
      <c r="L528" s="71"/>
      <c r="M528" s="71"/>
      <c r="N528" s="71"/>
      <c r="O528" s="71"/>
      <c r="P528" s="71"/>
      <c r="Q528" s="71"/>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c r="AR528" s="70"/>
      <c r="AS528" s="70"/>
    </row>
    <row r="529" spans="1:45" hidden="1" outlineLevel="1" x14ac:dyDescent="0.3">
      <c r="A529" s="235" t="s">
        <v>2788</v>
      </c>
      <c r="B529" s="235" t="s">
        <v>855</v>
      </c>
      <c r="C529" s="230" t="s">
        <v>774</v>
      </c>
      <c r="D529" s="236">
        <v>0</v>
      </c>
      <c r="E529" s="236">
        <v>0</v>
      </c>
      <c r="F529" s="236">
        <v>0</v>
      </c>
      <c r="G529" s="236">
        <v>0</v>
      </c>
      <c r="H529" s="236">
        <v>0</v>
      </c>
      <c r="I529" s="233" t="s">
        <v>2771</v>
      </c>
      <c r="K529" s="70"/>
      <c r="L529" s="71"/>
      <c r="M529" s="71"/>
      <c r="N529" s="71"/>
      <c r="O529" s="71"/>
      <c r="P529" s="71"/>
      <c r="Q529" s="71"/>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c r="AR529" s="70"/>
      <c r="AS529" s="70"/>
    </row>
    <row r="530" spans="1:45" hidden="1" outlineLevel="1" x14ac:dyDescent="0.3">
      <c r="A530" s="235" t="s">
        <v>2788</v>
      </c>
      <c r="B530" s="235" t="s">
        <v>855</v>
      </c>
      <c r="C530" s="230" t="s">
        <v>775</v>
      </c>
      <c r="D530" s="480" t="s">
        <v>204</v>
      </c>
      <c r="E530" s="480" t="s">
        <v>204</v>
      </c>
      <c r="F530" s="480" t="s">
        <v>204</v>
      </c>
      <c r="G530" s="480" t="s">
        <v>204</v>
      </c>
      <c r="H530" s="480" t="s">
        <v>204</v>
      </c>
      <c r="I530" s="233"/>
      <c r="K530" s="181"/>
      <c r="L530" s="71"/>
      <c r="M530" s="71"/>
      <c r="N530" s="71"/>
      <c r="O530" s="71"/>
      <c r="P530" s="71"/>
      <c r="Q530" s="71"/>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c r="AR530" s="70"/>
      <c r="AS530" s="70"/>
    </row>
    <row r="531" spans="1:45" hidden="1" outlineLevel="1" x14ac:dyDescent="0.3">
      <c r="A531" s="235" t="s">
        <v>2788</v>
      </c>
      <c r="B531" s="235" t="s">
        <v>855</v>
      </c>
      <c r="C531" s="230" t="s">
        <v>779</v>
      </c>
      <c r="D531" s="480" t="s">
        <v>204</v>
      </c>
      <c r="E531" s="480" t="s">
        <v>204</v>
      </c>
      <c r="F531" s="480" t="s">
        <v>204</v>
      </c>
      <c r="G531" s="480" t="s">
        <v>204</v>
      </c>
      <c r="H531" s="480" t="s">
        <v>204</v>
      </c>
      <c r="I531" s="233"/>
      <c r="K531" s="71"/>
      <c r="L531" s="71"/>
      <c r="M531" s="71"/>
      <c r="N531" s="71"/>
      <c r="O531" s="71"/>
      <c r="P531" s="71"/>
      <c r="Q531" s="71"/>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c r="AR531" s="70"/>
      <c r="AS531" s="70"/>
    </row>
    <row r="532" spans="1:45" hidden="1" outlineLevel="1" x14ac:dyDescent="0.3">
      <c r="A532" s="235" t="s">
        <v>2788</v>
      </c>
      <c r="B532" s="235" t="s">
        <v>894</v>
      </c>
      <c r="C532" s="230" t="s">
        <v>781</v>
      </c>
      <c r="D532" s="480" t="s">
        <v>204</v>
      </c>
      <c r="E532" s="480" t="s">
        <v>204</v>
      </c>
      <c r="F532" s="480" t="s">
        <v>204</v>
      </c>
      <c r="G532" s="480" t="s">
        <v>204</v>
      </c>
      <c r="H532" s="480" t="s">
        <v>204</v>
      </c>
      <c r="I532" s="233"/>
      <c r="K532" s="71"/>
      <c r="L532" s="71"/>
      <c r="M532" s="71"/>
      <c r="N532" s="71"/>
      <c r="O532" s="71"/>
      <c r="P532" s="71"/>
      <c r="Q532" s="71"/>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c r="AR532" s="70"/>
      <c r="AS532" s="70"/>
    </row>
    <row r="533" spans="1:45" hidden="1" outlineLevel="1" x14ac:dyDescent="0.3">
      <c r="A533" s="235" t="s">
        <v>2788</v>
      </c>
      <c r="B533" s="235" t="s">
        <v>894</v>
      </c>
      <c r="C533" s="230" t="s">
        <v>783</v>
      </c>
      <c r="D533" s="236">
        <v>0</v>
      </c>
      <c r="E533" s="236">
        <v>0</v>
      </c>
      <c r="F533" s="236">
        <v>0</v>
      </c>
      <c r="G533" s="236">
        <v>0</v>
      </c>
      <c r="H533" s="236">
        <v>0</v>
      </c>
      <c r="I533" s="233" t="s">
        <v>2706</v>
      </c>
      <c r="K533" s="71"/>
      <c r="L533" s="71"/>
      <c r="M533" s="71"/>
      <c r="N533" s="71"/>
      <c r="O533" s="71"/>
      <c r="P533" s="71"/>
      <c r="Q533" s="71"/>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c r="AR533" s="70"/>
      <c r="AS533" s="70"/>
    </row>
    <row r="534" spans="1:45" hidden="1" outlineLevel="1" x14ac:dyDescent="0.3">
      <c r="A534" s="235" t="s">
        <v>2788</v>
      </c>
      <c r="B534" s="235" t="s">
        <v>894</v>
      </c>
      <c r="C534" s="230" t="s">
        <v>785</v>
      </c>
      <c r="D534" s="236">
        <v>5910</v>
      </c>
      <c r="E534" s="236">
        <v>5910</v>
      </c>
      <c r="F534" s="236">
        <v>5910</v>
      </c>
      <c r="G534" s="236">
        <v>5910</v>
      </c>
      <c r="H534" s="236">
        <v>5910</v>
      </c>
      <c r="I534" s="233" t="s">
        <v>2737</v>
      </c>
      <c r="K534" s="71"/>
      <c r="L534" s="71"/>
      <c r="M534" s="71"/>
      <c r="N534" s="71"/>
      <c r="O534" s="71"/>
      <c r="P534" s="71"/>
      <c r="Q534" s="71"/>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row>
    <row r="535" spans="1:45" hidden="1" outlineLevel="1" x14ac:dyDescent="0.3">
      <c r="A535" s="235" t="s">
        <v>2788</v>
      </c>
      <c r="B535" s="235" t="s">
        <v>894</v>
      </c>
      <c r="C535" s="230" t="s">
        <v>787</v>
      </c>
      <c r="D535" s="480" t="s">
        <v>204</v>
      </c>
      <c r="E535" s="480" t="s">
        <v>204</v>
      </c>
      <c r="F535" s="480" t="s">
        <v>204</v>
      </c>
      <c r="G535" s="480" t="s">
        <v>204</v>
      </c>
      <c r="H535" s="480" t="s">
        <v>204</v>
      </c>
      <c r="I535" s="233"/>
      <c r="K535" s="71"/>
      <c r="L535" s="71"/>
      <c r="M535" s="71"/>
      <c r="N535" s="71"/>
      <c r="O535" s="71"/>
      <c r="P535" s="71"/>
      <c r="Q535" s="71"/>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c r="AR535" s="70"/>
      <c r="AS535" s="70"/>
    </row>
    <row r="536" spans="1:45" hidden="1" outlineLevel="1" x14ac:dyDescent="0.3">
      <c r="A536" s="235" t="s">
        <v>2788</v>
      </c>
      <c r="B536" s="235" t="s">
        <v>894</v>
      </c>
      <c r="C536" s="230" t="s">
        <v>788</v>
      </c>
      <c r="D536" s="480" t="s">
        <v>204</v>
      </c>
      <c r="E536" s="480" t="s">
        <v>204</v>
      </c>
      <c r="F536" s="480" t="s">
        <v>204</v>
      </c>
      <c r="G536" s="480" t="s">
        <v>204</v>
      </c>
      <c r="H536" s="480" t="s">
        <v>204</v>
      </c>
      <c r="I536" s="233"/>
      <c r="K536" s="71"/>
      <c r="L536" s="71"/>
      <c r="M536" s="71"/>
      <c r="N536" s="71"/>
      <c r="O536" s="71"/>
      <c r="P536" s="71"/>
      <c r="Q536" s="71"/>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c r="AR536" s="70"/>
      <c r="AS536" s="70"/>
    </row>
    <row r="537" spans="1:45" hidden="1" outlineLevel="1" x14ac:dyDescent="0.3">
      <c r="A537" s="235" t="s">
        <v>2788</v>
      </c>
      <c r="B537" s="235" t="s">
        <v>894</v>
      </c>
      <c r="C537" s="230" t="s">
        <v>789</v>
      </c>
      <c r="D537" s="480" t="s">
        <v>204</v>
      </c>
      <c r="E537" s="480" t="s">
        <v>204</v>
      </c>
      <c r="F537" s="480" t="s">
        <v>204</v>
      </c>
      <c r="G537" s="480" t="s">
        <v>204</v>
      </c>
      <c r="H537" s="480" t="s">
        <v>204</v>
      </c>
      <c r="I537" s="233"/>
      <c r="K537" s="71"/>
      <c r="L537" s="71"/>
      <c r="M537" s="71"/>
      <c r="N537" s="71"/>
      <c r="O537" s="71"/>
      <c r="P537" s="71"/>
      <c r="Q537" s="71"/>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c r="AR537" s="70"/>
      <c r="AS537" s="70"/>
    </row>
    <row r="538" spans="1:45" hidden="1" outlineLevel="1" x14ac:dyDescent="0.3">
      <c r="A538" s="235" t="s">
        <v>2788</v>
      </c>
      <c r="B538" s="235" t="s">
        <v>894</v>
      </c>
      <c r="C538" s="230" t="s">
        <v>790</v>
      </c>
      <c r="D538" s="354">
        <v>0</v>
      </c>
      <c r="E538" s="354">
        <v>0</v>
      </c>
      <c r="F538" s="354">
        <v>0</v>
      </c>
      <c r="G538" s="354">
        <v>0</v>
      </c>
      <c r="H538" s="354">
        <v>0</v>
      </c>
      <c r="I538" s="233" t="s">
        <v>2738</v>
      </c>
      <c r="K538" s="71"/>
      <c r="L538" s="71"/>
      <c r="M538" s="71"/>
      <c r="N538" s="71"/>
      <c r="O538" s="71"/>
      <c r="P538" s="71"/>
      <c r="Q538" s="71"/>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c r="AR538" s="70"/>
      <c r="AS538" s="70"/>
    </row>
    <row r="539" spans="1:45" hidden="1" outlineLevel="1" x14ac:dyDescent="0.3">
      <c r="A539" s="235" t="s">
        <v>2788</v>
      </c>
      <c r="B539" s="235" t="s">
        <v>894</v>
      </c>
      <c r="C539" s="230" t="s">
        <v>793</v>
      </c>
      <c r="D539" s="480" t="s">
        <v>204</v>
      </c>
      <c r="E539" s="480" t="s">
        <v>204</v>
      </c>
      <c r="F539" s="480" t="s">
        <v>204</v>
      </c>
      <c r="G539" s="480" t="s">
        <v>204</v>
      </c>
      <c r="H539" s="480" t="s">
        <v>204</v>
      </c>
      <c r="I539" s="233"/>
      <c r="K539" s="71"/>
      <c r="L539" s="71"/>
      <c r="M539" s="71"/>
      <c r="N539" s="71"/>
      <c r="O539" s="71"/>
      <c r="P539" s="71"/>
      <c r="Q539" s="71"/>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0"/>
    </row>
    <row r="540" spans="1:45" hidden="1" outlineLevel="1" x14ac:dyDescent="0.3">
      <c r="A540" s="235" t="s">
        <v>2788</v>
      </c>
      <c r="B540" s="235" t="s">
        <v>894</v>
      </c>
      <c r="C540" s="230" t="s">
        <v>795</v>
      </c>
      <c r="D540" s="480" t="s">
        <v>204</v>
      </c>
      <c r="E540" s="480" t="s">
        <v>204</v>
      </c>
      <c r="F540" s="480" t="s">
        <v>204</v>
      </c>
      <c r="G540" s="480" t="s">
        <v>204</v>
      </c>
      <c r="H540" s="480" t="s">
        <v>204</v>
      </c>
      <c r="I540" s="233"/>
      <c r="K540" s="71"/>
      <c r="L540" s="71"/>
      <c r="M540" s="71"/>
      <c r="N540" s="71"/>
      <c r="O540" s="71"/>
      <c r="P540" s="71"/>
      <c r="Q540" s="71"/>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c r="AR540" s="70"/>
      <c r="AS540" s="70"/>
    </row>
    <row r="541" spans="1:45" hidden="1" outlineLevel="1" x14ac:dyDescent="0.3">
      <c r="A541" s="235" t="s">
        <v>2788</v>
      </c>
      <c r="B541" s="235" t="s">
        <v>894</v>
      </c>
      <c r="C541" s="230" t="s">
        <v>797</v>
      </c>
      <c r="D541" s="236">
        <v>0</v>
      </c>
      <c r="E541" s="236">
        <v>0</v>
      </c>
      <c r="F541" s="236">
        <v>0</v>
      </c>
      <c r="G541" s="236">
        <v>0</v>
      </c>
      <c r="H541" s="236">
        <v>0</v>
      </c>
      <c r="I541" s="233" t="s">
        <v>2739</v>
      </c>
      <c r="K541" s="71"/>
      <c r="L541" s="71"/>
      <c r="M541" s="71"/>
      <c r="N541" s="71"/>
      <c r="O541" s="71"/>
      <c r="P541" s="71"/>
      <c r="Q541" s="71"/>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c r="AR541" s="70"/>
      <c r="AS541" s="70"/>
    </row>
    <row r="542" spans="1:45" hidden="1" outlineLevel="1" x14ac:dyDescent="0.3">
      <c r="A542" s="235" t="s">
        <v>2788</v>
      </c>
      <c r="B542" s="235" t="s">
        <v>915</v>
      </c>
      <c r="C542" s="230" t="s">
        <v>799</v>
      </c>
      <c r="D542" s="236">
        <v>0</v>
      </c>
      <c r="E542" s="236">
        <v>0</v>
      </c>
      <c r="F542" s="236">
        <v>0</v>
      </c>
      <c r="G542" s="236">
        <v>0</v>
      </c>
      <c r="H542" s="236">
        <v>0</v>
      </c>
      <c r="I542" s="233" t="s">
        <v>2775</v>
      </c>
      <c r="K542" s="182"/>
      <c r="L542" s="71"/>
      <c r="M542" s="71"/>
      <c r="N542" s="71"/>
      <c r="O542" s="71"/>
      <c r="P542" s="71"/>
      <c r="Q542" s="71"/>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c r="AR542" s="70"/>
      <c r="AS542" s="70"/>
    </row>
    <row r="543" spans="1:45" hidden="1" outlineLevel="1" x14ac:dyDescent="0.3">
      <c r="A543" s="235" t="s">
        <v>2788</v>
      </c>
      <c r="B543" s="235" t="s">
        <v>915</v>
      </c>
      <c r="C543" s="230" t="s">
        <v>801</v>
      </c>
      <c r="D543" s="354">
        <v>0</v>
      </c>
      <c r="E543" s="354">
        <v>0</v>
      </c>
      <c r="F543" s="354">
        <v>0</v>
      </c>
      <c r="G543" s="354">
        <v>0</v>
      </c>
      <c r="H543" s="354">
        <v>0</v>
      </c>
      <c r="I543" s="233" t="s">
        <v>2741</v>
      </c>
      <c r="K543" s="71"/>
      <c r="L543" s="71"/>
      <c r="M543" s="71"/>
      <c r="N543" s="71"/>
      <c r="O543" s="71"/>
      <c r="P543" s="71"/>
      <c r="Q543" s="71"/>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row>
    <row r="544" spans="1:45" hidden="1" outlineLevel="1" x14ac:dyDescent="0.3">
      <c r="A544" s="235" t="s">
        <v>2788</v>
      </c>
      <c r="B544" s="235" t="s">
        <v>915</v>
      </c>
      <c r="C544" s="230" t="s">
        <v>804</v>
      </c>
      <c r="D544" s="236">
        <v>22340</v>
      </c>
      <c r="E544" s="236">
        <v>31390</v>
      </c>
      <c r="F544" s="236">
        <v>33260</v>
      </c>
      <c r="G544" s="236">
        <v>34800</v>
      </c>
      <c r="H544" s="236">
        <v>35250</v>
      </c>
      <c r="I544" s="233" t="s">
        <v>2762</v>
      </c>
      <c r="K544" s="70"/>
      <c r="L544" s="71"/>
      <c r="M544" s="71"/>
      <c r="N544" s="71"/>
      <c r="O544" s="71"/>
      <c r="P544" s="71"/>
      <c r="Q544" s="71"/>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c r="AR544" s="70"/>
      <c r="AS544" s="70"/>
    </row>
    <row r="545" spans="1:45" hidden="1" outlineLevel="1" x14ac:dyDescent="0.3">
      <c r="A545" s="235" t="s">
        <v>2788</v>
      </c>
      <c r="B545" s="235" t="s">
        <v>915</v>
      </c>
      <c r="C545" s="230" t="s">
        <v>806</v>
      </c>
      <c r="D545" s="236">
        <v>0</v>
      </c>
      <c r="E545" s="236">
        <v>0</v>
      </c>
      <c r="F545" s="236">
        <v>0</v>
      </c>
      <c r="G545" s="236">
        <v>0</v>
      </c>
      <c r="H545" s="236">
        <v>0</v>
      </c>
      <c r="I545" s="233"/>
      <c r="K545" s="71"/>
      <c r="L545" s="71"/>
      <c r="M545" s="71"/>
      <c r="N545" s="71"/>
      <c r="O545" s="71"/>
      <c r="P545" s="71"/>
      <c r="Q545" s="71"/>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c r="AR545" s="70"/>
      <c r="AS545" s="70"/>
    </row>
    <row r="546" spans="1:45" hidden="1" outlineLevel="1" x14ac:dyDescent="0.3">
      <c r="A546" s="235" t="s">
        <v>2788</v>
      </c>
      <c r="B546" s="235" t="s">
        <v>915</v>
      </c>
      <c r="C546" s="230" t="s">
        <v>808</v>
      </c>
      <c r="D546" s="236">
        <v>100</v>
      </c>
      <c r="E546" s="236">
        <v>100</v>
      </c>
      <c r="F546" s="236">
        <v>100</v>
      </c>
      <c r="G546" s="236">
        <v>100</v>
      </c>
      <c r="H546" s="236">
        <v>100</v>
      </c>
      <c r="I546" s="233" t="s">
        <v>2754</v>
      </c>
      <c r="K546" s="71"/>
      <c r="L546" s="71"/>
      <c r="M546" s="71"/>
      <c r="N546" s="71"/>
      <c r="O546" s="71"/>
      <c r="P546" s="71"/>
      <c r="Q546" s="71"/>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c r="AR546" s="70"/>
      <c r="AS546" s="70"/>
    </row>
    <row r="547" spans="1:45" hidden="1" outlineLevel="1" x14ac:dyDescent="0.3">
      <c r="A547" s="235" t="s">
        <v>2788</v>
      </c>
      <c r="B547" s="235" t="s">
        <v>915</v>
      </c>
      <c r="C547" s="230" t="s">
        <v>811</v>
      </c>
      <c r="D547" s="236">
        <v>12576</v>
      </c>
      <c r="E547" s="236">
        <v>14934</v>
      </c>
      <c r="F547" s="236">
        <v>17292</v>
      </c>
      <c r="G547" s="236">
        <v>20436</v>
      </c>
      <c r="H547" s="236">
        <v>22008</v>
      </c>
      <c r="I547" s="233" t="s">
        <v>2730</v>
      </c>
      <c r="K547" s="71"/>
      <c r="L547" s="71"/>
      <c r="M547" s="71"/>
      <c r="N547" s="71"/>
      <c r="O547" s="71"/>
      <c r="P547" s="71"/>
      <c r="Q547" s="71"/>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0"/>
    </row>
    <row r="548" spans="1:45" hidden="1" outlineLevel="1" x14ac:dyDescent="0.3">
      <c r="A548" s="235" t="s">
        <v>2788</v>
      </c>
      <c r="B548" s="235" t="s">
        <v>934</v>
      </c>
      <c r="C548" s="230" t="s">
        <v>814</v>
      </c>
      <c r="D548" s="236" t="s">
        <v>204</v>
      </c>
      <c r="E548" s="236" t="s">
        <v>204</v>
      </c>
      <c r="F548" s="236" t="s">
        <v>204</v>
      </c>
      <c r="G548" s="236" t="s">
        <v>204</v>
      </c>
      <c r="H548" s="236" t="s">
        <v>204</v>
      </c>
      <c r="I548" s="233"/>
      <c r="K548" s="71"/>
      <c r="L548" s="71"/>
      <c r="M548" s="71"/>
      <c r="N548" s="71"/>
      <c r="O548" s="71"/>
      <c r="P548" s="71"/>
      <c r="Q548" s="71"/>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row>
    <row r="549" spans="1:45" hidden="1" outlineLevel="1" x14ac:dyDescent="0.3">
      <c r="A549" s="235" t="s">
        <v>2788</v>
      </c>
      <c r="B549" s="235" t="s">
        <v>934</v>
      </c>
      <c r="C549" s="230" t="s">
        <v>815</v>
      </c>
      <c r="D549" s="480" t="s">
        <v>204</v>
      </c>
      <c r="E549" s="480" t="s">
        <v>204</v>
      </c>
      <c r="F549" s="480" t="s">
        <v>204</v>
      </c>
      <c r="G549" s="480" t="s">
        <v>204</v>
      </c>
      <c r="H549" s="480" t="s">
        <v>204</v>
      </c>
      <c r="I549" s="233"/>
      <c r="K549" s="71"/>
      <c r="L549" s="71"/>
      <c r="M549" s="71"/>
      <c r="N549" s="71"/>
      <c r="O549" s="71"/>
      <c r="P549" s="71"/>
      <c r="Q549" s="71"/>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row>
    <row r="550" spans="1:45" hidden="1" outlineLevel="1" x14ac:dyDescent="0.3">
      <c r="A550" s="235" t="s">
        <v>2788</v>
      </c>
      <c r="B550" s="235" t="s">
        <v>940</v>
      </c>
      <c r="C550" s="230" t="s">
        <v>817</v>
      </c>
      <c r="D550" s="236">
        <v>0</v>
      </c>
      <c r="E550" s="236">
        <v>0</v>
      </c>
      <c r="F550" s="236">
        <v>0</v>
      </c>
      <c r="G550" s="236">
        <v>0</v>
      </c>
      <c r="H550" s="236">
        <v>0</v>
      </c>
      <c r="I550" s="233" t="s">
        <v>2743</v>
      </c>
      <c r="K550" s="71"/>
      <c r="L550" s="71"/>
      <c r="M550" s="71"/>
      <c r="N550" s="71"/>
      <c r="O550" s="71"/>
      <c r="P550" s="71"/>
      <c r="Q550" s="71"/>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row>
    <row r="551" spans="1:45" hidden="1" outlineLevel="1" x14ac:dyDescent="0.3">
      <c r="A551" s="235" t="s">
        <v>2788</v>
      </c>
      <c r="B551" s="235" t="s">
        <v>940</v>
      </c>
      <c r="C551" s="230" t="s">
        <v>944</v>
      </c>
      <c r="D551" s="236">
        <v>450</v>
      </c>
      <c r="E551" s="236">
        <v>450</v>
      </c>
      <c r="F551" s="236">
        <v>450</v>
      </c>
      <c r="G551" s="236">
        <v>450</v>
      </c>
      <c r="H551" s="236">
        <v>450</v>
      </c>
      <c r="I551" s="233" t="s">
        <v>2791</v>
      </c>
      <c r="K551" s="71"/>
      <c r="L551" s="71"/>
      <c r="M551" s="71"/>
      <c r="N551" s="71"/>
      <c r="O551" s="71"/>
      <c r="P551" s="71"/>
      <c r="Q551" s="71"/>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row>
    <row r="552" spans="1:45" hidden="1" outlineLevel="1" x14ac:dyDescent="0.3">
      <c r="A552" s="235" t="s">
        <v>2788</v>
      </c>
      <c r="B552" s="235" t="s">
        <v>940</v>
      </c>
      <c r="C552" s="230" t="s">
        <v>821</v>
      </c>
      <c r="D552" s="480" t="s">
        <v>204</v>
      </c>
      <c r="E552" s="480" t="s">
        <v>204</v>
      </c>
      <c r="F552" s="480" t="s">
        <v>204</v>
      </c>
      <c r="G552" s="480" t="s">
        <v>204</v>
      </c>
      <c r="H552" s="480" t="s">
        <v>204</v>
      </c>
      <c r="I552" s="233"/>
      <c r="K552" s="71"/>
      <c r="L552" s="71"/>
      <c r="M552" s="71"/>
      <c r="N552" s="71"/>
      <c r="O552" s="71"/>
      <c r="P552" s="71"/>
      <c r="Q552" s="71"/>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row>
    <row r="553" spans="1:45" hidden="1" outlineLevel="1" x14ac:dyDescent="0.3">
      <c r="A553" s="235" t="s">
        <v>2788</v>
      </c>
      <c r="B553" s="235" t="s">
        <v>940</v>
      </c>
      <c r="C553" s="230" t="s">
        <v>823</v>
      </c>
      <c r="D553" s="480" t="s">
        <v>204</v>
      </c>
      <c r="E553" s="480" t="s">
        <v>204</v>
      </c>
      <c r="F553" s="480" t="s">
        <v>204</v>
      </c>
      <c r="G553" s="480" t="s">
        <v>204</v>
      </c>
      <c r="H553" s="480" t="s">
        <v>204</v>
      </c>
      <c r="I553" s="233"/>
      <c r="K553" s="71"/>
      <c r="L553" s="71"/>
      <c r="M553" s="71"/>
      <c r="N553" s="71"/>
      <c r="O553" s="71"/>
      <c r="P553" s="71"/>
      <c r="Q553" s="71"/>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row>
    <row r="554" spans="1:45" hidden="1" outlineLevel="1" x14ac:dyDescent="0.3">
      <c r="A554" s="235" t="s">
        <v>2788</v>
      </c>
      <c r="B554" s="235" t="s">
        <v>940</v>
      </c>
      <c r="C554" s="230" t="s">
        <v>825</v>
      </c>
      <c r="D554" s="480" t="s">
        <v>204</v>
      </c>
      <c r="E554" s="480" t="s">
        <v>204</v>
      </c>
      <c r="F554" s="480" t="s">
        <v>204</v>
      </c>
      <c r="G554" s="480" t="s">
        <v>204</v>
      </c>
      <c r="H554" s="480" t="s">
        <v>204</v>
      </c>
      <c r="I554" s="233"/>
      <c r="K554" s="71"/>
      <c r="L554" s="71"/>
      <c r="M554" s="71"/>
      <c r="N554" s="71"/>
      <c r="O554" s="71"/>
      <c r="P554" s="71"/>
      <c r="Q554" s="71"/>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row>
    <row r="555" spans="1:45" hidden="1" outlineLevel="1" x14ac:dyDescent="0.3">
      <c r="A555" s="235" t="s">
        <v>2788</v>
      </c>
      <c r="B555" s="235" t="s">
        <v>940</v>
      </c>
      <c r="C555" s="230" t="s">
        <v>827</v>
      </c>
      <c r="D555" s="236">
        <v>491000</v>
      </c>
      <c r="E555" s="236">
        <v>588000</v>
      </c>
      <c r="F555" s="236">
        <v>658000</v>
      </c>
      <c r="G555" s="236">
        <v>694000</v>
      </c>
      <c r="H555" s="236">
        <v>703000</v>
      </c>
      <c r="I555" s="233" t="s">
        <v>1001</v>
      </c>
      <c r="K555" s="71"/>
      <c r="L555" s="71"/>
      <c r="M555" s="71"/>
      <c r="N555" s="71"/>
      <c r="O555" s="71"/>
      <c r="P555" s="71"/>
      <c r="Q555" s="71"/>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c r="AR555" s="70"/>
      <c r="AS555" s="70"/>
    </row>
    <row r="556" spans="1:45" hidden="1" outlineLevel="1" x14ac:dyDescent="0.3">
      <c r="A556" s="235" t="s">
        <v>2788</v>
      </c>
      <c r="B556" s="235" t="s">
        <v>940</v>
      </c>
      <c r="C556" s="230" t="s">
        <v>829</v>
      </c>
      <c r="D556" s="236">
        <v>0</v>
      </c>
      <c r="E556" s="236">
        <v>0</v>
      </c>
      <c r="F556" s="236">
        <v>0</v>
      </c>
      <c r="G556" s="236">
        <v>0</v>
      </c>
      <c r="H556" s="236">
        <v>0</v>
      </c>
      <c r="I556" s="233" t="s">
        <v>2715</v>
      </c>
      <c r="K556" s="71"/>
      <c r="L556" s="71"/>
      <c r="M556" s="71"/>
      <c r="N556" s="71"/>
      <c r="O556" s="71"/>
      <c r="P556" s="71"/>
      <c r="Q556" s="71"/>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row>
    <row r="557" spans="1:45" hidden="1" outlineLevel="1" x14ac:dyDescent="0.3">
      <c r="A557" s="235" t="s">
        <v>2788</v>
      </c>
      <c r="B557" s="235" t="s">
        <v>940</v>
      </c>
      <c r="C557" s="230" t="s">
        <v>833</v>
      </c>
      <c r="D557" s="356">
        <v>500</v>
      </c>
      <c r="E557" s="356">
        <v>1000</v>
      </c>
      <c r="F557" s="356">
        <v>1500</v>
      </c>
      <c r="G557" s="356">
        <v>2000</v>
      </c>
      <c r="H557" s="356">
        <v>2000</v>
      </c>
      <c r="I557" s="233" t="s">
        <v>2744</v>
      </c>
      <c r="K557" s="71"/>
      <c r="L557" s="71"/>
      <c r="M557" s="71"/>
      <c r="N557" s="71"/>
      <c r="O557" s="71"/>
      <c r="P557" s="71"/>
      <c r="Q557" s="71"/>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row>
    <row r="558" spans="1:45" hidden="1" outlineLevel="1" x14ac:dyDescent="0.3">
      <c r="A558" s="235" t="s">
        <v>2788</v>
      </c>
      <c r="B558" s="235" t="s">
        <v>940</v>
      </c>
      <c r="C558" s="230" t="s">
        <v>836</v>
      </c>
      <c r="D558" s="236">
        <v>27978</v>
      </c>
      <c r="E558" s="236">
        <v>36831</v>
      </c>
      <c r="F558" s="236">
        <v>40478</v>
      </c>
      <c r="G558" s="236">
        <v>43902</v>
      </c>
      <c r="H558" s="236">
        <v>45094</v>
      </c>
      <c r="I558" s="233" t="s">
        <v>2745</v>
      </c>
      <c r="K558" s="71"/>
      <c r="L558" s="71"/>
      <c r="M558" s="71"/>
      <c r="N558" s="71"/>
      <c r="O558" s="71"/>
      <c r="P558" s="71"/>
      <c r="Q558" s="71"/>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row>
    <row r="559" spans="1:45" hidden="1" outlineLevel="1" x14ac:dyDescent="0.3">
      <c r="A559" s="235" t="s">
        <v>2788</v>
      </c>
      <c r="B559" s="235" t="s">
        <v>940</v>
      </c>
      <c r="C559" s="230" t="s">
        <v>837</v>
      </c>
      <c r="D559" s="480" t="s">
        <v>204</v>
      </c>
      <c r="E559" s="480" t="s">
        <v>204</v>
      </c>
      <c r="F559" s="480" t="s">
        <v>204</v>
      </c>
      <c r="G559" s="480" t="s">
        <v>204</v>
      </c>
      <c r="H559" s="480" t="s">
        <v>204</v>
      </c>
      <c r="I559" s="233"/>
      <c r="K559" s="71"/>
      <c r="L559" s="71"/>
      <c r="M559" s="71"/>
      <c r="N559" s="71"/>
      <c r="O559" s="71"/>
      <c r="P559" s="71"/>
      <c r="Q559" s="71"/>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row>
    <row r="560" spans="1:45" hidden="1" outlineLevel="1" x14ac:dyDescent="0.3">
      <c r="A560" s="235" t="s">
        <v>2788</v>
      </c>
      <c r="B560" s="235" t="s">
        <v>940</v>
      </c>
      <c r="C560" s="230" t="s">
        <v>839</v>
      </c>
      <c r="D560" s="236">
        <v>0</v>
      </c>
      <c r="E560" s="236">
        <v>0</v>
      </c>
      <c r="F560" s="236">
        <v>0</v>
      </c>
      <c r="G560" s="236">
        <v>0</v>
      </c>
      <c r="H560" s="236">
        <v>0</v>
      </c>
      <c r="I560" s="233" t="s">
        <v>2718</v>
      </c>
      <c r="K560" s="71"/>
      <c r="L560" s="71"/>
      <c r="M560" s="71"/>
      <c r="N560" s="71"/>
      <c r="O560" s="71"/>
      <c r="P560" s="71"/>
      <c r="Q560" s="71"/>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row>
    <row r="561" spans="1:45" hidden="1" outlineLevel="1" x14ac:dyDescent="0.3">
      <c r="A561" s="235" t="s">
        <v>2788</v>
      </c>
      <c r="B561" s="235" t="s">
        <v>940</v>
      </c>
      <c r="C561" s="230" t="s">
        <v>840</v>
      </c>
      <c r="D561" s="480" t="s">
        <v>204</v>
      </c>
      <c r="E561" s="480" t="s">
        <v>204</v>
      </c>
      <c r="F561" s="480" t="s">
        <v>204</v>
      </c>
      <c r="G561" s="480" t="s">
        <v>204</v>
      </c>
      <c r="H561" s="480" t="s">
        <v>204</v>
      </c>
      <c r="I561" s="233"/>
      <c r="K561" s="71"/>
      <c r="L561" s="71"/>
      <c r="M561" s="71"/>
      <c r="N561" s="71"/>
      <c r="O561" s="71"/>
      <c r="P561" s="71"/>
      <c r="Q561" s="71"/>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row>
    <row r="562" spans="1:45" collapsed="1" x14ac:dyDescent="0.3">
      <c r="A562" s="235"/>
      <c r="B562" s="235"/>
      <c r="C562" s="484" t="s">
        <v>2719</v>
      </c>
      <c r="D562" s="233"/>
      <c r="E562" s="233"/>
      <c r="F562" s="233"/>
      <c r="G562" s="233"/>
      <c r="H562" s="233"/>
      <c r="I562" s="233"/>
      <c r="K562" s="70"/>
      <c r="L562" s="70"/>
      <c r="M562" s="71"/>
      <c r="N562" s="71"/>
      <c r="O562" s="71"/>
      <c r="P562" s="71"/>
      <c r="Q562" s="71"/>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row>
    <row r="563" spans="1:45" collapsed="1" x14ac:dyDescent="0.3">
      <c r="A563" s="135" t="s">
        <v>2792</v>
      </c>
      <c r="B563" s="135"/>
      <c r="C563" s="483" t="s">
        <v>2719</v>
      </c>
      <c r="D563" s="135"/>
      <c r="E563" s="135"/>
      <c r="F563" s="135"/>
      <c r="G563" s="135"/>
      <c r="H563" s="135"/>
      <c r="I563" s="135"/>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row>
    <row r="564" spans="1:45" x14ac:dyDescent="0.3">
      <c r="A564" s="136" t="s">
        <v>2793</v>
      </c>
      <c r="B564" s="136"/>
      <c r="C564" s="137" t="s">
        <v>2693</v>
      </c>
      <c r="D564" s="160">
        <v>0</v>
      </c>
      <c r="E564" s="160">
        <v>0</v>
      </c>
      <c r="F564" s="160">
        <v>0</v>
      </c>
      <c r="G564" s="160">
        <v>0</v>
      </c>
      <c r="H564" s="160">
        <v>0</v>
      </c>
      <c r="I564" s="14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row>
    <row r="565" spans="1:45" x14ac:dyDescent="0.3">
      <c r="A565" s="136" t="s">
        <v>5</v>
      </c>
      <c r="B565" s="136" t="s">
        <v>847</v>
      </c>
      <c r="C565" s="136" t="s">
        <v>193</v>
      </c>
      <c r="D565" s="138">
        <v>2025</v>
      </c>
      <c r="E565" s="138">
        <v>2030</v>
      </c>
      <c r="F565" s="138">
        <v>2035</v>
      </c>
      <c r="G565" s="138">
        <v>2040</v>
      </c>
      <c r="H565" s="138">
        <v>2045</v>
      </c>
      <c r="I565" s="138" t="s">
        <v>153</v>
      </c>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row>
    <row r="566" spans="1:45" hidden="1" outlineLevel="1" x14ac:dyDescent="0.3">
      <c r="A566" s="139" t="s">
        <v>2793</v>
      </c>
      <c r="B566" s="139" t="s">
        <v>855</v>
      </c>
      <c r="C566" s="136" t="s">
        <v>747</v>
      </c>
      <c r="D566" s="481" t="s">
        <v>204</v>
      </c>
      <c r="E566" s="481" t="s">
        <v>204</v>
      </c>
      <c r="F566" s="481" t="s">
        <v>204</v>
      </c>
      <c r="G566" s="481" t="s">
        <v>204</v>
      </c>
      <c r="H566" s="481" t="s">
        <v>204</v>
      </c>
      <c r="I566" s="140"/>
      <c r="K566" s="70"/>
      <c r="L566" s="71"/>
      <c r="M566" s="71"/>
      <c r="N566" s="71"/>
      <c r="O566" s="71"/>
      <c r="P566" s="71"/>
      <c r="Q566" s="71"/>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row>
    <row r="567" spans="1:45" hidden="1" outlineLevel="1" x14ac:dyDescent="0.3">
      <c r="A567" s="139" t="s">
        <v>2793</v>
      </c>
      <c r="B567" s="139" t="s">
        <v>855</v>
      </c>
      <c r="C567" s="136" t="s">
        <v>751</v>
      </c>
      <c r="D567" s="140">
        <v>0</v>
      </c>
      <c r="E567" s="140">
        <v>0</v>
      </c>
      <c r="F567" s="140">
        <v>0</v>
      </c>
      <c r="G567" s="140">
        <v>0</v>
      </c>
      <c r="H567" s="140">
        <v>0</v>
      </c>
      <c r="I567" s="140" t="s">
        <v>2696</v>
      </c>
      <c r="K567" s="70"/>
      <c r="L567" s="71"/>
      <c r="M567" s="71"/>
      <c r="N567" s="71"/>
      <c r="O567" s="71"/>
      <c r="P567" s="71"/>
      <c r="Q567" s="71"/>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row>
    <row r="568" spans="1:45" hidden="1" outlineLevel="1" x14ac:dyDescent="0.3">
      <c r="A568" s="139" t="s">
        <v>2793</v>
      </c>
      <c r="B568" s="139" t="s">
        <v>855</v>
      </c>
      <c r="C568" s="136" t="s">
        <v>755</v>
      </c>
      <c r="D568" s="140">
        <v>0</v>
      </c>
      <c r="E568" s="140">
        <v>0</v>
      </c>
      <c r="F568" s="140">
        <v>0</v>
      </c>
      <c r="G568" s="140">
        <v>0</v>
      </c>
      <c r="H568" s="140">
        <v>0</v>
      </c>
      <c r="I568" s="140"/>
      <c r="K568" s="71"/>
      <c r="L568" s="71"/>
      <c r="M568" s="71"/>
      <c r="N568" s="71"/>
      <c r="O568" s="71"/>
      <c r="P568" s="71"/>
      <c r="Q568" s="71"/>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row>
    <row r="569" spans="1:45" hidden="1" outlineLevel="1" x14ac:dyDescent="0.3">
      <c r="A569" s="139" t="s">
        <v>2793</v>
      </c>
      <c r="B569" s="139" t="s">
        <v>855</v>
      </c>
      <c r="C569" s="136" t="s">
        <v>758</v>
      </c>
      <c r="D569" s="140">
        <v>0</v>
      </c>
      <c r="E569" s="140">
        <v>0</v>
      </c>
      <c r="F569" s="140">
        <v>0</v>
      </c>
      <c r="G569" s="140">
        <v>0</v>
      </c>
      <c r="H569" s="140">
        <v>0</v>
      </c>
      <c r="I569" s="140" t="s">
        <v>2699</v>
      </c>
      <c r="K569" s="71"/>
      <c r="L569" s="71"/>
      <c r="M569" s="71"/>
      <c r="N569" s="71"/>
      <c r="O569" s="71"/>
      <c r="P569" s="71"/>
      <c r="Q569" s="71"/>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row>
    <row r="570" spans="1:45" hidden="1" outlineLevel="1" x14ac:dyDescent="0.3">
      <c r="A570" s="139" t="s">
        <v>2793</v>
      </c>
      <c r="B570" s="139" t="s">
        <v>855</v>
      </c>
      <c r="C570" s="136" t="s">
        <v>761</v>
      </c>
      <c r="D570" s="423">
        <v>0</v>
      </c>
      <c r="E570" s="423">
        <v>0</v>
      </c>
      <c r="F570" s="423">
        <v>0</v>
      </c>
      <c r="G570" s="423">
        <v>0</v>
      </c>
      <c r="H570" s="423">
        <v>0</v>
      </c>
      <c r="I570" s="140"/>
      <c r="K570" s="71"/>
      <c r="L570" s="71"/>
      <c r="M570" s="71"/>
      <c r="N570" s="71"/>
      <c r="O570" s="71"/>
      <c r="P570" s="71"/>
      <c r="Q570" s="71"/>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row>
    <row r="571" spans="1:45" hidden="1" outlineLevel="1" x14ac:dyDescent="0.3">
      <c r="A571" s="139" t="s">
        <v>2793</v>
      </c>
      <c r="B571" s="139" t="s">
        <v>855</v>
      </c>
      <c r="C571" s="136" t="s">
        <v>763</v>
      </c>
      <c r="D571" s="423">
        <v>0</v>
      </c>
      <c r="E571" s="423">
        <v>0</v>
      </c>
      <c r="F571" s="423">
        <v>0</v>
      </c>
      <c r="G571" s="423">
        <v>0</v>
      </c>
      <c r="H571" s="423">
        <v>0</v>
      </c>
      <c r="I571" s="140" t="s">
        <v>2770</v>
      </c>
      <c r="K571" s="71"/>
      <c r="L571" s="71"/>
      <c r="M571" s="71"/>
      <c r="N571" s="71"/>
      <c r="O571" s="71"/>
      <c r="P571" s="71"/>
      <c r="Q571" s="71"/>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row>
    <row r="572" spans="1:45" hidden="1" outlineLevel="1" x14ac:dyDescent="0.3">
      <c r="A572" s="139" t="s">
        <v>2793</v>
      </c>
      <c r="B572" s="139" t="s">
        <v>855</v>
      </c>
      <c r="C572" s="136" t="s">
        <v>765</v>
      </c>
      <c r="D572" s="423">
        <v>0</v>
      </c>
      <c r="E572" s="423">
        <v>0</v>
      </c>
      <c r="F572" s="423">
        <v>0</v>
      </c>
      <c r="G572" s="423">
        <v>0</v>
      </c>
      <c r="H572" s="423">
        <v>0</v>
      </c>
      <c r="I572" s="140" t="s">
        <v>2702</v>
      </c>
      <c r="K572" s="70"/>
      <c r="L572" s="71"/>
      <c r="M572" s="71"/>
      <c r="N572" s="71"/>
      <c r="O572" s="71"/>
      <c r="P572" s="71"/>
      <c r="Q572" s="71"/>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row>
    <row r="573" spans="1:45" hidden="1" outlineLevel="1" x14ac:dyDescent="0.3">
      <c r="A573" s="139" t="s">
        <v>2793</v>
      </c>
      <c r="B573" s="139" t="s">
        <v>855</v>
      </c>
      <c r="C573" s="136" t="s">
        <v>768</v>
      </c>
      <c r="D573" s="481" t="s">
        <v>204</v>
      </c>
      <c r="E573" s="481" t="s">
        <v>204</v>
      </c>
      <c r="F573" s="481" t="s">
        <v>204</v>
      </c>
      <c r="G573" s="481" t="s">
        <v>204</v>
      </c>
      <c r="H573" s="481" t="s">
        <v>204</v>
      </c>
      <c r="I573" s="140"/>
      <c r="K573" s="181"/>
      <c r="L573" s="71"/>
      <c r="M573" s="71"/>
      <c r="N573" s="71"/>
      <c r="O573" s="71"/>
      <c r="P573" s="71"/>
      <c r="Q573" s="71"/>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row>
    <row r="574" spans="1:45" hidden="1" outlineLevel="1" x14ac:dyDescent="0.3">
      <c r="A574" s="139" t="s">
        <v>2793</v>
      </c>
      <c r="B574" s="139" t="s">
        <v>855</v>
      </c>
      <c r="C574" s="136" t="s">
        <v>771</v>
      </c>
      <c r="D574" s="140">
        <v>0</v>
      </c>
      <c r="E574" s="140">
        <v>0</v>
      </c>
      <c r="F574" s="140">
        <v>0</v>
      </c>
      <c r="G574" s="140">
        <v>0</v>
      </c>
      <c r="H574" s="140">
        <v>0</v>
      </c>
      <c r="I574" s="140"/>
      <c r="K574" s="181"/>
      <c r="L574" s="71"/>
      <c r="M574" s="71"/>
      <c r="N574" s="71"/>
      <c r="O574" s="71"/>
      <c r="P574" s="71"/>
      <c r="Q574" s="71"/>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row>
    <row r="575" spans="1:45" hidden="1" outlineLevel="1" x14ac:dyDescent="0.3">
      <c r="A575" s="139" t="s">
        <v>2793</v>
      </c>
      <c r="B575" s="139" t="s">
        <v>855</v>
      </c>
      <c r="C575" s="136" t="s">
        <v>772</v>
      </c>
      <c r="D575" s="140">
        <v>0</v>
      </c>
      <c r="E575" s="140">
        <v>0</v>
      </c>
      <c r="F575" s="140">
        <v>0</v>
      </c>
      <c r="G575" s="140">
        <v>0</v>
      </c>
      <c r="H575" s="140">
        <v>0</v>
      </c>
      <c r="I575" s="140"/>
      <c r="K575" s="181"/>
      <c r="L575" s="71"/>
      <c r="M575" s="71"/>
      <c r="N575" s="71"/>
      <c r="O575" s="71"/>
      <c r="P575" s="71"/>
      <c r="Q575" s="71"/>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row>
    <row r="576" spans="1:45" hidden="1" outlineLevel="1" x14ac:dyDescent="0.3">
      <c r="A576" s="139" t="s">
        <v>2793</v>
      </c>
      <c r="B576" s="139" t="s">
        <v>855</v>
      </c>
      <c r="C576" s="136" t="s">
        <v>774</v>
      </c>
      <c r="D576" s="423">
        <v>0</v>
      </c>
      <c r="E576" s="423">
        <v>0</v>
      </c>
      <c r="F576" s="423">
        <v>0</v>
      </c>
      <c r="G576" s="423">
        <v>0</v>
      </c>
      <c r="H576" s="423">
        <v>0</v>
      </c>
      <c r="I576" s="140" t="s">
        <v>2771</v>
      </c>
      <c r="K576" s="181"/>
      <c r="L576" s="71"/>
      <c r="M576" s="71"/>
      <c r="N576" s="71"/>
      <c r="O576" s="71"/>
      <c r="P576" s="71"/>
      <c r="Q576" s="71"/>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row>
    <row r="577" spans="1:45" hidden="1" outlineLevel="1" x14ac:dyDescent="0.3">
      <c r="A577" s="139" t="s">
        <v>2793</v>
      </c>
      <c r="B577" s="139" t="s">
        <v>855</v>
      </c>
      <c r="C577" s="136" t="s">
        <v>775</v>
      </c>
      <c r="D577" s="481" t="s">
        <v>204</v>
      </c>
      <c r="E577" s="481" t="s">
        <v>204</v>
      </c>
      <c r="F577" s="481" t="s">
        <v>204</v>
      </c>
      <c r="G577" s="481" t="s">
        <v>204</v>
      </c>
      <c r="H577" s="481" t="s">
        <v>204</v>
      </c>
      <c r="I577" s="140"/>
      <c r="K577" s="181"/>
      <c r="L577" s="71"/>
      <c r="M577" s="71"/>
      <c r="N577" s="71"/>
      <c r="O577" s="71"/>
      <c r="P577" s="71"/>
      <c r="Q577" s="71"/>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row>
    <row r="578" spans="1:45" hidden="1" outlineLevel="1" x14ac:dyDescent="0.3">
      <c r="A578" s="139" t="s">
        <v>2793</v>
      </c>
      <c r="B578" s="139" t="s">
        <v>855</v>
      </c>
      <c r="C578" s="136" t="s">
        <v>779</v>
      </c>
      <c r="D578" s="481" t="s">
        <v>204</v>
      </c>
      <c r="E578" s="481" t="s">
        <v>204</v>
      </c>
      <c r="F578" s="481" t="s">
        <v>204</v>
      </c>
      <c r="G578" s="481" t="s">
        <v>204</v>
      </c>
      <c r="H578" s="481" t="s">
        <v>204</v>
      </c>
      <c r="I578" s="140"/>
      <c r="K578" s="71"/>
      <c r="L578" s="71"/>
      <c r="M578" s="71"/>
      <c r="N578" s="71"/>
      <c r="O578" s="71"/>
      <c r="P578" s="71"/>
      <c r="Q578" s="71"/>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row>
    <row r="579" spans="1:45" hidden="1" outlineLevel="1" x14ac:dyDescent="0.3">
      <c r="A579" s="139" t="s">
        <v>2793</v>
      </c>
      <c r="B579" s="139" t="s">
        <v>894</v>
      </c>
      <c r="C579" s="136" t="s">
        <v>781</v>
      </c>
      <c r="D579" s="481" t="s">
        <v>204</v>
      </c>
      <c r="E579" s="481" t="s">
        <v>204</v>
      </c>
      <c r="F579" s="481" t="s">
        <v>204</v>
      </c>
      <c r="G579" s="481" t="s">
        <v>204</v>
      </c>
      <c r="H579" s="481" t="s">
        <v>204</v>
      </c>
      <c r="I579" s="140"/>
      <c r="K579" s="71"/>
      <c r="L579" s="71"/>
      <c r="M579" s="71"/>
      <c r="N579" s="71"/>
      <c r="O579" s="71"/>
      <c r="P579" s="71"/>
      <c r="Q579" s="71"/>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row>
    <row r="580" spans="1:45" hidden="1" outlineLevel="1" x14ac:dyDescent="0.3">
      <c r="A580" s="139" t="s">
        <v>2793</v>
      </c>
      <c r="B580" s="139" t="s">
        <v>894</v>
      </c>
      <c r="C580" s="136" t="s">
        <v>783</v>
      </c>
      <c r="D580" s="140">
        <v>0</v>
      </c>
      <c r="E580" s="140">
        <v>0</v>
      </c>
      <c r="F580" s="140">
        <v>0</v>
      </c>
      <c r="G580" s="140">
        <v>0</v>
      </c>
      <c r="H580" s="140">
        <v>0</v>
      </c>
      <c r="I580" s="140" t="s">
        <v>2706</v>
      </c>
      <c r="K580" s="71"/>
      <c r="L580" s="71"/>
      <c r="M580" s="71"/>
      <c r="N580" s="71"/>
      <c r="O580" s="71"/>
      <c r="P580" s="71"/>
      <c r="Q580" s="71"/>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row>
    <row r="581" spans="1:45" hidden="1" outlineLevel="1" x14ac:dyDescent="0.3">
      <c r="A581" s="139" t="s">
        <v>2793</v>
      </c>
      <c r="B581" s="139" t="s">
        <v>894</v>
      </c>
      <c r="C581" s="136" t="s">
        <v>785</v>
      </c>
      <c r="D581" s="534">
        <v>0</v>
      </c>
      <c r="E581" s="534">
        <v>0</v>
      </c>
      <c r="F581" s="534">
        <v>0</v>
      </c>
      <c r="G581" s="534">
        <v>0</v>
      </c>
      <c r="H581" s="534">
        <v>0</v>
      </c>
      <c r="I581" s="140" t="s">
        <v>2707</v>
      </c>
      <c r="K581" s="71"/>
      <c r="L581" s="71"/>
      <c r="M581" s="71"/>
      <c r="N581" s="71"/>
      <c r="O581" s="71"/>
      <c r="P581" s="71"/>
      <c r="Q581" s="71"/>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row>
    <row r="582" spans="1:45" hidden="1" outlineLevel="1" x14ac:dyDescent="0.3">
      <c r="A582" s="139" t="s">
        <v>2793</v>
      </c>
      <c r="B582" s="139" t="s">
        <v>894</v>
      </c>
      <c r="C582" s="136" t="s">
        <v>787</v>
      </c>
      <c r="D582" s="481" t="s">
        <v>204</v>
      </c>
      <c r="E582" s="481" t="s">
        <v>204</v>
      </c>
      <c r="F582" s="481" t="s">
        <v>204</v>
      </c>
      <c r="G582" s="481" t="s">
        <v>204</v>
      </c>
      <c r="H582" s="481" t="s">
        <v>204</v>
      </c>
      <c r="I582" s="140"/>
      <c r="K582" s="71"/>
      <c r="L582" s="71"/>
      <c r="M582" s="71"/>
      <c r="N582" s="71"/>
      <c r="O582" s="71"/>
      <c r="P582" s="71"/>
      <c r="Q582" s="71"/>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row>
    <row r="583" spans="1:45" hidden="1" outlineLevel="1" x14ac:dyDescent="0.3">
      <c r="A583" s="139" t="s">
        <v>2793</v>
      </c>
      <c r="B583" s="139" t="s">
        <v>894</v>
      </c>
      <c r="C583" s="136" t="s">
        <v>788</v>
      </c>
      <c r="D583" s="481" t="s">
        <v>204</v>
      </c>
      <c r="E583" s="481" t="s">
        <v>204</v>
      </c>
      <c r="F583" s="481" t="s">
        <v>204</v>
      </c>
      <c r="G583" s="481" t="s">
        <v>204</v>
      </c>
      <c r="H583" s="481" t="s">
        <v>204</v>
      </c>
      <c r="I583" s="140"/>
      <c r="K583" s="71"/>
      <c r="L583" s="71"/>
      <c r="M583" s="71"/>
      <c r="N583" s="71"/>
      <c r="O583" s="71"/>
      <c r="P583" s="71"/>
      <c r="Q583" s="71"/>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row>
    <row r="584" spans="1:45" hidden="1" outlineLevel="1" x14ac:dyDescent="0.3">
      <c r="A584" s="139" t="s">
        <v>2793</v>
      </c>
      <c r="B584" s="139" t="s">
        <v>894</v>
      </c>
      <c r="C584" s="136" t="s">
        <v>789</v>
      </c>
      <c r="D584" s="481" t="s">
        <v>204</v>
      </c>
      <c r="E584" s="481" t="s">
        <v>204</v>
      </c>
      <c r="F584" s="481" t="s">
        <v>204</v>
      </c>
      <c r="G584" s="481" t="s">
        <v>204</v>
      </c>
      <c r="H584" s="481" t="s">
        <v>204</v>
      </c>
      <c r="I584" s="140"/>
      <c r="K584" s="71"/>
      <c r="L584" s="71"/>
      <c r="M584" s="71"/>
      <c r="N584" s="71"/>
      <c r="O584" s="71"/>
      <c r="P584" s="71"/>
      <c r="Q584" s="71"/>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row>
    <row r="585" spans="1:45" hidden="1" outlineLevel="1" x14ac:dyDescent="0.3">
      <c r="A585" s="139" t="s">
        <v>2793</v>
      </c>
      <c r="B585" s="139" t="s">
        <v>894</v>
      </c>
      <c r="C585" s="136" t="s">
        <v>790</v>
      </c>
      <c r="D585" s="352">
        <v>0</v>
      </c>
      <c r="E585" s="352">
        <v>0</v>
      </c>
      <c r="F585" s="352">
        <v>0</v>
      </c>
      <c r="G585" s="352">
        <v>0</v>
      </c>
      <c r="H585" s="352">
        <v>0</v>
      </c>
      <c r="I585" s="140" t="s">
        <v>2708</v>
      </c>
      <c r="K585" s="71"/>
      <c r="L585" s="71"/>
      <c r="M585" s="71"/>
      <c r="N585" s="71"/>
      <c r="O585" s="71"/>
      <c r="P585" s="71"/>
      <c r="Q585" s="71"/>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row>
    <row r="586" spans="1:45" hidden="1" outlineLevel="1" x14ac:dyDescent="0.3">
      <c r="A586" s="139" t="s">
        <v>2793</v>
      </c>
      <c r="B586" s="139" t="s">
        <v>894</v>
      </c>
      <c r="C586" s="136" t="s">
        <v>793</v>
      </c>
      <c r="D586" s="481" t="s">
        <v>204</v>
      </c>
      <c r="E586" s="481" t="s">
        <v>204</v>
      </c>
      <c r="F586" s="481" t="s">
        <v>204</v>
      </c>
      <c r="G586" s="481" t="s">
        <v>204</v>
      </c>
      <c r="H586" s="481" t="s">
        <v>204</v>
      </c>
      <c r="I586" s="140"/>
      <c r="K586" s="71"/>
      <c r="L586" s="71"/>
      <c r="M586" s="71"/>
      <c r="N586" s="71"/>
      <c r="O586" s="71"/>
      <c r="P586" s="71"/>
      <c r="Q586" s="71"/>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row>
    <row r="587" spans="1:45" hidden="1" outlineLevel="1" x14ac:dyDescent="0.3">
      <c r="A587" s="139" t="s">
        <v>2793</v>
      </c>
      <c r="B587" s="139" t="s">
        <v>894</v>
      </c>
      <c r="C587" s="136" t="s">
        <v>795</v>
      </c>
      <c r="D587" s="481" t="s">
        <v>204</v>
      </c>
      <c r="E587" s="481" t="s">
        <v>204</v>
      </c>
      <c r="F587" s="481" t="s">
        <v>204</v>
      </c>
      <c r="G587" s="481" t="s">
        <v>204</v>
      </c>
      <c r="H587" s="481" t="s">
        <v>204</v>
      </c>
      <c r="I587" s="140"/>
      <c r="K587" s="71"/>
      <c r="L587" s="71"/>
      <c r="M587" s="71"/>
      <c r="N587" s="71"/>
      <c r="O587" s="71"/>
      <c r="P587" s="71"/>
      <c r="Q587" s="71"/>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c r="AR587" s="70"/>
      <c r="AS587" s="70"/>
    </row>
    <row r="588" spans="1:45" hidden="1" outlineLevel="1" x14ac:dyDescent="0.3">
      <c r="A588" s="139" t="s">
        <v>2793</v>
      </c>
      <c r="B588" s="139" t="s">
        <v>894</v>
      </c>
      <c r="C588" s="136" t="s">
        <v>797</v>
      </c>
      <c r="D588" s="140">
        <v>0</v>
      </c>
      <c r="E588" s="140">
        <v>0</v>
      </c>
      <c r="F588" s="140">
        <v>0</v>
      </c>
      <c r="G588" s="140">
        <v>0</v>
      </c>
      <c r="H588" s="140">
        <v>0</v>
      </c>
      <c r="I588" s="140" t="s">
        <v>2752</v>
      </c>
      <c r="K588" s="71"/>
      <c r="L588" s="71"/>
      <c r="M588" s="71"/>
      <c r="N588" s="71"/>
      <c r="O588" s="71"/>
      <c r="P588" s="71"/>
      <c r="Q588" s="71"/>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row>
    <row r="589" spans="1:45" hidden="1" outlineLevel="1" x14ac:dyDescent="0.3">
      <c r="A589" s="139" t="s">
        <v>2793</v>
      </c>
      <c r="B589" s="139" t="s">
        <v>915</v>
      </c>
      <c r="C589" s="136" t="s">
        <v>799</v>
      </c>
      <c r="D589" s="140">
        <v>0</v>
      </c>
      <c r="E589" s="140">
        <v>0</v>
      </c>
      <c r="F589" s="140">
        <v>0</v>
      </c>
      <c r="G589" s="140">
        <v>0</v>
      </c>
      <c r="H589" s="140">
        <v>0</v>
      </c>
      <c r="I589" s="140" t="s">
        <v>2794</v>
      </c>
      <c r="K589" s="182"/>
      <c r="L589" s="71"/>
      <c r="M589" s="71"/>
      <c r="N589" s="71"/>
      <c r="O589" s="71"/>
      <c r="P589" s="71"/>
      <c r="Q589" s="71"/>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row>
    <row r="590" spans="1:45" hidden="1" outlineLevel="1" x14ac:dyDescent="0.3">
      <c r="A590" s="139" t="s">
        <v>2793</v>
      </c>
      <c r="B590" s="139" t="s">
        <v>915</v>
      </c>
      <c r="C590" s="136" t="s">
        <v>801</v>
      </c>
      <c r="D590" s="352">
        <v>0</v>
      </c>
      <c r="E590" s="352">
        <v>0</v>
      </c>
      <c r="F590" s="352">
        <v>0</v>
      </c>
      <c r="G590" s="352">
        <v>0</v>
      </c>
      <c r="H590" s="352">
        <v>0</v>
      </c>
      <c r="I590" s="140" t="s">
        <v>2795</v>
      </c>
      <c r="K590" s="71"/>
      <c r="L590" s="71"/>
      <c r="M590" s="71"/>
      <c r="N590" s="71"/>
      <c r="O590" s="71"/>
      <c r="P590" s="71"/>
      <c r="Q590" s="71"/>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row>
    <row r="591" spans="1:45" hidden="1" outlineLevel="1" x14ac:dyDescent="0.3">
      <c r="A591" s="139" t="s">
        <v>2793</v>
      </c>
      <c r="B591" s="139" t="s">
        <v>915</v>
      </c>
      <c r="C591" s="136" t="s">
        <v>804</v>
      </c>
      <c r="D591" s="140">
        <v>0</v>
      </c>
      <c r="E591" s="140">
        <v>0</v>
      </c>
      <c r="F591" s="140">
        <v>0</v>
      </c>
      <c r="G591" s="140">
        <v>0</v>
      </c>
      <c r="H591" s="140">
        <v>0</v>
      </c>
      <c r="I591" s="140"/>
      <c r="K591" s="70"/>
      <c r="L591" s="71"/>
      <c r="M591" s="71"/>
      <c r="N591" s="71"/>
      <c r="O591" s="71"/>
      <c r="P591" s="71"/>
      <c r="Q591" s="71"/>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row>
    <row r="592" spans="1:45" hidden="1" outlineLevel="1" x14ac:dyDescent="0.3">
      <c r="A592" s="139" t="s">
        <v>2793</v>
      </c>
      <c r="B592" s="139" t="s">
        <v>915</v>
      </c>
      <c r="C592" s="136" t="s">
        <v>806</v>
      </c>
      <c r="D592" s="140">
        <v>0</v>
      </c>
      <c r="E592" s="140">
        <v>0</v>
      </c>
      <c r="F592" s="140">
        <v>0</v>
      </c>
      <c r="G592" s="140">
        <v>0</v>
      </c>
      <c r="H592" s="140">
        <v>0</v>
      </c>
      <c r="I592" s="140"/>
      <c r="K592" s="71"/>
      <c r="L592" s="71"/>
      <c r="M592" s="71"/>
      <c r="N592" s="71"/>
      <c r="O592" s="71"/>
      <c r="P592" s="71"/>
      <c r="Q592" s="71"/>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row>
    <row r="593" spans="1:45" hidden="1" outlineLevel="1" x14ac:dyDescent="0.3">
      <c r="A593" s="139" t="s">
        <v>2793</v>
      </c>
      <c r="B593" s="139" t="s">
        <v>915</v>
      </c>
      <c r="C593" s="136" t="s">
        <v>808</v>
      </c>
      <c r="D593" s="140">
        <v>0</v>
      </c>
      <c r="E593" s="140">
        <v>0</v>
      </c>
      <c r="F593" s="140">
        <v>0</v>
      </c>
      <c r="G593" s="140">
        <v>0</v>
      </c>
      <c r="H593" s="140">
        <v>0</v>
      </c>
      <c r="I593" s="140"/>
      <c r="K593" s="71"/>
      <c r="L593" s="71"/>
      <c r="M593" s="71"/>
      <c r="N593" s="71"/>
      <c r="O593" s="71"/>
      <c r="P593" s="71"/>
      <c r="Q593" s="71"/>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row>
    <row r="594" spans="1:45" hidden="1" outlineLevel="1" x14ac:dyDescent="0.3">
      <c r="A594" s="139" t="s">
        <v>2793</v>
      </c>
      <c r="B594" s="139" t="s">
        <v>915</v>
      </c>
      <c r="C594" s="136" t="s">
        <v>811</v>
      </c>
      <c r="D594" s="423">
        <v>0</v>
      </c>
      <c r="E594" s="423">
        <v>0</v>
      </c>
      <c r="F594" s="423">
        <v>0</v>
      </c>
      <c r="G594" s="423">
        <v>0</v>
      </c>
      <c r="H594" s="423">
        <v>0</v>
      </c>
      <c r="I594" s="140" t="s">
        <v>2713</v>
      </c>
      <c r="K594" s="71"/>
      <c r="L594" s="71"/>
      <c r="M594" s="71"/>
      <c r="N594" s="71"/>
      <c r="O594" s="71"/>
      <c r="P594" s="71"/>
      <c r="Q594" s="71"/>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row>
    <row r="595" spans="1:45" hidden="1" outlineLevel="1" x14ac:dyDescent="0.3">
      <c r="A595" s="139" t="s">
        <v>2793</v>
      </c>
      <c r="B595" s="139" t="s">
        <v>934</v>
      </c>
      <c r="C595" s="136" t="s">
        <v>814</v>
      </c>
      <c r="D595" s="423" t="s">
        <v>204</v>
      </c>
      <c r="E595" s="423" t="s">
        <v>204</v>
      </c>
      <c r="F595" s="423" t="s">
        <v>204</v>
      </c>
      <c r="G595" s="423" t="s">
        <v>204</v>
      </c>
      <c r="H595" s="423" t="s">
        <v>204</v>
      </c>
      <c r="I595" s="140"/>
      <c r="K595" s="71"/>
      <c r="L595" s="71"/>
      <c r="M595" s="71"/>
      <c r="N595" s="71"/>
      <c r="O595" s="71"/>
      <c r="P595" s="71"/>
      <c r="Q595" s="71"/>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row>
    <row r="596" spans="1:45" hidden="1" outlineLevel="1" x14ac:dyDescent="0.3">
      <c r="A596" s="139" t="s">
        <v>2793</v>
      </c>
      <c r="B596" s="139" t="s">
        <v>934</v>
      </c>
      <c r="C596" s="136" t="s">
        <v>815</v>
      </c>
      <c r="D596" s="481" t="s">
        <v>204</v>
      </c>
      <c r="E596" s="481" t="s">
        <v>204</v>
      </c>
      <c r="F596" s="481" t="s">
        <v>204</v>
      </c>
      <c r="G596" s="481" t="s">
        <v>204</v>
      </c>
      <c r="H596" s="481" t="s">
        <v>204</v>
      </c>
      <c r="I596" s="140"/>
      <c r="K596" s="71"/>
      <c r="L596" s="71"/>
      <c r="M596" s="71"/>
      <c r="N596" s="71"/>
      <c r="O596" s="71"/>
      <c r="P596" s="71"/>
      <c r="Q596" s="71"/>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row>
    <row r="597" spans="1:45" hidden="1" outlineLevel="1" x14ac:dyDescent="0.3">
      <c r="A597" s="139" t="s">
        <v>2793</v>
      </c>
      <c r="B597" s="139" t="s">
        <v>940</v>
      </c>
      <c r="C597" s="136" t="s">
        <v>817</v>
      </c>
      <c r="D597" s="140">
        <v>0</v>
      </c>
      <c r="E597" s="140">
        <v>0</v>
      </c>
      <c r="F597" s="140">
        <v>0</v>
      </c>
      <c r="G597" s="140">
        <v>0</v>
      </c>
      <c r="H597" s="140">
        <v>0</v>
      </c>
      <c r="I597" s="140" t="s">
        <v>2714</v>
      </c>
      <c r="K597" s="71"/>
      <c r="L597" s="71"/>
      <c r="M597" s="71"/>
      <c r="N597" s="71"/>
      <c r="O597" s="71"/>
      <c r="P597" s="71"/>
      <c r="Q597" s="71"/>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row>
    <row r="598" spans="1:45" hidden="1" outlineLevel="1" x14ac:dyDescent="0.3">
      <c r="A598" s="139" t="s">
        <v>2793</v>
      </c>
      <c r="B598" s="139" t="s">
        <v>940</v>
      </c>
      <c r="C598" s="136" t="s">
        <v>944</v>
      </c>
      <c r="D598" s="140">
        <v>0</v>
      </c>
      <c r="E598" s="140">
        <v>0</v>
      </c>
      <c r="F598" s="140">
        <v>0</v>
      </c>
      <c r="G598" s="140">
        <v>0</v>
      </c>
      <c r="H598" s="140">
        <v>0</v>
      </c>
      <c r="I598" s="140"/>
      <c r="K598" s="71"/>
      <c r="L598" s="71"/>
      <c r="M598" s="71"/>
      <c r="N598" s="71"/>
      <c r="O598" s="71"/>
      <c r="P598" s="71"/>
      <c r="Q598" s="71"/>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row>
    <row r="599" spans="1:45" hidden="1" outlineLevel="1" x14ac:dyDescent="0.3">
      <c r="A599" s="139" t="s">
        <v>2793</v>
      </c>
      <c r="B599" s="139" t="s">
        <v>940</v>
      </c>
      <c r="C599" s="136" t="s">
        <v>821</v>
      </c>
      <c r="D599" s="481" t="s">
        <v>204</v>
      </c>
      <c r="E599" s="481" t="s">
        <v>204</v>
      </c>
      <c r="F599" s="481" t="s">
        <v>204</v>
      </c>
      <c r="G599" s="481" t="s">
        <v>204</v>
      </c>
      <c r="H599" s="481" t="s">
        <v>204</v>
      </c>
      <c r="I599" s="140"/>
      <c r="K599" s="71"/>
      <c r="L599" s="71"/>
      <c r="M599" s="71"/>
      <c r="N599" s="71"/>
      <c r="O599" s="71"/>
      <c r="P599" s="71"/>
      <c r="Q599" s="71"/>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row>
    <row r="600" spans="1:45" hidden="1" outlineLevel="1" x14ac:dyDescent="0.3">
      <c r="A600" s="139" t="s">
        <v>2793</v>
      </c>
      <c r="B600" s="139" t="s">
        <v>940</v>
      </c>
      <c r="C600" s="136" t="s">
        <v>823</v>
      </c>
      <c r="D600" s="481" t="s">
        <v>204</v>
      </c>
      <c r="E600" s="481" t="s">
        <v>204</v>
      </c>
      <c r="F600" s="481" t="s">
        <v>204</v>
      </c>
      <c r="G600" s="481" t="s">
        <v>204</v>
      </c>
      <c r="H600" s="481" t="s">
        <v>204</v>
      </c>
      <c r="I600" s="140"/>
      <c r="K600" s="71"/>
      <c r="L600" s="71"/>
      <c r="M600" s="71"/>
      <c r="N600" s="71"/>
      <c r="O600" s="71"/>
      <c r="P600" s="71"/>
      <c r="Q600" s="71"/>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row>
    <row r="601" spans="1:45" hidden="1" outlineLevel="1" x14ac:dyDescent="0.3">
      <c r="A601" s="139" t="s">
        <v>2793</v>
      </c>
      <c r="B601" s="139" t="s">
        <v>940</v>
      </c>
      <c r="C601" s="136" t="s">
        <v>825</v>
      </c>
      <c r="D601" s="481" t="s">
        <v>204</v>
      </c>
      <c r="E601" s="481" t="s">
        <v>204</v>
      </c>
      <c r="F601" s="481" t="s">
        <v>204</v>
      </c>
      <c r="G601" s="481" t="s">
        <v>204</v>
      </c>
      <c r="H601" s="481" t="s">
        <v>204</v>
      </c>
      <c r="I601" s="140"/>
      <c r="K601" s="71"/>
      <c r="L601" s="71"/>
      <c r="M601" s="71"/>
      <c r="N601" s="71"/>
      <c r="O601" s="71"/>
      <c r="P601" s="71"/>
      <c r="Q601" s="71"/>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row>
    <row r="602" spans="1:45" hidden="1" outlineLevel="1" x14ac:dyDescent="0.3">
      <c r="A602" s="139" t="s">
        <v>2793</v>
      </c>
      <c r="B602" s="139" t="s">
        <v>940</v>
      </c>
      <c r="C602" s="136" t="s">
        <v>827</v>
      </c>
      <c r="D602" s="140">
        <v>0</v>
      </c>
      <c r="E602" s="140">
        <v>0</v>
      </c>
      <c r="F602" s="140">
        <v>0</v>
      </c>
      <c r="G602" s="140">
        <v>0</v>
      </c>
      <c r="H602" s="140">
        <v>0</v>
      </c>
      <c r="I602" s="140" t="s">
        <v>1024</v>
      </c>
      <c r="K602" s="71"/>
      <c r="L602" s="71"/>
      <c r="M602" s="71"/>
      <c r="N602" s="71"/>
      <c r="O602" s="71"/>
      <c r="P602" s="71"/>
      <c r="Q602" s="71"/>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row>
    <row r="603" spans="1:45" hidden="1" outlineLevel="1" x14ac:dyDescent="0.3">
      <c r="A603" s="139" t="s">
        <v>2793</v>
      </c>
      <c r="B603" s="139" t="s">
        <v>940</v>
      </c>
      <c r="C603" s="136" t="s">
        <v>829</v>
      </c>
      <c r="D603" s="423">
        <v>0</v>
      </c>
      <c r="E603" s="423">
        <v>0</v>
      </c>
      <c r="F603" s="423">
        <v>0</v>
      </c>
      <c r="G603" s="423">
        <v>0</v>
      </c>
      <c r="H603" s="423">
        <v>0</v>
      </c>
      <c r="I603" s="140" t="s">
        <v>2715</v>
      </c>
      <c r="K603" s="71"/>
      <c r="L603" s="71"/>
      <c r="M603" s="71"/>
      <c r="N603" s="71"/>
      <c r="O603" s="71"/>
      <c r="P603" s="71"/>
      <c r="Q603" s="71"/>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c r="AR603" s="70"/>
      <c r="AS603" s="70"/>
    </row>
    <row r="604" spans="1:45" hidden="1" outlineLevel="1" x14ac:dyDescent="0.3">
      <c r="A604" s="139" t="s">
        <v>2793</v>
      </c>
      <c r="B604" s="139" t="s">
        <v>940</v>
      </c>
      <c r="C604" s="136" t="s">
        <v>833</v>
      </c>
      <c r="D604" s="352">
        <v>0</v>
      </c>
      <c r="E604" s="352">
        <v>0</v>
      </c>
      <c r="F604" s="352">
        <v>0</v>
      </c>
      <c r="G604" s="352">
        <v>0</v>
      </c>
      <c r="H604" s="352">
        <v>0</v>
      </c>
      <c r="I604" s="140" t="s">
        <v>2716</v>
      </c>
      <c r="K604" s="71"/>
      <c r="L604" s="71"/>
      <c r="M604" s="71"/>
      <c r="N604" s="71"/>
      <c r="O604" s="71"/>
      <c r="P604" s="71"/>
      <c r="Q604" s="71"/>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row>
    <row r="605" spans="1:45" hidden="1" outlineLevel="1" x14ac:dyDescent="0.3">
      <c r="A605" s="139" t="s">
        <v>2793</v>
      </c>
      <c r="B605" s="139" t="s">
        <v>940</v>
      </c>
      <c r="C605" s="136" t="s">
        <v>836</v>
      </c>
      <c r="D605" s="423">
        <v>0</v>
      </c>
      <c r="E605" s="423">
        <v>0</v>
      </c>
      <c r="F605" s="423">
        <v>0</v>
      </c>
      <c r="G605" s="423">
        <v>0</v>
      </c>
      <c r="H605" s="423">
        <v>0</v>
      </c>
      <c r="I605" s="140"/>
      <c r="K605" s="71"/>
      <c r="L605" s="71"/>
      <c r="M605" s="71"/>
      <c r="N605" s="71"/>
      <c r="O605" s="71"/>
      <c r="P605" s="71"/>
      <c r="Q605" s="71"/>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row>
    <row r="606" spans="1:45" hidden="1" outlineLevel="1" x14ac:dyDescent="0.3">
      <c r="A606" s="139" t="s">
        <v>2793</v>
      </c>
      <c r="B606" s="139" t="s">
        <v>940</v>
      </c>
      <c r="C606" s="136" t="s">
        <v>837</v>
      </c>
      <c r="D606" s="481" t="s">
        <v>204</v>
      </c>
      <c r="E606" s="481" t="s">
        <v>204</v>
      </c>
      <c r="F606" s="481" t="s">
        <v>204</v>
      </c>
      <c r="G606" s="481" t="s">
        <v>204</v>
      </c>
      <c r="H606" s="481" t="s">
        <v>204</v>
      </c>
      <c r="I606" s="140"/>
      <c r="K606" s="71"/>
      <c r="L606" s="71"/>
      <c r="M606" s="71"/>
      <c r="N606" s="71"/>
      <c r="O606" s="71"/>
      <c r="P606" s="71"/>
      <c r="Q606" s="71"/>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row>
    <row r="607" spans="1:45" hidden="1" outlineLevel="1" x14ac:dyDescent="0.3">
      <c r="A607" s="139" t="s">
        <v>2793</v>
      </c>
      <c r="B607" s="139" t="s">
        <v>940</v>
      </c>
      <c r="C607" s="136" t="s">
        <v>839</v>
      </c>
      <c r="D607" s="423">
        <v>0</v>
      </c>
      <c r="E607" s="423">
        <v>0</v>
      </c>
      <c r="F607" s="423">
        <v>0</v>
      </c>
      <c r="G607" s="423">
        <v>0</v>
      </c>
      <c r="H607" s="423">
        <v>0</v>
      </c>
      <c r="I607" s="140" t="s">
        <v>2718</v>
      </c>
      <c r="K607" s="71"/>
      <c r="L607" s="71"/>
      <c r="M607" s="71"/>
      <c r="N607" s="71"/>
      <c r="O607" s="71"/>
      <c r="P607" s="71"/>
      <c r="Q607" s="71"/>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row>
    <row r="608" spans="1:45" hidden="1" outlineLevel="1" x14ac:dyDescent="0.3">
      <c r="A608" s="139" t="s">
        <v>2793</v>
      </c>
      <c r="B608" s="139" t="s">
        <v>940</v>
      </c>
      <c r="C608" s="136" t="s">
        <v>840</v>
      </c>
      <c r="D608" s="481" t="s">
        <v>204</v>
      </c>
      <c r="E608" s="481" t="s">
        <v>204</v>
      </c>
      <c r="F608" s="481" t="s">
        <v>204</v>
      </c>
      <c r="G608" s="481" t="s">
        <v>204</v>
      </c>
      <c r="H608" s="481" t="s">
        <v>204</v>
      </c>
      <c r="I608" s="140"/>
      <c r="K608" s="71"/>
      <c r="L608" s="71"/>
      <c r="M608" s="71"/>
      <c r="N608" s="71"/>
      <c r="O608" s="71"/>
      <c r="P608" s="71"/>
      <c r="Q608" s="71"/>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row>
    <row r="609" spans="1:45" collapsed="1" x14ac:dyDescent="0.3">
      <c r="A609" s="139"/>
      <c r="B609" s="139"/>
      <c r="C609" s="485" t="s">
        <v>2719</v>
      </c>
      <c r="D609" s="140"/>
      <c r="E609" s="140"/>
      <c r="F609" s="140"/>
      <c r="G609" s="140"/>
      <c r="H609" s="140"/>
      <c r="I609" s="14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row>
    <row r="610" spans="1:45" x14ac:dyDescent="0.3">
      <c r="A610" s="136" t="s">
        <v>2796</v>
      </c>
      <c r="B610" s="136"/>
      <c r="C610" s="137" t="s">
        <v>2693</v>
      </c>
      <c r="D610" s="160">
        <v>0</v>
      </c>
      <c r="E610" s="160">
        <v>0</v>
      </c>
      <c r="F610" s="160">
        <v>0</v>
      </c>
      <c r="G610" s="160">
        <v>0</v>
      </c>
      <c r="H610" s="160">
        <v>0</v>
      </c>
      <c r="I610" s="14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row>
    <row r="611" spans="1:45" x14ac:dyDescent="0.3">
      <c r="A611" s="136" t="s">
        <v>5</v>
      </c>
      <c r="B611" s="136" t="s">
        <v>847</v>
      </c>
      <c r="C611" s="136" t="s">
        <v>193</v>
      </c>
      <c r="D611" s="138">
        <v>2025</v>
      </c>
      <c r="E611" s="138">
        <v>2030</v>
      </c>
      <c r="F611" s="138">
        <v>2035</v>
      </c>
      <c r="G611" s="138">
        <v>2040</v>
      </c>
      <c r="H611" s="138">
        <v>2045</v>
      </c>
      <c r="I611" s="138" t="s">
        <v>153</v>
      </c>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row>
    <row r="612" spans="1:45" hidden="1" outlineLevel="1" x14ac:dyDescent="0.3">
      <c r="A612" s="139" t="s">
        <v>2796</v>
      </c>
      <c r="B612" s="139" t="s">
        <v>855</v>
      </c>
      <c r="C612" s="136" t="s">
        <v>747</v>
      </c>
      <c r="D612" s="481" t="s">
        <v>204</v>
      </c>
      <c r="E612" s="481" t="s">
        <v>204</v>
      </c>
      <c r="F612" s="481" t="s">
        <v>204</v>
      </c>
      <c r="G612" s="481" t="s">
        <v>204</v>
      </c>
      <c r="H612" s="481" t="s">
        <v>204</v>
      </c>
      <c r="I612" s="140"/>
      <c r="K612" s="70"/>
      <c r="L612" s="71"/>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c r="AR612" s="70"/>
      <c r="AS612" s="70"/>
    </row>
    <row r="613" spans="1:45" hidden="1" outlineLevel="1" x14ac:dyDescent="0.3">
      <c r="A613" s="139" t="s">
        <v>2796</v>
      </c>
      <c r="B613" s="139" t="s">
        <v>855</v>
      </c>
      <c r="C613" s="136" t="s">
        <v>751</v>
      </c>
      <c r="D613" s="140">
        <v>0</v>
      </c>
      <c r="E613" s="140">
        <v>0</v>
      </c>
      <c r="F613" s="140">
        <v>0</v>
      </c>
      <c r="G613" s="140">
        <v>0</v>
      </c>
      <c r="H613" s="140">
        <v>0</v>
      </c>
      <c r="I613" s="140" t="s">
        <v>2696</v>
      </c>
      <c r="K613" s="70"/>
      <c r="L613" s="71"/>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0"/>
    </row>
    <row r="614" spans="1:45" hidden="1" outlineLevel="1" x14ac:dyDescent="0.3">
      <c r="A614" s="139" t="s">
        <v>2796</v>
      </c>
      <c r="B614" s="139" t="s">
        <v>855</v>
      </c>
      <c r="C614" s="136" t="s">
        <v>755</v>
      </c>
      <c r="D614" s="140">
        <v>0</v>
      </c>
      <c r="E614" s="140">
        <v>0</v>
      </c>
      <c r="F614" s="140">
        <v>0</v>
      </c>
      <c r="G614" s="140">
        <v>0</v>
      </c>
      <c r="H614" s="140">
        <v>0</v>
      </c>
      <c r="I614" s="140"/>
      <c r="K614" s="71"/>
      <c r="L614" s="71"/>
      <c r="M614" s="71"/>
      <c r="N614" s="71"/>
      <c r="O614" s="71"/>
      <c r="P614" s="71"/>
      <c r="Q614" s="71"/>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c r="AR614" s="70"/>
      <c r="AS614" s="70"/>
    </row>
    <row r="615" spans="1:45" hidden="1" outlineLevel="1" x14ac:dyDescent="0.3">
      <c r="A615" s="139" t="s">
        <v>2796</v>
      </c>
      <c r="B615" s="139" t="s">
        <v>855</v>
      </c>
      <c r="C615" s="136" t="s">
        <v>758</v>
      </c>
      <c r="D615" s="140">
        <v>0</v>
      </c>
      <c r="E615" s="140">
        <v>0</v>
      </c>
      <c r="F615" s="140">
        <v>0</v>
      </c>
      <c r="G615" s="140">
        <v>0</v>
      </c>
      <c r="H615" s="140">
        <v>0</v>
      </c>
      <c r="I615" s="140" t="s">
        <v>2699</v>
      </c>
      <c r="K615" s="71"/>
      <c r="L615" s="71"/>
      <c r="M615" s="71"/>
      <c r="N615" s="71"/>
      <c r="O615" s="71"/>
      <c r="P615" s="71"/>
      <c r="Q615" s="71"/>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c r="AR615" s="70"/>
      <c r="AS615" s="70"/>
    </row>
    <row r="616" spans="1:45" hidden="1" outlineLevel="1" x14ac:dyDescent="0.3">
      <c r="A616" s="139" t="s">
        <v>2796</v>
      </c>
      <c r="B616" s="139" t="s">
        <v>855</v>
      </c>
      <c r="C616" s="136" t="s">
        <v>761</v>
      </c>
      <c r="D616" s="423">
        <v>0</v>
      </c>
      <c r="E616" s="423">
        <v>0</v>
      </c>
      <c r="F616" s="423">
        <v>0</v>
      </c>
      <c r="G616" s="423">
        <v>0</v>
      </c>
      <c r="H616" s="423">
        <v>0</v>
      </c>
      <c r="I616" s="140"/>
      <c r="K616" s="71"/>
      <c r="L616" s="71"/>
      <c r="M616" s="71"/>
      <c r="N616" s="71"/>
      <c r="O616" s="71"/>
      <c r="P616" s="71"/>
      <c r="Q616" s="71"/>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c r="AR616" s="70"/>
      <c r="AS616" s="70"/>
    </row>
    <row r="617" spans="1:45" hidden="1" outlineLevel="1" x14ac:dyDescent="0.3">
      <c r="A617" s="139" t="s">
        <v>2796</v>
      </c>
      <c r="B617" s="139" t="s">
        <v>855</v>
      </c>
      <c r="C617" s="136" t="s">
        <v>763</v>
      </c>
      <c r="D617" s="423">
        <v>0</v>
      </c>
      <c r="E617" s="423">
        <v>0</v>
      </c>
      <c r="F617" s="423">
        <v>0</v>
      </c>
      <c r="G617" s="423">
        <v>0</v>
      </c>
      <c r="H617" s="423">
        <v>0</v>
      </c>
      <c r="I617" s="140" t="s">
        <v>2770</v>
      </c>
      <c r="K617" s="71"/>
      <c r="L617" s="71"/>
      <c r="M617" s="71"/>
      <c r="N617" s="71"/>
      <c r="O617" s="71"/>
      <c r="P617" s="71"/>
      <c r="Q617" s="71"/>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c r="AR617" s="70"/>
      <c r="AS617" s="70"/>
    </row>
    <row r="618" spans="1:45" hidden="1" outlineLevel="1" x14ac:dyDescent="0.3">
      <c r="A618" s="139" t="s">
        <v>2796</v>
      </c>
      <c r="B618" s="139" t="s">
        <v>855</v>
      </c>
      <c r="C618" s="136" t="s">
        <v>765</v>
      </c>
      <c r="D618" s="423">
        <v>0</v>
      </c>
      <c r="E618" s="423">
        <v>0</v>
      </c>
      <c r="F618" s="423">
        <v>0</v>
      </c>
      <c r="G618" s="423">
        <v>0</v>
      </c>
      <c r="H618" s="423">
        <v>0</v>
      </c>
      <c r="I618" s="140" t="s">
        <v>2722</v>
      </c>
      <c r="K618" s="70"/>
      <c r="L618" s="71"/>
      <c r="M618" s="71"/>
      <c r="N618" s="71"/>
      <c r="O618" s="71"/>
      <c r="P618" s="71"/>
      <c r="Q618" s="71"/>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c r="AR618" s="70"/>
      <c r="AS618" s="70"/>
    </row>
    <row r="619" spans="1:45" hidden="1" outlineLevel="1" x14ac:dyDescent="0.3">
      <c r="A619" s="139" t="s">
        <v>2796</v>
      </c>
      <c r="B619" s="139" t="s">
        <v>855</v>
      </c>
      <c r="C619" s="136" t="s">
        <v>768</v>
      </c>
      <c r="D619" s="481" t="s">
        <v>204</v>
      </c>
      <c r="E619" s="481" t="s">
        <v>204</v>
      </c>
      <c r="F619" s="481" t="s">
        <v>204</v>
      </c>
      <c r="G619" s="481" t="s">
        <v>204</v>
      </c>
      <c r="H619" s="481" t="s">
        <v>204</v>
      </c>
      <c r="I619" s="140"/>
      <c r="K619" s="181"/>
      <c r="L619" s="71"/>
      <c r="M619" s="71"/>
      <c r="N619" s="71"/>
      <c r="O619" s="71"/>
      <c r="P619" s="71"/>
      <c r="Q619" s="71"/>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c r="AR619" s="70"/>
      <c r="AS619" s="70"/>
    </row>
    <row r="620" spans="1:45" hidden="1" outlineLevel="1" x14ac:dyDescent="0.3">
      <c r="A620" s="139" t="s">
        <v>2796</v>
      </c>
      <c r="B620" s="139" t="s">
        <v>855</v>
      </c>
      <c r="C620" s="136" t="s">
        <v>771</v>
      </c>
      <c r="D620" s="140">
        <v>0</v>
      </c>
      <c r="E620" s="140">
        <v>0</v>
      </c>
      <c r="F620" s="140">
        <v>0</v>
      </c>
      <c r="G620" s="140">
        <v>0</v>
      </c>
      <c r="H620" s="140">
        <v>0</v>
      </c>
      <c r="I620" s="140"/>
      <c r="K620" s="181"/>
      <c r="L620" s="71"/>
      <c r="M620" s="71"/>
      <c r="N620" s="71"/>
      <c r="O620" s="71"/>
      <c r="P620" s="71"/>
      <c r="Q620" s="71"/>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c r="AR620" s="70"/>
      <c r="AS620" s="70"/>
    </row>
    <row r="621" spans="1:45" hidden="1" outlineLevel="1" x14ac:dyDescent="0.3">
      <c r="A621" s="139" t="s">
        <v>2796</v>
      </c>
      <c r="B621" s="139" t="s">
        <v>855</v>
      </c>
      <c r="C621" s="136" t="s">
        <v>772</v>
      </c>
      <c r="D621" s="140">
        <v>0</v>
      </c>
      <c r="E621" s="140">
        <v>0</v>
      </c>
      <c r="F621" s="140">
        <v>0</v>
      </c>
      <c r="G621" s="140">
        <v>0</v>
      </c>
      <c r="H621" s="140">
        <v>0</v>
      </c>
      <c r="I621" s="140"/>
      <c r="K621" s="181"/>
      <c r="L621" s="71"/>
      <c r="M621" s="71"/>
      <c r="N621" s="71"/>
      <c r="O621" s="71"/>
      <c r="P621" s="71"/>
      <c r="Q621" s="71"/>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c r="AR621" s="70"/>
      <c r="AS621" s="70"/>
    </row>
    <row r="622" spans="1:45" hidden="1" outlineLevel="1" x14ac:dyDescent="0.3">
      <c r="A622" s="139" t="s">
        <v>2796</v>
      </c>
      <c r="B622" s="139" t="s">
        <v>855</v>
      </c>
      <c r="C622" s="136" t="s">
        <v>774</v>
      </c>
      <c r="D622" s="423">
        <v>0</v>
      </c>
      <c r="E622" s="423">
        <v>0</v>
      </c>
      <c r="F622" s="423">
        <v>0</v>
      </c>
      <c r="G622" s="423">
        <v>0</v>
      </c>
      <c r="H622" s="423">
        <v>0</v>
      </c>
      <c r="I622" s="140" t="s">
        <v>2771</v>
      </c>
      <c r="K622" s="181"/>
      <c r="L622" s="71"/>
      <c r="M622" s="71"/>
      <c r="N622" s="71"/>
      <c r="O622" s="71"/>
      <c r="P622" s="71"/>
      <c r="Q622" s="71"/>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c r="AR622" s="70"/>
      <c r="AS622" s="70"/>
    </row>
    <row r="623" spans="1:45" hidden="1" outlineLevel="1" x14ac:dyDescent="0.3">
      <c r="A623" s="139" t="s">
        <v>2796</v>
      </c>
      <c r="B623" s="139" t="s">
        <v>855</v>
      </c>
      <c r="C623" s="136" t="s">
        <v>775</v>
      </c>
      <c r="D623" s="481" t="s">
        <v>204</v>
      </c>
      <c r="E623" s="481" t="s">
        <v>204</v>
      </c>
      <c r="F623" s="481" t="s">
        <v>204</v>
      </c>
      <c r="G623" s="481" t="s">
        <v>204</v>
      </c>
      <c r="H623" s="481" t="s">
        <v>204</v>
      </c>
      <c r="I623" s="140"/>
      <c r="K623" s="181"/>
      <c r="L623" s="71"/>
      <c r="M623" s="71"/>
      <c r="N623" s="71"/>
      <c r="O623" s="71"/>
      <c r="P623" s="71"/>
      <c r="Q623" s="71"/>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c r="AR623" s="70"/>
      <c r="AS623" s="70"/>
    </row>
    <row r="624" spans="1:45" hidden="1" outlineLevel="1" x14ac:dyDescent="0.3">
      <c r="A624" s="139" t="s">
        <v>2796</v>
      </c>
      <c r="B624" s="139" t="s">
        <v>855</v>
      </c>
      <c r="C624" s="136" t="s">
        <v>779</v>
      </c>
      <c r="D624" s="481" t="s">
        <v>204</v>
      </c>
      <c r="E624" s="481" t="s">
        <v>204</v>
      </c>
      <c r="F624" s="481" t="s">
        <v>204</v>
      </c>
      <c r="G624" s="481" t="s">
        <v>204</v>
      </c>
      <c r="H624" s="481" t="s">
        <v>204</v>
      </c>
      <c r="I624" s="140"/>
      <c r="K624" s="71"/>
      <c r="L624" s="71"/>
      <c r="M624" s="71"/>
      <c r="N624" s="71"/>
      <c r="O624" s="71"/>
      <c r="P624" s="71"/>
      <c r="Q624" s="71"/>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c r="AR624" s="70"/>
      <c r="AS624" s="70"/>
    </row>
    <row r="625" spans="1:45" hidden="1" outlineLevel="1" x14ac:dyDescent="0.3">
      <c r="A625" s="139" t="s">
        <v>2796</v>
      </c>
      <c r="B625" s="139" t="s">
        <v>894</v>
      </c>
      <c r="C625" s="136" t="s">
        <v>781</v>
      </c>
      <c r="D625" s="481" t="s">
        <v>204</v>
      </c>
      <c r="E625" s="481" t="s">
        <v>204</v>
      </c>
      <c r="F625" s="481" t="s">
        <v>204</v>
      </c>
      <c r="G625" s="481" t="s">
        <v>204</v>
      </c>
      <c r="H625" s="481" t="s">
        <v>204</v>
      </c>
      <c r="I625" s="140"/>
      <c r="K625" s="71"/>
      <c r="L625" s="71"/>
      <c r="M625" s="71"/>
      <c r="N625" s="71"/>
      <c r="O625" s="71"/>
      <c r="P625" s="71"/>
      <c r="Q625" s="71"/>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c r="AR625" s="70"/>
      <c r="AS625" s="70"/>
    </row>
    <row r="626" spans="1:45" hidden="1" outlineLevel="1" x14ac:dyDescent="0.3">
      <c r="A626" s="139" t="s">
        <v>2796</v>
      </c>
      <c r="B626" s="139" t="s">
        <v>894</v>
      </c>
      <c r="C626" s="136" t="s">
        <v>783</v>
      </c>
      <c r="D626" s="140">
        <v>0</v>
      </c>
      <c r="E626" s="140">
        <v>0</v>
      </c>
      <c r="F626" s="140">
        <v>0</v>
      </c>
      <c r="G626" s="140">
        <v>0</v>
      </c>
      <c r="H626" s="140">
        <v>0</v>
      </c>
      <c r="I626" s="140" t="s">
        <v>2706</v>
      </c>
      <c r="K626" s="71"/>
      <c r="L626" s="71"/>
      <c r="M626" s="71"/>
      <c r="N626" s="71"/>
      <c r="O626" s="71"/>
      <c r="P626" s="71"/>
      <c r="Q626" s="71"/>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c r="AR626" s="70"/>
      <c r="AS626" s="70"/>
    </row>
    <row r="627" spans="1:45" hidden="1" outlineLevel="1" x14ac:dyDescent="0.3">
      <c r="A627" s="139" t="s">
        <v>2796</v>
      </c>
      <c r="B627" s="139" t="s">
        <v>894</v>
      </c>
      <c r="C627" s="136" t="s">
        <v>785</v>
      </c>
      <c r="D627" s="534">
        <v>0</v>
      </c>
      <c r="E627" s="534">
        <v>0</v>
      </c>
      <c r="F627" s="534">
        <v>0</v>
      </c>
      <c r="G627" s="534">
        <v>0</v>
      </c>
      <c r="H627" s="534">
        <v>0</v>
      </c>
      <c r="I627" s="140" t="s">
        <v>2724</v>
      </c>
      <c r="K627" s="71"/>
      <c r="L627" s="71"/>
      <c r="M627" s="71"/>
      <c r="N627" s="71"/>
      <c r="O627" s="71"/>
      <c r="P627" s="71"/>
      <c r="Q627" s="71"/>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c r="AR627" s="70"/>
      <c r="AS627" s="70"/>
    </row>
    <row r="628" spans="1:45" hidden="1" outlineLevel="1" x14ac:dyDescent="0.3">
      <c r="A628" s="139" t="s">
        <v>2796</v>
      </c>
      <c r="B628" s="139" t="s">
        <v>894</v>
      </c>
      <c r="C628" s="136" t="s">
        <v>787</v>
      </c>
      <c r="D628" s="481" t="s">
        <v>204</v>
      </c>
      <c r="E628" s="481" t="s">
        <v>204</v>
      </c>
      <c r="F628" s="481" t="s">
        <v>204</v>
      </c>
      <c r="G628" s="481" t="s">
        <v>204</v>
      </c>
      <c r="H628" s="481" t="s">
        <v>204</v>
      </c>
      <c r="I628" s="140"/>
      <c r="K628" s="71"/>
      <c r="L628" s="71"/>
      <c r="M628" s="71"/>
      <c r="N628" s="71"/>
      <c r="O628" s="71"/>
      <c r="P628" s="71"/>
      <c r="Q628" s="71"/>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c r="AR628" s="70"/>
      <c r="AS628" s="70"/>
    </row>
    <row r="629" spans="1:45" hidden="1" outlineLevel="1" x14ac:dyDescent="0.3">
      <c r="A629" s="139" t="s">
        <v>2796</v>
      </c>
      <c r="B629" s="139" t="s">
        <v>894</v>
      </c>
      <c r="C629" s="136" t="s">
        <v>788</v>
      </c>
      <c r="D629" s="481" t="s">
        <v>204</v>
      </c>
      <c r="E629" s="481" t="s">
        <v>204</v>
      </c>
      <c r="F629" s="481" t="s">
        <v>204</v>
      </c>
      <c r="G629" s="481" t="s">
        <v>204</v>
      </c>
      <c r="H629" s="481" t="s">
        <v>204</v>
      </c>
      <c r="I629" s="140"/>
      <c r="K629" s="71"/>
      <c r="L629" s="71"/>
      <c r="M629" s="71"/>
      <c r="N629" s="71"/>
      <c r="O629" s="71"/>
      <c r="P629" s="71"/>
      <c r="Q629" s="71"/>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c r="AR629" s="70"/>
      <c r="AS629" s="70"/>
    </row>
    <row r="630" spans="1:45" hidden="1" outlineLevel="1" x14ac:dyDescent="0.3">
      <c r="A630" s="139" t="s">
        <v>2796</v>
      </c>
      <c r="B630" s="139" t="s">
        <v>894</v>
      </c>
      <c r="C630" s="136" t="s">
        <v>789</v>
      </c>
      <c r="D630" s="481" t="s">
        <v>204</v>
      </c>
      <c r="E630" s="481" t="s">
        <v>204</v>
      </c>
      <c r="F630" s="481" t="s">
        <v>204</v>
      </c>
      <c r="G630" s="481" t="s">
        <v>204</v>
      </c>
      <c r="H630" s="481" t="s">
        <v>204</v>
      </c>
      <c r="I630" s="140"/>
      <c r="K630" s="71"/>
      <c r="L630" s="71"/>
      <c r="M630" s="71"/>
      <c r="N630" s="71"/>
      <c r="O630" s="71"/>
      <c r="P630" s="71"/>
      <c r="Q630" s="71"/>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c r="AR630" s="70"/>
      <c r="AS630" s="70"/>
    </row>
    <row r="631" spans="1:45" hidden="1" outlineLevel="1" x14ac:dyDescent="0.3">
      <c r="A631" s="139" t="s">
        <v>2796</v>
      </c>
      <c r="B631" s="139" t="s">
        <v>894</v>
      </c>
      <c r="C631" s="136" t="s">
        <v>790</v>
      </c>
      <c r="D631" s="352">
        <v>0</v>
      </c>
      <c r="E631" s="352">
        <v>0</v>
      </c>
      <c r="F631" s="352">
        <v>0</v>
      </c>
      <c r="G631" s="352">
        <v>0</v>
      </c>
      <c r="H631" s="352">
        <v>0</v>
      </c>
      <c r="I631" s="140" t="s">
        <v>2725</v>
      </c>
      <c r="K631" s="71"/>
      <c r="L631" s="71"/>
      <c r="M631" s="71"/>
      <c r="N631" s="71"/>
      <c r="O631" s="71"/>
      <c r="P631" s="71"/>
      <c r="Q631" s="71"/>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c r="AR631" s="70"/>
      <c r="AS631" s="70"/>
    </row>
    <row r="632" spans="1:45" hidden="1" outlineLevel="1" x14ac:dyDescent="0.3">
      <c r="A632" s="139" t="s">
        <v>2796</v>
      </c>
      <c r="B632" s="139" t="s">
        <v>894</v>
      </c>
      <c r="C632" s="136" t="s">
        <v>793</v>
      </c>
      <c r="D632" s="481" t="s">
        <v>204</v>
      </c>
      <c r="E632" s="481" t="s">
        <v>204</v>
      </c>
      <c r="F632" s="481" t="s">
        <v>204</v>
      </c>
      <c r="G632" s="481" t="s">
        <v>204</v>
      </c>
      <c r="H632" s="481" t="s">
        <v>204</v>
      </c>
      <c r="I632" s="140"/>
      <c r="K632" s="71"/>
      <c r="L632" s="71"/>
      <c r="M632" s="71"/>
      <c r="N632" s="71"/>
      <c r="O632" s="71"/>
      <c r="P632" s="71"/>
      <c r="Q632" s="71"/>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c r="AR632" s="70"/>
      <c r="AS632" s="70"/>
    </row>
    <row r="633" spans="1:45" hidden="1" outlineLevel="1" x14ac:dyDescent="0.3">
      <c r="A633" s="139" t="s">
        <v>2796</v>
      </c>
      <c r="B633" s="139" t="s">
        <v>894</v>
      </c>
      <c r="C633" s="136" t="s">
        <v>795</v>
      </c>
      <c r="D633" s="481" t="s">
        <v>204</v>
      </c>
      <c r="E633" s="481" t="s">
        <v>204</v>
      </c>
      <c r="F633" s="481" t="s">
        <v>204</v>
      </c>
      <c r="G633" s="481" t="s">
        <v>204</v>
      </c>
      <c r="H633" s="481" t="s">
        <v>204</v>
      </c>
      <c r="I633" s="140"/>
      <c r="K633" s="71"/>
      <c r="L633" s="71"/>
      <c r="M633" s="71"/>
      <c r="N633" s="71"/>
      <c r="O633" s="71"/>
      <c r="P633" s="71"/>
      <c r="Q633" s="71"/>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c r="AR633" s="70"/>
      <c r="AS633" s="70"/>
    </row>
    <row r="634" spans="1:45" hidden="1" outlineLevel="1" x14ac:dyDescent="0.3">
      <c r="A634" s="139" t="s">
        <v>2796</v>
      </c>
      <c r="B634" s="139" t="s">
        <v>894</v>
      </c>
      <c r="C634" s="136" t="s">
        <v>797</v>
      </c>
      <c r="D634" s="140">
        <v>0</v>
      </c>
      <c r="E634" s="140">
        <v>0</v>
      </c>
      <c r="F634" s="140">
        <v>0</v>
      </c>
      <c r="G634" s="140">
        <v>0</v>
      </c>
      <c r="H634" s="140">
        <v>0</v>
      </c>
      <c r="I634" s="140" t="s">
        <v>2726</v>
      </c>
      <c r="K634" s="71"/>
      <c r="L634" s="71"/>
      <c r="M634" s="71"/>
      <c r="N634" s="71"/>
      <c r="O634" s="71"/>
      <c r="P634" s="71"/>
      <c r="Q634" s="71"/>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c r="AR634" s="70"/>
      <c r="AS634" s="70"/>
    </row>
    <row r="635" spans="1:45" hidden="1" outlineLevel="1" x14ac:dyDescent="0.3">
      <c r="A635" s="139" t="s">
        <v>2796</v>
      </c>
      <c r="B635" s="139" t="s">
        <v>915</v>
      </c>
      <c r="C635" s="136" t="s">
        <v>799</v>
      </c>
      <c r="D635" s="140">
        <v>0</v>
      </c>
      <c r="E635" s="140">
        <v>0</v>
      </c>
      <c r="F635" s="140">
        <v>0</v>
      </c>
      <c r="G635" s="140">
        <v>0</v>
      </c>
      <c r="H635" s="140">
        <v>0</v>
      </c>
      <c r="I635" s="140" t="s">
        <v>2775</v>
      </c>
      <c r="K635" s="182"/>
      <c r="L635" s="71"/>
      <c r="M635" s="71"/>
      <c r="N635" s="71"/>
      <c r="O635" s="71"/>
      <c r="P635" s="71"/>
      <c r="Q635" s="71"/>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c r="AR635" s="70"/>
      <c r="AS635" s="70"/>
    </row>
    <row r="636" spans="1:45" hidden="1" outlineLevel="1" x14ac:dyDescent="0.3">
      <c r="A636" s="139" t="s">
        <v>2796</v>
      </c>
      <c r="B636" s="139" t="s">
        <v>915</v>
      </c>
      <c r="C636" s="136" t="s">
        <v>801</v>
      </c>
      <c r="D636" s="352">
        <v>0</v>
      </c>
      <c r="E636" s="352">
        <v>0</v>
      </c>
      <c r="F636" s="352">
        <v>0</v>
      </c>
      <c r="G636" s="352">
        <v>0</v>
      </c>
      <c r="H636" s="352">
        <v>0</v>
      </c>
      <c r="I636" s="140" t="s">
        <v>2797</v>
      </c>
      <c r="K636" s="71"/>
      <c r="L636" s="71"/>
      <c r="M636" s="71"/>
      <c r="N636" s="71"/>
      <c r="O636" s="71"/>
      <c r="P636" s="71"/>
      <c r="Q636" s="71"/>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c r="AR636" s="70"/>
      <c r="AS636" s="70"/>
    </row>
    <row r="637" spans="1:45" hidden="1" outlineLevel="1" x14ac:dyDescent="0.3">
      <c r="A637" s="139" t="s">
        <v>2796</v>
      </c>
      <c r="B637" s="139" t="s">
        <v>915</v>
      </c>
      <c r="C637" s="136" t="s">
        <v>804</v>
      </c>
      <c r="D637" s="140">
        <v>0</v>
      </c>
      <c r="E637" s="140">
        <v>0</v>
      </c>
      <c r="F637" s="140">
        <v>0</v>
      </c>
      <c r="G637" s="140">
        <v>0</v>
      </c>
      <c r="H637" s="140">
        <v>0</v>
      </c>
      <c r="I637" s="140"/>
      <c r="K637" s="70"/>
      <c r="L637" s="71"/>
      <c r="M637" s="71"/>
      <c r="N637" s="71"/>
      <c r="O637" s="71"/>
      <c r="P637" s="71"/>
      <c r="Q637" s="71"/>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c r="AR637" s="70"/>
      <c r="AS637" s="70"/>
    </row>
    <row r="638" spans="1:45" hidden="1" outlineLevel="1" x14ac:dyDescent="0.3">
      <c r="A638" s="139" t="s">
        <v>2796</v>
      </c>
      <c r="B638" s="139" t="s">
        <v>915</v>
      </c>
      <c r="C638" s="136" t="s">
        <v>806</v>
      </c>
      <c r="D638" s="140">
        <v>0</v>
      </c>
      <c r="E638" s="140">
        <v>0</v>
      </c>
      <c r="F638" s="140">
        <v>0</v>
      </c>
      <c r="G638" s="140">
        <v>0</v>
      </c>
      <c r="H638" s="140">
        <v>0</v>
      </c>
      <c r="I638" s="140"/>
      <c r="K638" s="71"/>
      <c r="L638" s="71"/>
      <c r="M638" s="71"/>
      <c r="N638" s="71"/>
      <c r="O638" s="71"/>
      <c r="P638" s="71"/>
      <c r="Q638" s="71"/>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c r="AR638" s="70"/>
      <c r="AS638" s="70"/>
    </row>
    <row r="639" spans="1:45" hidden="1" outlineLevel="1" x14ac:dyDescent="0.3">
      <c r="A639" s="139" t="s">
        <v>2796</v>
      </c>
      <c r="B639" s="139" t="s">
        <v>915</v>
      </c>
      <c r="C639" s="136" t="s">
        <v>808</v>
      </c>
      <c r="D639" s="140">
        <v>0</v>
      </c>
      <c r="E639" s="140">
        <v>0</v>
      </c>
      <c r="F639" s="140">
        <v>0</v>
      </c>
      <c r="G639" s="140">
        <v>0</v>
      </c>
      <c r="H639" s="140">
        <v>0</v>
      </c>
      <c r="I639" s="140"/>
      <c r="K639" s="71"/>
      <c r="L639" s="71"/>
      <c r="M639" s="71"/>
      <c r="N639" s="71"/>
      <c r="O639" s="71"/>
      <c r="P639" s="71"/>
      <c r="Q639" s="71"/>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c r="AR639" s="70"/>
      <c r="AS639" s="70"/>
    </row>
    <row r="640" spans="1:45" hidden="1" outlineLevel="1" x14ac:dyDescent="0.3">
      <c r="A640" s="139" t="s">
        <v>2796</v>
      </c>
      <c r="B640" s="139" t="s">
        <v>915</v>
      </c>
      <c r="C640" s="136" t="s">
        <v>811</v>
      </c>
      <c r="D640" s="423">
        <v>0</v>
      </c>
      <c r="E640" s="423">
        <v>0</v>
      </c>
      <c r="F640" s="423">
        <v>0</v>
      </c>
      <c r="G640" s="423">
        <v>0</v>
      </c>
      <c r="H640" s="423">
        <v>0</v>
      </c>
      <c r="I640" s="140" t="s">
        <v>2713</v>
      </c>
      <c r="K640" s="71"/>
      <c r="L640" s="71"/>
      <c r="M640" s="71"/>
      <c r="N640" s="71"/>
      <c r="O640" s="71"/>
      <c r="P640" s="71"/>
      <c r="Q640" s="71"/>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c r="AR640" s="70"/>
      <c r="AS640" s="70"/>
    </row>
    <row r="641" spans="1:45" hidden="1" outlineLevel="1" x14ac:dyDescent="0.3">
      <c r="A641" s="139" t="s">
        <v>2796</v>
      </c>
      <c r="B641" s="139" t="s">
        <v>934</v>
      </c>
      <c r="C641" s="136" t="s">
        <v>814</v>
      </c>
      <c r="D641" s="423" t="s">
        <v>204</v>
      </c>
      <c r="E641" s="423" t="s">
        <v>204</v>
      </c>
      <c r="F641" s="423" t="s">
        <v>204</v>
      </c>
      <c r="G641" s="423" t="s">
        <v>204</v>
      </c>
      <c r="H641" s="423" t="s">
        <v>204</v>
      </c>
      <c r="I641" s="140"/>
      <c r="K641" s="71"/>
      <c r="L641" s="71"/>
      <c r="M641" s="71"/>
      <c r="N641" s="71"/>
      <c r="O641" s="71"/>
      <c r="P641" s="71"/>
      <c r="Q641" s="71"/>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c r="AR641" s="70"/>
      <c r="AS641" s="70"/>
    </row>
    <row r="642" spans="1:45" hidden="1" outlineLevel="1" x14ac:dyDescent="0.3">
      <c r="A642" s="139" t="s">
        <v>2796</v>
      </c>
      <c r="B642" s="139" t="s">
        <v>934</v>
      </c>
      <c r="C642" s="136" t="s">
        <v>815</v>
      </c>
      <c r="D642" s="481" t="s">
        <v>204</v>
      </c>
      <c r="E642" s="481" t="s">
        <v>204</v>
      </c>
      <c r="F642" s="481" t="s">
        <v>204</v>
      </c>
      <c r="G642" s="481" t="s">
        <v>204</v>
      </c>
      <c r="H642" s="481" t="s">
        <v>204</v>
      </c>
      <c r="I642" s="140"/>
      <c r="K642" s="71"/>
      <c r="L642" s="71"/>
      <c r="M642" s="71"/>
      <c r="N642" s="71"/>
      <c r="O642" s="71"/>
      <c r="P642" s="71"/>
      <c r="Q642" s="71"/>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c r="AR642" s="70"/>
      <c r="AS642" s="70"/>
    </row>
    <row r="643" spans="1:45" hidden="1" outlineLevel="1" x14ac:dyDescent="0.3">
      <c r="A643" s="139" t="s">
        <v>2796</v>
      </c>
      <c r="B643" s="139" t="s">
        <v>940</v>
      </c>
      <c r="C643" s="136" t="s">
        <v>817</v>
      </c>
      <c r="D643" s="140">
        <v>0</v>
      </c>
      <c r="E643" s="140">
        <v>0</v>
      </c>
      <c r="F643" s="140">
        <v>0</v>
      </c>
      <c r="G643" s="140">
        <v>0</v>
      </c>
      <c r="H643" s="140">
        <v>0</v>
      </c>
      <c r="I643" s="140" t="s">
        <v>2731</v>
      </c>
      <c r="K643" s="71"/>
      <c r="L643" s="71"/>
      <c r="M643" s="71"/>
      <c r="N643" s="71"/>
      <c r="O643" s="71"/>
      <c r="P643" s="71"/>
      <c r="Q643" s="71"/>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c r="AR643" s="70"/>
      <c r="AS643" s="70"/>
    </row>
    <row r="644" spans="1:45" hidden="1" outlineLevel="1" x14ac:dyDescent="0.3">
      <c r="A644" s="139" t="s">
        <v>2796</v>
      </c>
      <c r="B644" s="139" t="s">
        <v>940</v>
      </c>
      <c r="C644" s="136" t="s">
        <v>944</v>
      </c>
      <c r="D644" s="140">
        <v>0</v>
      </c>
      <c r="E644" s="140">
        <v>0</v>
      </c>
      <c r="F644" s="140">
        <v>0</v>
      </c>
      <c r="G644" s="140">
        <v>0</v>
      </c>
      <c r="H644" s="140">
        <v>0</v>
      </c>
      <c r="I644" s="140"/>
      <c r="K644" s="71"/>
      <c r="L644" s="71"/>
      <c r="M644" s="71"/>
      <c r="N644" s="71"/>
      <c r="O644" s="71"/>
      <c r="P644" s="71"/>
      <c r="Q644" s="71"/>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row>
    <row r="645" spans="1:45" hidden="1" outlineLevel="1" x14ac:dyDescent="0.3">
      <c r="A645" s="139" t="s">
        <v>2796</v>
      </c>
      <c r="B645" s="139" t="s">
        <v>940</v>
      </c>
      <c r="C645" s="136" t="s">
        <v>821</v>
      </c>
      <c r="D645" s="481" t="s">
        <v>204</v>
      </c>
      <c r="E645" s="481" t="s">
        <v>204</v>
      </c>
      <c r="F645" s="481" t="s">
        <v>204</v>
      </c>
      <c r="G645" s="481" t="s">
        <v>204</v>
      </c>
      <c r="H645" s="481" t="s">
        <v>204</v>
      </c>
      <c r="I645" s="140"/>
      <c r="K645" s="71"/>
      <c r="L645" s="71"/>
      <c r="M645" s="71"/>
      <c r="N645" s="71"/>
      <c r="O645" s="71"/>
      <c r="P645" s="71"/>
      <c r="Q645" s="71"/>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row>
    <row r="646" spans="1:45" hidden="1" outlineLevel="1" x14ac:dyDescent="0.3">
      <c r="A646" s="139" t="s">
        <v>2796</v>
      </c>
      <c r="B646" s="139" t="s">
        <v>940</v>
      </c>
      <c r="C646" s="136" t="s">
        <v>823</v>
      </c>
      <c r="D646" s="481" t="s">
        <v>204</v>
      </c>
      <c r="E646" s="481" t="s">
        <v>204</v>
      </c>
      <c r="F646" s="481" t="s">
        <v>204</v>
      </c>
      <c r="G646" s="481" t="s">
        <v>204</v>
      </c>
      <c r="H646" s="481" t="s">
        <v>204</v>
      </c>
      <c r="I646" s="140"/>
      <c r="K646" s="71"/>
      <c r="L646" s="71"/>
      <c r="M646" s="71"/>
      <c r="N646" s="71"/>
      <c r="O646" s="71"/>
      <c r="P646" s="71"/>
      <c r="Q646" s="71"/>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row>
    <row r="647" spans="1:45" hidden="1" outlineLevel="1" x14ac:dyDescent="0.3">
      <c r="A647" s="139" t="s">
        <v>2796</v>
      </c>
      <c r="B647" s="139" t="s">
        <v>940</v>
      </c>
      <c r="C647" s="136" t="s">
        <v>825</v>
      </c>
      <c r="D647" s="481" t="s">
        <v>204</v>
      </c>
      <c r="E647" s="481" t="s">
        <v>204</v>
      </c>
      <c r="F647" s="481" t="s">
        <v>204</v>
      </c>
      <c r="G647" s="481" t="s">
        <v>204</v>
      </c>
      <c r="H647" s="481" t="s">
        <v>204</v>
      </c>
      <c r="I647" s="140"/>
      <c r="K647" s="71"/>
      <c r="L647" s="71"/>
      <c r="M647" s="71"/>
      <c r="N647" s="71"/>
      <c r="O647" s="71"/>
      <c r="P647" s="71"/>
      <c r="Q647" s="71"/>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row>
    <row r="648" spans="1:45" hidden="1" outlineLevel="1" x14ac:dyDescent="0.3">
      <c r="A648" s="139" t="s">
        <v>2796</v>
      </c>
      <c r="B648" s="139" t="s">
        <v>940</v>
      </c>
      <c r="C648" s="136" t="s">
        <v>827</v>
      </c>
      <c r="D648" s="140">
        <v>0</v>
      </c>
      <c r="E648" s="140">
        <v>0</v>
      </c>
      <c r="F648" s="140">
        <v>0</v>
      </c>
      <c r="G648" s="140">
        <v>0</v>
      </c>
      <c r="H648" s="140">
        <v>0</v>
      </c>
      <c r="I648" s="140" t="s">
        <v>1068</v>
      </c>
      <c r="K648" s="71"/>
      <c r="L648" s="71"/>
      <c r="M648" s="71"/>
      <c r="N648" s="71"/>
      <c r="O648" s="71"/>
      <c r="P648" s="71"/>
      <c r="Q648" s="71"/>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row>
    <row r="649" spans="1:45" hidden="1" outlineLevel="1" x14ac:dyDescent="0.3">
      <c r="A649" s="139" t="s">
        <v>2796</v>
      </c>
      <c r="B649" s="139" t="s">
        <v>940</v>
      </c>
      <c r="C649" s="136" t="s">
        <v>829</v>
      </c>
      <c r="D649" s="423">
        <v>0</v>
      </c>
      <c r="E649" s="423">
        <v>0</v>
      </c>
      <c r="F649" s="423">
        <v>0</v>
      </c>
      <c r="G649" s="423">
        <v>0</v>
      </c>
      <c r="H649" s="423">
        <v>0</v>
      </c>
      <c r="I649" s="140" t="s">
        <v>2715</v>
      </c>
      <c r="K649" s="71"/>
      <c r="L649" s="71"/>
      <c r="M649" s="71"/>
      <c r="N649" s="71"/>
      <c r="O649" s="71"/>
      <c r="P649" s="71"/>
      <c r="Q649" s="71"/>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row>
    <row r="650" spans="1:45" hidden="1" outlineLevel="1" x14ac:dyDescent="0.3">
      <c r="A650" s="139" t="s">
        <v>2796</v>
      </c>
      <c r="B650" s="139" t="s">
        <v>940</v>
      </c>
      <c r="C650" s="136" t="s">
        <v>833</v>
      </c>
      <c r="D650" s="352">
        <v>0</v>
      </c>
      <c r="E650" s="352">
        <v>0</v>
      </c>
      <c r="F650" s="352">
        <v>0</v>
      </c>
      <c r="G650" s="352">
        <v>0</v>
      </c>
      <c r="H650" s="352">
        <v>0</v>
      </c>
      <c r="I650" s="140" t="s">
        <v>2732</v>
      </c>
      <c r="K650" s="71"/>
      <c r="L650" s="71"/>
      <c r="M650" s="71"/>
      <c r="N650" s="71"/>
      <c r="O650" s="71"/>
      <c r="P650" s="71"/>
      <c r="Q650" s="71"/>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row>
    <row r="651" spans="1:45" hidden="1" outlineLevel="1" x14ac:dyDescent="0.3">
      <c r="A651" s="139" t="s">
        <v>2796</v>
      </c>
      <c r="B651" s="139" t="s">
        <v>940</v>
      </c>
      <c r="C651" s="136" t="s">
        <v>836</v>
      </c>
      <c r="D651" s="423">
        <v>0</v>
      </c>
      <c r="E651" s="423">
        <v>0</v>
      </c>
      <c r="F651" s="423">
        <v>0</v>
      </c>
      <c r="G651" s="423">
        <v>0</v>
      </c>
      <c r="H651" s="423">
        <v>0</v>
      </c>
      <c r="I651" s="140"/>
      <c r="K651" s="71"/>
      <c r="L651" s="71"/>
      <c r="M651" s="71"/>
      <c r="N651" s="71"/>
      <c r="O651" s="71"/>
      <c r="P651" s="71"/>
      <c r="Q651" s="71"/>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row>
    <row r="652" spans="1:45" hidden="1" outlineLevel="1" x14ac:dyDescent="0.3">
      <c r="A652" s="139" t="s">
        <v>2796</v>
      </c>
      <c r="B652" s="139" t="s">
        <v>940</v>
      </c>
      <c r="C652" s="136" t="s">
        <v>837</v>
      </c>
      <c r="D652" s="481" t="s">
        <v>204</v>
      </c>
      <c r="E652" s="481" t="s">
        <v>204</v>
      </c>
      <c r="F652" s="481" t="s">
        <v>204</v>
      </c>
      <c r="G652" s="481" t="s">
        <v>204</v>
      </c>
      <c r="H652" s="481" t="s">
        <v>204</v>
      </c>
      <c r="I652" s="140"/>
      <c r="K652" s="71"/>
      <c r="L652" s="71"/>
      <c r="M652" s="71"/>
      <c r="N652" s="71"/>
      <c r="O652" s="71"/>
      <c r="P652" s="71"/>
      <c r="Q652" s="71"/>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row>
    <row r="653" spans="1:45" hidden="1" outlineLevel="1" x14ac:dyDescent="0.3">
      <c r="A653" s="139" t="s">
        <v>2796</v>
      </c>
      <c r="B653" s="139" t="s">
        <v>940</v>
      </c>
      <c r="C653" s="136" t="s">
        <v>839</v>
      </c>
      <c r="D653" s="423">
        <v>0</v>
      </c>
      <c r="E653" s="423">
        <v>0</v>
      </c>
      <c r="F653" s="423">
        <v>0</v>
      </c>
      <c r="G653" s="423">
        <v>0</v>
      </c>
      <c r="H653" s="423">
        <v>0</v>
      </c>
      <c r="I653" s="140" t="s">
        <v>2718</v>
      </c>
      <c r="K653" s="71"/>
      <c r="L653" s="71"/>
      <c r="M653" s="71"/>
      <c r="N653" s="71"/>
      <c r="O653" s="71"/>
      <c r="P653" s="71"/>
      <c r="Q653" s="71"/>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row>
    <row r="654" spans="1:45" hidden="1" outlineLevel="1" x14ac:dyDescent="0.3">
      <c r="A654" s="139" t="s">
        <v>2796</v>
      </c>
      <c r="B654" s="139" t="s">
        <v>940</v>
      </c>
      <c r="C654" s="136" t="s">
        <v>840</v>
      </c>
      <c r="D654" s="481" t="s">
        <v>204</v>
      </c>
      <c r="E654" s="481" t="s">
        <v>204</v>
      </c>
      <c r="F654" s="481" t="s">
        <v>204</v>
      </c>
      <c r="G654" s="481" t="s">
        <v>204</v>
      </c>
      <c r="H654" s="481" t="s">
        <v>204</v>
      </c>
      <c r="I654" s="140"/>
      <c r="K654" s="71"/>
      <c r="L654" s="71"/>
      <c r="M654" s="71"/>
      <c r="N654" s="71"/>
      <c r="O654" s="71"/>
      <c r="P654" s="71"/>
      <c r="Q654" s="71"/>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row>
    <row r="655" spans="1:45" collapsed="1" x14ac:dyDescent="0.3">
      <c r="A655" s="136"/>
      <c r="B655" s="136"/>
      <c r="C655" s="485" t="s">
        <v>2719</v>
      </c>
      <c r="D655" s="136"/>
      <c r="E655" s="136"/>
      <c r="F655" s="136"/>
      <c r="G655" s="136"/>
      <c r="H655" s="136"/>
      <c r="I655" s="140"/>
      <c r="K655" s="70"/>
      <c r="L655" s="70"/>
      <c r="M655" s="71"/>
      <c r="N655" s="71"/>
      <c r="O655" s="71"/>
      <c r="P655" s="71"/>
      <c r="Q655" s="71"/>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c r="AR655" s="70"/>
      <c r="AS655" s="70"/>
    </row>
    <row r="656" spans="1:45" x14ac:dyDescent="0.3">
      <c r="A656" s="136" t="s">
        <v>2798</v>
      </c>
      <c r="B656" s="136"/>
      <c r="C656" s="137" t="s">
        <v>2693</v>
      </c>
      <c r="D656" s="160">
        <v>0</v>
      </c>
      <c r="E656" s="160">
        <v>0</v>
      </c>
      <c r="F656" s="160">
        <v>0</v>
      </c>
      <c r="G656" s="160">
        <v>0</v>
      </c>
      <c r="H656" s="160">
        <v>0</v>
      </c>
      <c r="I656" s="140"/>
      <c r="K656" s="70"/>
      <c r="L656" s="70"/>
      <c r="M656" s="71"/>
      <c r="N656" s="71"/>
      <c r="O656" s="71"/>
      <c r="P656" s="71"/>
      <c r="Q656" s="71"/>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row>
    <row r="657" spans="1:45" collapsed="1" x14ac:dyDescent="0.3">
      <c r="A657" s="136" t="s">
        <v>5</v>
      </c>
      <c r="B657" s="136" t="s">
        <v>847</v>
      </c>
      <c r="C657" s="136" t="s">
        <v>193</v>
      </c>
      <c r="D657" s="138">
        <v>2025</v>
      </c>
      <c r="E657" s="138">
        <v>2030</v>
      </c>
      <c r="F657" s="138">
        <v>2035</v>
      </c>
      <c r="G657" s="138">
        <v>2040</v>
      </c>
      <c r="H657" s="138">
        <v>2045</v>
      </c>
      <c r="I657" s="138" t="s">
        <v>153</v>
      </c>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row>
    <row r="658" spans="1:45" hidden="1" outlineLevel="1" x14ac:dyDescent="0.3">
      <c r="A658" s="139" t="s">
        <v>2798</v>
      </c>
      <c r="B658" s="139" t="s">
        <v>855</v>
      </c>
      <c r="C658" s="136" t="s">
        <v>747</v>
      </c>
      <c r="D658" s="481" t="s">
        <v>204</v>
      </c>
      <c r="E658" s="481" t="s">
        <v>204</v>
      </c>
      <c r="F658" s="481" t="s">
        <v>204</v>
      </c>
      <c r="G658" s="481" t="s">
        <v>204</v>
      </c>
      <c r="H658" s="481" t="s">
        <v>204</v>
      </c>
      <c r="I658" s="140"/>
      <c r="K658" s="70"/>
      <c r="L658" s="71"/>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row>
    <row r="659" spans="1:45" hidden="1" outlineLevel="1" x14ac:dyDescent="0.3">
      <c r="A659" s="139" t="s">
        <v>2798</v>
      </c>
      <c r="B659" s="139" t="s">
        <v>855</v>
      </c>
      <c r="C659" s="136" t="s">
        <v>751</v>
      </c>
      <c r="D659" s="140">
        <v>0</v>
      </c>
      <c r="E659" s="140">
        <v>0</v>
      </c>
      <c r="F659" s="140">
        <v>0</v>
      </c>
      <c r="G659" s="140">
        <v>0</v>
      </c>
      <c r="H659" s="140">
        <v>0</v>
      </c>
      <c r="I659" s="140" t="s">
        <v>2696</v>
      </c>
      <c r="K659" s="70"/>
      <c r="L659" s="71"/>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row>
    <row r="660" spans="1:45" hidden="1" outlineLevel="1" x14ac:dyDescent="0.3">
      <c r="A660" s="139" t="s">
        <v>2798</v>
      </c>
      <c r="B660" s="139" t="s">
        <v>855</v>
      </c>
      <c r="C660" s="136" t="s">
        <v>755</v>
      </c>
      <c r="D660" s="140">
        <v>0</v>
      </c>
      <c r="E660" s="140">
        <v>0</v>
      </c>
      <c r="F660" s="140">
        <v>0</v>
      </c>
      <c r="G660" s="140">
        <v>0</v>
      </c>
      <c r="H660" s="140">
        <v>0</v>
      </c>
      <c r="I660" s="140"/>
      <c r="K660" s="71"/>
      <c r="L660" s="71"/>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c r="AR660" s="70"/>
      <c r="AS660" s="70"/>
    </row>
    <row r="661" spans="1:45" hidden="1" outlineLevel="1" x14ac:dyDescent="0.3">
      <c r="A661" s="139" t="s">
        <v>2798</v>
      </c>
      <c r="B661" s="139" t="s">
        <v>855</v>
      </c>
      <c r="C661" s="136" t="s">
        <v>758</v>
      </c>
      <c r="D661" s="140">
        <v>0</v>
      </c>
      <c r="E661" s="140">
        <v>0</v>
      </c>
      <c r="F661" s="140">
        <v>0</v>
      </c>
      <c r="G661" s="140">
        <v>0</v>
      </c>
      <c r="H661" s="140">
        <v>0</v>
      </c>
      <c r="I661" s="140" t="s">
        <v>2699</v>
      </c>
      <c r="K661" s="71"/>
      <c r="L661" s="71"/>
      <c r="M661" s="71"/>
      <c r="N661" s="71"/>
      <c r="O661" s="71"/>
      <c r="P661" s="71"/>
      <c r="Q661" s="71"/>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c r="AR661" s="70"/>
      <c r="AS661" s="70"/>
    </row>
    <row r="662" spans="1:45" hidden="1" outlineLevel="1" x14ac:dyDescent="0.3">
      <c r="A662" s="139" t="s">
        <v>2798</v>
      </c>
      <c r="B662" s="139" t="s">
        <v>855</v>
      </c>
      <c r="C662" s="136" t="s">
        <v>761</v>
      </c>
      <c r="D662" s="423">
        <v>0</v>
      </c>
      <c r="E662" s="423">
        <v>0</v>
      </c>
      <c r="F662" s="423">
        <v>0</v>
      </c>
      <c r="G662" s="423">
        <v>0</v>
      </c>
      <c r="H662" s="423">
        <v>0</v>
      </c>
      <c r="I662" s="140"/>
      <c r="K662" s="71"/>
      <c r="L662" s="71"/>
      <c r="M662" s="71"/>
      <c r="N662" s="71"/>
      <c r="O662" s="71"/>
      <c r="P662" s="71"/>
      <c r="Q662" s="71"/>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c r="AR662" s="70"/>
      <c r="AS662" s="70"/>
    </row>
    <row r="663" spans="1:45" hidden="1" outlineLevel="1" x14ac:dyDescent="0.3">
      <c r="A663" s="139" t="s">
        <v>2798</v>
      </c>
      <c r="B663" s="139" t="s">
        <v>855</v>
      </c>
      <c r="C663" s="136" t="s">
        <v>763</v>
      </c>
      <c r="D663" s="423">
        <v>0</v>
      </c>
      <c r="E663" s="423">
        <v>0</v>
      </c>
      <c r="F663" s="423">
        <v>0</v>
      </c>
      <c r="G663" s="423">
        <v>0</v>
      </c>
      <c r="H663" s="423">
        <v>0</v>
      </c>
      <c r="I663" s="140" t="s">
        <v>2770</v>
      </c>
      <c r="K663" s="71"/>
      <c r="L663" s="71"/>
      <c r="M663" s="71"/>
      <c r="N663" s="71"/>
      <c r="O663" s="71"/>
      <c r="P663" s="71"/>
      <c r="Q663" s="71"/>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c r="AR663" s="70"/>
      <c r="AS663" s="70"/>
    </row>
    <row r="664" spans="1:45" hidden="1" outlineLevel="1" x14ac:dyDescent="0.3">
      <c r="A664" s="139" t="s">
        <v>2798</v>
      </c>
      <c r="B664" s="139" t="s">
        <v>855</v>
      </c>
      <c r="C664" s="136" t="s">
        <v>765</v>
      </c>
      <c r="D664" s="423">
        <v>0</v>
      </c>
      <c r="E664" s="423">
        <v>0</v>
      </c>
      <c r="F664" s="423">
        <v>0</v>
      </c>
      <c r="G664" s="423">
        <v>0</v>
      </c>
      <c r="H664" s="423">
        <v>0</v>
      </c>
      <c r="I664" s="140" t="s">
        <v>2735</v>
      </c>
      <c r="K664" s="70"/>
      <c r="L664" s="71"/>
      <c r="M664" s="71"/>
      <c r="N664" s="71"/>
      <c r="O664" s="71"/>
      <c r="P664" s="71"/>
      <c r="Q664" s="71"/>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c r="AR664" s="70"/>
      <c r="AS664" s="70"/>
    </row>
    <row r="665" spans="1:45" hidden="1" outlineLevel="1" x14ac:dyDescent="0.3">
      <c r="A665" s="139" t="s">
        <v>2798</v>
      </c>
      <c r="B665" s="139" t="s">
        <v>855</v>
      </c>
      <c r="C665" s="136" t="s">
        <v>768</v>
      </c>
      <c r="D665" s="481" t="s">
        <v>204</v>
      </c>
      <c r="E665" s="481" t="s">
        <v>204</v>
      </c>
      <c r="F665" s="481" t="s">
        <v>204</v>
      </c>
      <c r="G665" s="481" t="s">
        <v>204</v>
      </c>
      <c r="H665" s="481" t="s">
        <v>204</v>
      </c>
      <c r="I665" s="140"/>
      <c r="K665" s="181"/>
      <c r="L665" s="71"/>
      <c r="M665" s="71"/>
      <c r="N665" s="71"/>
      <c r="O665" s="71"/>
      <c r="P665" s="71"/>
      <c r="Q665" s="71"/>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row>
    <row r="666" spans="1:45" hidden="1" outlineLevel="1" x14ac:dyDescent="0.3">
      <c r="A666" s="139" t="s">
        <v>2798</v>
      </c>
      <c r="B666" s="139" t="s">
        <v>855</v>
      </c>
      <c r="C666" s="136" t="s">
        <v>771</v>
      </c>
      <c r="D666" s="140">
        <v>0</v>
      </c>
      <c r="E666" s="140">
        <v>0</v>
      </c>
      <c r="F666" s="140">
        <v>0</v>
      </c>
      <c r="G666" s="140">
        <v>0</v>
      </c>
      <c r="H666" s="140">
        <v>0</v>
      </c>
      <c r="I666" s="140"/>
      <c r="K666" s="181"/>
      <c r="L666" s="71"/>
      <c r="M666" s="71"/>
      <c r="N666" s="71"/>
      <c r="O666" s="71"/>
      <c r="P666" s="71"/>
      <c r="Q666" s="71"/>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c r="AR666" s="70"/>
      <c r="AS666" s="70"/>
    </row>
    <row r="667" spans="1:45" hidden="1" outlineLevel="1" x14ac:dyDescent="0.3">
      <c r="A667" s="139" t="s">
        <v>2798</v>
      </c>
      <c r="B667" s="139" t="s">
        <v>855</v>
      </c>
      <c r="C667" s="136" t="s">
        <v>772</v>
      </c>
      <c r="D667" s="140">
        <v>0</v>
      </c>
      <c r="E667" s="140">
        <v>0</v>
      </c>
      <c r="F667" s="140">
        <v>0</v>
      </c>
      <c r="G667" s="140">
        <v>0</v>
      </c>
      <c r="H667" s="140">
        <v>0</v>
      </c>
      <c r="I667" s="140"/>
      <c r="K667" s="181"/>
      <c r="L667" s="71"/>
      <c r="M667" s="71"/>
      <c r="N667" s="71"/>
      <c r="O667" s="71"/>
      <c r="P667" s="71"/>
      <c r="Q667" s="71"/>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c r="AR667" s="70"/>
      <c r="AS667" s="70"/>
    </row>
    <row r="668" spans="1:45" hidden="1" outlineLevel="1" x14ac:dyDescent="0.3">
      <c r="A668" s="139" t="s">
        <v>2798</v>
      </c>
      <c r="B668" s="139" t="s">
        <v>855</v>
      </c>
      <c r="C668" s="136" t="s">
        <v>774</v>
      </c>
      <c r="D668" s="423">
        <v>0</v>
      </c>
      <c r="E668" s="423">
        <v>0</v>
      </c>
      <c r="F668" s="423">
        <v>0</v>
      </c>
      <c r="G668" s="423">
        <v>0</v>
      </c>
      <c r="H668" s="423">
        <v>0</v>
      </c>
      <c r="I668" s="140" t="s">
        <v>2771</v>
      </c>
      <c r="K668" s="181"/>
      <c r="L668" s="71"/>
      <c r="M668" s="71"/>
      <c r="N668" s="71"/>
      <c r="O668" s="71"/>
      <c r="P668" s="71"/>
      <c r="Q668" s="71"/>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c r="AR668" s="70"/>
      <c r="AS668" s="70"/>
    </row>
    <row r="669" spans="1:45" hidden="1" outlineLevel="1" x14ac:dyDescent="0.3">
      <c r="A669" s="139" t="s">
        <v>2798</v>
      </c>
      <c r="B669" s="139" t="s">
        <v>855</v>
      </c>
      <c r="C669" s="136" t="s">
        <v>775</v>
      </c>
      <c r="D669" s="481" t="s">
        <v>204</v>
      </c>
      <c r="E669" s="481" t="s">
        <v>204</v>
      </c>
      <c r="F669" s="481" t="s">
        <v>204</v>
      </c>
      <c r="G669" s="481" t="s">
        <v>204</v>
      </c>
      <c r="H669" s="481" t="s">
        <v>204</v>
      </c>
      <c r="I669" s="140"/>
      <c r="K669" s="181"/>
      <c r="L669" s="71"/>
      <c r="M669" s="71"/>
      <c r="N669" s="71"/>
      <c r="O669" s="71"/>
      <c r="P669" s="71"/>
      <c r="Q669" s="71"/>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c r="AR669" s="70"/>
      <c r="AS669" s="70"/>
    </row>
    <row r="670" spans="1:45" hidden="1" outlineLevel="1" x14ac:dyDescent="0.3">
      <c r="A670" s="139" t="s">
        <v>2798</v>
      </c>
      <c r="B670" s="139" t="s">
        <v>855</v>
      </c>
      <c r="C670" s="136" t="s">
        <v>779</v>
      </c>
      <c r="D670" s="481" t="s">
        <v>204</v>
      </c>
      <c r="E670" s="481" t="s">
        <v>204</v>
      </c>
      <c r="F670" s="481" t="s">
        <v>204</v>
      </c>
      <c r="G670" s="481" t="s">
        <v>204</v>
      </c>
      <c r="H670" s="481" t="s">
        <v>204</v>
      </c>
      <c r="I670" s="140"/>
      <c r="K670" s="71"/>
      <c r="L670" s="71"/>
      <c r="M670" s="71"/>
      <c r="N670" s="71"/>
      <c r="O670" s="71"/>
      <c r="P670" s="71"/>
      <c r="Q670" s="71"/>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c r="AR670" s="70"/>
      <c r="AS670" s="70"/>
    </row>
    <row r="671" spans="1:45" hidden="1" outlineLevel="1" x14ac:dyDescent="0.3">
      <c r="A671" s="139" t="s">
        <v>2798</v>
      </c>
      <c r="B671" s="139" t="s">
        <v>894</v>
      </c>
      <c r="C671" s="136" t="s">
        <v>781</v>
      </c>
      <c r="D671" s="481" t="s">
        <v>204</v>
      </c>
      <c r="E671" s="481" t="s">
        <v>204</v>
      </c>
      <c r="F671" s="481" t="s">
        <v>204</v>
      </c>
      <c r="G671" s="481" t="s">
        <v>204</v>
      </c>
      <c r="H671" s="481" t="s">
        <v>204</v>
      </c>
      <c r="I671" s="140"/>
      <c r="K671" s="71"/>
      <c r="L671" s="71"/>
      <c r="M671" s="71"/>
      <c r="N671" s="71"/>
      <c r="O671" s="71"/>
      <c r="P671" s="71"/>
      <c r="Q671" s="71"/>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c r="AR671" s="70"/>
      <c r="AS671" s="70"/>
    </row>
    <row r="672" spans="1:45" hidden="1" outlineLevel="1" x14ac:dyDescent="0.3">
      <c r="A672" s="139" t="s">
        <v>2798</v>
      </c>
      <c r="B672" s="139" t="s">
        <v>894</v>
      </c>
      <c r="C672" s="136" t="s">
        <v>783</v>
      </c>
      <c r="D672" s="140">
        <v>0</v>
      </c>
      <c r="E672" s="140">
        <v>0</v>
      </c>
      <c r="F672" s="140">
        <v>0</v>
      </c>
      <c r="G672" s="140">
        <v>0</v>
      </c>
      <c r="H672" s="140">
        <v>0</v>
      </c>
      <c r="I672" s="140" t="s">
        <v>2706</v>
      </c>
      <c r="K672" s="71"/>
      <c r="L672" s="71"/>
      <c r="M672" s="71"/>
      <c r="N672" s="71"/>
      <c r="O672" s="71"/>
      <c r="P672" s="71"/>
      <c r="Q672" s="71"/>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c r="AR672" s="70"/>
      <c r="AS672" s="70"/>
    </row>
    <row r="673" spans="1:45" hidden="1" outlineLevel="1" x14ac:dyDescent="0.3">
      <c r="A673" s="139" t="s">
        <v>2798</v>
      </c>
      <c r="B673" s="139" t="s">
        <v>894</v>
      </c>
      <c r="C673" s="136" t="s">
        <v>785</v>
      </c>
      <c r="D673" s="534">
        <v>0</v>
      </c>
      <c r="E673" s="534">
        <v>0</v>
      </c>
      <c r="F673" s="534">
        <v>0</v>
      </c>
      <c r="G673" s="534">
        <v>0</v>
      </c>
      <c r="H673" s="534">
        <v>0</v>
      </c>
      <c r="I673" s="140" t="s">
        <v>2737</v>
      </c>
      <c r="K673" s="71"/>
      <c r="L673" s="71"/>
      <c r="M673" s="71"/>
      <c r="N673" s="71"/>
      <c r="O673" s="71"/>
      <c r="P673" s="71"/>
      <c r="Q673" s="71"/>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c r="AR673" s="70"/>
      <c r="AS673" s="70"/>
    </row>
    <row r="674" spans="1:45" hidden="1" outlineLevel="1" x14ac:dyDescent="0.3">
      <c r="A674" s="139" t="s">
        <v>2798</v>
      </c>
      <c r="B674" s="139" t="s">
        <v>894</v>
      </c>
      <c r="C674" s="136" t="s">
        <v>787</v>
      </c>
      <c r="D674" s="481" t="s">
        <v>204</v>
      </c>
      <c r="E674" s="481" t="s">
        <v>204</v>
      </c>
      <c r="F674" s="481" t="s">
        <v>204</v>
      </c>
      <c r="G674" s="481" t="s">
        <v>204</v>
      </c>
      <c r="H674" s="481" t="s">
        <v>204</v>
      </c>
      <c r="I674" s="140"/>
      <c r="K674" s="71"/>
      <c r="L674" s="71"/>
      <c r="M674" s="71"/>
      <c r="N674" s="71"/>
      <c r="O674" s="71"/>
      <c r="P674" s="71"/>
      <c r="Q674" s="71"/>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c r="AR674" s="70"/>
      <c r="AS674" s="70"/>
    </row>
    <row r="675" spans="1:45" hidden="1" outlineLevel="1" x14ac:dyDescent="0.3">
      <c r="A675" s="139" t="s">
        <v>2798</v>
      </c>
      <c r="B675" s="139" t="s">
        <v>894</v>
      </c>
      <c r="C675" s="136" t="s">
        <v>788</v>
      </c>
      <c r="D675" s="481" t="s">
        <v>204</v>
      </c>
      <c r="E675" s="481" t="s">
        <v>204</v>
      </c>
      <c r="F675" s="481" t="s">
        <v>204</v>
      </c>
      <c r="G675" s="481" t="s">
        <v>204</v>
      </c>
      <c r="H675" s="481" t="s">
        <v>204</v>
      </c>
      <c r="I675" s="140"/>
      <c r="K675" s="71"/>
      <c r="L675" s="71"/>
      <c r="M675" s="71"/>
      <c r="N675" s="71"/>
      <c r="O675" s="71"/>
      <c r="P675" s="71"/>
      <c r="Q675" s="71"/>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c r="AR675" s="70"/>
      <c r="AS675" s="70"/>
    </row>
    <row r="676" spans="1:45" hidden="1" outlineLevel="1" x14ac:dyDescent="0.3">
      <c r="A676" s="139" t="s">
        <v>2798</v>
      </c>
      <c r="B676" s="139" t="s">
        <v>894</v>
      </c>
      <c r="C676" s="136" t="s">
        <v>789</v>
      </c>
      <c r="D676" s="481" t="s">
        <v>204</v>
      </c>
      <c r="E676" s="481" t="s">
        <v>204</v>
      </c>
      <c r="F676" s="481" t="s">
        <v>204</v>
      </c>
      <c r="G676" s="481" t="s">
        <v>204</v>
      </c>
      <c r="H676" s="481" t="s">
        <v>204</v>
      </c>
      <c r="I676" s="140"/>
      <c r="K676" s="71"/>
      <c r="L676" s="71"/>
      <c r="M676" s="71"/>
      <c r="N676" s="71"/>
      <c r="O676" s="71"/>
      <c r="P676" s="71"/>
      <c r="Q676" s="71"/>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c r="AR676" s="70"/>
      <c r="AS676" s="70"/>
    </row>
    <row r="677" spans="1:45" hidden="1" outlineLevel="1" x14ac:dyDescent="0.3">
      <c r="A677" s="139" t="s">
        <v>2798</v>
      </c>
      <c r="B677" s="139" t="s">
        <v>894</v>
      </c>
      <c r="C677" s="136" t="s">
        <v>790</v>
      </c>
      <c r="D677" s="352">
        <v>0</v>
      </c>
      <c r="E677" s="352">
        <v>0</v>
      </c>
      <c r="F677" s="352">
        <v>0</v>
      </c>
      <c r="G677" s="352">
        <v>0</v>
      </c>
      <c r="H677" s="352">
        <v>0</v>
      </c>
      <c r="I677" s="140" t="s">
        <v>2738</v>
      </c>
      <c r="K677" s="71"/>
      <c r="L677" s="71"/>
      <c r="M677" s="71"/>
      <c r="N677" s="71"/>
      <c r="O677" s="71"/>
      <c r="P677" s="71"/>
      <c r="Q677" s="71"/>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c r="AR677" s="70"/>
      <c r="AS677" s="70"/>
    </row>
    <row r="678" spans="1:45" hidden="1" outlineLevel="1" x14ac:dyDescent="0.3">
      <c r="A678" s="139" t="s">
        <v>2798</v>
      </c>
      <c r="B678" s="139" t="s">
        <v>894</v>
      </c>
      <c r="C678" s="136" t="s">
        <v>793</v>
      </c>
      <c r="D678" s="481" t="s">
        <v>204</v>
      </c>
      <c r="E678" s="481" t="s">
        <v>204</v>
      </c>
      <c r="F678" s="481" t="s">
        <v>204</v>
      </c>
      <c r="G678" s="481" t="s">
        <v>204</v>
      </c>
      <c r="H678" s="481" t="s">
        <v>204</v>
      </c>
      <c r="I678" s="140"/>
      <c r="K678" s="71"/>
      <c r="L678" s="71"/>
      <c r="M678" s="71"/>
      <c r="N678" s="71"/>
      <c r="O678" s="71"/>
      <c r="P678" s="71"/>
      <c r="Q678" s="71"/>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c r="AR678" s="70"/>
      <c r="AS678" s="70"/>
    </row>
    <row r="679" spans="1:45" hidden="1" outlineLevel="1" x14ac:dyDescent="0.3">
      <c r="A679" s="139" t="s">
        <v>2798</v>
      </c>
      <c r="B679" s="139" t="s">
        <v>894</v>
      </c>
      <c r="C679" s="136" t="s">
        <v>795</v>
      </c>
      <c r="D679" s="481" t="s">
        <v>204</v>
      </c>
      <c r="E679" s="481" t="s">
        <v>204</v>
      </c>
      <c r="F679" s="481" t="s">
        <v>204</v>
      </c>
      <c r="G679" s="481" t="s">
        <v>204</v>
      </c>
      <c r="H679" s="481" t="s">
        <v>204</v>
      </c>
      <c r="I679" s="140"/>
      <c r="K679" s="71"/>
      <c r="L679" s="71"/>
      <c r="M679" s="71"/>
      <c r="N679" s="71"/>
      <c r="O679" s="71"/>
      <c r="P679" s="71"/>
      <c r="Q679" s="71"/>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c r="AR679" s="70"/>
      <c r="AS679" s="70"/>
    </row>
    <row r="680" spans="1:45" hidden="1" outlineLevel="1" x14ac:dyDescent="0.3">
      <c r="A680" s="139" t="s">
        <v>2798</v>
      </c>
      <c r="B680" s="139" t="s">
        <v>894</v>
      </c>
      <c r="C680" s="136" t="s">
        <v>797</v>
      </c>
      <c r="D680" s="140">
        <v>0</v>
      </c>
      <c r="E680" s="140">
        <v>0</v>
      </c>
      <c r="F680" s="140">
        <v>0</v>
      </c>
      <c r="G680" s="140">
        <v>0</v>
      </c>
      <c r="H680" s="140">
        <v>0</v>
      </c>
      <c r="I680" s="140" t="s">
        <v>2739</v>
      </c>
      <c r="K680" s="71"/>
      <c r="L680" s="71"/>
      <c r="M680" s="71"/>
      <c r="N680" s="71"/>
      <c r="O680" s="71"/>
      <c r="P680" s="71"/>
      <c r="Q680" s="71"/>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c r="AR680" s="70"/>
      <c r="AS680" s="70"/>
    </row>
    <row r="681" spans="1:45" hidden="1" outlineLevel="1" x14ac:dyDescent="0.3">
      <c r="A681" s="139" t="s">
        <v>2798</v>
      </c>
      <c r="B681" s="139" t="s">
        <v>915</v>
      </c>
      <c r="C681" s="136" t="s">
        <v>799</v>
      </c>
      <c r="D681" s="140">
        <v>0</v>
      </c>
      <c r="E681" s="140">
        <v>0</v>
      </c>
      <c r="F681" s="140">
        <v>0</v>
      </c>
      <c r="G681" s="140">
        <v>0</v>
      </c>
      <c r="H681" s="140">
        <v>0</v>
      </c>
      <c r="I681" s="140" t="s">
        <v>2775</v>
      </c>
      <c r="K681" s="182"/>
      <c r="L681" s="71"/>
      <c r="M681" s="71"/>
      <c r="N681" s="71"/>
      <c r="O681" s="71"/>
      <c r="P681" s="71"/>
      <c r="Q681" s="71"/>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c r="AR681" s="70"/>
      <c r="AS681" s="70"/>
    </row>
    <row r="682" spans="1:45" hidden="1" outlineLevel="1" x14ac:dyDescent="0.3">
      <c r="A682" s="139" t="s">
        <v>2798</v>
      </c>
      <c r="B682" s="139" t="s">
        <v>915</v>
      </c>
      <c r="C682" s="136" t="s">
        <v>801</v>
      </c>
      <c r="D682" s="352">
        <v>0</v>
      </c>
      <c r="E682" s="352">
        <v>0</v>
      </c>
      <c r="F682" s="352">
        <v>0</v>
      </c>
      <c r="G682" s="352">
        <v>0</v>
      </c>
      <c r="H682" s="352">
        <v>0</v>
      </c>
      <c r="I682" s="140" t="s">
        <v>2741</v>
      </c>
      <c r="K682" s="71"/>
      <c r="L682" s="71"/>
      <c r="M682" s="71"/>
      <c r="N682" s="71"/>
      <c r="O682" s="71"/>
      <c r="P682" s="71"/>
      <c r="Q682" s="71"/>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c r="AR682" s="70"/>
      <c r="AS682" s="70"/>
    </row>
    <row r="683" spans="1:45" hidden="1" outlineLevel="1" x14ac:dyDescent="0.3">
      <c r="A683" s="139" t="s">
        <v>2798</v>
      </c>
      <c r="B683" s="139" t="s">
        <v>915</v>
      </c>
      <c r="C683" s="136" t="s">
        <v>804</v>
      </c>
      <c r="D683" s="140">
        <v>0</v>
      </c>
      <c r="E683" s="140">
        <v>0</v>
      </c>
      <c r="F683" s="140">
        <v>0</v>
      </c>
      <c r="G683" s="140">
        <v>0</v>
      </c>
      <c r="H683" s="140">
        <v>0</v>
      </c>
      <c r="I683" s="140"/>
      <c r="K683" s="70"/>
      <c r="L683" s="71"/>
      <c r="M683" s="71"/>
      <c r="N683" s="71"/>
      <c r="O683" s="71"/>
      <c r="P683" s="71"/>
      <c r="Q683" s="71"/>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c r="AR683" s="70"/>
      <c r="AS683" s="70"/>
    </row>
    <row r="684" spans="1:45" hidden="1" outlineLevel="1" x14ac:dyDescent="0.3">
      <c r="A684" s="139" t="s">
        <v>2798</v>
      </c>
      <c r="B684" s="139" t="s">
        <v>915</v>
      </c>
      <c r="C684" s="136" t="s">
        <v>806</v>
      </c>
      <c r="D684" s="140">
        <v>0</v>
      </c>
      <c r="E684" s="140">
        <v>0</v>
      </c>
      <c r="F684" s="140">
        <v>0</v>
      </c>
      <c r="G684" s="140">
        <v>0</v>
      </c>
      <c r="H684" s="140">
        <v>0</v>
      </c>
      <c r="I684" s="140"/>
      <c r="K684" s="71"/>
      <c r="L684" s="71"/>
      <c r="M684" s="71"/>
      <c r="N684" s="71"/>
      <c r="O684" s="71"/>
      <c r="P684" s="71"/>
      <c r="Q684" s="71"/>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c r="AR684" s="70"/>
      <c r="AS684" s="70"/>
    </row>
    <row r="685" spans="1:45" hidden="1" outlineLevel="1" x14ac:dyDescent="0.3">
      <c r="A685" s="139" t="s">
        <v>2798</v>
      </c>
      <c r="B685" s="139" t="s">
        <v>915</v>
      </c>
      <c r="C685" s="136" t="s">
        <v>808</v>
      </c>
      <c r="D685" s="140">
        <v>0</v>
      </c>
      <c r="E685" s="140">
        <v>0</v>
      </c>
      <c r="F685" s="140">
        <v>0</v>
      </c>
      <c r="G685" s="140">
        <v>0</v>
      </c>
      <c r="H685" s="140">
        <v>0</v>
      </c>
      <c r="I685" s="140"/>
      <c r="K685" s="71"/>
      <c r="L685" s="71"/>
      <c r="M685" s="71"/>
      <c r="N685" s="71"/>
      <c r="O685" s="71"/>
      <c r="P685" s="71"/>
      <c r="Q685" s="71"/>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c r="AR685" s="70"/>
      <c r="AS685" s="70"/>
    </row>
    <row r="686" spans="1:45" hidden="1" outlineLevel="1" x14ac:dyDescent="0.3">
      <c r="A686" s="139" t="s">
        <v>2798</v>
      </c>
      <c r="B686" s="139" t="s">
        <v>915</v>
      </c>
      <c r="C686" s="136" t="s">
        <v>811</v>
      </c>
      <c r="D686" s="423">
        <v>0</v>
      </c>
      <c r="E686" s="423">
        <v>0</v>
      </c>
      <c r="F686" s="423">
        <v>0</v>
      </c>
      <c r="G686" s="423">
        <v>0</v>
      </c>
      <c r="H686" s="423">
        <v>0</v>
      </c>
      <c r="I686" s="140" t="s">
        <v>2713</v>
      </c>
      <c r="K686" s="71"/>
      <c r="L686" s="71"/>
      <c r="M686" s="71"/>
      <c r="N686" s="71"/>
      <c r="O686" s="71"/>
      <c r="P686" s="71"/>
      <c r="Q686" s="71"/>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c r="AR686" s="70"/>
      <c r="AS686" s="70"/>
    </row>
    <row r="687" spans="1:45" hidden="1" outlineLevel="1" x14ac:dyDescent="0.3">
      <c r="A687" s="139" t="s">
        <v>2798</v>
      </c>
      <c r="B687" s="139" t="s">
        <v>934</v>
      </c>
      <c r="C687" s="136" t="s">
        <v>814</v>
      </c>
      <c r="D687" s="423" t="s">
        <v>204</v>
      </c>
      <c r="E687" s="423" t="s">
        <v>204</v>
      </c>
      <c r="F687" s="423" t="s">
        <v>204</v>
      </c>
      <c r="G687" s="423" t="s">
        <v>204</v>
      </c>
      <c r="H687" s="423" t="s">
        <v>204</v>
      </c>
      <c r="I687" s="140"/>
      <c r="K687" s="71"/>
      <c r="L687" s="71"/>
      <c r="M687" s="71"/>
      <c r="N687" s="71"/>
      <c r="O687" s="71"/>
      <c r="P687" s="71"/>
      <c r="Q687" s="71"/>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c r="AR687" s="70"/>
      <c r="AS687" s="70"/>
    </row>
    <row r="688" spans="1:45" hidden="1" outlineLevel="1" x14ac:dyDescent="0.3">
      <c r="A688" s="139" t="s">
        <v>2798</v>
      </c>
      <c r="B688" s="139" t="s">
        <v>934</v>
      </c>
      <c r="C688" s="136" t="s">
        <v>815</v>
      </c>
      <c r="D688" s="481" t="s">
        <v>204</v>
      </c>
      <c r="E688" s="481" t="s">
        <v>204</v>
      </c>
      <c r="F688" s="481" t="s">
        <v>204</v>
      </c>
      <c r="G688" s="481" t="s">
        <v>204</v>
      </c>
      <c r="H688" s="481" t="s">
        <v>204</v>
      </c>
      <c r="I688" s="140"/>
      <c r="K688" s="71"/>
      <c r="L688" s="71"/>
      <c r="M688" s="71"/>
      <c r="N688" s="71"/>
      <c r="O688" s="71"/>
      <c r="P688" s="71"/>
      <c r="Q688" s="71"/>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c r="AR688" s="70"/>
      <c r="AS688" s="70"/>
    </row>
    <row r="689" spans="1:45" hidden="1" outlineLevel="1" x14ac:dyDescent="0.3">
      <c r="A689" s="139" t="s">
        <v>2798</v>
      </c>
      <c r="B689" s="139" t="s">
        <v>940</v>
      </c>
      <c r="C689" s="136" t="s">
        <v>817</v>
      </c>
      <c r="D689" s="140">
        <v>0</v>
      </c>
      <c r="E689" s="140">
        <v>0</v>
      </c>
      <c r="F689" s="140">
        <v>0</v>
      </c>
      <c r="G689" s="140">
        <v>0</v>
      </c>
      <c r="H689" s="140">
        <v>0</v>
      </c>
      <c r="I689" s="140" t="s">
        <v>2743</v>
      </c>
      <c r="K689" s="71"/>
      <c r="L689" s="71"/>
      <c r="M689" s="71"/>
      <c r="N689" s="71"/>
      <c r="O689" s="71"/>
      <c r="P689" s="71"/>
      <c r="Q689" s="71"/>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c r="AR689" s="70"/>
      <c r="AS689" s="70"/>
    </row>
    <row r="690" spans="1:45" hidden="1" outlineLevel="1" x14ac:dyDescent="0.3">
      <c r="A690" s="139" t="s">
        <v>2798</v>
      </c>
      <c r="B690" s="139" t="s">
        <v>940</v>
      </c>
      <c r="C690" s="136" t="s">
        <v>944</v>
      </c>
      <c r="D690" s="140">
        <v>0</v>
      </c>
      <c r="E690" s="140">
        <v>0</v>
      </c>
      <c r="F690" s="140">
        <v>0</v>
      </c>
      <c r="G690" s="140">
        <v>0</v>
      </c>
      <c r="H690" s="140">
        <v>0</v>
      </c>
      <c r="I690" s="140"/>
      <c r="K690" s="71"/>
      <c r="L690" s="71"/>
      <c r="M690" s="71"/>
      <c r="N690" s="71"/>
      <c r="O690" s="71"/>
      <c r="P690" s="71"/>
      <c r="Q690" s="71"/>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c r="AR690" s="70"/>
      <c r="AS690" s="70"/>
    </row>
    <row r="691" spans="1:45" hidden="1" outlineLevel="1" x14ac:dyDescent="0.3">
      <c r="A691" s="139" t="s">
        <v>2798</v>
      </c>
      <c r="B691" s="139" t="s">
        <v>940</v>
      </c>
      <c r="C691" s="136" t="s">
        <v>821</v>
      </c>
      <c r="D691" s="481" t="s">
        <v>204</v>
      </c>
      <c r="E691" s="481" t="s">
        <v>204</v>
      </c>
      <c r="F691" s="481" t="s">
        <v>204</v>
      </c>
      <c r="G691" s="481" t="s">
        <v>204</v>
      </c>
      <c r="H691" s="481" t="s">
        <v>204</v>
      </c>
      <c r="I691" s="140"/>
      <c r="K691" s="71"/>
      <c r="L691" s="71"/>
      <c r="M691" s="71"/>
      <c r="N691" s="71"/>
      <c r="O691" s="71"/>
      <c r="P691" s="71"/>
      <c r="Q691" s="71"/>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c r="AR691" s="70"/>
      <c r="AS691" s="70"/>
    </row>
    <row r="692" spans="1:45" hidden="1" outlineLevel="1" x14ac:dyDescent="0.3">
      <c r="A692" s="139" t="s">
        <v>2798</v>
      </c>
      <c r="B692" s="139" t="s">
        <v>940</v>
      </c>
      <c r="C692" s="136" t="s">
        <v>823</v>
      </c>
      <c r="D692" s="481" t="s">
        <v>204</v>
      </c>
      <c r="E692" s="481" t="s">
        <v>204</v>
      </c>
      <c r="F692" s="481" t="s">
        <v>204</v>
      </c>
      <c r="G692" s="481" t="s">
        <v>204</v>
      </c>
      <c r="H692" s="481" t="s">
        <v>204</v>
      </c>
      <c r="I692" s="140"/>
      <c r="K692" s="71"/>
      <c r="L692" s="71"/>
      <c r="M692" s="71"/>
      <c r="N692" s="71"/>
      <c r="O692" s="71"/>
      <c r="P692" s="71"/>
      <c r="Q692" s="71"/>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c r="AR692" s="70"/>
      <c r="AS692" s="70"/>
    </row>
    <row r="693" spans="1:45" hidden="1" outlineLevel="1" x14ac:dyDescent="0.3">
      <c r="A693" s="139" t="s">
        <v>2798</v>
      </c>
      <c r="B693" s="139" t="s">
        <v>940</v>
      </c>
      <c r="C693" s="136" t="s">
        <v>825</v>
      </c>
      <c r="D693" s="481" t="s">
        <v>204</v>
      </c>
      <c r="E693" s="481" t="s">
        <v>204</v>
      </c>
      <c r="F693" s="481" t="s">
        <v>204</v>
      </c>
      <c r="G693" s="481" t="s">
        <v>204</v>
      </c>
      <c r="H693" s="481" t="s">
        <v>204</v>
      </c>
      <c r="I693" s="140"/>
      <c r="K693" s="71"/>
      <c r="L693" s="71"/>
      <c r="M693" s="71"/>
      <c r="N693" s="71"/>
      <c r="O693" s="71"/>
      <c r="P693" s="71"/>
      <c r="Q693" s="71"/>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c r="AR693" s="70"/>
      <c r="AS693" s="70"/>
    </row>
    <row r="694" spans="1:45" hidden="1" outlineLevel="1" x14ac:dyDescent="0.3">
      <c r="A694" s="139" t="s">
        <v>2798</v>
      </c>
      <c r="B694" s="139" t="s">
        <v>940</v>
      </c>
      <c r="C694" s="136" t="s">
        <v>827</v>
      </c>
      <c r="D694" s="140">
        <v>0</v>
      </c>
      <c r="E694" s="140">
        <v>0</v>
      </c>
      <c r="F694" s="140">
        <v>0</v>
      </c>
      <c r="G694" s="140">
        <v>0</v>
      </c>
      <c r="H694" s="140">
        <v>0</v>
      </c>
      <c r="I694" s="140" t="s">
        <v>1001</v>
      </c>
      <c r="K694" s="71"/>
      <c r="L694" s="71"/>
      <c r="M694" s="71"/>
      <c r="N694" s="71"/>
      <c r="O694" s="71"/>
      <c r="P694" s="71"/>
      <c r="Q694" s="71"/>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c r="AR694" s="70"/>
      <c r="AS694" s="70"/>
    </row>
    <row r="695" spans="1:45" hidden="1" outlineLevel="1" x14ac:dyDescent="0.3">
      <c r="A695" s="139" t="s">
        <v>2798</v>
      </c>
      <c r="B695" s="139" t="s">
        <v>940</v>
      </c>
      <c r="C695" s="136" t="s">
        <v>829</v>
      </c>
      <c r="D695" s="423">
        <v>0</v>
      </c>
      <c r="E695" s="423">
        <v>0</v>
      </c>
      <c r="F695" s="423">
        <v>0</v>
      </c>
      <c r="G695" s="423">
        <v>0</v>
      </c>
      <c r="H695" s="423">
        <v>0</v>
      </c>
      <c r="I695" s="140" t="s">
        <v>2715</v>
      </c>
      <c r="K695" s="71"/>
      <c r="L695" s="71"/>
      <c r="M695" s="71"/>
      <c r="N695" s="71"/>
      <c r="O695" s="71"/>
      <c r="P695" s="71"/>
      <c r="Q695" s="71"/>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c r="AR695" s="70"/>
      <c r="AS695" s="70"/>
    </row>
    <row r="696" spans="1:45" hidden="1" outlineLevel="1" x14ac:dyDescent="0.3">
      <c r="A696" s="139" t="s">
        <v>2798</v>
      </c>
      <c r="B696" s="139" t="s">
        <v>940</v>
      </c>
      <c r="C696" s="136" t="s">
        <v>833</v>
      </c>
      <c r="D696" s="352">
        <v>0</v>
      </c>
      <c r="E696" s="352">
        <v>0</v>
      </c>
      <c r="F696" s="352">
        <v>0</v>
      </c>
      <c r="G696" s="352">
        <v>0</v>
      </c>
      <c r="H696" s="352">
        <v>0</v>
      </c>
      <c r="I696" s="140" t="s">
        <v>2744</v>
      </c>
      <c r="K696" s="71"/>
      <c r="L696" s="71"/>
      <c r="M696" s="71"/>
      <c r="N696" s="71"/>
      <c r="O696" s="71"/>
      <c r="P696" s="71"/>
      <c r="Q696" s="71"/>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c r="AR696" s="70"/>
      <c r="AS696" s="70"/>
    </row>
    <row r="697" spans="1:45" hidden="1" outlineLevel="1" x14ac:dyDescent="0.3">
      <c r="A697" s="139" t="s">
        <v>2798</v>
      </c>
      <c r="B697" s="139" t="s">
        <v>940</v>
      </c>
      <c r="C697" s="136" t="s">
        <v>836</v>
      </c>
      <c r="D697" s="423">
        <v>0</v>
      </c>
      <c r="E697" s="423">
        <v>0</v>
      </c>
      <c r="F697" s="423">
        <v>0</v>
      </c>
      <c r="G697" s="423">
        <v>0</v>
      </c>
      <c r="H697" s="423">
        <v>0</v>
      </c>
      <c r="I697" s="140"/>
      <c r="K697" s="71"/>
      <c r="L697" s="71"/>
      <c r="M697" s="71"/>
      <c r="N697" s="71"/>
      <c r="O697" s="71"/>
      <c r="P697" s="71"/>
      <c r="Q697" s="71"/>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c r="AR697" s="70"/>
      <c r="AS697" s="70"/>
    </row>
    <row r="698" spans="1:45" hidden="1" outlineLevel="1" x14ac:dyDescent="0.3">
      <c r="A698" s="139" t="s">
        <v>2798</v>
      </c>
      <c r="B698" s="139" t="s">
        <v>940</v>
      </c>
      <c r="C698" s="136" t="s">
        <v>837</v>
      </c>
      <c r="D698" s="481" t="s">
        <v>204</v>
      </c>
      <c r="E698" s="481" t="s">
        <v>204</v>
      </c>
      <c r="F698" s="481" t="s">
        <v>204</v>
      </c>
      <c r="G698" s="481" t="s">
        <v>204</v>
      </c>
      <c r="H698" s="481" t="s">
        <v>204</v>
      </c>
      <c r="I698" s="140"/>
      <c r="K698" s="71"/>
      <c r="L698" s="71"/>
      <c r="M698" s="71"/>
      <c r="N698" s="71"/>
      <c r="O698" s="71"/>
      <c r="P698" s="71"/>
      <c r="Q698" s="71"/>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c r="AR698" s="70"/>
      <c r="AS698" s="70"/>
    </row>
    <row r="699" spans="1:45" hidden="1" outlineLevel="1" x14ac:dyDescent="0.3">
      <c r="A699" s="139" t="s">
        <v>2798</v>
      </c>
      <c r="B699" s="139" t="s">
        <v>940</v>
      </c>
      <c r="C699" s="136" t="s">
        <v>839</v>
      </c>
      <c r="D699" s="423">
        <v>0</v>
      </c>
      <c r="E699" s="423">
        <v>0</v>
      </c>
      <c r="F699" s="423">
        <v>0</v>
      </c>
      <c r="G699" s="423">
        <v>0</v>
      </c>
      <c r="H699" s="423">
        <v>0</v>
      </c>
      <c r="I699" s="140" t="s">
        <v>2718</v>
      </c>
      <c r="K699" s="71"/>
      <c r="L699" s="71"/>
      <c r="M699" s="71"/>
      <c r="N699" s="71"/>
      <c r="O699" s="71"/>
      <c r="P699" s="71"/>
      <c r="Q699" s="71"/>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c r="AR699" s="70"/>
      <c r="AS699" s="70"/>
    </row>
    <row r="700" spans="1:45" hidden="1" outlineLevel="1" x14ac:dyDescent="0.3">
      <c r="A700" s="139" t="s">
        <v>2798</v>
      </c>
      <c r="B700" s="139" t="s">
        <v>940</v>
      </c>
      <c r="C700" s="136" t="s">
        <v>840</v>
      </c>
      <c r="D700" s="481" t="s">
        <v>204</v>
      </c>
      <c r="E700" s="481" t="s">
        <v>204</v>
      </c>
      <c r="F700" s="481" t="s">
        <v>204</v>
      </c>
      <c r="G700" s="481" t="s">
        <v>204</v>
      </c>
      <c r="H700" s="481" t="s">
        <v>204</v>
      </c>
      <c r="I700" s="140"/>
      <c r="K700" s="71"/>
      <c r="L700" s="71"/>
      <c r="M700" s="71"/>
      <c r="N700" s="71"/>
      <c r="O700" s="71"/>
      <c r="P700" s="71"/>
      <c r="Q700" s="71"/>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c r="AR700" s="70"/>
      <c r="AS700" s="70"/>
    </row>
    <row r="701" spans="1:45" collapsed="1" x14ac:dyDescent="0.3">
      <c r="A701" s="135" t="s">
        <v>2799</v>
      </c>
      <c r="B701" s="135"/>
      <c r="C701" s="483" t="s">
        <v>2719</v>
      </c>
      <c r="D701" s="135"/>
      <c r="E701" s="135"/>
      <c r="F701" s="135"/>
      <c r="G701" s="135"/>
      <c r="H701" s="135"/>
      <c r="I701" s="135"/>
      <c r="K701" s="70"/>
      <c r="L701" s="70"/>
      <c r="M701" s="71"/>
      <c r="N701" s="71"/>
      <c r="O701" s="71"/>
      <c r="P701" s="71"/>
      <c r="Q701" s="71"/>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c r="AR701" s="70"/>
      <c r="AS701" s="70"/>
    </row>
    <row r="702" spans="1:45" x14ac:dyDescent="0.3">
      <c r="A702" s="143" t="s">
        <v>2800</v>
      </c>
      <c r="B702" s="143"/>
      <c r="C702" s="144" t="s">
        <v>2693</v>
      </c>
      <c r="D702" s="161">
        <v>423809</v>
      </c>
      <c r="E702" s="161">
        <v>424159</v>
      </c>
      <c r="F702" s="161">
        <v>424559</v>
      </c>
      <c r="G702" s="161">
        <v>424839</v>
      </c>
      <c r="H702" s="161">
        <v>425209</v>
      </c>
      <c r="I702" s="57"/>
      <c r="K702" s="70"/>
      <c r="L702" s="70"/>
      <c r="M702" s="71"/>
      <c r="N702" s="71"/>
      <c r="O702" s="71"/>
      <c r="P702" s="71"/>
      <c r="Q702" s="71"/>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c r="AR702" s="70"/>
      <c r="AS702" s="70"/>
    </row>
    <row r="703" spans="1:45" collapsed="1" x14ac:dyDescent="0.3">
      <c r="A703" s="143" t="s">
        <v>5</v>
      </c>
      <c r="B703" s="143" t="s">
        <v>847</v>
      </c>
      <c r="C703" s="143" t="s">
        <v>193</v>
      </c>
      <c r="D703" s="145">
        <v>2025</v>
      </c>
      <c r="E703" s="145">
        <v>2030</v>
      </c>
      <c r="F703" s="145">
        <v>2035</v>
      </c>
      <c r="G703" s="145">
        <v>2040</v>
      </c>
      <c r="H703" s="145">
        <v>2045</v>
      </c>
      <c r="I703" s="145" t="s">
        <v>153</v>
      </c>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c r="AR703" s="70"/>
      <c r="AS703" s="70"/>
    </row>
    <row r="704" spans="1:45" hidden="1" outlineLevel="1" x14ac:dyDescent="0.3">
      <c r="A704" s="56" t="s">
        <v>2800</v>
      </c>
      <c r="B704" s="56" t="s">
        <v>855</v>
      </c>
      <c r="C704" s="143" t="s">
        <v>747</v>
      </c>
      <c r="D704" s="482" t="s">
        <v>204</v>
      </c>
      <c r="E704" s="482" t="s">
        <v>204</v>
      </c>
      <c r="F704" s="482" t="s">
        <v>204</v>
      </c>
      <c r="G704" s="482" t="s">
        <v>204</v>
      </c>
      <c r="H704" s="482" t="s">
        <v>204</v>
      </c>
      <c r="I704" s="57"/>
      <c r="K704" s="70"/>
      <c r="L704" s="71"/>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c r="AR704" s="70"/>
      <c r="AS704" s="70"/>
    </row>
    <row r="705" spans="1:45" hidden="1" outlineLevel="1" x14ac:dyDescent="0.3">
      <c r="A705" s="56" t="s">
        <v>2800</v>
      </c>
      <c r="B705" s="56" t="s">
        <v>855</v>
      </c>
      <c r="C705" s="143" t="s">
        <v>751</v>
      </c>
      <c r="D705" s="163">
        <v>0</v>
      </c>
      <c r="E705" s="163">
        <v>0</v>
      </c>
      <c r="F705" s="163">
        <v>0</v>
      </c>
      <c r="G705" s="163">
        <v>0</v>
      </c>
      <c r="H705" s="163">
        <v>0</v>
      </c>
      <c r="I705" s="57" t="s">
        <v>2696</v>
      </c>
      <c r="K705" s="70"/>
      <c r="L705" s="71"/>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c r="AR705" s="70"/>
      <c r="AS705" s="70"/>
    </row>
    <row r="706" spans="1:45" hidden="1" outlineLevel="1" x14ac:dyDescent="0.3">
      <c r="A706" s="56" t="s">
        <v>2800</v>
      </c>
      <c r="B706" s="56" t="s">
        <v>855</v>
      </c>
      <c r="C706" s="143" t="s">
        <v>755</v>
      </c>
      <c r="D706" s="163">
        <v>3999</v>
      </c>
      <c r="E706" s="163">
        <v>3999</v>
      </c>
      <c r="F706" s="163">
        <v>3999</v>
      </c>
      <c r="G706" s="163">
        <v>3999</v>
      </c>
      <c r="H706" s="163">
        <v>3999</v>
      </c>
      <c r="I706" s="57" t="s">
        <v>2697</v>
      </c>
      <c r="K706" s="71"/>
      <c r="L706" s="71"/>
      <c r="M706" s="71"/>
      <c r="N706" s="71"/>
      <c r="O706" s="71"/>
      <c r="P706" s="71"/>
      <c r="Q706" s="71"/>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c r="AR706" s="70"/>
      <c r="AS706" s="70"/>
    </row>
    <row r="707" spans="1:45" hidden="1" outlineLevel="1" x14ac:dyDescent="0.3">
      <c r="A707" s="56" t="s">
        <v>2800</v>
      </c>
      <c r="B707" s="56" t="s">
        <v>855</v>
      </c>
      <c r="C707" s="143" t="s">
        <v>758</v>
      </c>
      <c r="D707" s="163">
        <v>0</v>
      </c>
      <c r="E707" s="163">
        <v>0</v>
      </c>
      <c r="F707" s="163">
        <v>0</v>
      </c>
      <c r="G707" s="163">
        <v>0</v>
      </c>
      <c r="H707" s="163">
        <v>0</v>
      </c>
      <c r="I707" s="57" t="s">
        <v>2699</v>
      </c>
      <c r="K707" s="71"/>
      <c r="L707" s="71"/>
      <c r="M707" s="71"/>
      <c r="N707" s="71"/>
      <c r="O707" s="71"/>
      <c r="P707" s="71"/>
      <c r="Q707" s="71"/>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row>
    <row r="708" spans="1:45" hidden="1" outlineLevel="1" x14ac:dyDescent="0.3">
      <c r="A708" s="56" t="s">
        <v>2800</v>
      </c>
      <c r="B708" s="56" t="s">
        <v>855</v>
      </c>
      <c r="C708" s="143" t="s">
        <v>761</v>
      </c>
      <c r="D708" s="163">
        <v>0</v>
      </c>
      <c r="E708" s="163">
        <v>0</v>
      </c>
      <c r="F708" s="163">
        <v>0</v>
      </c>
      <c r="G708" s="163">
        <v>0</v>
      </c>
      <c r="H708" s="163">
        <v>0</v>
      </c>
      <c r="I708" s="56"/>
      <c r="K708" s="71"/>
      <c r="L708" s="71"/>
      <c r="M708" s="71"/>
      <c r="N708" s="71"/>
      <c r="O708" s="71"/>
      <c r="P708" s="71"/>
      <c r="Q708" s="71"/>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c r="AR708" s="70"/>
      <c r="AS708" s="70"/>
    </row>
    <row r="709" spans="1:45" hidden="1" outlineLevel="1" x14ac:dyDescent="0.3">
      <c r="A709" s="56" t="s">
        <v>2800</v>
      </c>
      <c r="B709" s="56" t="s">
        <v>855</v>
      </c>
      <c r="C709" s="143" t="s">
        <v>763</v>
      </c>
      <c r="D709" s="163">
        <v>4500</v>
      </c>
      <c r="E709" s="163">
        <v>4500</v>
      </c>
      <c r="F709" s="163">
        <v>4500</v>
      </c>
      <c r="G709" s="163">
        <v>4500</v>
      </c>
      <c r="H709" s="163">
        <v>4500</v>
      </c>
      <c r="I709" s="56" t="s">
        <v>2801</v>
      </c>
      <c r="K709" s="71"/>
      <c r="L709" s="71"/>
      <c r="M709" s="71"/>
      <c r="N709" s="71"/>
      <c r="O709" s="71"/>
      <c r="P709" s="71"/>
      <c r="Q709" s="71"/>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c r="AR709" s="70"/>
      <c r="AS709" s="70"/>
    </row>
    <row r="710" spans="1:45" hidden="1" outlineLevel="1" x14ac:dyDescent="0.3">
      <c r="A710" s="56" t="s">
        <v>2800</v>
      </c>
      <c r="B710" s="56" t="s">
        <v>855</v>
      </c>
      <c r="C710" s="143" t="s">
        <v>765</v>
      </c>
      <c r="D710" s="163">
        <v>0</v>
      </c>
      <c r="E710" s="163">
        <v>0</v>
      </c>
      <c r="F710" s="163">
        <v>0</v>
      </c>
      <c r="G710" s="163">
        <v>0</v>
      </c>
      <c r="H710" s="163">
        <v>0</v>
      </c>
      <c r="I710" s="143" t="s">
        <v>2702</v>
      </c>
      <c r="K710" s="70"/>
      <c r="L710" s="71"/>
      <c r="M710" s="71"/>
      <c r="N710" s="71"/>
      <c r="O710" s="71"/>
      <c r="P710" s="71"/>
      <c r="Q710" s="71"/>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c r="AR710" s="70"/>
      <c r="AS710" s="70"/>
    </row>
    <row r="711" spans="1:45" hidden="1" outlineLevel="1" x14ac:dyDescent="0.3">
      <c r="A711" s="56" t="s">
        <v>2800</v>
      </c>
      <c r="B711" s="56" t="s">
        <v>855</v>
      </c>
      <c r="C711" s="143" t="s">
        <v>768</v>
      </c>
      <c r="D711" s="482" t="s">
        <v>204</v>
      </c>
      <c r="E711" s="482" t="s">
        <v>204</v>
      </c>
      <c r="F711" s="482" t="s">
        <v>204</v>
      </c>
      <c r="G711" s="482" t="s">
        <v>204</v>
      </c>
      <c r="H711" s="482" t="s">
        <v>204</v>
      </c>
      <c r="I711" s="143"/>
      <c r="K711" s="181"/>
      <c r="L711" s="71"/>
      <c r="M711" s="71"/>
      <c r="N711" s="71"/>
      <c r="O711" s="71"/>
      <c r="P711" s="71"/>
      <c r="Q711" s="71"/>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c r="AR711" s="70"/>
      <c r="AS711" s="70"/>
    </row>
    <row r="712" spans="1:45" hidden="1" outlineLevel="1" x14ac:dyDescent="0.3">
      <c r="A712" s="56" t="s">
        <v>2800</v>
      </c>
      <c r="B712" s="56" t="s">
        <v>855</v>
      </c>
      <c r="C712" s="143" t="s">
        <v>771</v>
      </c>
      <c r="D712" s="163">
        <v>125400</v>
      </c>
      <c r="E712" s="163">
        <v>125400</v>
      </c>
      <c r="F712" s="163">
        <v>125400</v>
      </c>
      <c r="G712" s="163">
        <v>125400</v>
      </c>
      <c r="H712" s="163">
        <v>125400</v>
      </c>
      <c r="I712" s="143" t="s">
        <v>2703</v>
      </c>
      <c r="K712" s="181"/>
      <c r="L712" s="71"/>
      <c r="M712" s="71"/>
      <c r="N712" s="71"/>
      <c r="O712" s="71"/>
      <c r="P712" s="71"/>
      <c r="Q712" s="71"/>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c r="AR712" s="70"/>
      <c r="AS712" s="70"/>
    </row>
    <row r="713" spans="1:45" hidden="1" outlineLevel="1" x14ac:dyDescent="0.3">
      <c r="A713" s="56" t="s">
        <v>2800</v>
      </c>
      <c r="B713" s="56" t="s">
        <v>855</v>
      </c>
      <c r="C713" s="143" t="s">
        <v>772</v>
      </c>
      <c r="D713" s="163">
        <v>0</v>
      </c>
      <c r="E713" s="163">
        <v>0</v>
      </c>
      <c r="F713" s="163">
        <v>0</v>
      </c>
      <c r="G713" s="163">
        <v>0</v>
      </c>
      <c r="H713" s="163">
        <v>0</v>
      </c>
      <c r="I713" s="143"/>
      <c r="K713" s="181"/>
      <c r="L713" s="71"/>
      <c r="M713" s="71"/>
      <c r="N713" s="71"/>
      <c r="O713" s="71"/>
      <c r="P713" s="71"/>
      <c r="Q713" s="71"/>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c r="AR713" s="70"/>
      <c r="AS713" s="70"/>
    </row>
    <row r="714" spans="1:45" hidden="1" outlineLevel="1" x14ac:dyDescent="0.3">
      <c r="A714" s="56" t="s">
        <v>2800</v>
      </c>
      <c r="B714" s="56" t="s">
        <v>855</v>
      </c>
      <c r="C714" s="143" t="s">
        <v>774</v>
      </c>
      <c r="D714" s="163">
        <v>0</v>
      </c>
      <c r="E714" s="163">
        <v>0</v>
      </c>
      <c r="F714" s="163">
        <v>0</v>
      </c>
      <c r="G714" s="163">
        <v>0</v>
      </c>
      <c r="H714" s="163">
        <v>0</v>
      </c>
      <c r="I714" s="56" t="s">
        <v>2771</v>
      </c>
      <c r="K714" s="181"/>
      <c r="L714" s="71"/>
      <c r="M714" s="71"/>
      <c r="N714" s="71"/>
      <c r="O714" s="71"/>
      <c r="P714" s="71"/>
      <c r="Q714" s="71"/>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c r="AR714" s="70"/>
      <c r="AS714" s="70"/>
    </row>
    <row r="715" spans="1:45" hidden="1" outlineLevel="1" x14ac:dyDescent="0.3">
      <c r="A715" s="56" t="s">
        <v>2800</v>
      </c>
      <c r="B715" s="56" t="s">
        <v>855</v>
      </c>
      <c r="C715" s="143" t="s">
        <v>775</v>
      </c>
      <c r="D715" s="482" t="s">
        <v>204</v>
      </c>
      <c r="E715" s="482" t="s">
        <v>204</v>
      </c>
      <c r="F715" s="482" t="s">
        <v>204</v>
      </c>
      <c r="G715" s="482" t="s">
        <v>204</v>
      </c>
      <c r="H715" s="482" t="s">
        <v>204</v>
      </c>
      <c r="I715" s="143"/>
      <c r="K715" s="181"/>
      <c r="L715" s="71"/>
      <c r="M715" s="71"/>
      <c r="N715" s="71"/>
      <c r="O715" s="71"/>
      <c r="P715" s="71"/>
      <c r="Q715" s="71"/>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c r="AR715" s="70"/>
      <c r="AS715" s="70"/>
    </row>
    <row r="716" spans="1:45" hidden="1" outlineLevel="1" x14ac:dyDescent="0.3">
      <c r="A716" s="56" t="s">
        <v>2800</v>
      </c>
      <c r="B716" s="56" t="s">
        <v>855</v>
      </c>
      <c r="C716" s="143" t="s">
        <v>779</v>
      </c>
      <c r="D716" s="482" t="s">
        <v>204</v>
      </c>
      <c r="E716" s="482" t="s">
        <v>204</v>
      </c>
      <c r="F716" s="482" t="s">
        <v>204</v>
      </c>
      <c r="G716" s="482" t="s">
        <v>204</v>
      </c>
      <c r="H716" s="482" t="s">
        <v>204</v>
      </c>
      <c r="I716" s="143"/>
      <c r="K716" s="71"/>
      <c r="L716" s="71"/>
      <c r="M716" s="71"/>
      <c r="N716" s="71"/>
      <c r="O716" s="71"/>
      <c r="P716" s="71"/>
      <c r="Q716" s="71"/>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c r="AR716" s="70"/>
      <c r="AS716" s="70"/>
    </row>
    <row r="717" spans="1:45" hidden="1" outlineLevel="1" x14ac:dyDescent="0.3">
      <c r="A717" s="56" t="s">
        <v>2800</v>
      </c>
      <c r="B717" s="56" t="s">
        <v>894</v>
      </c>
      <c r="C717" s="143" t="s">
        <v>781</v>
      </c>
      <c r="D717" s="482" t="s">
        <v>204</v>
      </c>
      <c r="E717" s="482" t="s">
        <v>204</v>
      </c>
      <c r="F717" s="482" t="s">
        <v>204</v>
      </c>
      <c r="G717" s="482" t="s">
        <v>204</v>
      </c>
      <c r="H717" s="482" t="s">
        <v>204</v>
      </c>
      <c r="I717" s="143"/>
      <c r="K717" s="71"/>
      <c r="L717" s="71"/>
      <c r="M717" s="71"/>
      <c r="N717" s="71"/>
      <c r="O717" s="71"/>
      <c r="P717" s="71"/>
      <c r="Q717" s="71"/>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c r="AR717" s="70"/>
      <c r="AS717" s="70"/>
    </row>
    <row r="718" spans="1:45" hidden="1" outlineLevel="1" x14ac:dyDescent="0.3">
      <c r="A718" s="56" t="s">
        <v>2800</v>
      </c>
      <c r="B718" s="56" t="s">
        <v>894</v>
      </c>
      <c r="C718" s="143" t="s">
        <v>783</v>
      </c>
      <c r="D718" s="163">
        <v>0</v>
      </c>
      <c r="E718" s="163">
        <v>0</v>
      </c>
      <c r="F718" s="163">
        <v>0</v>
      </c>
      <c r="G718" s="163">
        <v>0</v>
      </c>
      <c r="H718" s="163">
        <v>0</v>
      </c>
      <c r="I718" s="143" t="s">
        <v>2706</v>
      </c>
      <c r="K718" s="71"/>
      <c r="L718" s="71"/>
      <c r="M718" s="71"/>
      <c r="N718" s="71"/>
      <c r="O718" s="71"/>
      <c r="P718" s="71"/>
      <c r="Q718" s="71"/>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c r="AR718" s="70"/>
      <c r="AS718" s="70"/>
    </row>
    <row r="719" spans="1:45" hidden="1" outlineLevel="1" x14ac:dyDescent="0.3">
      <c r="A719" s="56" t="s">
        <v>2800</v>
      </c>
      <c r="B719" s="56" t="s">
        <v>894</v>
      </c>
      <c r="C719" s="143" t="s">
        <v>785</v>
      </c>
      <c r="D719" s="402">
        <v>0</v>
      </c>
      <c r="E719" s="402">
        <v>0</v>
      </c>
      <c r="F719" s="402">
        <v>0</v>
      </c>
      <c r="G719" s="402">
        <v>0</v>
      </c>
      <c r="H719" s="402">
        <v>0</v>
      </c>
      <c r="I719" s="56" t="s">
        <v>2707</v>
      </c>
      <c r="K719" s="71"/>
      <c r="L719" s="71"/>
      <c r="M719" s="71"/>
      <c r="N719" s="71"/>
      <c r="O719" s="71"/>
      <c r="P719" s="71"/>
      <c r="Q719" s="71"/>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c r="AR719" s="70"/>
      <c r="AS719" s="70"/>
    </row>
    <row r="720" spans="1:45" hidden="1" outlineLevel="1" x14ac:dyDescent="0.3">
      <c r="A720" s="56" t="s">
        <v>2800</v>
      </c>
      <c r="B720" s="56" t="s">
        <v>894</v>
      </c>
      <c r="C720" s="143" t="s">
        <v>787</v>
      </c>
      <c r="D720" s="482" t="s">
        <v>204</v>
      </c>
      <c r="E720" s="482" t="s">
        <v>204</v>
      </c>
      <c r="F720" s="482" t="s">
        <v>204</v>
      </c>
      <c r="G720" s="482" t="s">
        <v>204</v>
      </c>
      <c r="H720" s="482" t="s">
        <v>204</v>
      </c>
      <c r="I720" s="143"/>
      <c r="K720" s="71"/>
      <c r="L720" s="71"/>
      <c r="M720" s="71"/>
      <c r="N720" s="71"/>
      <c r="O720" s="71"/>
      <c r="P720" s="71"/>
      <c r="Q720" s="71"/>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c r="AR720" s="70"/>
      <c r="AS720" s="70"/>
    </row>
    <row r="721" spans="1:45" hidden="1" outlineLevel="1" x14ac:dyDescent="0.3">
      <c r="A721" s="56" t="s">
        <v>2800</v>
      </c>
      <c r="B721" s="56" t="s">
        <v>894</v>
      </c>
      <c r="C721" s="143" t="s">
        <v>788</v>
      </c>
      <c r="D721" s="482" t="s">
        <v>204</v>
      </c>
      <c r="E721" s="482" t="s">
        <v>204</v>
      </c>
      <c r="F721" s="482" t="s">
        <v>204</v>
      </c>
      <c r="G721" s="482" t="s">
        <v>204</v>
      </c>
      <c r="H721" s="482" t="s">
        <v>204</v>
      </c>
      <c r="I721" s="143"/>
      <c r="K721" s="71"/>
      <c r="L721" s="71"/>
      <c r="M721" s="71"/>
      <c r="N721" s="71"/>
      <c r="O721" s="71"/>
      <c r="P721" s="71"/>
      <c r="Q721" s="71"/>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c r="AR721" s="70"/>
      <c r="AS721" s="70"/>
    </row>
    <row r="722" spans="1:45" hidden="1" outlineLevel="1" x14ac:dyDescent="0.3">
      <c r="A722" s="56" t="s">
        <v>2800</v>
      </c>
      <c r="B722" s="56" t="s">
        <v>894</v>
      </c>
      <c r="C722" s="143" t="s">
        <v>789</v>
      </c>
      <c r="D722" s="482" t="s">
        <v>204</v>
      </c>
      <c r="E722" s="482" t="s">
        <v>204</v>
      </c>
      <c r="F722" s="482" t="s">
        <v>204</v>
      </c>
      <c r="G722" s="482" t="s">
        <v>204</v>
      </c>
      <c r="H722" s="482" t="s">
        <v>204</v>
      </c>
      <c r="I722" s="143"/>
      <c r="K722" s="71"/>
      <c r="L722" s="71"/>
      <c r="M722" s="71"/>
      <c r="N722" s="71"/>
      <c r="O722" s="71"/>
      <c r="P722" s="71"/>
      <c r="Q722" s="71"/>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c r="AR722" s="70"/>
      <c r="AS722" s="70"/>
    </row>
    <row r="723" spans="1:45" hidden="1" outlineLevel="1" x14ac:dyDescent="0.3">
      <c r="A723" s="56" t="s">
        <v>2800</v>
      </c>
      <c r="B723" s="56" t="s">
        <v>894</v>
      </c>
      <c r="C723" s="143" t="s">
        <v>790</v>
      </c>
      <c r="D723" s="402">
        <v>0</v>
      </c>
      <c r="E723" s="402">
        <v>0</v>
      </c>
      <c r="F723" s="402">
        <v>0</v>
      </c>
      <c r="G723" s="402">
        <v>0</v>
      </c>
      <c r="H723" s="402">
        <v>0</v>
      </c>
      <c r="I723" s="143" t="s">
        <v>2708</v>
      </c>
      <c r="K723" s="71"/>
      <c r="L723" s="71"/>
      <c r="M723" s="71"/>
      <c r="N723" s="71"/>
      <c r="O723" s="71"/>
      <c r="P723" s="71"/>
      <c r="Q723" s="71"/>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c r="AR723" s="70"/>
      <c r="AS723" s="70"/>
    </row>
    <row r="724" spans="1:45" hidden="1" outlineLevel="1" x14ac:dyDescent="0.3">
      <c r="A724" s="56" t="s">
        <v>2800</v>
      </c>
      <c r="B724" s="56" t="s">
        <v>894</v>
      </c>
      <c r="C724" s="143" t="s">
        <v>793</v>
      </c>
      <c r="D724" s="482" t="s">
        <v>204</v>
      </c>
      <c r="E724" s="482" t="s">
        <v>204</v>
      </c>
      <c r="F724" s="482" t="s">
        <v>204</v>
      </c>
      <c r="G724" s="482" t="s">
        <v>204</v>
      </c>
      <c r="H724" s="482" t="s">
        <v>204</v>
      </c>
      <c r="I724" s="143"/>
      <c r="K724" s="71"/>
      <c r="L724" s="71"/>
      <c r="M724" s="71"/>
      <c r="N724" s="71"/>
      <c r="O724" s="71"/>
      <c r="P724" s="71"/>
      <c r="Q724" s="71"/>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c r="AR724" s="70"/>
      <c r="AS724" s="70"/>
    </row>
    <row r="725" spans="1:45" hidden="1" outlineLevel="1" x14ac:dyDescent="0.3">
      <c r="A725" s="56" t="s">
        <v>2800</v>
      </c>
      <c r="B725" s="56" t="s">
        <v>894</v>
      </c>
      <c r="C725" s="143" t="s">
        <v>795</v>
      </c>
      <c r="D725" s="482" t="s">
        <v>204</v>
      </c>
      <c r="E725" s="482" t="s">
        <v>204</v>
      </c>
      <c r="F725" s="482" t="s">
        <v>204</v>
      </c>
      <c r="G725" s="482" t="s">
        <v>204</v>
      </c>
      <c r="H725" s="482" t="s">
        <v>204</v>
      </c>
      <c r="I725" s="143"/>
      <c r="K725" s="71"/>
      <c r="L725" s="71"/>
      <c r="M725" s="71"/>
      <c r="N725" s="71"/>
      <c r="O725" s="71"/>
      <c r="P725" s="71"/>
      <c r="Q725" s="71"/>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c r="AR725" s="70"/>
      <c r="AS725" s="70"/>
    </row>
    <row r="726" spans="1:45" hidden="1" outlineLevel="1" x14ac:dyDescent="0.3">
      <c r="A726" s="56" t="s">
        <v>2800</v>
      </c>
      <c r="B726" s="56" t="s">
        <v>894</v>
      </c>
      <c r="C726" s="143" t="s">
        <v>797</v>
      </c>
      <c r="D726" s="163">
        <v>0</v>
      </c>
      <c r="E726" s="163">
        <v>0</v>
      </c>
      <c r="F726" s="163">
        <v>0</v>
      </c>
      <c r="G726" s="163">
        <v>0</v>
      </c>
      <c r="H726" s="163">
        <v>0</v>
      </c>
      <c r="I726" s="143" t="s">
        <v>2752</v>
      </c>
      <c r="K726" s="71"/>
      <c r="L726" s="71"/>
      <c r="M726" s="71"/>
      <c r="N726" s="71"/>
      <c r="O726" s="71"/>
      <c r="P726" s="71"/>
      <c r="Q726" s="71"/>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c r="AR726" s="70"/>
      <c r="AS726" s="70"/>
    </row>
    <row r="727" spans="1:45" hidden="1" outlineLevel="1" x14ac:dyDescent="0.3">
      <c r="A727" s="56" t="s">
        <v>2800</v>
      </c>
      <c r="B727" s="56" t="s">
        <v>915</v>
      </c>
      <c r="C727" s="143" t="s">
        <v>799</v>
      </c>
      <c r="D727" s="163">
        <v>0</v>
      </c>
      <c r="E727" s="163">
        <v>0</v>
      </c>
      <c r="F727" s="163">
        <v>0</v>
      </c>
      <c r="G727" s="163">
        <v>0</v>
      </c>
      <c r="H727" s="163">
        <v>0</v>
      </c>
      <c r="I727" s="143" t="s">
        <v>2802</v>
      </c>
      <c r="K727" s="182"/>
      <c r="L727" s="71"/>
      <c r="M727" s="71"/>
      <c r="N727" s="71"/>
      <c r="O727" s="71"/>
      <c r="P727" s="71"/>
      <c r="Q727" s="71"/>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c r="AR727" s="70"/>
      <c r="AS727" s="70"/>
    </row>
    <row r="728" spans="1:45" hidden="1" outlineLevel="1" x14ac:dyDescent="0.3">
      <c r="A728" s="56" t="s">
        <v>2800</v>
      </c>
      <c r="B728" s="56" t="s">
        <v>915</v>
      </c>
      <c r="C728" s="143" t="s">
        <v>801</v>
      </c>
      <c r="D728" s="402">
        <v>0</v>
      </c>
      <c r="E728" s="402">
        <v>0</v>
      </c>
      <c r="F728" s="402">
        <v>0</v>
      </c>
      <c r="G728" s="402">
        <v>0</v>
      </c>
      <c r="H728" s="402">
        <v>0</v>
      </c>
      <c r="I728" s="143" t="s">
        <v>2711</v>
      </c>
      <c r="K728" s="71"/>
      <c r="L728" s="71"/>
      <c r="M728" s="71"/>
      <c r="N728" s="71"/>
      <c r="O728" s="71"/>
      <c r="P728" s="71"/>
      <c r="Q728" s="71"/>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c r="AR728" s="70"/>
      <c r="AS728" s="70"/>
    </row>
    <row r="729" spans="1:45" hidden="1" outlineLevel="1" x14ac:dyDescent="0.3">
      <c r="A729" s="56" t="s">
        <v>2800</v>
      </c>
      <c r="B729" s="56" t="s">
        <v>915</v>
      </c>
      <c r="C729" s="143" t="s">
        <v>804</v>
      </c>
      <c r="D729" s="163">
        <v>6260</v>
      </c>
      <c r="E729" s="163">
        <v>6760</v>
      </c>
      <c r="F729" s="163">
        <v>7310</v>
      </c>
      <c r="G729" s="163">
        <v>7740</v>
      </c>
      <c r="H729" s="163">
        <v>8110</v>
      </c>
      <c r="I729" s="143" t="s">
        <v>2712</v>
      </c>
      <c r="K729" s="70"/>
      <c r="L729" s="71"/>
      <c r="M729" s="71"/>
      <c r="N729" s="71"/>
      <c r="O729" s="71"/>
      <c r="P729" s="71"/>
      <c r="Q729" s="71"/>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c r="AR729" s="70"/>
      <c r="AS729" s="70"/>
    </row>
    <row r="730" spans="1:45" hidden="1" outlineLevel="1" x14ac:dyDescent="0.3">
      <c r="A730" s="56" t="s">
        <v>2800</v>
      </c>
      <c r="B730" s="56" t="s">
        <v>915</v>
      </c>
      <c r="C730" s="143" t="s">
        <v>806</v>
      </c>
      <c r="D730" s="163">
        <v>0</v>
      </c>
      <c r="E730" s="163">
        <v>0</v>
      </c>
      <c r="F730" s="163">
        <v>0</v>
      </c>
      <c r="G730" s="163">
        <v>0</v>
      </c>
      <c r="H730" s="163">
        <v>0</v>
      </c>
      <c r="I730" s="143"/>
      <c r="K730" s="71"/>
      <c r="L730" s="71"/>
      <c r="M730" s="71"/>
      <c r="N730" s="71"/>
      <c r="O730" s="71"/>
      <c r="P730" s="71"/>
      <c r="Q730" s="71"/>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c r="AR730" s="70"/>
      <c r="AS730" s="70"/>
    </row>
    <row r="731" spans="1:45" hidden="1" outlineLevel="1" x14ac:dyDescent="0.3">
      <c r="A731" s="56" t="s">
        <v>2800</v>
      </c>
      <c r="B731" s="56" t="s">
        <v>915</v>
      </c>
      <c r="C731" s="143" t="s">
        <v>808</v>
      </c>
      <c r="D731" s="163">
        <v>0</v>
      </c>
      <c r="E731" s="163">
        <v>0</v>
      </c>
      <c r="F731" s="163">
        <v>0</v>
      </c>
      <c r="G731" s="163">
        <v>0</v>
      </c>
      <c r="H731" s="163">
        <v>0</v>
      </c>
      <c r="I731" s="143"/>
      <c r="K731" s="71"/>
      <c r="L731" s="71"/>
      <c r="M731" s="71"/>
      <c r="N731" s="71"/>
      <c r="O731" s="71"/>
      <c r="P731" s="71"/>
      <c r="Q731" s="71"/>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c r="AR731" s="70"/>
      <c r="AS731" s="70"/>
    </row>
    <row r="732" spans="1:45" hidden="1" outlineLevel="1" x14ac:dyDescent="0.3">
      <c r="A732" s="56" t="s">
        <v>2800</v>
      </c>
      <c r="B732" s="56" t="s">
        <v>915</v>
      </c>
      <c r="C732" s="143" t="s">
        <v>811</v>
      </c>
      <c r="D732" s="163">
        <v>0</v>
      </c>
      <c r="E732" s="163">
        <v>0</v>
      </c>
      <c r="F732" s="163">
        <v>0</v>
      </c>
      <c r="G732" s="163">
        <v>0</v>
      </c>
      <c r="H732" s="163">
        <v>0</v>
      </c>
      <c r="I732" s="143" t="s">
        <v>2713</v>
      </c>
      <c r="K732" s="71"/>
      <c r="L732" s="71"/>
      <c r="M732" s="71"/>
      <c r="N732" s="71"/>
      <c r="O732" s="71"/>
      <c r="P732" s="71"/>
      <c r="Q732" s="71"/>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c r="AR732" s="70"/>
      <c r="AS732" s="70"/>
    </row>
    <row r="733" spans="1:45" hidden="1" outlineLevel="1" x14ac:dyDescent="0.3">
      <c r="A733" s="56" t="s">
        <v>2800</v>
      </c>
      <c r="B733" s="56" t="s">
        <v>934</v>
      </c>
      <c r="C733" s="143" t="s">
        <v>814</v>
      </c>
      <c r="D733" s="163" t="s">
        <v>204</v>
      </c>
      <c r="E733" s="163" t="s">
        <v>204</v>
      </c>
      <c r="F733" s="163" t="s">
        <v>204</v>
      </c>
      <c r="G733" s="163" t="s">
        <v>204</v>
      </c>
      <c r="H733" s="163" t="s">
        <v>204</v>
      </c>
      <c r="I733" s="143"/>
      <c r="K733" s="71"/>
      <c r="L733" s="71"/>
      <c r="M733" s="71"/>
      <c r="N733" s="71"/>
      <c r="O733" s="71"/>
      <c r="P733" s="71"/>
      <c r="Q733" s="71"/>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c r="AR733" s="70"/>
      <c r="AS733" s="70"/>
    </row>
    <row r="734" spans="1:45" hidden="1" outlineLevel="1" x14ac:dyDescent="0.3">
      <c r="A734" s="56" t="s">
        <v>2800</v>
      </c>
      <c r="B734" s="56" t="s">
        <v>934</v>
      </c>
      <c r="C734" s="143" t="s">
        <v>815</v>
      </c>
      <c r="D734" s="482" t="s">
        <v>204</v>
      </c>
      <c r="E734" s="482" t="s">
        <v>204</v>
      </c>
      <c r="F734" s="482" t="s">
        <v>204</v>
      </c>
      <c r="G734" s="482" t="s">
        <v>204</v>
      </c>
      <c r="H734" s="482" t="s">
        <v>204</v>
      </c>
      <c r="I734" s="143"/>
      <c r="K734" s="71"/>
      <c r="L734" s="71"/>
      <c r="M734" s="71"/>
      <c r="N734" s="71"/>
      <c r="O734" s="71"/>
      <c r="P734" s="71"/>
      <c r="Q734" s="71"/>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c r="AR734" s="70"/>
      <c r="AS734" s="70"/>
    </row>
    <row r="735" spans="1:45" hidden="1" outlineLevel="1" x14ac:dyDescent="0.3">
      <c r="A735" s="56" t="s">
        <v>2800</v>
      </c>
      <c r="B735" s="56" t="s">
        <v>940</v>
      </c>
      <c r="C735" s="143" t="s">
        <v>817</v>
      </c>
      <c r="D735" s="163">
        <v>0</v>
      </c>
      <c r="E735" s="163">
        <v>0</v>
      </c>
      <c r="F735" s="163">
        <v>0</v>
      </c>
      <c r="G735" s="163">
        <v>0</v>
      </c>
      <c r="H735" s="163">
        <v>0</v>
      </c>
      <c r="I735" s="143" t="s">
        <v>2714</v>
      </c>
      <c r="K735" s="71"/>
      <c r="L735" s="71"/>
      <c r="M735" s="71"/>
      <c r="N735" s="71"/>
      <c r="O735" s="71"/>
      <c r="P735" s="71"/>
      <c r="Q735" s="71"/>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c r="AR735" s="70"/>
      <c r="AS735" s="70"/>
    </row>
    <row r="736" spans="1:45" hidden="1" outlineLevel="1" x14ac:dyDescent="0.3">
      <c r="A736" s="56" t="s">
        <v>2800</v>
      </c>
      <c r="B736" s="56" t="s">
        <v>940</v>
      </c>
      <c r="C736" s="143" t="s">
        <v>944</v>
      </c>
      <c r="D736" s="163">
        <v>0</v>
      </c>
      <c r="E736" s="163">
        <v>0</v>
      </c>
      <c r="F736" s="163">
        <v>0</v>
      </c>
      <c r="G736" s="163">
        <v>0</v>
      </c>
      <c r="H736" s="163">
        <v>0</v>
      </c>
      <c r="I736" s="143" t="s">
        <v>2803</v>
      </c>
      <c r="K736" s="71"/>
      <c r="L736" s="71"/>
      <c r="M736" s="71"/>
      <c r="N736" s="71"/>
      <c r="O736" s="71"/>
      <c r="P736" s="71"/>
      <c r="Q736" s="71"/>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c r="AR736" s="70"/>
      <c r="AS736" s="70"/>
    </row>
    <row r="737" spans="1:45" hidden="1" outlineLevel="1" x14ac:dyDescent="0.3">
      <c r="A737" s="56" t="s">
        <v>2800</v>
      </c>
      <c r="B737" s="56" t="s">
        <v>940</v>
      </c>
      <c r="C737" s="143" t="s">
        <v>821</v>
      </c>
      <c r="D737" s="482" t="s">
        <v>204</v>
      </c>
      <c r="E737" s="482" t="s">
        <v>204</v>
      </c>
      <c r="F737" s="482" t="s">
        <v>204</v>
      </c>
      <c r="G737" s="482" t="s">
        <v>204</v>
      </c>
      <c r="H737" s="482" t="s">
        <v>204</v>
      </c>
      <c r="I737" s="143"/>
      <c r="K737" s="71"/>
      <c r="L737" s="71"/>
      <c r="M737" s="71"/>
      <c r="N737" s="71"/>
      <c r="O737" s="71"/>
      <c r="P737" s="71"/>
      <c r="Q737" s="71"/>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c r="AR737" s="70"/>
      <c r="AS737" s="70"/>
    </row>
    <row r="738" spans="1:45" hidden="1" outlineLevel="1" x14ac:dyDescent="0.3">
      <c r="A738" s="56" t="s">
        <v>2800</v>
      </c>
      <c r="B738" s="56" t="s">
        <v>940</v>
      </c>
      <c r="C738" s="143" t="s">
        <v>823</v>
      </c>
      <c r="D738" s="482" t="s">
        <v>204</v>
      </c>
      <c r="E738" s="482" t="s">
        <v>204</v>
      </c>
      <c r="F738" s="482" t="s">
        <v>204</v>
      </c>
      <c r="G738" s="482" t="s">
        <v>204</v>
      </c>
      <c r="H738" s="482" t="s">
        <v>204</v>
      </c>
      <c r="I738" s="143"/>
      <c r="K738" s="71"/>
      <c r="L738" s="71"/>
      <c r="M738" s="71"/>
      <c r="N738" s="71"/>
      <c r="O738" s="71"/>
      <c r="P738" s="71"/>
      <c r="Q738" s="71"/>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c r="AR738" s="70"/>
      <c r="AS738" s="70"/>
    </row>
    <row r="739" spans="1:45" hidden="1" outlineLevel="1" x14ac:dyDescent="0.3">
      <c r="A739" s="56" t="s">
        <v>2800</v>
      </c>
      <c r="B739" s="56" t="s">
        <v>940</v>
      </c>
      <c r="C739" s="143" t="s">
        <v>825</v>
      </c>
      <c r="D739" s="482" t="s">
        <v>204</v>
      </c>
      <c r="E739" s="482" t="s">
        <v>204</v>
      </c>
      <c r="F739" s="482" t="s">
        <v>204</v>
      </c>
      <c r="G739" s="482" t="s">
        <v>204</v>
      </c>
      <c r="H739" s="482" t="s">
        <v>204</v>
      </c>
      <c r="I739" s="143"/>
      <c r="K739" s="71"/>
      <c r="L739" s="71"/>
      <c r="M739" s="71"/>
      <c r="N739" s="71"/>
      <c r="O739" s="71"/>
      <c r="P739" s="71"/>
      <c r="Q739" s="71"/>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c r="AR739" s="70"/>
      <c r="AS739" s="70"/>
    </row>
    <row r="740" spans="1:45" hidden="1" outlineLevel="1" x14ac:dyDescent="0.3">
      <c r="A740" s="56" t="s">
        <v>2800</v>
      </c>
      <c r="B740" s="56" t="s">
        <v>940</v>
      </c>
      <c r="C740" s="143" t="s">
        <v>827</v>
      </c>
      <c r="D740" s="163">
        <v>278000</v>
      </c>
      <c r="E740" s="163">
        <v>278000</v>
      </c>
      <c r="F740" s="163">
        <v>278000</v>
      </c>
      <c r="G740" s="163">
        <v>278000</v>
      </c>
      <c r="H740" s="163">
        <v>278000</v>
      </c>
      <c r="I740" s="143" t="s">
        <v>2804</v>
      </c>
      <c r="K740" s="71"/>
      <c r="L740" s="71"/>
      <c r="M740" s="71"/>
      <c r="N740" s="71"/>
      <c r="O740" s="71"/>
      <c r="P740" s="71"/>
      <c r="Q740" s="71"/>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c r="AR740" s="70"/>
      <c r="AS740" s="70"/>
    </row>
    <row r="741" spans="1:45" hidden="1" outlineLevel="1" x14ac:dyDescent="0.3">
      <c r="A741" s="56" t="s">
        <v>2800</v>
      </c>
      <c r="B741" s="56" t="s">
        <v>940</v>
      </c>
      <c r="C741" s="143" t="s">
        <v>829</v>
      </c>
      <c r="D741" s="163">
        <v>0</v>
      </c>
      <c r="E741" s="163">
        <v>0</v>
      </c>
      <c r="F741" s="163">
        <v>0</v>
      </c>
      <c r="G741" s="163">
        <v>0</v>
      </c>
      <c r="H741" s="163">
        <v>0</v>
      </c>
      <c r="I741" s="143" t="s">
        <v>2715</v>
      </c>
      <c r="K741" s="71"/>
      <c r="L741" s="71"/>
      <c r="M741" s="71"/>
      <c r="N741" s="71"/>
      <c r="O741" s="71"/>
      <c r="P741" s="71"/>
      <c r="Q741" s="71"/>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c r="AR741" s="70"/>
      <c r="AS741" s="70"/>
    </row>
    <row r="742" spans="1:45" hidden="1" outlineLevel="1" x14ac:dyDescent="0.3">
      <c r="A742" s="56" t="s">
        <v>2800</v>
      </c>
      <c r="B742" s="56" t="s">
        <v>940</v>
      </c>
      <c r="C742" s="143" t="s">
        <v>833</v>
      </c>
      <c r="D742" s="163">
        <v>5650</v>
      </c>
      <c r="E742" s="163">
        <v>5500</v>
      </c>
      <c r="F742" s="163">
        <v>5350</v>
      </c>
      <c r="G742" s="163">
        <v>5200</v>
      </c>
      <c r="H742" s="163">
        <v>5200</v>
      </c>
      <c r="I742" s="143" t="s">
        <v>2716</v>
      </c>
      <c r="K742" s="71"/>
      <c r="L742" s="71"/>
      <c r="M742" s="71"/>
      <c r="N742" s="71"/>
      <c r="O742" s="71"/>
      <c r="P742" s="71"/>
      <c r="Q742" s="71"/>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c r="AR742" s="70"/>
      <c r="AS742" s="70"/>
    </row>
    <row r="743" spans="1:45" hidden="1" outlineLevel="1" x14ac:dyDescent="0.3">
      <c r="A743" s="56" t="s">
        <v>2800</v>
      </c>
      <c r="B743" s="56" t="s">
        <v>940</v>
      </c>
      <c r="C743" s="143" t="s">
        <v>836</v>
      </c>
      <c r="D743" s="163">
        <v>0</v>
      </c>
      <c r="E743" s="163">
        <v>0</v>
      </c>
      <c r="F743" s="163">
        <v>0</v>
      </c>
      <c r="G743" s="163">
        <v>0</v>
      </c>
      <c r="H743" s="163">
        <v>0</v>
      </c>
      <c r="I743" s="143"/>
      <c r="K743" s="71"/>
      <c r="L743" s="71"/>
      <c r="M743" s="71"/>
      <c r="N743" s="71"/>
      <c r="O743" s="71"/>
      <c r="P743" s="71"/>
      <c r="Q743" s="71"/>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row>
    <row r="744" spans="1:45" hidden="1" outlineLevel="1" x14ac:dyDescent="0.3">
      <c r="A744" s="56" t="s">
        <v>2800</v>
      </c>
      <c r="B744" s="56" t="s">
        <v>940</v>
      </c>
      <c r="C744" s="143" t="s">
        <v>837</v>
      </c>
      <c r="D744" s="482" t="s">
        <v>204</v>
      </c>
      <c r="E744" s="482" t="s">
        <v>204</v>
      </c>
      <c r="F744" s="482" t="s">
        <v>204</v>
      </c>
      <c r="G744" s="482" t="s">
        <v>204</v>
      </c>
      <c r="H744" s="482" t="s">
        <v>204</v>
      </c>
      <c r="I744" s="143"/>
      <c r="K744" s="71"/>
      <c r="L744" s="71"/>
      <c r="M744" s="71"/>
      <c r="N744" s="71"/>
      <c r="O744" s="71"/>
      <c r="P744" s="71"/>
      <c r="Q744" s="71"/>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row>
    <row r="745" spans="1:45" hidden="1" outlineLevel="1" x14ac:dyDescent="0.3">
      <c r="A745" s="56" t="s">
        <v>2800</v>
      </c>
      <c r="B745" s="56" t="s">
        <v>940</v>
      </c>
      <c r="C745" s="143" t="s">
        <v>839</v>
      </c>
      <c r="D745" s="163">
        <v>0</v>
      </c>
      <c r="E745" s="163">
        <v>0</v>
      </c>
      <c r="F745" s="163">
        <v>0</v>
      </c>
      <c r="G745" s="163">
        <v>0</v>
      </c>
      <c r="H745" s="163">
        <v>0</v>
      </c>
      <c r="I745" s="143" t="s">
        <v>2805</v>
      </c>
      <c r="K745" s="71"/>
      <c r="L745" s="71"/>
      <c r="M745" s="71"/>
      <c r="N745" s="71"/>
      <c r="O745" s="71"/>
      <c r="P745" s="71"/>
      <c r="Q745" s="71"/>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row>
    <row r="746" spans="1:45" hidden="1" outlineLevel="1" x14ac:dyDescent="0.3">
      <c r="A746" s="56" t="s">
        <v>2800</v>
      </c>
      <c r="B746" s="56" t="s">
        <v>940</v>
      </c>
      <c r="C746" s="143" t="s">
        <v>840</v>
      </c>
      <c r="D746" s="482" t="s">
        <v>204</v>
      </c>
      <c r="E746" s="482" t="s">
        <v>204</v>
      </c>
      <c r="F746" s="482" t="s">
        <v>204</v>
      </c>
      <c r="G746" s="482" t="s">
        <v>204</v>
      </c>
      <c r="H746" s="482" t="s">
        <v>204</v>
      </c>
      <c r="I746" s="143"/>
      <c r="K746" s="71"/>
      <c r="L746" s="71"/>
      <c r="M746" s="71"/>
      <c r="N746" s="71"/>
      <c r="O746" s="71"/>
      <c r="P746" s="71"/>
      <c r="Q746" s="71"/>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row>
    <row r="747" spans="1:45" collapsed="1" x14ac:dyDescent="0.3">
      <c r="A747" s="56"/>
      <c r="B747" s="56"/>
      <c r="C747" s="486" t="s">
        <v>2719</v>
      </c>
      <c r="D747" s="57"/>
      <c r="E747" s="57"/>
      <c r="F747" s="57"/>
      <c r="G747" s="57"/>
      <c r="H747" s="57"/>
      <c r="I747" s="143"/>
      <c r="K747" s="70"/>
      <c r="L747" s="70"/>
      <c r="M747" s="71"/>
      <c r="N747" s="71"/>
      <c r="O747" s="71"/>
      <c r="P747" s="71"/>
      <c r="Q747" s="71"/>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row>
    <row r="748" spans="1:45" collapsed="1" x14ac:dyDescent="0.3">
      <c r="A748" s="143" t="s">
        <v>2806</v>
      </c>
      <c r="B748" s="56"/>
      <c r="C748" s="144" t="s">
        <v>2693</v>
      </c>
      <c r="D748" s="163">
        <v>360159</v>
      </c>
      <c r="E748" s="163">
        <v>360759</v>
      </c>
      <c r="F748" s="163">
        <v>361409</v>
      </c>
      <c r="G748" s="163">
        <v>361939</v>
      </c>
      <c r="H748" s="163">
        <v>362309</v>
      </c>
      <c r="I748" s="143"/>
      <c r="K748" s="70"/>
      <c r="L748" s="182"/>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row>
    <row r="749" spans="1:45" x14ac:dyDescent="0.3">
      <c r="A749" s="143" t="s">
        <v>5</v>
      </c>
      <c r="B749" s="143" t="s">
        <v>847</v>
      </c>
      <c r="C749" s="143" t="s">
        <v>193</v>
      </c>
      <c r="D749" s="145">
        <v>2025</v>
      </c>
      <c r="E749" s="145">
        <v>2030</v>
      </c>
      <c r="F749" s="145">
        <v>2035</v>
      </c>
      <c r="G749" s="145">
        <v>2040</v>
      </c>
      <c r="H749" s="145">
        <v>2045</v>
      </c>
      <c r="I749" s="143" t="s">
        <v>153</v>
      </c>
      <c r="K749" s="70"/>
      <c r="L749" s="183"/>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row>
    <row r="750" spans="1:45" hidden="1" outlineLevel="1" x14ac:dyDescent="0.3">
      <c r="A750" s="56" t="s">
        <v>2806</v>
      </c>
      <c r="B750" s="56" t="s">
        <v>855</v>
      </c>
      <c r="C750" s="143" t="s">
        <v>747</v>
      </c>
      <c r="D750" s="482" t="s">
        <v>204</v>
      </c>
      <c r="E750" s="482" t="s">
        <v>204</v>
      </c>
      <c r="F750" s="482" t="s">
        <v>204</v>
      </c>
      <c r="G750" s="482" t="s">
        <v>204</v>
      </c>
      <c r="H750" s="482" t="s">
        <v>204</v>
      </c>
      <c r="I750" s="143"/>
      <c r="K750" s="70"/>
      <c r="L750" s="71"/>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row>
    <row r="751" spans="1:45" hidden="1" outlineLevel="1" x14ac:dyDescent="0.3">
      <c r="A751" s="56" t="s">
        <v>2806</v>
      </c>
      <c r="B751" s="56" t="s">
        <v>855</v>
      </c>
      <c r="C751" s="143" t="s">
        <v>751</v>
      </c>
      <c r="D751" s="163">
        <v>0</v>
      </c>
      <c r="E751" s="163">
        <v>0</v>
      </c>
      <c r="F751" s="163">
        <v>0</v>
      </c>
      <c r="G751" s="163">
        <v>0</v>
      </c>
      <c r="H751" s="163">
        <v>0</v>
      </c>
      <c r="I751" s="143" t="s">
        <v>2696</v>
      </c>
      <c r="K751" s="70"/>
      <c r="L751" s="71"/>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row>
    <row r="752" spans="1:45" hidden="1" outlineLevel="1" x14ac:dyDescent="0.3">
      <c r="A752" s="56" t="s">
        <v>2806</v>
      </c>
      <c r="B752" s="56" t="s">
        <v>855</v>
      </c>
      <c r="C752" s="143" t="s">
        <v>755</v>
      </c>
      <c r="D752" s="163">
        <v>3999</v>
      </c>
      <c r="E752" s="163">
        <v>3999</v>
      </c>
      <c r="F752" s="163">
        <v>3999</v>
      </c>
      <c r="G752" s="163">
        <v>3999</v>
      </c>
      <c r="H752" s="163">
        <v>3999</v>
      </c>
      <c r="I752" s="56" t="s">
        <v>2697</v>
      </c>
      <c r="K752" s="70"/>
      <c r="L752" s="71"/>
      <c r="M752" s="71"/>
      <c r="N752" s="71"/>
      <c r="O752" s="71"/>
      <c r="P752" s="71"/>
      <c r="Q752" s="71"/>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row>
    <row r="753" spans="1:45" hidden="1" outlineLevel="1" x14ac:dyDescent="0.3">
      <c r="A753" s="56" t="s">
        <v>2806</v>
      </c>
      <c r="B753" s="56" t="s">
        <v>855</v>
      </c>
      <c r="C753" s="143" t="s">
        <v>758</v>
      </c>
      <c r="D753" s="163">
        <v>0</v>
      </c>
      <c r="E753" s="163">
        <v>0</v>
      </c>
      <c r="F753" s="163">
        <v>0</v>
      </c>
      <c r="G753" s="163">
        <v>0</v>
      </c>
      <c r="H753" s="163">
        <v>0</v>
      </c>
      <c r="I753" s="143" t="s">
        <v>2699</v>
      </c>
      <c r="K753" s="70"/>
      <c r="L753" s="71"/>
      <c r="M753" s="71"/>
      <c r="N753" s="71"/>
      <c r="O753" s="71"/>
      <c r="P753" s="71"/>
      <c r="Q753" s="71"/>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row>
    <row r="754" spans="1:45" hidden="1" outlineLevel="1" x14ac:dyDescent="0.3">
      <c r="A754" s="56" t="s">
        <v>2806</v>
      </c>
      <c r="B754" s="56" t="s">
        <v>855</v>
      </c>
      <c r="C754" s="143" t="s">
        <v>761</v>
      </c>
      <c r="D754" s="163">
        <v>0</v>
      </c>
      <c r="E754" s="163">
        <v>0</v>
      </c>
      <c r="F754" s="163">
        <v>0</v>
      </c>
      <c r="G754" s="163">
        <v>0</v>
      </c>
      <c r="H754" s="163">
        <v>0</v>
      </c>
      <c r="I754" s="56"/>
      <c r="K754" s="70"/>
      <c r="L754" s="71"/>
      <c r="M754" s="71"/>
      <c r="N754" s="71"/>
      <c r="O754" s="71"/>
      <c r="P754" s="71"/>
      <c r="Q754" s="71"/>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row>
    <row r="755" spans="1:45" hidden="1" outlineLevel="1" x14ac:dyDescent="0.3">
      <c r="A755" s="56" t="s">
        <v>2806</v>
      </c>
      <c r="B755" s="56" t="s">
        <v>855</v>
      </c>
      <c r="C755" s="143" t="s">
        <v>763</v>
      </c>
      <c r="D755" s="163">
        <v>4500</v>
      </c>
      <c r="E755" s="163">
        <v>4500</v>
      </c>
      <c r="F755" s="163">
        <v>4500</v>
      </c>
      <c r="G755" s="163">
        <v>4500</v>
      </c>
      <c r="H755" s="163">
        <v>4500</v>
      </c>
      <c r="I755" s="56" t="s">
        <v>2801</v>
      </c>
      <c r="K755" s="70"/>
      <c r="L755" s="71"/>
      <c r="M755" s="71"/>
      <c r="N755" s="71"/>
      <c r="O755" s="71"/>
      <c r="P755" s="71"/>
      <c r="Q755" s="71"/>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c r="AR755" s="70"/>
      <c r="AS755" s="70"/>
    </row>
    <row r="756" spans="1:45" hidden="1" outlineLevel="1" x14ac:dyDescent="0.3">
      <c r="A756" s="56" t="s">
        <v>2806</v>
      </c>
      <c r="B756" s="56" t="s">
        <v>855</v>
      </c>
      <c r="C756" s="143" t="s">
        <v>765</v>
      </c>
      <c r="D756" s="163">
        <v>0</v>
      </c>
      <c r="E756" s="163">
        <v>0</v>
      </c>
      <c r="F756" s="163">
        <v>0</v>
      </c>
      <c r="G756" s="163">
        <v>0</v>
      </c>
      <c r="H756" s="163">
        <v>0</v>
      </c>
      <c r="I756" s="143" t="s">
        <v>2722</v>
      </c>
      <c r="K756" s="70"/>
      <c r="L756" s="71"/>
      <c r="M756" s="71"/>
      <c r="N756" s="71"/>
      <c r="O756" s="71"/>
      <c r="P756" s="71"/>
      <c r="Q756" s="71"/>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c r="AR756" s="70"/>
      <c r="AS756" s="70"/>
    </row>
    <row r="757" spans="1:45" hidden="1" outlineLevel="1" x14ac:dyDescent="0.3">
      <c r="A757" s="56" t="s">
        <v>2806</v>
      </c>
      <c r="B757" s="56" t="s">
        <v>855</v>
      </c>
      <c r="C757" s="143" t="s">
        <v>768</v>
      </c>
      <c r="D757" s="482" t="s">
        <v>204</v>
      </c>
      <c r="E757" s="482" t="s">
        <v>204</v>
      </c>
      <c r="F757" s="482" t="s">
        <v>204</v>
      </c>
      <c r="G757" s="482" t="s">
        <v>204</v>
      </c>
      <c r="H757" s="482" t="s">
        <v>204</v>
      </c>
      <c r="I757" s="143"/>
      <c r="K757" s="70"/>
      <c r="L757" s="71"/>
      <c r="M757" s="71"/>
      <c r="N757" s="71"/>
      <c r="O757" s="71"/>
      <c r="P757" s="71"/>
      <c r="Q757" s="71"/>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c r="AR757" s="70"/>
      <c r="AS757" s="70"/>
    </row>
    <row r="758" spans="1:45" hidden="1" outlineLevel="1" x14ac:dyDescent="0.3">
      <c r="A758" s="56" t="s">
        <v>2806</v>
      </c>
      <c r="B758" s="56" t="s">
        <v>855</v>
      </c>
      <c r="C758" s="143" t="s">
        <v>771</v>
      </c>
      <c r="D758" s="163">
        <v>62700</v>
      </c>
      <c r="E758" s="163">
        <v>62700</v>
      </c>
      <c r="F758" s="163">
        <v>62700</v>
      </c>
      <c r="G758" s="163">
        <v>62700</v>
      </c>
      <c r="H758" s="163">
        <v>62700</v>
      </c>
      <c r="I758" s="143" t="s">
        <v>2723</v>
      </c>
      <c r="K758" s="71"/>
      <c r="L758" s="71"/>
      <c r="M758" s="71"/>
      <c r="N758" s="71"/>
      <c r="O758" s="71"/>
      <c r="P758" s="71"/>
      <c r="Q758" s="71"/>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c r="AR758" s="70"/>
      <c r="AS758" s="70"/>
    </row>
    <row r="759" spans="1:45" hidden="1" outlineLevel="1" x14ac:dyDescent="0.3">
      <c r="A759" s="56" t="s">
        <v>2806</v>
      </c>
      <c r="B759" s="56" t="s">
        <v>855</v>
      </c>
      <c r="C759" s="143" t="s">
        <v>772</v>
      </c>
      <c r="D759" s="163">
        <v>0</v>
      </c>
      <c r="E759" s="163">
        <v>0</v>
      </c>
      <c r="F759" s="163">
        <v>0</v>
      </c>
      <c r="G759" s="163">
        <v>0</v>
      </c>
      <c r="H759" s="163">
        <v>0</v>
      </c>
      <c r="I759" s="143"/>
      <c r="K759" s="71"/>
      <c r="L759" s="71"/>
      <c r="M759" s="71"/>
      <c r="N759" s="71"/>
      <c r="O759" s="71"/>
      <c r="P759" s="71"/>
      <c r="Q759" s="71"/>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c r="AR759" s="70"/>
      <c r="AS759" s="70"/>
    </row>
    <row r="760" spans="1:45" hidden="1" outlineLevel="1" x14ac:dyDescent="0.3">
      <c r="A760" s="56" t="s">
        <v>2806</v>
      </c>
      <c r="B760" s="56" t="s">
        <v>855</v>
      </c>
      <c r="C760" s="143" t="s">
        <v>774</v>
      </c>
      <c r="D760" s="163">
        <v>0</v>
      </c>
      <c r="E760" s="163">
        <v>0</v>
      </c>
      <c r="F760" s="163">
        <v>0</v>
      </c>
      <c r="G760" s="163">
        <v>0</v>
      </c>
      <c r="H760" s="163">
        <v>0</v>
      </c>
      <c r="I760" s="56" t="s">
        <v>2771</v>
      </c>
      <c r="K760" s="71"/>
      <c r="L760" s="71"/>
      <c r="M760" s="71"/>
      <c r="N760" s="71"/>
      <c r="O760" s="71"/>
      <c r="P760" s="71"/>
      <c r="Q760" s="71"/>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c r="AR760" s="70"/>
      <c r="AS760" s="70"/>
    </row>
    <row r="761" spans="1:45" hidden="1" outlineLevel="1" x14ac:dyDescent="0.3">
      <c r="A761" s="56" t="s">
        <v>2806</v>
      </c>
      <c r="B761" s="56" t="s">
        <v>855</v>
      </c>
      <c r="C761" s="143" t="s">
        <v>775</v>
      </c>
      <c r="D761" s="482" t="s">
        <v>204</v>
      </c>
      <c r="E761" s="482" t="s">
        <v>204</v>
      </c>
      <c r="F761" s="482" t="s">
        <v>204</v>
      </c>
      <c r="G761" s="482" t="s">
        <v>204</v>
      </c>
      <c r="H761" s="482" t="s">
        <v>204</v>
      </c>
      <c r="I761" s="143"/>
      <c r="K761" s="71"/>
      <c r="L761" s="71"/>
      <c r="M761" s="71"/>
      <c r="N761" s="71"/>
      <c r="O761" s="71"/>
      <c r="P761" s="71"/>
      <c r="Q761" s="71"/>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c r="AR761" s="70"/>
      <c r="AS761" s="70"/>
    </row>
    <row r="762" spans="1:45" hidden="1" outlineLevel="1" x14ac:dyDescent="0.3">
      <c r="A762" s="56" t="s">
        <v>2806</v>
      </c>
      <c r="B762" s="56" t="s">
        <v>855</v>
      </c>
      <c r="C762" s="143" t="s">
        <v>779</v>
      </c>
      <c r="D762" s="482" t="s">
        <v>204</v>
      </c>
      <c r="E762" s="482" t="s">
        <v>204</v>
      </c>
      <c r="F762" s="482" t="s">
        <v>204</v>
      </c>
      <c r="G762" s="482" t="s">
        <v>204</v>
      </c>
      <c r="H762" s="482" t="s">
        <v>204</v>
      </c>
      <c r="I762" s="143"/>
      <c r="K762" s="71"/>
      <c r="L762" s="71"/>
      <c r="M762" s="71"/>
      <c r="N762" s="71"/>
      <c r="O762" s="71"/>
      <c r="P762" s="71"/>
      <c r="Q762" s="71"/>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c r="AR762" s="70"/>
      <c r="AS762" s="70"/>
    </row>
    <row r="763" spans="1:45" hidden="1" outlineLevel="1" x14ac:dyDescent="0.3">
      <c r="A763" s="56" t="s">
        <v>2806</v>
      </c>
      <c r="B763" s="56" t="s">
        <v>894</v>
      </c>
      <c r="C763" s="143" t="s">
        <v>781</v>
      </c>
      <c r="D763" s="482" t="s">
        <v>204</v>
      </c>
      <c r="E763" s="482" t="s">
        <v>204</v>
      </c>
      <c r="F763" s="482" t="s">
        <v>204</v>
      </c>
      <c r="G763" s="482" t="s">
        <v>204</v>
      </c>
      <c r="H763" s="482" t="s">
        <v>204</v>
      </c>
      <c r="I763" s="143"/>
      <c r="K763" s="71"/>
      <c r="L763" s="71"/>
      <c r="M763" s="71"/>
      <c r="N763" s="71"/>
      <c r="O763" s="71"/>
      <c r="P763" s="71"/>
      <c r="Q763" s="71"/>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c r="AR763" s="70"/>
      <c r="AS763" s="70"/>
    </row>
    <row r="764" spans="1:45" hidden="1" outlineLevel="1" x14ac:dyDescent="0.3">
      <c r="A764" s="56" t="s">
        <v>2806</v>
      </c>
      <c r="B764" s="56" t="s">
        <v>894</v>
      </c>
      <c r="C764" s="143" t="s">
        <v>783</v>
      </c>
      <c r="D764" s="163">
        <v>0</v>
      </c>
      <c r="E764" s="163">
        <v>0</v>
      </c>
      <c r="F764" s="163">
        <v>0</v>
      </c>
      <c r="G764" s="163">
        <v>0</v>
      </c>
      <c r="H764" s="163">
        <v>0</v>
      </c>
      <c r="I764" s="143" t="s">
        <v>2706</v>
      </c>
      <c r="K764" s="71"/>
      <c r="L764" s="71"/>
      <c r="M764" s="71"/>
      <c r="N764" s="71"/>
      <c r="O764" s="71"/>
      <c r="P764" s="71"/>
      <c r="Q764" s="71"/>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c r="AR764" s="70"/>
      <c r="AS764" s="70"/>
    </row>
    <row r="765" spans="1:45" hidden="1" outlineLevel="1" x14ac:dyDescent="0.3">
      <c r="A765" s="56" t="s">
        <v>2806</v>
      </c>
      <c r="B765" s="56" t="s">
        <v>894</v>
      </c>
      <c r="C765" s="143" t="s">
        <v>785</v>
      </c>
      <c r="D765" s="163">
        <v>0</v>
      </c>
      <c r="E765" s="163">
        <v>0</v>
      </c>
      <c r="F765" s="163">
        <v>0</v>
      </c>
      <c r="G765" s="163">
        <v>0</v>
      </c>
      <c r="H765" s="163">
        <v>0</v>
      </c>
      <c r="I765" s="56" t="s">
        <v>2724</v>
      </c>
      <c r="K765" s="71"/>
      <c r="L765" s="71"/>
      <c r="M765" s="71"/>
      <c r="N765" s="71"/>
      <c r="O765" s="71"/>
      <c r="P765" s="71"/>
      <c r="Q765" s="71"/>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c r="AR765" s="70"/>
      <c r="AS765" s="70"/>
    </row>
    <row r="766" spans="1:45" hidden="1" outlineLevel="1" x14ac:dyDescent="0.3">
      <c r="A766" s="56" t="s">
        <v>2806</v>
      </c>
      <c r="B766" s="56" t="s">
        <v>894</v>
      </c>
      <c r="C766" s="143" t="s">
        <v>787</v>
      </c>
      <c r="D766" s="482" t="s">
        <v>204</v>
      </c>
      <c r="E766" s="482" t="s">
        <v>204</v>
      </c>
      <c r="F766" s="482" t="s">
        <v>204</v>
      </c>
      <c r="G766" s="482" t="s">
        <v>204</v>
      </c>
      <c r="H766" s="482" t="s">
        <v>204</v>
      </c>
      <c r="I766" s="143"/>
      <c r="K766" s="71"/>
      <c r="L766" s="71"/>
      <c r="M766" s="71"/>
      <c r="N766" s="71"/>
      <c r="O766" s="71"/>
      <c r="P766" s="71"/>
      <c r="Q766" s="71"/>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c r="AR766" s="70"/>
      <c r="AS766" s="70"/>
    </row>
    <row r="767" spans="1:45" hidden="1" outlineLevel="1" x14ac:dyDescent="0.3">
      <c r="A767" s="56" t="s">
        <v>2806</v>
      </c>
      <c r="B767" s="56" t="s">
        <v>894</v>
      </c>
      <c r="C767" s="143" t="s">
        <v>788</v>
      </c>
      <c r="D767" s="482" t="s">
        <v>204</v>
      </c>
      <c r="E767" s="482" t="s">
        <v>204</v>
      </c>
      <c r="F767" s="482" t="s">
        <v>204</v>
      </c>
      <c r="G767" s="482" t="s">
        <v>204</v>
      </c>
      <c r="H767" s="482" t="s">
        <v>204</v>
      </c>
      <c r="I767" s="143"/>
      <c r="K767" s="71"/>
      <c r="L767" s="71"/>
      <c r="M767" s="71"/>
      <c r="N767" s="71"/>
      <c r="O767" s="71"/>
      <c r="P767" s="71"/>
      <c r="Q767" s="71"/>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c r="AR767" s="70"/>
      <c r="AS767" s="70"/>
    </row>
    <row r="768" spans="1:45" hidden="1" outlineLevel="1" x14ac:dyDescent="0.3">
      <c r="A768" s="56" t="s">
        <v>2806</v>
      </c>
      <c r="B768" s="56" t="s">
        <v>894</v>
      </c>
      <c r="C768" s="143" t="s">
        <v>789</v>
      </c>
      <c r="D768" s="482" t="s">
        <v>204</v>
      </c>
      <c r="E768" s="482" t="s">
        <v>204</v>
      </c>
      <c r="F768" s="482" t="s">
        <v>204</v>
      </c>
      <c r="G768" s="482" t="s">
        <v>204</v>
      </c>
      <c r="H768" s="482" t="s">
        <v>204</v>
      </c>
      <c r="I768" s="143"/>
      <c r="K768" s="71"/>
      <c r="L768" s="71"/>
      <c r="M768" s="71"/>
      <c r="N768" s="71"/>
      <c r="O768" s="71"/>
      <c r="P768" s="71"/>
      <c r="Q768" s="71"/>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c r="AR768" s="70"/>
      <c r="AS768" s="70"/>
    </row>
    <row r="769" spans="1:45" hidden="1" outlineLevel="1" x14ac:dyDescent="0.3">
      <c r="A769" s="56" t="s">
        <v>2806</v>
      </c>
      <c r="B769" s="56" t="s">
        <v>894</v>
      </c>
      <c r="C769" s="143" t="s">
        <v>790</v>
      </c>
      <c r="D769" s="163">
        <v>0</v>
      </c>
      <c r="E769" s="163">
        <v>0</v>
      </c>
      <c r="F769" s="163">
        <v>0</v>
      </c>
      <c r="G769" s="163">
        <v>0</v>
      </c>
      <c r="H769" s="163">
        <v>0</v>
      </c>
      <c r="I769" s="143" t="s">
        <v>2725</v>
      </c>
      <c r="K769" s="71"/>
      <c r="L769" s="71"/>
      <c r="M769" s="71"/>
      <c r="N769" s="71"/>
      <c r="O769" s="71"/>
      <c r="P769" s="71"/>
      <c r="Q769" s="71"/>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c r="AR769" s="70"/>
      <c r="AS769" s="70"/>
    </row>
    <row r="770" spans="1:45" hidden="1" outlineLevel="1" x14ac:dyDescent="0.3">
      <c r="A770" s="56" t="s">
        <v>2806</v>
      </c>
      <c r="B770" s="56" t="s">
        <v>894</v>
      </c>
      <c r="C770" s="143" t="s">
        <v>793</v>
      </c>
      <c r="D770" s="482" t="s">
        <v>204</v>
      </c>
      <c r="E770" s="482" t="s">
        <v>204</v>
      </c>
      <c r="F770" s="482" t="s">
        <v>204</v>
      </c>
      <c r="G770" s="482" t="s">
        <v>204</v>
      </c>
      <c r="H770" s="482" t="s">
        <v>204</v>
      </c>
      <c r="I770" s="143"/>
      <c r="K770" s="71"/>
      <c r="L770" s="71"/>
      <c r="M770" s="71"/>
      <c r="N770" s="71"/>
      <c r="O770" s="71"/>
      <c r="P770" s="71"/>
      <c r="Q770" s="71"/>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c r="AS770" s="70"/>
    </row>
    <row r="771" spans="1:45" hidden="1" outlineLevel="1" x14ac:dyDescent="0.3">
      <c r="A771" s="56" t="s">
        <v>2806</v>
      </c>
      <c r="B771" s="56" t="s">
        <v>894</v>
      </c>
      <c r="C771" s="143" t="s">
        <v>795</v>
      </c>
      <c r="D771" s="482" t="s">
        <v>204</v>
      </c>
      <c r="E771" s="482" t="s">
        <v>204</v>
      </c>
      <c r="F771" s="482" t="s">
        <v>204</v>
      </c>
      <c r="G771" s="482" t="s">
        <v>204</v>
      </c>
      <c r="H771" s="482" t="s">
        <v>204</v>
      </c>
      <c r="I771" s="143"/>
      <c r="K771" s="71"/>
      <c r="L771" s="71"/>
      <c r="M771" s="71"/>
      <c r="N771" s="71"/>
      <c r="O771" s="71"/>
      <c r="P771" s="71"/>
      <c r="Q771" s="71"/>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c r="AS771" s="70"/>
    </row>
    <row r="772" spans="1:45" hidden="1" outlineLevel="1" x14ac:dyDescent="0.3">
      <c r="A772" s="56" t="s">
        <v>2806</v>
      </c>
      <c r="B772" s="56" t="s">
        <v>894</v>
      </c>
      <c r="C772" s="143" t="s">
        <v>797</v>
      </c>
      <c r="D772" s="163">
        <v>0</v>
      </c>
      <c r="E772" s="163">
        <v>0</v>
      </c>
      <c r="F772" s="163">
        <v>0</v>
      </c>
      <c r="G772" s="163">
        <v>0</v>
      </c>
      <c r="H772" s="163">
        <v>0</v>
      </c>
      <c r="I772" s="143" t="s">
        <v>2807</v>
      </c>
      <c r="K772" s="71"/>
      <c r="L772" s="71"/>
      <c r="M772" s="71"/>
      <c r="N772" s="71"/>
      <c r="O772" s="71"/>
      <c r="P772" s="71"/>
      <c r="Q772" s="71"/>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row>
    <row r="773" spans="1:45" hidden="1" outlineLevel="1" x14ac:dyDescent="0.3">
      <c r="A773" s="56" t="s">
        <v>2806</v>
      </c>
      <c r="B773" s="56" t="s">
        <v>915</v>
      </c>
      <c r="C773" s="143" t="s">
        <v>799</v>
      </c>
      <c r="D773" s="163">
        <v>0</v>
      </c>
      <c r="E773" s="163">
        <v>0</v>
      </c>
      <c r="F773" s="163">
        <v>0</v>
      </c>
      <c r="G773" s="163">
        <v>0</v>
      </c>
      <c r="H773" s="163">
        <v>0</v>
      </c>
      <c r="I773" s="143" t="s">
        <v>2775</v>
      </c>
      <c r="K773" s="71"/>
      <c r="L773" s="71"/>
      <c r="M773" s="71"/>
      <c r="N773" s="71"/>
      <c r="O773" s="71"/>
      <c r="P773" s="71"/>
      <c r="Q773" s="71"/>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row>
    <row r="774" spans="1:45" hidden="1" outlineLevel="1" x14ac:dyDescent="0.3">
      <c r="A774" s="56" t="s">
        <v>2806</v>
      </c>
      <c r="B774" s="56" t="s">
        <v>915</v>
      </c>
      <c r="C774" s="143" t="s">
        <v>801</v>
      </c>
      <c r="D774" s="163">
        <v>0</v>
      </c>
      <c r="E774" s="163">
        <v>0</v>
      </c>
      <c r="F774" s="163">
        <v>0</v>
      </c>
      <c r="G774" s="163">
        <v>0</v>
      </c>
      <c r="H774" s="163">
        <v>0</v>
      </c>
      <c r="I774" s="143" t="s">
        <v>2797</v>
      </c>
      <c r="K774" s="71"/>
      <c r="L774" s="71"/>
      <c r="M774" s="71"/>
      <c r="N774" s="71"/>
      <c r="O774" s="71"/>
      <c r="P774" s="71"/>
      <c r="Q774" s="71"/>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c r="AS774" s="70"/>
    </row>
    <row r="775" spans="1:45" hidden="1" outlineLevel="1" x14ac:dyDescent="0.3">
      <c r="A775" s="56" t="s">
        <v>2806</v>
      </c>
      <c r="B775" s="56" t="s">
        <v>915</v>
      </c>
      <c r="C775" s="143" t="s">
        <v>804</v>
      </c>
      <c r="D775" s="163">
        <v>10260</v>
      </c>
      <c r="E775" s="163">
        <v>10760</v>
      </c>
      <c r="F775" s="163">
        <v>11310</v>
      </c>
      <c r="G775" s="163">
        <v>11740</v>
      </c>
      <c r="H775" s="163">
        <v>12110</v>
      </c>
      <c r="I775" s="143" t="s">
        <v>2762</v>
      </c>
      <c r="K775" s="71"/>
      <c r="L775" s="71"/>
      <c r="M775" s="71"/>
      <c r="N775" s="71"/>
      <c r="O775" s="71"/>
      <c r="P775" s="71"/>
      <c r="Q775" s="71"/>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row>
    <row r="776" spans="1:45" hidden="1" outlineLevel="1" x14ac:dyDescent="0.3">
      <c r="A776" s="56" t="s">
        <v>2806</v>
      </c>
      <c r="B776" s="56" t="s">
        <v>915</v>
      </c>
      <c r="C776" s="143" t="s">
        <v>806</v>
      </c>
      <c r="D776" s="163">
        <v>0</v>
      </c>
      <c r="E776" s="163">
        <v>0</v>
      </c>
      <c r="F776" s="163">
        <v>0</v>
      </c>
      <c r="G776" s="163">
        <v>0</v>
      </c>
      <c r="H776" s="163">
        <v>0</v>
      </c>
      <c r="I776" s="143"/>
      <c r="K776" s="71"/>
      <c r="L776" s="71"/>
      <c r="M776" s="71"/>
      <c r="N776" s="71"/>
      <c r="O776" s="71"/>
      <c r="P776" s="71"/>
      <c r="Q776" s="71"/>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row>
    <row r="777" spans="1:45" hidden="1" outlineLevel="1" x14ac:dyDescent="0.3">
      <c r="A777" s="56" t="s">
        <v>2806</v>
      </c>
      <c r="B777" s="56" t="s">
        <v>915</v>
      </c>
      <c r="C777" s="143" t="s">
        <v>808</v>
      </c>
      <c r="D777" s="163">
        <v>0</v>
      </c>
      <c r="E777" s="163">
        <v>0</v>
      </c>
      <c r="F777" s="163">
        <v>0</v>
      </c>
      <c r="G777" s="163">
        <v>0</v>
      </c>
      <c r="H777" s="163">
        <v>0</v>
      </c>
      <c r="I777" s="143"/>
      <c r="K777" s="71"/>
      <c r="L777" s="71"/>
      <c r="M777" s="71"/>
      <c r="N777" s="71"/>
      <c r="O777" s="71"/>
      <c r="P777" s="71"/>
      <c r="Q777" s="71"/>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row>
    <row r="778" spans="1:45" hidden="1" outlineLevel="1" x14ac:dyDescent="0.3">
      <c r="A778" s="56" t="s">
        <v>2806</v>
      </c>
      <c r="B778" s="56" t="s">
        <v>915</v>
      </c>
      <c r="C778" s="143" t="s">
        <v>811</v>
      </c>
      <c r="D778" s="163">
        <v>0</v>
      </c>
      <c r="E778" s="163">
        <v>0</v>
      </c>
      <c r="F778" s="163">
        <v>0</v>
      </c>
      <c r="G778" s="163">
        <v>0</v>
      </c>
      <c r="H778" s="163">
        <v>0</v>
      </c>
      <c r="I778" s="143" t="s">
        <v>2713</v>
      </c>
      <c r="K778" s="71"/>
      <c r="L778" s="71"/>
      <c r="M778" s="71"/>
      <c r="N778" s="71"/>
      <c r="O778" s="71"/>
      <c r="P778" s="71"/>
      <c r="Q778" s="71"/>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c r="AS778" s="70"/>
    </row>
    <row r="779" spans="1:45" hidden="1" outlineLevel="1" x14ac:dyDescent="0.3">
      <c r="A779" s="56" t="s">
        <v>2806</v>
      </c>
      <c r="B779" s="56" t="s">
        <v>934</v>
      </c>
      <c r="C779" s="143" t="s">
        <v>814</v>
      </c>
      <c r="D779" s="163" t="s">
        <v>204</v>
      </c>
      <c r="E779" s="163" t="s">
        <v>204</v>
      </c>
      <c r="F779" s="163" t="s">
        <v>204</v>
      </c>
      <c r="G779" s="163" t="s">
        <v>204</v>
      </c>
      <c r="H779" s="163" t="s">
        <v>204</v>
      </c>
      <c r="I779" s="143"/>
      <c r="K779" s="71"/>
      <c r="L779" s="71"/>
      <c r="M779" s="71"/>
      <c r="N779" s="71"/>
      <c r="O779" s="71"/>
      <c r="P779" s="71"/>
      <c r="Q779" s="71"/>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row>
    <row r="780" spans="1:45" hidden="1" outlineLevel="1" x14ac:dyDescent="0.3">
      <c r="A780" s="56" t="s">
        <v>2806</v>
      </c>
      <c r="B780" s="56" t="s">
        <v>934</v>
      </c>
      <c r="C780" s="143" t="s">
        <v>815</v>
      </c>
      <c r="D780" s="482" t="s">
        <v>204</v>
      </c>
      <c r="E780" s="482" t="s">
        <v>204</v>
      </c>
      <c r="F780" s="482" t="s">
        <v>204</v>
      </c>
      <c r="G780" s="482" t="s">
        <v>204</v>
      </c>
      <c r="H780" s="482" t="s">
        <v>204</v>
      </c>
      <c r="I780" s="143"/>
      <c r="K780" s="71"/>
      <c r="L780" s="71"/>
      <c r="M780" s="71"/>
      <c r="N780" s="71"/>
      <c r="O780" s="71"/>
      <c r="P780" s="71"/>
      <c r="Q780" s="71"/>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row>
    <row r="781" spans="1:45" hidden="1" outlineLevel="1" x14ac:dyDescent="0.3">
      <c r="A781" s="56" t="s">
        <v>2806</v>
      </c>
      <c r="B781" s="56" t="s">
        <v>940</v>
      </c>
      <c r="C781" s="143" t="s">
        <v>817</v>
      </c>
      <c r="D781" s="163">
        <v>0</v>
      </c>
      <c r="E781" s="163">
        <v>0</v>
      </c>
      <c r="F781" s="163">
        <v>0</v>
      </c>
      <c r="G781" s="163">
        <v>0</v>
      </c>
      <c r="H781" s="163">
        <v>0</v>
      </c>
      <c r="I781" s="143" t="s">
        <v>2731</v>
      </c>
      <c r="K781" s="71"/>
      <c r="L781" s="71"/>
      <c r="M781" s="71"/>
      <c r="N781" s="71"/>
      <c r="O781" s="71"/>
      <c r="P781" s="71"/>
      <c r="Q781" s="71"/>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row>
    <row r="782" spans="1:45" hidden="1" outlineLevel="1" x14ac:dyDescent="0.3">
      <c r="A782" s="56" t="s">
        <v>2806</v>
      </c>
      <c r="B782" s="56" t="s">
        <v>940</v>
      </c>
      <c r="C782" s="143" t="s">
        <v>944</v>
      </c>
      <c r="D782" s="163">
        <v>0</v>
      </c>
      <c r="E782" s="163">
        <v>0</v>
      </c>
      <c r="F782" s="163">
        <v>0</v>
      </c>
      <c r="G782" s="163">
        <v>0</v>
      </c>
      <c r="H782" s="163">
        <v>0</v>
      </c>
      <c r="I782" s="143" t="s">
        <v>2803</v>
      </c>
      <c r="K782" s="71"/>
      <c r="L782" s="71"/>
      <c r="M782" s="71"/>
      <c r="N782" s="71"/>
      <c r="O782" s="71"/>
      <c r="P782" s="71"/>
      <c r="Q782" s="71"/>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c r="AS782" s="70"/>
    </row>
    <row r="783" spans="1:45" hidden="1" outlineLevel="1" x14ac:dyDescent="0.3">
      <c r="A783" s="56" t="s">
        <v>2806</v>
      </c>
      <c r="B783" s="56" t="s">
        <v>940</v>
      </c>
      <c r="C783" s="143" t="s">
        <v>821</v>
      </c>
      <c r="D783" s="482" t="s">
        <v>204</v>
      </c>
      <c r="E783" s="482" t="s">
        <v>204</v>
      </c>
      <c r="F783" s="482" t="s">
        <v>204</v>
      </c>
      <c r="G783" s="482" t="s">
        <v>204</v>
      </c>
      <c r="H783" s="482" t="s">
        <v>204</v>
      </c>
      <c r="I783" s="143"/>
      <c r="K783" s="71"/>
      <c r="L783" s="71"/>
      <c r="M783" s="71"/>
      <c r="N783" s="71"/>
      <c r="O783" s="71"/>
      <c r="P783" s="71"/>
      <c r="Q783" s="71"/>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row>
    <row r="784" spans="1:45" hidden="1" outlineLevel="1" x14ac:dyDescent="0.3">
      <c r="A784" s="56" t="s">
        <v>2806</v>
      </c>
      <c r="B784" s="56" t="s">
        <v>940</v>
      </c>
      <c r="C784" s="143" t="s">
        <v>823</v>
      </c>
      <c r="D784" s="482" t="s">
        <v>204</v>
      </c>
      <c r="E784" s="482" t="s">
        <v>204</v>
      </c>
      <c r="F784" s="482" t="s">
        <v>204</v>
      </c>
      <c r="G784" s="482" t="s">
        <v>204</v>
      </c>
      <c r="H784" s="482" t="s">
        <v>204</v>
      </c>
      <c r="I784" s="143"/>
      <c r="K784" s="71"/>
      <c r="L784" s="71"/>
      <c r="M784" s="71"/>
      <c r="N784" s="71"/>
      <c r="O784" s="71"/>
      <c r="P784" s="71"/>
      <c r="Q784" s="71"/>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row>
    <row r="785" spans="1:45" hidden="1" outlineLevel="1" x14ac:dyDescent="0.3">
      <c r="A785" s="56" t="s">
        <v>2806</v>
      </c>
      <c r="B785" s="56" t="s">
        <v>940</v>
      </c>
      <c r="C785" s="143" t="s">
        <v>825</v>
      </c>
      <c r="D785" s="482" t="s">
        <v>204</v>
      </c>
      <c r="E785" s="482" t="s">
        <v>204</v>
      </c>
      <c r="F785" s="482" t="s">
        <v>204</v>
      </c>
      <c r="G785" s="482" t="s">
        <v>204</v>
      </c>
      <c r="H785" s="482" t="s">
        <v>204</v>
      </c>
      <c r="I785" s="143"/>
      <c r="K785" s="71"/>
      <c r="L785" s="71"/>
      <c r="M785" s="71"/>
      <c r="N785" s="71"/>
      <c r="O785" s="71"/>
      <c r="P785" s="71"/>
      <c r="Q785" s="71"/>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row>
    <row r="786" spans="1:45" hidden="1" outlineLevel="1" x14ac:dyDescent="0.3">
      <c r="A786" s="56" t="s">
        <v>2806</v>
      </c>
      <c r="B786" s="56" t="s">
        <v>940</v>
      </c>
      <c r="C786" s="143" t="s">
        <v>827</v>
      </c>
      <c r="D786" s="163">
        <v>278000</v>
      </c>
      <c r="E786" s="163">
        <v>278000</v>
      </c>
      <c r="F786" s="163">
        <v>278000</v>
      </c>
      <c r="G786" s="163">
        <v>278000</v>
      </c>
      <c r="H786" s="163">
        <v>278000</v>
      </c>
      <c r="I786" s="143" t="s">
        <v>2808</v>
      </c>
      <c r="K786" s="71"/>
      <c r="L786" s="71"/>
      <c r="M786" s="71"/>
      <c r="N786" s="71"/>
      <c r="O786" s="71"/>
      <c r="P786" s="71"/>
      <c r="Q786" s="71"/>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c r="AS786" s="70"/>
    </row>
    <row r="787" spans="1:45" hidden="1" outlineLevel="1" x14ac:dyDescent="0.3">
      <c r="A787" s="56" t="s">
        <v>2806</v>
      </c>
      <c r="B787" s="56" t="s">
        <v>940</v>
      </c>
      <c r="C787" s="143" t="s">
        <v>829</v>
      </c>
      <c r="D787" s="163">
        <v>0</v>
      </c>
      <c r="E787" s="163">
        <v>0</v>
      </c>
      <c r="F787" s="163">
        <v>0</v>
      </c>
      <c r="G787" s="163">
        <v>0</v>
      </c>
      <c r="H787" s="163">
        <v>0</v>
      </c>
      <c r="I787" s="143" t="s">
        <v>2715</v>
      </c>
      <c r="K787" s="71"/>
      <c r="L787" s="71"/>
      <c r="M787" s="71"/>
      <c r="N787" s="71"/>
      <c r="O787" s="71"/>
      <c r="P787" s="71"/>
      <c r="Q787" s="71"/>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row>
    <row r="788" spans="1:45" hidden="1" outlineLevel="1" x14ac:dyDescent="0.3">
      <c r="A788" s="56" t="s">
        <v>2806</v>
      </c>
      <c r="B788" s="56" t="s">
        <v>940</v>
      </c>
      <c r="C788" s="143" t="s">
        <v>833</v>
      </c>
      <c r="D788" s="163">
        <v>700</v>
      </c>
      <c r="E788" s="163">
        <v>800</v>
      </c>
      <c r="F788" s="163">
        <v>900</v>
      </c>
      <c r="G788" s="163">
        <v>1000</v>
      </c>
      <c r="H788" s="163">
        <v>1000</v>
      </c>
      <c r="I788" s="143" t="s">
        <v>2732</v>
      </c>
      <c r="K788" s="71"/>
      <c r="L788" s="71"/>
      <c r="M788" s="71"/>
      <c r="N788" s="71"/>
      <c r="O788" s="71"/>
      <c r="P788" s="71"/>
      <c r="Q788" s="71"/>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row>
    <row r="789" spans="1:45" hidden="1" outlineLevel="1" x14ac:dyDescent="0.3">
      <c r="A789" s="56" t="s">
        <v>2806</v>
      </c>
      <c r="B789" s="56" t="s">
        <v>940</v>
      </c>
      <c r="C789" s="143" t="s">
        <v>836</v>
      </c>
      <c r="D789" s="163">
        <v>0</v>
      </c>
      <c r="E789" s="163">
        <v>0</v>
      </c>
      <c r="F789" s="163">
        <v>0</v>
      </c>
      <c r="G789" s="163">
        <v>0</v>
      </c>
      <c r="H789" s="163">
        <v>0</v>
      </c>
      <c r="I789" s="143"/>
      <c r="K789" s="71"/>
      <c r="L789" s="71"/>
      <c r="M789" s="71"/>
      <c r="N789" s="71"/>
      <c r="O789" s="71"/>
      <c r="P789" s="71"/>
      <c r="Q789" s="71"/>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row>
    <row r="790" spans="1:45" hidden="1" outlineLevel="1" x14ac:dyDescent="0.3">
      <c r="A790" s="56" t="s">
        <v>2806</v>
      </c>
      <c r="B790" s="56" t="s">
        <v>940</v>
      </c>
      <c r="C790" s="143" t="s">
        <v>837</v>
      </c>
      <c r="D790" s="482" t="s">
        <v>204</v>
      </c>
      <c r="E790" s="482" t="s">
        <v>204</v>
      </c>
      <c r="F790" s="482" t="s">
        <v>204</v>
      </c>
      <c r="G790" s="482" t="s">
        <v>204</v>
      </c>
      <c r="H790" s="482" t="s">
        <v>204</v>
      </c>
      <c r="I790" s="143"/>
      <c r="K790" s="71"/>
      <c r="L790" s="71"/>
      <c r="M790" s="71"/>
      <c r="N790" s="71"/>
      <c r="O790" s="71"/>
      <c r="P790" s="71"/>
      <c r="Q790" s="71"/>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c r="AS790" s="70"/>
    </row>
    <row r="791" spans="1:45" hidden="1" outlineLevel="1" x14ac:dyDescent="0.3">
      <c r="A791" s="56" t="s">
        <v>2806</v>
      </c>
      <c r="B791" s="56" t="s">
        <v>940</v>
      </c>
      <c r="C791" s="143" t="s">
        <v>839</v>
      </c>
      <c r="D791" s="163">
        <v>0</v>
      </c>
      <c r="E791" s="163">
        <v>0</v>
      </c>
      <c r="F791" s="163">
        <v>0</v>
      </c>
      <c r="G791" s="163">
        <v>0</v>
      </c>
      <c r="H791" s="163">
        <v>0</v>
      </c>
      <c r="I791" s="143" t="s">
        <v>2805</v>
      </c>
      <c r="K791" s="71"/>
      <c r="L791" s="71"/>
      <c r="M791" s="71"/>
      <c r="N791" s="71"/>
      <c r="O791" s="71"/>
      <c r="P791" s="71"/>
      <c r="Q791" s="71"/>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row>
    <row r="792" spans="1:45" hidden="1" outlineLevel="1" x14ac:dyDescent="0.3">
      <c r="A792" s="56" t="s">
        <v>2806</v>
      </c>
      <c r="B792" s="56" t="s">
        <v>940</v>
      </c>
      <c r="C792" s="143" t="s">
        <v>840</v>
      </c>
      <c r="D792" s="482" t="s">
        <v>204</v>
      </c>
      <c r="E792" s="482" t="s">
        <v>204</v>
      </c>
      <c r="F792" s="482" t="s">
        <v>204</v>
      </c>
      <c r="G792" s="482" t="s">
        <v>204</v>
      </c>
      <c r="H792" s="482" t="s">
        <v>204</v>
      </c>
      <c r="I792" s="143"/>
      <c r="K792" s="71"/>
      <c r="L792" s="71"/>
      <c r="M792" s="71"/>
      <c r="N792" s="71"/>
      <c r="O792" s="71"/>
      <c r="P792" s="71"/>
      <c r="Q792" s="71"/>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row>
    <row r="793" spans="1:45" collapsed="1" x14ac:dyDescent="0.3">
      <c r="A793" s="56"/>
      <c r="B793" s="56"/>
      <c r="C793" s="486" t="s">
        <v>2719</v>
      </c>
      <c r="D793" s="163"/>
      <c r="E793" s="163"/>
      <c r="F793" s="163"/>
      <c r="G793" s="163"/>
      <c r="H793" s="163"/>
      <c r="I793" s="143"/>
      <c r="K793" s="181"/>
      <c r="L793" s="181"/>
      <c r="M793" s="71"/>
      <c r="N793" s="71"/>
      <c r="O793" s="71"/>
      <c r="P793" s="71"/>
      <c r="Q793" s="71"/>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row>
    <row r="794" spans="1:45" collapsed="1" x14ac:dyDescent="0.3">
      <c r="A794" s="143" t="s">
        <v>2809</v>
      </c>
      <c r="B794" s="56"/>
      <c r="C794" s="144" t="s">
        <v>990</v>
      </c>
      <c r="D794" s="163">
        <v>425059</v>
      </c>
      <c r="E794" s="163">
        <v>425309</v>
      </c>
      <c r="F794" s="163">
        <v>425609</v>
      </c>
      <c r="G794" s="163">
        <v>425739</v>
      </c>
      <c r="H794" s="163">
        <v>426109</v>
      </c>
      <c r="I794" s="143"/>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row>
    <row r="795" spans="1:45" x14ac:dyDescent="0.3">
      <c r="A795" s="143" t="s">
        <v>5</v>
      </c>
      <c r="B795" s="143" t="s">
        <v>847</v>
      </c>
      <c r="C795" s="143" t="s">
        <v>193</v>
      </c>
      <c r="D795" s="145">
        <v>2025</v>
      </c>
      <c r="E795" s="145">
        <v>2030</v>
      </c>
      <c r="F795" s="145">
        <v>2035</v>
      </c>
      <c r="G795" s="145">
        <v>2040</v>
      </c>
      <c r="H795" s="145">
        <v>2045</v>
      </c>
      <c r="I795" s="143" t="s">
        <v>153</v>
      </c>
      <c r="K795" s="70"/>
      <c r="L795" s="70"/>
      <c r="M795" s="182"/>
      <c r="N795" s="182"/>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row>
    <row r="796" spans="1:45" hidden="1" outlineLevel="1" x14ac:dyDescent="0.3">
      <c r="A796" s="56" t="s">
        <v>2809</v>
      </c>
      <c r="B796" s="56" t="s">
        <v>855</v>
      </c>
      <c r="C796" s="143" t="s">
        <v>747</v>
      </c>
      <c r="D796" s="482" t="s">
        <v>204</v>
      </c>
      <c r="E796" s="482" t="s">
        <v>204</v>
      </c>
      <c r="F796" s="482" t="s">
        <v>204</v>
      </c>
      <c r="G796" s="482" t="s">
        <v>204</v>
      </c>
      <c r="H796" s="482" t="s">
        <v>204</v>
      </c>
      <c r="I796" s="143"/>
      <c r="K796" s="71"/>
      <c r="L796" s="71"/>
      <c r="M796" s="182"/>
      <c r="N796" s="182"/>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row>
    <row r="797" spans="1:45" hidden="1" outlineLevel="1" x14ac:dyDescent="0.3">
      <c r="A797" s="56" t="s">
        <v>2809</v>
      </c>
      <c r="B797" s="56" t="s">
        <v>855</v>
      </c>
      <c r="C797" s="143" t="s">
        <v>751</v>
      </c>
      <c r="D797" s="163">
        <v>0</v>
      </c>
      <c r="E797" s="163">
        <v>0</v>
      </c>
      <c r="F797" s="163">
        <v>0</v>
      </c>
      <c r="G797" s="163">
        <v>0</v>
      </c>
      <c r="H797" s="163">
        <v>0</v>
      </c>
      <c r="I797" s="143" t="s">
        <v>2696</v>
      </c>
      <c r="K797" s="71"/>
      <c r="L797" s="71"/>
      <c r="M797" s="182"/>
      <c r="N797" s="182"/>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row>
    <row r="798" spans="1:45" hidden="1" outlineLevel="1" x14ac:dyDescent="0.3">
      <c r="A798" s="56" t="s">
        <v>2809</v>
      </c>
      <c r="B798" s="56" t="s">
        <v>855</v>
      </c>
      <c r="C798" s="143" t="s">
        <v>755</v>
      </c>
      <c r="D798" s="163">
        <v>3999</v>
      </c>
      <c r="E798" s="163">
        <v>3999</v>
      </c>
      <c r="F798" s="163">
        <v>3999</v>
      </c>
      <c r="G798" s="163">
        <v>3999</v>
      </c>
      <c r="H798" s="163">
        <v>3999</v>
      </c>
      <c r="I798" s="56" t="s">
        <v>2697</v>
      </c>
      <c r="K798" s="71"/>
      <c r="L798" s="71"/>
      <c r="M798" s="71"/>
      <c r="N798" s="71"/>
      <c r="O798" s="71"/>
      <c r="P798" s="71"/>
      <c r="Q798" s="71"/>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row>
    <row r="799" spans="1:45" hidden="1" outlineLevel="1" x14ac:dyDescent="0.3">
      <c r="A799" s="56" t="s">
        <v>2809</v>
      </c>
      <c r="B799" s="56" t="s">
        <v>855</v>
      </c>
      <c r="C799" s="143" t="s">
        <v>758</v>
      </c>
      <c r="D799" s="163">
        <v>0</v>
      </c>
      <c r="E799" s="163">
        <v>0</v>
      </c>
      <c r="F799" s="163">
        <v>0</v>
      </c>
      <c r="G799" s="163">
        <v>0</v>
      </c>
      <c r="H799" s="163">
        <v>0</v>
      </c>
      <c r="I799" s="143" t="s">
        <v>2699</v>
      </c>
      <c r="K799" s="71"/>
      <c r="L799" s="71"/>
      <c r="M799" s="71"/>
      <c r="N799" s="71"/>
      <c r="O799" s="71"/>
      <c r="P799" s="71"/>
      <c r="Q799" s="71"/>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row>
    <row r="800" spans="1:45" hidden="1" outlineLevel="1" x14ac:dyDescent="0.3">
      <c r="A800" s="56" t="s">
        <v>2809</v>
      </c>
      <c r="B800" s="56" t="s">
        <v>855</v>
      </c>
      <c r="C800" s="143" t="s">
        <v>761</v>
      </c>
      <c r="D800" s="163">
        <v>0</v>
      </c>
      <c r="E800" s="163">
        <v>0</v>
      </c>
      <c r="F800" s="163">
        <v>0</v>
      </c>
      <c r="G800" s="163">
        <v>0</v>
      </c>
      <c r="H800" s="163">
        <v>0</v>
      </c>
      <c r="I800" s="56"/>
      <c r="K800" s="71"/>
      <c r="L800" s="71"/>
      <c r="M800" s="71"/>
      <c r="N800" s="71"/>
      <c r="O800" s="71"/>
      <c r="P800" s="71"/>
      <c r="Q800" s="71"/>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row>
    <row r="801" spans="1:45" hidden="1" outlineLevel="1" x14ac:dyDescent="0.3">
      <c r="A801" s="56" t="s">
        <v>2809</v>
      </c>
      <c r="B801" s="56" t="s">
        <v>855</v>
      </c>
      <c r="C801" s="143" t="s">
        <v>763</v>
      </c>
      <c r="D801" s="163">
        <v>4500</v>
      </c>
      <c r="E801" s="163">
        <v>4500</v>
      </c>
      <c r="F801" s="163">
        <v>4500</v>
      </c>
      <c r="G801" s="163">
        <v>4500</v>
      </c>
      <c r="H801" s="163">
        <v>4500</v>
      </c>
      <c r="I801" s="57" t="s">
        <v>2801</v>
      </c>
      <c r="K801" s="71"/>
      <c r="L801" s="71"/>
      <c r="M801" s="71"/>
      <c r="N801" s="71"/>
      <c r="O801" s="71"/>
      <c r="P801" s="71"/>
      <c r="Q801" s="71"/>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row>
    <row r="802" spans="1:45" hidden="1" outlineLevel="1" x14ac:dyDescent="0.3">
      <c r="A802" s="56" t="s">
        <v>2809</v>
      </c>
      <c r="B802" s="56" t="s">
        <v>855</v>
      </c>
      <c r="C802" s="143" t="s">
        <v>765</v>
      </c>
      <c r="D802" s="163">
        <v>0</v>
      </c>
      <c r="E802" s="163">
        <v>0</v>
      </c>
      <c r="F802" s="163">
        <v>0</v>
      </c>
      <c r="G802" s="163">
        <v>0</v>
      </c>
      <c r="H802" s="163">
        <v>0</v>
      </c>
      <c r="I802" s="57" t="s">
        <v>2735</v>
      </c>
      <c r="K802" s="71"/>
      <c r="L802" s="71"/>
      <c r="M802" s="71"/>
      <c r="N802" s="71"/>
      <c r="O802" s="71"/>
      <c r="P802" s="71"/>
      <c r="Q802" s="71"/>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row>
    <row r="803" spans="1:45" hidden="1" outlineLevel="1" x14ac:dyDescent="0.3">
      <c r="A803" s="56" t="s">
        <v>2809</v>
      </c>
      <c r="B803" s="56" t="s">
        <v>855</v>
      </c>
      <c r="C803" s="143" t="s">
        <v>768</v>
      </c>
      <c r="D803" s="482" t="s">
        <v>204</v>
      </c>
      <c r="E803" s="482" t="s">
        <v>204</v>
      </c>
      <c r="F803" s="482" t="s">
        <v>204</v>
      </c>
      <c r="G803" s="482" t="s">
        <v>204</v>
      </c>
      <c r="H803" s="482" t="s">
        <v>204</v>
      </c>
      <c r="I803" s="57"/>
      <c r="K803" s="71"/>
      <c r="L803" s="71"/>
      <c r="M803" s="71"/>
      <c r="N803" s="71"/>
      <c r="O803" s="71"/>
      <c r="P803" s="71"/>
      <c r="Q803" s="71"/>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row>
    <row r="804" spans="1:45" hidden="1" outlineLevel="1" x14ac:dyDescent="0.3">
      <c r="A804" s="56" t="s">
        <v>2809</v>
      </c>
      <c r="B804" s="56" t="s">
        <v>855</v>
      </c>
      <c r="C804" s="143" t="s">
        <v>771</v>
      </c>
      <c r="D804" s="163">
        <v>125400</v>
      </c>
      <c r="E804" s="163">
        <v>125400</v>
      </c>
      <c r="F804" s="163">
        <v>125400</v>
      </c>
      <c r="G804" s="163">
        <v>125400</v>
      </c>
      <c r="H804" s="163">
        <v>125400</v>
      </c>
      <c r="I804" s="57" t="s">
        <v>2736</v>
      </c>
      <c r="K804" s="71"/>
      <c r="L804" s="71"/>
      <c r="M804" s="71"/>
      <c r="N804" s="71"/>
      <c r="O804" s="71"/>
      <c r="P804" s="71"/>
      <c r="Q804" s="71"/>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row>
    <row r="805" spans="1:45" hidden="1" outlineLevel="1" x14ac:dyDescent="0.3">
      <c r="A805" s="56" t="s">
        <v>2809</v>
      </c>
      <c r="B805" s="56" t="s">
        <v>855</v>
      </c>
      <c r="C805" s="143" t="s">
        <v>772</v>
      </c>
      <c r="D805" s="163">
        <v>0</v>
      </c>
      <c r="E805" s="163">
        <v>0</v>
      </c>
      <c r="F805" s="163">
        <v>0</v>
      </c>
      <c r="G805" s="163">
        <v>0</v>
      </c>
      <c r="H805" s="163">
        <v>0</v>
      </c>
      <c r="I805" s="57"/>
      <c r="K805" s="71"/>
      <c r="L805" s="71"/>
      <c r="M805" s="71"/>
      <c r="N805" s="71"/>
      <c r="O805" s="71"/>
      <c r="P805" s="71"/>
      <c r="Q805" s="71"/>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row>
    <row r="806" spans="1:45" hidden="1" outlineLevel="1" x14ac:dyDescent="0.3">
      <c r="A806" s="56" t="s">
        <v>2809</v>
      </c>
      <c r="B806" s="56" t="s">
        <v>855</v>
      </c>
      <c r="C806" s="143" t="s">
        <v>774</v>
      </c>
      <c r="D806" s="163">
        <v>0</v>
      </c>
      <c r="E806" s="163">
        <v>0</v>
      </c>
      <c r="F806" s="163">
        <v>0</v>
      </c>
      <c r="G806" s="163">
        <v>0</v>
      </c>
      <c r="H806" s="163">
        <v>0</v>
      </c>
      <c r="I806" s="57" t="s">
        <v>2771</v>
      </c>
      <c r="K806" s="71"/>
      <c r="L806" s="71"/>
      <c r="M806" s="71"/>
      <c r="N806" s="71"/>
      <c r="O806" s="71"/>
      <c r="P806" s="71"/>
      <c r="Q806" s="71"/>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row>
    <row r="807" spans="1:45" hidden="1" outlineLevel="1" x14ac:dyDescent="0.3">
      <c r="A807" s="56" t="s">
        <v>2809</v>
      </c>
      <c r="B807" s="56" t="s">
        <v>855</v>
      </c>
      <c r="C807" s="143" t="s">
        <v>775</v>
      </c>
      <c r="D807" s="482" t="s">
        <v>204</v>
      </c>
      <c r="E807" s="482" t="s">
        <v>204</v>
      </c>
      <c r="F807" s="482" t="s">
        <v>204</v>
      </c>
      <c r="G807" s="482" t="s">
        <v>204</v>
      </c>
      <c r="H807" s="482" t="s">
        <v>204</v>
      </c>
      <c r="I807" s="57"/>
      <c r="K807" s="71"/>
      <c r="L807" s="71"/>
      <c r="M807" s="71"/>
      <c r="N807" s="71"/>
      <c r="O807" s="71"/>
      <c r="P807" s="71"/>
      <c r="Q807" s="71"/>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row>
    <row r="808" spans="1:45" hidden="1" outlineLevel="1" x14ac:dyDescent="0.3">
      <c r="A808" s="56" t="s">
        <v>2809</v>
      </c>
      <c r="B808" s="56" t="s">
        <v>855</v>
      </c>
      <c r="C808" s="143" t="s">
        <v>779</v>
      </c>
      <c r="D808" s="482" t="s">
        <v>204</v>
      </c>
      <c r="E808" s="482" t="s">
        <v>204</v>
      </c>
      <c r="F808" s="482" t="s">
        <v>204</v>
      </c>
      <c r="G808" s="482" t="s">
        <v>204</v>
      </c>
      <c r="H808" s="482" t="s">
        <v>204</v>
      </c>
      <c r="I808" s="57"/>
      <c r="K808" s="71"/>
      <c r="L808" s="71"/>
      <c r="M808" s="71"/>
      <c r="N808" s="71"/>
      <c r="O808" s="71"/>
      <c r="P808" s="71"/>
      <c r="Q808" s="71"/>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row>
    <row r="809" spans="1:45" hidden="1" outlineLevel="1" x14ac:dyDescent="0.3">
      <c r="A809" s="56" t="s">
        <v>2809</v>
      </c>
      <c r="B809" s="56" t="s">
        <v>894</v>
      </c>
      <c r="C809" s="143" t="s">
        <v>781</v>
      </c>
      <c r="D809" s="482" t="s">
        <v>204</v>
      </c>
      <c r="E809" s="482" t="s">
        <v>204</v>
      </c>
      <c r="F809" s="482" t="s">
        <v>204</v>
      </c>
      <c r="G809" s="482" t="s">
        <v>204</v>
      </c>
      <c r="H809" s="482" t="s">
        <v>204</v>
      </c>
      <c r="I809" s="57"/>
      <c r="K809" s="71"/>
      <c r="L809" s="71"/>
      <c r="M809" s="71"/>
      <c r="N809" s="71"/>
      <c r="O809" s="71"/>
      <c r="P809" s="71"/>
      <c r="Q809" s="71"/>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row>
    <row r="810" spans="1:45" hidden="1" outlineLevel="1" x14ac:dyDescent="0.3">
      <c r="A810" s="56" t="s">
        <v>2809</v>
      </c>
      <c r="B810" s="56" t="s">
        <v>894</v>
      </c>
      <c r="C810" s="143" t="s">
        <v>783</v>
      </c>
      <c r="D810" s="163">
        <v>0</v>
      </c>
      <c r="E810" s="163">
        <v>0</v>
      </c>
      <c r="F810" s="163">
        <v>0</v>
      </c>
      <c r="G810" s="163">
        <v>0</v>
      </c>
      <c r="H810" s="163">
        <v>0</v>
      </c>
      <c r="I810" s="57" t="s">
        <v>2706</v>
      </c>
      <c r="K810" s="71"/>
      <c r="L810" s="71"/>
      <c r="M810" s="71"/>
      <c r="N810" s="71"/>
      <c r="O810" s="71"/>
      <c r="P810" s="71"/>
      <c r="Q810" s="71"/>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row>
    <row r="811" spans="1:45" hidden="1" outlineLevel="1" x14ac:dyDescent="0.3">
      <c r="A811" s="56" t="s">
        <v>2809</v>
      </c>
      <c r="B811" s="56" t="s">
        <v>894</v>
      </c>
      <c r="C811" s="143" t="s">
        <v>785</v>
      </c>
      <c r="D811" s="163">
        <v>0</v>
      </c>
      <c r="E811" s="163">
        <v>0</v>
      </c>
      <c r="F811" s="163">
        <v>0</v>
      </c>
      <c r="G811" s="163">
        <v>0</v>
      </c>
      <c r="H811" s="163">
        <v>0</v>
      </c>
      <c r="I811" s="57" t="s">
        <v>2737</v>
      </c>
      <c r="K811" s="71"/>
      <c r="L811" s="71"/>
      <c r="M811" s="71"/>
      <c r="N811" s="71"/>
      <c r="O811" s="71"/>
      <c r="P811" s="71"/>
      <c r="Q811" s="71"/>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row>
    <row r="812" spans="1:45" hidden="1" outlineLevel="1" x14ac:dyDescent="0.3">
      <c r="A812" s="56" t="s">
        <v>2809</v>
      </c>
      <c r="B812" s="56" t="s">
        <v>894</v>
      </c>
      <c r="C812" s="143" t="s">
        <v>787</v>
      </c>
      <c r="D812" s="482" t="s">
        <v>204</v>
      </c>
      <c r="E812" s="482" t="s">
        <v>204</v>
      </c>
      <c r="F812" s="482" t="s">
        <v>204</v>
      </c>
      <c r="G812" s="482" t="s">
        <v>204</v>
      </c>
      <c r="H812" s="482" t="s">
        <v>204</v>
      </c>
      <c r="I812" s="57"/>
      <c r="K812" s="71"/>
      <c r="L812" s="71"/>
      <c r="M812" s="71"/>
      <c r="N812" s="71"/>
      <c r="O812" s="71"/>
      <c r="P812" s="71"/>
      <c r="Q812" s="71"/>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row>
    <row r="813" spans="1:45" hidden="1" outlineLevel="1" x14ac:dyDescent="0.3">
      <c r="A813" s="56" t="s">
        <v>2809</v>
      </c>
      <c r="B813" s="56" t="s">
        <v>894</v>
      </c>
      <c r="C813" s="143" t="s">
        <v>788</v>
      </c>
      <c r="D813" s="482" t="s">
        <v>204</v>
      </c>
      <c r="E813" s="482" t="s">
        <v>204</v>
      </c>
      <c r="F813" s="482" t="s">
        <v>204</v>
      </c>
      <c r="G813" s="482" t="s">
        <v>204</v>
      </c>
      <c r="H813" s="482" t="s">
        <v>204</v>
      </c>
      <c r="I813" s="57"/>
      <c r="K813" s="71"/>
      <c r="L813" s="71"/>
      <c r="M813" s="71"/>
      <c r="N813" s="71"/>
      <c r="O813" s="71"/>
      <c r="P813" s="71"/>
      <c r="Q813" s="71"/>
      <c r="R813" s="184"/>
      <c r="S813" s="184"/>
      <c r="T813" s="184"/>
      <c r="U813" s="184"/>
      <c r="V813" s="184"/>
      <c r="W813" s="184"/>
      <c r="X813" s="184"/>
      <c r="Y813" s="184"/>
      <c r="Z813" s="184"/>
      <c r="AA813" s="70"/>
      <c r="AB813" s="70"/>
      <c r="AC813" s="70"/>
      <c r="AD813" s="70"/>
      <c r="AE813" s="70"/>
      <c r="AF813" s="70"/>
      <c r="AG813" s="70"/>
      <c r="AH813" s="70"/>
      <c r="AI813" s="70"/>
      <c r="AJ813" s="70"/>
      <c r="AK813" s="70"/>
      <c r="AL813" s="70"/>
      <c r="AM813" s="70"/>
      <c r="AN813" s="70"/>
      <c r="AO813" s="70"/>
      <c r="AP813" s="70"/>
      <c r="AQ813" s="70"/>
      <c r="AR813" s="70"/>
      <c r="AS813" s="70"/>
    </row>
    <row r="814" spans="1:45" hidden="1" outlineLevel="1" x14ac:dyDescent="0.3">
      <c r="A814" s="56" t="s">
        <v>2809</v>
      </c>
      <c r="B814" s="56" t="s">
        <v>894</v>
      </c>
      <c r="C814" s="143" t="s">
        <v>789</v>
      </c>
      <c r="D814" s="482" t="s">
        <v>204</v>
      </c>
      <c r="E814" s="482" t="s">
        <v>204</v>
      </c>
      <c r="F814" s="482" t="s">
        <v>204</v>
      </c>
      <c r="G814" s="482" t="s">
        <v>204</v>
      </c>
      <c r="H814" s="482" t="s">
        <v>204</v>
      </c>
      <c r="I814" s="57"/>
      <c r="K814" s="71"/>
      <c r="L814" s="71"/>
      <c r="M814" s="71"/>
      <c r="N814" s="71"/>
      <c r="O814" s="71"/>
      <c r="P814" s="71"/>
      <c r="Q814" s="71"/>
      <c r="R814" s="184"/>
      <c r="S814" s="184"/>
      <c r="T814" s="184"/>
      <c r="U814" s="184"/>
      <c r="V814" s="184"/>
      <c r="W814" s="184"/>
      <c r="X814" s="184"/>
      <c r="Y814" s="184"/>
      <c r="Z814" s="184"/>
      <c r="AA814" s="70"/>
      <c r="AB814" s="70"/>
      <c r="AC814" s="70"/>
      <c r="AD814" s="70"/>
      <c r="AE814" s="70"/>
      <c r="AF814" s="70"/>
      <c r="AG814" s="70"/>
      <c r="AH814" s="70"/>
      <c r="AI814" s="70"/>
      <c r="AJ814" s="70"/>
      <c r="AK814" s="70"/>
      <c r="AL814" s="70"/>
      <c r="AM814" s="70"/>
      <c r="AN814" s="70"/>
      <c r="AO814" s="70"/>
      <c r="AP814" s="70"/>
      <c r="AQ814" s="70"/>
      <c r="AR814" s="70"/>
      <c r="AS814" s="70"/>
    </row>
    <row r="815" spans="1:45" hidden="1" outlineLevel="1" x14ac:dyDescent="0.3">
      <c r="A815" s="56" t="s">
        <v>2809</v>
      </c>
      <c r="B815" s="56" t="s">
        <v>894</v>
      </c>
      <c r="C815" s="143" t="s">
        <v>790</v>
      </c>
      <c r="D815" s="163">
        <v>0</v>
      </c>
      <c r="E815" s="163">
        <v>0</v>
      </c>
      <c r="F815" s="163">
        <v>0</v>
      </c>
      <c r="G815" s="163">
        <v>0</v>
      </c>
      <c r="H815" s="163">
        <v>0</v>
      </c>
      <c r="I815" s="57" t="s">
        <v>2738</v>
      </c>
      <c r="K815" s="71"/>
      <c r="L815" s="71"/>
      <c r="M815" s="71"/>
      <c r="N815" s="71"/>
      <c r="O815" s="71"/>
      <c r="P815" s="71"/>
      <c r="Q815" s="71"/>
      <c r="R815" s="184"/>
      <c r="S815" s="184"/>
      <c r="T815" s="184"/>
      <c r="U815" s="184"/>
      <c r="V815" s="184"/>
      <c r="W815" s="184"/>
      <c r="X815" s="184"/>
      <c r="Y815" s="184"/>
      <c r="Z815" s="184"/>
      <c r="AA815" s="70"/>
      <c r="AB815" s="70"/>
      <c r="AC815" s="70"/>
      <c r="AD815" s="70"/>
      <c r="AE815" s="70"/>
      <c r="AF815" s="70"/>
      <c r="AG815" s="70"/>
      <c r="AH815" s="70"/>
      <c r="AI815" s="70"/>
      <c r="AJ815" s="70"/>
      <c r="AK815" s="70"/>
      <c r="AL815" s="70"/>
      <c r="AM815" s="70"/>
      <c r="AN815" s="70"/>
      <c r="AO815" s="70"/>
      <c r="AP815" s="70"/>
      <c r="AQ815" s="70"/>
      <c r="AR815" s="70"/>
      <c r="AS815" s="70"/>
    </row>
    <row r="816" spans="1:45" hidden="1" outlineLevel="1" x14ac:dyDescent="0.3">
      <c r="A816" s="56" t="s">
        <v>2809</v>
      </c>
      <c r="B816" s="56" t="s">
        <v>894</v>
      </c>
      <c r="C816" s="143" t="s">
        <v>793</v>
      </c>
      <c r="D816" s="482" t="s">
        <v>204</v>
      </c>
      <c r="E816" s="482" t="s">
        <v>204</v>
      </c>
      <c r="F816" s="482" t="s">
        <v>204</v>
      </c>
      <c r="G816" s="482" t="s">
        <v>204</v>
      </c>
      <c r="H816" s="482" t="s">
        <v>204</v>
      </c>
      <c r="I816" s="57"/>
      <c r="K816" s="71"/>
      <c r="L816" s="71"/>
      <c r="M816" s="71"/>
      <c r="N816" s="71"/>
      <c r="O816" s="71"/>
      <c r="P816" s="71"/>
      <c r="Q816" s="71"/>
      <c r="R816" s="184"/>
      <c r="S816" s="184"/>
      <c r="T816" s="184"/>
      <c r="U816" s="184"/>
      <c r="V816" s="184"/>
      <c r="W816" s="184"/>
      <c r="X816" s="184"/>
      <c r="Y816" s="184"/>
      <c r="Z816" s="184"/>
      <c r="AA816" s="70"/>
      <c r="AB816" s="70"/>
      <c r="AC816" s="70"/>
      <c r="AD816" s="70"/>
      <c r="AE816" s="70"/>
      <c r="AF816" s="70"/>
      <c r="AG816" s="70"/>
      <c r="AH816" s="70"/>
      <c r="AI816" s="70"/>
      <c r="AJ816" s="70"/>
      <c r="AK816" s="70"/>
      <c r="AL816" s="70"/>
      <c r="AM816" s="70"/>
      <c r="AN816" s="70"/>
      <c r="AO816" s="70"/>
      <c r="AP816" s="70"/>
      <c r="AQ816" s="70"/>
      <c r="AR816" s="70"/>
      <c r="AS816" s="70"/>
    </row>
    <row r="817" spans="1:45" hidden="1" outlineLevel="1" x14ac:dyDescent="0.3">
      <c r="A817" s="56" t="s">
        <v>2809</v>
      </c>
      <c r="B817" s="56" t="s">
        <v>894</v>
      </c>
      <c r="C817" s="143" t="s">
        <v>795</v>
      </c>
      <c r="D817" s="482" t="s">
        <v>204</v>
      </c>
      <c r="E817" s="482" t="s">
        <v>204</v>
      </c>
      <c r="F817" s="482" t="s">
        <v>204</v>
      </c>
      <c r="G817" s="482" t="s">
        <v>204</v>
      </c>
      <c r="H817" s="482" t="s">
        <v>204</v>
      </c>
      <c r="I817" s="57"/>
      <c r="K817" s="71"/>
      <c r="L817" s="71"/>
      <c r="M817" s="71"/>
      <c r="N817" s="71"/>
      <c r="O817" s="71"/>
      <c r="P817" s="71"/>
      <c r="Q817" s="71"/>
      <c r="R817" s="184"/>
      <c r="S817" s="184"/>
      <c r="T817" s="184"/>
      <c r="U817" s="184"/>
      <c r="V817" s="184"/>
      <c r="W817" s="184"/>
      <c r="X817" s="184"/>
      <c r="Y817" s="184"/>
      <c r="Z817" s="184"/>
      <c r="AA817" s="70"/>
      <c r="AB817" s="70"/>
      <c r="AC817" s="70"/>
      <c r="AD817" s="70"/>
      <c r="AE817" s="70"/>
      <c r="AF817" s="70"/>
      <c r="AG817" s="70"/>
      <c r="AH817" s="70"/>
      <c r="AI817" s="70"/>
      <c r="AJ817" s="70"/>
      <c r="AK817" s="70"/>
      <c r="AL817" s="70"/>
      <c r="AM817" s="70"/>
      <c r="AN817" s="70"/>
      <c r="AO817" s="70"/>
      <c r="AP817" s="70"/>
      <c r="AQ817" s="70"/>
      <c r="AR817" s="70"/>
      <c r="AS817" s="70"/>
    </row>
    <row r="818" spans="1:45" hidden="1" outlineLevel="1" x14ac:dyDescent="0.3">
      <c r="A818" s="56" t="s">
        <v>2809</v>
      </c>
      <c r="B818" s="56" t="s">
        <v>894</v>
      </c>
      <c r="C818" s="143" t="s">
        <v>797</v>
      </c>
      <c r="D818" s="163">
        <v>0</v>
      </c>
      <c r="E818" s="163">
        <v>0</v>
      </c>
      <c r="F818" s="163">
        <v>0</v>
      </c>
      <c r="G818" s="163">
        <v>0</v>
      </c>
      <c r="H818" s="163">
        <v>0</v>
      </c>
      <c r="I818" s="57" t="s">
        <v>2810</v>
      </c>
      <c r="K818" s="71"/>
      <c r="L818" s="71"/>
      <c r="M818" s="71"/>
      <c r="N818" s="71"/>
      <c r="O818" s="71"/>
      <c r="P818" s="71"/>
      <c r="Q818" s="71"/>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row>
    <row r="819" spans="1:45" hidden="1" outlineLevel="1" x14ac:dyDescent="0.3">
      <c r="A819" s="56" t="s">
        <v>2809</v>
      </c>
      <c r="B819" s="56" t="s">
        <v>915</v>
      </c>
      <c r="C819" s="143" t="s">
        <v>799</v>
      </c>
      <c r="D819" s="163">
        <v>0</v>
      </c>
      <c r="E819" s="163">
        <v>0</v>
      </c>
      <c r="F819" s="163">
        <v>0</v>
      </c>
      <c r="G819" s="163">
        <v>0</v>
      </c>
      <c r="H819" s="163">
        <v>0</v>
      </c>
      <c r="I819" s="57" t="s">
        <v>2775</v>
      </c>
      <c r="K819" s="71"/>
      <c r="L819" s="71"/>
      <c r="M819" s="71"/>
      <c r="N819" s="71"/>
      <c r="O819" s="71"/>
      <c r="P819" s="71"/>
      <c r="Q819" s="71"/>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row>
    <row r="820" spans="1:45" hidden="1" outlineLevel="1" x14ac:dyDescent="0.3">
      <c r="A820" s="56" t="s">
        <v>2809</v>
      </c>
      <c r="B820" s="56" t="s">
        <v>915</v>
      </c>
      <c r="C820" s="143" t="s">
        <v>801</v>
      </c>
      <c r="D820" s="163">
        <v>0</v>
      </c>
      <c r="E820" s="163">
        <v>0</v>
      </c>
      <c r="F820" s="163">
        <v>0</v>
      </c>
      <c r="G820" s="163">
        <v>0</v>
      </c>
      <c r="H820" s="163">
        <v>0</v>
      </c>
      <c r="I820" s="57" t="s">
        <v>2741</v>
      </c>
      <c r="K820" s="71"/>
      <c r="L820" s="71"/>
      <c r="M820" s="71"/>
      <c r="N820" s="71"/>
      <c r="O820" s="71"/>
      <c r="P820" s="71"/>
      <c r="Q820" s="71"/>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row>
    <row r="821" spans="1:45" hidden="1" outlineLevel="1" x14ac:dyDescent="0.3">
      <c r="A821" s="56" t="s">
        <v>2809</v>
      </c>
      <c r="B821" s="56" t="s">
        <v>915</v>
      </c>
      <c r="C821" s="143" t="s">
        <v>804</v>
      </c>
      <c r="D821" s="163">
        <v>10260</v>
      </c>
      <c r="E821" s="163">
        <v>10760</v>
      </c>
      <c r="F821" s="163">
        <v>11310</v>
      </c>
      <c r="G821" s="163">
        <v>11740</v>
      </c>
      <c r="H821" s="163">
        <v>12110</v>
      </c>
      <c r="I821" s="57" t="s">
        <v>2762</v>
      </c>
      <c r="K821" s="71"/>
      <c r="L821" s="71"/>
      <c r="M821" s="71"/>
      <c r="N821" s="71"/>
      <c r="O821" s="71"/>
      <c r="P821" s="71"/>
      <c r="Q821" s="71"/>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row>
    <row r="822" spans="1:45" hidden="1" outlineLevel="1" x14ac:dyDescent="0.3">
      <c r="A822" s="56" t="s">
        <v>2809</v>
      </c>
      <c r="B822" s="56" t="s">
        <v>915</v>
      </c>
      <c r="C822" s="143" t="s">
        <v>806</v>
      </c>
      <c r="D822" s="163">
        <v>0</v>
      </c>
      <c r="E822" s="163">
        <v>0</v>
      </c>
      <c r="F822" s="163">
        <v>0</v>
      </c>
      <c r="G822" s="163">
        <v>0</v>
      </c>
      <c r="H822" s="163">
        <v>0</v>
      </c>
      <c r="I822" s="57"/>
      <c r="K822" s="71"/>
      <c r="L822" s="71"/>
      <c r="M822" s="71"/>
      <c r="N822" s="71"/>
      <c r="O822" s="71"/>
      <c r="P822" s="71"/>
      <c r="Q822" s="71"/>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row>
    <row r="823" spans="1:45" hidden="1" outlineLevel="1" x14ac:dyDescent="0.3">
      <c r="A823" s="56" t="s">
        <v>2809</v>
      </c>
      <c r="B823" s="56" t="s">
        <v>915</v>
      </c>
      <c r="C823" s="143" t="s">
        <v>808</v>
      </c>
      <c r="D823" s="163">
        <v>0</v>
      </c>
      <c r="E823" s="163">
        <v>0</v>
      </c>
      <c r="F823" s="163">
        <v>0</v>
      </c>
      <c r="G823" s="163">
        <v>0</v>
      </c>
      <c r="H823" s="163">
        <v>0</v>
      </c>
      <c r="I823" s="57"/>
      <c r="K823" s="71"/>
      <c r="L823" s="71"/>
      <c r="M823" s="71"/>
      <c r="N823" s="71"/>
      <c r="O823" s="71"/>
      <c r="P823" s="71"/>
      <c r="Q823" s="71"/>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row>
    <row r="824" spans="1:45" hidden="1" outlineLevel="1" x14ac:dyDescent="0.3">
      <c r="A824" s="56" t="s">
        <v>2809</v>
      </c>
      <c r="B824" s="56" t="s">
        <v>915</v>
      </c>
      <c r="C824" s="143" t="s">
        <v>811</v>
      </c>
      <c r="D824" s="163">
        <v>0</v>
      </c>
      <c r="E824" s="163">
        <v>0</v>
      </c>
      <c r="F824" s="163">
        <v>0</v>
      </c>
      <c r="G824" s="163">
        <v>0</v>
      </c>
      <c r="H824" s="163">
        <v>0</v>
      </c>
      <c r="I824" s="57" t="s">
        <v>2713</v>
      </c>
      <c r="K824" s="71"/>
      <c r="L824" s="71"/>
      <c r="M824" s="71"/>
      <c r="N824" s="71"/>
      <c r="O824" s="71"/>
      <c r="P824" s="71"/>
      <c r="Q824" s="71"/>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row>
    <row r="825" spans="1:45" hidden="1" outlineLevel="1" x14ac:dyDescent="0.3">
      <c r="A825" s="56" t="s">
        <v>2809</v>
      </c>
      <c r="B825" s="56" t="s">
        <v>934</v>
      </c>
      <c r="C825" s="143" t="s">
        <v>814</v>
      </c>
      <c r="D825" s="163" t="s">
        <v>204</v>
      </c>
      <c r="E825" s="163" t="s">
        <v>204</v>
      </c>
      <c r="F825" s="163" t="s">
        <v>204</v>
      </c>
      <c r="G825" s="163" t="s">
        <v>204</v>
      </c>
      <c r="H825" s="163" t="s">
        <v>204</v>
      </c>
      <c r="I825" s="57"/>
      <c r="K825" s="71"/>
      <c r="L825" s="71"/>
      <c r="M825" s="71"/>
      <c r="N825" s="71"/>
      <c r="O825" s="71"/>
      <c r="P825" s="71"/>
      <c r="Q825" s="71"/>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row>
    <row r="826" spans="1:45" hidden="1" outlineLevel="1" x14ac:dyDescent="0.3">
      <c r="A826" s="56" t="s">
        <v>2809</v>
      </c>
      <c r="B826" s="56" t="s">
        <v>934</v>
      </c>
      <c r="C826" s="143" t="s">
        <v>815</v>
      </c>
      <c r="D826" s="482" t="s">
        <v>204</v>
      </c>
      <c r="E826" s="482" t="s">
        <v>204</v>
      </c>
      <c r="F826" s="482" t="s">
        <v>204</v>
      </c>
      <c r="G826" s="482" t="s">
        <v>204</v>
      </c>
      <c r="H826" s="482" t="s">
        <v>204</v>
      </c>
      <c r="I826" s="57"/>
      <c r="K826" s="71"/>
      <c r="L826" s="71"/>
      <c r="M826" s="71"/>
      <c r="N826" s="71"/>
      <c r="O826" s="71"/>
      <c r="P826" s="71"/>
      <c r="Q826" s="71"/>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row>
    <row r="827" spans="1:45" hidden="1" outlineLevel="1" x14ac:dyDescent="0.3">
      <c r="A827" s="56" t="s">
        <v>2809</v>
      </c>
      <c r="B827" s="56" t="s">
        <v>940</v>
      </c>
      <c r="C827" s="143" t="s">
        <v>817</v>
      </c>
      <c r="D827" s="163">
        <v>0</v>
      </c>
      <c r="E827" s="163">
        <v>0</v>
      </c>
      <c r="F827" s="163">
        <v>0</v>
      </c>
      <c r="G827" s="163">
        <v>0</v>
      </c>
      <c r="H827" s="163">
        <v>0</v>
      </c>
      <c r="I827" s="57" t="s">
        <v>2743</v>
      </c>
      <c r="K827" s="71"/>
      <c r="L827" s="71"/>
      <c r="M827" s="71"/>
      <c r="N827" s="71"/>
      <c r="O827" s="71"/>
      <c r="P827" s="71"/>
      <c r="Q827" s="71"/>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row>
    <row r="828" spans="1:45" hidden="1" outlineLevel="1" x14ac:dyDescent="0.3">
      <c r="A828" s="56" t="s">
        <v>2809</v>
      </c>
      <c r="B828" s="56" t="s">
        <v>940</v>
      </c>
      <c r="C828" s="143" t="s">
        <v>944</v>
      </c>
      <c r="D828" s="163">
        <v>0</v>
      </c>
      <c r="E828" s="163">
        <v>0</v>
      </c>
      <c r="F828" s="163">
        <v>0</v>
      </c>
      <c r="G828" s="163">
        <v>0</v>
      </c>
      <c r="H828" s="163">
        <v>0</v>
      </c>
      <c r="I828" s="57" t="s">
        <v>2803</v>
      </c>
      <c r="K828" s="71"/>
      <c r="L828" s="71"/>
      <c r="M828" s="71"/>
      <c r="N828" s="71"/>
      <c r="O828" s="71"/>
      <c r="P828" s="71"/>
      <c r="Q828" s="71"/>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row>
    <row r="829" spans="1:45" hidden="1" outlineLevel="1" x14ac:dyDescent="0.3">
      <c r="A829" s="56" t="s">
        <v>2809</v>
      </c>
      <c r="B829" s="56" t="s">
        <v>940</v>
      </c>
      <c r="C829" s="143" t="s">
        <v>821</v>
      </c>
      <c r="D829" s="482" t="s">
        <v>204</v>
      </c>
      <c r="E829" s="482" t="s">
        <v>204</v>
      </c>
      <c r="F829" s="482" t="s">
        <v>204</v>
      </c>
      <c r="G829" s="482" t="s">
        <v>204</v>
      </c>
      <c r="H829" s="482" t="s">
        <v>204</v>
      </c>
      <c r="I829" s="57"/>
      <c r="K829" s="71"/>
      <c r="L829" s="71"/>
      <c r="M829" s="71"/>
      <c r="N829" s="71"/>
      <c r="O829" s="71"/>
      <c r="P829" s="71"/>
      <c r="Q829" s="71"/>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row>
    <row r="830" spans="1:45" hidden="1" outlineLevel="1" x14ac:dyDescent="0.3">
      <c r="A830" s="56" t="s">
        <v>2809</v>
      </c>
      <c r="B830" s="56" t="s">
        <v>940</v>
      </c>
      <c r="C830" s="143" t="s">
        <v>823</v>
      </c>
      <c r="D830" s="482" t="s">
        <v>204</v>
      </c>
      <c r="E830" s="482" t="s">
        <v>204</v>
      </c>
      <c r="F830" s="482" t="s">
        <v>204</v>
      </c>
      <c r="G830" s="482" t="s">
        <v>204</v>
      </c>
      <c r="H830" s="482" t="s">
        <v>204</v>
      </c>
      <c r="I830" s="57"/>
      <c r="K830" s="71"/>
      <c r="L830" s="71"/>
      <c r="M830" s="71"/>
      <c r="N830" s="71"/>
      <c r="O830" s="71"/>
      <c r="P830" s="71"/>
      <c r="Q830" s="71"/>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row>
    <row r="831" spans="1:45" hidden="1" outlineLevel="1" x14ac:dyDescent="0.3">
      <c r="A831" s="56" t="s">
        <v>2809</v>
      </c>
      <c r="B831" s="56" t="s">
        <v>940</v>
      </c>
      <c r="C831" s="143" t="s">
        <v>825</v>
      </c>
      <c r="D831" s="482" t="s">
        <v>204</v>
      </c>
      <c r="E831" s="482" t="s">
        <v>204</v>
      </c>
      <c r="F831" s="482" t="s">
        <v>204</v>
      </c>
      <c r="G831" s="482" t="s">
        <v>204</v>
      </c>
      <c r="H831" s="482" t="s">
        <v>204</v>
      </c>
      <c r="I831" s="57"/>
      <c r="K831" s="71"/>
      <c r="L831" s="71"/>
      <c r="M831" s="71"/>
      <c r="N831" s="71"/>
      <c r="O831" s="71"/>
      <c r="P831" s="71"/>
      <c r="Q831" s="71"/>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row>
    <row r="832" spans="1:45" hidden="1" outlineLevel="1" x14ac:dyDescent="0.3">
      <c r="A832" s="56" t="s">
        <v>2809</v>
      </c>
      <c r="B832" s="56" t="s">
        <v>940</v>
      </c>
      <c r="C832" s="143" t="s">
        <v>827</v>
      </c>
      <c r="D832" s="163">
        <v>278000</v>
      </c>
      <c r="E832" s="163">
        <v>278000</v>
      </c>
      <c r="F832" s="163">
        <v>278000</v>
      </c>
      <c r="G832" s="163">
        <v>278000</v>
      </c>
      <c r="H832" s="163">
        <v>278000</v>
      </c>
      <c r="I832" s="57" t="s">
        <v>2811</v>
      </c>
      <c r="K832" s="71"/>
      <c r="L832" s="71"/>
      <c r="M832" s="71"/>
      <c r="N832" s="71"/>
      <c r="O832" s="71"/>
      <c r="P832" s="71"/>
      <c r="Q832" s="71"/>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row>
    <row r="833" spans="1:45" hidden="1" outlineLevel="1" x14ac:dyDescent="0.3">
      <c r="A833" s="56" t="s">
        <v>2809</v>
      </c>
      <c r="B833" s="56" t="s">
        <v>940</v>
      </c>
      <c r="C833" s="143" t="s">
        <v>829</v>
      </c>
      <c r="D833" s="163">
        <v>0</v>
      </c>
      <c r="E833" s="163">
        <v>0</v>
      </c>
      <c r="F833" s="163">
        <v>0</v>
      </c>
      <c r="G833" s="163">
        <v>0</v>
      </c>
      <c r="H833" s="163">
        <v>0</v>
      </c>
      <c r="I833" s="57" t="s">
        <v>2715</v>
      </c>
      <c r="K833" s="71"/>
      <c r="L833" s="71"/>
      <c r="M833" s="71"/>
      <c r="N833" s="71"/>
      <c r="O833" s="71"/>
      <c r="P833" s="71"/>
      <c r="Q833" s="71"/>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row>
    <row r="834" spans="1:45" hidden="1" outlineLevel="1" x14ac:dyDescent="0.3">
      <c r="A834" s="56" t="s">
        <v>2809</v>
      </c>
      <c r="B834" s="56" t="s">
        <v>940</v>
      </c>
      <c r="C834" s="143" t="s">
        <v>833</v>
      </c>
      <c r="D834" s="163">
        <v>2900</v>
      </c>
      <c r="E834" s="163">
        <v>2650</v>
      </c>
      <c r="F834" s="163">
        <v>2400</v>
      </c>
      <c r="G834" s="163">
        <v>2100</v>
      </c>
      <c r="H834" s="163">
        <v>2100</v>
      </c>
      <c r="I834" s="57" t="s">
        <v>2744</v>
      </c>
      <c r="K834" s="71"/>
      <c r="L834" s="71"/>
      <c r="M834" s="71"/>
      <c r="N834" s="71"/>
      <c r="O834" s="71"/>
      <c r="P834" s="71"/>
      <c r="Q834" s="71"/>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row>
    <row r="835" spans="1:45" hidden="1" outlineLevel="1" x14ac:dyDescent="0.3">
      <c r="A835" s="56" t="s">
        <v>2809</v>
      </c>
      <c r="B835" s="56" t="s">
        <v>940</v>
      </c>
      <c r="C835" s="143" t="s">
        <v>836</v>
      </c>
      <c r="D835" s="163">
        <v>0</v>
      </c>
      <c r="E835" s="163">
        <v>0</v>
      </c>
      <c r="F835" s="163">
        <v>0</v>
      </c>
      <c r="G835" s="163">
        <v>0</v>
      </c>
      <c r="H835" s="163">
        <v>0</v>
      </c>
      <c r="I835" s="57"/>
      <c r="K835" s="71"/>
      <c r="L835" s="71"/>
      <c r="M835" s="71"/>
      <c r="N835" s="71"/>
      <c r="O835" s="71"/>
      <c r="P835" s="71"/>
      <c r="Q835" s="71"/>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row>
    <row r="836" spans="1:45" hidden="1" outlineLevel="1" x14ac:dyDescent="0.3">
      <c r="A836" s="56" t="s">
        <v>2809</v>
      </c>
      <c r="B836" s="56" t="s">
        <v>940</v>
      </c>
      <c r="C836" s="143" t="s">
        <v>837</v>
      </c>
      <c r="D836" s="482" t="s">
        <v>204</v>
      </c>
      <c r="E836" s="482" t="s">
        <v>204</v>
      </c>
      <c r="F836" s="482" t="s">
        <v>204</v>
      </c>
      <c r="G836" s="482" t="s">
        <v>204</v>
      </c>
      <c r="H836" s="482" t="s">
        <v>204</v>
      </c>
      <c r="I836" s="57"/>
      <c r="K836" s="71"/>
      <c r="L836" s="71"/>
      <c r="M836" s="71"/>
      <c r="N836" s="71"/>
      <c r="O836" s="71"/>
      <c r="P836" s="71"/>
      <c r="Q836" s="71"/>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row>
    <row r="837" spans="1:45" hidden="1" outlineLevel="1" x14ac:dyDescent="0.3">
      <c r="A837" s="56" t="s">
        <v>2809</v>
      </c>
      <c r="B837" s="56" t="s">
        <v>940</v>
      </c>
      <c r="C837" s="143" t="s">
        <v>839</v>
      </c>
      <c r="D837" s="163">
        <v>0</v>
      </c>
      <c r="E837" s="163">
        <v>0</v>
      </c>
      <c r="F837" s="163">
        <v>0</v>
      </c>
      <c r="G837" s="163">
        <v>0</v>
      </c>
      <c r="H837" s="163">
        <v>0</v>
      </c>
      <c r="I837" s="57" t="s">
        <v>2805</v>
      </c>
      <c r="K837" s="71"/>
      <c r="L837" s="71"/>
      <c r="M837" s="71"/>
      <c r="N837" s="71"/>
      <c r="O837" s="71"/>
      <c r="P837" s="71"/>
      <c r="Q837" s="71"/>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row>
    <row r="838" spans="1:45" hidden="1" outlineLevel="1" x14ac:dyDescent="0.3">
      <c r="A838" s="56" t="s">
        <v>2809</v>
      </c>
      <c r="B838" s="56" t="s">
        <v>940</v>
      </c>
      <c r="C838" s="143" t="s">
        <v>840</v>
      </c>
      <c r="D838" s="482" t="s">
        <v>204</v>
      </c>
      <c r="E838" s="482" t="s">
        <v>204</v>
      </c>
      <c r="F838" s="482" t="s">
        <v>204</v>
      </c>
      <c r="G838" s="482" t="s">
        <v>204</v>
      </c>
      <c r="H838" s="482" t="s">
        <v>204</v>
      </c>
      <c r="I838" s="57"/>
      <c r="K838" s="71"/>
      <c r="L838" s="71"/>
      <c r="M838" s="71"/>
      <c r="N838" s="71"/>
      <c r="O838" s="71"/>
      <c r="P838" s="71"/>
      <c r="Q838" s="71"/>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row>
    <row r="839" spans="1:45" collapsed="1" x14ac:dyDescent="0.3">
      <c r="A839" s="56"/>
      <c r="B839" s="56"/>
      <c r="C839" s="486" t="s">
        <v>2719</v>
      </c>
      <c r="D839" s="163"/>
      <c r="E839" s="163"/>
      <c r="F839" s="163"/>
      <c r="G839" s="163"/>
      <c r="H839" s="163"/>
      <c r="I839" s="57"/>
      <c r="K839" s="70"/>
      <c r="L839" s="70"/>
      <c r="M839" s="71"/>
      <c r="N839" s="71"/>
      <c r="O839" s="71"/>
      <c r="P839" s="71"/>
      <c r="Q839" s="71"/>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row>
    <row r="840" spans="1:45" collapsed="1" x14ac:dyDescent="0.3">
      <c r="A840" s="135" t="s">
        <v>2812</v>
      </c>
      <c r="B840" s="135"/>
      <c r="C840" s="483" t="s">
        <v>2719</v>
      </c>
      <c r="D840" s="135"/>
      <c r="E840" s="135"/>
      <c r="F840" s="135"/>
      <c r="G840" s="135"/>
      <c r="H840" s="135"/>
      <c r="I840" s="135"/>
      <c r="K840" s="70"/>
      <c r="L840" s="70"/>
      <c r="M840" s="182"/>
      <c r="N840" s="182"/>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row>
    <row r="841" spans="1:45" x14ac:dyDescent="0.3">
      <c r="A841" s="149" t="s">
        <v>2813</v>
      </c>
      <c r="B841" s="149"/>
      <c r="C841" s="150" t="s">
        <v>2693</v>
      </c>
      <c r="D841" s="403">
        <v>1372283</v>
      </c>
      <c r="E841" s="403">
        <v>1385498</v>
      </c>
      <c r="F841" s="403">
        <v>1396959</v>
      </c>
      <c r="G841" s="403">
        <v>1402489</v>
      </c>
      <c r="H841" s="403">
        <v>1408665</v>
      </c>
      <c r="I841" s="152"/>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row>
    <row r="842" spans="1:45" x14ac:dyDescent="0.3">
      <c r="A842" s="149" t="s">
        <v>5</v>
      </c>
      <c r="B842" s="149" t="s">
        <v>847</v>
      </c>
      <c r="C842" s="149" t="s">
        <v>193</v>
      </c>
      <c r="D842" s="153">
        <v>2025</v>
      </c>
      <c r="E842" s="153">
        <v>2030</v>
      </c>
      <c r="F842" s="153">
        <v>2035</v>
      </c>
      <c r="G842" s="153">
        <v>2040</v>
      </c>
      <c r="H842" s="153">
        <v>2045</v>
      </c>
      <c r="I842" s="153" t="s">
        <v>153</v>
      </c>
      <c r="K842" s="70"/>
      <c r="L842" s="70"/>
      <c r="M842" s="71"/>
      <c r="N842" s="71"/>
      <c r="O842" s="71"/>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row>
    <row r="843" spans="1:45" hidden="1" outlineLevel="1" x14ac:dyDescent="0.3">
      <c r="A843" s="154" t="s">
        <v>2813</v>
      </c>
      <c r="B843" s="154" t="s">
        <v>855</v>
      </c>
      <c r="C843" s="149" t="s">
        <v>747</v>
      </c>
      <c r="D843" s="433" t="s">
        <v>204</v>
      </c>
      <c r="E843" s="433" t="s">
        <v>204</v>
      </c>
      <c r="F843" s="433" t="s">
        <v>204</v>
      </c>
      <c r="G843" s="433" t="s">
        <v>204</v>
      </c>
      <c r="H843" s="433" t="s">
        <v>204</v>
      </c>
      <c r="I843" s="152"/>
      <c r="K843" s="70"/>
      <c r="L843" s="71"/>
      <c r="M843" s="71"/>
      <c r="N843" s="71"/>
      <c r="O843" s="71"/>
      <c r="P843" s="71"/>
      <c r="Q843" s="71"/>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row>
    <row r="844" spans="1:45" hidden="1" outlineLevel="1" x14ac:dyDescent="0.3">
      <c r="A844" s="154" t="s">
        <v>2813</v>
      </c>
      <c r="B844" s="154" t="s">
        <v>855</v>
      </c>
      <c r="C844" s="149" t="s">
        <v>751</v>
      </c>
      <c r="D844" s="164">
        <v>1100</v>
      </c>
      <c r="E844" s="164">
        <v>1100</v>
      </c>
      <c r="F844" s="164">
        <v>1100</v>
      </c>
      <c r="G844" s="164">
        <v>1100</v>
      </c>
      <c r="H844" s="164">
        <v>1100</v>
      </c>
      <c r="I844" s="152" t="s">
        <v>2696</v>
      </c>
      <c r="K844" s="70"/>
      <c r="L844" s="71"/>
      <c r="M844" s="71"/>
      <c r="N844" s="71"/>
      <c r="O844" s="71"/>
      <c r="P844" s="71"/>
      <c r="Q844" s="71"/>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row>
    <row r="845" spans="1:45" hidden="1" outlineLevel="1" x14ac:dyDescent="0.3">
      <c r="A845" s="154" t="s">
        <v>2813</v>
      </c>
      <c r="B845" s="154" t="s">
        <v>855</v>
      </c>
      <c r="C845" s="149" t="s">
        <v>755</v>
      </c>
      <c r="D845" s="164">
        <v>0</v>
      </c>
      <c r="E845" s="164">
        <v>0</v>
      </c>
      <c r="F845" s="164">
        <v>0</v>
      </c>
      <c r="G845" s="164">
        <v>0</v>
      </c>
      <c r="H845" s="164">
        <v>0</v>
      </c>
      <c r="I845" s="152"/>
      <c r="K845" s="71"/>
      <c r="L845" s="71"/>
      <c r="M845" s="71"/>
      <c r="N845" s="71"/>
      <c r="O845" s="71"/>
      <c r="P845" s="71"/>
      <c r="Q845" s="71"/>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row>
    <row r="846" spans="1:45" hidden="1" outlineLevel="1" x14ac:dyDescent="0.3">
      <c r="A846" s="154" t="s">
        <v>2813</v>
      </c>
      <c r="B846" s="154" t="s">
        <v>855</v>
      </c>
      <c r="C846" s="149" t="s">
        <v>758</v>
      </c>
      <c r="D846" s="164">
        <v>26900</v>
      </c>
      <c r="E846" s="164">
        <v>26900</v>
      </c>
      <c r="F846" s="164">
        <v>26900</v>
      </c>
      <c r="G846" s="164">
        <v>26900</v>
      </c>
      <c r="H846" s="164">
        <v>26900</v>
      </c>
      <c r="I846" s="152" t="s">
        <v>2699</v>
      </c>
      <c r="K846" s="71"/>
      <c r="L846" s="71"/>
      <c r="M846" s="71"/>
      <c r="N846" s="71"/>
      <c r="O846" s="71"/>
      <c r="P846" s="71"/>
      <c r="Q846" s="71"/>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row>
    <row r="847" spans="1:45" hidden="1" outlineLevel="1" x14ac:dyDescent="0.3">
      <c r="A847" s="154" t="s">
        <v>2813</v>
      </c>
      <c r="B847" s="154" t="s">
        <v>855</v>
      </c>
      <c r="C847" s="149" t="s">
        <v>761</v>
      </c>
      <c r="D847" s="164">
        <v>0</v>
      </c>
      <c r="E847" s="164">
        <v>0</v>
      </c>
      <c r="F847" s="164">
        <v>0</v>
      </c>
      <c r="G847" s="164">
        <v>0</v>
      </c>
      <c r="H847" s="164">
        <v>0</v>
      </c>
      <c r="I847" s="152"/>
      <c r="K847" s="71"/>
      <c r="L847" s="71"/>
      <c r="M847" s="71"/>
      <c r="N847" s="71"/>
      <c r="O847" s="71"/>
      <c r="P847" s="71"/>
      <c r="Q847" s="71"/>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row>
    <row r="848" spans="1:45" hidden="1" outlineLevel="1" x14ac:dyDescent="0.3">
      <c r="A848" s="154" t="s">
        <v>2813</v>
      </c>
      <c r="B848" s="154" t="s">
        <v>855</v>
      </c>
      <c r="C848" s="149" t="s">
        <v>763</v>
      </c>
      <c r="D848" s="164">
        <v>0</v>
      </c>
      <c r="E848" s="164">
        <v>0</v>
      </c>
      <c r="F848" s="164">
        <v>0</v>
      </c>
      <c r="G848" s="164">
        <v>0</v>
      </c>
      <c r="H848" s="164">
        <v>0</v>
      </c>
      <c r="I848" s="152" t="s">
        <v>2770</v>
      </c>
      <c r="K848" s="71"/>
      <c r="L848" s="71"/>
      <c r="M848" s="71"/>
      <c r="N848" s="71"/>
      <c r="O848" s="71"/>
      <c r="P848" s="71"/>
      <c r="Q848" s="71"/>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row>
    <row r="849" spans="1:45" hidden="1" outlineLevel="1" x14ac:dyDescent="0.3">
      <c r="A849" s="154" t="s">
        <v>2813</v>
      </c>
      <c r="B849" s="154" t="s">
        <v>855</v>
      </c>
      <c r="C849" s="149" t="s">
        <v>765</v>
      </c>
      <c r="D849" s="164">
        <v>0</v>
      </c>
      <c r="E849" s="164">
        <v>0</v>
      </c>
      <c r="F849" s="164">
        <v>0</v>
      </c>
      <c r="G849" s="164">
        <v>0</v>
      </c>
      <c r="H849" s="164">
        <v>0</v>
      </c>
      <c r="I849" s="152" t="s">
        <v>2702</v>
      </c>
      <c r="K849" s="70"/>
      <c r="L849" s="71"/>
      <c r="M849" s="71"/>
      <c r="N849" s="71"/>
      <c r="O849" s="71"/>
      <c r="P849" s="71"/>
      <c r="Q849" s="71"/>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row>
    <row r="850" spans="1:45" hidden="1" outlineLevel="1" x14ac:dyDescent="0.3">
      <c r="A850" s="154" t="s">
        <v>2813</v>
      </c>
      <c r="B850" s="154" t="s">
        <v>855</v>
      </c>
      <c r="C850" s="149" t="s">
        <v>768</v>
      </c>
      <c r="D850" s="433" t="s">
        <v>204</v>
      </c>
      <c r="E850" s="433" t="s">
        <v>204</v>
      </c>
      <c r="F850" s="433" t="s">
        <v>204</v>
      </c>
      <c r="G850" s="433" t="s">
        <v>204</v>
      </c>
      <c r="H850" s="433" t="s">
        <v>204</v>
      </c>
      <c r="I850" s="152"/>
      <c r="K850" s="181"/>
      <c r="L850" s="71"/>
      <c r="M850" s="71"/>
      <c r="N850" s="71"/>
      <c r="O850" s="71"/>
      <c r="P850" s="71"/>
      <c r="Q850" s="71"/>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row>
    <row r="851" spans="1:45" hidden="1" outlineLevel="1" x14ac:dyDescent="0.3">
      <c r="A851" s="154" t="s">
        <v>2813</v>
      </c>
      <c r="B851" s="154" t="s">
        <v>855</v>
      </c>
      <c r="C851" s="149" t="s">
        <v>771</v>
      </c>
      <c r="D851" s="164">
        <v>0</v>
      </c>
      <c r="E851" s="164">
        <v>0</v>
      </c>
      <c r="F851" s="164">
        <v>0</v>
      </c>
      <c r="G851" s="164">
        <v>0</v>
      </c>
      <c r="H851" s="164">
        <v>0</v>
      </c>
      <c r="I851" s="152"/>
      <c r="K851" s="181"/>
      <c r="L851" s="71"/>
      <c r="M851" s="71"/>
      <c r="N851" s="71"/>
      <c r="O851" s="71"/>
      <c r="P851" s="71"/>
      <c r="Q851" s="71"/>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row>
    <row r="852" spans="1:45" hidden="1" outlineLevel="1" x14ac:dyDescent="0.3">
      <c r="A852" s="154" t="s">
        <v>2813</v>
      </c>
      <c r="B852" s="154" t="s">
        <v>855</v>
      </c>
      <c r="C852" s="149" t="s">
        <v>772</v>
      </c>
      <c r="D852" s="164">
        <v>2701</v>
      </c>
      <c r="E852" s="164">
        <v>3731</v>
      </c>
      <c r="F852" s="164">
        <v>4755</v>
      </c>
      <c r="G852" s="164">
        <v>5785</v>
      </c>
      <c r="H852" s="164">
        <v>6838</v>
      </c>
      <c r="I852" s="152" t="s">
        <v>2814</v>
      </c>
      <c r="K852" s="181"/>
      <c r="L852" s="71"/>
      <c r="M852" s="71"/>
      <c r="N852" s="71"/>
      <c r="O852" s="71"/>
      <c r="P852" s="71"/>
      <c r="Q852" s="71"/>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row>
    <row r="853" spans="1:45" hidden="1" outlineLevel="1" x14ac:dyDescent="0.3">
      <c r="A853" s="154" t="s">
        <v>2813</v>
      </c>
      <c r="B853" s="154" t="s">
        <v>855</v>
      </c>
      <c r="C853" s="149" t="s">
        <v>774</v>
      </c>
      <c r="D853" s="164">
        <v>0</v>
      </c>
      <c r="E853" s="164">
        <v>0</v>
      </c>
      <c r="F853" s="164">
        <v>0</v>
      </c>
      <c r="G853" s="164">
        <v>0</v>
      </c>
      <c r="H853" s="164">
        <v>0</v>
      </c>
      <c r="I853" s="152" t="s">
        <v>2771</v>
      </c>
      <c r="K853" s="181"/>
      <c r="L853" s="71"/>
      <c r="M853" s="71"/>
      <c r="N853" s="71"/>
      <c r="O853" s="71"/>
      <c r="P853" s="71"/>
      <c r="Q853" s="71"/>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row>
    <row r="854" spans="1:45" hidden="1" outlineLevel="1" x14ac:dyDescent="0.3">
      <c r="A854" s="154" t="s">
        <v>2813</v>
      </c>
      <c r="B854" s="154" t="s">
        <v>855</v>
      </c>
      <c r="C854" s="149" t="s">
        <v>775</v>
      </c>
      <c r="D854" s="433" t="s">
        <v>204</v>
      </c>
      <c r="E854" s="433" t="s">
        <v>204</v>
      </c>
      <c r="F854" s="433" t="s">
        <v>204</v>
      </c>
      <c r="G854" s="433" t="s">
        <v>204</v>
      </c>
      <c r="H854" s="433" t="s">
        <v>204</v>
      </c>
      <c r="I854" s="152"/>
      <c r="K854" s="181"/>
      <c r="L854" s="71"/>
      <c r="M854" s="71"/>
      <c r="N854" s="71"/>
      <c r="O854" s="71"/>
      <c r="P854" s="71"/>
      <c r="Q854" s="71"/>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row>
    <row r="855" spans="1:45" hidden="1" outlineLevel="1" x14ac:dyDescent="0.3">
      <c r="A855" s="154" t="s">
        <v>2813</v>
      </c>
      <c r="B855" s="154" t="s">
        <v>855</v>
      </c>
      <c r="C855" s="149" t="s">
        <v>779</v>
      </c>
      <c r="D855" s="433" t="s">
        <v>204</v>
      </c>
      <c r="E855" s="433" t="s">
        <v>204</v>
      </c>
      <c r="F855" s="433" t="s">
        <v>204</v>
      </c>
      <c r="G855" s="433" t="s">
        <v>204</v>
      </c>
      <c r="H855" s="433" t="s">
        <v>204</v>
      </c>
      <c r="I855" s="152"/>
      <c r="K855" s="71"/>
      <c r="L855" s="71"/>
      <c r="M855" s="71"/>
      <c r="N855" s="71"/>
      <c r="O855" s="71"/>
      <c r="P855" s="71"/>
      <c r="Q855" s="71"/>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row>
    <row r="856" spans="1:45" hidden="1" outlineLevel="1" x14ac:dyDescent="0.3">
      <c r="A856" s="154" t="s">
        <v>2813</v>
      </c>
      <c r="B856" s="154" t="s">
        <v>894</v>
      </c>
      <c r="C856" s="149" t="s">
        <v>781</v>
      </c>
      <c r="D856" s="433" t="s">
        <v>204</v>
      </c>
      <c r="E856" s="433" t="s">
        <v>204</v>
      </c>
      <c r="F856" s="433" t="s">
        <v>204</v>
      </c>
      <c r="G856" s="433" t="s">
        <v>204</v>
      </c>
      <c r="H856" s="433" t="s">
        <v>204</v>
      </c>
      <c r="I856" s="152"/>
      <c r="K856" s="71"/>
      <c r="L856" s="71"/>
      <c r="M856" s="71"/>
      <c r="N856" s="71"/>
      <c r="O856" s="71"/>
      <c r="P856" s="71"/>
      <c r="Q856" s="71"/>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row>
    <row r="857" spans="1:45" hidden="1" outlineLevel="1" x14ac:dyDescent="0.3">
      <c r="A857" s="154" t="s">
        <v>2813</v>
      </c>
      <c r="B857" s="154" t="s">
        <v>894</v>
      </c>
      <c r="C857" s="149" t="s">
        <v>783</v>
      </c>
      <c r="D857" s="164">
        <v>0</v>
      </c>
      <c r="E857" s="164">
        <v>0</v>
      </c>
      <c r="F857" s="164">
        <v>0</v>
      </c>
      <c r="G857" s="164">
        <v>0</v>
      </c>
      <c r="H857" s="164">
        <v>0</v>
      </c>
      <c r="I857" s="152" t="s">
        <v>2706</v>
      </c>
      <c r="K857" s="71"/>
      <c r="L857" s="71"/>
      <c r="M857" s="71"/>
      <c r="N857" s="71"/>
      <c r="O857" s="71"/>
      <c r="P857" s="71"/>
      <c r="Q857" s="71"/>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row>
    <row r="858" spans="1:45" hidden="1" outlineLevel="1" x14ac:dyDescent="0.3">
      <c r="A858" s="154" t="s">
        <v>2813</v>
      </c>
      <c r="B858" s="154" t="s">
        <v>894</v>
      </c>
      <c r="C858" s="149" t="s">
        <v>785</v>
      </c>
      <c r="D858" s="164">
        <v>0</v>
      </c>
      <c r="E858" s="164">
        <v>0</v>
      </c>
      <c r="F858" s="164">
        <v>0</v>
      </c>
      <c r="G858" s="164">
        <v>0</v>
      </c>
      <c r="H858" s="164">
        <v>0</v>
      </c>
      <c r="I858" s="152" t="s">
        <v>2707</v>
      </c>
      <c r="K858" s="71"/>
      <c r="L858" s="71"/>
      <c r="M858" s="71"/>
      <c r="N858" s="71"/>
      <c r="O858" s="71"/>
      <c r="P858" s="71"/>
      <c r="Q858" s="71"/>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row>
    <row r="859" spans="1:45" hidden="1" outlineLevel="1" x14ac:dyDescent="0.3">
      <c r="A859" s="154" t="s">
        <v>2813</v>
      </c>
      <c r="B859" s="154" t="s">
        <v>894</v>
      </c>
      <c r="C859" s="149" t="s">
        <v>787</v>
      </c>
      <c r="D859" s="433" t="s">
        <v>204</v>
      </c>
      <c r="E859" s="433" t="s">
        <v>204</v>
      </c>
      <c r="F859" s="433" t="s">
        <v>204</v>
      </c>
      <c r="G859" s="433" t="s">
        <v>204</v>
      </c>
      <c r="H859" s="433" t="s">
        <v>204</v>
      </c>
      <c r="I859" s="152"/>
      <c r="K859" s="71"/>
      <c r="L859" s="71"/>
      <c r="M859" s="71"/>
      <c r="N859" s="71"/>
      <c r="O859" s="71"/>
      <c r="P859" s="71"/>
      <c r="Q859" s="71"/>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row>
    <row r="860" spans="1:45" hidden="1" outlineLevel="1" x14ac:dyDescent="0.3">
      <c r="A860" s="154" t="s">
        <v>2813</v>
      </c>
      <c r="B860" s="154" t="s">
        <v>894</v>
      </c>
      <c r="C860" s="149" t="s">
        <v>788</v>
      </c>
      <c r="D860" s="433" t="s">
        <v>204</v>
      </c>
      <c r="E860" s="433" t="s">
        <v>204</v>
      </c>
      <c r="F860" s="433" t="s">
        <v>204</v>
      </c>
      <c r="G860" s="433" t="s">
        <v>204</v>
      </c>
      <c r="H860" s="433" t="s">
        <v>204</v>
      </c>
      <c r="I860" s="152"/>
      <c r="K860" s="71"/>
      <c r="L860" s="71"/>
      <c r="M860" s="71"/>
      <c r="N860" s="71"/>
      <c r="O860" s="71"/>
      <c r="P860" s="71"/>
      <c r="Q860" s="71"/>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row>
    <row r="861" spans="1:45" hidden="1" outlineLevel="1" x14ac:dyDescent="0.3">
      <c r="A861" s="154" t="s">
        <v>2813</v>
      </c>
      <c r="B861" s="154" t="s">
        <v>894</v>
      </c>
      <c r="C861" s="149" t="s">
        <v>789</v>
      </c>
      <c r="D861" s="433" t="s">
        <v>204</v>
      </c>
      <c r="E861" s="433" t="s">
        <v>204</v>
      </c>
      <c r="F861" s="433" t="s">
        <v>204</v>
      </c>
      <c r="G861" s="433" t="s">
        <v>204</v>
      </c>
      <c r="H861" s="433" t="s">
        <v>204</v>
      </c>
      <c r="I861" s="152"/>
      <c r="K861" s="71"/>
      <c r="L861" s="71"/>
      <c r="M861" s="71"/>
      <c r="N861" s="71"/>
      <c r="O861" s="71"/>
      <c r="P861" s="71"/>
      <c r="Q861" s="71"/>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row>
    <row r="862" spans="1:45" hidden="1" outlineLevel="1" x14ac:dyDescent="0.3">
      <c r="A862" s="154" t="s">
        <v>2813</v>
      </c>
      <c r="B862" s="154" t="s">
        <v>894</v>
      </c>
      <c r="C862" s="149" t="s">
        <v>790</v>
      </c>
      <c r="D862" s="164">
        <v>13935</v>
      </c>
      <c r="E862" s="164">
        <v>12620</v>
      </c>
      <c r="F862" s="164">
        <v>13120</v>
      </c>
      <c r="G862" s="164">
        <v>13620</v>
      </c>
      <c r="H862" s="164">
        <v>14420</v>
      </c>
      <c r="I862" s="152" t="s">
        <v>2708</v>
      </c>
      <c r="K862" s="71"/>
      <c r="L862" s="71"/>
      <c r="M862" s="71"/>
      <c r="N862" s="71"/>
      <c r="O862" s="71"/>
      <c r="P862" s="71"/>
      <c r="Q862" s="71"/>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row>
    <row r="863" spans="1:45" hidden="1" outlineLevel="1" x14ac:dyDescent="0.3">
      <c r="A863" s="154" t="s">
        <v>2813</v>
      </c>
      <c r="B863" s="154" t="s">
        <v>894</v>
      </c>
      <c r="C863" s="149" t="s">
        <v>793</v>
      </c>
      <c r="D863" s="433" t="s">
        <v>204</v>
      </c>
      <c r="E863" s="433" t="s">
        <v>204</v>
      </c>
      <c r="F863" s="433" t="s">
        <v>204</v>
      </c>
      <c r="G863" s="433" t="s">
        <v>204</v>
      </c>
      <c r="H863" s="433" t="s">
        <v>204</v>
      </c>
      <c r="I863" s="152"/>
      <c r="K863" s="71"/>
      <c r="L863" s="71"/>
      <c r="M863" s="71"/>
      <c r="N863" s="71"/>
      <c r="O863" s="71"/>
      <c r="P863" s="71"/>
      <c r="Q863" s="71"/>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row>
    <row r="864" spans="1:45" hidden="1" outlineLevel="1" x14ac:dyDescent="0.3">
      <c r="A864" s="154" t="s">
        <v>2813</v>
      </c>
      <c r="B864" s="154" t="s">
        <v>894</v>
      </c>
      <c r="C864" s="149" t="s">
        <v>795</v>
      </c>
      <c r="D864" s="433" t="s">
        <v>204</v>
      </c>
      <c r="E864" s="433" t="s">
        <v>204</v>
      </c>
      <c r="F864" s="433" t="s">
        <v>204</v>
      </c>
      <c r="G864" s="433" t="s">
        <v>204</v>
      </c>
      <c r="H864" s="433" t="s">
        <v>204</v>
      </c>
      <c r="I864" s="152"/>
      <c r="K864" s="71"/>
      <c r="L864" s="71"/>
      <c r="M864" s="71"/>
      <c r="N864" s="71"/>
      <c r="O864" s="71"/>
      <c r="P864" s="71"/>
      <c r="Q864" s="71"/>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row>
    <row r="865" spans="1:45" hidden="1" outlineLevel="1" x14ac:dyDescent="0.3">
      <c r="A865" s="154" t="s">
        <v>2813</v>
      </c>
      <c r="B865" s="154" t="s">
        <v>894</v>
      </c>
      <c r="C865" s="149" t="s">
        <v>797</v>
      </c>
      <c r="D865" s="164">
        <v>0</v>
      </c>
      <c r="E865" s="164">
        <v>0</v>
      </c>
      <c r="F865" s="164">
        <v>0</v>
      </c>
      <c r="G865" s="164">
        <v>0</v>
      </c>
      <c r="H865" s="164">
        <v>0</v>
      </c>
      <c r="I865" s="152" t="s">
        <v>2752</v>
      </c>
      <c r="K865" s="71"/>
      <c r="L865" s="71"/>
      <c r="M865" s="71"/>
      <c r="N865" s="71"/>
      <c r="O865" s="71"/>
      <c r="P865" s="71"/>
      <c r="Q865" s="71"/>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row>
    <row r="866" spans="1:45" hidden="1" outlineLevel="1" x14ac:dyDescent="0.3">
      <c r="A866" s="154" t="s">
        <v>2813</v>
      </c>
      <c r="B866" s="154" t="s">
        <v>915</v>
      </c>
      <c r="C866" s="149" t="s">
        <v>799</v>
      </c>
      <c r="D866" s="164">
        <v>0</v>
      </c>
      <c r="E866" s="164">
        <v>10000</v>
      </c>
      <c r="F866" s="164">
        <v>10000</v>
      </c>
      <c r="G866" s="164">
        <v>10000</v>
      </c>
      <c r="H866" s="164">
        <v>10000</v>
      </c>
      <c r="I866" s="152" t="s">
        <v>2815</v>
      </c>
      <c r="K866" s="182"/>
      <c r="L866" s="71"/>
      <c r="M866" s="71"/>
      <c r="N866" s="71"/>
      <c r="O866" s="71"/>
      <c r="P866" s="71"/>
      <c r="Q866" s="71"/>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row>
    <row r="867" spans="1:45" hidden="1" outlineLevel="1" x14ac:dyDescent="0.3">
      <c r="A867" s="154" t="s">
        <v>2813</v>
      </c>
      <c r="B867" s="154" t="s">
        <v>915</v>
      </c>
      <c r="C867" s="149" t="s">
        <v>801</v>
      </c>
      <c r="D867" s="164">
        <v>15400</v>
      </c>
      <c r="E867" s="164">
        <v>15400</v>
      </c>
      <c r="F867" s="164">
        <v>15400</v>
      </c>
      <c r="G867" s="164">
        <v>15400</v>
      </c>
      <c r="H867" s="164">
        <v>15400</v>
      </c>
      <c r="I867" s="152" t="s">
        <v>2795</v>
      </c>
      <c r="K867" s="71"/>
      <c r="L867" s="71"/>
      <c r="M867" s="71"/>
      <c r="N867" s="71"/>
      <c r="O867" s="71"/>
      <c r="P867" s="71"/>
      <c r="Q867" s="71"/>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row>
    <row r="868" spans="1:45" hidden="1" outlineLevel="1" x14ac:dyDescent="0.3">
      <c r="A868" s="154" t="s">
        <v>2813</v>
      </c>
      <c r="B868" s="154" t="s">
        <v>915</v>
      </c>
      <c r="C868" s="149" t="s">
        <v>804</v>
      </c>
      <c r="D868" s="164">
        <v>0</v>
      </c>
      <c r="E868" s="164">
        <v>0</v>
      </c>
      <c r="F868" s="164">
        <v>0</v>
      </c>
      <c r="G868" s="164">
        <v>0</v>
      </c>
      <c r="H868" s="164">
        <v>0</v>
      </c>
      <c r="I868" s="152" t="s">
        <v>2712</v>
      </c>
      <c r="K868" s="70"/>
      <c r="L868" s="71"/>
      <c r="M868" s="71"/>
      <c r="N868" s="71"/>
      <c r="O868" s="71"/>
      <c r="P868" s="71"/>
      <c r="Q868" s="71"/>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row>
    <row r="869" spans="1:45" hidden="1" outlineLevel="1" x14ac:dyDescent="0.3">
      <c r="A869" s="154" t="s">
        <v>2813</v>
      </c>
      <c r="B869" s="154" t="s">
        <v>915</v>
      </c>
      <c r="C869" s="149" t="s">
        <v>806</v>
      </c>
      <c r="D869" s="164">
        <v>0</v>
      </c>
      <c r="E869" s="164">
        <v>0</v>
      </c>
      <c r="F869" s="164">
        <v>0</v>
      </c>
      <c r="G869" s="164">
        <v>0</v>
      </c>
      <c r="H869" s="164">
        <v>0</v>
      </c>
      <c r="I869" s="152"/>
      <c r="K869" s="71"/>
      <c r="L869" s="71"/>
      <c r="M869" s="71"/>
      <c r="N869" s="71"/>
      <c r="O869" s="71"/>
      <c r="P869" s="71"/>
      <c r="Q869" s="71"/>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row>
    <row r="870" spans="1:45" hidden="1" outlineLevel="1" x14ac:dyDescent="0.3">
      <c r="A870" s="154" t="s">
        <v>2813</v>
      </c>
      <c r="B870" s="154" t="s">
        <v>915</v>
      </c>
      <c r="C870" s="149" t="s">
        <v>808</v>
      </c>
      <c r="D870" s="164">
        <v>677</v>
      </c>
      <c r="E870" s="164">
        <v>677</v>
      </c>
      <c r="F870" s="164">
        <v>677</v>
      </c>
      <c r="G870" s="164">
        <v>677</v>
      </c>
      <c r="H870" s="164">
        <v>0</v>
      </c>
      <c r="I870" s="152"/>
      <c r="K870" s="71"/>
      <c r="L870" s="71"/>
      <c r="M870" s="71"/>
      <c r="N870" s="71"/>
      <c r="O870" s="71"/>
      <c r="P870" s="71"/>
      <c r="Q870" s="71"/>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row>
    <row r="871" spans="1:45" hidden="1" outlineLevel="1" x14ac:dyDescent="0.3">
      <c r="A871" s="154" t="s">
        <v>2813</v>
      </c>
      <c r="B871" s="154" t="s">
        <v>915</v>
      </c>
      <c r="C871" s="149" t="s">
        <v>811</v>
      </c>
      <c r="D871" s="164">
        <v>55000</v>
      </c>
      <c r="E871" s="164">
        <v>56000</v>
      </c>
      <c r="F871" s="164">
        <v>59000</v>
      </c>
      <c r="G871" s="164">
        <v>61000</v>
      </c>
      <c r="H871" s="164">
        <v>63000</v>
      </c>
      <c r="I871" s="152" t="s">
        <v>2785</v>
      </c>
      <c r="K871" s="71"/>
      <c r="L871" s="71"/>
      <c r="M871" s="71"/>
      <c r="N871" s="71"/>
      <c r="O871" s="71"/>
      <c r="P871" s="71"/>
      <c r="Q871" s="71"/>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row>
    <row r="872" spans="1:45" hidden="1" outlineLevel="1" x14ac:dyDescent="0.3">
      <c r="A872" s="154" t="s">
        <v>2813</v>
      </c>
      <c r="B872" s="154" t="s">
        <v>934</v>
      </c>
      <c r="C872" s="149" t="s">
        <v>814</v>
      </c>
      <c r="D872" s="164" t="s">
        <v>204</v>
      </c>
      <c r="E872" s="164" t="s">
        <v>204</v>
      </c>
      <c r="F872" s="164" t="s">
        <v>204</v>
      </c>
      <c r="G872" s="164" t="s">
        <v>204</v>
      </c>
      <c r="H872" s="164" t="s">
        <v>204</v>
      </c>
      <c r="I872" s="152"/>
      <c r="K872" s="71"/>
      <c r="L872" s="71"/>
      <c r="M872" s="71"/>
      <c r="N872" s="71"/>
      <c r="O872" s="71"/>
      <c r="P872" s="71"/>
      <c r="Q872" s="71"/>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row>
    <row r="873" spans="1:45" hidden="1" outlineLevel="1" x14ac:dyDescent="0.3">
      <c r="A873" s="154" t="s">
        <v>2813</v>
      </c>
      <c r="B873" s="154" t="s">
        <v>934</v>
      </c>
      <c r="C873" s="149" t="s">
        <v>815</v>
      </c>
      <c r="D873" s="433" t="s">
        <v>204</v>
      </c>
      <c r="E873" s="433" t="s">
        <v>204</v>
      </c>
      <c r="F873" s="433" t="s">
        <v>204</v>
      </c>
      <c r="G873" s="433" t="s">
        <v>204</v>
      </c>
      <c r="H873" s="433" t="s">
        <v>204</v>
      </c>
      <c r="I873" s="152"/>
      <c r="K873" s="71"/>
      <c r="L873" s="71"/>
      <c r="M873" s="71"/>
      <c r="N873" s="71"/>
      <c r="O873" s="71"/>
      <c r="P873" s="71"/>
      <c r="Q873" s="71"/>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row>
    <row r="874" spans="1:45" hidden="1" outlineLevel="1" x14ac:dyDescent="0.3">
      <c r="A874" s="154" t="s">
        <v>2813</v>
      </c>
      <c r="B874" s="154" t="s">
        <v>940</v>
      </c>
      <c r="C874" s="149" t="s">
        <v>817</v>
      </c>
      <c r="D874" s="164">
        <v>1700</v>
      </c>
      <c r="E874" s="164">
        <v>1700</v>
      </c>
      <c r="F874" s="164">
        <v>1700</v>
      </c>
      <c r="G874" s="164">
        <v>1700</v>
      </c>
      <c r="H874" s="164">
        <v>1700</v>
      </c>
      <c r="I874" s="152" t="s">
        <v>2714</v>
      </c>
      <c r="K874" s="71"/>
      <c r="L874" s="71"/>
      <c r="M874" s="71"/>
      <c r="N874" s="71"/>
      <c r="O874" s="71"/>
      <c r="P874" s="71"/>
      <c r="Q874" s="71"/>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row>
    <row r="875" spans="1:45" hidden="1" outlineLevel="1" x14ac:dyDescent="0.3">
      <c r="A875" s="154" t="s">
        <v>2813</v>
      </c>
      <c r="B875" s="154" t="s">
        <v>940</v>
      </c>
      <c r="C875" s="149" t="s">
        <v>944</v>
      </c>
      <c r="D875" s="164">
        <v>11000</v>
      </c>
      <c r="E875" s="164">
        <v>11000</v>
      </c>
      <c r="F875" s="164">
        <v>12607</v>
      </c>
      <c r="G875" s="164">
        <v>12607</v>
      </c>
      <c r="H875" s="164">
        <v>12607</v>
      </c>
      <c r="I875" s="152" t="s">
        <v>2755</v>
      </c>
      <c r="K875" s="71"/>
      <c r="L875" s="71"/>
      <c r="M875" s="71"/>
      <c r="N875" s="71"/>
      <c r="O875" s="71"/>
      <c r="P875" s="71"/>
      <c r="Q875" s="71"/>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row>
    <row r="876" spans="1:45" hidden="1" outlineLevel="1" x14ac:dyDescent="0.3">
      <c r="A876" s="154" t="s">
        <v>2813</v>
      </c>
      <c r="B876" s="154" t="s">
        <v>940</v>
      </c>
      <c r="C876" s="149" t="s">
        <v>821</v>
      </c>
      <c r="D876" s="433" t="s">
        <v>204</v>
      </c>
      <c r="E876" s="433" t="s">
        <v>204</v>
      </c>
      <c r="F876" s="433" t="s">
        <v>204</v>
      </c>
      <c r="G876" s="433" t="s">
        <v>204</v>
      </c>
      <c r="H876" s="433" t="s">
        <v>204</v>
      </c>
      <c r="I876" s="152"/>
      <c r="K876" s="71"/>
      <c r="L876" s="71"/>
      <c r="M876" s="71"/>
      <c r="N876" s="71"/>
      <c r="O876" s="71"/>
      <c r="P876" s="71"/>
      <c r="Q876" s="71"/>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row>
    <row r="877" spans="1:45" hidden="1" outlineLevel="1" x14ac:dyDescent="0.3">
      <c r="A877" s="154" t="s">
        <v>2813</v>
      </c>
      <c r="B877" s="154" t="s">
        <v>940</v>
      </c>
      <c r="C877" s="149" t="s">
        <v>823</v>
      </c>
      <c r="D877" s="433" t="s">
        <v>204</v>
      </c>
      <c r="E877" s="433" t="s">
        <v>204</v>
      </c>
      <c r="F877" s="433" t="s">
        <v>204</v>
      </c>
      <c r="G877" s="433" t="s">
        <v>204</v>
      </c>
      <c r="H877" s="433" t="s">
        <v>204</v>
      </c>
      <c r="I877" s="152"/>
      <c r="K877" s="71"/>
      <c r="L877" s="71"/>
      <c r="M877" s="71"/>
      <c r="N877" s="71"/>
      <c r="O877" s="71"/>
      <c r="P877" s="71"/>
      <c r="Q877" s="71"/>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row>
    <row r="878" spans="1:45" hidden="1" outlineLevel="1" x14ac:dyDescent="0.3">
      <c r="A878" s="154" t="s">
        <v>2813</v>
      </c>
      <c r="B878" s="154" t="s">
        <v>940</v>
      </c>
      <c r="C878" s="149" t="s">
        <v>825</v>
      </c>
      <c r="D878" s="433" t="s">
        <v>204</v>
      </c>
      <c r="E878" s="433" t="s">
        <v>204</v>
      </c>
      <c r="F878" s="433" t="s">
        <v>204</v>
      </c>
      <c r="G878" s="433" t="s">
        <v>204</v>
      </c>
      <c r="H878" s="433" t="s">
        <v>204</v>
      </c>
      <c r="I878" s="152"/>
      <c r="K878" s="71"/>
      <c r="L878" s="71"/>
      <c r="M878" s="71"/>
      <c r="N878" s="71"/>
      <c r="O878" s="71"/>
      <c r="P878" s="71"/>
      <c r="Q878" s="71"/>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row>
    <row r="879" spans="1:45" hidden="1" outlineLevel="1" x14ac:dyDescent="0.3">
      <c r="A879" s="154" t="s">
        <v>2813</v>
      </c>
      <c r="B879" s="154" t="s">
        <v>940</v>
      </c>
      <c r="C879" s="149" t="s">
        <v>827</v>
      </c>
      <c r="D879" s="164">
        <v>1229000</v>
      </c>
      <c r="E879" s="164">
        <v>1230000</v>
      </c>
      <c r="F879" s="164">
        <v>1230000</v>
      </c>
      <c r="G879" s="164">
        <v>1230000</v>
      </c>
      <c r="H879" s="164">
        <v>1230000</v>
      </c>
      <c r="I879" s="152" t="s">
        <v>2816</v>
      </c>
      <c r="K879" s="71"/>
      <c r="L879" s="71"/>
      <c r="M879" s="71"/>
      <c r="N879" s="71"/>
      <c r="O879" s="71"/>
      <c r="P879" s="71"/>
      <c r="Q879" s="71"/>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row>
    <row r="880" spans="1:45" hidden="1" outlineLevel="1" x14ac:dyDescent="0.3">
      <c r="A880" s="154" t="s">
        <v>2813</v>
      </c>
      <c r="B880" s="154" t="s">
        <v>940</v>
      </c>
      <c r="C880" s="149" t="s">
        <v>829</v>
      </c>
      <c r="D880" s="164">
        <v>0</v>
      </c>
      <c r="E880" s="164">
        <v>0</v>
      </c>
      <c r="F880" s="164">
        <v>0</v>
      </c>
      <c r="G880" s="164">
        <v>0</v>
      </c>
      <c r="H880" s="164">
        <v>0</v>
      </c>
      <c r="I880" s="152" t="s">
        <v>2715</v>
      </c>
      <c r="K880" s="71"/>
      <c r="L880" s="71"/>
      <c r="M880" s="71"/>
      <c r="N880" s="71"/>
      <c r="O880" s="71"/>
      <c r="P880" s="71"/>
      <c r="Q880" s="71"/>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row>
    <row r="881" spans="1:45" hidden="1" outlineLevel="1" x14ac:dyDescent="0.3">
      <c r="A881" s="154" t="s">
        <v>2813</v>
      </c>
      <c r="B881" s="154" t="s">
        <v>940</v>
      </c>
      <c r="C881" s="149" t="s">
        <v>833</v>
      </c>
      <c r="D881" s="164">
        <v>0</v>
      </c>
      <c r="E881" s="164">
        <v>0</v>
      </c>
      <c r="F881" s="164">
        <v>0</v>
      </c>
      <c r="G881" s="164">
        <v>0</v>
      </c>
      <c r="H881" s="164">
        <v>0</v>
      </c>
      <c r="I881" s="152" t="s">
        <v>2716</v>
      </c>
      <c r="K881" s="71"/>
      <c r="L881" s="71"/>
      <c r="M881" s="71"/>
      <c r="N881" s="71"/>
      <c r="O881" s="71"/>
      <c r="P881" s="71"/>
      <c r="Q881" s="71"/>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row>
    <row r="882" spans="1:45" hidden="1" outlineLevel="1" x14ac:dyDescent="0.3">
      <c r="A882" s="154" t="s">
        <v>2813</v>
      </c>
      <c r="B882" s="154" t="s">
        <v>940</v>
      </c>
      <c r="C882" s="149" t="s">
        <v>836</v>
      </c>
      <c r="D882" s="164">
        <v>0</v>
      </c>
      <c r="E882" s="164">
        <v>0</v>
      </c>
      <c r="F882" s="164">
        <v>0</v>
      </c>
      <c r="G882" s="164">
        <v>0</v>
      </c>
      <c r="H882" s="164">
        <v>0</v>
      </c>
      <c r="I882" s="152"/>
      <c r="K882" s="71"/>
      <c r="L882" s="71"/>
      <c r="M882" s="71"/>
      <c r="N882" s="71"/>
      <c r="O882" s="71"/>
      <c r="P882" s="71"/>
      <c r="Q882" s="71"/>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row>
    <row r="883" spans="1:45" hidden="1" outlineLevel="1" x14ac:dyDescent="0.3">
      <c r="A883" s="154" t="s">
        <v>2813</v>
      </c>
      <c r="B883" s="154" t="s">
        <v>940</v>
      </c>
      <c r="C883" s="149" t="s">
        <v>837</v>
      </c>
      <c r="D883" s="433" t="s">
        <v>204</v>
      </c>
      <c r="E883" s="433" t="s">
        <v>204</v>
      </c>
      <c r="F883" s="433" t="s">
        <v>204</v>
      </c>
      <c r="G883" s="433" t="s">
        <v>204</v>
      </c>
      <c r="H883" s="433" t="s">
        <v>204</v>
      </c>
      <c r="I883" s="152"/>
      <c r="K883" s="71"/>
      <c r="L883" s="71"/>
      <c r="M883" s="71"/>
      <c r="N883" s="71"/>
      <c r="O883" s="71"/>
      <c r="P883" s="71"/>
      <c r="Q883" s="71"/>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row>
    <row r="884" spans="1:45" hidden="1" outlineLevel="1" x14ac:dyDescent="0.3">
      <c r="A884" s="154" t="s">
        <v>2813</v>
      </c>
      <c r="B884" s="154" t="s">
        <v>940</v>
      </c>
      <c r="C884" s="149" t="s">
        <v>839</v>
      </c>
      <c r="D884" s="164">
        <v>14870</v>
      </c>
      <c r="E884" s="164">
        <v>16370</v>
      </c>
      <c r="F884" s="164">
        <v>21700</v>
      </c>
      <c r="G884" s="164">
        <v>23700</v>
      </c>
      <c r="H884" s="164">
        <v>26700</v>
      </c>
      <c r="I884" s="152" t="s">
        <v>2817</v>
      </c>
      <c r="K884" s="71"/>
      <c r="L884" s="71"/>
      <c r="M884" s="71"/>
      <c r="N884" s="71"/>
      <c r="O884" s="71"/>
      <c r="P884" s="71"/>
      <c r="Q884" s="71"/>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row>
    <row r="885" spans="1:45" hidden="1" outlineLevel="1" x14ac:dyDescent="0.3">
      <c r="A885" s="154" t="s">
        <v>2813</v>
      </c>
      <c r="B885" s="154" t="s">
        <v>940</v>
      </c>
      <c r="C885" s="149" t="s">
        <v>840</v>
      </c>
      <c r="D885" s="433" t="s">
        <v>204</v>
      </c>
      <c r="E885" s="433" t="s">
        <v>204</v>
      </c>
      <c r="F885" s="433" t="s">
        <v>204</v>
      </c>
      <c r="G885" s="433" t="s">
        <v>204</v>
      </c>
      <c r="H885" s="433" t="s">
        <v>204</v>
      </c>
      <c r="I885" s="152"/>
      <c r="K885" s="71"/>
      <c r="L885" s="71"/>
      <c r="M885" s="71"/>
      <c r="N885" s="71"/>
      <c r="O885" s="71"/>
      <c r="P885" s="71"/>
      <c r="Q885" s="71"/>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row>
    <row r="886" spans="1:45" collapsed="1" x14ac:dyDescent="0.3">
      <c r="A886" s="154"/>
      <c r="B886" s="154"/>
      <c r="C886" s="487" t="s">
        <v>2719</v>
      </c>
      <c r="D886" s="152"/>
      <c r="E886" s="152"/>
      <c r="F886" s="152"/>
      <c r="G886" s="152"/>
      <c r="H886" s="152"/>
      <c r="I886" s="152"/>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row>
    <row r="887" spans="1:45" x14ac:dyDescent="0.3">
      <c r="A887" s="149" t="s">
        <v>2818</v>
      </c>
      <c r="B887" s="154"/>
      <c r="C887" s="150" t="s">
        <v>2693</v>
      </c>
      <c r="D887" s="151">
        <v>1224475</v>
      </c>
      <c r="E887" s="151">
        <v>1241275</v>
      </c>
      <c r="F887" s="151">
        <v>1253866</v>
      </c>
      <c r="G887" s="151">
        <v>1286729</v>
      </c>
      <c r="H887" s="151">
        <v>1292482</v>
      </c>
      <c r="I887" s="152"/>
      <c r="K887" s="70"/>
      <c r="L887" s="182"/>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row>
    <row r="888" spans="1:45" x14ac:dyDescent="0.3">
      <c r="A888" s="149" t="s">
        <v>5</v>
      </c>
      <c r="B888" s="149" t="s">
        <v>847</v>
      </c>
      <c r="C888" s="149" t="s">
        <v>193</v>
      </c>
      <c r="D888" s="153">
        <v>2025</v>
      </c>
      <c r="E888" s="153">
        <v>2030</v>
      </c>
      <c r="F888" s="153">
        <v>2035</v>
      </c>
      <c r="G888" s="153">
        <v>2040</v>
      </c>
      <c r="H888" s="153">
        <v>2045</v>
      </c>
      <c r="I888" s="153" t="s">
        <v>153</v>
      </c>
      <c r="K888" s="70"/>
      <c r="L888" s="183"/>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row>
    <row r="889" spans="1:45" hidden="1" outlineLevel="1" x14ac:dyDescent="0.3">
      <c r="A889" s="154" t="s">
        <v>2818</v>
      </c>
      <c r="B889" s="154" t="s">
        <v>855</v>
      </c>
      <c r="C889" s="149" t="s">
        <v>747</v>
      </c>
      <c r="D889" s="433" t="s">
        <v>204</v>
      </c>
      <c r="E889" s="433" t="s">
        <v>204</v>
      </c>
      <c r="F889" s="433" t="s">
        <v>204</v>
      </c>
      <c r="G889" s="433" t="s">
        <v>204</v>
      </c>
      <c r="H889" s="433" t="s">
        <v>204</v>
      </c>
      <c r="I889" s="152"/>
      <c r="K889" s="70"/>
      <c r="L889" s="71"/>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row>
    <row r="890" spans="1:45" hidden="1" outlineLevel="1" x14ac:dyDescent="0.3">
      <c r="A890" s="154" t="s">
        <v>2818</v>
      </c>
      <c r="B890" s="154" t="s">
        <v>855</v>
      </c>
      <c r="C890" s="149" t="s">
        <v>751</v>
      </c>
      <c r="D890" s="164">
        <v>1100</v>
      </c>
      <c r="E890" s="164">
        <v>1100</v>
      </c>
      <c r="F890" s="164">
        <v>1100</v>
      </c>
      <c r="G890" s="164">
        <v>1100</v>
      </c>
      <c r="H890" s="164">
        <v>1100</v>
      </c>
      <c r="I890" s="152" t="s">
        <v>2696</v>
      </c>
      <c r="K890" s="70"/>
      <c r="L890" s="71"/>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row>
    <row r="891" spans="1:45" hidden="1" outlineLevel="1" x14ac:dyDescent="0.3">
      <c r="A891" s="154" t="s">
        <v>2818</v>
      </c>
      <c r="B891" s="154" t="s">
        <v>855</v>
      </c>
      <c r="C891" s="149" t="s">
        <v>755</v>
      </c>
      <c r="D891" s="164">
        <v>0</v>
      </c>
      <c r="E891" s="164">
        <v>0</v>
      </c>
      <c r="F891" s="164">
        <v>0</v>
      </c>
      <c r="G891" s="164">
        <v>0</v>
      </c>
      <c r="H891" s="164">
        <v>0</v>
      </c>
      <c r="I891" s="152"/>
      <c r="K891" s="70"/>
      <c r="L891" s="71"/>
      <c r="M891" s="71"/>
      <c r="N891" s="71"/>
      <c r="O891" s="71"/>
      <c r="P891" s="71"/>
      <c r="Q891" s="71"/>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row>
    <row r="892" spans="1:45" hidden="1" outlineLevel="1" x14ac:dyDescent="0.3">
      <c r="A892" s="154" t="s">
        <v>2818</v>
      </c>
      <c r="B892" s="154" t="s">
        <v>855</v>
      </c>
      <c r="C892" s="149" t="s">
        <v>758</v>
      </c>
      <c r="D892" s="164">
        <v>30000</v>
      </c>
      <c r="E892" s="164">
        <v>30000</v>
      </c>
      <c r="F892" s="164">
        <v>33360</v>
      </c>
      <c r="G892" s="164">
        <v>33360</v>
      </c>
      <c r="H892" s="164">
        <v>33360</v>
      </c>
      <c r="I892" s="152" t="s">
        <v>2699</v>
      </c>
      <c r="K892" s="70"/>
      <c r="L892" s="71"/>
      <c r="M892" s="71"/>
      <c r="N892" s="71"/>
      <c r="O892" s="71"/>
      <c r="P892" s="71"/>
      <c r="Q892" s="71"/>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row>
    <row r="893" spans="1:45" hidden="1" outlineLevel="1" x14ac:dyDescent="0.3">
      <c r="A893" s="154" t="s">
        <v>2818</v>
      </c>
      <c r="B893" s="154" t="s">
        <v>855</v>
      </c>
      <c r="C893" s="149" t="s">
        <v>761</v>
      </c>
      <c r="D893" s="164">
        <v>0</v>
      </c>
      <c r="E893" s="164">
        <v>0</v>
      </c>
      <c r="F893" s="164">
        <v>0</v>
      </c>
      <c r="G893" s="164">
        <v>0</v>
      </c>
      <c r="H893" s="164">
        <v>0</v>
      </c>
      <c r="I893" s="152"/>
      <c r="K893" s="70"/>
      <c r="L893" s="71"/>
      <c r="M893" s="71"/>
      <c r="N893" s="71"/>
      <c r="O893" s="71"/>
      <c r="P893" s="71"/>
      <c r="Q893" s="71"/>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row>
    <row r="894" spans="1:45" hidden="1" outlineLevel="1" x14ac:dyDescent="0.3">
      <c r="A894" s="154" t="s">
        <v>2818</v>
      </c>
      <c r="B894" s="154" t="s">
        <v>855</v>
      </c>
      <c r="C894" s="149" t="s">
        <v>763</v>
      </c>
      <c r="D894" s="164">
        <v>0</v>
      </c>
      <c r="E894" s="164">
        <v>0</v>
      </c>
      <c r="F894" s="164">
        <v>0</v>
      </c>
      <c r="G894" s="164">
        <v>0</v>
      </c>
      <c r="H894" s="164">
        <v>0</v>
      </c>
      <c r="I894" s="152" t="s">
        <v>2770</v>
      </c>
      <c r="K894" s="70"/>
      <c r="L894" s="71"/>
      <c r="M894" s="71"/>
      <c r="N894" s="71"/>
      <c r="O894" s="71"/>
      <c r="P894" s="71"/>
      <c r="Q894" s="71"/>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row>
    <row r="895" spans="1:45" hidden="1" outlineLevel="1" x14ac:dyDescent="0.3">
      <c r="A895" s="154" t="s">
        <v>2818</v>
      </c>
      <c r="B895" s="154" t="s">
        <v>855</v>
      </c>
      <c r="C895" s="149" t="s">
        <v>765</v>
      </c>
      <c r="D895" s="164">
        <v>0</v>
      </c>
      <c r="E895" s="164">
        <v>0</v>
      </c>
      <c r="F895" s="164">
        <v>0</v>
      </c>
      <c r="G895" s="164">
        <v>0</v>
      </c>
      <c r="H895" s="164">
        <v>0</v>
      </c>
      <c r="I895" s="152" t="s">
        <v>2722</v>
      </c>
      <c r="K895" s="70"/>
      <c r="L895" s="71"/>
      <c r="M895" s="71"/>
      <c r="N895" s="71"/>
      <c r="O895" s="71"/>
      <c r="P895" s="71"/>
      <c r="Q895" s="71"/>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row>
    <row r="896" spans="1:45" hidden="1" outlineLevel="1" x14ac:dyDescent="0.3">
      <c r="A896" s="154" t="s">
        <v>2818</v>
      </c>
      <c r="B896" s="154" t="s">
        <v>855</v>
      </c>
      <c r="C896" s="149" t="s">
        <v>768</v>
      </c>
      <c r="D896" s="433" t="s">
        <v>204</v>
      </c>
      <c r="E896" s="433" t="s">
        <v>204</v>
      </c>
      <c r="F896" s="433" t="s">
        <v>204</v>
      </c>
      <c r="G896" s="433" t="s">
        <v>204</v>
      </c>
      <c r="H896" s="433" t="s">
        <v>204</v>
      </c>
      <c r="I896" s="152"/>
      <c r="K896" s="70"/>
      <c r="L896" s="71"/>
      <c r="M896" s="71"/>
      <c r="N896" s="71"/>
      <c r="O896" s="71"/>
      <c r="P896" s="71"/>
      <c r="Q896" s="71"/>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row>
    <row r="897" spans="1:45" hidden="1" outlineLevel="1" x14ac:dyDescent="0.3">
      <c r="A897" s="154" t="s">
        <v>2818</v>
      </c>
      <c r="B897" s="154" t="s">
        <v>855</v>
      </c>
      <c r="C897" s="149" t="s">
        <v>771</v>
      </c>
      <c r="D897" s="164">
        <v>0</v>
      </c>
      <c r="E897" s="164">
        <v>0</v>
      </c>
      <c r="F897" s="164">
        <v>0</v>
      </c>
      <c r="G897" s="164">
        <v>0</v>
      </c>
      <c r="H897" s="164">
        <v>0</v>
      </c>
      <c r="I897" s="152"/>
      <c r="K897" s="71"/>
      <c r="L897" s="71"/>
      <c r="M897" s="71"/>
      <c r="N897" s="71"/>
      <c r="O897" s="71"/>
      <c r="P897" s="71"/>
      <c r="Q897" s="71"/>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row>
    <row r="898" spans="1:45" hidden="1" outlineLevel="1" x14ac:dyDescent="0.3">
      <c r="A898" s="154" t="s">
        <v>2818</v>
      </c>
      <c r="B898" s="154" t="s">
        <v>855</v>
      </c>
      <c r="C898" s="149" t="s">
        <v>772</v>
      </c>
      <c r="D898" s="164">
        <v>2701</v>
      </c>
      <c r="E898" s="164">
        <v>3731</v>
      </c>
      <c r="F898" s="164">
        <v>4755</v>
      </c>
      <c r="G898" s="164">
        <v>5785</v>
      </c>
      <c r="H898" s="164">
        <v>6838</v>
      </c>
      <c r="I898" s="152" t="s">
        <v>2814</v>
      </c>
      <c r="K898" s="71"/>
      <c r="L898" s="71"/>
      <c r="M898" s="71"/>
      <c r="N898" s="71"/>
      <c r="O898" s="71"/>
      <c r="P898" s="71"/>
      <c r="Q898" s="71"/>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row>
    <row r="899" spans="1:45" hidden="1" outlineLevel="1" x14ac:dyDescent="0.3">
      <c r="A899" s="154" t="s">
        <v>2818</v>
      </c>
      <c r="B899" s="154" t="s">
        <v>855</v>
      </c>
      <c r="C899" s="149" t="s">
        <v>774</v>
      </c>
      <c r="D899" s="164">
        <v>0</v>
      </c>
      <c r="E899" s="164">
        <v>0</v>
      </c>
      <c r="F899" s="164">
        <v>0</v>
      </c>
      <c r="G899" s="164">
        <v>0</v>
      </c>
      <c r="H899" s="164">
        <v>0</v>
      </c>
      <c r="I899" s="152" t="s">
        <v>2771</v>
      </c>
      <c r="K899" s="71"/>
      <c r="L899" s="71"/>
      <c r="M899" s="71"/>
      <c r="N899" s="71"/>
      <c r="O899" s="71"/>
      <c r="P899" s="71"/>
      <c r="Q899" s="71"/>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row>
    <row r="900" spans="1:45" hidden="1" outlineLevel="1" x14ac:dyDescent="0.3">
      <c r="A900" s="154" t="s">
        <v>2818</v>
      </c>
      <c r="B900" s="154" t="s">
        <v>855</v>
      </c>
      <c r="C900" s="149" t="s">
        <v>775</v>
      </c>
      <c r="D900" s="433" t="s">
        <v>204</v>
      </c>
      <c r="E900" s="433" t="s">
        <v>204</v>
      </c>
      <c r="F900" s="433" t="s">
        <v>204</v>
      </c>
      <c r="G900" s="433" t="s">
        <v>204</v>
      </c>
      <c r="H900" s="433" t="s">
        <v>204</v>
      </c>
      <c r="I900" s="152"/>
      <c r="K900" s="71"/>
      <c r="L900" s="71"/>
      <c r="M900" s="71"/>
      <c r="N900" s="71"/>
      <c r="O900" s="71"/>
      <c r="P900" s="71"/>
      <c r="Q900" s="71"/>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row>
    <row r="901" spans="1:45" hidden="1" outlineLevel="1" x14ac:dyDescent="0.3">
      <c r="A901" s="154" t="s">
        <v>2818</v>
      </c>
      <c r="B901" s="154" t="s">
        <v>855</v>
      </c>
      <c r="C901" s="149" t="s">
        <v>779</v>
      </c>
      <c r="D901" s="433" t="s">
        <v>204</v>
      </c>
      <c r="E901" s="433" t="s">
        <v>204</v>
      </c>
      <c r="F901" s="433" t="s">
        <v>204</v>
      </c>
      <c r="G901" s="433" t="s">
        <v>204</v>
      </c>
      <c r="H901" s="433" t="s">
        <v>204</v>
      </c>
      <c r="I901" s="152"/>
      <c r="K901" s="71"/>
      <c r="L901" s="71"/>
      <c r="M901" s="71"/>
      <c r="N901" s="71"/>
      <c r="O901" s="71"/>
      <c r="P901" s="71"/>
      <c r="Q901" s="71"/>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row>
    <row r="902" spans="1:45" hidden="1" outlineLevel="1" x14ac:dyDescent="0.3">
      <c r="A902" s="154" t="s">
        <v>2818</v>
      </c>
      <c r="B902" s="154" t="s">
        <v>894</v>
      </c>
      <c r="C902" s="149" t="s">
        <v>781</v>
      </c>
      <c r="D902" s="433" t="s">
        <v>204</v>
      </c>
      <c r="E902" s="433" t="s">
        <v>204</v>
      </c>
      <c r="F902" s="433" t="s">
        <v>204</v>
      </c>
      <c r="G902" s="433" t="s">
        <v>204</v>
      </c>
      <c r="H902" s="433" t="s">
        <v>204</v>
      </c>
      <c r="I902" s="152"/>
      <c r="K902" s="71"/>
      <c r="L902" s="71"/>
      <c r="M902" s="71"/>
      <c r="N902" s="71"/>
      <c r="O902" s="71"/>
      <c r="P902" s="71"/>
      <c r="Q902" s="71"/>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row>
    <row r="903" spans="1:45" hidden="1" outlineLevel="1" x14ac:dyDescent="0.3">
      <c r="A903" s="154" t="s">
        <v>2818</v>
      </c>
      <c r="B903" s="154" t="s">
        <v>894</v>
      </c>
      <c r="C903" s="149" t="s">
        <v>783</v>
      </c>
      <c r="D903" s="164">
        <v>0</v>
      </c>
      <c r="E903" s="164">
        <v>0</v>
      </c>
      <c r="F903" s="164">
        <v>0</v>
      </c>
      <c r="G903" s="164">
        <v>0</v>
      </c>
      <c r="H903" s="164">
        <v>0</v>
      </c>
      <c r="I903" s="152" t="s">
        <v>2706</v>
      </c>
      <c r="K903" s="71"/>
      <c r="L903" s="71"/>
      <c r="M903" s="71"/>
      <c r="N903" s="71"/>
      <c r="O903" s="71"/>
      <c r="P903" s="71"/>
      <c r="Q903" s="71"/>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row>
    <row r="904" spans="1:45" hidden="1" outlineLevel="1" x14ac:dyDescent="0.3">
      <c r="A904" s="154" t="s">
        <v>2818</v>
      </c>
      <c r="B904" s="154" t="s">
        <v>894</v>
      </c>
      <c r="C904" s="149" t="s">
        <v>785</v>
      </c>
      <c r="D904" s="351">
        <v>0</v>
      </c>
      <c r="E904" s="351">
        <v>0</v>
      </c>
      <c r="F904" s="351">
        <v>0</v>
      </c>
      <c r="G904" s="351">
        <v>0</v>
      </c>
      <c r="H904" s="351">
        <v>0</v>
      </c>
      <c r="I904" s="152" t="s">
        <v>2724</v>
      </c>
      <c r="K904" s="71"/>
      <c r="L904" s="71"/>
      <c r="M904" s="71"/>
      <c r="N904" s="71"/>
      <c r="O904" s="71"/>
      <c r="P904" s="71"/>
      <c r="Q904" s="71"/>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row>
    <row r="905" spans="1:45" hidden="1" outlineLevel="1" x14ac:dyDescent="0.3">
      <c r="A905" s="154" t="s">
        <v>2818</v>
      </c>
      <c r="B905" s="154" t="s">
        <v>894</v>
      </c>
      <c r="C905" s="149" t="s">
        <v>787</v>
      </c>
      <c r="D905" s="433" t="s">
        <v>204</v>
      </c>
      <c r="E905" s="433" t="s">
        <v>204</v>
      </c>
      <c r="F905" s="433" t="s">
        <v>204</v>
      </c>
      <c r="G905" s="433" t="s">
        <v>204</v>
      </c>
      <c r="H905" s="433" t="s">
        <v>204</v>
      </c>
      <c r="I905" s="152"/>
      <c r="K905" s="71"/>
      <c r="L905" s="71"/>
      <c r="M905" s="71"/>
      <c r="N905" s="71"/>
      <c r="O905" s="71"/>
      <c r="P905" s="71"/>
      <c r="Q905" s="71"/>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row>
    <row r="906" spans="1:45" hidden="1" outlineLevel="1" x14ac:dyDescent="0.3">
      <c r="A906" s="154" t="s">
        <v>2818</v>
      </c>
      <c r="B906" s="154" t="s">
        <v>894</v>
      </c>
      <c r="C906" s="149" t="s">
        <v>788</v>
      </c>
      <c r="D906" s="433" t="s">
        <v>204</v>
      </c>
      <c r="E906" s="433" t="s">
        <v>204</v>
      </c>
      <c r="F906" s="433" t="s">
        <v>204</v>
      </c>
      <c r="G906" s="433" t="s">
        <v>204</v>
      </c>
      <c r="H906" s="433" t="s">
        <v>204</v>
      </c>
      <c r="I906" s="152"/>
      <c r="K906" s="71"/>
      <c r="L906" s="71"/>
      <c r="M906" s="71"/>
      <c r="N906" s="71"/>
      <c r="O906" s="71"/>
      <c r="P906" s="71"/>
      <c r="Q906" s="71"/>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row>
    <row r="907" spans="1:45" hidden="1" outlineLevel="1" x14ac:dyDescent="0.3">
      <c r="A907" s="154" t="s">
        <v>2818</v>
      </c>
      <c r="B907" s="154" t="s">
        <v>894</v>
      </c>
      <c r="C907" s="149" t="s">
        <v>789</v>
      </c>
      <c r="D907" s="433" t="s">
        <v>204</v>
      </c>
      <c r="E907" s="433" t="s">
        <v>204</v>
      </c>
      <c r="F907" s="433" t="s">
        <v>204</v>
      </c>
      <c r="G907" s="433" t="s">
        <v>204</v>
      </c>
      <c r="H907" s="433" t="s">
        <v>204</v>
      </c>
      <c r="I907" s="152"/>
      <c r="K907" s="71"/>
      <c r="L907" s="71"/>
      <c r="M907" s="71"/>
      <c r="N907" s="71"/>
      <c r="O907" s="71"/>
      <c r="P907" s="71"/>
      <c r="Q907" s="71"/>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row>
    <row r="908" spans="1:45" hidden="1" outlineLevel="1" x14ac:dyDescent="0.3">
      <c r="A908" s="154" t="s">
        <v>2818</v>
      </c>
      <c r="B908" s="154" t="s">
        <v>894</v>
      </c>
      <c r="C908" s="149" t="s">
        <v>790</v>
      </c>
      <c r="D908" s="164">
        <v>10774</v>
      </c>
      <c r="E908" s="164">
        <v>9944</v>
      </c>
      <c r="F908" s="164">
        <v>10444</v>
      </c>
      <c r="G908" s="164">
        <v>8677</v>
      </c>
      <c r="H908" s="164">
        <v>9477</v>
      </c>
      <c r="I908" s="152" t="s">
        <v>2725</v>
      </c>
      <c r="K908" s="71"/>
      <c r="L908" s="71"/>
      <c r="M908" s="71"/>
      <c r="N908" s="71"/>
      <c r="O908" s="71"/>
      <c r="P908" s="71"/>
      <c r="Q908" s="71"/>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row>
    <row r="909" spans="1:45" hidden="1" outlineLevel="1" x14ac:dyDescent="0.3">
      <c r="A909" s="154" t="s">
        <v>2818</v>
      </c>
      <c r="B909" s="154" t="s">
        <v>894</v>
      </c>
      <c r="C909" s="149" t="s">
        <v>793</v>
      </c>
      <c r="D909" s="433" t="s">
        <v>204</v>
      </c>
      <c r="E909" s="433" t="s">
        <v>204</v>
      </c>
      <c r="F909" s="433" t="s">
        <v>204</v>
      </c>
      <c r="G909" s="433" t="s">
        <v>204</v>
      </c>
      <c r="H909" s="433" t="s">
        <v>204</v>
      </c>
      <c r="I909" s="152"/>
      <c r="K909" s="71"/>
      <c r="L909" s="71"/>
      <c r="M909" s="71"/>
      <c r="N909" s="71"/>
      <c r="O909" s="71"/>
      <c r="P909" s="71"/>
      <c r="Q909" s="71"/>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row>
    <row r="910" spans="1:45" hidden="1" outlineLevel="1" x14ac:dyDescent="0.3">
      <c r="A910" s="154" t="s">
        <v>2818</v>
      </c>
      <c r="B910" s="154" t="s">
        <v>894</v>
      </c>
      <c r="C910" s="149" t="s">
        <v>795</v>
      </c>
      <c r="D910" s="433" t="s">
        <v>204</v>
      </c>
      <c r="E910" s="433" t="s">
        <v>204</v>
      </c>
      <c r="F910" s="433" t="s">
        <v>204</v>
      </c>
      <c r="G910" s="433" t="s">
        <v>204</v>
      </c>
      <c r="H910" s="433" t="s">
        <v>204</v>
      </c>
      <c r="I910" s="152"/>
      <c r="K910" s="71"/>
      <c r="L910" s="71"/>
      <c r="M910" s="71"/>
      <c r="N910" s="71"/>
      <c r="O910" s="71"/>
      <c r="P910" s="71"/>
      <c r="Q910" s="71"/>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row>
    <row r="911" spans="1:45" hidden="1" outlineLevel="1" x14ac:dyDescent="0.3">
      <c r="A911" s="154" t="s">
        <v>2818</v>
      </c>
      <c r="B911" s="154" t="s">
        <v>894</v>
      </c>
      <c r="C911" s="149" t="s">
        <v>797</v>
      </c>
      <c r="D911" s="164">
        <v>0</v>
      </c>
      <c r="E911" s="164">
        <v>0</v>
      </c>
      <c r="F911" s="164">
        <v>0</v>
      </c>
      <c r="G911" s="164">
        <v>0</v>
      </c>
      <c r="H911" s="164">
        <v>0</v>
      </c>
      <c r="I911" s="152" t="s">
        <v>2726</v>
      </c>
      <c r="K911" s="71"/>
      <c r="L911" s="71"/>
      <c r="M911" s="71"/>
      <c r="N911" s="71"/>
      <c r="O911" s="71"/>
      <c r="P911" s="71"/>
      <c r="Q911" s="71"/>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row>
    <row r="912" spans="1:45" hidden="1" outlineLevel="1" x14ac:dyDescent="0.3">
      <c r="A912" s="154" t="s">
        <v>2818</v>
      </c>
      <c r="B912" s="154" t="s">
        <v>915</v>
      </c>
      <c r="C912" s="149" t="s">
        <v>799</v>
      </c>
      <c r="D912" s="164">
        <v>0</v>
      </c>
      <c r="E912" s="164">
        <v>14200</v>
      </c>
      <c r="F912" s="164">
        <v>15700</v>
      </c>
      <c r="G912" s="164">
        <v>15300</v>
      </c>
      <c r="H912" s="164">
        <v>15100</v>
      </c>
      <c r="I912" s="152" t="s">
        <v>2819</v>
      </c>
      <c r="K912" s="71"/>
      <c r="L912" s="71"/>
      <c r="M912" s="71"/>
      <c r="N912" s="71"/>
      <c r="O912" s="71"/>
      <c r="P912" s="71"/>
      <c r="Q912" s="71"/>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row>
    <row r="913" spans="1:45" hidden="1" outlineLevel="1" x14ac:dyDescent="0.3">
      <c r="A913" s="154" t="s">
        <v>2818</v>
      </c>
      <c r="B913" s="154" t="s">
        <v>915</v>
      </c>
      <c r="C913" s="149" t="s">
        <v>801</v>
      </c>
      <c r="D913" s="351">
        <v>6100</v>
      </c>
      <c r="E913" s="351">
        <v>6200</v>
      </c>
      <c r="F913" s="351">
        <v>6200</v>
      </c>
      <c r="G913" s="351">
        <v>6200</v>
      </c>
      <c r="H913" s="351">
        <v>7000</v>
      </c>
      <c r="I913" s="152" t="s">
        <v>2797</v>
      </c>
      <c r="K913" s="71"/>
      <c r="L913" s="71"/>
      <c r="M913" s="71"/>
      <c r="N913" s="71"/>
      <c r="O913" s="71"/>
      <c r="P913" s="71"/>
      <c r="Q913" s="71"/>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row>
    <row r="914" spans="1:45" hidden="1" outlineLevel="1" x14ac:dyDescent="0.3">
      <c r="A914" s="154" t="s">
        <v>2818</v>
      </c>
      <c r="B914" s="154" t="s">
        <v>915</v>
      </c>
      <c r="C914" s="149" t="s">
        <v>804</v>
      </c>
      <c r="D914" s="164">
        <v>0</v>
      </c>
      <c r="E914" s="164">
        <v>0</v>
      </c>
      <c r="F914" s="164">
        <v>0</v>
      </c>
      <c r="G914" s="164">
        <v>0</v>
      </c>
      <c r="H914" s="164">
        <v>0</v>
      </c>
      <c r="I914" s="152" t="s">
        <v>2762</v>
      </c>
      <c r="K914" s="71"/>
      <c r="L914" s="71"/>
      <c r="M914" s="71"/>
      <c r="N914" s="71"/>
      <c r="O914" s="71"/>
      <c r="P914" s="71"/>
      <c r="Q914" s="71"/>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row>
    <row r="915" spans="1:45" hidden="1" outlineLevel="1" x14ac:dyDescent="0.3">
      <c r="A915" s="154" t="s">
        <v>2818</v>
      </c>
      <c r="B915" s="154" t="s">
        <v>915</v>
      </c>
      <c r="C915" s="149" t="s">
        <v>806</v>
      </c>
      <c r="D915" s="164">
        <v>0</v>
      </c>
      <c r="E915" s="164">
        <v>0</v>
      </c>
      <c r="F915" s="164">
        <v>0</v>
      </c>
      <c r="G915" s="164">
        <v>0</v>
      </c>
      <c r="H915" s="164">
        <v>0</v>
      </c>
      <c r="I915" s="152"/>
      <c r="K915" s="71"/>
      <c r="L915" s="71"/>
      <c r="M915" s="71"/>
      <c r="N915" s="71"/>
      <c r="O915" s="71"/>
      <c r="P915" s="71"/>
      <c r="Q915" s="71"/>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row>
    <row r="916" spans="1:45" hidden="1" outlineLevel="1" x14ac:dyDescent="0.3">
      <c r="A916" s="154" t="s">
        <v>2818</v>
      </c>
      <c r="B916" s="154" t="s">
        <v>915</v>
      </c>
      <c r="C916" s="149" t="s">
        <v>808</v>
      </c>
      <c r="D916" s="164">
        <v>0</v>
      </c>
      <c r="E916" s="164">
        <v>0</v>
      </c>
      <c r="F916" s="164">
        <v>0</v>
      </c>
      <c r="G916" s="164">
        <v>0</v>
      </c>
      <c r="H916" s="164">
        <v>0</v>
      </c>
      <c r="I916" s="152"/>
      <c r="K916" s="71"/>
      <c r="L916" s="71"/>
      <c r="M916" s="71"/>
      <c r="N916" s="71"/>
      <c r="O916" s="71"/>
      <c r="P916" s="71"/>
      <c r="Q916" s="71"/>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row>
    <row r="917" spans="1:45" hidden="1" outlineLevel="1" x14ac:dyDescent="0.3">
      <c r="A917" s="154" t="s">
        <v>2818</v>
      </c>
      <c r="B917" s="154" t="s">
        <v>915</v>
      </c>
      <c r="C917" s="149" t="s">
        <v>811</v>
      </c>
      <c r="D917" s="164">
        <v>44000</v>
      </c>
      <c r="E917" s="164">
        <v>44800</v>
      </c>
      <c r="F917" s="164">
        <v>47200</v>
      </c>
      <c r="G917" s="164">
        <v>48800</v>
      </c>
      <c r="H917" s="164">
        <v>50400</v>
      </c>
      <c r="I917" s="152" t="s">
        <v>2730</v>
      </c>
      <c r="K917" s="71"/>
      <c r="L917" s="71"/>
      <c r="M917" s="71"/>
      <c r="N917" s="71"/>
      <c r="O917" s="71"/>
      <c r="P917" s="71"/>
      <c r="Q917" s="71"/>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row>
    <row r="918" spans="1:45" hidden="1" outlineLevel="1" x14ac:dyDescent="0.3">
      <c r="A918" s="154" t="s">
        <v>2818</v>
      </c>
      <c r="B918" s="154" t="s">
        <v>934</v>
      </c>
      <c r="C918" s="149" t="s">
        <v>814</v>
      </c>
      <c r="D918" s="164" t="s">
        <v>204</v>
      </c>
      <c r="E918" s="164" t="s">
        <v>204</v>
      </c>
      <c r="F918" s="164" t="s">
        <v>204</v>
      </c>
      <c r="G918" s="164" t="s">
        <v>204</v>
      </c>
      <c r="H918" s="164" t="s">
        <v>204</v>
      </c>
      <c r="I918" s="152"/>
      <c r="K918" s="71"/>
      <c r="L918" s="71"/>
      <c r="M918" s="71"/>
      <c r="N918" s="71"/>
      <c r="O918" s="71"/>
      <c r="P918" s="71"/>
      <c r="Q918" s="71"/>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row>
    <row r="919" spans="1:45" hidden="1" outlineLevel="1" x14ac:dyDescent="0.3">
      <c r="A919" s="154" t="s">
        <v>2818</v>
      </c>
      <c r="B919" s="154" t="s">
        <v>934</v>
      </c>
      <c r="C919" s="149" t="s">
        <v>815</v>
      </c>
      <c r="D919" s="433" t="s">
        <v>204</v>
      </c>
      <c r="E919" s="433" t="s">
        <v>204</v>
      </c>
      <c r="F919" s="433" t="s">
        <v>204</v>
      </c>
      <c r="G919" s="433" t="s">
        <v>204</v>
      </c>
      <c r="H919" s="433" t="s">
        <v>204</v>
      </c>
      <c r="I919" s="152"/>
      <c r="K919" s="71"/>
      <c r="L919" s="71"/>
      <c r="M919" s="71"/>
      <c r="N919" s="71"/>
      <c r="O919" s="71"/>
      <c r="P919" s="71"/>
      <c r="Q919" s="71"/>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row>
    <row r="920" spans="1:45" hidden="1" outlineLevel="1" x14ac:dyDescent="0.3">
      <c r="A920" s="154" t="s">
        <v>2818</v>
      </c>
      <c r="B920" s="154" t="s">
        <v>940</v>
      </c>
      <c r="C920" s="149" t="s">
        <v>817</v>
      </c>
      <c r="D920" s="164">
        <v>1700</v>
      </c>
      <c r="E920" s="164">
        <v>1700</v>
      </c>
      <c r="F920" s="164">
        <v>1700</v>
      </c>
      <c r="G920" s="164">
        <v>1700</v>
      </c>
      <c r="H920" s="164">
        <v>1700</v>
      </c>
      <c r="I920" s="152" t="s">
        <v>2731</v>
      </c>
      <c r="K920" s="71"/>
      <c r="L920" s="71"/>
      <c r="M920" s="71"/>
      <c r="N920" s="71"/>
      <c r="O920" s="71"/>
      <c r="P920" s="71"/>
      <c r="Q920" s="71"/>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row>
    <row r="921" spans="1:45" hidden="1" outlineLevel="1" x14ac:dyDescent="0.3">
      <c r="A921" s="154" t="s">
        <v>2818</v>
      </c>
      <c r="B921" s="154" t="s">
        <v>940</v>
      </c>
      <c r="C921" s="149" t="s">
        <v>944</v>
      </c>
      <c r="D921" s="164">
        <v>11000</v>
      </c>
      <c r="E921" s="164">
        <v>11000</v>
      </c>
      <c r="F921" s="164">
        <v>12607</v>
      </c>
      <c r="G921" s="164">
        <v>12607</v>
      </c>
      <c r="H921" s="164">
        <v>12607</v>
      </c>
      <c r="I921" s="152" t="s">
        <v>2763</v>
      </c>
      <c r="K921" s="71"/>
      <c r="L921" s="71"/>
      <c r="M921" s="71"/>
      <c r="N921" s="71"/>
      <c r="O921" s="71"/>
      <c r="P921" s="71"/>
      <c r="Q921" s="71"/>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row>
    <row r="922" spans="1:45" hidden="1" outlineLevel="1" x14ac:dyDescent="0.3">
      <c r="A922" s="154" t="s">
        <v>2818</v>
      </c>
      <c r="B922" s="154" t="s">
        <v>940</v>
      </c>
      <c r="C922" s="149" t="s">
        <v>821</v>
      </c>
      <c r="D922" s="433" t="s">
        <v>204</v>
      </c>
      <c r="E922" s="433" t="s">
        <v>204</v>
      </c>
      <c r="F922" s="433" t="s">
        <v>204</v>
      </c>
      <c r="G922" s="433" t="s">
        <v>204</v>
      </c>
      <c r="H922" s="433" t="s">
        <v>204</v>
      </c>
      <c r="I922" s="152"/>
      <c r="K922" s="71"/>
      <c r="L922" s="71"/>
      <c r="M922" s="71"/>
      <c r="N922" s="71"/>
      <c r="O922" s="71"/>
      <c r="P922" s="71"/>
      <c r="Q922" s="71"/>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row>
    <row r="923" spans="1:45" hidden="1" outlineLevel="1" x14ac:dyDescent="0.3">
      <c r="A923" s="154" t="s">
        <v>2818</v>
      </c>
      <c r="B923" s="154" t="s">
        <v>940</v>
      </c>
      <c r="C923" s="149" t="s">
        <v>823</v>
      </c>
      <c r="D923" s="433" t="s">
        <v>204</v>
      </c>
      <c r="E923" s="433" t="s">
        <v>204</v>
      </c>
      <c r="F923" s="433" t="s">
        <v>204</v>
      </c>
      <c r="G923" s="433" t="s">
        <v>204</v>
      </c>
      <c r="H923" s="433" t="s">
        <v>204</v>
      </c>
      <c r="I923" s="152"/>
      <c r="K923" s="71"/>
      <c r="L923" s="71"/>
      <c r="M923" s="71"/>
      <c r="N923" s="71"/>
      <c r="O923" s="71"/>
      <c r="P923" s="71"/>
      <c r="Q923" s="71"/>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row>
    <row r="924" spans="1:45" hidden="1" outlineLevel="1" x14ac:dyDescent="0.3">
      <c r="A924" s="154" t="s">
        <v>2818</v>
      </c>
      <c r="B924" s="154" t="s">
        <v>940</v>
      </c>
      <c r="C924" s="149" t="s">
        <v>825</v>
      </c>
      <c r="D924" s="433" t="s">
        <v>204</v>
      </c>
      <c r="E924" s="433" t="s">
        <v>204</v>
      </c>
      <c r="F924" s="433" t="s">
        <v>204</v>
      </c>
      <c r="G924" s="433" t="s">
        <v>204</v>
      </c>
      <c r="H924" s="433" t="s">
        <v>204</v>
      </c>
      <c r="I924" s="152"/>
      <c r="K924" s="71"/>
      <c r="L924" s="71"/>
      <c r="M924" s="71"/>
      <c r="N924" s="71"/>
      <c r="O924" s="71"/>
      <c r="P924" s="71"/>
      <c r="Q924" s="71"/>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row>
    <row r="925" spans="1:45" hidden="1" outlineLevel="1" x14ac:dyDescent="0.3">
      <c r="A925" s="154" t="s">
        <v>2818</v>
      </c>
      <c r="B925" s="154" t="s">
        <v>940</v>
      </c>
      <c r="C925" s="149" t="s">
        <v>827</v>
      </c>
      <c r="D925" s="164">
        <v>1091000</v>
      </c>
      <c r="E925" s="164">
        <v>1091000</v>
      </c>
      <c r="F925" s="164">
        <v>1091000</v>
      </c>
      <c r="G925" s="164">
        <v>1091000</v>
      </c>
      <c r="H925" s="164">
        <v>1091000</v>
      </c>
      <c r="I925" s="152" t="s">
        <v>2820</v>
      </c>
      <c r="K925" s="71"/>
      <c r="L925" s="71"/>
      <c r="M925" s="71"/>
      <c r="N925" s="71"/>
      <c r="O925" s="71"/>
      <c r="P925" s="71"/>
      <c r="Q925" s="71"/>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row>
    <row r="926" spans="1:45" hidden="1" outlineLevel="1" x14ac:dyDescent="0.3">
      <c r="A926" s="154" t="s">
        <v>2818</v>
      </c>
      <c r="B926" s="154" t="s">
        <v>940</v>
      </c>
      <c r="C926" s="149" t="s">
        <v>829</v>
      </c>
      <c r="D926" s="164">
        <v>0</v>
      </c>
      <c r="E926" s="164">
        <v>0</v>
      </c>
      <c r="F926" s="164">
        <v>0</v>
      </c>
      <c r="G926" s="164">
        <v>0</v>
      </c>
      <c r="H926" s="164">
        <v>0</v>
      </c>
      <c r="I926" s="152" t="s">
        <v>2715</v>
      </c>
      <c r="K926" s="71"/>
      <c r="L926" s="71"/>
      <c r="M926" s="71"/>
      <c r="N926" s="71"/>
      <c r="O926" s="71"/>
      <c r="P926" s="71"/>
      <c r="Q926" s="71"/>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row>
    <row r="927" spans="1:45" hidden="1" outlineLevel="1" x14ac:dyDescent="0.3">
      <c r="A927" s="154" t="s">
        <v>2818</v>
      </c>
      <c r="B927" s="154" t="s">
        <v>940</v>
      </c>
      <c r="C927" s="149" t="s">
        <v>833</v>
      </c>
      <c r="D927" s="351">
        <v>0</v>
      </c>
      <c r="E927" s="351">
        <v>0</v>
      </c>
      <c r="F927" s="351">
        <v>0</v>
      </c>
      <c r="G927" s="351">
        <v>0</v>
      </c>
      <c r="H927" s="351">
        <v>0</v>
      </c>
      <c r="I927" s="152" t="s">
        <v>2732</v>
      </c>
      <c r="K927" s="71"/>
      <c r="L927" s="71"/>
      <c r="M927" s="71"/>
      <c r="N927" s="71"/>
      <c r="O927" s="71"/>
      <c r="P927" s="71"/>
      <c r="Q927" s="71"/>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row>
    <row r="928" spans="1:45" hidden="1" outlineLevel="1" x14ac:dyDescent="0.3">
      <c r="A928" s="154" t="s">
        <v>2818</v>
      </c>
      <c r="B928" s="154" t="s">
        <v>940</v>
      </c>
      <c r="C928" s="149" t="s">
        <v>836</v>
      </c>
      <c r="D928" s="164">
        <v>0</v>
      </c>
      <c r="E928" s="164">
        <v>0</v>
      </c>
      <c r="F928" s="164">
        <v>0</v>
      </c>
      <c r="G928" s="164">
        <v>30400</v>
      </c>
      <c r="H928" s="164">
        <v>30400</v>
      </c>
      <c r="I928" s="152" t="s">
        <v>2821</v>
      </c>
      <c r="K928" s="71"/>
      <c r="L928" s="71"/>
      <c r="M928" s="71"/>
      <c r="N928" s="71"/>
      <c r="O928" s="71"/>
      <c r="P928" s="71"/>
      <c r="Q928" s="71"/>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row>
    <row r="929" spans="1:45" hidden="1" outlineLevel="1" x14ac:dyDescent="0.3">
      <c r="A929" s="154" t="s">
        <v>2818</v>
      </c>
      <c r="B929" s="154" t="s">
        <v>940</v>
      </c>
      <c r="C929" s="149" t="s">
        <v>837</v>
      </c>
      <c r="D929" s="433" t="s">
        <v>204</v>
      </c>
      <c r="E929" s="433" t="s">
        <v>204</v>
      </c>
      <c r="F929" s="433" t="s">
        <v>204</v>
      </c>
      <c r="G929" s="433" t="s">
        <v>204</v>
      </c>
      <c r="H929" s="433" t="s">
        <v>204</v>
      </c>
      <c r="I929" s="152"/>
      <c r="K929" s="71"/>
      <c r="L929" s="71"/>
      <c r="M929" s="71"/>
      <c r="N929" s="71"/>
      <c r="O929" s="71"/>
      <c r="P929" s="71"/>
      <c r="Q929" s="71"/>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row>
    <row r="930" spans="1:45" hidden="1" outlineLevel="1" x14ac:dyDescent="0.3">
      <c r="A930" s="154" t="s">
        <v>2818</v>
      </c>
      <c r="B930" s="154" t="s">
        <v>940</v>
      </c>
      <c r="C930" s="149" t="s">
        <v>839</v>
      </c>
      <c r="D930" s="164">
        <v>26100</v>
      </c>
      <c r="E930" s="164">
        <v>27600</v>
      </c>
      <c r="F930" s="164">
        <v>29800</v>
      </c>
      <c r="G930" s="164">
        <v>31800</v>
      </c>
      <c r="H930" s="164">
        <v>33500</v>
      </c>
      <c r="I930" s="152" t="s">
        <v>2817</v>
      </c>
      <c r="K930" s="71"/>
      <c r="L930" s="71"/>
      <c r="M930" s="71"/>
      <c r="N930" s="71"/>
      <c r="O930" s="71"/>
      <c r="P930" s="71"/>
      <c r="Q930" s="71"/>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row>
    <row r="931" spans="1:45" hidden="1" outlineLevel="1" x14ac:dyDescent="0.3">
      <c r="A931" s="154" t="s">
        <v>2818</v>
      </c>
      <c r="B931" s="154" t="s">
        <v>940</v>
      </c>
      <c r="C931" s="149" t="s">
        <v>840</v>
      </c>
      <c r="D931" s="433" t="s">
        <v>204</v>
      </c>
      <c r="E931" s="433" t="s">
        <v>204</v>
      </c>
      <c r="F931" s="433" t="s">
        <v>204</v>
      </c>
      <c r="G931" s="433" t="s">
        <v>204</v>
      </c>
      <c r="H931" s="433" t="s">
        <v>204</v>
      </c>
      <c r="I931" s="152"/>
      <c r="K931" s="71"/>
      <c r="L931" s="71"/>
      <c r="M931" s="71"/>
      <c r="N931" s="71"/>
      <c r="O931" s="71"/>
      <c r="P931" s="71"/>
      <c r="Q931" s="71"/>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row>
    <row r="932" spans="1:45" collapsed="1" x14ac:dyDescent="0.3">
      <c r="A932" s="154"/>
      <c r="B932" s="154"/>
      <c r="C932" s="487" t="s">
        <v>2719</v>
      </c>
      <c r="D932" s="152"/>
      <c r="E932" s="152"/>
      <c r="F932" s="152"/>
      <c r="G932" s="152"/>
      <c r="H932" s="152"/>
      <c r="I932" s="152"/>
      <c r="K932" s="181"/>
      <c r="L932" s="181"/>
      <c r="M932" s="71"/>
      <c r="N932" s="71"/>
      <c r="O932" s="71"/>
      <c r="P932" s="71"/>
      <c r="Q932" s="71"/>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row>
    <row r="933" spans="1:45" collapsed="1" x14ac:dyDescent="0.3">
      <c r="A933" s="149" t="s">
        <v>2822</v>
      </c>
      <c r="B933" s="154"/>
      <c r="C933" s="150" t="s">
        <v>990</v>
      </c>
      <c r="D933" s="151">
        <v>1218699</v>
      </c>
      <c r="E933" s="151">
        <v>1238965</v>
      </c>
      <c r="F933" s="151">
        <v>1247251</v>
      </c>
      <c r="G933" s="151">
        <v>1283229.3333333333</v>
      </c>
      <c r="H933" s="151">
        <v>1288721</v>
      </c>
      <c r="I933" s="152"/>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row>
    <row r="934" spans="1:45" x14ac:dyDescent="0.3">
      <c r="A934" s="149" t="s">
        <v>5</v>
      </c>
      <c r="B934" s="149" t="s">
        <v>847</v>
      </c>
      <c r="C934" s="149" t="s">
        <v>193</v>
      </c>
      <c r="D934" s="153">
        <v>2025</v>
      </c>
      <c r="E934" s="153">
        <v>2030</v>
      </c>
      <c r="F934" s="153">
        <v>2035</v>
      </c>
      <c r="G934" s="153">
        <v>2040</v>
      </c>
      <c r="H934" s="153">
        <v>2045</v>
      </c>
      <c r="I934" s="153" t="s">
        <v>153</v>
      </c>
      <c r="K934" s="70"/>
      <c r="L934" s="70"/>
      <c r="M934" s="182"/>
      <c r="N934" s="182"/>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row>
    <row r="935" spans="1:45" outlineLevel="1" x14ac:dyDescent="0.3">
      <c r="A935" s="154" t="s">
        <v>2822</v>
      </c>
      <c r="B935" s="154" t="s">
        <v>855</v>
      </c>
      <c r="C935" s="149" t="s">
        <v>747</v>
      </c>
      <c r="D935" s="433" t="s">
        <v>204</v>
      </c>
      <c r="E935" s="433" t="s">
        <v>204</v>
      </c>
      <c r="F935" s="433" t="s">
        <v>204</v>
      </c>
      <c r="G935" s="433" t="s">
        <v>204</v>
      </c>
      <c r="H935" s="433" t="s">
        <v>204</v>
      </c>
      <c r="I935" s="152"/>
      <c r="K935" s="71"/>
      <c r="L935" s="71"/>
      <c r="M935" s="182"/>
      <c r="N935" s="182"/>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row>
    <row r="936" spans="1:45" outlineLevel="1" x14ac:dyDescent="0.3">
      <c r="A936" s="154" t="s">
        <v>2822</v>
      </c>
      <c r="B936" s="154" t="s">
        <v>855</v>
      </c>
      <c r="C936" s="149" t="s">
        <v>751</v>
      </c>
      <c r="D936" s="433">
        <v>796</v>
      </c>
      <c r="E936" s="433">
        <v>796</v>
      </c>
      <c r="F936" s="433">
        <v>796</v>
      </c>
      <c r="G936" s="433">
        <v>796</v>
      </c>
      <c r="H936" s="433">
        <v>796</v>
      </c>
      <c r="I936" s="152" t="s">
        <v>2696</v>
      </c>
      <c r="K936" s="71"/>
      <c r="L936" s="71"/>
      <c r="M936" s="182"/>
      <c r="N936" s="182"/>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row>
    <row r="937" spans="1:45" outlineLevel="1" x14ac:dyDescent="0.3">
      <c r="A937" s="154" t="s">
        <v>2822</v>
      </c>
      <c r="B937" s="154" t="s">
        <v>855</v>
      </c>
      <c r="C937" s="149" t="s">
        <v>755</v>
      </c>
      <c r="D937" s="164">
        <v>0</v>
      </c>
      <c r="E937" s="164">
        <v>0</v>
      </c>
      <c r="F937" s="164">
        <v>0</v>
      </c>
      <c r="G937" s="164">
        <v>0</v>
      </c>
      <c r="H937" s="164">
        <v>0</v>
      </c>
      <c r="I937" s="152"/>
      <c r="K937" s="71"/>
      <c r="L937" s="71"/>
      <c r="M937" s="71"/>
      <c r="N937" s="71"/>
      <c r="O937" s="71"/>
      <c r="P937" s="71"/>
      <c r="Q937" s="71"/>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row>
    <row r="938" spans="1:45" outlineLevel="1" x14ac:dyDescent="0.3">
      <c r="A938" s="154" t="s">
        <v>2822</v>
      </c>
      <c r="B938" s="154" t="s">
        <v>855</v>
      </c>
      <c r="C938" s="149" t="s">
        <v>758</v>
      </c>
      <c r="D938" s="164">
        <v>29225</v>
      </c>
      <c r="E938" s="164">
        <v>29225</v>
      </c>
      <c r="F938" s="164">
        <v>30065</v>
      </c>
      <c r="G938" s="164">
        <v>30065</v>
      </c>
      <c r="H938" s="164">
        <v>30065</v>
      </c>
      <c r="I938" s="152" t="s">
        <v>2699</v>
      </c>
      <c r="K938" s="71"/>
      <c r="L938" s="71"/>
      <c r="M938" s="71"/>
      <c r="N938" s="71"/>
      <c r="O938" s="71"/>
      <c r="P938" s="71"/>
      <c r="Q938" s="71"/>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row>
    <row r="939" spans="1:45" outlineLevel="1" x14ac:dyDescent="0.3">
      <c r="A939" s="154" t="s">
        <v>2822</v>
      </c>
      <c r="B939" s="154" t="s">
        <v>855</v>
      </c>
      <c r="C939" s="149" t="s">
        <v>761</v>
      </c>
      <c r="D939" s="164">
        <v>0</v>
      </c>
      <c r="E939" s="164">
        <v>0</v>
      </c>
      <c r="F939" s="164">
        <v>0</v>
      </c>
      <c r="G939" s="164">
        <v>0</v>
      </c>
      <c r="H939" s="164">
        <v>0</v>
      </c>
      <c r="I939" s="152"/>
      <c r="K939" s="71"/>
      <c r="L939" s="71"/>
      <c r="M939" s="71"/>
      <c r="N939" s="71"/>
      <c r="O939" s="71"/>
      <c r="P939" s="71"/>
      <c r="Q939" s="71"/>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row>
    <row r="940" spans="1:45" outlineLevel="1" x14ac:dyDescent="0.3">
      <c r="A940" s="154" t="s">
        <v>2822</v>
      </c>
      <c r="B940" s="154" t="s">
        <v>855</v>
      </c>
      <c r="C940" s="149" t="s">
        <v>763</v>
      </c>
      <c r="D940" s="164">
        <v>0</v>
      </c>
      <c r="E940" s="164">
        <v>0</v>
      </c>
      <c r="F940" s="164">
        <v>0</v>
      </c>
      <c r="G940" s="164">
        <v>0</v>
      </c>
      <c r="H940" s="164">
        <v>0</v>
      </c>
      <c r="I940" s="152" t="s">
        <v>2770</v>
      </c>
      <c r="K940" s="71"/>
      <c r="L940" s="71"/>
      <c r="M940" s="71"/>
      <c r="N940" s="71"/>
      <c r="O940" s="71"/>
      <c r="P940" s="71"/>
      <c r="Q940" s="71"/>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row>
    <row r="941" spans="1:45" outlineLevel="1" x14ac:dyDescent="0.3">
      <c r="A941" s="154" t="s">
        <v>2822</v>
      </c>
      <c r="B941" s="154" t="s">
        <v>855</v>
      </c>
      <c r="C941" s="149" t="s">
        <v>765</v>
      </c>
      <c r="D941" s="164">
        <v>0</v>
      </c>
      <c r="E941" s="164">
        <v>0</v>
      </c>
      <c r="F941" s="164">
        <v>0</v>
      </c>
      <c r="G941" s="164">
        <v>0</v>
      </c>
      <c r="H941" s="164">
        <v>0</v>
      </c>
      <c r="I941" s="152" t="s">
        <v>2735</v>
      </c>
      <c r="K941" s="71"/>
      <c r="L941" s="71"/>
      <c r="M941" s="71"/>
      <c r="N941" s="71"/>
      <c r="O941" s="71"/>
      <c r="P941" s="71"/>
      <c r="Q941" s="71"/>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row>
    <row r="942" spans="1:45" outlineLevel="1" x14ac:dyDescent="0.3">
      <c r="A942" s="154" t="s">
        <v>2822</v>
      </c>
      <c r="B942" s="154" t="s">
        <v>855</v>
      </c>
      <c r="C942" s="149" t="s">
        <v>768</v>
      </c>
      <c r="D942" s="433" t="s">
        <v>204</v>
      </c>
      <c r="E942" s="433" t="s">
        <v>204</v>
      </c>
      <c r="F942" s="433" t="s">
        <v>204</v>
      </c>
      <c r="G942" s="433" t="s">
        <v>204</v>
      </c>
      <c r="H942" s="433" t="s">
        <v>204</v>
      </c>
      <c r="I942" s="152"/>
      <c r="K942" s="71"/>
      <c r="L942" s="71"/>
      <c r="M942" s="71"/>
      <c r="N942" s="71"/>
      <c r="O942" s="71"/>
      <c r="P942" s="71"/>
      <c r="Q942" s="71"/>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row>
    <row r="943" spans="1:45" outlineLevel="1" x14ac:dyDescent="0.3">
      <c r="A943" s="154" t="s">
        <v>2822</v>
      </c>
      <c r="B943" s="154" t="s">
        <v>855</v>
      </c>
      <c r="C943" s="149" t="s">
        <v>771</v>
      </c>
      <c r="D943" s="164">
        <v>0</v>
      </c>
      <c r="E943" s="164">
        <v>0</v>
      </c>
      <c r="F943" s="164">
        <v>0</v>
      </c>
      <c r="G943" s="164">
        <v>0</v>
      </c>
      <c r="H943" s="164">
        <v>0</v>
      </c>
      <c r="I943" s="152"/>
      <c r="K943" s="71"/>
      <c r="L943" s="71"/>
      <c r="M943" s="71"/>
      <c r="N943" s="71"/>
      <c r="O943" s="71"/>
      <c r="P943" s="71"/>
      <c r="Q943" s="71"/>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row>
    <row r="944" spans="1:45" outlineLevel="1" x14ac:dyDescent="0.3">
      <c r="A944" s="154" t="s">
        <v>2822</v>
      </c>
      <c r="B944" s="154" t="s">
        <v>855</v>
      </c>
      <c r="C944" s="149" t="s">
        <v>772</v>
      </c>
      <c r="D944" s="164">
        <v>2701</v>
      </c>
      <c r="E944" s="164">
        <v>3731</v>
      </c>
      <c r="F944" s="164">
        <v>4755</v>
      </c>
      <c r="G944" s="164">
        <v>5785</v>
      </c>
      <c r="H944" s="164">
        <v>6838</v>
      </c>
      <c r="I944" s="152" t="s">
        <v>2814</v>
      </c>
      <c r="K944" s="71"/>
      <c r="L944" s="71"/>
      <c r="M944" s="71"/>
      <c r="N944" s="71"/>
      <c r="O944" s="71"/>
      <c r="P944" s="71"/>
      <c r="Q944" s="71"/>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row>
    <row r="945" spans="1:45" outlineLevel="1" x14ac:dyDescent="0.3">
      <c r="A945" s="154" t="s">
        <v>2822</v>
      </c>
      <c r="B945" s="154" t="s">
        <v>855</v>
      </c>
      <c r="C945" s="149" t="s">
        <v>774</v>
      </c>
      <c r="D945" s="164">
        <v>0</v>
      </c>
      <c r="E945" s="164">
        <v>0</v>
      </c>
      <c r="F945" s="164">
        <v>0</v>
      </c>
      <c r="G945" s="164">
        <v>0</v>
      </c>
      <c r="H945" s="164">
        <v>0</v>
      </c>
      <c r="I945" s="152" t="s">
        <v>2771</v>
      </c>
      <c r="K945" s="71"/>
      <c r="L945" s="71"/>
      <c r="M945" s="71"/>
      <c r="N945" s="71"/>
      <c r="O945" s="71"/>
      <c r="P945" s="71"/>
      <c r="Q945" s="71"/>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row>
    <row r="946" spans="1:45" outlineLevel="1" x14ac:dyDescent="0.3">
      <c r="A946" s="154" t="s">
        <v>2822</v>
      </c>
      <c r="B946" s="154" t="s">
        <v>855</v>
      </c>
      <c r="C946" s="149" t="s">
        <v>775</v>
      </c>
      <c r="D946" s="433" t="s">
        <v>204</v>
      </c>
      <c r="E946" s="433" t="s">
        <v>204</v>
      </c>
      <c r="F946" s="433" t="s">
        <v>204</v>
      </c>
      <c r="G946" s="433" t="s">
        <v>204</v>
      </c>
      <c r="H946" s="433" t="s">
        <v>204</v>
      </c>
      <c r="I946" s="152"/>
      <c r="K946" s="71"/>
      <c r="L946" s="71"/>
      <c r="M946" s="71"/>
      <c r="N946" s="71"/>
      <c r="O946" s="71"/>
      <c r="P946" s="71"/>
      <c r="Q946" s="71"/>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row>
    <row r="947" spans="1:45" outlineLevel="1" x14ac:dyDescent="0.3">
      <c r="A947" s="154" t="s">
        <v>2822</v>
      </c>
      <c r="B947" s="154" t="s">
        <v>855</v>
      </c>
      <c r="C947" s="149" t="s">
        <v>779</v>
      </c>
      <c r="D947" s="433" t="s">
        <v>204</v>
      </c>
      <c r="E947" s="433" t="s">
        <v>204</v>
      </c>
      <c r="F947" s="433" t="s">
        <v>204</v>
      </c>
      <c r="G947" s="433" t="s">
        <v>204</v>
      </c>
      <c r="H947" s="433" t="s">
        <v>204</v>
      </c>
      <c r="I947" s="152"/>
      <c r="K947" s="71"/>
      <c r="L947" s="71"/>
      <c r="M947" s="71"/>
      <c r="N947" s="71"/>
      <c r="O947" s="71"/>
      <c r="P947" s="71"/>
      <c r="Q947" s="71"/>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row>
    <row r="948" spans="1:45" outlineLevel="1" x14ac:dyDescent="0.3">
      <c r="A948" s="154" t="s">
        <v>2822</v>
      </c>
      <c r="B948" s="154" t="s">
        <v>894</v>
      </c>
      <c r="C948" s="149" t="s">
        <v>781</v>
      </c>
      <c r="D948" s="433" t="s">
        <v>204</v>
      </c>
      <c r="E948" s="433" t="s">
        <v>204</v>
      </c>
      <c r="F948" s="433" t="s">
        <v>204</v>
      </c>
      <c r="G948" s="433" t="s">
        <v>204</v>
      </c>
      <c r="H948" s="433" t="s">
        <v>204</v>
      </c>
      <c r="I948" s="152"/>
      <c r="K948" s="71"/>
      <c r="L948" s="71"/>
      <c r="M948" s="71"/>
      <c r="N948" s="71"/>
      <c r="O948" s="71"/>
      <c r="P948" s="71"/>
      <c r="Q948" s="71"/>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row>
    <row r="949" spans="1:45" outlineLevel="1" x14ac:dyDescent="0.3">
      <c r="A949" s="154" t="s">
        <v>2822</v>
      </c>
      <c r="B949" s="154" t="s">
        <v>894</v>
      </c>
      <c r="C949" s="149" t="s">
        <v>783</v>
      </c>
      <c r="D949" s="164">
        <v>0</v>
      </c>
      <c r="E949" s="164">
        <v>0</v>
      </c>
      <c r="F949" s="164">
        <v>0</v>
      </c>
      <c r="G949" s="164">
        <v>0</v>
      </c>
      <c r="H949" s="164">
        <v>0</v>
      </c>
      <c r="I949" s="152" t="s">
        <v>2706</v>
      </c>
      <c r="K949" s="71"/>
      <c r="L949" s="71"/>
      <c r="M949" s="71"/>
      <c r="N949" s="71"/>
      <c r="O949" s="71"/>
      <c r="P949" s="71"/>
      <c r="Q949" s="71"/>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row>
    <row r="950" spans="1:45" outlineLevel="1" x14ac:dyDescent="0.3">
      <c r="A950" s="154" t="s">
        <v>2822</v>
      </c>
      <c r="B950" s="154" t="s">
        <v>894</v>
      </c>
      <c r="C950" s="149" t="s">
        <v>785</v>
      </c>
      <c r="D950" s="351">
        <v>0</v>
      </c>
      <c r="E950" s="351">
        <v>0</v>
      </c>
      <c r="F950" s="351">
        <v>0</v>
      </c>
      <c r="G950" s="351">
        <v>0</v>
      </c>
      <c r="H950" s="351">
        <v>0</v>
      </c>
      <c r="I950" s="152" t="s">
        <v>2737</v>
      </c>
      <c r="K950" s="71"/>
      <c r="L950" s="71"/>
      <c r="M950" s="71"/>
      <c r="N950" s="71"/>
      <c r="O950" s="71"/>
      <c r="P950" s="71"/>
      <c r="Q950" s="71"/>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row>
    <row r="951" spans="1:45" outlineLevel="1" x14ac:dyDescent="0.3">
      <c r="A951" s="154" t="s">
        <v>2822</v>
      </c>
      <c r="B951" s="154" t="s">
        <v>894</v>
      </c>
      <c r="C951" s="149" t="s">
        <v>787</v>
      </c>
      <c r="D951" s="433" t="s">
        <v>204</v>
      </c>
      <c r="E951" s="433" t="s">
        <v>204</v>
      </c>
      <c r="F951" s="433" t="s">
        <v>204</v>
      </c>
      <c r="G951" s="433" t="s">
        <v>204</v>
      </c>
      <c r="H951" s="433" t="s">
        <v>204</v>
      </c>
      <c r="I951" s="152"/>
      <c r="K951" s="71"/>
      <c r="L951" s="71"/>
      <c r="M951" s="71"/>
      <c r="N951" s="71"/>
      <c r="O951" s="71"/>
      <c r="P951" s="71"/>
      <c r="Q951" s="71"/>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row>
    <row r="952" spans="1:45" outlineLevel="1" x14ac:dyDescent="0.3">
      <c r="A952" s="154" t="s">
        <v>2822</v>
      </c>
      <c r="B952" s="154" t="s">
        <v>894</v>
      </c>
      <c r="C952" s="149" t="s">
        <v>788</v>
      </c>
      <c r="D952" s="433" t="s">
        <v>204</v>
      </c>
      <c r="E952" s="433" t="s">
        <v>204</v>
      </c>
      <c r="F952" s="433" t="s">
        <v>204</v>
      </c>
      <c r="G952" s="433" t="s">
        <v>204</v>
      </c>
      <c r="H952" s="433" t="s">
        <v>204</v>
      </c>
      <c r="I952" s="152"/>
      <c r="K952" s="71"/>
      <c r="L952" s="71"/>
      <c r="M952" s="71"/>
      <c r="N952" s="71"/>
      <c r="O952" s="71"/>
      <c r="P952" s="71"/>
      <c r="Q952" s="71"/>
      <c r="R952" s="184"/>
      <c r="S952" s="184"/>
      <c r="T952" s="184"/>
      <c r="U952" s="184"/>
      <c r="V952" s="184"/>
      <c r="W952" s="184"/>
      <c r="X952" s="184"/>
      <c r="Y952" s="184"/>
      <c r="Z952" s="184"/>
      <c r="AA952" s="70"/>
      <c r="AB952" s="70"/>
      <c r="AC952" s="70"/>
      <c r="AD952" s="70"/>
      <c r="AE952" s="70"/>
      <c r="AF952" s="70"/>
      <c r="AG952" s="70"/>
      <c r="AH952" s="70"/>
      <c r="AI952" s="70"/>
      <c r="AJ952" s="70"/>
      <c r="AK952" s="70"/>
      <c r="AL952" s="70"/>
      <c r="AM952" s="70"/>
      <c r="AN952" s="70"/>
      <c r="AO952" s="70"/>
      <c r="AP952" s="70"/>
      <c r="AQ952" s="70"/>
      <c r="AR952" s="70"/>
      <c r="AS952" s="70"/>
    </row>
    <row r="953" spans="1:45" outlineLevel="1" x14ac:dyDescent="0.3">
      <c r="A953" s="154" t="s">
        <v>2822</v>
      </c>
      <c r="B953" s="154" t="s">
        <v>894</v>
      </c>
      <c r="C953" s="149" t="s">
        <v>789</v>
      </c>
      <c r="D953" s="433" t="s">
        <v>204</v>
      </c>
      <c r="E953" s="433" t="s">
        <v>204</v>
      </c>
      <c r="F953" s="433" t="s">
        <v>204</v>
      </c>
      <c r="G953" s="433" t="s">
        <v>204</v>
      </c>
      <c r="H953" s="433" t="s">
        <v>204</v>
      </c>
      <c r="I953" s="152"/>
      <c r="K953" s="71"/>
      <c r="L953" s="71"/>
      <c r="M953" s="71"/>
      <c r="N953" s="71"/>
      <c r="O953" s="71"/>
      <c r="P953" s="71"/>
      <c r="Q953" s="71"/>
      <c r="R953" s="184"/>
      <c r="S953" s="184"/>
      <c r="T953" s="184"/>
      <c r="U953" s="184"/>
      <c r="V953" s="184"/>
      <c r="W953" s="184"/>
      <c r="X953" s="184"/>
      <c r="Y953" s="184"/>
      <c r="Z953" s="184"/>
      <c r="AA953" s="70"/>
      <c r="AB953" s="70"/>
      <c r="AC953" s="70"/>
      <c r="AD953" s="70"/>
      <c r="AE953" s="70"/>
      <c r="AF953" s="70"/>
      <c r="AG953" s="70"/>
      <c r="AH953" s="70"/>
      <c r="AI953" s="70"/>
      <c r="AJ953" s="70"/>
      <c r="AK953" s="70"/>
      <c r="AL953" s="70"/>
      <c r="AM953" s="70"/>
      <c r="AN953" s="70"/>
      <c r="AO953" s="70"/>
      <c r="AP953" s="70"/>
      <c r="AQ953" s="70"/>
      <c r="AR953" s="70"/>
      <c r="AS953" s="70"/>
    </row>
    <row r="954" spans="1:45" outlineLevel="1" x14ac:dyDescent="0.3">
      <c r="A954" s="154" t="s">
        <v>2822</v>
      </c>
      <c r="B954" s="154" t="s">
        <v>894</v>
      </c>
      <c r="C954" s="149" t="s">
        <v>790</v>
      </c>
      <c r="D954" s="164">
        <v>12323</v>
      </c>
      <c r="E954" s="164">
        <v>13023</v>
      </c>
      <c r="F954" s="164">
        <v>13523</v>
      </c>
      <c r="G954" s="164">
        <v>14023</v>
      </c>
      <c r="H954" s="164">
        <v>14823</v>
      </c>
      <c r="I954" s="152" t="s">
        <v>2738</v>
      </c>
      <c r="K954" s="71"/>
      <c r="L954" s="71"/>
      <c r="M954" s="71"/>
      <c r="N954" s="71"/>
      <c r="O954" s="71"/>
      <c r="P954" s="71"/>
      <c r="Q954" s="71"/>
      <c r="R954" s="184"/>
      <c r="S954" s="184"/>
      <c r="T954" s="184"/>
      <c r="U954" s="184"/>
      <c r="V954" s="184"/>
      <c r="W954" s="184"/>
      <c r="X954" s="184"/>
      <c r="Y954" s="184"/>
      <c r="Z954" s="184"/>
      <c r="AA954" s="70"/>
      <c r="AB954" s="70"/>
      <c r="AC954" s="70"/>
      <c r="AD954" s="70"/>
      <c r="AE954" s="70"/>
      <c r="AF954" s="70"/>
      <c r="AG954" s="70"/>
      <c r="AH954" s="70"/>
      <c r="AI954" s="70"/>
      <c r="AJ954" s="70"/>
      <c r="AK954" s="70"/>
      <c r="AL954" s="70"/>
      <c r="AM954" s="70"/>
      <c r="AN954" s="70"/>
      <c r="AO954" s="70"/>
      <c r="AP954" s="70"/>
      <c r="AQ954" s="70"/>
      <c r="AR954" s="70"/>
      <c r="AS954" s="70"/>
    </row>
    <row r="955" spans="1:45" outlineLevel="1" x14ac:dyDescent="0.3">
      <c r="A955" s="154" t="s">
        <v>2822</v>
      </c>
      <c r="B955" s="154" t="s">
        <v>894</v>
      </c>
      <c r="C955" s="149" t="s">
        <v>793</v>
      </c>
      <c r="D955" s="433" t="s">
        <v>204</v>
      </c>
      <c r="E955" s="433" t="s">
        <v>204</v>
      </c>
      <c r="F955" s="433" t="s">
        <v>204</v>
      </c>
      <c r="G955" s="433" t="s">
        <v>204</v>
      </c>
      <c r="H955" s="433" t="s">
        <v>204</v>
      </c>
      <c r="I955" s="152"/>
      <c r="K955" s="71"/>
      <c r="L955" s="71"/>
      <c r="M955" s="71"/>
      <c r="N955" s="71"/>
      <c r="O955" s="71"/>
      <c r="P955" s="71"/>
      <c r="Q955" s="71"/>
      <c r="R955" s="184"/>
      <c r="S955" s="184"/>
      <c r="T955" s="184"/>
      <c r="U955" s="184"/>
      <c r="V955" s="184"/>
      <c r="W955" s="184"/>
      <c r="X955" s="184"/>
      <c r="Y955" s="184"/>
      <c r="Z955" s="184"/>
      <c r="AA955" s="70"/>
      <c r="AB955" s="70"/>
      <c r="AC955" s="70"/>
      <c r="AD955" s="70"/>
      <c r="AE955" s="70"/>
      <c r="AF955" s="70"/>
      <c r="AG955" s="70"/>
      <c r="AH955" s="70"/>
      <c r="AI955" s="70"/>
      <c r="AJ955" s="70"/>
      <c r="AK955" s="70"/>
      <c r="AL955" s="70"/>
      <c r="AM955" s="70"/>
      <c r="AN955" s="70"/>
      <c r="AO955" s="70"/>
      <c r="AP955" s="70"/>
      <c r="AQ955" s="70"/>
      <c r="AR955" s="70"/>
      <c r="AS955" s="70"/>
    </row>
    <row r="956" spans="1:45" outlineLevel="1" x14ac:dyDescent="0.3">
      <c r="A956" s="154" t="s">
        <v>2822</v>
      </c>
      <c r="B956" s="154" t="s">
        <v>894</v>
      </c>
      <c r="C956" s="149" t="s">
        <v>795</v>
      </c>
      <c r="D956" s="433" t="s">
        <v>204</v>
      </c>
      <c r="E956" s="433" t="s">
        <v>204</v>
      </c>
      <c r="F956" s="433" t="s">
        <v>204</v>
      </c>
      <c r="G956" s="433" t="s">
        <v>204</v>
      </c>
      <c r="H956" s="433" t="s">
        <v>204</v>
      </c>
      <c r="I956" s="152"/>
      <c r="K956" s="71"/>
      <c r="L956" s="71"/>
      <c r="M956" s="71"/>
      <c r="N956" s="71"/>
      <c r="O956" s="71"/>
      <c r="P956" s="71"/>
      <c r="Q956" s="71"/>
      <c r="R956" s="184"/>
      <c r="S956" s="184"/>
      <c r="T956" s="184"/>
      <c r="U956" s="184"/>
      <c r="V956" s="184"/>
      <c r="W956" s="184"/>
      <c r="X956" s="184"/>
      <c r="Y956" s="184"/>
      <c r="Z956" s="184"/>
      <c r="AA956" s="70"/>
      <c r="AB956" s="70"/>
      <c r="AC956" s="70"/>
      <c r="AD956" s="70"/>
      <c r="AE956" s="70"/>
      <c r="AF956" s="70"/>
      <c r="AG956" s="70"/>
      <c r="AH956" s="70"/>
      <c r="AI956" s="70"/>
      <c r="AJ956" s="70"/>
      <c r="AK956" s="70"/>
      <c r="AL956" s="70"/>
      <c r="AM956" s="70"/>
      <c r="AN956" s="70"/>
      <c r="AO956" s="70"/>
      <c r="AP956" s="70"/>
      <c r="AQ956" s="70"/>
      <c r="AR956" s="70"/>
      <c r="AS956" s="70"/>
    </row>
    <row r="957" spans="1:45" outlineLevel="1" x14ac:dyDescent="0.3">
      <c r="A957" s="154" t="s">
        <v>2822</v>
      </c>
      <c r="B957" s="154" t="s">
        <v>894</v>
      </c>
      <c r="C957" s="149" t="s">
        <v>797</v>
      </c>
      <c r="D957" s="164">
        <v>0</v>
      </c>
      <c r="E957" s="164">
        <v>0</v>
      </c>
      <c r="F957" s="164">
        <v>0</v>
      </c>
      <c r="G957" s="164">
        <v>0</v>
      </c>
      <c r="H957" s="164">
        <v>0</v>
      </c>
      <c r="I957" s="152" t="s">
        <v>2739</v>
      </c>
      <c r="K957" s="71"/>
      <c r="L957" s="71"/>
      <c r="M957" s="71"/>
      <c r="N957" s="71"/>
      <c r="O957" s="71"/>
      <c r="P957" s="71"/>
      <c r="Q957" s="71"/>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row>
    <row r="958" spans="1:45" outlineLevel="1" x14ac:dyDescent="0.3">
      <c r="A958" s="154" t="s">
        <v>2822</v>
      </c>
      <c r="B958" s="154" t="s">
        <v>915</v>
      </c>
      <c r="C958" s="149" t="s">
        <v>799</v>
      </c>
      <c r="D958" s="164">
        <v>0</v>
      </c>
      <c r="E958" s="164">
        <v>16250</v>
      </c>
      <c r="F958" s="164">
        <v>16550</v>
      </c>
      <c r="G958" s="164">
        <v>16383.333333333334</v>
      </c>
      <c r="H958" s="164">
        <v>16350</v>
      </c>
      <c r="I958" s="152" t="s">
        <v>2823</v>
      </c>
      <c r="K958" s="71"/>
      <c r="L958" s="71"/>
      <c r="M958" s="71"/>
      <c r="N958" s="71"/>
      <c r="O958" s="71"/>
      <c r="P958" s="71"/>
      <c r="Q958" s="71"/>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row>
    <row r="959" spans="1:45" outlineLevel="1" x14ac:dyDescent="0.3">
      <c r="A959" s="154" t="s">
        <v>2822</v>
      </c>
      <c r="B959" s="154" t="s">
        <v>915</v>
      </c>
      <c r="C959" s="149" t="s">
        <v>801</v>
      </c>
      <c r="D959" s="351">
        <v>5100</v>
      </c>
      <c r="E959" s="351">
        <v>5100</v>
      </c>
      <c r="F959" s="351">
        <v>5200</v>
      </c>
      <c r="G959" s="351">
        <v>5200</v>
      </c>
      <c r="H959" s="351">
        <v>5600</v>
      </c>
      <c r="I959" s="152" t="s">
        <v>2741</v>
      </c>
      <c r="K959" s="71"/>
      <c r="L959" s="71"/>
      <c r="M959" s="71"/>
      <c r="N959" s="71"/>
      <c r="O959" s="71"/>
      <c r="P959" s="71"/>
      <c r="Q959" s="71"/>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row>
    <row r="960" spans="1:45" outlineLevel="1" x14ac:dyDescent="0.3">
      <c r="A960" s="154" t="s">
        <v>2822</v>
      </c>
      <c r="B960" s="154" t="s">
        <v>915</v>
      </c>
      <c r="C960" s="149" t="s">
        <v>804</v>
      </c>
      <c r="D960" s="164">
        <v>0</v>
      </c>
      <c r="E960" s="164">
        <v>0</v>
      </c>
      <c r="F960" s="164">
        <v>0</v>
      </c>
      <c r="G960" s="164">
        <v>0</v>
      </c>
      <c r="H960" s="164">
        <v>0</v>
      </c>
      <c r="I960" s="152" t="s">
        <v>2762</v>
      </c>
      <c r="K960" s="71"/>
      <c r="L960" s="71"/>
      <c r="M960" s="71"/>
      <c r="N960" s="71"/>
      <c r="O960" s="71"/>
      <c r="P960" s="71"/>
      <c r="Q960" s="71"/>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row>
    <row r="961" spans="1:45" outlineLevel="1" x14ac:dyDescent="0.3">
      <c r="A961" s="154" t="s">
        <v>2822</v>
      </c>
      <c r="B961" s="154" t="s">
        <v>915</v>
      </c>
      <c r="C961" s="149" t="s">
        <v>806</v>
      </c>
      <c r="D961" s="164">
        <v>0</v>
      </c>
      <c r="E961" s="164">
        <v>0</v>
      </c>
      <c r="F961" s="164">
        <v>0</v>
      </c>
      <c r="G961" s="164">
        <v>0</v>
      </c>
      <c r="H961" s="164">
        <v>0</v>
      </c>
      <c r="I961" s="152"/>
      <c r="K961" s="71"/>
      <c r="L961" s="71"/>
      <c r="M961" s="71"/>
      <c r="N961" s="71"/>
      <c r="O961" s="71"/>
      <c r="P961" s="71"/>
      <c r="Q961" s="71"/>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row>
    <row r="962" spans="1:45" outlineLevel="1" x14ac:dyDescent="0.3">
      <c r="A962" s="154" t="s">
        <v>2822</v>
      </c>
      <c r="B962" s="154" t="s">
        <v>915</v>
      </c>
      <c r="C962" s="149" t="s">
        <v>808</v>
      </c>
      <c r="D962" s="164">
        <v>0</v>
      </c>
      <c r="E962" s="164">
        <v>0</v>
      </c>
      <c r="F962" s="164">
        <v>0</v>
      </c>
      <c r="G962" s="164">
        <v>0</v>
      </c>
      <c r="H962" s="164">
        <v>0</v>
      </c>
      <c r="I962" s="152"/>
      <c r="K962" s="71"/>
      <c r="L962" s="71"/>
      <c r="M962" s="71"/>
      <c r="N962" s="71"/>
      <c r="O962" s="71"/>
      <c r="P962" s="71"/>
      <c r="Q962" s="71"/>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row>
    <row r="963" spans="1:45" outlineLevel="1" x14ac:dyDescent="0.3">
      <c r="A963" s="154" t="s">
        <v>2822</v>
      </c>
      <c r="B963" s="154" t="s">
        <v>915</v>
      </c>
      <c r="C963" s="149" t="s">
        <v>811</v>
      </c>
      <c r="D963" s="164">
        <v>43230</v>
      </c>
      <c r="E963" s="164">
        <v>44016</v>
      </c>
      <c r="F963" s="164">
        <v>46374</v>
      </c>
      <c r="G963" s="164">
        <v>47946</v>
      </c>
      <c r="H963" s="164">
        <v>49518</v>
      </c>
      <c r="I963" s="152" t="s">
        <v>2730</v>
      </c>
      <c r="K963" s="71"/>
      <c r="L963" s="71"/>
      <c r="M963" s="71"/>
      <c r="N963" s="71"/>
      <c r="O963" s="71"/>
      <c r="P963" s="71"/>
      <c r="Q963" s="71"/>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row>
    <row r="964" spans="1:45" outlineLevel="1" x14ac:dyDescent="0.3">
      <c r="A964" s="154" t="s">
        <v>2822</v>
      </c>
      <c r="B964" s="154" t="s">
        <v>934</v>
      </c>
      <c r="C964" s="149" t="s">
        <v>814</v>
      </c>
      <c r="D964" s="164" t="s">
        <v>204</v>
      </c>
      <c r="E964" s="164" t="s">
        <v>204</v>
      </c>
      <c r="F964" s="164" t="s">
        <v>204</v>
      </c>
      <c r="G964" s="164" t="s">
        <v>204</v>
      </c>
      <c r="H964" s="164" t="s">
        <v>204</v>
      </c>
      <c r="I964" s="152"/>
      <c r="K964" s="71"/>
      <c r="L964" s="71"/>
      <c r="M964" s="71"/>
      <c r="N964" s="71"/>
      <c r="O964" s="71"/>
      <c r="P964" s="71"/>
      <c r="Q964" s="71"/>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row>
    <row r="965" spans="1:45" outlineLevel="1" x14ac:dyDescent="0.3">
      <c r="A965" s="154" t="s">
        <v>2822</v>
      </c>
      <c r="B965" s="154" t="s">
        <v>934</v>
      </c>
      <c r="C965" s="149" t="s">
        <v>815</v>
      </c>
      <c r="D965" s="433" t="s">
        <v>204</v>
      </c>
      <c r="E965" s="433" t="s">
        <v>204</v>
      </c>
      <c r="F965" s="433" t="s">
        <v>204</v>
      </c>
      <c r="G965" s="433" t="s">
        <v>204</v>
      </c>
      <c r="H965" s="433" t="s">
        <v>204</v>
      </c>
      <c r="I965" s="152"/>
      <c r="K965" s="71"/>
      <c r="L965" s="71"/>
      <c r="M965" s="71"/>
      <c r="N965" s="71"/>
      <c r="O965" s="71"/>
      <c r="P965" s="71"/>
      <c r="Q965" s="71"/>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row>
    <row r="966" spans="1:45" outlineLevel="1" x14ac:dyDescent="0.3">
      <c r="A966" s="154" t="s">
        <v>2822</v>
      </c>
      <c r="B966" s="154" t="s">
        <v>940</v>
      </c>
      <c r="C966" s="149" t="s">
        <v>817</v>
      </c>
      <c r="D966" s="164">
        <v>1700</v>
      </c>
      <c r="E966" s="164">
        <v>1700</v>
      </c>
      <c r="F966" s="164">
        <v>1700</v>
      </c>
      <c r="G966" s="164">
        <v>1700</v>
      </c>
      <c r="H966" s="164">
        <v>1700</v>
      </c>
      <c r="I966" s="152" t="s">
        <v>2743</v>
      </c>
      <c r="K966" s="71"/>
      <c r="L966" s="71"/>
      <c r="M966" s="71"/>
      <c r="N966" s="71"/>
      <c r="O966" s="71"/>
      <c r="P966" s="71"/>
      <c r="Q966" s="71"/>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row>
    <row r="967" spans="1:45" outlineLevel="1" x14ac:dyDescent="0.3">
      <c r="A967" s="154" t="s">
        <v>2822</v>
      </c>
      <c r="B967" s="154" t="s">
        <v>940</v>
      </c>
      <c r="C967" s="149" t="s">
        <v>944</v>
      </c>
      <c r="D967" s="164">
        <v>11000</v>
      </c>
      <c r="E967" s="164">
        <v>11000</v>
      </c>
      <c r="F967" s="164">
        <v>11964</v>
      </c>
      <c r="G967" s="164">
        <v>12607</v>
      </c>
      <c r="H967" s="164">
        <v>12607</v>
      </c>
      <c r="I967" s="152" t="s">
        <v>2791</v>
      </c>
      <c r="K967" s="71"/>
      <c r="L967" s="71"/>
      <c r="M967" s="71"/>
      <c r="N967" s="71"/>
      <c r="O967" s="71"/>
      <c r="P967" s="71"/>
      <c r="Q967" s="71"/>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row>
    <row r="968" spans="1:45" outlineLevel="1" x14ac:dyDescent="0.3">
      <c r="A968" s="154" t="s">
        <v>2822</v>
      </c>
      <c r="B968" s="154" t="s">
        <v>940</v>
      </c>
      <c r="C968" s="149" t="s">
        <v>821</v>
      </c>
      <c r="D968" s="433" t="s">
        <v>204</v>
      </c>
      <c r="E968" s="433" t="s">
        <v>204</v>
      </c>
      <c r="F968" s="433" t="s">
        <v>204</v>
      </c>
      <c r="G968" s="433" t="s">
        <v>204</v>
      </c>
      <c r="H968" s="433" t="s">
        <v>204</v>
      </c>
      <c r="I968" s="152"/>
      <c r="K968" s="71"/>
      <c r="L968" s="71"/>
      <c r="M968" s="71"/>
      <c r="N968" s="71"/>
      <c r="O968" s="71"/>
      <c r="P968" s="71"/>
      <c r="Q968" s="71"/>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row>
    <row r="969" spans="1:45" outlineLevel="1" x14ac:dyDescent="0.3">
      <c r="A969" s="154" t="s">
        <v>2822</v>
      </c>
      <c r="B969" s="154" t="s">
        <v>940</v>
      </c>
      <c r="C969" s="149" t="s">
        <v>823</v>
      </c>
      <c r="D969" s="433" t="s">
        <v>204</v>
      </c>
      <c r="E969" s="433" t="s">
        <v>204</v>
      </c>
      <c r="F969" s="433" t="s">
        <v>204</v>
      </c>
      <c r="G969" s="433" t="s">
        <v>204</v>
      </c>
      <c r="H969" s="433" t="s">
        <v>204</v>
      </c>
      <c r="I969" s="152"/>
      <c r="K969" s="71"/>
      <c r="L969" s="71"/>
      <c r="M969" s="71"/>
      <c r="N969" s="71"/>
      <c r="O969" s="71"/>
      <c r="P969" s="71"/>
      <c r="Q969" s="71"/>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row>
    <row r="970" spans="1:45" outlineLevel="1" x14ac:dyDescent="0.3">
      <c r="A970" s="154" t="s">
        <v>2822</v>
      </c>
      <c r="B970" s="154" t="s">
        <v>940</v>
      </c>
      <c r="C970" s="149" t="s">
        <v>825</v>
      </c>
      <c r="D970" s="433" t="s">
        <v>204</v>
      </c>
      <c r="E970" s="433" t="s">
        <v>204</v>
      </c>
      <c r="F970" s="433" t="s">
        <v>204</v>
      </c>
      <c r="G970" s="433" t="s">
        <v>204</v>
      </c>
      <c r="H970" s="433" t="s">
        <v>204</v>
      </c>
      <c r="I970" s="152"/>
      <c r="K970" s="71"/>
      <c r="L970" s="71"/>
      <c r="M970" s="71"/>
      <c r="N970" s="71"/>
      <c r="O970" s="71"/>
      <c r="P970" s="71"/>
      <c r="Q970" s="71"/>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row>
    <row r="971" spans="1:45" outlineLevel="1" x14ac:dyDescent="0.3">
      <c r="A971" s="154" t="s">
        <v>2822</v>
      </c>
      <c r="B971" s="154" t="s">
        <v>940</v>
      </c>
      <c r="C971" s="149" t="s">
        <v>827</v>
      </c>
      <c r="D971" s="164">
        <v>1090000</v>
      </c>
      <c r="E971" s="164">
        <v>1090000</v>
      </c>
      <c r="F971" s="164">
        <v>1090000</v>
      </c>
      <c r="G971" s="164">
        <v>1090000</v>
      </c>
      <c r="H971" s="164">
        <v>1090000</v>
      </c>
      <c r="I971" s="152" t="s">
        <v>2824</v>
      </c>
      <c r="K971" s="71"/>
      <c r="L971" s="71"/>
      <c r="M971" s="71"/>
      <c r="N971" s="71"/>
      <c r="O971" s="71"/>
      <c r="P971" s="71"/>
      <c r="Q971" s="71"/>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row>
    <row r="972" spans="1:45" outlineLevel="1" x14ac:dyDescent="0.3">
      <c r="A972" s="154" t="s">
        <v>2822</v>
      </c>
      <c r="B972" s="154" t="s">
        <v>940</v>
      </c>
      <c r="C972" s="149" t="s">
        <v>829</v>
      </c>
      <c r="D972" s="164">
        <v>0</v>
      </c>
      <c r="E972" s="164">
        <v>0</v>
      </c>
      <c r="F972" s="164">
        <v>0</v>
      </c>
      <c r="G972" s="164">
        <v>0</v>
      </c>
      <c r="H972" s="164">
        <v>0</v>
      </c>
      <c r="I972" s="152" t="s">
        <v>2715</v>
      </c>
      <c r="K972" s="71"/>
      <c r="L972" s="71"/>
      <c r="M972" s="71"/>
      <c r="N972" s="71"/>
      <c r="O972" s="71"/>
      <c r="P972" s="71"/>
      <c r="Q972" s="71"/>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row>
    <row r="973" spans="1:45" outlineLevel="1" x14ac:dyDescent="0.3">
      <c r="A973" s="154" t="s">
        <v>2822</v>
      </c>
      <c r="B973" s="154" t="s">
        <v>940</v>
      </c>
      <c r="C973" s="149" t="s">
        <v>833</v>
      </c>
      <c r="D973" s="351">
        <v>0</v>
      </c>
      <c r="E973" s="351">
        <v>0</v>
      </c>
      <c r="F973" s="351">
        <v>0</v>
      </c>
      <c r="G973" s="351">
        <v>0</v>
      </c>
      <c r="H973" s="351">
        <v>0</v>
      </c>
      <c r="I973" s="152" t="s">
        <v>2744</v>
      </c>
      <c r="K973" s="71"/>
      <c r="L973" s="71"/>
      <c r="M973" s="71"/>
      <c r="N973" s="71"/>
      <c r="O973" s="71"/>
      <c r="P973" s="71"/>
      <c r="Q973" s="71"/>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row>
    <row r="974" spans="1:45" outlineLevel="1" x14ac:dyDescent="0.3">
      <c r="A974" s="154" t="s">
        <v>2822</v>
      </c>
      <c r="B974" s="154" t="s">
        <v>940</v>
      </c>
      <c r="C974" s="149" t="s">
        <v>836</v>
      </c>
      <c r="D974" s="164">
        <v>0</v>
      </c>
      <c r="E974" s="164">
        <v>0</v>
      </c>
      <c r="F974" s="164">
        <v>0</v>
      </c>
      <c r="G974" s="164">
        <v>30400</v>
      </c>
      <c r="H974" s="164">
        <v>30400</v>
      </c>
      <c r="I974" s="152" t="s">
        <v>2825</v>
      </c>
      <c r="K974" s="71"/>
      <c r="L974" s="71"/>
      <c r="M974" s="71"/>
      <c r="N974" s="71"/>
      <c r="O974" s="71"/>
      <c r="P974" s="71"/>
      <c r="Q974" s="71"/>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row>
    <row r="975" spans="1:45" outlineLevel="1" x14ac:dyDescent="0.3">
      <c r="A975" s="154" t="s">
        <v>2822</v>
      </c>
      <c r="B975" s="154" t="s">
        <v>940</v>
      </c>
      <c r="C975" s="149" t="s">
        <v>837</v>
      </c>
      <c r="D975" s="433" t="s">
        <v>204</v>
      </c>
      <c r="E975" s="433" t="s">
        <v>204</v>
      </c>
      <c r="F975" s="433" t="s">
        <v>204</v>
      </c>
      <c r="G975" s="433" t="s">
        <v>204</v>
      </c>
      <c r="H975" s="433" t="s">
        <v>204</v>
      </c>
      <c r="I975" s="152"/>
      <c r="K975" s="71"/>
      <c r="L975" s="71"/>
      <c r="M975" s="71"/>
      <c r="N975" s="71"/>
      <c r="O975" s="71"/>
      <c r="P975" s="71"/>
      <c r="Q975" s="71"/>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row>
    <row r="976" spans="1:45" outlineLevel="1" x14ac:dyDescent="0.3">
      <c r="A976" s="154" t="s">
        <v>2822</v>
      </c>
      <c r="B976" s="154" t="s">
        <v>940</v>
      </c>
      <c r="C976" s="149" t="s">
        <v>839</v>
      </c>
      <c r="D976" s="164">
        <v>22624</v>
      </c>
      <c r="E976" s="164">
        <v>24124</v>
      </c>
      <c r="F976" s="164">
        <v>26324</v>
      </c>
      <c r="G976" s="164">
        <v>28324</v>
      </c>
      <c r="H976" s="164">
        <v>30024</v>
      </c>
      <c r="I976" s="152" t="s">
        <v>2817</v>
      </c>
      <c r="K976" s="71"/>
      <c r="L976" s="71"/>
      <c r="M976" s="71"/>
      <c r="N976" s="71"/>
      <c r="O976" s="71"/>
      <c r="P976" s="71"/>
      <c r="Q976" s="71"/>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row>
    <row r="977" spans="1:46" outlineLevel="1" x14ac:dyDescent="0.3">
      <c r="A977" s="154" t="s">
        <v>2822</v>
      </c>
      <c r="B977" s="154" t="s">
        <v>940</v>
      </c>
      <c r="C977" s="149" t="s">
        <v>840</v>
      </c>
      <c r="D977" s="433" t="s">
        <v>204</v>
      </c>
      <c r="E977" s="433" t="s">
        <v>204</v>
      </c>
      <c r="F977" s="433" t="s">
        <v>204</v>
      </c>
      <c r="G977" s="433" t="s">
        <v>204</v>
      </c>
      <c r="H977" s="433" t="s">
        <v>204</v>
      </c>
      <c r="I977" s="152"/>
      <c r="K977" s="71"/>
      <c r="L977" s="71"/>
      <c r="M977" s="71"/>
      <c r="N977" s="71"/>
      <c r="O977" s="71"/>
      <c r="P977" s="71"/>
      <c r="Q977" s="71"/>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row>
    <row r="978" spans="1:46" x14ac:dyDescent="0.3">
      <c r="A978" s="154"/>
      <c r="B978" s="154"/>
      <c r="C978" s="154"/>
      <c r="D978" s="154"/>
      <c r="E978" s="154"/>
      <c r="F978" s="154"/>
      <c r="G978" s="154"/>
      <c r="H978" s="154"/>
      <c r="I978" s="152"/>
      <c r="K978" s="181"/>
      <c r="L978" s="181"/>
      <c r="M978" s="71"/>
      <c r="N978" s="71"/>
      <c r="O978" s="71"/>
      <c r="P978" s="71"/>
      <c r="Q978" s="71"/>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row>
    <row r="979" spans="1:46" x14ac:dyDescent="0.3">
      <c r="A979" s="70"/>
      <c r="B979" s="70"/>
      <c r="C979" s="70"/>
      <c r="D979" s="424"/>
      <c r="E979" s="424"/>
      <c r="F979" s="424"/>
      <c r="G979" s="424"/>
      <c r="H979" s="424"/>
      <c r="I979" s="70"/>
      <c r="K979" s="70"/>
      <c r="L979" s="70"/>
      <c r="M979" s="182"/>
      <c r="N979" s="182"/>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row>
    <row r="980" spans="1:46" ht="25.8" x14ac:dyDescent="0.5">
      <c r="A980" s="207" t="s">
        <v>2826</v>
      </c>
      <c r="B980" s="207"/>
      <c r="C980" s="207"/>
      <c r="D980" s="207"/>
      <c r="E980" s="207"/>
      <c r="F980" s="207"/>
      <c r="G980" s="207"/>
      <c r="H980" s="207"/>
      <c r="I980" s="207"/>
      <c r="J980" s="207"/>
      <c r="K980" s="207"/>
      <c r="L980" s="207"/>
      <c r="M980" s="207"/>
      <c r="N980" s="207"/>
      <c r="O980" s="207"/>
      <c r="P980" s="207"/>
      <c r="Q980" s="207"/>
      <c r="R980" s="207"/>
      <c r="S980" s="207"/>
      <c r="T980" s="207"/>
      <c r="U980" s="207"/>
      <c r="V980" s="207"/>
      <c r="W980" s="207"/>
      <c r="X980" s="207"/>
      <c r="Y980" s="207"/>
      <c r="Z980" s="207"/>
      <c r="AA980" s="207"/>
      <c r="AB980" s="207"/>
      <c r="AC980" s="207"/>
      <c r="AD980" s="207"/>
      <c r="AE980" s="207"/>
      <c r="AF980" s="207"/>
      <c r="AG980" s="207"/>
      <c r="AH980" s="207"/>
      <c r="AI980" s="207"/>
      <c r="AJ980" s="207"/>
      <c r="AK980" s="207"/>
      <c r="AL980" s="207"/>
      <c r="AM980" s="207"/>
      <c r="AN980" s="207"/>
      <c r="AO980" s="207"/>
      <c r="AP980" s="207"/>
      <c r="AQ980" s="207"/>
      <c r="AR980" s="207"/>
      <c r="AS980" s="70"/>
    </row>
    <row r="981" spans="1:46" ht="100.5" customHeight="1" x14ac:dyDescent="0.3">
      <c r="A981" s="569" t="s">
        <v>2827</v>
      </c>
      <c r="B981" s="569"/>
      <c r="C981" s="569"/>
      <c r="D981" s="569"/>
      <c r="E981" s="569"/>
      <c r="F981" s="569"/>
      <c r="G981" s="569"/>
      <c r="H981" s="569"/>
      <c r="I981" s="569"/>
      <c r="J981" s="208"/>
      <c r="K981" s="208"/>
      <c r="L981" s="208"/>
      <c r="M981" s="208"/>
      <c r="N981" s="208"/>
      <c r="O981" s="208"/>
      <c r="P981" s="208"/>
      <c r="Q981" s="208"/>
      <c r="R981" s="208"/>
      <c r="S981" s="208"/>
      <c r="T981" s="208"/>
      <c r="U981" s="208"/>
      <c r="V981" s="208"/>
      <c r="W981" s="208"/>
      <c r="X981" s="208"/>
      <c r="Y981" s="208"/>
      <c r="Z981" s="208"/>
      <c r="AA981" s="208"/>
      <c r="AB981" s="208"/>
      <c r="AC981" s="208"/>
      <c r="AD981" s="208"/>
      <c r="AE981" s="208"/>
      <c r="AF981" s="208"/>
      <c r="AG981" s="208"/>
      <c r="AH981" s="208"/>
      <c r="AI981" s="208"/>
      <c r="AJ981" s="208"/>
      <c r="AK981" s="208"/>
      <c r="AL981" s="208"/>
      <c r="AM981" s="208"/>
      <c r="AN981" s="208"/>
      <c r="AO981" s="208"/>
      <c r="AP981" s="208"/>
      <c r="AQ981" s="208"/>
      <c r="AR981" s="208"/>
      <c r="AS981" s="70"/>
    </row>
    <row r="982" spans="1:46" x14ac:dyDescent="0.3">
      <c r="A982" s="135" t="s">
        <v>2828</v>
      </c>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70"/>
    </row>
    <row r="983" spans="1:46" x14ac:dyDescent="0.3">
      <c r="A983" s="205" t="s">
        <v>5994</v>
      </c>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A983" s="205"/>
      <c r="AB983" s="205"/>
      <c r="AC983" s="205"/>
      <c r="AD983" s="205"/>
      <c r="AE983" s="205"/>
      <c r="AF983" s="205"/>
      <c r="AG983" s="205"/>
      <c r="AH983" s="205"/>
      <c r="AI983" s="205"/>
      <c r="AJ983" s="205"/>
      <c r="AK983" s="205"/>
      <c r="AL983" s="205"/>
      <c r="AM983" s="205"/>
      <c r="AN983" s="205"/>
      <c r="AO983" s="205"/>
      <c r="AP983" s="205"/>
      <c r="AQ983" s="205"/>
      <c r="AR983" s="205"/>
      <c r="AS983" s="70"/>
    </row>
    <row r="984" spans="1:46" x14ac:dyDescent="0.3">
      <c r="A984" s="63"/>
      <c r="B984" s="63"/>
      <c r="C984" s="187">
        <v>20723.205596719399</v>
      </c>
      <c r="D984" s="187">
        <v>17465.357497756853</v>
      </c>
      <c r="E984" s="187">
        <v>40650.884157830827</v>
      </c>
      <c r="F984" s="187">
        <v>14965.990400718179</v>
      </c>
      <c r="G984" s="187">
        <v>14668.914667592648</v>
      </c>
      <c r="H984" s="187">
        <v>8564.4964953918461</v>
      </c>
      <c r="I984" s="187">
        <v>31378.96472494262</v>
      </c>
      <c r="J984" s="187">
        <v>0</v>
      </c>
      <c r="K984" s="187">
        <v>36108.105426905473</v>
      </c>
      <c r="L984" s="187">
        <v>50777.538506963232</v>
      </c>
      <c r="M984" s="187">
        <v>0</v>
      </c>
      <c r="N984" s="187">
        <v>36364.36493808301</v>
      </c>
      <c r="O984" s="187">
        <v>2993.7729120633635</v>
      </c>
      <c r="P984" s="187">
        <v>8696.1975064697781</v>
      </c>
      <c r="Q984" s="187">
        <v>42.844574780058657</v>
      </c>
      <c r="R984" s="187">
        <v>2566.0910674828842</v>
      </c>
      <c r="S984" s="187">
        <v>2360.1255896957309</v>
      </c>
      <c r="T984" s="187">
        <v>1321.6703302296089</v>
      </c>
      <c r="U984" s="187">
        <v>15074.498124464229</v>
      </c>
      <c r="V984" s="187">
        <v>76339.504484290315</v>
      </c>
      <c r="W984" s="187">
        <v>2762.2909901798826</v>
      </c>
      <c r="X984" s="187">
        <v>0</v>
      </c>
      <c r="Y984" s="187">
        <v>44742.145594351292</v>
      </c>
      <c r="Z984" s="187">
        <v>23236.236210085666</v>
      </c>
      <c r="AA984" s="187">
        <v>136706.71309517254</v>
      </c>
      <c r="AB984" s="187">
        <v>211582.8550143092</v>
      </c>
      <c r="AC984" s="187">
        <v>7108.8503557190661</v>
      </c>
      <c r="AD984" s="187">
        <v>161420.3230780795</v>
      </c>
      <c r="AE984" s="187">
        <v>13659.480787881872</v>
      </c>
      <c r="AF984" s="187">
        <v>26064.740560042803</v>
      </c>
      <c r="AG984" s="187">
        <v>82198.574819125468</v>
      </c>
      <c r="AH984" s="187">
        <v>44667.67437271768</v>
      </c>
      <c r="AI984" s="187">
        <v>77485.049152111009</v>
      </c>
      <c r="AJ984" s="187">
        <v>3125.0861052789896</v>
      </c>
      <c r="AK984" s="187">
        <v>31032.27226387784</v>
      </c>
      <c r="AL984" s="187">
        <v>1102974.3583202637</v>
      </c>
      <c r="AM984" s="187">
        <v>48759.578787294879</v>
      </c>
      <c r="AN984" s="187">
        <v>13311.986306454335</v>
      </c>
      <c r="AO984" s="187">
        <v>57554.299026901826</v>
      </c>
      <c r="AP984" s="187">
        <v>16845.279672039997</v>
      </c>
      <c r="AQ984" s="187">
        <v>9583.3694625542412</v>
      </c>
      <c r="AR984" s="187">
        <v>9659.2671738918471</v>
      </c>
      <c r="AS984" s="70"/>
      <c r="AT984" s="188" t="s">
        <v>840</v>
      </c>
    </row>
    <row r="985" spans="1:46" x14ac:dyDescent="0.3">
      <c r="A985" s="188" t="s">
        <v>977</v>
      </c>
      <c r="B985" s="188" t="s">
        <v>747</v>
      </c>
      <c r="C985" s="188" t="s">
        <v>751</v>
      </c>
      <c r="D985" s="188" t="s">
        <v>755</v>
      </c>
      <c r="E985" s="188" t="s">
        <v>758</v>
      </c>
      <c r="F985" s="188" t="s">
        <v>761</v>
      </c>
      <c r="G985" s="188" t="s">
        <v>763</v>
      </c>
      <c r="H985" s="188" t="s">
        <v>765</v>
      </c>
      <c r="I985" s="188" t="s">
        <v>768</v>
      </c>
      <c r="J985" s="188" t="s">
        <v>771</v>
      </c>
      <c r="K985" s="188" t="s">
        <v>772</v>
      </c>
      <c r="L985" s="188" t="s">
        <v>774</v>
      </c>
      <c r="M985" s="188" t="s">
        <v>775</v>
      </c>
      <c r="N985" s="188" t="s">
        <v>779</v>
      </c>
      <c r="O985" s="188" t="s">
        <v>781</v>
      </c>
      <c r="P985" s="188" t="s">
        <v>783</v>
      </c>
      <c r="Q985" s="188" t="s">
        <v>785</v>
      </c>
      <c r="R985" s="188" t="s">
        <v>787</v>
      </c>
      <c r="S985" s="188" t="s">
        <v>788</v>
      </c>
      <c r="T985" s="188" t="s">
        <v>789</v>
      </c>
      <c r="U985" s="188" t="s">
        <v>790</v>
      </c>
      <c r="V985" s="188" t="s">
        <v>793</v>
      </c>
      <c r="W985" s="188" t="s">
        <v>795</v>
      </c>
      <c r="X985" s="188" t="s">
        <v>797</v>
      </c>
      <c r="Y985" s="188" t="s">
        <v>799</v>
      </c>
      <c r="Z985" s="188" t="s">
        <v>801</v>
      </c>
      <c r="AA985" s="188" t="s">
        <v>804</v>
      </c>
      <c r="AB985" s="188" t="s">
        <v>806</v>
      </c>
      <c r="AC985" s="188" t="s">
        <v>808</v>
      </c>
      <c r="AD985" s="188" t="s">
        <v>811</v>
      </c>
      <c r="AE985" s="188" t="s">
        <v>814</v>
      </c>
      <c r="AF985" s="188" t="s">
        <v>815</v>
      </c>
      <c r="AG985" s="188" t="s">
        <v>817</v>
      </c>
      <c r="AH985" s="188" t="s">
        <v>944</v>
      </c>
      <c r="AI985" s="188" t="s">
        <v>821</v>
      </c>
      <c r="AJ985" s="188" t="s">
        <v>823</v>
      </c>
      <c r="AK985" s="188" t="s">
        <v>825</v>
      </c>
      <c r="AL985" s="188" t="s">
        <v>827</v>
      </c>
      <c r="AM985" s="188" t="s">
        <v>829</v>
      </c>
      <c r="AN985" s="188" t="s">
        <v>833</v>
      </c>
      <c r="AO985" s="188" t="s">
        <v>836</v>
      </c>
      <c r="AP985" s="188" t="s">
        <v>837</v>
      </c>
      <c r="AQ985" s="188" t="s">
        <v>839</v>
      </c>
      <c r="AR985" s="188" t="s">
        <v>840</v>
      </c>
      <c r="AS985" s="70"/>
    </row>
    <row r="986" spans="1:46" x14ac:dyDescent="0.3">
      <c r="A986" s="185">
        <v>1922</v>
      </c>
      <c r="B986" s="312">
        <v>0</v>
      </c>
      <c r="C986" s="312">
        <v>20885.572829841971</v>
      </c>
      <c r="D986" s="312">
        <v>17749.505984901254</v>
      </c>
      <c r="E986" s="312">
        <v>40903.871503353854</v>
      </c>
      <c r="F986" s="312">
        <v>14972.179076730688</v>
      </c>
      <c r="G986" s="312">
        <v>14678.906168975662</v>
      </c>
      <c r="H986" s="312">
        <v>8767.0795655808761</v>
      </c>
      <c r="I986" s="312">
        <v>26135.948676982702</v>
      </c>
      <c r="J986" s="312">
        <v>0</v>
      </c>
      <c r="K986" s="312">
        <v>38526.791878400378</v>
      </c>
      <c r="L986" s="312">
        <v>50864.608982481099</v>
      </c>
      <c r="M986" s="312">
        <v>0</v>
      </c>
      <c r="N986" s="312">
        <v>22066.883126458968</v>
      </c>
      <c r="O986" s="312">
        <v>3461.1848579673128</v>
      </c>
      <c r="P986" s="312">
        <v>10053.917920762193</v>
      </c>
      <c r="Q986" s="312">
        <v>0</v>
      </c>
      <c r="R986" s="312">
        <v>2966.7298782576968</v>
      </c>
      <c r="S986" s="312">
        <v>2563.5212638791672</v>
      </c>
      <c r="T986" s="312">
        <v>1435.5719077723336</v>
      </c>
      <c r="U986" s="312">
        <v>19407.857050692306</v>
      </c>
      <c r="V986" s="312">
        <v>94898.975838808357</v>
      </c>
      <c r="W986" s="312">
        <v>3000.3452872441776</v>
      </c>
      <c r="X986" s="312">
        <v>0</v>
      </c>
      <c r="Y986" s="312">
        <v>47948.60444261149</v>
      </c>
      <c r="Z986" s="312">
        <v>21630.700649110066</v>
      </c>
      <c r="AA986" s="312">
        <v>132144.43219934209</v>
      </c>
      <c r="AB986" s="312">
        <v>218331.72957637423</v>
      </c>
      <c r="AC986" s="312">
        <v>8223.6970267533943</v>
      </c>
      <c r="AD986" s="312">
        <v>181728.41525366309</v>
      </c>
      <c r="AE986" s="312">
        <v>11047.554931906321</v>
      </c>
      <c r="AF986" s="312">
        <v>28241.247118752071</v>
      </c>
      <c r="AG986" s="312">
        <v>73017.427193853277</v>
      </c>
      <c r="AH986" s="312">
        <v>35571.493020595728</v>
      </c>
      <c r="AI986" s="312">
        <v>68702.23443212625</v>
      </c>
      <c r="AJ986" s="312">
        <v>2572.6633204732925</v>
      </c>
      <c r="AK986" s="312">
        <v>27684.744364114558</v>
      </c>
      <c r="AL986" s="312">
        <v>1242894.8503652085</v>
      </c>
      <c r="AM986" s="312">
        <v>40745.964484852942</v>
      </c>
      <c r="AN986" s="312">
        <v>15083.291213739563</v>
      </c>
      <c r="AO986" s="312">
        <v>66866.976332052742</v>
      </c>
      <c r="AP986" s="312">
        <v>20318.128703605362</v>
      </c>
      <c r="AQ986" s="312">
        <v>10288.962989842305</v>
      </c>
      <c r="AR986" s="312">
        <v>11776.425550060225</v>
      </c>
      <c r="AS986" s="70"/>
    </row>
    <row r="987" spans="1:46" x14ac:dyDescent="0.3">
      <c r="A987" s="185">
        <v>1923</v>
      </c>
      <c r="B987" s="312">
        <v>0</v>
      </c>
      <c r="C987" s="312">
        <v>20885.572829841971</v>
      </c>
      <c r="D987" s="312">
        <v>17749.50598490125</v>
      </c>
      <c r="E987" s="312">
        <v>40903.871503353854</v>
      </c>
      <c r="F987" s="312">
        <v>14972.179076730688</v>
      </c>
      <c r="G987" s="312">
        <v>14678.906168977088</v>
      </c>
      <c r="H987" s="312">
        <v>8767.0795655808743</v>
      </c>
      <c r="I987" s="312">
        <v>34101.489740954377</v>
      </c>
      <c r="J987" s="312">
        <v>0</v>
      </c>
      <c r="K987" s="312">
        <v>38526.791878400378</v>
      </c>
      <c r="L987" s="312">
        <v>50864.608982481099</v>
      </c>
      <c r="M987" s="312">
        <v>0</v>
      </c>
      <c r="N987" s="312">
        <v>42665.301910053699</v>
      </c>
      <c r="O987" s="312">
        <v>3442.6050775337208</v>
      </c>
      <c r="P987" s="312">
        <v>9999.9480823598551</v>
      </c>
      <c r="Q987" s="312">
        <v>0</v>
      </c>
      <c r="R987" s="312">
        <v>2950.8043521717609</v>
      </c>
      <c r="S987" s="312">
        <v>2716.8037720434227</v>
      </c>
      <c r="T987" s="312">
        <v>1521.4101123443165</v>
      </c>
      <c r="U987" s="312">
        <v>17911.024029831504</v>
      </c>
      <c r="V987" s="312">
        <v>86987.343418516088</v>
      </c>
      <c r="W987" s="312">
        <v>3179.747134799622</v>
      </c>
      <c r="X987" s="312">
        <v>0</v>
      </c>
      <c r="Y987" s="312">
        <v>54113.454325774779</v>
      </c>
      <c r="Z987" s="312">
        <v>28612.568701784516</v>
      </c>
      <c r="AA987" s="312">
        <v>135042.65071966805</v>
      </c>
      <c r="AB987" s="312">
        <v>218331.72957637423</v>
      </c>
      <c r="AC987" s="312">
        <v>8162.9929199228982</v>
      </c>
      <c r="AD987" s="312">
        <v>187445.37049198599</v>
      </c>
      <c r="AE987" s="312">
        <v>17893.716582543668</v>
      </c>
      <c r="AF987" s="312">
        <v>32267.153694048273</v>
      </c>
      <c r="AG987" s="312">
        <v>107405.73892132925</v>
      </c>
      <c r="AH987" s="312">
        <v>63502.113824785381</v>
      </c>
      <c r="AI987" s="312">
        <v>106041.00121718063</v>
      </c>
      <c r="AJ987" s="312">
        <v>4274.4085503272827</v>
      </c>
      <c r="AK987" s="312">
        <v>42708.607162727705</v>
      </c>
      <c r="AL987" s="312">
        <v>1269139.0363494856</v>
      </c>
      <c r="AM987" s="312">
        <v>64036.61891612695</v>
      </c>
      <c r="AN987" s="312">
        <v>14394.216089171125</v>
      </c>
      <c r="AO987" s="312">
        <v>67883.719344380137</v>
      </c>
      <c r="AP987" s="312">
        <v>18602.481517490334</v>
      </c>
      <c r="AQ987" s="312">
        <v>12066.227117348477</v>
      </c>
      <c r="AR987" s="312">
        <v>10774.894747161145</v>
      </c>
      <c r="AS987" s="70"/>
    </row>
    <row r="988" spans="1:46" x14ac:dyDescent="0.3">
      <c r="A988" s="185">
        <v>1924</v>
      </c>
      <c r="B988" s="312">
        <v>0</v>
      </c>
      <c r="C988" s="312">
        <v>19569.187411523268</v>
      </c>
      <c r="D988" s="312">
        <v>15968.21067955418</v>
      </c>
      <c r="E988" s="312">
        <v>39907.980592470391</v>
      </c>
      <c r="F988" s="312">
        <v>14947.155299810456</v>
      </c>
      <c r="G988" s="312">
        <v>14647.079232576865</v>
      </c>
      <c r="H988" s="312">
        <v>7489.393258586525</v>
      </c>
      <c r="I988" s="312">
        <v>20979.559355779711</v>
      </c>
      <c r="J988" s="312">
        <v>0</v>
      </c>
      <c r="K988" s="312">
        <v>23916.351044402127</v>
      </c>
      <c r="L988" s="312">
        <v>50799.292067579459</v>
      </c>
      <c r="M988" s="312">
        <v>0</v>
      </c>
      <c r="N988" s="312">
        <v>31399.748030259674</v>
      </c>
      <c r="O988" s="312">
        <v>1925.9554814247733</v>
      </c>
      <c r="P988" s="312">
        <v>5594.4421127100559</v>
      </c>
      <c r="Q988" s="312">
        <v>0</v>
      </c>
      <c r="R988" s="312">
        <v>1650.8189840783773</v>
      </c>
      <c r="S988" s="312">
        <v>1219.2485618217681</v>
      </c>
      <c r="T988" s="312">
        <v>682.7791946201902</v>
      </c>
      <c r="U988" s="312">
        <v>6162.4602735366707</v>
      </c>
      <c r="V988" s="312">
        <v>25501.271963240819</v>
      </c>
      <c r="W988" s="312">
        <v>1427.0085167561977</v>
      </c>
      <c r="X988" s="312">
        <v>0</v>
      </c>
      <c r="Y988" s="312">
        <v>20809.374777364006</v>
      </c>
      <c r="Z988" s="312">
        <v>13647.597985525546</v>
      </c>
      <c r="AA988" s="312">
        <v>149107.98664029999</v>
      </c>
      <c r="AB988" s="312">
        <v>204287.8379220397</v>
      </c>
      <c r="AC988" s="312">
        <v>4515.1094844936115</v>
      </c>
      <c r="AD988" s="312">
        <v>87276.061950660907</v>
      </c>
      <c r="AE988" s="312">
        <v>9143.5811518405972</v>
      </c>
      <c r="AF988" s="312">
        <v>9878.642203284373</v>
      </c>
      <c r="AG988" s="312">
        <v>42085.952323854202</v>
      </c>
      <c r="AH988" s="312">
        <v>28898.383743401548</v>
      </c>
      <c r="AI988" s="312">
        <v>39165.242503199814</v>
      </c>
      <c r="AJ988" s="312">
        <v>1996.9931767127721</v>
      </c>
      <c r="AK988" s="312">
        <v>15788.4838793818</v>
      </c>
      <c r="AL988" s="312">
        <v>422199.91686830693</v>
      </c>
      <c r="AM988" s="312">
        <v>33113.152148493937</v>
      </c>
      <c r="AN988" s="312">
        <v>6789.1146986879867</v>
      </c>
      <c r="AO988" s="312">
        <v>22956.745916850294</v>
      </c>
      <c r="AP988" s="312">
        <v>5453.9383660401054</v>
      </c>
      <c r="AQ988" s="312">
        <v>4216.5798477457047</v>
      </c>
      <c r="AR988" s="312">
        <v>3159.5458747230291</v>
      </c>
      <c r="AS988" s="70"/>
    </row>
    <row r="989" spans="1:46" x14ac:dyDescent="0.3">
      <c r="A989" s="185">
        <v>1925</v>
      </c>
      <c r="B989" s="312">
        <v>0</v>
      </c>
      <c r="C989" s="312">
        <v>20665.569237234064</v>
      </c>
      <c r="D989" s="312">
        <v>17589.108633206008</v>
      </c>
      <c r="E989" s="312">
        <v>40903.871503353854</v>
      </c>
      <c r="F989" s="312">
        <v>14972.17907673069</v>
      </c>
      <c r="G989" s="312">
        <v>14678.90616897566</v>
      </c>
      <c r="H989" s="312">
        <v>8712.032276748303</v>
      </c>
      <c r="I989" s="312">
        <v>21495.750906490277</v>
      </c>
      <c r="J989" s="312">
        <v>0</v>
      </c>
      <c r="K989" s="312">
        <v>37010.767148258907</v>
      </c>
      <c r="L989" s="312">
        <v>50864.608982481099</v>
      </c>
      <c r="M989" s="312">
        <v>0</v>
      </c>
      <c r="N989" s="312">
        <v>20524.117317983277</v>
      </c>
      <c r="O989" s="312">
        <v>2657.8205949946591</v>
      </c>
      <c r="P989" s="312">
        <v>7720.3360140321038</v>
      </c>
      <c r="Q989" s="312">
        <v>0</v>
      </c>
      <c r="R989" s="312">
        <v>2278.1319385668507</v>
      </c>
      <c r="S989" s="312">
        <v>2601.8657509210157</v>
      </c>
      <c r="T989" s="312">
        <v>1457.0448205157686</v>
      </c>
      <c r="U989" s="312">
        <v>12751.008140149623</v>
      </c>
      <c r="V989" s="312">
        <v>38945.377050765856</v>
      </c>
      <c r="W989" s="312">
        <v>3045.2236748779569</v>
      </c>
      <c r="X989" s="312">
        <v>0</v>
      </c>
      <c r="Y989" s="312">
        <v>22523.705716261287</v>
      </c>
      <c r="Z989" s="312">
        <v>11523.914696624861</v>
      </c>
      <c r="AA989" s="312">
        <v>148711.72843290819</v>
      </c>
      <c r="AB989" s="312">
        <v>215556.9669046315</v>
      </c>
      <c r="AC989" s="312">
        <v>6356.3905882516301</v>
      </c>
      <c r="AD989" s="312">
        <v>120866.89934181327</v>
      </c>
      <c r="AE989" s="312">
        <v>6853.6194594155813</v>
      </c>
      <c r="AF989" s="312">
        <v>13175.699355442317</v>
      </c>
      <c r="AG989" s="312">
        <v>41099.919827666527</v>
      </c>
      <c r="AH989" s="312">
        <v>23896.410662211652</v>
      </c>
      <c r="AI989" s="312">
        <v>40012.536347046691</v>
      </c>
      <c r="AJ989" s="312">
        <v>1603.0325176994065</v>
      </c>
      <c r="AK989" s="312">
        <v>16137.302004762776</v>
      </c>
      <c r="AL989" s="312">
        <v>544244.0909552665</v>
      </c>
      <c r="AM989" s="312">
        <v>25391.596715765972</v>
      </c>
      <c r="AN989" s="312">
        <v>6715.13716316715</v>
      </c>
      <c r="AO989" s="312">
        <v>29448.36984486572</v>
      </c>
      <c r="AP989" s="312">
        <v>8329.0811325481409</v>
      </c>
      <c r="AQ989" s="312">
        <v>4952.7745646147205</v>
      </c>
      <c r="AR989" s="312">
        <v>4825.1579255896522</v>
      </c>
      <c r="AS989" s="70"/>
    </row>
    <row r="990" spans="1:46" x14ac:dyDescent="0.3">
      <c r="A990" s="185">
        <v>1926</v>
      </c>
      <c r="B990" s="312">
        <v>0</v>
      </c>
      <c r="C990" s="312">
        <v>20885.572829841971</v>
      </c>
      <c r="D990" s="312">
        <v>17539.504719087461</v>
      </c>
      <c r="E990" s="312">
        <v>40903.871503353854</v>
      </c>
      <c r="F990" s="312">
        <v>14972.179076730688</v>
      </c>
      <c r="G990" s="312">
        <v>14678.90616897552</v>
      </c>
      <c r="H990" s="312">
        <v>8767.0795655808779</v>
      </c>
      <c r="I990" s="312">
        <v>25906.400344965328</v>
      </c>
      <c r="J990" s="312">
        <v>0</v>
      </c>
      <c r="K990" s="312">
        <v>35231.19850728185</v>
      </c>
      <c r="L990" s="312">
        <v>50864.608982481099</v>
      </c>
      <c r="M990" s="312">
        <v>0</v>
      </c>
      <c r="N990" s="312">
        <v>22829.696601988213</v>
      </c>
      <c r="O990" s="312">
        <v>2695.3531755577128</v>
      </c>
      <c r="P990" s="312">
        <v>7829.3592242390714</v>
      </c>
      <c r="Q990" s="312">
        <v>0</v>
      </c>
      <c r="R990" s="312">
        <v>2310.3027219066112</v>
      </c>
      <c r="S990" s="312">
        <v>2619.3441618512375</v>
      </c>
      <c r="T990" s="312">
        <v>1466.832730636693</v>
      </c>
      <c r="U990" s="312">
        <v>13042.74190113278</v>
      </c>
      <c r="V990" s="312">
        <v>60265.526707323035</v>
      </c>
      <c r="W990" s="312">
        <v>3065.6804070306889</v>
      </c>
      <c r="X990" s="312">
        <v>0</v>
      </c>
      <c r="Y990" s="312">
        <v>34419.728056338281</v>
      </c>
      <c r="Z990" s="312">
        <v>17404.233475012887</v>
      </c>
      <c r="AA990" s="312">
        <v>148372.95683328327</v>
      </c>
      <c r="AB990" s="312">
        <v>204731.61252988889</v>
      </c>
      <c r="AC990" s="312">
        <v>6397.2993277297628</v>
      </c>
      <c r="AD990" s="312">
        <v>136438.10369386757</v>
      </c>
      <c r="AE990" s="312">
        <v>9911.2719224902103</v>
      </c>
      <c r="AF990" s="312">
        <v>20057.010370841304</v>
      </c>
      <c r="AG990" s="312">
        <v>60756.584326027478</v>
      </c>
      <c r="AH990" s="312">
        <v>34857.168603930855</v>
      </c>
      <c r="AI990" s="312">
        <v>56937.241669949348</v>
      </c>
      <c r="AJ990" s="312">
        <v>2389.2946117256311</v>
      </c>
      <c r="AK990" s="312">
        <v>22487.591944435208</v>
      </c>
      <c r="AL990" s="312">
        <v>841007.1382856461</v>
      </c>
      <c r="AM990" s="312">
        <v>37010.846800043939</v>
      </c>
      <c r="AN990" s="312">
        <v>10092.965631389625</v>
      </c>
      <c r="AO990" s="312">
        <v>44635.172323838924</v>
      </c>
      <c r="AP990" s="312">
        <v>12919.681419168015</v>
      </c>
      <c r="AQ990" s="312">
        <v>7460.7794607326969</v>
      </c>
      <c r="AR990" s="312">
        <v>7468.2744003889466</v>
      </c>
      <c r="AS990" s="70"/>
    </row>
    <row r="991" spans="1:46" x14ac:dyDescent="0.3">
      <c r="A991" s="185">
        <v>1927</v>
      </c>
      <c r="B991" s="312">
        <v>0</v>
      </c>
      <c r="C991" s="312">
        <v>20885.572829841971</v>
      </c>
      <c r="D991" s="312">
        <v>17730.320078811816</v>
      </c>
      <c r="E991" s="312">
        <v>40903.871503353846</v>
      </c>
      <c r="F991" s="312">
        <v>14972.179076730688</v>
      </c>
      <c r="G991" s="312">
        <v>14678.90616897566</v>
      </c>
      <c r="H991" s="312">
        <v>8767.0795655808761</v>
      </c>
      <c r="I991" s="312">
        <v>32345.324620400799</v>
      </c>
      <c r="J991" s="312">
        <v>0</v>
      </c>
      <c r="K991" s="312">
        <v>38189.933103146192</v>
      </c>
      <c r="L991" s="312">
        <v>50864.608982481099</v>
      </c>
      <c r="M991" s="312">
        <v>0</v>
      </c>
      <c r="N991" s="312">
        <v>26662.469726397983</v>
      </c>
      <c r="O991" s="312">
        <v>3197.3955324756857</v>
      </c>
      <c r="P991" s="312">
        <v>9287.6727371912784</v>
      </c>
      <c r="Q991" s="312">
        <v>0</v>
      </c>
      <c r="R991" s="312">
        <v>2740.6247421220169</v>
      </c>
      <c r="S991" s="312">
        <v>2652.8272578369902</v>
      </c>
      <c r="T991" s="312">
        <v>1485.5832643887143</v>
      </c>
      <c r="U991" s="312">
        <v>16026.563181248881</v>
      </c>
      <c r="V991" s="312">
        <v>86057.79601765491</v>
      </c>
      <c r="W991" s="312">
        <v>3104.8690225724131</v>
      </c>
      <c r="X991" s="312">
        <v>0</v>
      </c>
      <c r="Y991" s="312">
        <v>48967.205960759697</v>
      </c>
      <c r="Z991" s="312">
        <v>23575.932277538042</v>
      </c>
      <c r="AA991" s="312">
        <v>131835.92174690095</v>
      </c>
      <c r="AB991" s="312">
        <v>215556.9669046315</v>
      </c>
      <c r="AC991" s="312">
        <v>7619.8013544713449</v>
      </c>
      <c r="AD991" s="312">
        <v>172614.9455946204</v>
      </c>
      <c r="AE991" s="312">
        <v>13531.858499971857</v>
      </c>
      <c r="AF991" s="312">
        <v>28443.919529553212</v>
      </c>
      <c r="AG991" s="312">
        <v>84041.1208467541</v>
      </c>
      <c r="AH991" s="312">
        <v>42433.364956346246</v>
      </c>
      <c r="AI991" s="312">
        <v>81748.680349700167</v>
      </c>
      <c r="AJ991" s="312">
        <v>3151.6684309173374</v>
      </c>
      <c r="AK991" s="312">
        <v>33375.397278309356</v>
      </c>
      <c r="AL991" s="312">
        <v>1193510.6342182274</v>
      </c>
      <c r="AM991" s="312">
        <v>45856.034775123291</v>
      </c>
      <c r="AN991" s="312">
        <v>13408.058646516047</v>
      </c>
      <c r="AO991" s="312">
        <v>63933.16484219757</v>
      </c>
      <c r="AP991" s="312">
        <v>18415.069745962177</v>
      </c>
      <c r="AQ991" s="312">
        <v>10551.383856561548</v>
      </c>
      <c r="AR991" s="312">
        <v>10635.049314556632</v>
      </c>
      <c r="AS991" s="70"/>
    </row>
    <row r="992" spans="1:46" x14ac:dyDescent="0.3">
      <c r="A992" s="185">
        <v>1928</v>
      </c>
      <c r="B992" s="312">
        <v>0</v>
      </c>
      <c r="C992" s="312">
        <v>20840.764290078623</v>
      </c>
      <c r="D992" s="312">
        <v>17723.856033604883</v>
      </c>
      <c r="E992" s="312">
        <v>40843.459166025335</v>
      </c>
      <c r="F992" s="312">
        <v>14947.155299810458</v>
      </c>
      <c r="G992" s="312">
        <v>14647.079232577707</v>
      </c>
      <c r="H992" s="312">
        <v>8760.5246116185044</v>
      </c>
      <c r="I992" s="312">
        <v>37563.468541936178</v>
      </c>
      <c r="J992" s="312">
        <v>0</v>
      </c>
      <c r="K992" s="312">
        <v>38465.646153932808</v>
      </c>
      <c r="L992" s="312">
        <v>50799.292067579467</v>
      </c>
      <c r="M992" s="312">
        <v>0</v>
      </c>
      <c r="N992" s="312">
        <v>46152.717115120387</v>
      </c>
      <c r="O992" s="312">
        <v>3068.1138175423948</v>
      </c>
      <c r="P992" s="312">
        <v>8912.1401366707669</v>
      </c>
      <c r="Q992" s="312">
        <v>0</v>
      </c>
      <c r="R992" s="312">
        <v>2629.8118436077671</v>
      </c>
      <c r="S992" s="312">
        <v>2675.8309500595005</v>
      </c>
      <c r="T992" s="312">
        <v>1498.46533203332</v>
      </c>
      <c r="U992" s="312">
        <v>15205.871495038531</v>
      </c>
      <c r="V992" s="312">
        <v>85395.041880195626</v>
      </c>
      <c r="W992" s="312">
        <v>3131.7925439496394</v>
      </c>
      <c r="X992" s="312">
        <v>0</v>
      </c>
      <c r="Y992" s="312">
        <v>51348.157381410267</v>
      </c>
      <c r="Z992" s="312">
        <v>26898.078142379793</v>
      </c>
      <c r="AA992" s="312">
        <v>131913.95464500965</v>
      </c>
      <c r="AB992" s="312">
        <v>217887.95496852504</v>
      </c>
      <c r="AC992" s="312">
        <v>7254.9381154455768</v>
      </c>
      <c r="AD992" s="312">
        <v>168800.01216412068</v>
      </c>
      <c r="AE992" s="312">
        <v>16072.88336126747</v>
      </c>
      <c r="AF992" s="312">
        <v>29137.879979596783</v>
      </c>
      <c r="AG992" s="312">
        <v>93096.09445939571</v>
      </c>
      <c r="AH992" s="312">
        <v>53294.875641893508</v>
      </c>
      <c r="AI992" s="312">
        <v>89064.001709117321</v>
      </c>
      <c r="AJ992" s="312">
        <v>3731.2298337605507</v>
      </c>
      <c r="AK992" s="312">
        <v>35890.402549059923</v>
      </c>
      <c r="AL992" s="312">
        <v>1218402.3530648677</v>
      </c>
      <c r="AM992" s="312">
        <v>57609.991637759347</v>
      </c>
      <c r="AN992" s="312">
        <v>14962.273268040835</v>
      </c>
      <c r="AO992" s="312">
        <v>65310.551811864789</v>
      </c>
      <c r="AP992" s="312">
        <v>18294.786330173003</v>
      </c>
      <c r="AQ992" s="312">
        <v>11056.417478475367</v>
      </c>
      <c r="AR992" s="312">
        <v>10561.309014607868</v>
      </c>
      <c r="AS992" s="70"/>
    </row>
    <row r="993" spans="1:45" x14ac:dyDescent="0.3">
      <c r="A993" s="185">
        <v>1929</v>
      </c>
      <c r="B993" s="312">
        <v>0</v>
      </c>
      <c r="C993" s="312">
        <v>20885.572829841971</v>
      </c>
      <c r="D993" s="312">
        <v>16149.090006845472</v>
      </c>
      <c r="E993" s="312">
        <v>40125.07637767167</v>
      </c>
      <c r="F993" s="312">
        <v>14972.179076730688</v>
      </c>
      <c r="G993" s="312">
        <v>14678.906168975662</v>
      </c>
      <c r="H993" s="312">
        <v>7863.7969863463077</v>
      </c>
      <c r="I993" s="312">
        <v>25348.115376319169</v>
      </c>
      <c r="J993" s="312">
        <v>0</v>
      </c>
      <c r="K993" s="312">
        <v>25107.708511522134</v>
      </c>
      <c r="L993" s="312">
        <v>50864.608982481099</v>
      </c>
      <c r="M993" s="312">
        <v>0</v>
      </c>
      <c r="N993" s="312">
        <v>33436.186566127726</v>
      </c>
      <c r="O993" s="312">
        <v>1973.4234035433424</v>
      </c>
      <c r="P993" s="312">
        <v>5732.3251245782812</v>
      </c>
      <c r="Q993" s="312">
        <v>0</v>
      </c>
      <c r="R993" s="312">
        <v>1691.5057744657222</v>
      </c>
      <c r="S993" s="312">
        <v>1674.619257693194</v>
      </c>
      <c r="T993" s="312">
        <v>937.78678430818866</v>
      </c>
      <c r="U993" s="312">
        <v>6449.9709725734392</v>
      </c>
      <c r="V993" s="312">
        <v>32192.614621229121</v>
      </c>
      <c r="W993" s="312">
        <v>1959.9743792041145</v>
      </c>
      <c r="X993" s="312">
        <v>0</v>
      </c>
      <c r="Y993" s="312">
        <v>24115.393840493773</v>
      </c>
      <c r="Z993" s="312">
        <v>15206.001341072249</v>
      </c>
      <c r="AA993" s="312">
        <v>146269.00946498039</v>
      </c>
      <c r="AB993" s="312">
        <v>204731.61252988889</v>
      </c>
      <c r="AC993" s="312">
        <v>4639.32227124578</v>
      </c>
      <c r="AD993" s="312">
        <v>93370.816943073529</v>
      </c>
      <c r="AE993" s="312">
        <v>9956.2691988459574</v>
      </c>
      <c r="AF993" s="312">
        <v>11784.347766673118</v>
      </c>
      <c r="AG993" s="312">
        <v>47051.980033458</v>
      </c>
      <c r="AH993" s="312">
        <v>31657.930044246619</v>
      </c>
      <c r="AI993" s="312">
        <v>44045.499576220769</v>
      </c>
      <c r="AJ993" s="312">
        <v>2176.2560589373347</v>
      </c>
      <c r="AK993" s="312">
        <v>17757.830187837706</v>
      </c>
      <c r="AL993" s="312">
        <v>507850.33284836274</v>
      </c>
      <c r="AM993" s="312">
        <v>36416.651223338878</v>
      </c>
      <c r="AN993" s="312">
        <v>8003.4505236705763</v>
      </c>
      <c r="AO993" s="312">
        <v>27695.48596267125</v>
      </c>
      <c r="AP993" s="312">
        <v>6884.846521327564</v>
      </c>
      <c r="AQ993" s="312">
        <v>4927.335366871017</v>
      </c>
      <c r="AR993" s="312">
        <v>3988.4917952154456</v>
      </c>
      <c r="AS993" s="70"/>
    </row>
    <row r="994" spans="1:45" x14ac:dyDescent="0.3">
      <c r="A994" s="185">
        <v>1930</v>
      </c>
      <c r="B994" s="312">
        <v>0</v>
      </c>
      <c r="C994" s="312">
        <v>20885.572829841971</v>
      </c>
      <c r="D994" s="312">
        <v>17242.279225497128</v>
      </c>
      <c r="E994" s="312">
        <v>40822.247304846314</v>
      </c>
      <c r="F994" s="312">
        <v>14972.179076730687</v>
      </c>
      <c r="G994" s="312">
        <v>14678.906168976539</v>
      </c>
      <c r="H994" s="312">
        <v>8727.8066773294813</v>
      </c>
      <c r="I994" s="312">
        <v>21509.228843498415</v>
      </c>
      <c r="J994" s="312">
        <v>0</v>
      </c>
      <c r="K994" s="312">
        <v>32789.839459139563</v>
      </c>
      <c r="L994" s="312">
        <v>50864.608982481099</v>
      </c>
      <c r="M994" s="312">
        <v>0</v>
      </c>
      <c r="N994" s="312">
        <v>20524.545520560361</v>
      </c>
      <c r="O994" s="312">
        <v>2508.528709459973</v>
      </c>
      <c r="P994" s="312">
        <v>7286.6786322408734</v>
      </c>
      <c r="Q994" s="312">
        <v>0</v>
      </c>
      <c r="R994" s="312">
        <v>2150.1674652514052</v>
      </c>
      <c r="S994" s="312">
        <v>1533.9082609169254</v>
      </c>
      <c r="T994" s="312">
        <v>858.98862611347818</v>
      </c>
      <c r="U994" s="312">
        <v>11123.85120947203</v>
      </c>
      <c r="V994" s="312">
        <v>47587.40926268504</v>
      </c>
      <c r="W994" s="312">
        <v>1795.2862285771698</v>
      </c>
      <c r="X994" s="312">
        <v>0</v>
      </c>
      <c r="Y994" s="312">
        <v>27470.37150616818</v>
      </c>
      <c r="Z994" s="312">
        <v>13993.435737180296</v>
      </c>
      <c r="AA994" s="312">
        <v>149720.3342995072</v>
      </c>
      <c r="AB994" s="312">
        <v>206962.22416653752</v>
      </c>
      <c r="AC994" s="312">
        <v>5990.6568783540597</v>
      </c>
      <c r="AD994" s="312">
        <v>121691.90596961838</v>
      </c>
      <c r="AE994" s="312">
        <v>8186.5336507293478</v>
      </c>
      <c r="AF994" s="312">
        <v>16024.695462684473</v>
      </c>
      <c r="AG994" s="312">
        <v>49322.764108269846</v>
      </c>
      <c r="AH994" s="312">
        <v>28510.871212304704</v>
      </c>
      <c r="AI994" s="312">
        <v>47143.002172985776</v>
      </c>
      <c r="AJ994" s="312">
        <v>1937.3366408182801</v>
      </c>
      <c r="AK994" s="312">
        <v>18847.363981905833</v>
      </c>
      <c r="AL994" s="312">
        <v>666432.47840977553</v>
      </c>
      <c r="AM994" s="312">
        <v>30347.81185085035</v>
      </c>
      <c r="AN994" s="312">
        <v>8129.7290362244539</v>
      </c>
      <c r="AO994" s="312">
        <v>35695.002731540146</v>
      </c>
      <c r="AP994" s="312">
        <v>10182.337327986657</v>
      </c>
      <c r="AQ994" s="312">
        <v>5990.2445796811971</v>
      </c>
      <c r="AR994" s="312">
        <v>5893.1496313103298</v>
      </c>
      <c r="AS994" s="70"/>
    </row>
    <row r="995" spans="1:45" x14ac:dyDescent="0.3">
      <c r="A995" s="185">
        <v>1931</v>
      </c>
      <c r="B995" s="312">
        <v>0</v>
      </c>
      <c r="C995" s="312">
        <v>20885.572829841971</v>
      </c>
      <c r="D995" s="312">
        <v>15952.595172264704</v>
      </c>
      <c r="E995" s="312">
        <v>39922.016196394383</v>
      </c>
      <c r="F995" s="312">
        <v>14972.179076730688</v>
      </c>
      <c r="G995" s="312">
        <v>14678.9061689754</v>
      </c>
      <c r="H995" s="312">
        <v>7475.4477512023223</v>
      </c>
      <c r="I995" s="312">
        <v>18599.488575290728</v>
      </c>
      <c r="J995" s="312">
        <v>0</v>
      </c>
      <c r="K995" s="312">
        <v>23471.177228033121</v>
      </c>
      <c r="L995" s="312">
        <v>50864.608982481099</v>
      </c>
      <c r="M995" s="312">
        <v>0</v>
      </c>
      <c r="N995" s="312">
        <v>14250.545939710493</v>
      </c>
      <c r="O995" s="312">
        <v>1829.477709157158</v>
      </c>
      <c r="P995" s="312">
        <v>5314.197155170792</v>
      </c>
      <c r="Q995" s="312">
        <v>0</v>
      </c>
      <c r="R995" s="312">
        <v>1568.1237507061353</v>
      </c>
      <c r="S995" s="312">
        <v>607.64122472306303</v>
      </c>
      <c r="T995" s="312">
        <v>340.2790858449153</v>
      </c>
      <c r="U995" s="312">
        <v>5602.2461999704165</v>
      </c>
      <c r="V995" s="312">
        <v>25311.53150013198</v>
      </c>
      <c r="W995" s="312">
        <v>711.18328941587311</v>
      </c>
      <c r="X995" s="312">
        <v>0</v>
      </c>
      <c r="Y995" s="312">
        <v>16761.500132062785</v>
      </c>
      <c r="Z995" s="312">
        <v>9149.5884868842259</v>
      </c>
      <c r="AA995" s="312">
        <v>152899.77552659332</v>
      </c>
      <c r="AB995" s="312">
        <v>189377.9538600939</v>
      </c>
      <c r="AC995" s="312">
        <v>4312.3309982689843</v>
      </c>
      <c r="AD995" s="312">
        <v>81740.977544219175</v>
      </c>
      <c r="AE995" s="312">
        <v>5605.4382307590904</v>
      </c>
      <c r="AF995" s="312">
        <v>8683.0308355256111</v>
      </c>
      <c r="AG995" s="312">
        <v>29648.819433841061</v>
      </c>
      <c r="AH995" s="312">
        <v>16285.939029488096</v>
      </c>
      <c r="AI995" s="312">
        <v>27843.846006773198</v>
      </c>
      <c r="AJ995" s="312">
        <v>1253.0045182616602</v>
      </c>
      <c r="AK995" s="312">
        <v>11377.742488679562</v>
      </c>
      <c r="AL995" s="312">
        <v>377165.64447209501</v>
      </c>
      <c r="AM995" s="312">
        <v>18809.211432237735</v>
      </c>
      <c r="AN995" s="312">
        <v>4765.8847205851407</v>
      </c>
      <c r="AO995" s="312">
        <v>20134.334068450433</v>
      </c>
      <c r="AP995" s="312">
        <v>5413.3036179277242</v>
      </c>
      <c r="AQ995" s="312">
        <v>3440.7274450696796</v>
      </c>
      <c r="AR995" s="312">
        <v>3136.0055737236053</v>
      </c>
      <c r="AS995" s="70"/>
    </row>
    <row r="996" spans="1:45" x14ac:dyDescent="0.3">
      <c r="A996" s="185">
        <v>1932</v>
      </c>
      <c r="B996" s="312">
        <v>0</v>
      </c>
      <c r="C996" s="312">
        <v>20840.764290078627</v>
      </c>
      <c r="D996" s="312">
        <v>15801.555386323285</v>
      </c>
      <c r="E996" s="312">
        <v>39861.603859065872</v>
      </c>
      <c r="F996" s="312">
        <v>14947.155299810456</v>
      </c>
      <c r="G996" s="312">
        <v>14647.079232576867</v>
      </c>
      <c r="H996" s="312">
        <v>7413.00377633884</v>
      </c>
      <c r="I996" s="312">
        <v>16184.214754599223</v>
      </c>
      <c r="J996" s="312">
        <v>0</v>
      </c>
      <c r="K996" s="312">
        <v>22421.751073582142</v>
      </c>
      <c r="L996" s="312">
        <v>50799.292067579459</v>
      </c>
      <c r="M996" s="312">
        <v>0</v>
      </c>
      <c r="N996" s="312">
        <v>11893.171282568344</v>
      </c>
      <c r="O996" s="312">
        <v>2289.9058604843831</v>
      </c>
      <c r="P996" s="312">
        <v>6651.6313090260637</v>
      </c>
      <c r="Q996" s="312">
        <v>0</v>
      </c>
      <c r="R996" s="312">
        <v>1962.7764518437568</v>
      </c>
      <c r="S996" s="312">
        <v>2572.3397171917395</v>
      </c>
      <c r="T996" s="312">
        <v>1440.5102416273742</v>
      </c>
      <c r="U996" s="312">
        <v>8664.4205124795608</v>
      </c>
      <c r="V996" s="312">
        <v>23418.23223939343</v>
      </c>
      <c r="W996" s="312">
        <v>3010.6664050012123</v>
      </c>
      <c r="X996" s="312">
        <v>0</v>
      </c>
      <c r="Y996" s="312">
        <v>14194.024403725234</v>
      </c>
      <c r="Z996" s="312">
        <v>7431.028591990379</v>
      </c>
      <c r="AA996" s="312">
        <v>153047.86172462572</v>
      </c>
      <c r="AB996" s="312">
        <v>212404.99581621695</v>
      </c>
      <c r="AC996" s="312">
        <v>5406.3350319029123</v>
      </c>
      <c r="AD996" s="312">
        <v>95696.813684284411</v>
      </c>
      <c r="AE996" s="312">
        <v>4427.6706077668323</v>
      </c>
      <c r="AF996" s="312">
        <v>7935.2511796586623</v>
      </c>
      <c r="AG996" s="312">
        <v>25360.943342330833</v>
      </c>
      <c r="AH996" s="312">
        <v>14384.490319466442</v>
      </c>
      <c r="AI996" s="312">
        <v>24057.189797867253</v>
      </c>
      <c r="AJ996" s="312">
        <v>1024.4177068574936</v>
      </c>
      <c r="AK996" s="312">
        <v>9702.6466482336073</v>
      </c>
      <c r="AL996" s="312">
        <v>335290.24937110761</v>
      </c>
      <c r="AM996" s="312">
        <v>15789.160454377994</v>
      </c>
      <c r="AN996" s="312">
        <v>4146.0817099278511</v>
      </c>
      <c r="AO996" s="312">
        <v>17934.67799896916</v>
      </c>
      <c r="AP996" s="312">
        <v>5007.6448018378014</v>
      </c>
      <c r="AQ996" s="312">
        <v>3029.8032730323671</v>
      </c>
      <c r="AR996" s="312">
        <v>2901.0015174066775</v>
      </c>
      <c r="AS996" s="70"/>
    </row>
    <row r="997" spans="1:45" x14ac:dyDescent="0.3">
      <c r="A997" s="185">
        <v>1933</v>
      </c>
      <c r="B997" s="312">
        <v>0</v>
      </c>
      <c r="C997" s="312">
        <v>20885.572829841971</v>
      </c>
      <c r="D997" s="312">
        <v>15824.423385680395</v>
      </c>
      <c r="E997" s="312">
        <v>39917.744030609378</v>
      </c>
      <c r="F997" s="312">
        <v>14972.179076730688</v>
      </c>
      <c r="G997" s="312">
        <v>14678.906168975824</v>
      </c>
      <c r="H997" s="312">
        <v>7419.5587303012144</v>
      </c>
      <c r="I997" s="312">
        <v>14294.042568201643</v>
      </c>
      <c r="J997" s="312">
        <v>0</v>
      </c>
      <c r="K997" s="312">
        <v>22457.131117726312</v>
      </c>
      <c r="L997" s="312">
        <v>50864.608982481099</v>
      </c>
      <c r="M997" s="312">
        <v>0</v>
      </c>
      <c r="N997" s="312">
        <v>11948.733842447744</v>
      </c>
      <c r="O997" s="312">
        <v>2392.2573655185402</v>
      </c>
      <c r="P997" s="312">
        <v>6948.9380617443303</v>
      </c>
      <c r="Q997" s="312">
        <v>0</v>
      </c>
      <c r="R997" s="312">
        <v>2050.5063133016056</v>
      </c>
      <c r="S997" s="312">
        <v>2632.1587212155282</v>
      </c>
      <c r="T997" s="312">
        <v>1474.0088838806955</v>
      </c>
      <c r="U997" s="312">
        <v>9170.8076249144815</v>
      </c>
      <c r="V997" s="312">
        <v>45381.996247609866</v>
      </c>
      <c r="W997" s="312">
        <v>3080.6785673106542</v>
      </c>
      <c r="X997" s="312">
        <v>0</v>
      </c>
      <c r="Y997" s="312">
        <v>25898.140179713919</v>
      </c>
      <c r="Z997" s="312">
        <v>13145.750266246041</v>
      </c>
      <c r="AA997" s="312">
        <v>155157.90143287741</v>
      </c>
      <c r="AB997" s="312">
        <v>211267.75152294643</v>
      </c>
      <c r="AC997" s="312">
        <v>5611.1469887782441</v>
      </c>
      <c r="AD997" s="312">
        <v>114792.89502909515</v>
      </c>
      <c r="AE997" s="312">
        <v>7821.2468330435713</v>
      </c>
      <c r="AF997" s="312">
        <v>15369.991993738611</v>
      </c>
      <c r="AG997" s="312">
        <v>47527.34009232837</v>
      </c>
      <c r="AH997" s="312">
        <v>27857.763325102802</v>
      </c>
      <c r="AI997" s="312">
        <v>46594.646155540911</v>
      </c>
      <c r="AJ997" s="312">
        <v>1835.9418078683902</v>
      </c>
      <c r="AK997" s="312">
        <v>18789.631435085492</v>
      </c>
      <c r="AL997" s="312">
        <v>630142.57899991842</v>
      </c>
      <c r="AM997" s="312">
        <v>29320.872866354948</v>
      </c>
      <c r="AN997" s="312">
        <v>7773.02980008334</v>
      </c>
      <c r="AO997" s="312">
        <v>34185.579887889755</v>
      </c>
      <c r="AP997" s="312">
        <v>9704.7494948861131</v>
      </c>
      <c r="AQ997" s="312">
        <v>5741.4631627077388</v>
      </c>
      <c r="AR997" s="312">
        <v>5622.0164604431229</v>
      </c>
      <c r="AS997" s="70"/>
    </row>
    <row r="998" spans="1:45" x14ac:dyDescent="0.3">
      <c r="A998" s="185">
        <v>1934</v>
      </c>
      <c r="B998" s="312">
        <v>0</v>
      </c>
      <c r="C998" s="312">
        <v>20885.572829841971</v>
      </c>
      <c r="D998" s="312">
        <v>15824.423385680391</v>
      </c>
      <c r="E998" s="312">
        <v>39922.016196394397</v>
      </c>
      <c r="F998" s="312">
        <v>14972.179076730688</v>
      </c>
      <c r="G998" s="312">
        <v>14678.906168975658</v>
      </c>
      <c r="H998" s="312">
        <v>7419.5587303012135</v>
      </c>
      <c r="I998" s="312">
        <v>13143.359590265818</v>
      </c>
      <c r="J998" s="312">
        <v>0</v>
      </c>
      <c r="K998" s="312">
        <v>22457.131117726312</v>
      </c>
      <c r="L998" s="312">
        <v>50864.608982481099</v>
      </c>
      <c r="M998" s="312">
        <v>0</v>
      </c>
      <c r="N998" s="312">
        <v>11902.075815128363</v>
      </c>
      <c r="O998" s="312">
        <v>2149.0039970237726</v>
      </c>
      <c r="P998" s="312">
        <v>6242.3449437357203</v>
      </c>
      <c r="Q998" s="312">
        <v>0</v>
      </c>
      <c r="R998" s="312">
        <v>1842.0034260203763</v>
      </c>
      <c r="S998" s="312">
        <v>1427.6294034373352</v>
      </c>
      <c r="T998" s="312">
        <v>799.47246592490762</v>
      </c>
      <c r="U998" s="312">
        <v>7411.4447256019412</v>
      </c>
      <c r="V998" s="312">
        <v>20304.40796249831</v>
      </c>
      <c r="W998" s="312">
        <v>1670.8974537830572</v>
      </c>
      <c r="X998" s="312">
        <v>0</v>
      </c>
      <c r="Y998" s="312">
        <v>13736.605354263296</v>
      </c>
      <c r="Z998" s="312">
        <v>7567.4378702087406</v>
      </c>
      <c r="AA998" s="312">
        <v>155157.90143287744</v>
      </c>
      <c r="AB998" s="312">
        <v>189690.26798884114</v>
      </c>
      <c r="AC998" s="312">
        <v>5061.06895194752</v>
      </c>
      <c r="AD998" s="312">
        <v>88595.54990707626</v>
      </c>
      <c r="AE998" s="312">
        <v>4512.9564683014469</v>
      </c>
      <c r="AF998" s="312">
        <v>6870.8414453888508</v>
      </c>
      <c r="AG998" s="312">
        <v>23434.180742908648</v>
      </c>
      <c r="AH998" s="312">
        <v>12469.796977432687</v>
      </c>
      <c r="AI998" s="312">
        <v>20888.910280574502</v>
      </c>
      <c r="AJ998" s="312">
        <v>1020.5525848257914</v>
      </c>
      <c r="AK998" s="312">
        <v>8426.8297003007865</v>
      </c>
      <c r="AL998" s="312">
        <v>307988.56185013428</v>
      </c>
      <c r="AM998" s="312">
        <v>14811.816750862816</v>
      </c>
      <c r="AN998" s="312">
        <v>3822.3547652158495</v>
      </c>
      <c r="AO998" s="312">
        <v>16058.650945689431</v>
      </c>
      <c r="AP998" s="312">
        <v>4342.4380371763145</v>
      </c>
      <c r="AQ998" s="312">
        <v>2743.0792271743758</v>
      </c>
      <c r="AR998" s="312">
        <v>2515.6375568949543</v>
      </c>
      <c r="AS998" s="70"/>
    </row>
    <row r="999" spans="1:45" x14ac:dyDescent="0.3">
      <c r="A999" s="185">
        <v>1935</v>
      </c>
      <c r="B999" s="312">
        <v>0</v>
      </c>
      <c r="C999" s="312">
        <v>20885.572829841971</v>
      </c>
      <c r="D999" s="312">
        <v>17018.242198776981</v>
      </c>
      <c r="E999" s="312">
        <v>40903.871503353854</v>
      </c>
      <c r="F999" s="312">
        <v>14972.179076730688</v>
      </c>
      <c r="G999" s="312">
        <v>14678.906168976389</v>
      </c>
      <c r="H999" s="312">
        <v>8169.2236374135309</v>
      </c>
      <c r="I999" s="312">
        <v>24245.940708938295</v>
      </c>
      <c r="J999" s="312">
        <v>0</v>
      </c>
      <c r="K999" s="312">
        <v>31016.730588253598</v>
      </c>
      <c r="L999" s="312">
        <v>50864.608982481099</v>
      </c>
      <c r="M999" s="312">
        <v>0</v>
      </c>
      <c r="N999" s="312">
        <v>20541.560084922112</v>
      </c>
      <c r="O999" s="312">
        <v>2508.6052750710182</v>
      </c>
      <c r="P999" s="312">
        <v>7286.9010371110535</v>
      </c>
      <c r="Q999" s="312">
        <v>0</v>
      </c>
      <c r="R999" s="312">
        <v>2150.2330929180162</v>
      </c>
      <c r="S999" s="312">
        <v>2612.6791034657067</v>
      </c>
      <c r="T999" s="312">
        <v>1463.1002979407956</v>
      </c>
      <c r="U999" s="312">
        <v>11300.972808627283</v>
      </c>
      <c r="V999" s="312">
        <v>95608.692458208781</v>
      </c>
      <c r="W999" s="312">
        <v>3057.8796226962636</v>
      </c>
      <c r="X999" s="312">
        <v>0</v>
      </c>
      <c r="Y999" s="312">
        <v>47751.62986630739</v>
      </c>
      <c r="Z999" s="312">
        <v>23162.458222989757</v>
      </c>
      <c r="AA999" s="312">
        <v>144753.96599296914</v>
      </c>
      <c r="AB999" s="312">
        <v>212782.20423288879</v>
      </c>
      <c r="AC999" s="312">
        <v>5869.0902878407232</v>
      </c>
      <c r="AD999" s="312">
        <v>148507.74438334911</v>
      </c>
      <c r="AE999" s="312">
        <v>11538.495089176606</v>
      </c>
      <c r="AF999" s="312">
        <v>24673.850549507777</v>
      </c>
      <c r="AG999" s="312">
        <v>70933.209897129913</v>
      </c>
      <c r="AH999" s="312">
        <v>32421.92322216391</v>
      </c>
      <c r="AI999" s="312">
        <v>39431.45476044299</v>
      </c>
      <c r="AJ999" s="312">
        <v>2235.2308048199607</v>
      </c>
      <c r="AK999" s="312">
        <v>15737.45376326426</v>
      </c>
      <c r="AL999" s="312">
        <v>1277035.7586848531</v>
      </c>
      <c r="AM999" s="312">
        <v>41328.016061848255</v>
      </c>
      <c r="AN999" s="312">
        <v>16648.117410927618</v>
      </c>
      <c r="AO999" s="312">
        <v>55244.696377005137</v>
      </c>
      <c r="AP999" s="312">
        <v>18373.806660731974</v>
      </c>
      <c r="AQ999" s="312">
        <v>8559.8392119506116</v>
      </c>
      <c r="AR999" s="312">
        <v>12390.815279152901</v>
      </c>
      <c r="AS999" s="70"/>
    </row>
    <row r="1000" spans="1:45" x14ac:dyDescent="0.3">
      <c r="A1000" s="185">
        <v>1936</v>
      </c>
      <c r="B1000" s="312">
        <v>0</v>
      </c>
      <c r="C1000" s="312">
        <v>20840.76429007862</v>
      </c>
      <c r="D1000" s="312">
        <v>17687.274392869247</v>
      </c>
      <c r="E1000" s="312">
        <v>40843.459166025335</v>
      </c>
      <c r="F1000" s="312">
        <v>14947.155299810458</v>
      </c>
      <c r="G1000" s="312">
        <v>14647.079232577291</v>
      </c>
      <c r="H1000" s="312">
        <v>8410.8852472954914</v>
      </c>
      <c r="I1000" s="312">
        <v>37012.79893852758</v>
      </c>
      <c r="J1000" s="312">
        <v>0</v>
      </c>
      <c r="K1000" s="312">
        <v>37994.736177664548</v>
      </c>
      <c r="L1000" s="312">
        <v>50799.292067579467</v>
      </c>
      <c r="M1000" s="312">
        <v>0</v>
      </c>
      <c r="N1000" s="312">
        <v>42634.869116324582</v>
      </c>
      <c r="O1000" s="312">
        <v>3181.7679793404527</v>
      </c>
      <c r="P1000" s="312">
        <v>9242.2784161794116</v>
      </c>
      <c r="Q1000" s="312">
        <v>0</v>
      </c>
      <c r="R1000" s="312">
        <v>2727.2296965775313</v>
      </c>
      <c r="S1000" s="312">
        <v>2638.8347470104595</v>
      </c>
      <c r="T1000" s="312">
        <v>1477.747458325857</v>
      </c>
      <c r="U1000" s="312">
        <v>15936.750826876298</v>
      </c>
      <c r="V1000" s="312">
        <v>79260.596497767707</v>
      </c>
      <c r="W1000" s="312">
        <v>3088.4921879010417</v>
      </c>
      <c r="X1000" s="312">
        <v>0</v>
      </c>
      <c r="Y1000" s="312">
        <v>41180.291893520181</v>
      </c>
      <c r="Z1000" s="312">
        <v>18614.843236049743</v>
      </c>
      <c r="AA1000" s="312">
        <v>133235.06798502972</v>
      </c>
      <c r="AB1000" s="312">
        <v>217887.95496852504</v>
      </c>
      <c r="AC1000" s="312">
        <v>7586.093908112477</v>
      </c>
      <c r="AD1000" s="312">
        <v>166477.28330544569</v>
      </c>
      <c r="AE1000" s="312">
        <v>10221.331539430212</v>
      </c>
      <c r="AF1000" s="312">
        <v>26042.422049837656</v>
      </c>
      <c r="AG1000" s="312">
        <v>72316.853779243975</v>
      </c>
      <c r="AH1000" s="312">
        <v>37812.648991097398</v>
      </c>
      <c r="AI1000" s="312">
        <v>71987.902664785914</v>
      </c>
      <c r="AJ1000" s="312">
        <v>2528.2926651244993</v>
      </c>
      <c r="AK1000" s="312">
        <v>29011.45359022513</v>
      </c>
      <c r="AL1000" s="312">
        <v>1059377.1703888113</v>
      </c>
      <c r="AM1000" s="312">
        <v>37720.302898926508</v>
      </c>
      <c r="AN1000" s="312">
        <v>11418.784022310821</v>
      </c>
      <c r="AO1000" s="312">
        <v>56989.255620251264</v>
      </c>
      <c r="AP1000" s="312">
        <v>16993.951195252033</v>
      </c>
      <c r="AQ1000" s="312">
        <v>9351.3481706122548</v>
      </c>
      <c r="AR1000" s="312">
        <v>9815.3011615062023</v>
      </c>
      <c r="AS1000" s="70"/>
    </row>
    <row r="1001" spans="1:45" x14ac:dyDescent="0.3">
      <c r="A1001" s="185">
        <v>1937</v>
      </c>
      <c r="B1001" s="312">
        <v>0</v>
      </c>
      <c r="C1001" s="312">
        <v>20885.572829841971</v>
      </c>
      <c r="D1001" s="312">
        <v>17315.421177497628</v>
      </c>
      <c r="E1001" s="312">
        <v>40903.871503353854</v>
      </c>
      <c r="F1001" s="312">
        <v>14972.179076730688</v>
      </c>
      <c r="G1001" s="312">
        <v>14678.906168976519</v>
      </c>
      <c r="H1001" s="312">
        <v>8706.3298337419565</v>
      </c>
      <c r="I1001" s="312">
        <v>36641.549332083341</v>
      </c>
      <c r="J1001" s="312">
        <v>0</v>
      </c>
      <c r="K1001" s="312">
        <v>33576.715177196194</v>
      </c>
      <c r="L1001" s="312">
        <v>50864.608982481099</v>
      </c>
      <c r="M1001" s="312">
        <v>0</v>
      </c>
      <c r="N1001" s="312">
        <v>42489.141129959309</v>
      </c>
      <c r="O1001" s="312">
        <v>2834.7933963840796</v>
      </c>
      <c r="P1001" s="312">
        <v>8234.3998656870881</v>
      </c>
      <c r="Q1001" s="312">
        <v>0</v>
      </c>
      <c r="R1001" s="312">
        <v>2429.8229111863538</v>
      </c>
      <c r="S1001" s="312">
        <v>2660.2574427386089</v>
      </c>
      <c r="T1001" s="312">
        <v>1489.7441679336209</v>
      </c>
      <c r="U1001" s="312">
        <v>13409.026263900003</v>
      </c>
      <c r="V1001" s="312">
        <v>78691.213120976026</v>
      </c>
      <c r="W1001" s="312">
        <v>3113.5653109812683</v>
      </c>
      <c r="X1001" s="312">
        <v>0</v>
      </c>
      <c r="Y1001" s="312">
        <v>47251.526408623606</v>
      </c>
      <c r="Z1001" s="312">
        <v>24789.803787531433</v>
      </c>
      <c r="AA1001" s="312">
        <v>136051.25658626703</v>
      </c>
      <c r="AB1001" s="312">
        <v>218331.72957637423</v>
      </c>
      <c r="AC1001" s="312">
        <v>6601.8810296173169</v>
      </c>
      <c r="AD1001" s="312">
        <v>154065.59328968544</v>
      </c>
      <c r="AE1001" s="312">
        <v>14751.739926830451</v>
      </c>
      <c r="AF1001" s="312">
        <v>26624.286938808298</v>
      </c>
      <c r="AG1001" s="312">
        <v>85035.842177128288</v>
      </c>
      <c r="AH1001" s="312">
        <v>48564.488958694987</v>
      </c>
      <c r="AI1001" s="312">
        <v>81177.392426061269</v>
      </c>
      <c r="AJ1001" s="312">
        <v>3415.4408168403834</v>
      </c>
      <c r="AK1001" s="312">
        <v>32709.762404304987</v>
      </c>
      <c r="AL1001" s="312">
        <v>1120565.2239259388</v>
      </c>
      <c r="AM1001" s="312">
        <v>52858.403087467057</v>
      </c>
      <c r="AN1001" s="312">
        <v>13880.667447180034</v>
      </c>
      <c r="AO1001" s="312">
        <v>60147.102189401383</v>
      </c>
      <c r="AP1001" s="312">
        <v>16863.63549710649</v>
      </c>
      <c r="AQ1001" s="312">
        <v>10152.209151092835</v>
      </c>
      <c r="AR1001" s="312">
        <v>9734.1710601680916</v>
      </c>
      <c r="AS1001" s="70"/>
    </row>
    <row r="1002" spans="1:45" x14ac:dyDescent="0.3">
      <c r="A1002" s="185">
        <v>1938</v>
      </c>
      <c r="B1002" s="312">
        <v>0</v>
      </c>
      <c r="C1002" s="312">
        <v>20885.572829841971</v>
      </c>
      <c r="D1002" s="312">
        <v>17716.523664751072</v>
      </c>
      <c r="E1002" s="312">
        <v>40903.871503353846</v>
      </c>
      <c r="F1002" s="312">
        <v>14972.179076730688</v>
      </c>
      <c r="G1002" s="312">
        <v>14678.906168975662</v>
      </c>
      <c r="H1002" s="312">
        <v>8767.0795655808743</v>
      </c>
      <c r="I1002" s="312">
        <v>37240.586750571332</v>
      </c>
      <c r="J1002" s="312">
        <v>0</v>
      </c>
      <c r="K1002" s="312">
        <v>38080.781156471305</v>
      </c>
      <c r="L1002" s="312">
        <v>50864.608982481099</v>
      </c>
      <c r="M1002" s="312">
        <v>0</v>
      </c>
      <c r="N1002" s="312">
        <v>44261.697798255685</v>
      </c>
      <c r="O1002" s="312">
        <v>3401.0153936572874</v>
      </c>
      <c r="P1002" s="312">
        <v>9879.1399530045019</v>
      </c>
      <c r="Q1002" s="312">
        <v>0</v>
      </c>
      <c r="R1002" s="312">
        <v>2915.1560517062462</v>
      </c>
      <c r="S1002" s="312">
        <v>2591.2621541139752</v>
      </c>
      <c r="T1002" s="312">
        <v>1451.106806303826</v>
      </c>
      <c r="U1002" s="312">
        <v>19463.238418687135</v>
      </c>
      <c r="V1002" s="312">
        <v>134104.75763370714</v>
      </c>
      <c r="W1002" s="312">
        <v>3032.8132251749971</v>
      </c>
      <c r="X1002" s="312">
        <v>0</v>
      </c>
      <c r="Y1002" s="312">
        <v>71919.849396315854</v>
      </c>
      <c r="Z1002" s="312">
        <v>38098.123531866746</v>
      </c>
      <c r="AA1002" s="312">
        <v>127437.10655532984</v>
      </c>
      <c r="AB1002" s="312">
        <v>218331.72957637423</v>
      </c>
      <c r="AC1002" s="312">
        <v>8101.7078895140758</v>
      </c>
      <c r="AD1002" s="312">
        <v>219730.67353908307</v>
      </c>
      <c r="AE1002" s="312">
        <v>18861.204646385027</v>
      </c>
      <c r="AF1002" s="312">
        <v>39708.162449303913</v>
      </c>
      <c r="AG1002" s="312">
        <v>120765.88065820166</v>
      </c>
      <c r="AH1002" s="312">
        <v>45428.903031595277</v>
      </c>
      <c r="AI1002" s="312">
        <v>92860.580922157227</v>
      </c>
      <c r="AJ1002" s="312">
        <v>3799.8448116797949</v>
      </c>
      <c r="AK1002" s="312">
        <v>37417.171401829197</v>
      </c>
      <c r="AL1002" s="312">
        <v>2003973.7475718672</v>
      </c>
      <c r="AM1002" s="312">
        <v>65558.818879984581</v>
      </c>
      <c r="AN1002" s="312">
        <v>24973.041761467772</v>
      </c>
      <c r="AO1002" s="312">
        <v>100126.1691647487</v>
      </c>
      <c r="AP1002" s="312">
        <v>34099.057603573579</v>
      </c>
      <c r="AQ1002" s="312">
        <v>13955.35755789307</v>
      </c>
      <c r="AR1002" s="312">
        <v>16745.988478259489</v>
      </c>
      <c r="AS1002" s="70"/>
    </row>
    <row r="1003" spans="1:45" x14ac:dyDescent="0.3">
      <c r="A1003" s="185">
        <v>1939</v>
      </c>
      <c r="B1003" s="312">
        <v>0</v>
      </c>
      <c r="C1003" s="312">
        <v>20885.572829841971</v>
      </c>
      <c r="D1003" s="312">
        <v>17626.326360484927</v>
      </c>
      <c r="E1003" s="312">
        <v>40903.871503353846</v>
      </c>
      <c r="F1003" s="312">
        <v>14972.179076730688</v>
      </c>
      <c r="G1003" s="312">
        <v>14678.906168975662</v>
      </c>
      <c r="H1003" s="312">
        <v>8767.0795655808761</v>
      </c>
      <c r="I1003" s="312">
        <v>30367.929261553159</v>
      </c>
      <c r="J1003" s="312">
        <v>0</v>
      </c>
      <c r="K1003" s="312">
        <v>35859.234936414046</v>
      </c>
      <c r="L1003" s="312">
        <v>50864.608982481099</v>
      </c>
      <c r="M1003" s="312">
        <v>0</v>
      </c>
      <c r="N1003" s="312">
        <v>44421.767125324419</v>
      </c>
      <c r="O1003" s="312">
        <v>2821.895401118868</v>
      </c>
      <c r="P1003" s="312">
        <v>8196.9342603929035</v>
      </c>
      <c r="Q1003" s="312">
        <v>0</v>
      </c>
      <c r="R1003" s="312">
        <v>2418.7674866733159</v>
      </c>
      <c r="S1003" s="312">
        <v>2569.076826184425</v>
      </c>
      <c r="T1003" s="312">
        <v>1438.6830226632781</v>
      </c>
      <c r="U1003" s="312">
        <v>13889.060564305086</v>
      </c>
      <c r="V1003" s="312">
        <v>76437.316812147939</v>
      </c>
      <c r="W1003" s="312">
        <v>3006.8475173662514</v>
      </c>
      <c r="X1003" s="312">
        <v>0</v>
      </c>
      <c r="Y1003" s="312">
        <v>45017.401454046645</v>
      </c>
      <c r="Z1003" s="312">
        <v>24597.192562281576</v>
      </c>
      <c r="AA1003" s="312">
        <v>141973.41344978753</v>
      </c>
      <c r="AB1003" s="312">
        <v>204731.61252988889</v>
      </c>
      <c r="AC1003" s="312">
        <v>6659.8851856430701</v>
      </c>
      <c r="AD1003" s="312">
        <v>162622.76535660733</v>
      </c>
      <c r="AE1003" s="312">
        <v>21346.739731617588</v>
      </c>
      <c r="AF1003" s="312">
        <v>35235.322202496427</v>
      </c>
      <c r="AG1003" s="312">
        <v>133305.80165324497</v>
      </c>
      <c r="AH1003" s="312">
        <v>79537.602819598033</v>
      </c>
      <c r="AI1003" s="312">
        <v>88065.088349594036</v>
      </c>
      <c r="AJ1003" s="312">
        <v>4580.2802951063741</v>
      </c>
      <c r="AK1003" s="312">
        <v>35003.598479139218</v>
      </c>
      <c r="AL1003" s="312">
        <v>1071589.9391655023</v>
      </c>
      <c r="AM1003" s="312">
        <v>75926.57796567223</v>
      </c>
      <c r="AN1003" s="312">
        <v>10970.198653974776</v>
      </c>
      <c r="AO1003" s="312">
        <v>38527.600414844324</v>
      </c>
      <c r="AP1003" s="312">
        <v>10319.048871180297</v>
      </c>
      <c r="AQ1003" s="312">
        <v>10367.361125639003</v>
      </c>
      <c r="AR1003" s="312">
        <v>661.78206116167041</v>
      </c>
      <c r="AS1003" s="70"/>
    </row>
    <row r="1004" spans="1:45" x14ac:dyDescent="0.3">
      <c r="A1004" s="185">
        <v>1940</v>
      </c>
      <c r="B1004" s="312">
        <v>0</v>
      </c>
      <c r="C1004" s="312">
        <v>20840.76429007862</v>
      </c>
      <c r="D1004" s="312">
        <v>17713.969850339308</v>
      </c>
      <c r="E1004" s="312">
        <v>40843.459166025335</v>
      </c>
      <c r="F1004" s="312">
        <v>14947.155299810458</v>
      </c>
      <c r="G1004" s="312">
        <v>14647.079232576865</v>
      </c>
      <c r="H1004" s="312">
        <v>8760.5246116184771</v>
      </c>
      <c r="I1004" s="312">
        <v>32285.154155002179</v>
      </c>
      <c r="J1004" s="312">
        <v>0</v>
      </c>
      <c r="K1004" s="312">
        <v>38205.901237607461</v>
      </c>
      <c r="L1004" s="312">
        <v>50799.292067579467</v>
      </c>
      <c r="M1004" s="312">
        <v>0</v>
      </c>
      <c r="N1004" s="312">
        <v>26667.345984150958</v>
      </c>
      <c r="O1004" s="312">
        <v>2877.7228374244705</v>
      </c>
      <c r="P1004" s="312">
        <v>8359.0996706139376</v>
      </c>
      <c r="Q1004" s="312">
        <v>0</v>
      </c>
      <c r="R1004" s="312">
        <v>2466.6195749352605</v>
      </c>
      <c r="S1004" s="312">
        <v>2618.9171586475509</v>
      </c>
      <c r="T1004" s="312">
        <v>1466.5936088426281</v>
      </c>
      <c r="U1004" s="312">
        <v>14148.522265965419</v>
      </c>
      <c r="V1004" s="312">
        <v>73175.086866811223</v>
      </c>
      <c r="W1004" s="312">
        <v>3065.1806424810929</v>
      </c>
      <c r="X1004" s="312">
        <v>0</v>
      </c>
      <c r="Y1004" s="312">
        <v>37958.233469492792</v>
      </c>
      <c r="Z1004" s="312">
        <v>17173.916245727592</v>
      </c>
      <c r="AA1004" s="312">
        <v>130743.21033095055</v>
      </c>
      <c r="AB1004" s="312">
        <v>215146.47539237101</v>
      </c>
      <c r="AC1004" s="312">
        <v>6827.4120562883008</v>
      </c>
      <c r="AD1004" s="312">
        <v>151094.45874763853</v>
      </c>
      <c r="AE1004" s="312">
        <v>9428.6067665593782</v>
      </c>
      <c r="AF1004" s="312">
        <v>24016.185112990956</v>
      </c>
      <c r="AG1004" s="312">
        <v>66535.570541474517</v>
      </c>
      <c r="AH1004" s="312">
        <v>34875.119183510564</v>
      </c>
      <c r="AI1004" s="312">
        <v>66395.649746152019</v>
      </c>
      <c r="AJ1004" s="312">
        <v>2323.0443946181354</v>
      </c>
      <c r="AK1004" s="312">
        <v>26757.817239573655</v>
      </c>
      <c r="AL1004" s="312">
        <v>976698.38168547</v>
      </c>
      <c r="AM1004" s="312">
        <v>34683.866582287097</v>
      </c>
      <c r="AN1004" s="312">
        <v>10508.555125798486</v>
      </c>
      <c r="AO1004" s="312">
        <v>52495.519592689219</v>
      </c>
      <c r="AP1004" s="312">
        <v>15622.674956968649</v>
      </c>
      <c r="AQ1004" s="312">
        <v>8603.244435244038</v>
      </c>
      <c r="AR1004" s="312">
        <v>9052.871027469133</v>
      </c>
      <c r="AS1004" s="70"/>
    </row>
    <row r="1005" spans="1:45" x14ac:dyDescent="0.3">
      <c r="A1005" s="185">
        <v>1941</v>
      </c>
      <c r="B1005" s="312">
        <v>0</v>
      </c>
      <c r="C1005" s="312">
        <v>20885.572829841971</v>
      </c>
      <c r="D1005" s="312">
        <v>17749.50598490125</v>
      </c>
      <c r="E1005" s="312">
        <v>40903.871503353854</v>
      </c>
      <c r="F1005" s="312">
        <v>14972.179076730688</v>
      </c>
      <c r="G1005" s="312">
        <v>14678.906168975662</v>
      </c>
      <c r="H1005" s="312">
        <v>8767.0795655808761</v>
      </c>
      <c r="I1005" s="312">
        <v>37938.030089264685</v>
      </c>
      <c r="J1005" s="312">
        <v>0</v>
      </c>
      <c r="K1005" s="312">
        <v>38526.791878400378</v>
      </c>
      <c r="L1005" s="312">
        <v>50864.608982481099</v>
      </c>
      <c r="M1005" s="312">
        <v>0</v>
      </c>
      <c r="N1005" s="312">
        <v>48172.910461014282</v>
      </c>
      <c r="O1005" s="312">
        <v>3398.8557039177726</v>
      </c>
      <c r="P1005" s="312">
        <v>9872.8665685230535</v>
      </c>
      <c r="Q1005" s="312">
        <v>0</v>
      </c>
      <c r="R1005" s="312">
        <v>2913.3048890723767</v>
      </c>
      <c r="S1005" s="312">
        <v>2663.5011856599708</v>
      </c>
      <c r="T1005" s="312">
        <v>1491.5606639695836</v>
      </c>
      <c r="U1005" s="312">
        <v>19337.201786960868</v>
      </c>
      <c r="V1005" s="312">
        <v>122170.52683837192</v>
      </c>
      <c r="W1005" s="312">
        <v>3117.3617876964299</v>
      </c>
      <c r="X1005" s="312">
        <v>0</v>
      </c>
      <c r="Y1005" s="312">
        <v>65525.117928213615</v>
      </c>
      <c r="Z1005" s="312">
        <v>32715.426343916806</v>
      </c>
      <c r="AA1005" s="312">
        <v>125501.82793637981</v>
      </c>
      <c r="AB1005" s="312">
        <v>218331.72957637423</v>
      </c>
      <c r="AC1005" s="312">
        <v>8097.3292789761426</v>
      </c>
      <c r="AD1005" s="312">
        <v>192526.53313763416</v>
      </c>
      <c r="AE1005" s="312">
        <v>16664.870360668341</v>
      </c>
      <c r="AF1005" s="312">
        <v>32544.61751636281</v>
      </c>
      <c r="AG1005" s="312">
        <v>86289.738570379646</v>
      </c>
      <c r="AH1005" s="312">
        <v>41604.856444140503</v>
      </c>
      <c r="AI1005" s="312">
        <v>71791.049491734419</v>
      </c>
      <c r="AJ1005" s="312">
        <v>3479.5374853018589</v>
      </c>
      <c r="AK1005" s="312">
        <v>28926.549539053889</v>
      </c>
      <c r="AL1005" s="312">
        <v>1619758.850617473</v>
      </c>
      <c r="AM1005" s="312">
        <v>60018.487265085547</v>
      </c>
      <c r="AN1005" s="312">
        <v>23379.610412222231</v>
      </c>
      <c r="AO1005" s="312">
        <v>87366.547007408401</v>
      </c>
      <c r="AP1005" s="312">
        <v>26133.686117859139</v>
      </c>
      <c r="AQ1005" s="312">
        <v>12720.894981142157</v>
      </c>
      <c r="AR1005" s="312">
        <v>15247.792900710368</v>
      </c>
      <c r="AS1005" s="70"/>
    </row>
    <row r="1006" spans="1:45" x14ac:dyDescent="0.3">
      <c r="A1006" s="185">
        <v>1942</v>
      </c>
      <c r="B1006" s="312">
        <v>0</v>
      </c>
      <c r="C1006" s="312">
        <v>20885.572829841971</v>
      </c>
      <c r="D1006" s="312">
        <v>17749.50598490125</v>
      </c>
      <c r="E1006" s="312">
        <v>40903.871503353854</v>
      </c>
      <c r="F1006" s="312">
        <v>14972.179076730688</v>
      </c>
      <c r="G1006" s="312">
        <v>14678.90616897566</v>
      </c>
      <c r="H1006" s="312">
        <v>8767.0795655808779</v>
      </c>
      <c r="I1006" s="312">
        <v>37938.030089264677</v>
      </c>
      <c r="J1006" s="312">
        <v>0</v>
      </c>
      <c r="K1006" s="312">
        <v>38526.791878400378</v>
      </c>
      <c r="L1006" s="312">
        <v>50864.608982481099</v>
      </c>
      <c r="M1006" s="312">
        <v>0</v>
      </c>
      <c r="N1006" s="312">
        <v>48172.910461014289</v>
      </c>
      <c r="O1006" s="312">
        <v>3461.1848579673128</v>
      </c>
      <c r="P1006" s="312">
        <v>10053.917920762193</v>
      </c>
      <c r="Q1006" s="312">
        <v>0</v>
      </c>
      <c r="R1006" s="312">
        <v>2966.7298782576968</v>
      </c>
      <c r="S1006" s="312">
        <v>2705.776298521188</v>
      </c>
      <c r="T1006" s="312">
        <v>1515.2347271718652</v>
      </c>
      <c r="U1006" s="312">
        <v>19900.888956830564</v>
      </c>
      <c r="V1006" s="312">
        <v>96935.82816705617</v>
      </c>
      <c r="W1006" s="312">
        <v>3166.8405797891987</v>
      </c>
      <c r="X1006" s="312">
        <v>0</v>
      </c>
      <c r="Y1006" s="312">
        <v>62577.310503900175</v>
      </c>
      <c r="Z1006" s="312">
        <v>33601.471954122921</v>
      </c>
      <c r="AA1006" s="312">
        <v>125501.82793637984</v>
      </c>
      <c r="AB1006" s="312">
        <v>218331.72957637423</v>
      </c>
      <c r="AC1006" s="312">
        <v>8223.6970267533943</v>
      </c>
      <c r="AD1006" s="312">
        <v>199912.82102745512</v>
      </c>
      <c r="AE1006" s="312">
        <v>21660.875971340436</v>
      </c>
      <c r="AF1006" s="312">
        <v>37897.91870732596</v>
      </c>
      <c r="AG1006" s="312">
        <v>130809.18773102255</v>
      </c>
      <c r="AH1006" s="312">
        <v>79058.940583840973</v>
      </c>
      <c r="AI1006" s="312">
        <v>130876.69732169602</v>
      </c>
      <c r="AJ1006" s="312">
        <v>5233.4495788969434</v>
      </c>
      <c r="AK1006" s="312">
        <v>52737.581211999131</v>
      </c>
      <c r="AL1006" s="312">
        <v>1448109.629550183</v>
      </c>
      <c r="AM1006" s="312">
        <v>77433.19962200243</v>
      </c>
      <c r="AN1006" s="312">
        <v>15703.02705382742</v>
      </c>
      <c r="AO1006" s="312">
        <v>77292.870475387477</v>
      </c>
      <c r="AP1006" s="312">
        <v>20734.408397184299</v>
      </c>
      <c r="AQ1006" s="312">
        <v>14188.460268307712</v>
      </c>
      <c r="AR1006" s="312">
        <v>12034.360138813408</v>
      </c>
      <c r="AS1006" s="70"/>
    </row>
    <row r="1007" spans="1:45" x14ac:dyDescent="0.3">
      <c r="A1007" s="185">
        <v>1943</v>
      </c>
      <c r="B1007" s="312">
        <v>0</v>
      </c>
      <c r="C1007" s="312">
        <v>20885.572829841971</v>
      </c>
      <c r="D1007" s="312">
        <v>17749.505984901254</v>
      </c>
      <c r="E1007" s="312">
        <v>40903.871503353854</v>
      </c>
      <c r="F1007" s="312">
        <v>14972.179076730687</v>
      </c>
      <c r="G1007" s="312">
        <v>14678.906168975946</v>
      </c>
      <c r="H1007" s="312">
        <v>8767.0795655808761</v>
      </c>
      <c r="I1007" s="312">
        <v>36680.005406544413</v>
      </c>
      <c r="J1007" s="312">
        <v>0</v>
      </c>
      <c r="K1007" s="312">
        <v>38526.791878400378</v>
      </c>
      <c r="L1007" s="312">
        <v>50864.608982481099</v>
      </c>
      <c r="M1007" s="312">
        <v>0</v>
      </c>
      <c r="N1007" s="312">
        <v>48172.910461014289</v>
      </c>
      <c r="O1007" s="312">
        <v>3461.1848579673133</v>
      </c>
      <c r="P1007" s="312">
        <v>10053.917920762196</v>
      </c>
      <c r="Q1007" s="312">
        <v>0</v>
      </c>
      <c r="R1007" s="312">
        <v>2966.7298782576972</v>
      </c>
      <c r="S1007" s="312">
        <v>2670.4270151407154</v>
      </c>
      <c r="T1007" s="312">
        <v>1495.4391284788005</v>
      </c>
      <c r="U1007" s="312">
        <v>19890.764669010427</v>
      </c>
      <c r="V1007" s="312">
        <v>112521.14895985942</v>
      </c>
      <c r="W1007" s="312">
        <v>3125.4677785206936</v>
      </c>
      <c r="X1007" s="312">
        <v>0</v>
      </c>
      <c r="Y1007" s="312">
        <v>65299.735274522696</v>
      </c>
      <c r="Z1007" s="312">
        <v>35045.839076630917</v>
      </c>
      <c r="AA1007" s="312">
        <v>125557.73612549654</v>
      </c>
      <c r="AB1007" s="312">
        <v>218331.72957637423</v>
      </c>
      <c r="AC1007" s="312">
        <v>8223.6970267533943</v>
      </c>
      <c r="AD1007" s="312">
        <v>196445.43954872992</v>
      </c>
      <c r="AE1007" s="312">
        <v>18865.320982106103</v>
      </c>
      <c r="AF1007" s="312">
        <v>34132.638427451915</v>
      </c>
      <c r="AG1007" s="312">
        <v>101767.96240967909</v>
      </c>
      <c r="AH1007" s="312">
        <v>54902.177819627002</v>
      </c>
      <c r="AI1007" s="312">
        <v>91974.402597730586</v>
      </c>
      <c r="AJ1007" s="312">
        <v>4127.1510207566862</v>
      </c>
      <c r="AK1007" s="312">
        <v>37053.630836711091</v>
      </c>
      <c r="AL1007" s="312">
        <v>1557004.0009232117</v>
      </c>
      <c r="AM1007" s="312">
        <v>66837.461061468013</v>
      </c>
      <c r="AN1007" s="312">
        <v>21129.129465605685</v>
      </c>
      <c r="AO1007" s="312">
        <v>83434.807223045369</v>
      </c>
      <c r="AP1007" s="312">
        <v>24070.809187602892</v>
      </c>
      <c r="AQ1007" s="312">
        <v>13165.574206916388</v>
      </c>
      <c r="AR1007" s="312">
        <v>14062.095338092531</v>
      </c>
      <c r="AS1007" s="70"/>
    </row>
    <row r="1008" spans="1:45" x14ac:dyDescent="0.3">
      <c r="A1008" s="185">
        <v>1944</v>
      </c>
      <c r="B1008" s="312">
        <v>0</v>
      </c>
      <c r="C1008" s="312">
        <v>20840.764290078623</v>
      </c>
      <c r="D1008" s="312">
        <v>17362.84472933162</v>
      </c>
      <c r="E1008" s="312">
        <v>40843.459166025335</v>
      </c>
      <c r="F1008" s="312">
        <v>14947.155299810458</v>
      </c>
      <c r="G1008" s="312">
        <v>14647.079232576865</v>
      </c>
      <c r="H1008" s="312">
        <v>8760.5246116185026</v>
      </c>
      <c r="I1008" s="312">
        <v>32363.267052556446</v>
      </c>
      <c r="J1008" s="312">
        <v>0</v>
      </c>
      <c r="K1008" s="312">
        <v>34070.561674050958</v>
      </c>
      <c r="L1008" s="312">
        <v>50799.292067579467</v>
      </c>
      <c r="M1008" s="312">
        <v>0</v>
      </c>
      <c r="N1008" s="312">
        <v>43491.298545816673</v>
      </c>
      <c r="O1008" s="312">
        <v>2687.8414092404414</v>
      </c>
      <c r="P1008" s="312">
        <v>7807.5393316031877</v>
      </c>
      <c r="Q1008" s="312">
        <v>0</v>
      </c>
      <c r="R1008" s="312">
        <v>2303.8640650632356</v>
      </c>
      <c r="S1008" s="312">
        <v>2688.9812592001549</v>
      </c>
      <c r="T1008" s="312">
        <v>1505.8295051520868</v>
      </c>
      <c r="U1008" s="312">
        <v>13026.706832256436</v>
      </c>
      <c r="V1008" s="312">
        <v>32668.563094318546</v>
      </c>
      <c r="W1008" s="312">
        <v>3147.1836657678614</v>
      </c>
      <c r="X1008" s="312">
        <v>0</v>
      </c>
      <c r="Y1008" s="312">
        <v>29954.651593970037</v>
      </c>
      <c r="Z1008" s="312">
        <v>18979.184302946473</v>
      </c>
      <c r="AA1008" s="312">
        <v>140738.64988857691</v>
      </c>
      <c r="AB1008" s="312">
        <v>217887.95496852504</v>
      </c>
      <c r="AC1008" s="312">
        <v>6359.5963109912427</v>
      </c>
      <c r="AD1008" s="312">
        <v>131998.95759111681</v>
      </c>
      <c r="AE1008" s="312">
        <v>14575.586498517761</v>
      </c>
      <c r="AF1008" s="312">
        <v>19772.723233497381</v>
      </c>
      <c r="AG1008" s="312">
        <v>85648.934071458425</v>
      </c>
      <c r="AH1008" s="312">
        <v>59817.495702586042</v>
      </c>
      <c r="AI1008" s="312">
        <v>92080.529860424023</v>
      </c>
      <c r="AJ1008" s="312">
        <v>3622.8622103008629</v>
      </c>
      <c r="AK1008" s="312">
        <v>37120.049376602452</v>
      </c>
      <c r="AL1008" s="312">
        <v>606210.84910600993</v>
      </c>
      <c r="AM1008" s="312">
        <v>52957.900107618596</v>
      </c>
      <c r="AN1008" s="312">
        <v>5426.4436783944175</v>
      </c>
      <c r="AO1008" s="312">
        <v>32517.419658504707</v>
      </c>
      <c r="AP1008" s="312">
        <v>6986.4286390685156</v>
      </c>
      <c r="AQ1008" s="312">
        <v>7492.5107602675535</v>
      </c>
      <c r="AR1008" s="312">
        <v>4047.339794498409</v>
      </c>
      <c r="AS1008" s="70"/>
    </row>
    <row r="1009" spans="1:45" x14ac:dyDescent="0.3">
      <c r="A1009" s="185">
        <v>1945</v>
      </c>
      <c r="B1009" s="312">
        <v>0</v>
      </c>
      <c r="C1009" s="312">
        <v>20885.572829841971</v>
      </c>
      <c r="D1009" s="312">
        <v>17716.523664751076</v>
      </c>
      <c r="E1009" s="312">
        <v>40903.871503353854</v>
      </c>
      <c r="F1009" s="312">
        <v>14972.179076730688</v>
      </c>
      <c r="G1009" s="312">
        <v>14678.906168975662</v>
      </c>
      <c r="H1009" s="312">
        <v>8767.0795655808779</v>
      </c>
      <c r="I1009" s="312">
        <v>30029.843982400926</v>
      </c>
      <c r="J1009" s="312">
        <v>0</v>
      </c>
      <c r="K1009" s="312">
        <v>38080.781156471305</v>
      </c>
      <c r="L1009" s="312">
        <v>50864.608982481099</v>
      </c>
      <c r="M1009" s="312">
        <v>0</v>
      </c>
      <c r="N1009" s="312">
        <v>22866.016715394289</v>
      </c>
      <c r="O1009" s="312">
        <v>3244.5407928814489</v>
      </c>
      <c r="P1009" s="312">
        <v>9424.6184936080172</v>
      </c>
      <c r="Q1009" s="312">
        <v>0</v>
      </c>
      <c r="R1009" s="312">
        <v>2781.0349653269559</v>
      </c>
      <c r="S1009" s="312">
        <v>2664.728547846431</v>
      </c>
      <c r="T1009" s="312">
        <v>1492.2479867940012</v>
      </c>
      <c r="U1009" s="312">
        <v>16338.384981044819</v>
      </c>
      <c r="V1009" s="312">
        <v>95420.223830486211</v>
      </c>
      <c r="W1009" s="312">
        <v>3118.7982923994628</v>
      </c>
      <c r="X1009" s="312">
        <v>0</v>
      </c>
      <c r="Y1009" s="312">
        <v>50166.572872391254</v>
      </c>
      <c r="Z1009" s="312">
        <v>23305.094231171988</v>
      </c>
      <c r="AA1009" s="312">
        <v>139925.07539164994</v>
      </c>
      <c r="AB1009" s="312">
        <v>218331.72957637423</v>
      </c>
      <c r="AC1009" s="312">
        <v>7700.086896539613</v>
      </c>
      <c r="AD1009" s="312">
        <v>174631.73819601658</v>
      </c>
      <c r="AE1009" s="312">
        <v>11996.214026229716</v>
      </c>
      <c r="AF1009" s="312">
        <v>28212.160705870465</v>
      </c>
      <c r="AG1009" s="312">
        <v>74967.068302045911</v>
      </c>
      <c r="AH1009" s="312">
        <v>35370.130571304799</v>
      </c>
      <c r="AI1009" s="312">
        <v>68488.352188758829</v>
      </c>
      <c r="AJ1009" s="312">
        <v>2759.5407996436807</v>
      </c>
      <c r="AK1009" s="312">
        <v>27603.739564073192</v>
      </c>
      <c r="AL1009" s="312">
        <v>1271289.4967503529</v>
      </c>
      <c r="AM1009" s="312">
        <v>42330.622967704818</v>
      </c>
      <c r="AN1009" s="312">
        <v>15533.552553852749</v>
      </c>
      <c r="AO1009" s="312">
        <v>67905.328205057958</v>
      </c>
      <c r="AP1009" s="312">
        <v>20449.984051977692</v>
      </c>
      <c r="AQ1009" s="312">
        <v>10480.074641122354</v>
      </c>
      <c r="AR1009" s="312">
        <v>11857.951854592962</v>
      </c>
      <c r="AS1009" s="70"/>
    </row>
    <row r="1010" spans="1:45" x14ac:dyDescent="0.3">
      <c r="A1010" s="185">
        <v>1946</v>
      </c>
      <c r="B1010" s="312">
        <v>0</v>
      </c>
      <c r="C1010" s="312">
        <v>20885.572829841971</v>
      </c>
      <c r="D1010" s="312">
        <v>17749.505984901254</v>
      </c>
      <c r="E1010" s="312">
        <v>40903.871503353854</v>
      </c>
      <c r="F1010" s="312">
        <v>14972.179076730688</v>
      </c>
      <c r="G1010" s="312">
        <v>14678.906168975662</v>
      </c>
      <c r="H1010" s="312">
        <v>8767.0795655808779</v>
      </c>
      <c r="I1010" s="312">
        <v>33521.424565210255</v>
      </c>
      <c r="J1010" s="312">
        <v>0</v>
      </c>
      <c r="K1010" s="312">
        <v>38526.791878400378</v>
      </c>
      <c r="L1010" s="312">
        <v>50864.608982481099</v>
      </c>
      <c r="M1010" s="312">
        <v>0</v>
      </c>
      <c r="N1010" s="312">
        <v>40465.244787252006</v>
      </c>
      <c r="O1010" s="312">
        <v>3450.388406321154</v>
      </c>
      <c r="P1010" s="312">
        <v>10022.556799313828</v>
      </c>
      <c r="Q1010" s="312">
        <v>0</v>
      </c>
      <c r="R1010" s="312">
        <v>2957.4757768467034</v>
      </c>
      <c r="S1010" s="312">
        <v>2668.4106344058146</v>
      </c>
      <c r="T1010" s="312">
        <v>1494.3099552672561</v>
      </c>
      <c r="U1010" s="312">
        <v>17989.568825493789</v>
      </c>
      <c r="V1010" s="312">
        <v>83867.189130000217</v>
      </c>
      <c r="W1010" s="312">
        <v>3123.1078065085653</v>
      </c>
      <c r="X1010" s="312">
        <v>0</v>
      </c>
      <c r="Y1010" s="312">
        <v>52819.505524891159</v>
      </c>
      <c r="Z1010" s="312">
        <v>28052.079858932695</v>
      </c>
      <c r="AA1010" s="312">
        <v>134897.59116037298</v>
      </c>
      <c r="AB1010" s="312">
        <v>218331.72957637423</v>
      </c>
      <c r="AC1010" s="312">
        <v>8201.8080055557803</v>
      </c>
      <c r="AD1010" s="312">
        <v>186726.96620800596</v>
      </c>
      <c r="AE1010" s="312">
        <v>17750.443965522081</v>
      </c>
      <c r="AF1010" s="312">
        <v>31807.059257486544</v>
      </c>
      <c r="AG1010" s="312">
        <v>107108.3560136392</v>
      </c>
      <c r="AH1010" s="312">
        <v>63859.115105256293</v>
      </c>
      <c r="AI1010" s="312">
        <v>106383.08005225762</v>
      </c>
      <c r="AJ1010" s="312">
        <v>4264.0060638137493</v>
      </c>
      <c r="AK1010" s="312">
        <v>42862.814549740346</v>
      </c>
      <c r="AL1010" s="312">
        <v>1233733.4666374295</v>
      </c>
      <c r="AM1010" s="312">
        <v>63493.84619173278</v>
      </c>
      <c r="AN1010" s="312">
        <v>13701.871861609947</v>
      </c>
      <c r="AO1010" s="312">
        <v>65940.847166262713</v>
      </c>
      <c r="AP1010" s="312">
        <v>17944.221670084629</v>
      </c>
      <c r="AQ1010" s="312">
        <v>11870.471037924735</v>
      </c>
      <c r="AR1010" s="312">
        <v>10371.826811909656</v>
      </c>
      <c r="AS1010" s="70"/>
    </row>
    <row r="1011" spans="1:45" x14ac:dyDescent="0.3">
      <c r="A1011" s="185">
        <v>1947</v>
      </c>
      <c r="B1011" s="312">
        <v>0</v>
      </c>
      <c r="C1011" s="312">
        <v>20885.572829841971</v>
      </c>
      <c r="D1011" s="312">
        <v>17730.702052000186</v>
      </c>
      <c r="E1011" s="312">
        <v>40903.871503353846</v>
      </c>
      <c r="F1011" s="312">
        <v>14972.179076730688</v>
      </c>
      <c r="G1011" s="312">
        <v>14678.906168975662</v>
      </c>
      <c r="H1011" s="312">
        <v>8767.0795655808779</v>
      </c>
      <c r="I1011" s="312">
        <v>29290.871504807157</v>
      </c>
      <c r="J1011" s="312">
        <v>0</v>
      </c>
      <c r="K1011" s="312">
        <v>38265.466531698054</v>
      </c>
      <c r="L1011" s="312">
        <v>50864.608982481099</v>
      </c>
      <c r="M1011" s="312">
        <v>0</v>
      </c>
      <c r="N1011" s="312">
        <v>39915.433402314564</v>
      </c>
      <c r="O1011" s="312">
        <v>2750.9941256366237</v>
      </c>
      <c r="P1011" s="312">
        <v>7990.9829363730496</v>
      </c>
      <c r="Q1011" s="312">
        <v>0</v>
      </c>
      <c r="R1011" s="312">
        <v>2357.9949648313918</v>
      </c>
      <c r="S1011" s="312">
        <v>2664.928552644843</v>
      </c>
      <c r="T1011" s="312">
        <v>1492.3599894811121</v>
      </c>
      <c r="U1011" s="312">
        <v>13281.159685352657</v>
      </c>
      <c r="V1011" s="312">
        <v>85051.631727040512</v>
      </c>
      <c r="W1011" s="312">
        <v>3119.0323780155245</v>
      </c>
      <c r="X1011" s="312">
        <v>0</v>
      </c>
      <c r="Y1011" s="312">
        <v>39132.729243596426</v>
      </c>
      <c r="Z1011" s="312">
        <v>19283.534585269037</v>
      </c>
      <c r="AA1011" s="312">
        <v>143908.69206873735</v>
      </c>
      <c r="AB1011" s="312">
        <v>204731.61252988889</v>
      </c>
      <c r="AC1011" s="312">
        <v>6497.2302502060966</v>
      </c>
      <c r="AD1011" s="312">
        <v>144196.55421660154</v>
      </c>
      <c r="AE1011" s="312">
        <v>15420.847942944318</v>
      </c>
      <c r="AF1011" s="312">
        <v>28739.280648925855</v>
      </c>
      <c r="AG1011" s="312">
        <v>90184.859526813598</v>
      </c>
      <c r="AH1011" s="312">
        <v>43078.656744676031</v>
      </c>
      <c r="AI1011" s="312">
        <v>67199.134868208697</v>
      </c>
      <c r="AJ1011" s="312">
        <v>2694.8773250050385</v>
      </c>
      <c r="AK1011" s="312">
        <v>11423.006184639393</v>
      </c>
      <c r="AL1011" s="312">
        <v>1024280.4600214851</v>
      </c>
      <c r="AM1011" s="312">
        <v>55237.093574947954</v>
      </c>
      <c r="AN1011" s="312">
        <v>14678.902611275202</v>
      </c>
      <c r="AO1011" s="312">
        <v>42401.329220893407</v>
      </c>
      <c r="AP1011" s="312">
        <v>15579.595054942785</v>
      </c>
      <c r="AQ1011" s="312">
        <v>8522.7030173411513</v>
      </c>
      <c r="AR1011" s="312">
        <v>525.05515756403406</v>
      </c>
      <c r="AS1011" s="70"/>
    </row>
    <row r="1012" spans="1:45" x14ac:dyDescent="0.3">
      <c r="A1012" s="185">
        <v>1948</v>
      </c>
      <c r="B1012" s="312">
        <v>0</v>
      </c>
      <c r="C1012" s="312">
        <v>20840.76429007862</v>
      </c>
      <c r="D1012" s="312">
        <v>17680.564036192871</v>
      </c>
      <c r="E1012" s="312">
        <v>40843.459166025335</v>
      </c>
      <c r="F1012" s="312">
        <v>14947.155299810458</v>
      </c>
      <c r="G1012" s="312">
        <v>14647.079232576865</v>
      </c>
      <c r="H1012" s="312">
        <v>8760.5246116185026</v>
      </c>
      <c r="I1012" s="312">
        <v>29709.032631157304</v>
      </c>
      <c r="J1012" s="312">
        <v>0</v>
      </c>
      <c r="K1012" s="312">
        <v>37857.158292791974</v>
      </c>
      <c r="L1012" s="312">
        <v>50799.292067579467</v>
      </c>
      <c r="M1012" s="312">
        <v>0</v>
      </c>
      <c r="N1012" s="312">
        <v>22795.517144528912</v>
      </c>
      <c r="O1012" s="312">
        <v>2522.6417077456676</v>
      </c>
      <c r="P1012" s="312">
        <v>7327.6735320231301</v>
      </c>
      <c r="Q1012" s="312">
        <v>0</v>
      </c>
      <c r="R1012" s="312">
        <v>2162.2643209248581</v>
      </c>
      <c r="S1012" s="312">
        <v>2065.3146027560274</v>
      </c>
      <c r="T1012" s="312">
        <v>1156.5761775433755</v>
      </c>
      <c r="U1012" s="312">
        <v>10553.102305492041</v>
      </c>
      <c r="V1012" s="312">
        <v>63002.131355788362</v>
      </c>
      <c r="W1012" s="312">
        <v>2417.2442110656548</v>
      </c>
      <c r="X1012" s="312">
        <v>0</v>
      </c>
      <c r="Y1012" s="312">
        <v>33440.307750436281</v>
      </c>
      <c r="Z1012" s="312">
        <v>16228.844869851198</v>
      </c>
      <c r="AA1012" s="312">
        <v>143940.86073833489</v>
      </c>
      <c r="AB1012" s="312">
        <v>215146.47539237101</v>
      </c>
      <c r="AC1012" s="312">
        <v>5907.666726956646</v>
      </c>
      <c r="AD1012" s="312">
        <v>130970.77823736952</v>
      </c>
      <c r="AE1012" s="312">
        <v>9170.158968103613</v>
      </c>
      <c r="AF1012" s="312">
        <v>20942.737849371839</v>
      </c>
      <c r="AG1012" s="312">
        <v>60988.118008686746</v>
      </c>
      <c r="AH1012" s="312">
        <v>36400.929057534617</v>
      </c>
      <c r="AI1012" s="312">
        <v>59538.329242075204</v>
      </c>
      <c r="AJ1012" s="312">
        <v>2253.4046792379618</v>
      </c>
      <c r="AK1012" s="312">
        <v>23514.850893577477</v>
      </c>
      <c r="AL1012" s="312">
        <v>847886.05649553949</v>
      </c>
      <c r="AM1012" s="312">
        <v>36683.365115898079</v>
      </c>
      <c r="AN1012" s="312">
        <v>10135.011442972223</v>
      </c>
      <c r="AO1012" s="312">
        <v>45783.400562892864</v>
      </c>
      <c r="AP1012" s="312">
        <v>13508.052025144911</v>
      </c>
      <c r="AQ1012" s="312">
        <v>7599.0262243994712</v>
      </c>
      <c r="AR1012" s="312">
        <v>7808.3844226097244</v>
      </c>
      <c r="AS1012" s="70"/>
    </row>
    <row r="1013" spans="1:45" x14ac:dyDescent="0.3">
      <c r="A1013" s="185">
        <v>1949</v>
      </c>
      <c r="B1013" s="312">
        <v>0</v>
      </c>
      <c r="C1013" s="312">
        <v>20885.572829841971</v>
      </c>
      <c r="D1013" s="312">
        <v>17730.702052000186</v>
      </c>
      <c r="E1013" s="312">
        <v>40903.871503353846</v>
      </c>
      <c r="F1013" s="312">
        <v>14972.17907673069</v>
      </c>
      <c r="G1013" s="312">
        <v>14678.906168975662</v>
      </c>
      <c r="H1013" s="312">
        <v>8767.0795655808743</v>
      </c>
      <c r="I1013" s="312">
        <v>27884.224151148039</v>
      </c>
      <c r="J1013" s="312">
        <v>0</v>
      </c>
      <c r="K1013" s="312">
        <v>38265.466531698054</v>
      </c>
      <c r="L1013" s="312">
        <v>50864.608982481099</v>
      </c>
      <c r="M1013" s="312">
        <v>0</v>
      </c>
      <c r="N1013" s="312">
        <v>39915.433402314571</v>
      </c>
      <c r="O1013" s="312">
        <v>3070.7223105290559</v>
      </c>
      <c r="P1013" s="312">
        <v>8919.7171877272576</v>
      </c>
      <c r="Q1013" s="312">
        <v>0</v>
      </c>
      <c r="R1013" s="312">
        <v>2632.0476947391903</v>
      </c>
      <c r="S1013" s="312">
        <v>2499.7425072287128</v>
      </c>
      <c r="T1013" s="312">
        <v>1399.8558040480791</v>
      </c>
      <c r="U1013" s="312">
        <v>15155.467797917725</v>
      </c>
      <c r="V1013" s="312">
        <v>41700.976225080842</v>
      </c>
      <c r="W1013" s="312">
        <v>2925.6986304604857</v>
      </c>
      <c r="X1013" s="312">
        <v>0</v>
      </c>
      <c r="Y1013" s="312">
        <v>26910.60048318734</v>
      </c>
      <c r="Z1013" s="312">
        <v>14514.510297922177</v>
      </c>
      <c r="AA1013" s="312">
        <v>143908.69206873697</v>
      </c>
      <c r="AB1013" s="312">
        <v>218331.72957637423</v>
      </c>
      <c r="AC1013" s="312">
        <v>7257.0906953196281</v>
      </c>
      <c r="AD1013" s="312">
        <v>137117.4872156413</v>
      </c>
      <c r="AE1013" s="312">
        <v>9109.3785104315029</v>
      </c>
      <c r="AF1013" s="312">
        <v>14474.090892705415</v>
      </c>
      <c r="AG1013" s="312">
        <v>49235.515957938871</v>
      </c>
      <c r="AH1013" s="312">
        <v>27859.076218451439</v>
      </c>
      <c r="AI1013" s="312">
        <v>48408.932798937967</v>
      </c>
      <c r="AJ1013" s="312">
        <v>2018.4861170873421</v>
      </c>
      <c r="AK1013" s="312">
        <v>19973.691814351241</v>
      </c>
      <c r="AL1013" s="312">
        <v>609641.04258081212</v>
      </c>
      <c r="AM1013" s="312">
        <v>31304.326290938148</v>
      </c>
      <c r="AN1013" s="312">
        <v>7823.5282849371224</v>
      </c>
      <c r="AO1013" s="312">
        <v>33261.272628309292</v>
      </c>
      <c r="AP1013" s="312">
        <v>8918.0465983370177</v>
      </c>
      <c r="AQ1013" s="312">
        <v>5684.5856784154112</v>
      </c>
      <c r="AR1013" s="312">
        <v>5166.354192011464</v>
      </c>
      <c r="AS1013" s="70"/>
    </row>
    <row r="1014" spans="1:45" x14ac:dyDescent="0.3">
      <c r="A1014" s="185">
        <v>1950</v>
      </c>
      <c r="B1014" s="312">
        <v>0</v>
      </c>
      <c r="C1014" s="312">
        <v>20885.572829841971</v>
      </c>
      <c r="D1014" s="312">
        <v>17749.505984901254</v>
      </c>
      <c r="E1014" s="312">
        <v>40903.871503353854</v>
      </c>
      <c r="F1014" s="312">
        <v>14972.179076730688</v>
      </c>
      <c r="G1014" s="312">
        <v>14678.90616897566</v>
      </c>
      <c r="H1014" s="312">
        <v>8767.0795655808779</v>
      </c>
      <c r="I1014" s="312">
        <v>31092.467819815898</v>
      </c>
      <c r="J1014" s="312">
        <v>0</v>
      </c>
      <c r="K1014" s="312">
        <v>38526.791878400378</v>
      </c>
      <c r="L1014" s="312">
        <v>50864.608982481099</v>
      </c>
      <c r="M1014" s="312">
        <v>0</v>
      </c>
      <c r="N1014" s="312">
        <v>22822.117490317687</v>
      </c>
      <c r="O1014" s="312">
        <v>2661.9463539497274</v>
      </c>
      <c r="P1014" s="312">
        <v>7732.3203614730173</v>
      </c>
      <c r="Q1014" s="312">
        <v>0</v>
      </c>
      <c r="R1014" s="312">
        <v>2281.6683033854806</v>
      </c>
      <c r="S1014" s="312">
        <v>2644.6863500095833</v>
      </c>
      <c r="T1014" s="312">
        <v>1481.0243560053664</v>
      </c>
      <c r="U1014" s="312">
        <v>11839.894977925731</v>
      </c>
      <c r="V1014" s="312">
        <v>68787.748952435504</v>
      </c>
      <c r="W1014" s="312">
        <v>3095.3409040512161</v>
      </c>
      <c r="X1014" s="312">
        <v>0</v>
      </c>
      <c r="Y1014" s="312">
        <v>39070.328359394087</v>
      </c>
      <c r="Z1014" s="312">
        <v>19715.489068819457</v>
      </c>
      <c r="AA1014" s="312">
        <v>142495.84008668506</v>
      </c>
      <c r="AB1014" s="312">
        <v>218331.72957637423</v>
      </c>
      <c r="AC1014" s="312">
        <v>6301.6997576051417</v>
      </c>
      <c r="AD1014" s="312">
        <v>141203.85589333865</v>
      </c>
      <c r="AE1014" s="312">
        <v>11441.33049960636</v>
      </c>
      <c r="AF1014" s="312">
        <v>22888.805198035832</v>
      </c>
      <c r="AG1014" s="312">
        <v>69121.133194587979</v>
      </c>
      <c r="AH1014" s="312">
        <v>39763.564908098437</v>
      </c>
      <c r="AI1014" s="312">
        <v>64934.143476359393</v>
      </c>
      <c r="AJ1014" s="312">
        <v>2706.9579642729395</v>
      </c>
      <c r="AK1014" s="312">
        <v>25640.496020195023</v>
      </c>
      <c r="AL1014" s="312">
        <v>958220.37093752879</v>
      </c>
      <c r="AM1014" s="312">
        <v>42064.470168569394</v>
      </c>
      <c r="AN1014" s="312">
        <v>11484.539351781112</v>
      </c>
      <c r="AO1014" s="312">
        <v>50896.65114551533</v>
      </c>
      <c r="AP1014" s="312">
        <v>14735.597180618526</v>
      </c>
      <c r="AQ1014" s="312">
        <v>8508.9008664935373</v>
      </c>
      <c r="AR1014" s="312">
        <v>8517.9718932685355</v>
      </c>
      <c r="AS1014" s="70"/>
    </row>
    <row r="1015" spans="1:45" x14ac:dyDescent="0.3">
      <c r="A1015" s="185">
        <v>1951</v>
      </c>
      <c r="B1015" s="312">
        <v>0</v>
      </c>
      <c r="C1015" s="312">
        <v>20885.572829841971</v>
      </c>
      <c r="D1015" s="312">
        <v>17749.50598490125</v>
      </c>
      <c r="E1015" s="312">
        <v>40903.871503353846</v>
      </c>
      <c r="F1015" s="312">
        <v>14972.179076730688</v>
      </c>
      <c r="G1015" s="312">
        <v>14678.906168975644</v>
      </c>
      <c r="H1015" s="312">
        <v>8767.0795655808761</v>
      </c>
      <c r="I1015" s="312">
        <v>37241.061147747714</v>
      </c>
      <c r="J1015" s="312">
        <v>0</v>
      </c>
      <c r="K1015" s="312">
        <v>38526.791878400378</v>
      </c>
      <c r="L1015" s="312">
        <v>50864.608982481099</v>
      </c>
      <c r="M1015" s="312">
        <v>0</v>
      </c>
      <c r="N1015" s="312">
        <v>44261.697798255693</v>
      </c>
      <c r="O1015" s="312">
        <v>3362.2996238765136</v>
      </c>
      <c r="P1015" s="312">
        <v>9766.6798598317782</v>
      </c>
      <c r="Q1015" s="312">
        <v>0</v>
      </c>
      <c r="R1015" s="312">
        <v>2881.9711061798689</v>
      </c>
      <c r="S1015" s="312">
        <v>2670.38223820644</v>
      </c>
      <c r="T1015" s="312">
        <v>1495.4140533956063</v>
      </c>
      <c r="U1015" s="312">
        <v>18142.996994550955</v>
      </c>
      <c r="V1015" s="312">
        <v>100923.4978403237</v>
      </c>
      <c r="W1015" s="312">
        <v>3125.4153715968173</v>
      </c>
      <c r="X1015" s="312">
        <v>0</v>
      </c>
      <c r="Y1015" s="312">
        <v>52943.282065249288</v>
      </c>
      <c r="Z1015" s="312">
        <v>26122.221513659555</v>
      </c>
      <c r="AA1015" s="312">
        <v>127437.10655532975</v>
      </c>
      <c r="AB1015" s="312">
        <v>218331.7295763742</v>
      </c>
      <c r="AC1015" s="312">
        <v>8023.2145418611062</v>
      </c>
      <c r="AD1015" s="312">
        <v>196460.03238371084</v>
      </c>
      <c r="AE1015" s="312">
        <v>12852.475644258046</v>
      </c>
      <c r="AF1015" s="312">
        <v>33839.517755827568</v>
      </c>
      <c r="AG1015" s="312">
        <v>81473.107633979802</v>
      </c>
      <c r="AH1015" s="312">
        <v>32699.451715621726</v>
      </c>
      <c r="AI1015" s="312">
        <v>79103.961859749208</v>
      </c>
      <c r="AJ1015" s="312">
        <v>2663.8224337971442</v>
      </c>
      <c r="AK1015" s="312">
        <v>32009.410775717897</v>
      </c>
      <c r="AL1015" s="312">
        <v>1577588.9675656604</v>
      </c>
      <c r="AM1015" s="312">
        <v>42900.292882227463</v>
      </c>
      <c r="AN1015" s="312">
        <v>18788.522122446633</v>
      </c>
      <c r="AO1015" s="312">
        <v>71149.937382158052</v>
      </c>
      <c r="AP1015" s="312">
        <v>21536.669466358126</v>
      </c>
      <c r="AQ1015" s="312">
        <v>10589.420704258793</v>
      </c>
      <c r="AR1015" s="312">
        <v>12597.652388321932</v>
      </c>
      <c r="AS1015" s="70"/>
    </row>
    <row r="1016" spans="1:45" x14ac:dyDescent="0.3">
      <c r="A1016" s="185">
        <v>1952</v>
      </c>
      <c r="B1016" s="312">
        <v>0</v>
      </c>
      <c r="C1016" s="312">
        <v>20840.76429007862</v>
      </c>
      <c r="D1016" s="312">
        <v>17723.856033604883</v>
      </c>
      <c r="E1016" s="312">
        <v>40843.459166025335</v>
      </c>
      <c r="F1016" s="312">
        <v>14947.155299810458</v>
      </c>
      <c r="G1016" s="312">
        <v>14647.079232576865</v>
      </c>
      <c r="H1016" s="312">
        <v>8760.5246116185044</v>
      </c>
      <c r="I1016" s="312">
        <v>37698.378820023092</v>
      </c>
      <c r="J1016" s="312">
        <v>0</v>
      </c>
      <c r="K1016" s="312">
        <v>38465.646153932808</v>
      </c>
      <c r="L1016" s="312">
        <v>50799.292067579467</v>
      </c>
      <c r="M1016" s="312">
        <v>0</v>
      </c>
      <c r="N1016" s="312">
        <v>47813.665307434494</v>
      </c>
      <c r="O1016" s="312">
        <v>3454.2523333770969</v>
      </c>
      <c r="P1016" s="312">
        <v>10033.78058742871</v>
      </c>
      <c r="Q1016" s="312">
        <v>0</v>
      </c>
      <c r="R1016" s="312">
        <v>2960.7877143232258</v>
      </c>
      <c r="S1016" s="312">
        <v>2634.1883044474284</v>
      </c>
      <c r="T1016" s="312">
        <v>1475.1454504905601</v>
      </c>
      <c r="U1016" s="312">
        <v>19830.30799363718</v>
      </c>
      <c r="V1016" s="312">
        <v>112063.70481440316</v>
      </c>
      <c r="W1016" s="312">
        <v>3083.0539915252707</v>
      </c>
      <c r="X1016" s="312">
        <v>0</v>
      </c>
      <c r="Y1016" s="312">
        <v>65041.497387786847</v>
      </c>
      <c r="Z1016" s="312">
        <v>33652.54924607728</v>
      </c>
      <c r="AA1016" s="312">
        <v>125275.67024176831</v>
      </c>
      <c r="AB1016" s="312">
        <v>217887.95496852504</v>
      </c>
      <c r="AC1016" s="312">
        <v>8215.0380827873032</v>
      </c>
      <c r="AD1016" s="312">
        <v>197553.64328634148</v>
      </c>
      <c r="AE1016" s="312">
        <v>19225.111984264193</v>
      </c>
      <c r="AF1016" s="312">
        <v>35261.207805899663</v>
      </c>
      <c r="AG1016" s="312">
        <v>107633.06743519075</v>
      </c>
      <c r="AH1016" s="312">
        <v>59225.658888456659</v>
      </c>
      <c r="AI1016" s="312">
        <v>99580.086857762886</v>
      </c>
      <c r="AJ1016" s="312">
        <v>4335.1743066516747</v>
      </c>
      <c r="AK1016" s="312">
        <v>40077.978707824463</v>
      </c>
      <c r="AL1016" s="312">
        <v>1559942.0102372612</v>
      </c>
      <c r="AM1016" s="312">
        <v>68995.661906364956</v>
      </c>
      <c r="AN1016" s="312">
        <v>20516.120017829304</v>
      </c>
      <c r="AO1016" s="312">
        <v>83800.602836703911</v>
      </c>
      <c r="AP1016" s="312">
        <v>23950.733471003114</v>
      </c>
      <c r="AQ1016" s="312">
        <v>13534.571551195368</v>
      </c>
      <c r="AR1016" s="312">
        <v>14004.095469682057</v>
      </c>
      <c r="AS1016" s="70"/>
    </row>
    <row r="1017" spans="1:45" x14ac:dyDescent="0.3">
      <c r="A1017" s="185">
        <v>1953</v>
      </c>
      <c r="B1017" s="312">
        <v>0</v>
      </c>
      <c r="C1017" s="312">
        <v>20885.572829841971</v>
      </c>
      <c r="D1017" s="312">
        <v>17749.505984901254</v>
      </c>
      <c r="E1017" s="312">
        <v>40903.871503353854</v>
      </c>
      <c r="F1017" s="312">
        <v>14972.179076730688</v>
      </c>
      <c r="G1017" s="312">
        <v>14678.906168975709</v>
      </c>
      <c r="H1017" s="312">
        <v>8767.0795655808761</v>
      </c>
      <c r="I1017" s="312">
        <v>37762.167768634557</v>
      </c>
      <c r="J1017" s="312">
        <v>0</v>
      </c>
      <c r="K1017" s="312">
        <v>38526.791878400378</v>
      </c>
      <c r="L1017" s="312">
        <v>50864.608982481099</v>
      </c>
      <c r="M1017" s="312">
        <v>0</v>
      </c>
      <c r="N1017" s="312">
        <v>46511.962268700176</v>
      </c>
      <c r="O1017" s="312">
        <v>3461.1848579673128</v>
      </c>
      <c r="P1017" s="312">
        <v>10053.917920762193</v>
      </c>
      <c r="Q1017" s="312">
        <v>0</v>
      </c>
      <c r="R1017" s="312">
        <v>2966.7298782576968</v>
      </c>
      <c r="S1017" s="312">
        <v>2725.151087321753</v>
      </c>
      <c r="T1017" s="312">
        <v>1526.0846089001818</v>
      </c>
      <c r="U1017" s="312">
        <v>18670.892012203909</v>
      </c>
      <c r="V1017" s="312">
        <v>79738.904808873631</v>
      </c>
      <c r="W1017" s="312">
        <v>3189.51683260138</v>
      </c>
      <c r="X1017" s="312">
        <v>0</v>
      </c>
      <c r="Y1017" s="312">
        <v>54104.442272649176</v>
      </c>
      <c r="Z1017" s="312">
        <v>29379.806321933593</v>
      </c>
      <c r="AA1017" s="312">
        <v>131538.06192788779</v>
      </c>
      <c r="AB1017" s="312">
        <v>218331.72957637423</v>
      </c>
      <c r="AC1017" s="312">
        <v>8223.6970267533943</v>
      </c>
      <c r="AD1017" s="312">
        <v>192282.26790086957</v>
      </c>
      <c r="AE1017" s="312">
        <v>20049.424649783374</v>
      </c>
      <c r="AF1017" s="312">
        <v>35135.293247807545</v>
      </c>
      <c r="AG1017" s="312">
        <v>126864.76942444665</v>
      </c>
      <c r="AH1017" s="312">
        <v>79095.161080333259</v>
      </c>
      <c r="AI1017" s="312">
        <v>131366.43837214503</v>
      </c>
      <c r="AJ1017" s="312">
        <v>5018.7631433230545</v>
      </c>
      <c r="AK1017" s="312">
        <v>52896.47383842511</v>
      </c>
      <c r="AL1017" s="312">
        <v>1233783.8859618751</v>
      </c>
      <c r="AM1017" s="312">
        <v>71644.186674832847</v>
      </c>
      <c r="AN1017" s="312">
        <v>11534.708255089499</v>
      </c>
      <c r="AO1017" s="312">
        <v>65673.433927904247</v>
      </c>
      <c r="AP1017" s="312">
        <v>17037.92429285216</v>
      </c>
      <c r="AQ1017" s="312">
        <v>12917.039090978151</v>
      </c>
      <c r="AR1017" s="312">
        <v>9894.0816722596592</v>
      </c>
      <c r="AS1017" s="70"/>
    </row>
    <row r="1018" spans="1:45" x14ac:dyDescent="0.3">
      <c r="A1018" s="185">
        <v>1954</v>
      </c>
      <c r="B1018" s="312">
        <v>0</v>
      </c>
      <c r="C1018" s="312">
        <v>20885.572829841971</v>
      </c>
      <c r="D1018" s="312">
        <v>17749.505984901254</v>
      </c>
      <c r="E1018" s="312">
        <v>40903.871503353854</v>
      </c>
      <c r="F1018" s="312">
        <v>14972.179076730688</v>
      </c>
      <c r="G1018" s="312">
        <v>14678.906168975662</v>
      </c>
      <c r="H1018" s="312">
        <v>8767.0795655808779</v>
      </c>
      <c r="I1018" s="312">
        <v>37687.882554218748</v>
      </c>
      <c r="J1018" s="312">
        <v>0</v>
      </c>
      <c r="K1018" s="312">
        <v>38526.791878400378</v>
      </c>
      <c r="L1018" s="312">
        <v>50864.608982481099</v>
      </c>
      <c r="M1018" s="312">
        <v>0</v>
      </c>
      <c r="N1018" s="312">
        <v>44800.806728743286</v>
      </c>
      <c r="O1018" s="312">
        <v>3003.5186815841921</v>
      </c>
      <c r="P1018" s="312">
        <v>8724.5066465064647</v>
      </c>
      <c r="Q1018" s="312">
        <v>0</v>
      </c>
      <c r="R1018" s="312">
        <v>2574.4445842150221</v>
      </c>
      <c r="S1018" s="312">
        <v>2601.8382683360242</v>
      </c>
      <c r="T1018" s="312">
        <v>1457.0294302681734</v>
      </c>
      <c r="U1018" s="312">
        <v>14865.613473855712</v>
      </c>
      <c r="V1018" s="312">
        <v>82637.939711227271</v>
      </c>
      <c r="W1018" s="312">
        <v>3045.1915092604827</v>
      </c>
      <c r="X1018" s="312">
        <v>0</v>
      </c>
      <c r="Y1018" s="312">
        <v>49351.478948277261</v>
      </c>
      <c r="Z1018" s="312">
        <v>25782.044891257421</v>
      </c>
      <c r="AA1018" s="312">
        <v>132144.43219934203</v>
      </c>
      <c r="AB1018" s="312">
        <v>218331.72957637423</v>
      </c>
      <c r="AC1018" s="312">
        <v>7106.2342593651938</v>
      </c>
      <c r="AD1018" s="312">
        <v>164069.57142127567</v>
      </c>
      <c r="AE1018" s="312">
        <v>15337.63126476381</v>
      </c>
      <c r="AF1018" s="312">
        <v>27995.61491290131</v>
      </c>
      <c r="AG1018" s="312">
        <v>88728.553675821007</v>
      </c>
      <c r="AH1018" s="312">
        <v>50562.703773870497</v>
      </c>
      <c r="AI1018" s="312">
        <v>84675.699019481515</v>
      </c>
      <c r="AJ1018" s="312">
        <v>3550.4651217088817</v>
      </c>
      <c r="AK1018" s="312">
        <v>34096.034682447847</v>
      </c>
      <c r="AL1018" s="312">
        <v>1172637.6162530358</v>
      </c>
      <c r="AM1018" s="312">
        <v>54882.375626324538</v>
      </c>
      <c r="AN1018" s="312">
        <v>14504.309351716234</v>
      </c>
      <c r="AO1018" s="312">
        <v>62870.912924099561</v>
      </c>
      <c r="AP1018" s="312">
        <v>17667.512137331047</v>
      </c>
      <c r="AQ1018" s="312">
        <v>10586.994279617687</v>
      </c>
      <c r="AR1018" s="312">
        <v>10225.340754856172</v>
      </c>
      <c r="AS1018" s="70"/>
    </row>
    <row r="1019" spans="1:45" x14ac:dyDescent="0.3">
      <c r="A1019" s="185">
        <v>1955</v>
      </c>
      <c r="B1019" s="312">
        <v>0</v>
      </c>
      <c r="C1019" s="312">
        <v>20885.572829841971</v>
      </c>
      <c r="D1019" s="312">
        <v>17749.505984901254</v>
      </c>
      <c r="E1019" s="312">
        <v>40903.871503353854</v>
      </c>
      <c r="F1019" s="312">
        <v>14972.179076730688</v>
      </c>
      <c r="G1019" s="312">
        <v>14678.906168975662</v>
      </c>
      <c r="H1019" s="312">
        <v>8767.0795655808761</v>
      </c>
      <c r="I1019" s="312">
        <v>30038.899322673886</v>
      </c>
      <c r="J1019" s="312">
        <v>0</v>
      </c>
      <c r="K1019" s="312">
        <v>38461.985560358276</v>
      </c>
      <c r="L1019" s="312">
        <v>50864.608982481099</v>
      </c>
      <c r="M1019" s="312">
        <v>0</v>
      </c>
      <c r="N1019" s="312">
        <v>42664.595758329255</v>
      </c>
      <c r="O1019" s="312">
        <v>2805.0371993067656</v>
      </c>
      <c r="P1019" s="312">
        <v>8147.9651979863183</v>
      </c>
      <c r="Q1019" s="312">
        <v>0</v>
      </c>
      <c r="R1019" s="312">
        <v>2404.3175994057992</v>
      </c>
      <c r="S1019" s="312">
        <v>2505.1690434714928</v>
      </c>
      <c r="T1019" s="312">
        <v>1402.8946643440358</v>
      </c>
      <c r="U1019" s="312">
        <v>13662.861263928147</v>
      </c>
      <c r="V1019" s="312">
        <v>32391.266451090676</v>
      </c>
      <c r="W1019" s="312">
        <v>2932.0498484790351</v>
      </c>
      <c r="X1019" s="312">
        <v>0</v>
      </c>
      <c r="Y1019" s="312">
        <v>24160.610614224242</v>
      </c>
      <c r="Z1019" s="312">
        <v>15197.864518637633</v>
      </c>
      <c r="AA1019" s="312">
        <v>141571.17785464268</v>
      </c>
      <c r="AB1019" s="312">
        <v>218220.6222890598</v>
      </c>
      <c r="AC1019" s="312">
        <v>6658.1376792917372</v>
      </c>
      <c r="AD1019" s="312">
        <v>122588.19196082684</v>
      </c>
      <c r="AE1019" s="312">
        <v>9935.1392192966377</v>
      </c>
      <c r="AF1019" s="312">
        <v>11800.345974132395</v>
      </c>
      <c r="AG1019" s="312">
        <v>46841.792568070508</v>
      </c>
      <c r="AH1019" s="312">
        <v>31495.488551265189</v>
      </c>
      <c r="AI1019" s="312">
        <v>43443.13714993959</v>
      </c>
      <c r="AJ1019" s="312">
        <v>2168.5517272343886</v>
      </c>
      <c r="AK1019" s="312">
        <v>17514.89520373127</v>
      </c>
      <c r="AL1019" s="312">
        <v>509834.17147871212</v>
      </c>
      <c r="AM1019" s="312">
        <v>36355.846042262921</v>
      </c>
      <c r="AN1019" s="312">
        <v>8061.622822724873</v>
      </c>
      <c r="AO1019" s="312">
        <v>27784.364080834031</v>
      </c>
      <c r="AP1019" s="312">
        <v>6925.6968144580296</v>
      </c>
      <c r="AQ1019" s="312">
        <v>4921.472536102232</v>
      </c>
      <c r="AR1019" s="312">
        <v>4012.1569645809932</v>
      </c>
      <c r="AS1019" s="70"/>
    </row>
    <row r="1020" spans="1:45" x14ac:dyDescent="0.3">
      <c r="A1020" s="185">
        <v>1956</v>
      </c>
      <c r="B1020" s="312">
        <v>0</v>
      </c>
      <c r="C1020" s="312">
        <v>20840.76429007862</v>
      </c>
      <c r="D1020" s="312">
        <v>17723.856033604883</v>
      </c>
      <c r="E1020" s="312">
        <v>40843.459166025335</v>
      </c>
      <c r="F1020" s="312">
        <v>14947.155299810458</v>
      </c>
      <c r="G1020" s="312">
        <v>14647.079232576865</v>
      </c>
      <c r="H1020" s="312">
        <v>8760.5246116185008</v>
      </c>
      <c r="I1020" s="312">
        <v>32188.207591373419</v>
      </c>
      <c r="J1020" s="312">
        <v>0</v>
      </c>
      <c r="K1020" s="312">
        <v>38465.646153932801</v>
      </c>
      <c r="L1020" s="312">
        <v>50799.292067579467</v>
      </c>
      <c r="M1020" s="312">
        <v>0</v>
      </c>
      <c r="N1020" s="312">
        <v>26619.34224788527</v>
      </c>
      <c r="O1020" s="312">
        <v>3378.4671782670885</v>
      </c>
      <c r="P1020" s="312">
        <v>9813.6427559186868</v>
      </c>
      <c r="Q1020" s="312">
        <v>0</v>
      </c>
      <c r="R1020" s="312">
        <v>2895.8290099432188</v>
      </c>
      <c r="S1020" s="312">
        <v>2614.7981004443345</v>
      </c>
      <c r="T1020" s="312">
        <v>1464.2869362488275</v>
      </c>
      <c r="U1020" s="312">
        <v>19363.97174380664</v>
      </c>
      <c r="V1020" s="312">
        <v>116045.85665713143</v>
      </c>
      <c r="W1020" s="312">
        <v>3060.3596967600492</v>
      </c>
      <c r="X1020" s="312">
        <v>0</v>
      </c>
      <c r="Y1020" s="312">
        <v>58468.234048079139</v>
      </c>
      <c r="Z1020" s="312">
        <v>28564.651723831579</v>
      </c>
      <c r="AA1020" s="312">
        <v>130687.30214183398</v>
      </c>
      <c r="AB1020" s="312">
        <v>217865.55822312256</v>
      </c>
      <c r="AC1020" s="312">
        <v>8060.3369362744506</v>
      </c>
      <c r="AD1020" s="312">
        <v>202246.09276376784</v>
      </c>
      <c r="AE1020" s="312">
        <v>12807.461999115703</v>
      </c>
      <c r="AF1020" s="312">
        <v>35695.355609014667</v>
      </c>
      <c r="AG1020" s="312">
        <v>80121.054019375384</v>
      </c>
      <c r="AH1020" s="312">
        <v>29655.485915524481</v>
      </c>
      <c r="AI1020" s="312">
        <v>74745.062425642565</v>
      </c>
      <c r="AJ1020" s="312">
        <v>2578.9321958999535</v>
      </c>
      <c r="AK1020" s="312">
        <v>29753.676036853994</v>
      </c>
      <c r="AL1020" s="312">
        <v>1613933.8103284084</v>
      </c>
      <c r="AM1020" s="312">
        <v>43935.863269561385</v>
      </c>
      <c r="AN1020" s="312">
        <v>21931.172764767482</v>
      </c>
      <c r="AO1020" s="312">
        <v>84328.41652298547</v>
      </c>
      <c r="AP1020" s="312">
        <v>30208.632681447954</v>
      </c>
      <c r="AQ1020" s="312">
        <v>11378.152680585548</v>
      </c>
      <c r="AR1020" s="312">
        <v>14528.997343267269</v>
      </c>
      <c r="AS1020" s="70"/>
    </row>
    <row r="1021" spans="1:45" x14ac:dyDescent="0.3">
      <c r="A1021" s="185">
        <v>1957</v>
      </c>
      <c r="B1021" s="312">
        <v>0</v>
      </c>
      <c r="C1021" s="312">
        <v>20885.572829841971</v>
      </c>
      <c r="D1021" s="312">
        <v>17749.50598490125</v>
      </c>
      <c r="E1021" s="312">
        <v>40903.871503353846</v>
      </c>
      <c r="F1021" s="312">
        <v>14972.179076730688</v>
      </c>
      <c r="G1021" s="312">
        <v>14678.906168975662</v>
      </c>
      <c r="H1021" s="312">
        <v>8767.0795655808761</v>
      </c>
      <c r="I1021" s="312">
        <v>35579.57592597101</v>
      </c>
      <c r="J1021" s="312">
        <v>0</v>
      </c>
      <c r="K1021" s="312">
        <v>38526.791878400378</v>
      </c>
      <c r="L1021" s="312">
        <v>50864.608982481099</v>
      </c>
      <c r="M1021" s="312">
        <v>0</v>
      </c>
      <c r="N1021" s="312">
        <v>44376.457450010588</v>
      </c>
      <c r="O1021" s="312">
        <v>2699.8739759871255</v>
      </c>
      <c r="P1021" s="312">
        <v>7842.4910731054597</v>
      </c>
      <c r="Q1021" s="312">
        <v>0</v>
      </c>
      <c r="R1021" s="312">
        <v>2314.1776937032505</v>
      </c>
      <c r="S1021" s="312">
        <v>2719.6091713267629</v>
      </c>
      <c r="T1021" s="312">
        <v>1522.9811359429871</v>
      </c>
      <c r="U1021" s="312">
        <v>13188.301517590795</v>
      </c>
      <c r="V1021" s="312">
        <v>65726.586097556734</v>
      </c>
      <c r="W1021" s="312">
        <v>3183.0305741208435</v>
      </c>
      <c r="X1021" s="312">
        <v>0</v>
      </c>
      <c r="Y1021" s="312">
        <v>48143.79343375023</v>
      </c>
      <c r="Z1021" s="312">
        <v>27983.162283086425</v>
      </c>
      <c r="AA1021" s="312">
        <v>134436.28044821392</v>
      </c>
      <c r="AB1021" s="312">
        <v>218331.72957637423</v>
      </c>
      <c r="AC1021" s="312">
        <v>6380.6021959215213</v>
      </c>
      <c r="AD1021" s="312">
        <v>156798.77128665833</v>
      </c>
      <c r="AE1021" s="312">
        <v>19689.625314251116</v>
      </c>
      <c r="AF1021" s="312">
        <v>31165.649761558994</v>
      </c>
      <c r="AG1021" s="312">
        <v>119785.59045699566</v>
      </c>
      <c r="AH1021" s="312">
        <v>80605.386800211287</v>
      </c>
      <c r="AI1021" s="312">
        <v>123262.36586874911</v>
      </c>
      <c r="AJ1021" s="312">
        <v>4931.743206955839</v>
      </c>
      <c r="AK1021" s="312">
        <v>49172.877455938142</v>
      </c>
      <c r="AL1021" s="312">
        <v>1063380.1936546201</v>
      </c>
      <c r="AM1021" s="312">
        <v>73312.821530900779</v>
      </c>
      <c r="AN1021" s="312">
        <v>10599.93425263497</v>
      </c>
      <c r="AO1021" s="312">
        <v>56610.072523343653</v>
      </c>
      <c r="AP1021" s="312">
        <v>14078.978523296384</v>
      </c>
      <c r="AQ1021" s="312">
        <v>11604.568257468376</v>
      </c>
      <c r="AR1021" s="312">
        <v>8138.4108073410371</v>
      </c>
      <c r="AS1021" s="70"/>
    </row>
    <row r="1022" spans="1:45" x14ac:dyDescent="0.3">
      <c r="A1022" s="185">
        <v>1958</v>
      </c>
      <c r="B1022" s="312">
        <v>0</v>
      </c>
      <c r="C1022" s="312">
        <v>20885.572829841971</v>
      </c>
      <c r="D1022" s="312">
        <v>17749.505984901254</v>
      </c>
      <c r="E1022" s="312">
        <v>40903.871503353854</v>
      </c>
      <c r="F1022" s="312">
        <v>14972.179076730688</v>
      </c>
      <c r="G1022" s="312">
        <v>14678.906168975262</v>
      </c>
      <c r="H1022" s="312">
        <v>8767.0795655808761</v>
      </c>
      <c r="I1022" s="312">
        <v>37240.58675057134</v>
      </c>
      <c r="J1022" s="312">
        <v>0</v>
      </c>
      <c r="K1022" s="312">
        <v>38526.791878400378</v>
      </c>
      <c r="L1022" s="312">
        <v>50864.608982481099</v>
      </c>
      <c r="M1022" s="312">
        <v>0</v>
      </c>
      <c r="N1022" s="312">
        <v>44261.6977982557</v>
      </c>
      <c r="O1022" s="312">
        <v>3362.9576505912078</v>
      </c>
      <c r="P1022" s="312">
        <v>9768.5912707649368</v>
      </c>
      <c r="Q1022" s="312">
        <v>0</v>
      </c>
      <c r="R1022" s="312">
        <v>2882.5351290781782</v>
      </c>
      <c r="S1022" s="312">
        <v>2623.8749207827987</v>
      </c>
      <c r="T1022" s="312">
        <v>1469.3699556383672</v>
      </c>
      <c r="U1022" s="312">
        <v>19274.555176893467</v>
      </c>
      <c r="V1022" s="312">
        <v>134446.65418732789</v>
      </c>
      <c r="W1022" s="312">
        <v>3070.9832072841878</v>
      </c>
      <c r="X1022" s="312">
        <v>0</v>
      </c>
      <c r="Y1022" s="312">
        <v>70272.74890786827</v>
      </c>
      <c r="Z1022" s="312">
        <v>34403.828247673337</v>
      </c>
      <c r="AA1022" s="312">
        <v>127437.10655532981</v>
      </c>
      <c r="AB1022" s="312">
        <v>218331.72957637423</v>
      </c>
      <c r="AC1022" s="312">
        <v>8024.5486421508303</v>
      </c>
      <c r="AD1022" s="312">
        <v>207749.5210726822</v>
      </c>
      <c r="AE1022" s="312">
        <v>16616.256423232353</v>
      </c>
      <c r="AF1022" s="312">
        <v>40801.22017161503</v>
      </c>
      <c r="AG1022" s="312">
        <v>96682.396827446762</v>
      </c>
      <c r="AH1022" s="312">
        <v>36443.084982908418</v>
      </c>
      <c r="AI1022" s="312">
        <v>90005.309131207934</v>
      </c>
      <c r="AJ1022" s="312">
        <v>3312.3719223548655</v>
      </c>
      <c r="AK1022" s="312">
        <v>36575.910609283143</v>
      </c>
      <c r="AL1022" s="312">
        <v>1970237.6273518738</v>
      </c>
      <c r="AM1022" s="312">
        <v>55059.867790018048</v>
      </c>
      <c r="AN1022" s="312">
        <v>25100.104844926373</v>
      </c>
      <c r="AO1022" s="312">
        <v>97949.302587473765</v>
      </c>
      <c r="AP1022" s="312">
        <v>34313.607149557109</v>
      </c>
      <c r="AQ1022" s="312">
        <v>13543.614063626861</v>
      </c>
      <c r="AR1022" s="312">
        <v>16845.368531249605</v>
      </c>
      <c r="AS1022" s="70"/>
    </row>
    <row r="1023" spans="1:45" x14ac:dyDescent="0.3">
      <c r="A1023" s="185">
        <v>1959</v>
      </c>
      <c r="B1023" s="312">
        <v>0</v>
      </c>
      <c r="C1023" s="312">
        <v>20885.572829841971</v>
      </c>
      <c r="D1023" s="312">
        <v>17749.505984901254</v>
      </c>
      <c r="E1023" s="312">
        <v>40903.871503353854</v>
      </c>
      <c r="F1023" s="312">
        <v>14972.179076730688</v>
      </c>
      <c r="G1023" s="312">
        <v>14678.906168975775</v>
      </c>
      <c r="H1023" s="312">
        <v>8767.0795655808106</v>
      </c>
      <c r="I1023" s="312">
        <v>34351.406408582625</v>
      </c>
      <c r="J1023" s="312">
        <v>0</v>
      </c>
      <c r="K1023" s="312">
        <v>38526.791878400378</v>
      </c>
      <c r="L1023" s="312">
        <v>50864.608982481099</v>
      </c>
      <c r="M1023" s="312">
        <v>0</v>
      </c>
      <c r="N1023" s="312">
        <v>44376.457450010595</v>
      </c>
      <c r="O1023" s="312">
        <v>3314.3174209534782</v>
      </c>
      <c r="P1023" s="312">
        <v>9627.3029846743902</v>
      </c>
      <c r="Q1023" s="312">
        <v>0</v>
      </c>
      <c r="R1023" s="312">
        <v>2840.8435036744095</v>
      </c>
      <c r="S1023" s="312">
        <v>2654.3332200442496</v>
      </c>
      <c r="T1023" s="312">
        <v>1486.4266032247795</v>
      </c>
      <c r="U1023" s="312">
        <v>16826.986249099169</v>
      </c>
      <c r="V1023" s="312">
        <v>60007.359291482731</v>
      </c>
      <c r="W1023" s="312">
        <v>3106.6316007397895</v>
      </c>
      <c r="X1023" s="312">
        <v>0</v>
      </c>
      <c r="Y1023" s="312">
        <v>47207.226853350963</v>
      </c>
      <c r="Z1023" s="312">
        <v>28272.01763413944</v>
      </c>
      <c r="AA1023" s="312">
        <v>134436.28044821377</v>
      </c>
      <c r="AB1023" s="312">
        <v>206319.29007026329</v>
      </c>
      <c r="AC1023" s="312">
        <v>7868.1383197577152</v>
      </c>
      <c r="AD1023" s="312">
        <v>176865.67917473771</v>
      </c>
      <c r="AE1023" s="312">
        <v>20464.026515640347</v>
      </c>
      <c r="AF1023" s="312">
        <v>30717.676830500128</v>
      </c>
      <c r="AG1023" s="312">
        <v>123094.41428429722</v>
      </c>
      <c r="AH1023" s="312">
        <v>83592.262710634124</v>
      </c>
      <c r="AI1023" s="312">
        <v>127476.14927321523</v>
      </c>
      <c r="AJ1023" s="312">
        <v>5127.7248632202636</v>
      </c>
      <c r="AK1023" s="312">
        <v>50914.978850960768</v>
      </c>
      <c r="AL1023" s="312">
        <v>1015793.6400584881</v>
      </c>
      <c r="AM1023" s="312">
        <v>75518.682232843756</v>
      </c>
      <c r="AN1023" s="312">
        <v>9687.8886983180637</v>
      </c>
      <c r="AO1023" s="312">
        <v>53837.371688584957</v>
      </c>
      <c r="AP1023" s="312">
        <v>12848.904186860618</v>
      </c>
      <c r="AQ1023" s="312">
        <v>11489.308424945153</v>
      </c>
      <c r="AR1023" s="312">
        <v>7427.3613333385883</v>
      </c>
      <c r="AS1023" s="70"/>
    </row>
    <row r="1024" spans="1:45" collapsed="1" x14ac:dyDescent="0.3">
      <c r="A1024" s="185">
        <v>1960</v>
      </c>
      <c r="B1024" s="312">
        <v>0</v>
      </c>
      <c r="C1024" s="312">
        <v>20840.764290078623</v>
      </c>
      <c r="D1024" s="312">
        <v>17705.052100703822</v>
      </c>
      <c r="E1024" s="312">
        <v>40843.459166025335</v>
      </c>
      <c r="F1024" s="312">
        <v>14947.155299810458</v>
      </c>
      <c r="G1024" s="312">
        <v>14647.079232576865</v>
      </c>
      <c r="H1024" s="312">
        <v>8760.5246116185008</v>
      </c>
      <c r="I1024" s="312">
        <v>30656.985128562188</v>
      </c>
      <c r="J1024" s="312">
        <v>0</v>
      </c>
      <c r="K1024" s="312">
        <v>38204.320807230477</v>
      </c>
      <c r="L1024" s="312">
        <v>50799.292067579467</v>
      </c>
      <c r="M1024" s="312">
        <v>0</v>
      </c>
      <c r="N1024" s="312">
        <v>40199.05017928814</v>
      </c>
      <c r="O1024" s="312">
        <v>2648.9855791060891</v>
      </c>
      <c r="P1024" s="312">
        <v>7694.6723964510202</v>
      </c>
      <c r="Q1024" s="312">
        <v>0</v>
      </c>
      <c r="R1024" s="312">
        <v>2270.559067805219</v>
      </c>
      <c r="S1024" s="312">
        <v>1461.5297380064226</v>
      </c>
      <c r="T1024" s="312">
        <v>818.45665328359667</v>
      </c>
      <c r="U1024" s="312">
        <v>10433.166866530823</v>
      </c>
      <c r="V1024" s="312">
        <v>70327.721542228013</v>
      </c>
      <c r="W1024" s="312">
        <v>1710.5744053627172</v>
      </c>
      <c r="X1024" s="312">
        <v>0</v>
      </c>
      <c r="Y1024" s="312">
        <v>41545.657645415486</v>
      </c>
      <c r="Z1024" s="312">
        <v>21468.361551688191</v>
      </c>
      <c r="AA1024" s="312">
        <v>142108.26067849304</v>
      </c>
      <c r="AB1024" s="312">
        <v>188266.28160019903</v>
      </c>
      <c r="AC1024" s="312">
        <v>6265.1864206803748</v>
      </c>
      <c r="AD1024" s="312">
        <v>142780.23470093537</v>
      </c>
      <c r="AE1024" s="312">
        <v>12700.564013165071</v>
      </c>
      <c r="AF1024" s="312">
        <v>23736.71585482125</v>
      </c>
      <c r="AG1024" s="312">
        <v>74700.18281473266</v>
      </c>
      <c r="AH1024" s="312">
        <v>42825.759790393204</v>
      </c>
      <c r="AI1024" s="312">
        <v>71291.566152571671</v>
      </c>
      <c r="AJ1024" s="312">
        <v>2962.4301636556106</v>
      </c>
      <c r="AK1024" s="312">
        <v>28740.672883890111</v>
      </c>
      <c r="AL1024" s="312">
        <v>992372.0814294921</v>
      </c>
      <c r="AM1024" s="312">
        <v>46143.2512589408</v>
      </c>
      <c r="AN1024" s="312">
        <v>12181.985182245189</v>
      </c>
      <c r="AO1024" s="312">
        <v>53332.423441801831</v>
      </c>
      <c r="AP1024" s="312">
        <v>10288.411372276048</v>
      </c>
      <c r="AQ1024" s="312">
        <v>8981.4139999957242</v>
      </c>
      <c r="AR1024" s="312">
        <v>8709.2878410636276</v>
      </c>
      <c r="AS1024" s="70"/>
    </row>
    <row r="1025" spans="1:45" x14ac:dyDescent="0.3">
      <c r="A1025" s="185">
        <v>1961</v>
      </c>
      <c r="B1025" s="312">
        <v>0</v>
      </c>
      <c r="C1025" s="312">
        <v>20885.572829841971</v>
      </c>
      <c r="D1025" s="312">
        <v>17749.505984901254</v>
      </c>
      <c r="E1025" s="312">
        <v>40903.871503353854</v>
      </c>
      <c r="F1025" s="312">
        <v>14972.17907673069</v>
      </c>
      <c r="G1025" s="312">
        <v>14678.906168975662</v>
      </c>
      <c r="H1025" s="312">
        <v>8767.0795655808779</v>
      </c>
      <c r="I1025" s="312">
        <v>25790.329960689018</v>
      </c>
      <c r="J1025" s="312">
        <v>0</v>
      </c>
      <c r="K1025" s="312">
        <v>38526.791878400378</v>
      </c>
      <c r="L1025" s="312">
        <v>50864.608982481099</v>
      </c>
      <c r="M1025" s="312">
        <v>0</v>
      </c>
      <c r="N1025" s="312">
        <v>22801.766734312401</v>
      </c>
      <c r="O1025" s="312">
        <v>2660.3169764413669</v>
      </c>
      <c r="P1025" s="312">
        <v>7727.5874077582557</v>
      </c>
      <c r="Q1025" s="312">
        <v>0</v>
      </c>
      <c r="R1025" s="312">
        <v>2280.2716940926002</v>
      </c>
      <c r="S1025" s="312">
        <v>952.60858615676386</v>
      </c>
      <c r="T1025" s="312">
        <v>533.46080824778778</v>
      </c>
      <c r="U1025" s="312">
        <v>12636.582289844195</v>
      </c>
      <c r="V1025" s="312">
        <v>36780.923199115168</v>
      </c>
      <c r="W1025" s="312">
        <v>1114.9330892378764</v>
      </c>
      <c r="X1025" s="312">
        <v>0</v>
      </c>
      <c r="Y1025" s="312">
        <v>19828.361553728224</v>
      </c>
      <c r="Z1025" s="312">
        <v>9738.7382587463071</v>
      </c>
      <c r="AA1025" s="312">
        <v>146810.55151104127</v>
      </c>
      <c r="AB1025" s="312">
        <v>185581.97013991809</v>
      </c>
      <c r="AC1025" s="312">
        <v>6324.5458854488397</v>
      </c>
      <c r="AD1025" s="312">
        <v>118589.11839929294</v>
      </c>
      <c r="AE1025" s="312">
        <v>5791.4638313275673</v>
      </c>
      <c r="AF1025" s="312">
        <v>12455.937132782585</v>
      </c>
      <c r="AG1025" s="312">
        <v>37357.951352279386</v>
      </c>
      <c r="AH1025" s="312">
        <v>22580.055686450447</v>
      </c>
      <c r="AI1025" s="312">
        <v>37793.78625640033</v>
      </c>
      <c r="AJ1025" s="312">
        <v>1379.4597390128374</v>
      </c>
      <c r="AK1025" s="312">
        <v>15245.858988111288</v>
      </c>
      <c r="AL1025" s="312">
        <v>496566.89757762768</v>
      </c>
      <c r="AM1025" s="312">
        <v>22851.093458773077</v>
      </c>
      <c r="AN1025" s="312">
        <v>6116.5422681562195</v>
      </c>
      <c r="AO1025" s="312">
        <v>27308.874159837927</v>
      </c>
      <c r="AP1025" s="312">
        <v>7865.3962742427329</v>
      </c>
      <c r="AQ1025" s="312">
        <v>4567.3827461587898</v>
      </c>
      <c r="AR1025" s="312">
        <v>4556.5385384780047</v>
      </c>
      <c r="AS1025" s="70"/>
    </row>
    <row r="1026" spans="1:45" x14ac:dyDescent="0.3">
      <c r="A1026" s="185">
        <v>1962</v>
      </c>
      <c r="B1026" s="312">
        <v>0</v>
      </c>
      <c r="C1026" s="312">
        <v>20885.572829841971</v>
      </c>
      <c r="D1026" s="312">
        <v>17749.50598490125</v>
      </c>
      <c r="E1026" s="312">
        <v>40903.871503353854</v>
      </c>
      <c r="F1026" s="312">
        <v>14972.179076730688</v>
      </c>
      <c r="G1026" s="312">
        <v>14678.906168975662</v>
      </c>
      <c r="H1026" s="312">
        <v>8767.0795655808761</v>
      </c>
      <c r="I1026" s="312">
        <v>29794.5038671599</v>
      </c>
      <c r="J1026" s="312">
        <v>0</v>
      </c>
      <c r="K1026" s="312">
        <v>38526.791878400378</v>
      </c>
      <c r="L1026" s="312">
        <v>50864.608982481099</v>
      </c>
      <c r="M1026" s="312">
        <v>0</v>
      </c>
      <c r="N1026" s="312">
        <v>22786.877426367693</v>
      </c>
      <c r="O1026" s="312">
        <v>2604.4623171399066</v>
      </c>
      <c r="P1026" s="312">
        <v>7565.342921215919</v>
      </c>
      <c r="Q1026" s="312">
        <v>0</v>
      </c>
      <c r="R1026" s="312">
        <v>2232.3962718342054</v>
      </c>
      <c r="S1026" s="312">
        <v>2587.6439083101759</v>
      </c>
      <c r="T1026" s="312">
        <v>1449.0805886536984</v>
      </c>
      <c r="U1026" s="312">
        <v>11932.73296601842</v>
      </c>
      <c r="V1026" s="312">
        <v>76977.752673686758</v>
      </c>
      <c r="W1026" s="312">
        <v>3028.5784302862303</v>
      </c>
      <c r="X1026" s="312">
        <v>0</v>
      </c>
      <c r="Y1026" s="312">
        <v>42207.391819938683</v>
      </c>
      <c r="Z1026" s="312">
        <v>19813.928225352498</v>
      </c>
      <c r="AA1026" s="312">
        <v>139925.0753916495</v>
      </c>
      <c r="AB1026" s="312">
        <v>212782.20423288876</v>
      </c>
      <c r="AC1026" s="312">
        <v>6185.1551425462421</v>
      </c>
      <c r="AD1026" s="312">
        <v>144854.42221167343</v>
      </c>
      <c r="AE1026" s="312">
        <v>10969.462165540808</v>
      </c>
      <c r="AF1026" s="312">
        <v>25276.529365848732</v>
      </c>
      <c r="AG1026" s="312">
        <v>72425.108033018449</v>
      </c>
      <c r="AH1026" s="312">
        <v>36691.410882435674</v>
      </c>
      <c r="AI1026" s="312">
        <v>69863.836375294981</v>
      </c>
      <c r="AJ1026" s="312">
        <v>2659.7965774649942</v>
      </c>
      <c r="AK1026" s="312">
        <v>28155.51579859286</v>
      </c>
      <c r="AL1026" s="312">
        <v>1055527.0440593138</v>
      </c>
      <c r="AM1026" s="312">
        <v>38336.480255293682</v>
      </c>
      <c r="AN1026" s="312">
        <v>11440.975205784989</v>
      </c>
      <c r="AO1026" s="312">
        <v>56117.170344351638</v>
      </c>
      <c r="AP1026" s="312">
        <v>16502.430677097243</v>
      </c>
      <c r="AQ1026" s="312">
        <v>9260.4903708751954</v>
      </c>
      <c r="AR1026" s="312">
        <v>9525.7490906082603</v>
      </c>
      <c r="AS1026" s="70"/>
    </row>
    <row r="1027" spans="1:45" x14ac:dyDescent="0.3">
      <c r="A1027" s="185">
        <v>1963</v>
      </c>
      <c r="B1027" s="312">
        <v>0</v>
      </c>
      <c r="C1027" s="312">
        <v>20885.572829841971</v>
      </c>
      <c r="D1027" s="312">
        <v>17749.505984901254</v>
      </c>
      <c r="E1027" s="312">
        <v>40903.871503353854</v>
      </c>
      <c r="F1027" s="312">
        <v>14972.179076730688</v>
      </c>
      <c r="G1027" s="312">
        <v>14678.906168975664</v>
      </c>
      <c r="H1027" s="312">
        <v>8767.0795655808779</v>
      </c>
      <c r="I1027" s="312">
        <v>37240.438295467888</v>
      </c>
      <c r="J1027" s="312">
        <v>0</v>
      </c>
      <c r="K1027" s="312">
        <v>38526.791878400378</v>
      </c>
      <c r="L1027" s="312">
        <v>50864.608982481099</v>
      </c>
      <c r="M1027" s="312">
        <v>0</v>
      </c>
      <c r="N1027" s="312">
        <v>44261.697798255693</v>
      </c>
      <c r="O1027" s="312">
        <v>3362.2996238765136</v>
      </c>
      <c r="P1027" s="312">
        <v>9766.6798598317782</v>
      </c>
      <c r="Q1027" s="312">
        <v>0</v>
      </c>
      <c r="R1027" s="312">
        <v>2881.9711061798689</v>
      </c>
      <c r="S1027" s="312">
        <v>2667.358609674563</v>
      </c>
      <c r="T1027" s="312">
        <v>1493.7208214177554</v>
      </c>
      <c r="U1027" s="312">
        <v>18725.989275766337</v>
      </c>
      <c r="V1027" s="312">
        <v>76815.163444245511</v>
      </c>
      <c r="W1027" s="312">
        <v>3121.8765167631086</v>
      </c>
      <c r="X1027" s="312">
        <v>0</v>
      </c>
      <c r="Y1027" s="312">
        <v>46180.836929730911</v>
      </c>
      <c r="Z1027" s="312">
        <v>24233.780254108795</v>
      </c>
      <c r="AA1027" s="312">
        <v>128282.4054224157</v>
      </c>
      <c r="AB1027" s="312">
        <v>218331.72957637423</v>
      </c>
      <c r="AC1027" s="312">
        <v>8023.2145418611062</v>
      </c>
      <c r="AD1027" s="312">
        <v>173202.0528611445</v>
      </c>
      <c r="AE1027" s="312">
        <v>14452.992866518305</v>
      </c>
      <c r="AF1027" s="312">
        <v>26077.642912015497</v>
      </c>
      <c r="AG1027" s="312">
        <v>83085.200176357641</v>
      </c>
      <c r="AH1027" s="312">
        <v>47506.897579892771</v>
      </c>
      <c r="AI1027" s="312">
        <v>79130.882973817657</v>
      </c>
      <c r="AJ1027" s="312">
        <v>3340.2797658110003</v>
      </c>
      <c r="AK1027" s="312">
        <v>31887.531173549269</v>
      </c>
      <c r="AL1027" s="312">
        <v>1094688.6996272882</v>
      </c>
      <c r="AM1027" s="312">
        <v>51722.956021759404</v>
      </c>
      <c r="AN1027" s="312">
        <v>13577.012597848388</v>
      </c>
      <c r="AO1027" s="312">
        <v>58661.529328397657</v>
      </c>
      <c r="AP1027" s="312">
        <v>16437.727863458931</v>
      </c>
      <c r="AQ1027" s="312">
        <v>9892.867144967644</v>
      </c>
      <c r="AR1027" s="312">
        <v>9493.4283739108832</v>
      </c>
      <c r="AS1027" s="70"/>
    </row>
    <row r="1028" spans="1:45" x14ac:dyDescent="0.3">
      <c r="A1028" s="185">
        <v>1964</v>
      </c>
      <c r="B1028" s="312">
        <v>0</v>
      </c>
      <c r="C1028" s="312">
        <v>20840.764290078623</v>
      </c>
      <c r="D1028" s="312">
        <v>17723.856033604883</v>
      </c>
      <c r="E1028" s="312">
        <v>40843.459166025335</v>
      </c>
      <c r="F1028" s="312">
        <v>14947.155299810458</v>
      </c>
      <c r="G1028" s="312">
        <v>14647.079232576865</v>
      </c>
      <c r="H1028" s="312">
        <v>8760.5246116185044</v>
      </c>
      <c r="I1028" s="312">
        <v>28707.279974600042</v>
      </c>
      <c r="J1028" s="312">
        <v>0</v>
      </c>
      <c r="K1028" s="312">
        <v>38465.646153932808</v>
      </c>
      <c r="L1028" s="312">
        <v>50799.292067579467</v>
      </c>
      <c r="M1028" s="312">
        <v>0</v>
      </c>
      <c r="N1028" s="312">
        <v>44000.158560418822</v>
      </c>
      <c r="O1028" s="312">
        <v>2687.8414092404414</v>
      </c>
      <c r="P1028" s="312">
        <v>7807.5393316031877</v>
      </c>
      <c r="Q1028" s="312">
        <v>0</v>
      </c>
      <c r="R1028" s="312">
        <v>2303.8640650632356</v>
      </c>
      <c r="S1028" s="312">
        <v>2324.6949739781967</v>
      </c>
      <c r="T1028" s="312">
        <v>1301.8291854277902</v>
      </c>
      <c r="U1028" s="312">
        <v>12836.42959124447</v>
      </c>
      <c r="V1028" s="312">
        <v>82257.604618253303</v>
      </c>
      <c r="W1028" s="312">
        <v>2720.8229975440818</v>
      </c>
      <c r="X1028" s="312">
        <v>0</v>
      </c>
      <c r="Y1028" s="312">
        <v>48865.315114591664</v>
      </c>
      <c r="Z1028" s="312">
        <v>25376.207125820307</v>
      </c>
      <c r="AA1028" s="312">
        <v>139176.49106014028</v>
      </c>
      <c r="AB1028" s="312">
        <v>211811.92195402685</v>
      </c>
      <c r="AC1028" s="312">
        <v>6359.5963109912427</v>
      </c>
      <c r="AD1028" s="312">
        <v>152934.85410704368</v>
      </c>
      <c r="AE1028" s="312">
        <v>15044.217734725367</v>
      </c>
      <c r="AF1028" s="312">
        <v>27791.203776544589</v>
      </c>
      <c r="AG1028" s="312">
        <v>87742.211060193091</v>
      </c>
      <c r="AH1028" s="312">
        <v>49829.124178840902</v>
      </c>
      <c r="AI1028" s="312">
        <v>83892.383052369682</v>
      </c>
      <c r="AJ1028" s="312">
        <v>3496.8311227077138</v>
      </c>
      <c r="AK1028" s="312">
        <v>33793.050258993251</v>
      </c>
      <c r="AL1028" s="312">
        <v>1164405.9145938407</v>
      </c>
      <c r="AM1028" s="312">
        <v>53934.295172782709</v>
      </c>
      <c r="AN1028" s="312">
        <v>14304.175807300486</v>
      </c>
      <c r="AO1028" s="312">
        <v>62479.116479949742</v>
      </c>
      <c r="AP1028" s="312">
        <v>17604.249340267354</v>
      </c>
      <c r="AQ1028" s="312">
        <v>10526.905790156976</v>
      </c>
      <c r="AR1028" s="312">
        <v>10175.891688890746</v>
      </c>
      <c r="AS1028" s="70"/>
    </row>
    <row r="1029" spans="1:45" s="14" customFormat="1" x14ac:dyDescent="0.3">
      <c r="A1029" s="185">
        <v>1965</v>
      </c>
      <c r="B1029" s="312">
        <v>0</v>
      </c>
      <c r="C1029" s="312">
        <v>20885.572829841971</v>
      </c>
      <c r="D1029" s="312">
        <v>17749.50598490125</v>
      </c>
      <c r="E1029" s="312">
        <v>40903.871503353854</v>
      </c>
      <c r="F1029" s="312">
        <v>14972.179076730688</v>
      </c>
      <c r="G1029" s="312">
        <v>14678.906168975662</v>
      </c>
      <c r="H1029" s="312">
        <v>8767.0795655808779</v>
      </c>
      <c r="I1029" s="312">
        <v>32345.740516855927</v>
      </c>
      <c r="J1029" s="312">
        <v>0</v>
      </c>
      <c r="K1029" s="312">
        <v>38526.791878400378</v>
      </c>
      <c r="L1029" s="312">
        <v>50864.608982481099</v>
      </c>
      <c r="M1029" s="312">
        <v>0</v>
      </c>
      <c r="N1029" s="312">
        <v>26662.469726397972</v>
      </c>
      <c r="O1029" s="312">
        <v>3362.2996238765136</v>
      </c>
      <c r="P1029" s="312">
        <v>9766.6798598317782</v>
      </c>
      <c r="Q1029" s="312">
        <v>0</v>
      </c>
      <c r="R1029" s="312">
        <v>2881.9711061798689</v>
      </c>
      <c r="S1029" s="312">
        <v>2651.6014957285865</v>
      </c>
      <c r="T1029" s="312">
        <v>1484.8968376080084</v>
      </c>
      <c r="U1029" s="312">
        <v>18761.092406380834</v>
      </c>
      <c r="V1029" s="312">
        <v>55756.463177741185</v>
      </c>
      <c r="W1029" s="312">
        <v>3103.434390600738</v>
      </c>
      <c r="X1029" s="312">
        <v>0</v>
      </c>
      <c r="Y1029" s="312">
        <v>29641.31637814936</v>
      </c>
      <c r="Z1029" s="312">
        <v>14382.193590842315</v>
      </c>
      <c r="AA1029" s="312">
        <v>131780.01355778475</v>
      </c>
      <c r="AB1029" s="312">
        <v>217092.06748057902</v>
      </c>
      <c r="AC1029" s="312">
        <v>8023.2145418611062</v>
      </c>
      <c r="AD1029" s="312">
        <v>156307.47747077415</v>
      </c>
      <c r="AE1029" s="312">
        <v>8377.5426973891754</v>
      </c>
      <c r="AF1029" s="312">
        <v>18631.779725930024</v>
      </c>
      <c r="AG1029" s="312">
        <v>53991.20201856731</v>
      </c>
      <c r="AH1029" s="312">
        <v>32285.991758990735</v>
      </c>
      <c r="AI1029" s="312">
        <v>52597.386501262343</v>
      </c>
      <c r="AJ1029" s="312">
        <v>2005.3846443452362</v>
      </c>
      <c r="AK1029" s="312">
        <v>20771.003928433547</v>
      </c>
      <c r="AL1029" s="312">
        <v>753474.73435204418</v>
      </c>
      <c r="AM1029" s="312">
        <v>32571.265453740583</v>
      </c>
      <c r="AN1029" s="312">
        <v>9001.650010966765</v>
      </c>
      <c r="AO1029" s="312">
        <v>40502.020649589394</v>
      </c>
      <c r="AP1029" s="312">
        <v>11934.050789091641</v>
      </c>
      <c r="AQ1029" s="312">
        <v>6714.0077086740375</v>
      </c>
      <c r="AR1029" s="312">
        <v>6898.5266052213628</v>
      </c>
      <c r="AS1029" s="70"/>
    </row>
    <row r="1030" spans="1:45" x14ac:dyDescent="0.3">
      <c r="A1030" s="185">
        <v>1966</v>
      </c>
      <c r="B1030" s="312">
        <v>0</v>
      </c>
      <c r="C1030" s="312">
        <v>20885.572829841971</v>
      </c>
      <c r="D1030" s="312">
        <v>17749.505984901254</v>
      </c>
      <c r="E1030" s="312">
        <v>40903.871503353854</v>
      </c>
      <c r="F1030" s="312">
        <v>14972.179076730688</v>
      </c>
      <c r="G1030" s="312">
        <v>14678.906168975662</v>
      </c>
      <c r="H1030" s="312">
        <v>8767.0795655808779</v>
      </c>
      <c r="I1030" s="312">
        <v>36884.149112822903</v>
      </c>
      <c r="J1030" s="312">
        <v>0</v>
      </c>
      <c r="K1030" s="312">
        <v>38526.791878400378</v>
      </c>
      <c r="L1030" s="312">
        <v>50864.608982481099</v>
      </c>
      <c r="M1030" s="312">
        <v>0</v>
      </c>
      <c r="N1030" s="312">
        <v>44376.457450010581</v>
      </c>
      <c r="O1030" s="312">
        <v>3089.8470654772073</v>
      </c>
      <c r="P1030" s="312">
        <v>8975.2700473385539</v>
      </c>
      <c r="Q1030" s="312">
        <v>0</v>
      </c>
      <c r="R1030" s="312">
        <v>2648.4403418376064</v>
      </c>
      <c r="S1030" s="312">
        <v>2705.5821749100646</v>
      </c>
      <c r="T1030" s="312">
        <v>1515.1260179496362</v>
      </c>
      <c r="U1030" s="312">
        <v>15462.109150591481</v>
      </c>
      <c r="V1030" s="312">
        <v>102586.88976823648</v>
      </c>
      <c r="W1030" s="312">
        <v>3166.61337751474</v>
      </c>
      <c r="X1030" s="312">
        <v>0</v>
      </c>
      <c r="Y1030" s="312">
        <v>52273.079668100014</v>
      </c>
      <c r="Z1030" s="312">
        <v>24160.77145807755</v>
      </c>
      <c r="AA1030" s="312">
        <v>134436.28044821377</v>
      </c>
      <c r="AB1030" s="312">
        <v>218331.72957637423</v>
      </c>
      <c r="AC1030" s="312">
        <v>7324.7070809077522</v>
      </c>
      <c r="AD1030" s="312">
        <v>177946.7902491315</v>
      </c>
      <c r="AE1030" s="312">
        <v>12176.46152144744</v>
      </c>
      <c r="AF1030" s="312">
        <v>30199.180615155201</v>
      </c>
      <c r="AG1030" s="312">
        <v>70866.779082646899</v>
      </c>
      <c r="AH1030" s="312">
        <v>31574.951048425704</v>
      </c>
      <c r="AI1030" s="312">
        <v>62800.52835655956</v>
      </c>
      <c r="AJ1030" s="312">
        <v>2595.1005768778173</v>
      </c>
      <c r="AK1030" s="312">
        <v>31152.708978463259</v>
      </c>
      <c r="AL1030" s="312">
        <v>1355044.9870309129</v>
      </c>
      <c r="AM1030" s="312">
        <v>42401.235812433231</v>
      </c>
      <c r="AN1030" s="312">
        <v>18518.186527881306</v>
      </c>
      <c r="AO1030" s="312">
        <v>71893.874659119931</v>
      </c>
      <c r="AP1030" s="312">
        <v>21893.89895073805</v>
      </c>
      <c r="AQ1030" s="312">
        <v>10595.25287503962</v>
      </c>
      <c r="AR1030" s="312">
        <v>12814.297129102291</v>
      </c>
      <c r="AS1030" s="70"/>
    </row>
    <row r="1031" spans="1:45" x14ac:dyDescent="0.3">
      <c r="A1031" s="185">
        <v>1967</v>
      </c>
      <c r="B1031" s="312">
        <v>0</v>
      </c>
      <c r="C1031" s="312">
        <v>20885.572829841971</v>
      </c>
      <c r="D1031" s="312">
        <v>17749.505984901254</v>
      </c>
      <c r="E1031" s="312">
        <v>40903.871503353854</v>
      </c>
      <c r="F1031" s="312">
        <v>14972.179076730688</v>
      </c>
      <c r="G1031" s="312">
        <v>14678.90616897566</v>
      </c>
      <c r="H1031" s="312">
        <v>8767.0795655808743</v>
      </c>
      <c r="I1031" s="312">
        <v>37240.912692643717</v>
      </c>
      <c r="J1031" s="312">
        <v>0</v>
      </c>
      <c r="K1031" s="312">
        <v>38526.791878400378</v>
      </c>
      <c r="L1031" s="312">
        <v>50864.608982481099</v>
      </c>
      <c r="M1031" s="312">
        <v>0</v>
      </c>
      <c r="N1031" s="312">
        <v>44261.697798255693</v>
      </c>
      <c r="O1031" s="312">
        <v>3413.2734525048859</v>
      </c>
      <c r="P1031" s="312">
        <v>9914.7466953713356</v>
      </c>
      <c r="Q1031" s="312">
        <v>0</v>
      </c>
      <c r="R1031" s="312">
        <v>2925.6629592899021</v>
      </c>
      <c r="S1031" s="312">
        <v>2608.795899634848</v>
      </c>
      <c r="T1031" s="312">
        <v>1460.9257037955147</v>
      </c>
      <c r="U1031" s="312">
        <v>19515.739748923275</v>
      </c>
      <c r="V1031" s="312">
        <v>108021.39887994656</v>
      </c>
      <c r="W1031" s="312">
        <v>3053.3347209326262</v>
      </c>
      <c r="X1031" s="312">
        <v>0</v>
      </c>
      <c r="Y1031" s="312">
        <v>63724.944876774345</v>
      </c>
      <c r="Z1031" s="312">
        <v>33197.867726493729</v>
      </c>
      <c r="AA1031" s="312">
        <v>128282.40542241544</v>
      </c>
      <c r="AB1031" s="312">
        <v>218331.72957637423</v>
      </c>
      <c r="AC1031" s="312">
        <v>8126.5601933717389</v>
      </c>
      <c r="AD1031" s="312">
        <v>195035.37536133971</v>
      </c>
      <c r="AE1031" s="312">
        <v>19300.800912792802</v>
      </c>
      <c r="AF1031" s="312">
        <v>34934.41624930899</v>
      </c>
      <c r="AG1031" s="312">
        <v>108592.78075269739</v>
      </c>
      <c r="AH1031" s="312">
        <v>60732.757266820518</v>
      </c>
      <c r="AI1031" s="312">
        <v>101379.86295809658</v>
      </c>
      <c r="AJ1031" s="312">
        <v>4382.9931890622702</v>
      </c>
      <c r="AK1031" s="312">
        <v>40842.817836097624</v>
      </c>
      <c r="AL1031" s="312">
        <v>1519831.2023760432</v>
      </c>
      <c r="AM1031" s="312">
        <v>69136.652554552231</v>
      </c>
      <c r="AN1031" s="312">
        <v>19612.523037163854</v>
      </c>
      <c r="AO1031" s="312">
        <v>81521.441528693133</v>
      </c>
      <c r="AP1031" s="312">
        <v>23093.442415380599</v>
      </c>
      <c r="AQ1031" s="312">
        <v>13371.967944016593</v>
      </c>
      <c r="AR1031" s="312">
        <v>13469.454944913003</v>
      </c>
      <c r="AS1031" s="70"/>
    </row>
    <row r="1032" spans="1:45" x14ac:dyDescent="0.3">
      <c r="A1032" s="185">
        <v>1968</v>
      </c>
      <c r="B1032" s="312">
        <v>0</v>
      </c>
      <c r="C1032" s="312">
        <v>20840.76429007862</v>
      </c>
      <c r="D1032" s="312">
        <v>17723.856033604883</v>
      </c>
      <c r="E1032" s="312">
        <v>40843.459166025335</v>
      </c>
      <c r="F1032" s="312">
        <v>14947.155299810456</v>
      </c>
      <c r="G1032" s="312">
        <v>14647.079232576867</v>
      </c>
      <c r="H1032" s="312">
        <v>8760.5246116185044</v>
      </c>
      <c r="I1032" s="312">
        <v>35384.839857121711</v>
      </c>
      <c r="J1032" s="312">
        <v>0</v>
      </c>
      <c r="K1032" s="312">
        <v>38465.646153932808</v>
      </c>
      <c r="L1032" s="312">
        <v>50799.292067579467</v>
      </c>
      <c r="M1032" s="312">
        <v>0</v>
      </c>
      <c r="N1032" s="312">
        <v>44017.2122964308</v>
      </c>
      <c r="O1032" s="312">
        <v>3454.2523333770969</v>
      </c>
      <c r="P1032" s="312">
        <v>10033.78058742871</v>
      </c>
      <c r="Q1032" s="312">
        <v>0</v>
      </c>
      <c r="R1032" s="312">
        <v>2960.7877143232258</v>
      </c>
      <c r="S1032" s="312">
        <v>2210.2893472455462</v>
      </c>
      <c r="T1032" s="312">
        <v>1237.7620344575057</v>
      </c>
      <c r="U1032" s="312">
        <v>17987.794161376005</v>
      </c>
      <c r="V1032" s="312">
        <v>75360.1115299433</v>
      </c>
      <c r="W1032" s="312">
        <v>2586.9226520161874</v>
      </c>
      <c r="X1032" s="312">
        <v>0</v>
      </c>
      <c r="Y1032" s="312">
        <v>51259.998821639128</v>
      </c>
      <c r="Z1032" s="312">
        <v>27840.256899887518</v>
      </c>
      <c r="AA1032" s="312">
        <v>134210.12275360237</v>
      </c>
      <c r="AB1032" s="312">
        <v>213201.12739748292</v>
      </c>
      <c r="AC1032" s="312">
        <v>8215.0380827873032</v>
      </c>
      <c r="AD1032" s="312">
        <v>188325.42034856114</v>
      </c>
      <c r="AE1032" s="312">
        <v>19004.804697303956</v>
      </c>
      <c r="AF1032" s="312">
        <v>33303.618914654086</v>
      </c>
      <c r="AG1032" s="312">
        <v>120288.83418020036</v>
      </c>
      <c r="AH1032" s="312">
        <v>75030.679116961561</v>
      </c>
      <c r="AI1032" s="312">
        <v>124573.84402077387</v>
      </c>
      <c r="AJ1032" s="312">
        <v>4759.6738819853854</v>
      </c>
      <c r="AK1032" s="312">
        <v>50189.458703400895</v>
      </c>
      <c r="AL1032" s="312">
        <v>1168549.6803892383</v>
      </c>
      <c r="AM1032" s="312">
        <v>67950.010476507538</v>
      </c>
      <c r="AN1032" s="312">
        <v>10869.548521020037</v>
      </c>
      <c r="AO1032" s="312">
        <v>62213.503367417914</v>
      </c>
      <c r="AP1032" s="312">
        <v>16130.632424938096</v>
      </c>
      <c r="AQ1032" s="312">
        <v>12249.587049583941</v>
      </c>
      <c r="AR1032" s="312">
        <v>9332.6085696718783</v>
      </c>
      <c r="AS1032" s="70"/>
    </row>
    <row r="1033" spans="1:45" x14ac:dyDescent="0.3">
      <c r="A1033" s="185">
        <v>1969</v>
      </c>
      <c r="B1033" s="312">
        <v>0</v>
      </c>
      <c r="C1033" s="312">
        <v>20885.572829841971</v>
      </c>
      <c r="D1033" s="312">
        <v>17749.505984901254</v>
      </c>
      <c r="E1033" s="312">
        <v>40903.871503353846</v>
      </c>
      <c r="F1033" s="312">
        <v>14972.179076730688</v>
      </c>
      <c r="G1033" s="312">
        <v>14678.906168975662</v>
      </c>
      <c r="H1033" s="312">
        <v>8767.0795655808743</v>
      </c>
      <c r="I1033" s="312">
        <v>37241.061147747729</v>
      </c>
      <c r="J1033" s="312">
        <v>0</v>
      </c>
      <c r="K1033" s="312">
        <v>38526.791878400378</v>
      </c>
      <c r="L1033" s="312">
        <v>50864.608982481099</v>
      </c>
      <c r="M1033" s="312">
        <v>0</v>
      </c>
      <c r="N1033" s="312">
        <v>44261.697798255693</v>
      </c>
      <c r="O1033" s="312">
        <v>3461.1848579673133</v>
      </c>
      <c r="P1033" s="312">
        <v>10053.917920762196</v>
      </c>
      <c r="Q1033" s="312">
        <v>0</v>
      </c>
      <c r="R1033" s="312">
        <v>2966.7298782576972</v>
      </c>
      <c r="S1033" s="312">
        <v>2580.3414187473118</v>
      </c>
      <c r="T1033" s="312">
        <v>1444.9911944984947</v>
      </c>
      <c r="U1033" s="312">
        <v>19771.916487514362</v>
      </c>
      <c r="V1033" s="312">
        <v>134509.81989868626</v>
      </c>
      <c r="W1033" s="312">
        <v>3020.031596501854</v>
      </c>
      <c r="X1033" s="312">
        <v>0</v>
      </c>
      <c r="Y1033" s="312">
        <v>71444.347045863105</v>
      </c>
      <c r="Z1033" s="312">
        <v>37004.749599535957</v>
      </c>
      <c r="AA1033" s="312">
        <v>127437.10655532978</v>
      </c>
      <c r="AB1033" s="312">
        <v>217375.49999771902</v>
      </c>
      <c r="AC1033" s="312">
        <v>8223.6970267533943</v>
      </c>
      <c r="AD1033" s="312">
        <v>221250.38370590462</v>
      </c>
      <c r="AE1033" s="312">
        <v>18283.122118025101</v>
      </c>
      <c r="AF1033" s="312">
        <v>41259.461186426386</v>
      </c>
      <c r="AG1033" s="312">
        <v>118518.44472712057</v>
      </c>
      <c r="AH1033" s="312">
        <v>43446.352057396936</v>
      </c>
      <c r="AI1033" s="312">
        <v>93068.100004018124</v>
      </c>
      <c r="AJ1033" s="312">
        <v>3640.3822924217916</v>
      </c>
      <c r="AK1033" s="312">
        <v>37385.391305781042</v>
      </c>
      <c r="AL1033" s="312">
        <v>2049137.7033540127</v>
      </c>
      <c r="AM1033" s="312">
        <v>62772.261111284366</v>
      </c>
      <c r="AN1033" s="312">
        <v>25778.442057241296</v>
      </c>
      <c r="AO1033" s="312">
        <v>99542.785011187356</v>
      </c>
      <c r="AP1033" s="312">
        <v>34131.447124281571</v>
      </c>
      <c r="AQ1033" s="312">
        <v>13800.650175989605</v>
      </c>
      <c r="AR1033" s="312">
        <v>16859.337514763174</v>
      </c>
      <c r="AS1033" s="70"/>
    </row>
    <row r="1034" spans="1:45" x14ac:dyDescent="0.3">
      <c r="A1034" s="185">
        <v>1970</v>
      </c>
      <c r="B1034" s="312">
        <v>0</v>
      </c>
      <c r="C1034" s="312">
        <v>20885.572829841971</v>
      </c>
      <c r="D1034" s="312">
        <v>17749.505984901254</v>
      </c>
      <c r="E1034" s="312">
        <v>40903.871503353854</v>
      </c>
      <c r="F1034" s="312">
        <v>14972.179076730688</v>
      </c>
      <c r="G1034" s="312">
        <v>14678.906168975662</v>
      </c>
      <c r="H1034" s="312">
        <v>8767.0795655808779</v>
      </c>
      <c r="I1034" s="312">
        <v>37938.030089264685</v>
      </c>
      <c r="J1034" s="312">
        <v>0</v>
      </c>
      <c r="K1034" s="312">
        <v>38526.791878400378</v>
      </c>
      <c r="L1034" s="312">
        <v>50864.608982481099</v>
      </c>
      <c r="M1034" s="312">
        <v>0</v>
      </c>
      <c r="N1034" s="312">
        <v>48172.910461014289</v>
      </c>
      <c r="O1034" s="312">
        <v>3461.1848579673128</v>
      </c>
      <c r="P1034" s="312">
        <v>10053.917920762193</v>
      </c>
      <c r="Q1034" s="312">
        <v>0</v>
      </c>
      <c r="R1034" s="312">
        <v>2966.7298782576968</v>
      </c>
      <c r="S1034" s="312">
        <v>2714.9126323479577</v>
      </c>
      <c r="T1034" s="312">
        <v>1520.3510741148561</v>
      </c>
      <c r="U1034" s="312">
        <v>19564.845068020961</v>
      </c>
      <c r="V1034" s="312">
        <v>100946.0965428425</v>
      </c>
      <c r="W1034" s="312">
        <v>3177.5337449000499</v>
      </c>
      <c r="X1034" s="312">
        <v>0</v>
      </c>
      <c r="Y1034" s="312">
        <v>60468.818631868591</v>
      </c>
      <c r="Z1034" s="312">
        <v>31421.405740278209</v>
      </c>
      <c r="AA1034" s="312">
        <v>125501.82793637991</v>
      </c>
      <c r="AB1034" s="312">
        <v>218331.72957637423</v>
      </c>
      <c r="AC1034" s="312">
        <v>8223.6970267533943</v>
      </c>
      <c r="AD1034" s="312">
        <v>202534.89850100051</v>
      </c>
      <c r="AE1034" s="312">
        <v>17639.003877194242</v>
      </c>
      <c r="AF1034" s="312">
        <v>34608.791088186677</v>
      </c>
      <c r="AG1034" s="312">
        <v>102735.006491084</v>
      </c>
      <c r="AH1034" s="312">
        <v>56079.180831717196</v>
      </c>
      <c r="AI1034" s="312">
        <v>112530.82286206927</v>
      </c>
      <c r="AJ1034" s="312">
        <v>3952.0769593688287</v>
      </c>
      <c r="AK1034" s="312">
        <v>45253.724113030839</v>
      </c>
      <c r="AL1034" s="312">
        <v>1494781.2227418451</v>
      </c>
      <c r="AM1034" s="312">
        <v>61252.354868917842</v>
      </c>
      <c r="AN1034" s="312">
        <v>16945.287582122954</v>
      </c>
      <c r="AO1034" s="312">
        <v>82797.174614527568</v>
      </c>
      <c r="AP1034" s="312">
        <v>26952.731930781178</v>
      </c>
      <c r="AQ1034" s="312">
        <v>12871.178873709574</v>
      </c>
      <c r="AR1034" s="312">
        <v>12605.963232798626</v>
      </c>
      <c r="AS1034" s="70"/>
    </row>
    <row r="1035" spans="1:45" x14ac:dyDescent="0.3">
      <c r="A1035" s="185">
        <v>1971</v>
      </c>
      <c r="B1035" s="312">
        <v>0</v>
      </c>
      <c r="C1035" s="312">
        <v>20885.572829841971</v>
      </c>
      <c r="D1035" s="312">
        <v>17749.505984901254</v>
      </c>
      <c r="E1035" s="312">
        <v>40903.871503353846</v>
      </c>
      <c r="F1035" s="312">
        <v>14972.179076730688</v>
      </c>
      <c r="G1035" s="312">
        <v>14678.906168975662</v>
      </c>
      <c r="H1035" s="312">
        <v>8767.0795655808761</v>
      </c>
      <c r="I1035" s="312">
        <v>37803.670270522627</v>
      </c>
      <c r="J1035" s="312">
        <v>0</v>
      </c>
      <c r="K1035" s="312">
        <v>38526.791878400378</v>
      </c>
      <c r="L1035" s="312">
        <v>50864.608982481099</v>
      </c>
      <c r="M1035" s="312">
        <v>0</v>
      </c>
      <c r="N1035" s="312">
        <v>48172.910461014282</v>
      </c>
      <c r="O1035" s="312">
        <v>2970.1511935486319</v>
      </c>
      <c r="P1035" s="312">
        <v>8627.5820384031704</v>
      </c>
      <c r="Q1035" s="312">
        <v>0</v>
      </c>
      <c r="R1035" s="312">
        <v>2545.8438801845418</v>
      </c>
      <c r="S1035" s="312">
        <v>2686.7333984751272</v>
      </c>
      <c r="T1035" s="312">
        <v>1504.5707031460711</v>
      </c>
      <c r="U1035" s="312">
        <v>14748.828831667004</v>
      </c>
      <c r="V1035" s="312">
        <v>61119.377284913171</v>
      </c>
      <c r="W1035" s="312">
        <v>3144.5527695752889</v>
      </c>
      <c r="X1035" s="312">
        <v>0</v>
      </c>
      <c r="Y1035" s="312">
        <v>43058.90695268118</v>
      </c>
      <c r="Z1035" s="312">
        <v>24949.585665955514</v>
      </c>
      <c r="AA1035" s="312">
        <v>125501.82793638005</v>
      </c>
      <c r="AB1035" s="312">
        <v>218331.72957637423</v>
      </c>
      <c r="AC1035" s="312">
        <v>7034.9295027978969</v>
      </c>
      <c r="AD1035" s="312">
        <v>157524.3305384999</v>
      </c>
      <c r="AE1035" s="312">
        <v>16945.194888905637</v>
      </c>
      <c r="AF1035" s="312">
        <v>26618.372353933872</v>
      </c>
      <c r="AG1035" s="312">
        <v>99608.435776418322</v>
      </c>
      <c r="AH1035" s="312">
        <v>66345.065116826489</v>
      </c>
      <c r="AI1035" s="312">
        <v>100116.31549321882</v>
      </c>
      <c r="AJ1035" s="312">
        <v>4145.4006141656519</v>
      </c>
      <c r="AK1035" s="312">
        <v>39882.63010412248</v>
      </c>
      <c r="AL1035" s="312">
        <v>959903.43115993612</v>
      </c>
      <c r="AM1035" s="312">
        <v>63185.517472743086</v>
      </c>
      <c r="AN1035" s="312">
        <v>10691.36591697209</v>
      </c>
      <c r="AO1035" s="312">
        <v>51207.05453235712</v>
      </c>
      <c r="AP1035" s="312">
        <v>13067.29386288499</v>
      </c>
      <c r="AQ1035" s="312">
        <v>10001.522161461775</v>
      </c>
      <c r="AR1035" s="312">
        <v>7553.3546451117218</v>
      </c>
      <c r="AS1035" s="70"/>
    </row>
    <row r="1036" spans="1:45" x14ac:dyDescent="0.3">
      <c r="A1036" s="185">
        <v>1972</v>
      </c>
      <c r="B1036" s="312">
        <v>0</v>
      </c>
      <c r="C1036" s="312">
        <v>20840.76429007862</v>
      </c>
      <c r="D1036" s="312">
        <v>17723.856033604883</v>
      </c>
      <c r="E1036" s="312">
        <v>40843.459166025335</v>
      </c>
      <c r="F1036" s="312">
        <v>14947.155299810458</v>
      </c>
      <c r="G1036" s="312">
        <v>14647.079232576865</v>
      </c>
      <c r="H1036" s="312">
        <v>8760.5246116185026</v>
      </c>
      <c r="I1036" s="312">
        <v>36600.930433667796</v>
      </c>
      <c r="J1036" s="312">
        <v>0</v>
      </c>
      <c r="K1036" s="312">
        <v>38465.646153932808</v>
      </c>
      <c r="L1036" s="312">
        <v>50799.292067579459</v>
      </c>
      <c r="M1036" s="312">
        <v>0</v>
      </c>
      <c r="N1036" s="312">
        <v>44017.2122964308</v>
      </c>
      <c r="O1036" s="312">
        <v>2913.0702114884134</v>
      </c>
      <c r="P1036" s="312">
        <v>8461.77537622825</v>
      </c>
      <c r="Q1036" s="312">
        <v>0</v>
      </c>
      <c r="R1036" s="312">
        <v>2496.9173241329258</v>
      </c>
      <c r="S1036" s="312">
        <v>2330.3730331312504</v>
      </c>
      <c r="T1036" s="312">
        <v>1305.0088985535001</v>
      </c>
      <c r="U1036" s="312">
        <v>14320.405549337496</v>
      </c>
      <c r="V1036" s="312">
        <v>83465.332743263483</v>
      </c>
      <c r="W1036" s="312">
        <v>2727.4685979768155</v>
      </c>
      <c r="X1036" s="312">
        <v>0</v>
      </c>
      <c r="Y1036" s="312">
        <v>47721.291943041251</v>
      </c>
      <c r="Z1036" s="312">
        <v>23003.614804245204</v>
      </c>
      <c r="AA1036" s="312">
        <v>134210.12275360216</v>
      </c>
      <c r="AB1036" s="312">
        <v>217887.95496852504</v>
      </c>
      <c r="AC1036" s="312">
        <v>6928.4940545023619</v>
      </c>
      <c r="AD1036" s="312">
        <v>161273.14431067571</v>
      </c>
      <c r="AE1036" s="312">
        <v>13274.480876710706</v>
      </c>
      <c r="AF1036" s="312">
        <v>27810.998062058119</v>
      </c>
      <c r="AG1036" s="312">
        <v>82866.341546530704</v>
      </c>
      <c r="AH1036" s="312">
        <v>42037.450204134249</v>
      </c>
      <c r="AI1036" s="312">
        <v>81010.121975101923</v>
      </c>
      <c r="AJ1036" s="312">
        <v>3107.271603524161</v>
      </c>
      <c r="AK1036" s="312">
        <v>33076.825199706043</v>
      </c>
      <c r="AL1036" s="312">
        <v>1162117.5230106916</v>
      </c>
      <c r="AM1036" s="312">
        <v>45033.042835997927</v>
      </c>
      <c r="AN1036" s="312">
        <v>12904.906885670855</v>
      </c>
      <c r="AO1036" s="312">
        <v>62246.08910813558</v>
      </c>
      <c r="AP1036" s="312">
        <v>17882.55277535495</v>
      </c>
      <c r="AQ1036" s="312">
        <v>10336.540532135359</v>
      </c>
      <c r="AR1036" s="312">
        <v>10322.431995249395</v>
      </c>
      <c r="AS1036" s="70"/>
    </row>
    <row r="1037" spans="1:45" x14ac:dyDescent="0.3">
      <c r="A1037" s="185">
        <v>1973</v>
      </c>
      <c r="B1037" s="312">
        <v>0</v>
      </c>
      <c r="C1037" s="312">
        <v>20885.572829841971</v>
      </c>
      <c r="D1037" s="312">
        <v>17749.50598490125</v>
      </c>
      <c r="E1037" s="312">
        <v>40903.871503353846</v>
      </c>
      <c r="F1037" s="312">
        <v>14972.179076730688</v>
      </c>
      <c r="G1037" s="312">
        <v>14678.9061689762</v>
      </c>
      <c r="H1037" s="312">
        <v>8767.0795655808761</v>
      </c>
      <c r="I1037" s="312">
        <v>37064.724429940819</v>
      </c>
      <c r="J1037" s="312">
        <v>0</v>
      </c>
      <c r="K1037" s="312">
        <v>38526.791878400378</v>
      </c>
      <c r="L1037" s="312">
        <v>50864.608982481099</v>
      </c>
      <c r="M1037" s="312">
        <v>0</v>
      </c>
      <c r="N1037" s="312">
        <v>42600.749605941579</v>
      </c>
      <c r="O1037" s="312">
        <v>3399.3905307234422</v>
      </c>
      <c r="P1037" s="312">
        <v>9874.4201130538077</v>
      </c>
      <c r="Q1037" s="312">
        <v>0</v>
      </c>
      <c r="R1037" s="312">
        <v>2913.7633120486644</v>
      </c>
      <c r="S1037" s="312">
        <v>2644.5024849321862</v>
      </c>
      <c r="T1037" s="312">
        <v>1480.9213915620242</v>
      </c>
      <c r="U1037" s="312">
        <v>18099.632528019971</v>
      </c>
      <c r="V1037" s="312">
        <v>95383.488393771971</v>
      </c>
      <c r="W1037" s="312">
        <v>3095.125708364631</v>
      </c>
      <c r="X1037" s="312">
        <v>0</v>
      </c>
      <c r="Y1037" s="312">
        <v>54831.26700637371</v>
      </c>
      <c r="Z1037" s="312">
        <v>28401.198518495683</v>
      </c>
      <c r="AA1037" s="312">
        <v>133473.34054683792</v>
      </c>
      <c r="AB1037" s="312">
        <v>218331.72957637423</v>
      </c>
      <c r="AC1037" s="312">
        <v>8098.4136006008775</v>
      </c>
      <c r="AD1037" s="312">
        <v>182423.65960798817</v>
      </c>
      <c r="AE1037" s="312">
        <v>15946.684318223888</v>
      </c>
      <c r="AF1037" s="312">
        <v>29096.912640812032</v>
      </c>
      <c r="AG1037" s="312">
        <v>87079.083055343872</v>
      </c>
      <c r="AH1037" s="312">
        <v>47171.464807749689</v>
      </c>
      <c r="AI1037" s="312">
        <v>78915.11899186713</v>
      </c>
      <c r="AJ1037" s="312">
        <v>3533.7944872460562</v>
      </c>
      <c r="AK1037" s="312">
        <v>31756.187346254635</v>
      </c>
      <c r="AL1037" s="312">
        <v>1317350.0029534539</v>
      </c>
      <c r="AM1037" s="312">
        <v>57079.389306287805</v>
      </c>
      <c r="AN1037" s="312">
        <v>17904.871281705298</v>
      </c>
      <c r="AO1037" s="312">
        <v>70809.457086847498</v>
      </c>
      <c r="AP1037" s="312">
        <v>20378.92611847951</v>
      </c>
      <c r="AQ1037" s="312">
        <v>11211.075997822529</v>
      </c>
      <c r="AR1037" s="312">
        <v>11853.23336771389</v>
      </c>
      <c r="AS1037" s="70"/>
    </row>
    <row r="1038" spans="1:45" x14ac:dyDescent="0.3">
      <c r="A1038" s="185">
        <v>1974</v>
      </c>
      <c r="B1038" s="312">
        <v>0</v>
      </c>
      <c r="C1038" s="312">
        <v>20885.572829841971</v>
      </c>
      <c r="D1038" s="312">
        <v>17749.505984901254</v>
      </c>
      <c r="E1038" s="312">
        <v>40903.871503353854</v>
      </c>
      <c r="F1038" s="312">
        <v>14972.17907673069</v>
      </c>
      <c r="G1038" s="312">
        <v>14678.906168975662</v>
      </c>
      <c r="H1038" s="312">
        <v>8767.0795655808761</v>
      </c>
      <c r="I1038" s="312">
        <v>37821.868599011847</v>
      </c>
      <c r="J1038" s="312">
        <v>0</v>
      </c>
      <c r="K1038" s="312">
        <v>38526.791878400378</v>
      </c>
      <c r="L1038" s="312">
        <v>50864.608982481099</v>
      </c>
      <c r="M1038" s="312">
        <v>0</v>
      </c>
      <c r="N1038" s="312">
        <v>46461.754921057407</v>
      </c>
      <c r="O1038" s="312">
        <v>3461.1848579673128</v>
      </c>
      <c r="P1038" s="312">
        <v>10053.917920762193</v>
      </c>
      <c r="Q1038" s="312">
        <v>0</v>
      </c>
      <c r="R1038" s="312">
        <v>2966.7298782576968</v>
      </c>
      <c r="S1038" s="312">
        <v>2667.7969533125843</v>
      </c>
      <c r="T1038" s="312">
        <v>1493.9662938550471</v>
      </c>
      <c r="U1038" s="312">
        <v>19810.20460656517</v>
      </c>
      <c r="V1038" s="312">
        <v>86084.292917457016</v>
      </c>
      <c r="W1038" s="312">
        <v>3122.3895541570491</v>
      </c>
      <c r="X1038" s="312">
        <v>0</v>
      </c>
      <c r="Y1038" s="312">
        <v>53801.500869128889</v>
      </c>
      <c r="Z1038" s="312">
        <v>28479.662262516194</v>
      </c>
      <c r="AA1038" s="312">
        <v>126108.1982078341</v>
      </c>
      <c r="AB1038" s="312">
        <v>218331.72957637423</v>
      </c>
      <c r="AC1038" s="312">
        <v>8223.6970267533943</v>
      </c>
      <c r="AD1038" s="312">
        <v>188099.93381450302</v>
      </c>
      <c r="AE1038" s="312">
        <v>17891.654483744678</v>
      </c>
      <c r="AF1038" s="312">
        <v>32220.991831358766</v>
      </c>
      <c r="AG1038" s="312">
        <v>107689.41466950995</v>
      </c>
      <c r="AH1038" s="312">
        <v>63873.207892956547</v>
      </c>
      <c r="AI1038" s="312">
        <v>106585.98800569355</v>
      </c>
      <c r="AJ1038" s="312">
        <v>4284.3849556630175</v>
      </c>
      <c r="AK1038" s="312">
        <v>42942.678524566662</v>
      </c>
      <c r="AL1038" s="312">
        <v>1260194.960074509</v>
      </c>
      <c r="AM1038" s="312">
        <v>64023.969499869825</v>
      </c>
      <c r="AN1038" s="312">
        <v>14153.79692619424</v>
      </c>
      <c r="AO1038" s="312">
        <v>67382.377489463222</v>
      </c>
      <c r="AP1038" s="312">
        <v>18417.919032139351</v>
      </c>
      <c r="AQ1038" s="312">
        <v>12036.538828955099</v>
      </c>
      <c r="AR1038" s="312">
        <v>10649.218226209126</v>
      </c>
      <c r="AS1038" s="70"/>
    </row>
    <row r="1039" spans="1:45" x14ac:dyDescent="0.3">
      <c r="A1039" s="185">
        <v>1975</v>
      </c>
      <c r="B1039" s="312">
        <v>0</v>
      </c>
      <c r="C1039" s="312">
        <v>20885.572829841971</v>
      </c>
      <c r="D1039" s="312">
        <v>17749.50598490125</v>
      </c>
      <c r="E1039" s="312">
        <v>40903.871503353854</v>
      </c>
      <c r="F1039" s="312">
        <v>14972.179076730688</v>
      </c>
      <c r="G1039" s="312">
        <v>14678.906168975662</v>
      </c>
      <c r="H1039" s="312">
        <v>8767.0795655808779</v>
      </c>
      <c r="I1039" s="312">
        <v>36543.881378754682</v>
      </c>
      <c r="J1039" s="312">
        <v>0</v>
      </c>
      <c r="K1039" s="312">
        <v>38526.791878400378</v>
      </c>
      <c r="L1039" s="312">
        <v>50864.608982481099</v>
      </c>
      <c r="M1039" s="312">
        <v>0</v>
      </c>
      <c r="N1039" s="312">
        <v>46511.962268700176</v>
      </c>
      <c r="O1039" s="312">
        <v>3429.2523882803903</v>
      </c>
      <c r="P1039" s="312">
        <v>9961.1616992906584</v>
      </c>
      <c r="Q1039" s="312">
        <v>0</v>
      </c>
      <c r="R1039" s="312">
        <v>2939.3591899546204</v>
      </c>
      <c r="S1039" s="312">
        <v>2670.4270151407154</v>
      </c>
      <c r="T1039" s="312">
        <v>1495.4391284788005</v>
      </c>
      <c r="U1039" s="312">
        <v>18230.805186298152</v>
      </c>
      <c r="V1039" s="312">
        <v>96885.011077411575</v>
      </c>
      <c r="W1039" s="312">
        <v>3125.4677785206936</v>
      </c>
      <c r="X1039" s="312">
        <v>0</v>
      </c>
      <c r="Y1039" s="312">
        <v>55704.490046919345</v>
      </c>
      <c r="Z1039" s="312">
        <v>28890.969123183349</v>
      </c>
      <c r="AA1039" s="312">
        <v>132140.11233962115</v>
      </c>
      <c r="AB1039" s="312">
        <v>218331.72957637423</v>
      </c>
      <c r="AC1039" s="312">
        <v>8098.32300245855</v>
      </c>
      <c r="AD1039" s="312">
        <v>183139.43500114343</v>
      </c>
      <c r="AE1039" s="312">
        <v>16174.517358609837</v>
      </c>
      <c r="AF1039" s="312">
        <v>29343.981597764607</v>
      </c>
      <c r="AG1039" s="312">
        <v>87654.248931818467</v>
      </c>
      <c r="AH1039" s="312">
        <v>47371.826023772766</v>
      </c>
      <c r="AI1039" s="312">
        <v>78975.097688673079</v>
      </c>
      <c r="AJ1039" s="312">
        <v>3570.0493953418563</v>
      </c>
      <c r="AK1039" s="312">
        <v>31798.884473428927</v>
      </c>
      <c r="AL1039" s="312">
        <v>1337978.6950688013</v>
      </c>
      <c r="AM1039" s="312">
        <v>57910.717073573178</v>
      </c>
      <c r="AN1039" s="312">
        <v>18317.040080960989</v>
      </c>
      <c r="AO1039" s="312">
        <v>71915.745666625488</v>
      </c>
      <c r="AP1039" s="312">
        <v>20704.519558737949</v>
      </c>
      <c r="AQ1039" s="312">
        <v>11342.071354922484</v>
      </c>
      <c r="AR1039" s="312">
        <v>12039.968800456707</v>
      </c>
      <c r="AS1039" s="70"/>
    </row>
    <row r="1040" spans="1:45" x14ac:dyDescent="0.3">
      <c r="A1040" s="185">
        <v>1976</v>
      </c>
      <c r="B1040" s="312">
        <v>0</v>
      </c>
      <c r="C1040" s="312">
        <v>19569.187411523271</v>
      </c>
      <c r="D1040" s="312">
        <v>17362.84472933162</v>
      </c>
      <c r="E1040" s="312">
        <v>40828.713890026505</v>
      </c>
      <c r="F1040" s="312">
        <v>14947.155299810458</v>
      </c>
      <c r="G1040" s="312">
        <v>14647.079232576865</v>
      </c>
      <c r="H1040" s="312">
        <v>8760.5246116185026</v>
      </c>
      <c r="I1040" s="312">
        <v>22621.881266004966</v>
      </c>
      <c r="J1040" s="312">
        <v>0</v>
      </c>
      <c r="K1040" s="312">
        <v>34070.561674050965</v>
      </c>
      <c r="L1040" s="312">
        <v>50799.292067579467</v>
      </c>
      <c r="M1040" s="312">
        <v>0</v>
      </c>
      <c r="N1040" s="312">
        <v>33370.52147861776</v>
      </c>
      <c r="O1040" s="312">
        <v>2687.8414092404414</v>
      </c>
      <c r="P1040" s="312">
        <v>7807.5393316031877</v>
      </c>
      <c r="Q1040" s="312">
        <v>0</v>
      </c>
      <c r="R1040" s="312">
        <v>2303.8640650632356</v>
      </c>
      <c r="S1040" s="312">
        <v>1646.2838965797564</v>
      </c>
      <c r="T1040" s="312">
        <v>921.91898208466341</v>
      </c>
      <c r="U1040" s="312">
        <v>11335.504785897529</v>
      </c>
      <c r="V1040" s="312">
        <v>75501.907663037055</v>
      </c>
      <c r="W1040" s="312">
        <v>1926.8106725569469</v>
      </c>
      <c r="X1040" s="312">
        <v>0</v>
      </c>
      <c r="Y1040" s="312">
        <v>48545.231142723489</v>
      </c>
      <c r="Z1040" s="312">
        <v>26043.103299566181</v>
      </c>
      <c r="AA1040" s="312">
        <v>145600.59312472059</v>
      </c>
      <c r="AB1040" s="312">
        <v>204287.8379220397</v>
      </c>
      <c r="AC1040" s="312">
        <v>6359.5963109912436</v>
      </c>
      <c r="AD1040" s="312">
        <v>154816.86247657248</v>
      </c>
      <c r="AE1040" s="312">
        <v>16720.162906846057</v>
      </c>
      <c r="AF1040" s="312">
        <v>29407.794689314906</v>
      </c>
      <c r="AG1040" s="312">
        <v>101056.56369502185</v>
      </c>
      <c r="AH1040" s="312">
        <v>60941.069518248369</v>
      </c>
      <c r="AI1040" s="312">
        <v>101558.77296448352</v>
      </c>
      <c r="AJ1040" s="312">
        <v>4039.2899923590844</v>
      </c>
      <c r="AK1040" s="312">
        <v>40927.309214958783</v>
      </c>
      <c r="AL1040" s="312">
        <v>1125416.5006988882</v>
      </c>
      <c r="AM1040" s="312">
        <v>59820.557296519248</v>
      </c>
      <c r="AN1040" s="312">
        <v>12238.887198168872</v>
      </c>
      <c r="AO1040" s="312">
        <v>60125.024389183163</v>
      </c>
      <c r="AP1040" s="312">
        <v>16177.063490193523</v>
      </c>
      <c r="AQ1040" s="312">
        <v>11005.45727909585</v>
      </c>
      <c r="AR1040" s="312">
        <v>9337.8621289438343</v>
      </c>
      <c r="AS1040" s="70"/>
    </row>
    <row r="1041" spans="1:45" x14ac:dyDescent="0.3">
      <c r="A1041" s="185">
        <v>1977</v>
      </c>
      <c r="B1041" s="312">
        <v>0</v>
      </c>
      <c r="C1041" s="312">
        <v>17991.166700324178</v>
      </c>
      <c r="D1041" s="312">
        <v>15952.595172264704</v>
      </c>
      <c r="E1041" s="312">
        <v>39910.569641239417</v>
      </c>
      <c r="F1041" s="312">
        <v>14972.17907673069</v>
      </c>
      <c r="G1041" s="312">
        <v>14678.906168975662</v>
      </c>
      <c r="H1041" s="312">
        <v>7475.4477512023223</v>
      </c>
      <c r="I1041" s="312">
        <v>11720.82549422412</v>
      </c>
      <c r="J1041" s="312">
        <v>0</v>
      </c>
      <c r="K1041" s="312">
        <v>23471.177228033121</v>
      </c>
      <c r="L1041" s="312">
        <v>50864.608982481099</v>
      </c>
      <c r="M1041" s="312">
        <v>0</v>
      </c>
      <c r="N1041" s="312">
        <v>11948.733842447875</v>
      </c>
      <c r="O1041" s="312">
        <v>1533.4292645502826</v>
      </c>
      <c r="P1041" s="312">
        <v>4454.2469113127254</v>
      </c>
      <c r="Q1041" s="312">
        <v>0</v>
      </c>
      <c r="R1041" s="312">
        <v>1314.3679410430991</v>
      </c>
      <c r="S1041" s="312">
        <v>554.2163935747127</v>
      </c>
      <c r="T1041" s="312">
        <v>310.36118040183914</v>
      </c>
      <c r="U1041" s="312">
        <v>4641.1399568125244</v>
      </c>
      <c r="V1041" s="312">
        <v>4358.538870626764</v>
      </c>
      <c r="W1041" s="312">
        <v>648.65486703984391</v>
      </c>
      <c r="X1041" s="312">
        <v>0</v>
      </c>
      <c r="Y1041" s="312">
        <v>4291.4666867877331</v>
      </c>
      <c r="Z1041" s="312">
        <v>2166.8721219508893</v>
      </c>
      <c r="AA1041" s="312">
        <v>155157.90143287744</v>
      </c>
      <c r="AB1041" s="312">
        <v>188356.7328116608</v>
      </c>
      <c r="AC1041" s="312">
        <v>4312.3309982689843</v>
      </c>
      <c r="AD1041" s="312">
        <v>67780.107793367162</v>
      </c>
      <c r="AE1041" s="312">
        <v>1288.3611942540895</v>
      </c>
      <c r="AF1041" s="312">
        <v>2204.9340300164686</v>
      </c>
      <c r="AG1041" s="312">
        <v>7918.8498270561804</v>
      </c>
      <c r="AH1041" s="312">
        <v>4663.804759084599</v>
      </c>
      <c r="AI1041" s="312">
        <v>7879.1062295304655</v>
      </c>
      <c r="AJ1041" s="312">
        <v>303.21584976552026</v>
      </c>
      <c r="AK1041" s="312">
        <v>3176.5408343993536</v>
      </c>
      <c r="AL1041" s="312">
        <v>104891.87961729868</v>
      </c>
      <c r="AM1041" s="312">
        <v>4871.0161383599061</v>
      </c>
      <c r="AN1041" s="312">
        <v>1237.2507338199107</v>
      </c>
      <c r="AO1041" s="312">
        <v>5708.614308187678</v>
      </c>
      <c r="AP1041" s="312">
        <v>932.13079451201565</v>
      </c>
      <c r="AQ1041" s="312">
        <v>957.57014006378347</v>
      </c>
      <c r="AR1041" s="312">
        <v>539.99693594650398</v>
      </c>
      <c r="AS1041" s="70"/>
    </row>
    <row r="1042" spans="1:45" x14ac:dyDescent="0.3">
      <c r="A1042" s="185">
        <v>1978</v>
      </c>
      <c r="B1042" s="312">
        <v>0</v>
      </c>
      <c r="C1042" s="312">
        <v>20445.565631512924</v>
      </c>
      <c r="D1042" s="312">
        <v>17588.351878166759</v>
      </c>
      <c r="E1042" s="312">
        <v>40803.541297617849</v>
      </c>
      <c r="F1042" s="312">
        <v>14972.179076730688</v>
      </c>
      <c r="G1042" s="312">
        <v>14678.906168975662</v>
      </c>
      <c r="H1042" s="312">
        <v>8711.1905446797682</v>
      </c>
      <c r="I1042" s="312">
        <v>27953.404010205977</v>
      </c>
      <c r="J1042" s="312">
        <v>0</v>
      </c>
      <c r="K1042" s="312">
        <v>37066.735046164496</v>
      </c>
      <c r="L1042" s="312">
        <v>50864.608982481099</v>
      </c>
      <c r="M1042" s="312">
        <v>0</v>
      </c>
      <c r="N1042" s="312">
        <v>24337.023964706528</v>
      </c>
      <c r="O1042" s="312">
        <v>3263.414381212594</v>
      </c>
      <c r="P1042" s="312">
        <v>9479.4417739984892</v>
      </c>
      <c r="Q1042" s="312">
        <v>0</v>
      </c>
      <c r="R1042" s="312">
        <v>2797.2123267536526</v>
      </c>
      <c r="S1042" s="312">
        <v>2517.321460126177</v>
      </c>
      <c r="T1042" s="312">
        <v>1409.700017670659</v>
      </c>
      <c r="U1042" s="312">
        <v>18461.211243535377</v>
      </c>
      <c r="V1042" s="312">
        <v>116777.11910493486</v>
      </c>
      <c r="W1042" s="312">
        <v>2946.2730369316778</v>
      </c>
      <c r="X1042" s="312">
        <v>0</v>
      </c>
      <c r="Y1042" s="312">
        <v>57256.613118524307</v>
      </c>
      <c r="Z1042" s="312">
        <v>25864.879709783654</v>
      </c>
      <c r="AA1042" s="312">
        <v>134094.04765318503</v>
      </c>
      <c r="AB1042" s="312">
        <v>212782.20423288879</v>
      </c>
      <c r="AC1042" s="312">
        <v>7822.7320569688209</v>
      </c>
      <c r="AD1042" s="312">
        <v>183259.86175488177</v>
      </c>
      <c r="AE1042" s="312">
        <v>11962.602945609031</v>
      </c>
      <c r="AF1042" s="312">
        <v>30413.981032585078</v>
      </c>
      <c r="AG1042" s="312">
        <v>70948.631020785891</v>
      </c>
      <c r="AH1042" s="312">
        <v>29962.626711705085</v>
      </c>
      <c r="AI1042" s="312">
        <v>60013.440523844256</v>
      </c>
      <c r="AJ1042" s="312">
        <v>2548.5505861150614</v>
      </c>
      <c r="AK1042" s="312">
        <v>24186.172564024597</v>
      </c>
      <c r="AL1042" s="312">
        <v>1491560.8374007232</v>
      </c>
      <c r="AM1042" s="312">
        <v>43928.285849126129</v>
      </c>
      <c r="AN1042" s="312">
        <v>20567.168069541622</v>
      </c>
      <c r="AO1042" s="312">
        <v>80480.807558646382</v>
      </c>
      <c r="AP1042" s="312">
        <v>25013.115306664247</v>
      </c>
      <c r="AQ1042" s="312">
        <v>11421.060920481419</v>
      </c>
      <c r="AR1042" s="312">
        <v>14593.842122027956</v>
      </c>
      <c r="AS1042" s="70"/>
    </row>
    <row r="1043" spans="1:45" x14ac:dyDescent="0.3">
      <c r="A1043" s="185">
        <v>1979</v>
      </c>
      <c r="B1043" s="312">
        <v>0</v>
      </c>
      <c r="C1043" s="312">
        <v>20885.572829841971</v>
      </c>
      <c r="D1043" s="312">
        <v>17749.50598490125</v>
      </c>
      <c r="E1043" s="312">
        <v>40903.871503353846</v>
      </c>
      <c r="F1043" s="312">
        <v>14972.179076730688</v>
      </c>
      <c r="G1043" s="312">
        <v>14678.906168975662</v>
      </c>
      <c r="H1043" s="312">
        <v>8767.0795655808761</v>
      </c>
      <c r="I1043" s="312">
        <v>35246.35636940469</v>
      </c>
      <c r="J1043" s="312">
        <v>0</v>
      </c>
      <c r="K1043" s="312">
        <v>38512.977748842379</v>
      </c>
      <c r="L1043" s="312">
        <v>50864.608982481099</v>
      </c>
      <c r="M1043" s="312">
        <v>0</v>
      </c>
      <c r="N1043" s="312">
        <v>43668.434416275551</v>
      </c>
      <c r="O1043" s="312">
        <v>3420.2122990323546</v>
      </c>
      <c r="P1043" s="312">
        <v>9934.902392427317</v>
      </c>
      <c r="Q1043" s="312">
        <v>0</v>
      </c>
      <c r="R1043" s="312">
        <v>2931.6105420277331</v>
      </c>
      <c r="S1043" s="312">
        <v>2717.3673567208798</v>
      </c>
      <c r="T1043" s="312">
        <v>1521.7257197636925</v>
      </c>
      <c r="U1043" s="312">
        <v>17781.712733013112</v>
      </c>
      <c r="V1043" s="312">
        <v>80459.057037240927</v>
      </c>
      <c r="W1043" s="312">
        <v>3180.4067543061178</v>
      </c>
      <c r="X1043" s="312">
        <v>0</v>
      </c>
      <c r="Y1043" s="312">
        <v>54765.339946906446</v>
      </c>
      <c r="Z1043" s="312">
        <v>29703.862807592293</v>
      </c>
      <c r="AA1043" s="312">
        <v>134436.2804482138</v>
      </c>
      <c r="AB1043" s="312">
        <v>218331.72957637423</v>
      </c>
      <c r="AC1043" s="312">
        <v>8072.3678789601036</v>
      </c>
      <c r="AD1043" s="312">
        <v>191093.73933327859</v>
      </c>
      <c r="AE1043" s="312">
        <v>20252.642563224643</v>
      </c>
      <c r="AF1043" s="312">
        <v>35627.722290663587</v>
      </c>
      <c r="AG1043" s="312">
        <v>128302.33421596131</v>
      </c>
      <c r="AH1043" s="312">
        <v>80000.112851398677</v>
      </c>
      <c r="AI1043" s="312">
        <v>134740.01272576171</v>
      </c>
      <c r="AJ1043" s="312">
        <v>5075.3018931654706</v>
      </c>
      <c r="AK1043" s="312">
        <v>54298.534509530946</v>
      </c>
      <c r="AL1043" s="312">
        <v>1248250.6778627948</v>
      </c>
      <c r="AM1043" s="312">
        <v>72453.14538115279</v>
      </c>
      <c r="AN1043" s="312">
        <v>11583.322101438636</v>
      </c>
      <c r="AO1043" s="312">
        <v>66498.235971157279</v>
      </c>
      <c r="AP1043" s="312">
        <v>17242.837614524808</v>
      </c>
      <c r="AQ1043" s="312">
        <v>13094.11191201391</v>
      </c>
      <c r="AR1043" s="312">
        <v>9953.0573304483732</v>
      </c>
      <c r="AS1043" s="70"/>
    </row>
    <row r="1044" spans="1:45" x14ac:dyDescent="0.3">
      <c r="A1044" s="185">
        <v>1980</v>
      </c>
      <c r="B1044" s="312">
        <v>0</v>
      </c>
      <c r="C1044" s="312">
        <v>20840.76429007862</v>
      </c>
      <c r="D1044" s="312">
        <v>17723.856033604883</v>
      </c>
      <c r="E1044" s="312">
        <v>40843.459166025335</v>
      </c>
      <c r="F1044" s="312">
        <v>14947.155299810458</v>
      </c>
      <c r="G1044" s="312">
        <v>14647.079232576865</v>
      </c>
      <c r="H1044" s="312">
        <v>8760.5246116185026</v>
      </c>
      <c r="I1044" s="312">
        <v>36835.632543672087</v>
      </c>
      <c r="J1044" s="312">
        <v>0</v>
      </c>
      <c r="K1044" s="312">
        <v>38465.646153932808</v>
      </c>
      <c r="L1044" s="312">
        <v>50799.292067579467</v>
      </c>
      <c r="M1044" s="312">
        <v>0</v>
      </c>
      <c r="N1044" s="312">
        <v>42298.983676934557</v>
      </c>
      <c r="O1044" s="312">
        <v>3454.2523333770969</v>
      </c>
      <c r="P1044" s="312">
        <v>10033.78058742871</v>
      </c>
      <c r="Q1044" s="312">
        <v>0</v>
      </c>
      <c r="R1044" s="312">
        <v>2960.7877143232258</v>
      </c>
      <c r="S1044" s="312">
        <v>2591.493634104103</v>
      </c>
      <c r="T1044" s="312">
        <v>1451.2364350982975</v>
      </c>
      <c r="U1044" s="312">
        <v>19744.108811638293</v>
      </c>
      <c r="V1044" s="312">
        <v>112675.47207325393</v>
      </c>
      <c r="W1044" s="312">
        <v>3033.0841493554422</v>
      </c>
      <c r="X1044" s="312">
        <v>0</v>
      </c>
      <c r="Y1044" s="312">
        <v>61142.05931694492</v>
      </c>
      <c r="Z1044" s="312">
        <v>32264.825788325204</v>
      </c>
      <c r="AA1044" s="312">
        <v>132389.76911794508</v>
      </c>
      <c r="AB1044" s="312">
        <v>217887.95496852504</v>
      </c>
      <c r="AC1044" s="312">
        <v>8215.0380827873032</v>
      </c>
      <c r="AD1044" s="312">
        <v>196060.27995808245</v>
      </c>
      <c r="AE1044" s="312">
        <v>15810.157504540892</v>
      </c>
      <c r="AF1044" s="312">
        <v>33686.396848491633</v>
      </c>
      <c r="AG1044" s="312">
        <v>88680.993557102687</v>
      </c>
      <c r="AH1044" s="312">
        <v>38333.546413638935</v>
      </c>
      <c r="AI1044" s="312">
        <v>81632.744318586032</v>
      </c>
      <c r="AJ1044" s="312">
        <v>3208.6537973048175</v>
      </c>
      <c r="AK1044" s="312">
        <v>32837.833296088029</v>
      </c>
      <c r="AL1044" s="312">
        <v>1682879.09373647</v>
      </c>
      <c r="AM1044" s="312">
        <v>55322.748446372556</v>
      </c>
      <c r="AN1044" s="312">
        <v>23388.202186121816</v>
      </c>
      <c r="AO1044" s="312">
        <v>84807.352051834008</v>
      </c>
      <c r="AP1044" s="312">
        <v>29493.682863299447</v>
      </c>
      <c r="AQ1044" s="312">
        <v>11731.468018786627</v>
      </c>
      <c r="AR1044" s="312">
        <v>14105.767310032963</v>
      </c>
      <c r="AS1044" s="70"/>
    </row>
    <row r="1045" spans="1:45" x14ac:dyDescent="0.3">
      <c r="A1045" s="185">
        <v>1981</v>
      </c>
      <c r="B1045" s="312">
        <v>0</v>
      </c>
      <c r="C1045" s="312">
        <v>20885.572829841971</v>
      </c>
      <c r="D1045" s="312">
        <v>17749.505984901254</v>
      </c>
      <c r="E1045" s="312">
        <v>40903.871503353846</v>
      </c>
      <c r="F1045" s="312">
        <v>14972.179076730688</v>
      </c>
      <c r="G1045" s="312">
        <v>14678.906168975662</v>
      </c>
      <c r="H1045" s="312">
        <v>8767.0795655808779</v>
      </c>
      <c r="I1045" s="312">
        <v>36769.450514860167</v>
      </c>
      <c r="J1045" s="312">
        <v>0</v>
      </c>
      <c r="K1045" s="312">
        <v>38526.791878400378</v>
      </c>
      <c r="L1045" s="312">
        <v>50864.608982481099</v>
      </c>
      <c r="M1045" s="312">
        <v>0</v>
      </c>
      <c r="N1045" s="312">
        <v>42665.301910053706</v>
      </c>
      <c r="O1045" s="312">
        <v>3083.6008979215444</v>
      </c>
      <c r="P1045" s="312">
        <v>8957.1264177721041</v>
      </c>
      <c r="Q1045" s="312">
        <v>0</v>
      </c>
      <c r="R1045" s="312">
        <v>2643.0864839327519</v>
      </c>
      <c r="S1045" s="312">
        <v>2740.9314582905381</v>
      </c>
      <c r="T1045" s="312">
        <v>1534.9216166427013</v>
      </c>
      <c r="U1045" s="312">
        <v>15466.321576112474</v>
      </c>
      <c r="V1045" s="312">
        <v>56934.621763899784</v>
      </c>
      <c r="W1045" s="312">
        <v>3207.986178783246</v>
      </c>
      <c r="X1045" s="312">
        <v>0</v>
      </c>
      <c r="Y1045" s="312">
        <v>43084.927575707748</v>
      </c>
      <c r="Z1045" s="312">
        <v>25401.148556819448</v>
      </c>
      <c r="AA1045" s="312">
        <v>135042.65071966808</v>
      </c>
      <c r="AB1045" s="312">
        <v>204731.61252988889</v>
      </c>
      <c r="AC1045" s="312">
        <v>7300.5996039068878</v>
      </c>
      <c r="AD1045" s="312">
        <v>163283.64184456266</v>
      </c>
      <c r="AE1045" s="312">
        <v>18110.346452949285</v>
      </c>
      <c r="AF1045" s="312">
        <v>28017.428696408533</v>
      </c>
      <c r="AG1045" s="312">
        <v>109638.63207691522</v>
      </c>
      <c r="AH1045" s="312">
        <v>74267.872540478216</v>
      </c>
      <c r="AI1045" s="312">
        <v>113194.9624942006</v>
      </c>
      <c r="AJ1045" s="312">
        <v>4533.581143349682</v>
      </c>
      <c r="AK1045" s="312">
        <v>45181.674400122858</v>
      </c>
      <c r="AL1045" s="312">
        <v>939573.31698891625</v>
      </c>
      <c r="AM1045" s="312">
        <v>67148.460945617175</v>
      </c>
      <c r="AN1045" s="312">
        <v>9175.9540161955629</v>
      </c>
      <c r="AO1045" s="312">
        <v>49980.967679518304</v>
      </c>
      <c r="AP1045" s="312">
        <v>12195.237650298361</v>
      </c>
      <c r="AQ1045" s="312">
        <v>10434.411562367612</v>
      </c>
      <c r="AR1045" s="312">
        <v>7049.5067328252871</v>
      </c>
      <c r="AS1045" s="70"/>
    </row>
    <row r="1046" spans="1:45" x14ac:dyDescent="0.3">
      <c r="A1046" s="185">
        <v>1982</v>
      </c>
      <c r="B1046" s="312">
        <v>0</v>
      </c>
      <c r="C1046" s="312">
        <v>20885.572829841971</v>
      </c>
      <c r="D1046" s="312">
        <v>17749.505984901254</v>
      </c>
      <c r="E1046" s="312">
        <v>40903.871503353846</v>
      </c>
      <c r="F1046" s="312">
        <v>14972.179076730688</v>
      </c>
      <c r="G1046" s="312">
        <v>14678.906168975662</v>
      </c>
      <c r="H1046" s="312">
        <v>8767.0795655808761</v>
      </c>
      <c r="I1046" s="312">
        <v>37241.061147747721</v>
      </c>
      <c r="J1046" s="312">
        <v>0</v>
      </c>
      <c r="K1046" s="312">
        <v>38526.791878400378</v>
      </c>
      <c r="L1046" s="312">
        <v>50864.608982481099</v>
      </c>
      <c r="M1046" s="312">
        <v>0</v>
      </c>
      <c r="N1046" s="312">
        <v>44261.697798255685</v>
      </c>
      <c r="O1046" s="312">
        <v>3413.1825998454769</v>
      </c>
      <c r="P1046" s="312">
        <v>9914.4827900273394</v>
      </c>
      <c r="Q1046" s="312">
        <v>0</v>
      </c>
      <c r="R1046" s="312">
        <v>2925.5850855818376</v>
      </c>
      <c r="S1046" s="312">
        <v>2572.8517213170599</v>
      </c>
      <c r="T1046" s="312">
        <v>1440.7969639375533</v>
      </c>
      <c r="U1046" s="312">
        <v>19519.747994278816</v>
      </c>
      <c r="V1046" s="312">
        <v>134121.96905820013</v>
      </c>
      <c r="W1046" s="312">
        <v>3011.2656546294866</v>
      </c>
      <c r="X1046" s="312">
        <v>0</v>
      </c>
      <c r="Y1046" s="312">
        <v>69502.303356931792</v>
      </c>
      <c r="Z1046" s="312">
        <v>32673.113608202522</v>
      </c>
      <c r="AA1046" s="312">
        <v>127437.10655532975</v>
      </c>
      <c r="AB1046" s="312">
        <v>215556.9669046315</v>
      </c>
      <c r="AC1046" s="312">
        <v>8126.3759963527837</v>
      </c>
      <c r="AD1046" s="312">
        <v>199244.41307338004</v>
      </c>
      <c r="AE1046" s="312">
        <v>16392.148353308461</v>
      </c>
      <c r="AF1046" s="312">
        <v>35240.512742202751</v>
      </c>
      <c r="AG1046" s="312">
        <v>96940.261861362742</v>
      </c>
      <c r="AH1046" s="312">
        <v>36457.738543366839</v>
      </c>
      <c r="AI1046" s="312">
        <v>88628.931644481505</v>
      </c>
      <c r="AJ1046" s="312">
        <v>3313.6104852710746</v>
      </c>
      <c r="AK1046" s="312">
        <v>36130.644276750099</v>
      </c>
      <c r="AL1046" s="312">
        <v>1802236.9275407915</v>
      </c>
      <c r="AM1046" s="312">
        <v>55101.151122989177</v>
      </c>
      <c r="AN1046" s="312">
        <v>24264.005261192986</v>
      </c>
      <c r="AO1046" s="312">
        <v>94386.144369293805</v>
      </c>
      <c r="AP1046" s="312">
        <v>34309.90072165928</v>
      </c>
      <c r="AQ1046" s="312">
        <v>13550.42692212952</v>
      </c>
      <c r="AR1046" s="312">
        <v>16757.134823931963</v>
      </c>
      <c r="AS1046" s="70"/>
    </row>
    <row r="1047" spans="1:45" x14ac:dyDescent="0.3">
      <c r="A1047" s="185">
        <v>1983</v>
      </c>
      <c r="B1047" s="312">
        <v>0</v>
      </c>
      <c r="C1047" s="312">
        <v>20885.572829841971</v>
      </c>
      <c r="D1047" s="312">
        <v>17749.505984901254</v>
      </c>
      <c r="E1047" s="312">
        <v>40903.871503353854</v>
      </c>
      <c r="F1047" s="312">
        <v>14972.179076730688</v>
      </c>
      <c r="G1047" s="312">
        <v>14678.906168975662</v>
      </c>
      <c r="H1047" s="312">
        <v>8767.0795655808779</v>
      </c>
      <c r="I1047" s="312">
        <v>37938.030089264677</v>
      </c>
      <c r="J1047" s="312">
        <v>0</v>
      </c>
      <c r="K1047" s="312">
        <v>38526.79187840037</v>
      </c>
      <c r="L1047" s="312">
        <v>50864.608982481099</v>
      </c>
      <c r="M1047" s="312">
        <v>0</v>
      </c>
      <c r="N1047" s="312">
        <v>48172.910461014282</v>
      </c>
      <c r="O1047" s="312">
        <v>3461.1848579673128</v>
      </c>
      <c r="P1047" s="312">
        <v>10053.917920762193</v>
      </c>
      <c r="Q1047" s="312">
        <v>0</v>
      </c>
      <c r="R1047" s="312">
        <v>2966.7298782576968</v>
      </c>
      <c r="S1047" s="312">
        <v>2708.0556854389019</v>
      </c>
      <c r="T1047" s="312">
        <v>1516.5111838457849</v>
      </c>
      <c r="U1047" s="312">
        <v>19966.035974410461</v>
      </c>
      <c r="V1047" s="312">
        <v>134505.62762492537</v>
      </c>
      <c r="W1047" s="312">
        <v>3169.508374237691</v>
      </c>
      <c r="X1047" s="312">
        <v>0</v>
      </c>
      <c r="Y1047" s="312">
        <v>76805.493417755511</v>
      </c>
      <c r="Z1047" s="312">
        <v>39401.66297007267</v>
      </c>
      <c r="AA1047" s="312">
        <v>125501.82793637984</v>
      </c>
      <c r="AB1047" s="312">
        <v>218331.72957637423</v>
      </c>
      <c r="AC1047" s="312">
        <v>8223.6970267533943</v>
      </c>
      <c r="AD1047" s="312">
        <v>238093.11081000447</v>
      </c>
      <c r="AE1047" s="312">
        <v>20767.486111143218</v>
      </c>
      <c r="AF1047" s="312">
        <v>43157.95504452844</v>
      </c>
      <c r="AG1047" s="312">
        <v>142190.67519148212</v>
      </c>
      <c r="AH1047" s="312">
        <v>59358.044957215134</v>
      </c>
      <c r="AI1047" s="312">
        <v>121207.5912437199</v>
      </c>
      <c r="AJ1047" s="312">
        <v>4438.636895469027</v>
      </c>
      <c r="AK1047" s="312">
        <v>48374.187663270852</v>
      </c>
      <c r="AL1047" s="312">
        <v>2144129.966048094</v>
      </c>
      <c r="AM1047" s="312">
        <v>71622.511608571775</v>
      </c>
      <c r="AN1047" s="312">
        <v>25040.962324219712</v>
      </c>
      <c r="AO1047" s="312">
        <v>105394.30448024246</v>
      </c>
      <c r="AP1047" s="312">
        <v>34135.211234230912</v>
      </c>
      <c r="AQ1047" s="312">
        <v>15709.243523748417</v>
      </c>
      <c r="AR1047" s="312">
        <v>58051.334074138947</v>
      </c>
      <c r="AS1047" s="70"/>
    </row>
    <row r="1048" spans="1:45" x14ac:dyDescent="0.3">
      <c r="A1048" s="185">
        <v>1984</v>
      </c>
      <c r="B1048" s="312">
        <v>0</v>
      </c>
      <c r="C1048" s="312">
        <v>20840.764290078623</v>
      </c>
      <c r="D1048" s="312">
        <v>17723.856033604883</v>
      </c>
      <c r="E1048" s="312">
        <v>40843.459166025335</v>
      </c>
      <c r="F1048" s="312">
        <v>14947.155299810458</v>
      </c>
      <c r="G1048" s="312">
        <v>14647.079232576867</v>
      </c>
      <c r="H1048" s="312">
        <v>8760.5246116185026</v>
      </c>
      <c r="I1048" s="312">
        <v>37698.37882002339</v>
      </c>
      <c r="J1048" s="312">
        <v>0</v>
      </c>
      <c r="K1048" s="312">
        <v>38465.646153932808</v>
      </c>
      <c r="L1048" s="312">
        <v>50799.292067579467</v>
      </c>
      <c r="M1048" s="312">
        <v>0</v>
      </c>
      <c r="N1048" s="312">
        <v>47813.665307434501</v>
      </c>
      <c r="O1048" s="312">
        <v>3454.2523333770969</v>
      </c>
      <c r="P1048" s="312">
        <v>10033.78058742871</v>
      </c>
      <c r="Q1048" s="312">
        <v>0</v>
      </c>
      <c r="R1048" s="312">
        <v>2960.7877143232258</v>
      </c>
      <c r="S1048" s="312">
        <v>2731.7031370796321</v>
      </c>
      <c r="T1048" s="312">
        <v>1529.7537567645941</v>
      </c>
      <c r="U1048" s="312">
        <v>19067.753693853618</v>
      </c>
      <c r="V1048" s="312">
        <v>100764.8121627712</v>
      </c>
      <c r="W1048" s="312">
        <v>3197.185351638002</v>
      </c>
      <c r="X1048" s="312">
        <v>0</v>
      </c>
      <c r="Y1048" s="312">
        <v>60434.905058415825</v>
      </c>
      <c r="Z1048" s="312">
        <v>31915.991499325904</v>
      </c>
      <c r="AA1048" s="312">
        <v>125275.67024176817</v>
      </c>
      <c r="AB1048" s="312">
        <v>217887.95496852504</v>
      </c>
      <c r="AC1048" s="312">
        <v>8215.0380827873032</v>
      </c>
      <c r="AD1048" s="312">
        <v>208834.46476337395</v>
      </c>
      <c r="AE1048" s="312">
        <v>17497.574890196582</v>
      </c>
      <c r="AF1048" s="312">
        <v>34242.493003379997</v>
      </c>
      <c r="AG1048" s="312">
        <v>111103.063298368</v>
      </c>
      <c r="AH1048" s="312">
        <v>55641.86318529462</v>
      </c>
      <c r="AI1048" s="312">
        <v>97405.166713995903</v>
      </c>
      <c r="AJ1048" s="312">
        <v>3922.0396477077438</v>
      </c>
      <c r="AK1048" s="312">
        <v>39212.749983646725</v>
      </c>
      <c r="AL1048" s="312">
        <v>1505348.8916479731</v>
      </c>
      <c r="AM1048" s="312">
        <v>60834.210081424055</v>
      </c>
      <c r="AN1048" s="312">
        <v>17561.337228896711</v>
      </c>
      <c r="AO1048" s="312">
        <v>78047.001044609264</v>
      </c>
      <c r="AP1048" s="312">
        <v>21536.552499093978</v>
      </c>
      <c r="AQ1048" s="312">
        <v>12786.910128347941</v>
      </c>
      <c r="AR1048" s="312">
        <v>12565.046072036313</v>
      </c>
      <c r="AS1048" s="70"/>
    </row>
    <row r="1049" spans="1:45" x14ac:dyDescent="0.3">
      <c r="A1049" s="185">
        <v>1985</v>
      </c>
      <c r="B1049" s="312">
        <v>0</v>
      </c>
      <c r="C1049" s="312">
        <v>20885.572829841971</v>
      </c>
      <c r="D1049" s="312">
        <v>17749.50598490125</v>
      </c>
      <c r="E1049" s="312">
        <v>40903.871503353854</v>
      </c>
      <c r="F1049" s="312">
        <v>14972.179076730688</v>
      </c>
      <c r="G1049" s="312">
        <v>14678.906168975662</v>
      </c>
      <c r="H1049" s="312">
        <v>8767.0795655808779</v>
      </c>
      <c r="I1049" s="312">
        <v>34353.778394464396</v>
      </c>
      <c r="J1049" s="312">
        <v>0</v>
      </c>
      <c r="K1049" s="312">
        <v>38526.791878400378</v>
      </c>
      <c r="L1049" s="312">
        <v>50864.608982481099</v>
      </c>
      <c r="M1049" s="312">
        <v>0</v>
      </c>
      <c r="N1049" s="312">
        <v>44376.457450010588</v>
      </c>
      <c r="O1049" s="312">
        <v>3036.7276833430687</v>
      </c>
      <c r="P1049" s="312">
        <v>8820.9708897108176</v>
      </c>
      <c r="Q1049" s="312">
        <v>0</v>
      </c>
      <c r="R1049" s="312">
        <v>2602.9094428654871</v>
      </c>
      <c r="S1049" s="312">
        <v>2668.9852447812982</v>
      </c>
      <c r="T1049" s="312">
        <v>1494.6317370775271</v>
      </c>
      <c r="U1049" s="312">
        <v>15096.765924961506</v>
      </c>
      <c r="V1049" s="312">
        <v>85785.615998459747</v>
      </c>
      <c r="W1049" s="312">
        <v>3123.7803304920321</v>
      </c>
      <c r="X1049" s="312">
        <v>0</v>
      </c>
      <c r="Y1049" s="312">
        <v>55164.649113060143</v>
      </c>
      <c r="Z1049" s="312">
        <v>29327.658701631579</v>
      </c>
      <c r="AA1049" s="312">
        <v>134436.28044821386</v>
      </c>
      <c r="AB1049" s="312">
        <v>218331.72957637423</v>
      </c>
      <c r="AC1049" s="312">
        <v>7196.1077762073564</v>
      </c>
      <c r="AD1049" s="312">
        <v>176952.34195940581</v>
      </c>
      <c r="AE1049" s="312">
        <v>19065.951481740809</v>
      </c>
      <c r="AF1049" s="312">
        <v>34381.244728312144</v>
      </c>
      <c r="AG1049" s="312">
        <v>118274.1098988312</v>
      </c>
      <c r="AH1049" s="312">
        <v>71638.628147891519</v>
      </c>
      <c r="AI1049" s="312">
        <v>119763.71798741224</v>
      </c>
      <c r="AJ1049" s="312">
        <v>4672.8440034330897</v>
      </c>
      <c r="AK1049" s="312">
        <v>48264.705076403348</v>
      </c>
      <c r="AL1049" s="312">
        <v>1283765.6160856986</v>
      </c>
      <c r="AM1049" s="312">
        <v>68341.843739311022</v>
      </c>
      <c r="AN1049" s="312">
        <v>13272.768454584038</v>
      </c>
      <c r="AO1049" s="312">
        <v>68489.905411823303</v>
      </c>
      <c r="AP1049" s="312">
        <v>18377.680754984696</v>
      </c>
      <c r="AQ1049" s="312">
        <v>12734.058873307516</v>
      </c>
      <c r="AR1049" s="312">
        <v>10609.984181721948</v>
      </c>
      <c r="AS1049" s="70"/>
    </row>
    <row r="1050" spans="1:45" x14ac:dyDescent="0.3">
      <c r="A1050" s="185">
        <v>1986</v>
      </c>
      <c r="B1050" s="312">
        <v>0</v>
      </c>
      <c r="C1050" s="312">
        <v>20885.572829841971</v>
      </c>
      <c r="D1050" s="312">
        <v>17749.505984901254</v>
      </c>
      <c r="E1050" s="312">
        <v>40903.871503353854</v>
      </c>
      <c r="F1050" s="312">
        <v>14972.179076730688</v>
      </c>
      <c r="G1050" s="312">
        <v>14481.716077521187</v>
      </c>
      <c r="H1050" s="312">
        <v>8767.0795655808761</v>
      </c>
      <c r="I1050" s="312">
        <v>37238.214764689401</v>
      </c>
      <c r="J1050" s="312">
        <v>0</v>
      </c>
      <c r="K1050" s="312">
        <v>38526.791878400378</v>
      </c>
      <c r="L1050" s="312">
        <v>50864.608982481099</v>
      </c>
      <c r="M1050" s="312">
        <v>0</v>
      </c>
      <c r="N1050" s="312">
        <v>44261.697798255693</v>
      </c>
      <c r="O1050" s="312">
        <v>3406.4197890566384</v>
      </c>
      <c r="P1050" s="312">
        <v>9894.8384348788059</v>
      </c>
      <c r="Q1050" s="312">
        <v>0</v>
      </c>
      <c r="R1050" s="312">
        <v>2919.7883906199754</v>
      </c>
      <c r="S1050" s="312">
        <v>2664.728547846431</v>
      </c>
      <c r="T1050" s="312">
        <v>1492.2479867940012</v>
      </c>
      <c r="U1050" s="312">
        <v>19252.879406060598</v>
      </c>
      <c r="V1050" s="312">
        <v>96504.699701121674</v>
      </c>
      <c r="W1050" s="312">
        <v>3118.7982923994628</v>
      </c>
      <c r="X1050" s="312">
        <v>0</v>
      </c>
      <c r="Y1050" s="312">
        <v>55460.174002752719</v>
      </c>
      <c r="Z1050" s="312">
        <v>28761.55306568207</v>
      </c>
      <c r="AA1050" s="312">
        <v>127437.10655532975</v>
      </c>
      <c r="AB1050" s="312">
        <v>218331.72957637423</v>
      </c>
      <c r="AC1050" s="312">
        <v>8112.6648997798529</v>
      </c>
      <c r="AD1050" s="312">
        <v>187354.92057449737</v>
      </c>
      <c r="AE1050" s="312">
        <v>16254.600227068891</v>
      </c>
      <c r="AF1050" s="312">
        <v>30838.214689774504</v>
      </c>
      <c r="AG1050" s="312">
        <v>95862.078188509084</v>
      </c>
      <c r="AH1050" s="312">
        <v>46738.714160345953</v>
      </c>
      <c r="AI1050" s="312">
        <v>92273.315779814526</v>
      </c>
      <c r="AJ1050" s="312">
        <v>3536.8167169444591</v>
      </c>
      <c r="AK1050" s="312">
        <v>37184.809430066438</v>
      </c>
      <c r="AL1050" s="312">
        <v>1375469.7905820122</v>
      </c>
      <c r="AM1050" s="312">
        <v>57512.666233053242</v>
      </c>
      <c r="AN1050" s="312">
        <v>18956.516127956787</v>
      </c>
      <c r="AO1050" s="312">
        <v>76037.025823226897</v>
      </c>
      <c r="AP1050" s="312">
        <v>26082.691009634524</v>
      </c>
      <c r="AQ1050" s="312">
        <v>11303.649438655026</v>
      </c>
      <c r="AR1050" s="312">
        <v>12000.800152666354</v>
      </c>
      <c r="AS1050" s="70"/>
    </row>
    <row r="1051" spans="1:45" x14ac:dyDescent="0.3">
      <c r="A1051" s="185">
        <v>1987</v>
      </c>
      <c r="B1051" s="312">
        <v>0</v>
      </c>
      <c r="C1051" s="312">
        <v>20885.572829841971</v>
      </c>
      <c r="D1051" s="312">
        <v>17730.702052000186</v>
      </c>
      <c r="E1051" s="312">
        <v>40897.442198183089</v>
      </c>
      <c r="F1051" s="312">
        <v>14972.179076730688</v>
      </c>
      <c r="G1051" s="312">
        <v>14678.906168975662</v>
      </c>
      <c r="H1051" s="312">
        <v>8767.0795655808779</v>
      </c>
      <c r="I1051" s="312">
        <v>31240.687228063052</v>
      </c>
      <c r="J1051" s="312">
        <v>0</v>
      </c>
      <c r="K1051" s="312">
        <v>38081.244859530299</v>
      </c>
      <c r="L1051" s="312">
        <v>50864.608982481099</v>
      </c>
      <c r="M1051" s="312">
        <v>0</v>
      </c>
      <c r="N1051" s="312">
        <v>43718.735996316042</v>
      </c>
      <c r="O1051" s="312">
        <v>2752.7538757406496</v>
      </c>
      <c r="P1051" s="312">
        <v>7996.0945914371259</v>
      </c>
      <c r="Q1051" s="312">
        <v>0</v>
      </c>
      <c r="R1051" s="312">
        <v>2359.5033220634141</v>
      </c>
      <c r="S1051" s="312">
        <v>2273.0330327402453</v>
      </c>
      <c r="T1051" s="312">
        <v>1272.8984983345372</v>
      </c>
      <c r="U1051" s="312">
        <v>13394.676212352731</v>
      </c>
      <c r="V1051" s="312">
        <v>41537.808205265996</v>
      </c>
      <c r="W1051" s="312">
        <v>2660.3578615191827</v>
      </c>
      <c r="X1051" s="312">
        <v>0</v>
      </c>
      <c r="Y1051" s="312">
        <v>31714.472809951309</v>
      </c>
      <c r="Z1051" s="312">
        <v>19323.993647440402</v>
      </c>
      <c r="AA1051" s="312">
        <v>141973.41344978753</v>
      </c>
      <c r="AB1051" s="312">
        <v>204731.61252988889</v>
      </c>
      <c r="AC1051" s="312">
        <v>6501.2673008459997</v>
      </c>
      <c r="AD1051" s="312">
        <v>133496.67458975056</v>
      </c>
      <c r="AE1051" s="312">
        <v>13519.175941696147</v>
      </c>
      <c r="AF1051" s="312">
        <v>18640.655759362769</v>
      </c>
      <c r="AG1051" s="312">
        <v>74410.464208748279</v>
      </c>
      <c r="AH1051" s="312">
        <v>50442.288006986317</v>
      </c>
      <c r="AI1051" s="312">
        <v>76172.040607555537</v>
      </c>
      <c r="AJ1051" s="312">
        <v>3191.2384127403911</v>
      </c>
      <c r="AK1051" s="312">
        <v>30710.898293675942</v>
      </c>
      <c r="AL1051" s="312">
        <v>676676.44866139104</v>
      </c>
      <c r="AM1051" s="312">
        <v>49711.596063734607</v>
      </c>
      <c r="AN1051" s="312">
        <v>8267.9926548466683</v>
      </c>
      <c r="AO1051" s="312">
        <v>36703.576208669503</v>
      </c>
      <c r="AP1051" s="312">
        <v>8883.0610620551543</v>
      </c>
      <c r="AQ1051" s="312">
        <v>7263.5984202116133</v>
      </c>
      <c r="AR1051" s="312">
        <v>5146.0865616468436</v>
      </c>
      <c r="AS1051" s="70"/>
    </row>
    <row r="1052" spans="1:45" x14ac:dyDescent="0.3">
      <c r="A1052" s="185">
        <v>1988</v>
      </c>
      <c r="B1052" s="312">
        <v>0</v>
      </c>
      <c r="C1052" s="312">
        <v>20840.764290078623</v>
      </c>
      <c r="D1052" s="312">
        <v>17543.750764120323</v>
      </c>
      <c r="E1052" s="312">
        <v>40843.459166025335</v>
      </c>
      <c r="F1052" s="312">
        <v>14947.155299810458</v>
      </c>
      <c r="G1052" s="312">
        <v>14647.079232576865</v>
      </c>
      <c r="H1052" s="312">
        <v>8760.5246116183771</v>
      </c>
      <c r="I1052" s="312">
        <v>16128.206263326427</v>
      </c>
      <c r="J1052" s="312">
        <v>0</v>
      </c>
      <c r="K1052" s="312">
        <v>35373.359316930721</v>
      </c>
      <c r="L1052" s="312">
        <v>50799.292067579467</v>
      </c>
      <c r="M1052" s="312">
        <v>0</v>
      </c>
      <c r="N1052" s="312">
        <v>14206.506913815316</v>
      </c>
      <c r="O1052" s="312">
        <v>2598.6139587490811</v>
      </c>
      <c r="P1052" s="312">
        <v>7548.3548325568545</v>
      </c>
      <c r="Q1052" s="312">
        <v>0</v>
      </c>
      <c r="R1052" s="312">
        <v>2227.383393213498</v>
      </c>
      <c r="S1052" s="312">
        <v>1526.0677445962856</v>
      </c>
      <c r="T1052" s="312">
        <v>854.59793697392001</v>
      </c>
      <c r="U1052" s="312">
        <v>10279.417285683396</v>
      </c>
      <c r="V1052" s="312">
        <v>19753.462481678536</v>
      </c>
      <c r="W1052" s="312">
        <v>1786.1096882754928</v>
      </c>
      <c r="X1052" s="312">
        <v>0</v>
      </c>
      <c r="Y1052" s="312">
        <v>13220.273981873024</v>
      </c>
      <c r="Z1052" s="312">
        <v>7247.8400466962094</v>
      </c>
      <c r="AA1052" s="312">
        <v>150848.11339898006</v>
      </c>
      <c r="AB1052" s="312">
        <v>187946.24129940031</v>
      </c>
      <c r="AC1052" s="312">
        <v>6177.455248664819</v>
      </c>
      <c r="AD1052" s="312">
        <v>104309.57221629684</v>
      </c>
      <c r="AE1052" s="312">
        <v>4321.3405503794656</v>
      </c>
      <c r="AF1052" s="312">
        <v>6687.7545550669302</v>
      </c>
      <c r="AG1052" s="312">
        <v>22642.358540672125</v>
      </c>
      <c r="AH1052" s="312">
        <v>12126.794956988977</v>
      </c>
      <c r="AI1052" s="312">
        <v>20292.844527111549</v>
      </c>
      <c r="AJ1052" s="312">
        <v>979.58185582097428</v>
      </c>
      <c r="AK1052" s="312">
        <v>8183.9589545341769</v>
      </c>
      <c r="AL1052" s="312">
        <v>297959.20831404644</v>
      </c>
      <c r="AM1052" s="312">
        <v>14292.874793596337</v>
      </c>
      <c r="AN1052" s="312">
        <v>3695.8465859653115</v>
      </c>
      <c r="AO1052" s="312">
        <v>15567.241603502684</v>
      </c>
      <c r="AP1052" s="312">
        <v>4224.3244730312517</v>
      </c>
      <c r="AQ1052" s="312">
        <v>2655.4634641668963</v>
      </c>
      <c r="AR1052" s="312">
        <v>2447.2126501033645</v>
      </c>
      <c r="AS1052" s="70"/>
    </row>
    <row r="1053" spans="1:45" x14ac:dyDescent="0.3">
      <c r="A1053" s="185">
        <v>1989</v>
      </c>
      <c r="B1053" s="312">
        <v>0</v>
      </c>
      <c r="C1053" s="312">
        <v>20885.572829841971</v>
      </c>
      <c r="D1053" s="312">
        <v>17668.869225320112</v>
      </c>
      <c r="E1053" s="312">
        <v>40903.871503353846</v>
      </c>
      <c r="F1053" s="312">
        <v>14972.179076730688</v>
      </c>
      <c r="G1053" s="312">
        <v>14678.906168975607</v>
      </c>
      <c r="H1053" s="312">
        <v>8765.0617713029405</v>
      </c>
      <c r="I1053" s="312">
        <v>20279.300088638436</v>
      </c>
      <c r="J1053" s="312">
        <v>0</v>
      </c>
      <c r="K1053" s="312">
        <v>37605.569821817284</v>
      </c>
      <c r="L1053" s="312">
        <v>50864.608982481099</v>
      </c>
      <c r="M1053" s="312">
        <v>0</v>
      </c>
      <c r="N1053" s="312">
        <v>20524.320379317025</v>
      </c>
      <c r="O1053" s="312">
        <v>2545.2439226904235</v>
      </c>
      <c r="P1053" s="312">
        <v>7393.3275849578959</v>
      </c>
      <c r="Q1053" s="312">
        <v>0</v>
      </c>
      <c r="R1053" s="312">
        <v>2181.6376480203626</v>
      </c>
      <c r="S1053" s="312">
        <v>1617.5776680764179</v>
      </c>
      <c r="T1053" s="312">
        <v>905.84349412279414</v>
      </c>
      <c r="U1053" s="312">
        <v>10358.882781018958</v>
      </c>
      <c r="V1053" s="312">
        <v>83374.354102926649</v>
      </c>
      <c r="W1053" s="312">
        <v>1893.2129027166397</v>
      </c>
      <c r="X1053" s="312">
        <v>0</v>
      </c>
      <c r="Y1053" s="312">
        <v>44510.8251294812</v>
      </c>
      <c r="Z1053" s="312">
        <v>20523.673262571698</v>
      </c>
      <c r="AA1053" s="312">
        <v>144940.14855416422</v>
      </c>
      <c r="AB1053" s="312">
        <v>205240.07256909931</v>
      </c>
      <c r="AC1053" s="312">
        <v>5963.0488707774275</v>
      </c>
      <c r="AD1053" s="312">
        <v>146045.09925390867</v>
      </c>
      <c r="AE1053" s="312">
        <v>11319.408046656072</v>
      </c>
      <c r="AF1053" s="312">
        <v>27387.735806742781</v>
      </c>
      <c r="AG1053" s="312">
        <v>77227.17180763706</v>
      </c>
      <c r="AH1053" s="312">
        <v>39741.477947714164</v>
      </c>
      <c r="AI1053" s="312">
        <v>75631.527152752737</v>
      </c>
      <c r="AJ1053" s="312">
        <v>2768.9655503531799</v>
      </c>
      <c r="AK1053" s="312">
        <v>30477.079120190218</v>
      </c>
      <c r="AL1053" s="312">
        <v>1128915.3496431131</v>
      </c>
      <c r="AM1053" s="312">
        <v>40573.170387272061</v>
      </c>
      <c r="AN1053" s="312">
        <v>12199.875666558833</v>
      </c>
      <c r="AO1053" s="312">
        <v>60367.645891532185</v>
      </c>
      <c r="AP1053" s="312">
        <v>17867.180732221012</v>
      </c>
      <c r="AQ1053" s="312">
        <v>9935.6955133173924</v>
      </c>
      <c r="AR1053" s="312">
        <v>10313.44597315453</v>
      </c>
      <c r="AS1053" s="70"/>
    </row>
    <row r="1054" spans="1:45" x14ac:dyDescent="0.3">
      <c r="A1054" s="185">
        <v>1990</v>
      </c>
      <c r="B1054" s="312">
        <v>0</v>
      </c>
      <c r="C1054" s="312">
        <v>20885.572829841971</v>
      </c>
      <c r="D1054" s="312">
        <v>16301.517540316621</v>
      </c>
      <c r="E1054" s="312">
        <v>40718.000385873303</v>
      </c>
      <c r="F1054" s="312">
        <v>14972.179076730688</v>
      </c>
      <c r="G1054" s="312">
        <v>14678.906168975747</v>
      </c>
      <c r="H1054" s="312">
        <v>8220.0619942441754</v>
      </c>
      <c r="I1054" s="312">
        <v>23533.517347350036</v>
      </c>
      <c r="J1054" s="312">
        <v>0</v>
      </c>
      <c r="K1054" s="312">
        <v>26217.520279613484</v>
      </c>
      <c r="L1054" s="312">
        <v>50864.608982481099</v>
      </c>
      <c r="M1054" s="312">
        <v>0</v>
      </c>
      <c r="N1054" s="312">
        <v>31469.5781564926</v>
      </c>
      <c r="O1054" s="312">
        <v>2422.2601155747548</v>
      </c>
      <c r="P1054" s="312">
        <v>7036.0889071457159</v>
      </c>
      <c r="Q1054" s="312">
        <v>0</v>
      </c>
      <c r="R1054" s="312">
        <v>2076.2229562069328</v>
      </c>
      <c r="S1054" s="312">
        <v>1171.4368947497671</v>
      </c>
      <c r="T1054" s="312">
        <v>656.00466105986959</v>
      </c>
      <c r="U1054" s="312">
        <v>9098.6585697438877</v>
      </c>
      <c r="V1054" s="312">
        <v>21956.111259254132</v>
      </c>
      <c r="W1054" s="312">
        <v>1371.0497416151277</v>
      </c>
      <c r="X1054" s="312">
        <v>0</v>
      </c>
      <c r="Y1054" s="312">
        <v>18466.655996351692</v>
      </c>
      <c r="Z1054" s="312">
        <v>10939.879265087187</v>
      </c>
      <c r="AA1054" s="312">
        <v>147597.91781247553</v>
      </c>
      <c r="AB1054" s="312">
        <v>189592.71274098146</v>
      </c>
      <c r="AC1054" s="312">
        <v>5709.7985468703846</v>
      </c>
      <c r="AD1054" s="312">
        <v>101174.98041847901</v>
      </c>
      <c r="AE1054" s="312">
        <v>6504.7024780295169</v>
      </c>
      <c r="AF1054" s="312">
        <v>8235.167672339061</v>
      </c>
      <c r="AG1054" s="312">
        <v>36117.428326154091</v>
      </c>
      <c r="AH1054" s="312">
        <v>23541.158088418146</v>
      </c>
      <c r="AI1054" s="312">
        <v>32847.914868681881</v>
      </c>
      <c r="AJ1054" s="312">
        <v>1530.8065278323065</v>
      </c>
      <c r="AK1054" s="312">
        <v>13241.930083849957</v>
      </c>
      <c r="AL1054" s="312">
        <v>367981.60114246968</v>
      </c>
      <c r="AM1054" s="312">
        <v>24590.339389183777</v>
      </c>
      <c r="AN1054" s="312">
        <v>6245.3134889826415</v>
      </c>
      <c r="AO1054" s="312">
        <v>20009.524612714846</v>
      </c>
      <c r="AP1054" s="312">
        <v>4695.6273194324685</v>
      </c>
      <c r="AQ1054" s="312">
        <v>3622.7804289036271</v>
      </c>
      <c r="AR1054" s="312">
        <v>2720.245248594822</v>
      </c>
      <c r="AS1054" s="70"/>
    </row>
    <row r="1055" spans="1:45" x14ac:dyDescent="0.3">
      <c r="A1055" s="185">
        <v>1991</v>
      </c>
      <c r="B1055" s="312">
        <v>0</v>
      </c>
      <c r="C1055" s="312">
        <v>20767.937697620469</v>
      </c>
      <c r="D1055" s="312">
        <v>15853.287954974516</v>
      </c>
      <c r="E1055" s="312">
        <v>39921.052685417679</v>
      </c>
      <c r="F1055" s="312">
        <v>14972.17907673069</v>
      </c>
      <c r="G1055" s="312">
        <v>14678.90616897598</v>
      </c>
      <c r="H1055" s="312">
        <v>7451.6645404502033</v>
      </c>
      <c r="I1055" s="312">
        <v>13128.60329008768</v>
      </c>
      <c r="J1055" s="312">
        <v>0</v>
      </c>
      <c r="K1055" s="312">
        <v>22685.496540401738</v>
      </c>
      <c r="L1055" s="312">
        <v>50864.608982481099</v>
      </c>
      <c r="M1055" s="312">
        <v>0</v>
      </c>
      <c r="N1055" s="312">
        <v>11948.733842447591</v>
      </c>
      <c r="O1055" s="312">
        <v>1829.4777091571577</v>
      </c>
      <c r="P1055" s="312">
        <v>5314.1971551707911</v>
      </c>
      <c r="Q1055" s="312">
        <v>0</v>
      </c>
      <c r="R1055" s="312">
        <v>1568.1237507061351</v>
      </c>
      <c r="S1055" s="312">
        <v>1877.0729044960542</v>
      </c>
      <c r="T1055" s="312">
        <v>1051.1608265177902</v>
      </c>
      <c r="U1055" s="312">
        <v>5450.1005026137918</v>
      </c>
      <c r="V1055" s="312">
        <v>18973.999450962019</v>
      </c>
      <c r="W1055" s="312">
        <v>2196.9261274221817</v>
      </c>
      <c r="X1055" s="312">
        <v>0</v>
      </c>
      <c r="Y1055" s="312">
        <v>11578.188403829032</v>
      </c>
      <c r="Z1055" s="312">
        <v>6083.0149121669783</v>
      </c>
      <c r="AA1055" s="312">
        <v>155157.90143287744</v>
      </c>
      <c r="AB1055" s="312">
        <v>185581.97013991809</v>
      </c>
      <c r="AC1055" s="312">
        <v>4312.3309982689843</v>
      </c>
      <c r="AD1055" s="312">
        <v>76564.936157485121</v>
      </c>
      <c r="AE1055" s="312">
        <v>3622.7581330232761</v>
      </c>
      <c r="AF1055" s="312">
        <v>6422.6921806571681</v>
      </c>
      <c r="AG1055" s="312">
        <v>20624.541058032104</v>
      </c>
      <c r="AH1055" s="312">
        <v>11645.001244446481</v>
      </c>
      <c r="AI1055" s="312">
        <v>19495.670242297187</v>
      </c>
      <c r="AJ1055" s="312">
        <v>836.74063851008611</v>
      </c>
      <c r="AK1055" s="312">
        <v>7863.6626600487052</v>
      </c>
      <c r="AL1055" s="312">
        <v>272556.95031900599</v>
      </c>
      <c r="AM1055" s="312">
        <v>12846.337856392467</v>
      </c>
      <c r="AN1055" s="312">
        <v>3370.851686093617</v>
      </c>
      <c r="AO1055" s="312">
        <v>14561.764640490495</v>
      </c>
      <c r="AP1055" s="312">
        <v>4057.7031896482231</v>
      </c>
      <c r="AQ1055" s="312">
        <v>2463.0780863167965</v>
      </c>
      <c r="AR1055" s="312">
        <v>2350.6865155522464</v>
      </c>
      <c r="AS1055" s="70"/>
    </row>
    <row r="1056" spans="1:45" x14ac:dyDescent="0.3">
      <c r="A1056" s="185">
        <v>1992</v>
      </c>
      <c r="B1056" s="312">
        <v>0</v>
      </c>
      <c r="C1056" s="312">
        <v>20840.76429007862</v>
      </c>
      <c r="D1056" s="312">
        <v>15801.555386323285</v>
      </c>
      <c r="E1056" s="312">
        <v>39861.603859065865</v>
      </c>
      <c r="F1056" s="312">
        <v>14947.155299810458</v>
      </c>
      <c r="G1056" s="312">
        <v>14647.079232576865</v>
      </c>
      <c r="H1056" s="312">
        <v>7413.00377633884</v>
      </c>
      <c r="I1056" s="312">
        <v>15612.955649345773</v>
      </c>
      <c r="J1056" s="312">
        <v>0</v>
      </c>
      <c r="K1056" s="312">
        <v>22421.751073582145</v>
      </c>
      <c r="L1056" s="312">
        <v>50799.292067579459</v>
      </c>
      <c r="M1056" s="312">
        <v>0</v>
      </c>
      <c r="N1056" s="312">
        <v>11919.016879870524</v>
      </c>
      <c r="O1056" s="312">
        <v>2271.7643545341693</v>
      </c>
      <c r="P1056" s="312">
        <v>6598.9345536468727</v>
      </c>
      <c r="Q1056" s="312">
        <v>0</v>
      </c>
      <c r="R1056" s="312">
        <v>1947.2265896007166</v>
      </c>
      <c r="S1056" s="312">
        <v>1461.0020860741959</v>
      </c>
      <c r="T1056" s="312">
        <v>818.16116820154969</v>
      </c>
      <c r="U1056" s="312">
        <v>8265.1797136726236</v>
      </c>
      <c r="V1056" s="312">
        <v>27132.814236794173</v>
      </c>
      <c r="W1056" s="312">
        <v>1709.9568415412389</v>
      </c>
      <c r="X1056" s="312">
        <v>0</v>
      </c>
      <c r="Y1056" s="312">
        <v>15780.065574913113</v>
      </c>
      <c r="Z1056" s="312">
        <v>8096.0097428958052</v>
      </c>
      <c r="AA1056" s="312">
        <v>154065.64686548887</v>
      </c>
      <c r="AB1056" s="312">
        <v>185204.76172324628</v>
      </c>
      <c r="AC1056" s="312">
        <v>5375.7833912758915</v>
      </c>
      <c r="AD1056" s="312">
        <v>97929.684642857261</v>
      </c>
      <c r="AE1056" s="312">
        <v>4816.0493982710786</v>
      </c>
      <c r="AF1056" s="312">
        <v>9180.6004452250945</v>
      </c>
      <c r="AG1056" s="312">
        <v>28720.595595546689</v>
      </c>
      <c r="AH1056" s="312">
        <v>16649.196177329464</v>
      </c>
      <c r="AI1056" s="312">
        <v>27876.985604549482</v>
      </c>
      <c r="AJ1056" s="312">
        <v>1124.8884756693099</v>
      </c>
      <c r="AK1056" s="312">
        <v>11243.279717505655</v>
      </c>
      <c r="AL1056" s="312">
        <v>380253.06188671396</v>
      </c>
      <c r="AM1056" s="312">
        <v>17759.677144651905</v>
      </c>
      <c r="AN1056" s="312">
        <v>4693.2599859605125</v>
      </c>
      <c r="AO1056" s="312">
        <v>20548.038377608573</v>
      </c>
      <c r="AP1056" s="312">
        <v>5802.7240222286864</v>
      </c>
      <c r="AQ1056" s="312">
        <v>3458.0943597414494</v>
      </c>
      <c r="AR1056" s="312">
        <v>3361.6024817494331</v>
      </c>
      <c r="AS1056" s="70"/>
    </row>
    <row r="1057" spans="1:45" x14ac:dyDescent="0.3">
      <c r="A1057" s="185">
        <v>1993</v>
      </c>
      <c r="B1057" s="312">
        <v>0</v>
      </c>
      <c r="C1057" s="312">
        <v>20885.572829841971</v>
      </c>
      <c r="D1057" s="312">
        <v>17588.351878166759</v>
      </c>
      <c r="E1057" s="312">
        <v>40903.871503353854</v>
      </c>
      <c r="F1057" s="312">
        <v>14972.179076730688</v>
      </c>
      <c r="G1057" s="312">
        <v>14678.906168975693</v>
      </c>
      <c r="H1057" s="312">
        <v>8711.1905446797664</v>
      </c>
      <c r="I1057" s="312">
        <v>27737.239490907748</v>
      </c>
      <c r="J1057" s="312">
        <v>0</v>
      </c>
      <c r="K1057" s="312">
        <v>37066.735046164496</v>
      </c>
      <c r="L1057" s="312">
        <v>50864.608982481099</v>
      </c>
      <c r="M1057" s="312">
        <v>0</v>
      </c>
      <c r="N1057" s="312">
        <v>22660.786086301494</v>
      </c>
      <c r="O1057" s="312">
        <v>3353.2771326646034</v>
      </c>
      <c r="P1057" s="312">
        <v>9740.4716710733719</v>
      </c>
      <c r="Q1057" s="312">
        <v>0</v>
      </c>
      <c r="R1057" s="312">
        <v>2874.2375422839459</v>
      </c>
      <c r="S1057" s="312">
        <v>2570.6572495367791</v>
      </c>
      <c r="T1057" s="312">
        <v>1439.568059740596</v>
      </c>
      <c r="U1057" s="312">
        <v>16933.335745003191</v>
      </c>
      <c r="V1057" s="312">
        <v>90439.793434303152</v>
      </c>
      <c r="W1057" s="312">
        <v>3008.6972448578463</v>
      </c>
      <c r="X1057" s="312">
        <v>0</v>
      </c>
      <c r="Y1057" s="312">
        <v>48003.716377440076</v>
      </c>
      <c r="Z1057" s="312">
        <v>22246.159033233249</v>
      </c>
      <c r="AA1057" s="312">
        <v>139284.98277760754</v>
      </c>
      <c r="AB1057" s="312">
        <v>212782.20423288879</v>
      </c>
      <c r="AC1057" s="312">
        <v>7986.7424577335978</v>
      </c>
      <c r="AD1057" s="312">
        <v>177787.43246755275</v>
      </c>
      <c r="AE1057" s="312">
        <v>11884.423600883654</v>
      </c>
      <c r="AF1057" s="312">
        <v>28273.373442903932</v>
      </c>
      <c r="AG1057" s="312">
        <v>77276.057426269195</v>
      </c>
      <c r="AH1057" s="312">
        <v>38218.659152491578</v>
      </c>
      <c r="AI1057" s="312">
        <v>73103.633094269069</v>
      </c>
      <c r="AJ1057" s="312">
        <v>2811.6033908954832</v>
      </c>
      <c r="AK1057" s="312">
        <v>29461.189808308285</v>
      </c>
      <c r="AL1057" s="312">
        <v>1215518.0903898065</v>
      </c>
      <c r="AM1057" s="312">
        <v>42083.739367731294</v>
      </c>
      <c r="AN1057" s="312">
        <v>14017.630228649748</v>
      </c>
      <c r="AO1057" s="312">
        <v>64859.140912074814</v>
      </c>
      <c r="AP1057" s="312">
        <v>19342.958660651457</v>
      </c>
      <c r="AQ1057" s="312">
        <v>10333.964617071861</v>
      </c>
      <c r="AR1057" s="312">
        <v>11197.217870576649</v>
      </c>
      <c r="AS1057" s="70"/>
    </row>
    <row r="1058" spans="1:45" x14ac:dyDescent="0.3">
      <c r="A1058" s="185">
        <v>1994</v>
      </c>
      <c r="B1058" s="312">
        <v>0</v>
      </c>
      <c r="C1058" s="312">
        <v>20885.572829841971</v>
      </c>
      <c r="D1058" s="312">
        <v>17729.734497184341</v>
      </c>
      <c r="E1058" s="312">
        <v>40903.871503353854</v>
      </c>
      <c r="F1058" s="312">
        <v>14972.179076730688</v>
      </c>
      <c r="G1058" s="312">
        <v>14678.906168975662</v>
      </c>
      <c r="H1058" s="312">
        <v>8767.0795655808761</v>
      </c>
      <c r="I1058" s="312">
        <v>28904.506295529332</v>
      </c>
      <c r="J1058" s="312">
        <v>0</v>
      </c>
      <c r="K1058" s="312">
        <v>36616.245168902737</v>
      </c>
      <c r="L1058" s="312">
        <v>50864.608982481099</v>
      </c>
      <c r="M1058" s="312">
        <v>0</v>
      </c>
      <c r="N1058" s="312">
        <v>42664.595758329269</v>
      </c>
      <c r="O1058" s="312">
        <v>2881.1925963365488</v>
      </c>
      <c r="P1058" s="312">
        <v>8369.1784941204514</v>
      </c>
      <c r="Q1058" s="312">
        <v>0</v>
      </c>
      <c r="R1058" s="312">
        <v>2469.593654002756</v>
      </c>
      <c r="S1058" s="312">
        <v>2305.4151410617005</v>
      </c>
      <c r="T1058" s="312">
        <v>1291.0324789945523</v>
      </c>
      <c r="U1058" s="312">
        <v>14055.635119244704</v>
      </c>
      <c r="V1058" s="312">
        <v>43960.15360166414</v>
      </c>
      <c r="W1058" s="312">
        <v>2698.2578810986147</v>
      </c>
      <c r="X1058" s="312">
        <v>0</v>
      </c>
      <c r="Y1058" s="312">
        <v>31777.410657891709</v>
      </c>
      <c r="Z1058" s="312">
        <v>19237.844353894758</v>
      </c>
      <c r="AA1058" s="312">
        <v>141571.17785464317</v>
      </c>
      <c r="AB1058" s="312">
        <v>204731.61252988889</v>
      </c>
      <c r="AC1058" s="312">
        <v>6819.5652931821296</v>
      </c>
      <c r="AD1058" s="312">
        <v>136328.3113372167</v>
      </c>
      <c r="AE1058" s="312">
        <v>12860.085732381423</v>
      </c>
      <c r="AF1058" s="312">
        <v>17373.713203448369</v>
      </c>
      <c r="AG1058" s="312">
        <v>67042.34116107806</v>
      </c>
      <c r="AH1058" s="312">
        <v>44809.553824269286</v>
      </c>
      <c r="AI1058" s="312">
        <v>65441.310108679456</v>
      </c>
      <c r="AJ1058" s="312">
        <v>2930.367550007702</v>
      </c>
      <c r="AK1058" s="312">
        <v>26385.328197733594</v>
      </c>
      <c r="AL1058" s="312">
        <v>687375.9848789192</v>
      </c>
      <c r="AM1058" s="312">
        <v>47395.00600846843</v>
      </c>
      <c r="AN1058" s="312">
        <v>9506.297545524958</v>
      </c>
      <c r="AO1058" s="312">
        <v>37448.506295904677</v>
      </c>
      <c r="AP1058" s="312">
        <v>7212.2965645178556</v>
      </c>
      <c r="AQ1058" s="312">
        <v>6914.3399729951416</v>
      </c>
      <c r="AR1058" s="312">
        <v>5445.7143527718754</v>
      </c>
      <c r="AS1058" s="70"/>
    </row>
    <row r="1059" spans="1:45" x14ac:dyDescent="0.3">
      <c r="A1059" s="185">
        <v>1995</v>
      </c>
      <c r="B1059" s="312">
        <v>0</v>
      </c>
      <c r="C1059" s="312">
        <v>20885.572829841971</v>
      </c>
      <c r="D1059" s="312">
        <v>17747.699643853186</v>
      </c>
      <c r="E1059" s="312">
        <v>40903.871503353846</v>
      </c>
      <c r="F1059" s="312">
        <v>14972.179076730688</v>
      </c>
      <c r="G1059" s="312">
        <v>14678.906168975662</v>
      </c>
      <c r="H1059" s="312">
        <v>8767.0795655808779</v>
      </c>
      <c r="I1059" s="312">
        <v>32346.005973402454</v>
      </c>
      <c r="J1059" s="312">
        <v>0</v>
      </c>
      <c r="K1059" s="312">
        <v>38327.433568722037</v>
      </c>
      <c r="L1059" s="312">
        <v>50864.608982481099</v>
      </c>
      <c r="M1059" s="312">
        <v>0</v>
      </c>
      <c r="N1059" s="312">
        <v>26662.46972639798</v>
      </c>
      <c r="O1059" s="312">
        <v>3386.3520642844501</v>
      </c>
      <c r="P1059" s="312">
        <v>9836.5464724453086</v>
      </c>
      <c r="Q1059" s="312">
        <v>0</v>
      </c>
      <c r="R1059" s="312">
        <v>2902.5874836723856</v>
      </c>
      <c r="S1059" s="312">
        <v>2637.7226352189346</v>
      </c>
      <c r="T1059" s="312">
        <v>1477.1246757226033</v>
      </c>
      <c r="U1059" s="312">
        <v>19374.315576150442</v>
      </c>
      <c r="V1059" s="312">
        <v>134229.61280249932</v>
      </c>
      <c r="W1059" s="312">
        <v>3087.190572260241</v>
      </c>
      <c r="X1059" s="312">
        <v>0</v>
      </c>
      <c r="Y1059" s="312">
        <v>68175.419181949197</v>
      </c>
      <c r="Z1059" s="312">
        <v>31636.648521796014</v>
      </c>
      <c r="AA1059" s="312">
        <v>131046.5310689321</v>
      </c>
      <c r="AB1059" s="312">
        <v>215556.9669046315</v>
      </c>
      <c r="AC1059" s="312">
        <v>8071.9790783157086</v>
      </c>
      <c r="AD1059" s="312">
        <v>201579.74192038737</v>
      </c>
      <c r="AE1059" s="312">
        <v>15120.697290685481</v>
      </c>
      <c r="AF1059" s="312">
        <v>35322.098024467676</v>
      </c>
      <c r="AG1059" s="312">
        <v>93067.618417341146</v>
      </c>
      <c r="AH1059" s="312">
        <v>34395.941228866621</v>
      </c>
      <c r="AI1059" s="312">
        <v>83204.615780422013</v>
      </c>
      <c r="AJ1059" s="312">
        <v>3150.3758747575216</v>
      </c>
      <c r="AK1059" s="312">
        <v>33516.033197954996</v>
      </c>
      <c r="AL1059" s="312">
        <v>1743797.6836906271</v>
      </c>
      <c r="AM1059" s="312">
        <v>52265.238519411825</v>
      </c>
      <c r="AN1059" s="312">
        <v>23591.103913518764</v>
      </c>
      <c r="AO1059" s="312">
        <v>93245.001519895392</v>
      </c>
      <c r="AP1059" s="312">
        <v>28714.477363494239</v>
      </c>
      <c r="AQ1059" s="312">
        <v>13301.967550872698</v>
      </c>
      <c r="AR1059" s="312">
        <v>16774.404820264415</v>
      </c>
      <c r="AS1059" s="70"/>
    </row>
    <row r="1060" spans="1:45" x14ac:dyDescent="0.3">
      <c r="A1060" s="185">
        <v>1996</v>
      </c>
      <c r="B1060" s="312">
        <v>0</v>
      </c>
      <c r="C1060" s="312">
        <v>20840.764290078623</v>
      </c>
      <c r="D1060" s="312">
        <v>17723.856033604883</v>
      </c>
      <c r="E1060" s="312">
        <v>40843.459166025335</v>
      </c>
      <c r="F1060" s="312">
        <v>14947.155299810456</v>
      </c>
      <c r="G1060" s="312">
        <v>14647.079232576865</v>
      </c>
      <c r="H1060" s="312">
        <v>8760.5246116185026</v>
      </c>
      <c r="I1060" s="312">
        <v>37698.096964343669</v>
      </c>
      <c r="J1060" s="312">
        <v>0</v>
      </c>
      <c r="K1060" s="312">
        <v>38465.646153932808</v>
      </c>
      <c r="L1060" s="312">
        <v>50799.292067579459</v>
      </c>
      <c r="M1060" s="312">
        <v>0</v>
      </c>
      <c r="N1060" s="312">
        <v>47813.665307434487</v>
      </c>
      <c r="O1060" s="312">
        <v>3454.2523333770969</v>
      </c>
      <c r="P1060" s="312">
        <v>10033.78058742871</v>
      </c>
      <c r="Q1060" s="312">
        <v>0</v>
      </c>
      <c r="R1060" s="312">
        <v>2960.7877143232258</v>
      </c>
      <c r="S1060" s="312">
        <v>2728.7224003410838</v>
      </c>
      <c r="T1060" s="312">
        <v>1528.0845441910069</v>
      </c>
      <c r="U1060" s="312">
        <v>19599.971732511865</v>
      </c>
      <c r="V1060" s="312">
        <v>100435.42366392355</v>
      </c>
      <c r="W1060" s="312">
        <v>3193.6966973592048</v>
      </c>
      <c r="X1060" s="312">
        <v>0</v>
      </c>
      <c r="Y1060" s="312">
        <v>64893.335997436719</v>
      </c>
      <c r="Z1060" s="312">
        <v>35062.173222605714</v>
      </c>
      <c r="AA1060" s="312">
        <v>125275.67024176825</v>
      </c>
      <c r="AB1060" s="312">
        <v>217887.95496852504</v>
      </c>
      <c r="AC1060" s="312">
        <v>8215.0380827873032</v>
      </c>
      <c r="AD1060" s="312">
        <v>202123.17176804159</v>
      </c>
      <c r="AE1060" s="312">
        <v>22644.706129211492</v>
      </c>
      <c r="AF1060" s="312">
        <v>35085.617497030122</v>
      </c>
      <c r="AG1060" s="312">
        <v>133009.10389238546</v>
      </c>
      <c r="AH1060" s="312">
        <v>80165.921145410248</v>
      </c>
      <c r="AI1060" s="312">
        <v>131965.68835218556</v>
      </c>
      <c r="AJ1060" s="312">
        <v>5367.8086948891269</v>
      </c>
      <c r="AK1060" s="312">
        <v>53171.45496806944</v>
      </c>
      <c r="AL1060" s="312">
        <v>1497472.6785435118</v>
      </c>
      <c r="AM1060" s="312">
        <v>80111.901314252522</v>
      </c>
      <c r="AN1060" s="312">
        <v>16779.324551045233</v>
      </c>
      <c r="AO1060" s="312">
        <v>79991.15238206285</v>
      </c>
      <c r="AP1060" s="312">
        <v>21485.572176053654</v>
      </c>
      <c r="AQ1060" s="312">
        <v>14552.247075906011</v>
      </c>
      <c r="AR1060" s="312">
        <v>12497.200938478196</v>
      </c>
      <c r="AS1060" s="70"/>
    </row>
    <row r="1061" spans="1:45" x14ac:dyDescent="0.3">
      <c r="A1061" s="185">
        <v>1997</v>
      </c>
      <c r="B1061" s="312">
        <v>0</v>
      </c>
      <c r="C1061" s="312">
        <v>20885.572829841971</v>
      </c>
      <c r="D1061" s="312">
        <v>17749.505984901254</v>
      </c>
      <c r="E1061" s="312">
        <v>40903.871503353854</v>
      </c>
      <c r="F1061" s="312">
        <v>14972.179076730688</v>
      </c>
      <c r="G1061" s="312">
        <v>14678.906168975662</v>
      </c>
      <c r="H1061" s="312">
        <v>8767.0795655808779</v>
      </c>
      <c r="I1061" s="312">
        <v>37938.030089264685</v>
      </c>
      <c r="J1061" s="312">
        <v>0</v>
      </c>
      <c r="K1061" s="312">
        <v>38526.791878400378</v>
      </c>
      <c r="L1061" s="312">
        <v>50864.608982481099</v>
      </c>
      <c r="M1061" s="312">
        <v>0</v>
      </c>
      <c r="N1061" s="312">
        <v>48172.910461014289</v>
      </c>
      <c r="O1061" s="312">
        <v>3461.1848579673133</v>
      </c>
      <c r="P1061" s="312">
        <v>10053.917920762196</v>
      </c>
      <c r="Q1061" s="312">
        <v>0</v>
      </c>
      <c r="R1061" s="312">
        <v>2966.7298782576972</v>
      </c>
      <c r="S1061" s="312">
        <v>2623.0859022343589</v>
      </c>
      <c r="T1061" s="312">
        <v>1468.928105251241</v>
      </c>
      <c r="U1061" s="312">
        <v>19943.457350553628</v>
      </c>
      <c r="V1061" s="312">
        <v>90508.331670307336</v>
      </c>
      <c r="W1061" s="312">
        <v>3070.0597399750941</v>
      </c>
      <c r="X1061" s="312">
        <v>0</v>
      </c>
      <c r="Y1061" s="312">
        <v>52162.570938105084</v>
      </c>
      <c r="Z1061" s="312">
        <v>27476.757286348988</v>
      </c>
      <c r="AA1061" s="312">
        <v>125501.82793637978</v>
      </c>
      <c r="AB1061" s="312">
        <v>218331.72957637423</v>
      </c>
      <c r="AC1061" s="312">
        <v>8223.6970267533943</v>
      </c>
      <c r="AD1061" s="312">
        <v>207832.26868014343</v>
      </c>
      <c r="AE1061" s="312">
        <v>15281.294263952595</v>
      </c>
      <c r="AF1061" s="312">
        <v>34502.343653987562</v>
      </c>
      <c r="AG1061" s="312">
        <v>102700.06862335764</v>
      </c>
      <c r="AH1061" s="312">
        <v>51865.090377771994</v>
      </c>
      <c r="AI1061" s="312">
        <v>108050.15445105601</v>
      </c>
      <c r="AJ1061" s="312">
        <v>3513.8655236874374</v>
      </c>
      <c r="AK1061" s="312">
        <v>43445.762540282609</v>
      </c>
      <c r="AL1061" s="312">
        <v>1494853.0054282791</v>
      </c>
      <c r="AM1061" s="312">
        <v>52875.962579601306</v>
      </c>
      <c r="AN1061" s="312">
        <v>15663.824656661667</v>
      </c>
      <c r="AO1061" s="312">
        <v>67414.650958413302</v>
      </c>
      <c r="AP1061" s="312">
        <v>19308.805986586649</v>
      </c>
      <c r="AQ1061" s="312">
        <v>11370.924055711343</v>
      </c>
      <c r="AR1061" s="312">
        <v>11275.800404121308</v>
      </c>
      <c r="AS1061" s="70"/>
    </row>
    <row r="1062" spans="1:45" x14ac:dyDescent="0.3">
      <c r="A1062" s="185">
        <v>1998</v>
      </c>
      <c r="B1062" s="312">
        <v>0</v>
      </c>
      <c r="C1062" s="312">
        <v>20885.572829841971</v>
      </c>
      <c r="D1062" s="312">
        <v>17749.50598490125</v>
      </c>
      <c r="E1062" s="312">
        <v>40903.871503353854</v>
      </c>
      <c r="F1062" s="312">
        <v>14972.17907673069</v>
      </c>
      <c r="G1062" s="312">
        <v>14678.906168975662</v>
      </c>
      <c r="H1062" s="312">
        <v>8767.0795655808779</v>
      </c>
      <c r="I1062" s="312">
        <v>37938.030089264685</v>
      </c>
      <c r="J1062" s="312">
        <v>0</v>
      </c>
      <c r="K1062" s="312">
        <v>38526.791878400378</v>
      </c>
      <c r="L1062" s="312">
        <v>50864.608982481099</v>
      </c>
      <c r="M1062" s="312">
        <v>0</v>
      </c>
      <c r="N1062" s="312">
        <v>48172.910461014289</v>
      </c>
      <c r="O1062" s="312">
        <v>3461.1848579673133</v>
      </c>
      <c r="P1062" s="312">
        <v>10053.917920762196</v>
      </c>
      <c r="Q1062" s="312">
        <v>0</v>
      </c>
      <c r="R1062" s="312">
        <v>2966.7298782576972</v>
      </c>
      <c r="S1062" s="312">
        <v>2606.0781690791123</v>
      </c>
      <c r="T1062" s="312">
        <v>1459.403774684303</v>
      </c>
      <c r="U1062" s="312">
        <v>19966.035974410461</v>
      </c>
      <c r="V1062" s="312">
        <v>134295.89268038032</v>
      </c>
      <c r="W1062" s="312">
        <v>3050.1538890901934</v>
      </c>
      <c r="X1062" s="312">
        <v>0</v>
      </c>
      <c r="Y1062" s="312">
        <v>73062.463575334012</v>
      </c>
      <c r="Z1062" s="312">
        <v>38277.868557413276</v>
      </c>
      <c r="AA1062" s="312">
        <v>125501.82793637984</v>
      </c>
      <c r="AB1062" s="312">
        <v>218331.72957637423</v>
      </c>
      <c r="AC1062" s="312">
        <v>8223.6970267533943</v>
      </c>
      <c r="AD1062" s="312">
        <v>223693.51457670011</v>
      </c>
      <c r="AE1062" s="312">
        <v>19547.416218678303</v>
      </c>
      <c r="AF1062" s="312">
        <v>42087.86881807704</v>
      </c>
      <c r="AG1062" s="312">
        <v>126392.45064019163</v>
      </c>
      <c r="AH1062" s="312">
        <v>49397.27476513337</v>
      </c>
      <c r="AI1062" s="312">
        <v>101854.42375884436</v>
      </c>
      <c r="AJ1062" s="312">
        <v>3979.9063149843291</v>
      </c>
      <c r="AK1062" s="312">
        <v>40990.94459687511</v>
      </c>
      <c r="AL1062" s="312">
        <v>2071953.0710268274</v>
      </c>
      <c r="AM1062" s="312">
        <v>67192.296337331587</v>
      </c>
      <c r="AN1062" s="312">
        <v>25701.633152450235</v>
      </c>
      <c r="AO1062" s="312">
        <v>100656.13050439522</v>
      </c>
      <c r="AP1062" s="312">
        <v>34114.254092939169</v>
      </c>
      <c r="AQ1062" s="312">
        <v>14322.409880937166</v>
      </c>
      <c r="AR1062" s="312">
        <v>16798.914389254962</v>
      </c>
      <c r="AS1062" s="70"/>
    </row>
    <row r="1063" spans="1:45" x14ac:dyDescent="0.3">
      <c r="A1063" s="185">
        <v>1999</v>
      </c>
      <c r="B1063" s="312">
        <v>0</v>
      </c>
      <c r="C1063" s="312">
        <v>20885.572829841971</v>
      </c>
      <c r="D1063" s="312">
        <v>17749.505984901254</v>
      </c>
      <c r="E1063" s="312">
        <v>40903.871503353854</v>
      </c>
      <c r="F1063" s="312">
        <v>14972.179076730688</v>
      </c>
      <c r="G1063" s="312">
        <v>14678.906168975662</v>
      </c>
      <c r="H1063" s="312">
        <v>8767.0795655808779</v>
      </c>
      <c r="I1063" s="312">
        <v>37937.555692088288</v>
      </c>
      <c r="J1063" s="312">
        <v>0</v>
      </c>
      <c r="K1063" s="312">
        <v>38526.791878400378</v>
      </c>
      <c r="L1063" s="312">
        <v>50864.608982481099</v>
      </c>
      <c r="M1063" s="312">
        <v>0</v>
      </c>
      <c r="N1063" s="312">
        <v>48172.910461014282</v>
      </c>
      <c r="O1063" s="312">
        <v>3461.1848579673128</v>
      </c>
      <c r="P1063" s="312">
        <v>10053.917920762193</v>
      </c>
      <c r="Q1063" s="312">
        <v>0</v>
      </c>
      <c r="R1063" s="312">
        <v>2966.7298782576968</v>
      </c>
      <c r="S1063" s="312">
        <v>2736.6043803780644</v>
      </c>
      <c r="T1063" s="312">
        <v>1532.4984530117158</v>
      </c>
      <c r="U1063" s="312">
        <v>19222.102441518029</v>
      </c>
      <c r="V1063" s="312">
        <v>91033.482776485282</v>
      </c>
      <c r="W1063" s="312">
        <v>3202.9217667944868</v>
      </c>
      <c r="X1063" s="312">
        <v>0</v>
      </c>
      <c r="Y1063" s="312">
        <v>61759.51148504654</v>
      </c>
      <c r="Z1063" s="312">
        <v>33777.280826850671</v>
      </c>
      <c r="AA1063" s="312">
        <v>125501.82793637986</v>
      </c>
      <c r="AB1063" s="312">
        <v>218331.72957637423</v>
      </c>
      <c r="AC1063" s="312">
        <v>8223.6970267533943</v>
      </c>
      <c r="AD1063" s="312">
        <v>200750.76617053177</v>
      </c>
      <c r="AE1063" s="312">
        <v>22742.615157379227</v>
      </c>
      <c r="AF1063" s="312">
        <v>38863.699039917963</v>
      </c>
      <c r="AG1063" s="312">
        <v>140148.3302888872</v>
      </c>
      <c r="AH1063" s="312">
        <v>83604.298889652011</v>
      </c>
      <c r="AI1063" s="312">
        <v>139692.60599302533</v>
      </c>
      <c r="AJ1063" s="312">
        <v>5609.2834598644467</v>
      </c>
      <c r="AK1063" s="312">
        <v>56269.20165435988</v>
      </c>
      <c r="AL1063" s="312">
        <v>1404519.0734856634</v>
      </c>
      <c r="AM1063" s="312">
        <v>81152.153834662226</v>
      </c>
      <c r="AN1063" s="312">
        <v>13931.291479207008</v>
      </c>
      <c r="AO1063" s="312">
        <v>74785.722309032717</v>
      </c>
      <c r="AP1063" s="312">
        <v>19455.81744143616</v>
      </c>
      <c r="AQ1063" s="312">
        <v>14454.399046236982</v>
      </c>
      <c r="AR1063" s="312">
        <v>11284.34511954865</v>
      </c>
      <c r="AS1063" s="70"/>
    </row>
    <row r="1064" spans="1:45" x14ac:dyDescent="0.3">
      <c r="A1064" s="185">
        <v>2000</v>
      </c>
      <c r="B1064" s="312">
        <v>0</v>
      </c>
      <c r="C1064" s="312">
        <v>20840.764290078623</v>
      </c>
      <c r="D1064" s="312">
        <v>17723.856033604883</v>
      </c>
      <c r="E1064" s="312">
        <v>40843.459166025335</v>
      </c>
      <c r="F1064" s="312">
        <v>14947.155299810458</v>
      </c>
      <c r="G1064" s="312">
        <v>14647.079232577202</v>
      </c>
      <c r="H1064" s="312">
        <v>8760.5246116185026</v>
      </c>
      <c r="I1064" s="312">
        <v>37698.096964343669</v>
      </c>
      <c r="J1064" s="312">
        <v>0</v>
      </c>
      <c r="K1064" s="312">
        <v>38465.646153932808</v>
      </c>
      <c r="L1064" s="312">
        <v>50799.292067579467</v>
      </c>
      <c r="M1064" s="312">
        <v>0</v>
      </c>
      <c r="N1064" s="312">
        <v>47813.665307434501</v>
      </c>
      <c r="O1064" s="312">
        <v>3442.1431245332669</v>
      </c>
      <c r="P1064" s="312">
        <v>9998.6062188823471</v>
      </c>
      <c r="Q1064" s="312">
        <v>0</v>
      </c>
      <c r="R1064" s="312">
        <v>2950.4083924570864</v>
      </c>
      <c r="S1064" s="312">
        <v>2665.1353652917683</v>
      </c>
      <c r="T1064" s="312">
        <v>1492.4758045633903</v>
      </c>
      <c r="U1064" s="312">
        <v>17870.471764271024</v>
      </c>
      <c r="V1064" s="312">
        <v>96844.092119731955</v>
      </c>
      <c r="W1064" s="312">
        <v>3119.2744315374857</v>
      </c>
      <c r="X1064" s="312">
        <v>0</v>
      </c>
      <c r="Y1064" s="312">
        <v>56680.467699202934</v>
      </c>
      <c r="Z1064" s="312">
        <v>29486.36041341185</v>
      </c>
      <c r="AA1064" s="312">
        <v>125275.67024176834</v>
      </c>
      <c r="AB1064" s="312">
        <v>217887.95496852504</v>
      </c>
      <c r="AC1064" s="312">
        <v>8169.4022237360377</v>
      </c>
      <c r="AD1064" s="312">
        <v>186700.88200503666</v>
      </c>
      <c r="AE1064" s="312">
        <v>16949.846718507095</v>
      </c>
      <c r="AF1064" s="312">
        <v>30774.040117635774</v>
      </c>
      <c r="AG1064" s="312">
        <v>94610.320638262041</v>
      </c>
      <c r="AH1064" s="312">
        <v>52424.373433962588</v>
      </c>
      <c r="AI1064" s="312">
        <v>87575.241054317026</v>
      </c>
      <c r="AJ1064" s="312">
        <v>3823.9315655023265</v>
      </c>
      <c r="AK1064" s="312">
        <v>35287.181116864223</v>
      </c>
      <c r="AL1064" s="312">
        <v>1354835.9446352543</v>
      </c>
      <c r="AM1064" s="312">
        <v>60728.898884323768</v>
      </c>
      <c r="AN1064" s="312">
        <v>17749.252280387795</v>
      </c>
      <c r="AO1064" s="312">
        <v>72763.047097279559</v>
      </c>
      <c r="AP1064" s="312">
        <v>20720.937207725867</v>
      </c>
      <c r="AQ1064" s="312">
        <v>11813.794901431578</v>
      </c>
      <c r="AR1064" s="312">
        <v>12024.583122970864</v>
      </c>
      <c r="AS1064" s="70"/>
    </row>
    <row r="1065" spans="1:45" x14ac:dyDescent="0.3">
      <c r="A1065" s="185">
        <v>2001</v>
      </c>
      <c r="B1065" s="312">
        <v>0</v>
      </c>
      <c r="C1065" s="312">
        <v>20885.572829841971</v>
      </c>
      <c r="D1065" s="312">
        <v>17749.505984901254</v>
      </c>
      <c r="E1065" s="312">
        <v>40903.871503353854</v>
      </c>
      <c r="F1065" s="312">
        <v>14972.179076730688</v>
      </c>
      <c r="G1065" s="312">
        <v>14678.906168975662</v>
      </c>
      <c r="H1065" s="312">
        <v>8767.0795655808761</v>
      </c>
      <c r="I1065" s="312">
        <v>31266.225681525808</v>
      </c>
      <c r="J1065" s="312">
        <v>0</v>
      </c>
      <c r="K1065" s="312">
        <v>38474.12637554347</v>
      </c>
      <c r="L1065" s="312">
        <v>50864.608982481099</v>
      </c>
      <c r="M1065" s="312">
        <v>0</v>
      </c>
      <c r="N1065" s="312">
        <v>43718.735996316027</v>
      </c>
      <c r="O1065" s="312">
        <v>2892.3205693376808</v>
      </c>
      <c r="P1065" s="312">
        <v>8401.5026061713597</v>
      </c>
      <c r="Q1065" s="312">
        <v>0</v>
      </c>
      <c r="R1065" s="312">
        <v>2479.1319165751547</v>
      </c>
      <c r="S1065" s="312">
        <v>2573.4967820391025</v>
      </c>
      <c r="T1065" s="312">
        <v>1441.1581979418972</v>
      </c>
      <c r="U1065" s="312">
        <v>14140.412888053857</v>
      </c>
      <c r="V1065" s="312">
        <v>28096.419072514007</v>
      </c>
      <c r="W1065" s="312">
        <v>3012.0206336985661</v>
      </c>
      <c r="X1065" s="312">
        <v>0</v>
      </c>
      <c r="Y1065" s="312">
        <v>24529.632949651223</v>
      </c>
      <c r="Z1065" s="312">
        <v>15805.933588221707</v>
      </c>
      <c r="AA1065" s="312">
        <v>141973.41344978742</v>
      </c>
      <c r="AB1065" s="312">
        <v>204982.7926767703</v>
      </c>
      <c r="AC1065" s="312">
        <v>6846.5055461213797</v>
      </c>
      <c r="AD1065" s="312">
        <v>128768.2991763241</v>
      </c>
      <c r="AE1065" s="312">
        <v>11454.686858982754</v>
      </c>
      <c r="AF1065" s="312">
        <v>14182.847655989055</v>
      </c>
      <c r="AG1065" s="312">
        <v>61219.130478522085</v>
      </c>
      <c r="AH1065" s="312">
        <v>42524.793649428531</v>
      </c>
      <c r="AI1065" s="312">
        <v>62944.67954660931</v>
      </c>
      <c r="AJ1065" s="312">
        <v>2703.9954558242162</v>
      </c>
      <c r="AK1065" s="312">
        <v>25374.301714580637</v>
      </c>
      <c r="AL1065" s="312">
        <v>496227.35175211815</v>
      </c>
      <c r="AM1065" s="312">
        <v>41548.380623906582</v>
      </c>
      <c r="AN1065" s="312">
        <v>5996.7531989925801</v>
      </c>
      <c r="AO1065" s="312">
        <v>26774.824622151707</v>
      </c>
      <c r="AP1065" s="312">
        <v>6008.8576955529034</v>
      </c>
      <c r="AQ1065" s="312">
        <v>5623.447106683132</v>
      </c>
      <c r="AR1065" s="312">
        <v>3481.0187188760574</v>
      </c>
      <c r="AS1065" s="70"/>
    </row>
    <row r="1066" spans="1:45" x14ac:dyDescent="0.3">
      <c r="A1066" s="185">
        <v>2002</v>
      </c>
      <c r="B1066" s="312">
        <v>0</v>
      </c>
      <c r="C1066" s="312">
        <v>20885.572829841971</v>
      </c>
      <c r="D1066" s="312">
        <v>17749.505984901254</v>
      </c>
      <c r="E1066" s="312">
        <v>40903.871503353854</v>
      </c>
      <c r="F1066" s="312">
        <v>14972.179076730688</v>
      </c>
      <c r="G1066" s="312">
        <v>14678.906168975662</v>
      </c>
      <c r="H1066" s="312">
        <v>8767.0795655808761</v>
      </c>
      <c r="I1066" s="312">
        <v>28583.217941610346</v>
      </c>
      <c r="J1066" s="312">
        <v>0</v>
      </c>
      <c r="K1066" s="312">
        <v>38526.791878400378</v>
      </c>
      <c r="L1066" s="312">
        <v>50864.608982481099</v>
      </c>
      <c r="M1066" s="312">
        <v>0</v>
      </c>
      <c r="N1066" s="312">
        <v>22866.016715394289</v>
      </c>
      <c r="O1066" s="312">
        <v>2850.3232867259117</v>
      </c>
      <c r="P1066" s="312">
        <v>8279.5104995371712</v>
      </c>
      <c r="Q1066" s="312">
        <v>0</v>
      </c>
      <c r="R1066" s="312">
        <v>2443.1342457650671</v>
      </c>
      <c r="S1066" s="312">
        <v>2154.6598412869566</v>
      </c>
      <c r="T1066" s="312">
        <v>1206.6095111206953</v>
      </c>
      <c r="U1066" s="312">
        <v>13951.308024660588</v>
      </c>
      <c r="V1066" s="312">
        <v>77427.120104252375</v>
      </c>
      <c r="W1066" s="312">
        <v>2521.8138782422534</v>
      </c>
      <c r="X1066" s="312">
        <v>0</v>
      </c>
      <c r="Y1066" s="312">
        <v>42050.748014754405</v>
      </c>
      <c r="Z1066" s="312">
        <v>19581.148302633803</v>
      </c>
      <c r="AA1066" s="312">
        <v>139925.07539165003</v>
      </c>
      <c r="AB1066" s="312">
        <v>215608.21391177614</v>
      </c>
      <c r="AC1066" s="312">
        <v>6773.7156791081852</v>
      </c>
      <c r="AD1066" s="312">
        <v>153575.38368513915</v>
      </c>
      <c r="AE1066" s="312">
        <v>10848.915255789612</v>
      </c>
      <c r="AF1066" s="312">
        <v>25514.541714817464</v>
      </c>
      <c r="AG1066" s="312">
        <v>72391.647313755311</v>
      </c>
      <c r="AH1066" s="312">
        <v>36963.692572839995</v>
      </c>
      <c r="AI1066" s="312">
        <v>70194.572661202212</v>
      </c>
      <c r="AJ1066" s="312">
        <v>2632.9075120021412</v>
      </c>
      <c r="AK1066" s="312">
        <v>28286.072401905352</v>
      </c>
      <c r="AL1066" s="312">
        <v>1058385.3783182302</v>
      </c>
      <c r="AM1066" s="312">
        <v>38287.651243668552</v>
      </c>
      <c r="AN1066" s="312">
        <v>11454.773359478222</v>
      </c>
      <c r="AO1066" s="312">
        <v>56273.580037518848</v>
      </c>
      <c r="AP1066" s="312">
        <v>16582.824702113976</v>
      </c>
      <c r="AQ1066" s="312">
        <v>9265.0512744812168</v>
      </c>
      <c r="AR1066" s="312">
        <v>9572.0790655641995</v>
      </c>
      <c r="AS1066" s="70"/>
    </row>
    <row r="1067" spans="1:45" x14ac:dyDescent="0.3">
      <c r="A1067" s="185">
        <v>2003</v>
      </c>
      <c r="B1067" s="312">
        <v>0</v>
      </c>
      <c r="C1067" s="312">
        <v>20885.572829841971</v>
      </c>
      <c r="D1067" s="312">
        <v>17749.50598490125</v>
      </c>
      <c r="E1067" s="312">
        <v>40903.871503353854</v>
      </c>
      <c r="F1067" s="312">
        <v>14972.179076730688</v>
      </c>
      <c r="G1067" s="312">
        <v>14678.906168975662</v>
      </c>
      <c r="H1067" s="312">
        <v>8767.0795655808779</v>
      </c>
      <c r="I1067" s="312">
        <v>37064.724429941205</v>
      </c>
      <c r="J1067" s="312">
        <v>0</v>
      </c>
      <c r="K1067" s="312">
        <v>38526.791878400378</v>
      </c>
      <c r="L1067" s="312">
        <v>50864.608982481099</v>
      </c>
      <c r="M1067" s="312">
        <v>0</v>
      </c>
      <c r="N1067" s="312">
        <v>42600.749605941586</v>
      </c>
      <c r="O1067" s="312">
        <v>3069.4557345762628</v>
      </c>
      <c r="P1067" s="312">
        <v>8916.0380861500962</v>
      </c>
      <c r="Q1067" s="312">
        <v>0</v>
      </c>
      <c r="R1067" s="312">
        <v>2630.9620582082252</v>
      </c>
      <c r="S1067" s="312">
        <v>2654.3123142113859</v>
      </c>
      <c r="T1067" s="312">
        <v>1486.4148959583758</v>
      </c>
      <c r="U1067" s="312">
        <v>15243.555845113822</v>
      </c>
      <c r="V1067" s="312">
        <v>49586.686337584593</v>
      </c>
      <c r="W1067" s="312">
        <v>3106.6071325530061</v>
      </c>
      <c r="X1067" s="312">
        <v>0</v>
      </c>
      <c r="Y1067" s="312">
        <v>26406.0447123595</v>
      </c>
      <c r="Z1067" s="312">
        <v>12833.771664855396</v>
      </c>
      <c r="AA1067" s="312">
        <v>133473.34054683775</v>
      </c>
      <c r="AB1067" s="312">
        <v>218331.72957637423</v>
      </c>
      <c r="AC1067" s="312">
        <v>7302.6298317573383</v>
      </c>
      <c r="AD1067" s="312">
        <v>141527.63806999646</v>
      </c>
      <c r="AE1067" s="312">
        <v>7326.9773286869149</v>
      </c>
      <c r="AF1067" s="312">
        <v>16608.268345800687</v>
      </c>
      <c r="AG1067" s="312">
        <v>48314.855194526383</v>
      </c>
      <c r="AH1067" s="312">
        <v>28935.409834611979</v>
      </c>
      <c r="AI1067" s="312">
        <v>47293.313540953583</v>
      </c>
      <c r="AJ1067" s="312">
        <v>1787.7743717044809</v>
      </c>
      <c r="AK1067" s="312">
        <v>18731.854036129254</v>
      </c>
      <c r="AL1067" s="312">
        <v>669843.57421334961</v>
      </c>
      <c r="AM1067" s="312">
        <v>29208.146780027146</v>
      </c>
      <c r="AN1067" s="312">
        <v>8040.2990266437464</v>
      </c>
      <c r="AO1067" s="312">
        <v>36112.888457445362</v>
      </c>
      <c r="AP1067" s="312">
        <v>10614.24212996473</v>
      </c>
      <c r="AQ1067" s="312">
        <v>5977.2108158692999</v>
      </c>
      <c r="AR1067" s="312">
        <v>6137.2118856438656</v>
      </c>
      <c r="AS1067" s="70"/>
    </row>
    <row r="1068" spans="1:45" x14ac:dyDescent="0.3">
      <c r="A1068" s="185">
        <v>2004</v>
      </c>
      <c r="B1068" s="312">
        <v>0</v>
      </c>
      <c r="C1068" s="312">
        <v>20840.76429007862</v>
      </c>
      <c r="D1068" s="312">
        <v>17723.856033604883</v>
      </c>
      <c r="E1068" s="312">
        <v>40843.459166025335</v>
      </c>
      <c r="F1068" s="312">
        <v>14947.155299810458</v>
      </c>
      <c r="G1068" s="312">
        <v>14647.079232576865</v>
      </c>
      <c r="H1068" s="312">
        <v>8760.5246116184626</v>
      </c>
      <c r="I1068" s="312">
        <v>37367.192889357873</v>
      </c>
      <c r="J1068" s="312">
        <v>0</v>
      </c>
      <c r="K1068" s="312">
        <v>38465.646153932808</v>
      </c>
      <c r="L1068" s="312">
        <v>50799.292067579467</v>
      </c>
      <c r="M1068" s="312">
        <v>0</v>
      </c>
      <c r="N1068" s="312">
        <v>44466.708735914086</v>
      </c>
      <c r="O1068" s="312">
        <v>3164.6870352403757</v>
      </c>
      <c r="P1068" s="312">
        <v>9192.6623404601396</v>
      </c>
      <c r="Q1068" s="312">
        <v>60.371900826446279</v>
      </c>
      <c r="R1068" s="312">
        <v>2712.5888873488939</v>
      </c>
      <c r="S1068" s="312">
        <v>2265.7759223263542</v>
      </c>
      <c r="T1068" s="312">
        <v>1268.8345165027583</v>
      </c>
      <c r="U1068" s="312">
        <v>15781.708989472605</v>
      </c>
      <c r="V1068" s="312">
        <v>80372.817608389116</v>
      </c>
      <c r="W1068" s="312">
        <v>2651.8641394907654</v>
      </c>
      <c r="X1068" s="312">
        <v>0</v>
      </c>
      <c r="Y1068" s="312">
        <v>45226.477961650453</v>
      </c>
      <c r="Z1068" s="312">
        <v>21591.292606513431</v>
      </c>
      <c r="AA1068" s="312">
        <v>131930.18610040541</v>
      </c>
      <c r="AB1068" s="312">
        <v>217887.95496852504</v>
      </c>
      <c r="AC1068" s="312">
        <v>7529.5294278362107</v>
      </c>
      <c r="AD1068" s="312">
        <v>167393.34769813975</v>
      </c>
      <c r="AE1068" s="312">
        <v>12336.019748666471</v>
      </c>
      <c r="AF1068" s="312">
        <v>26691.039425310737</v>
      </c>
      <c r="AG1068" s="312">
        <v>78479.538281660425</v>
      </c>
      <c r="AH1068" s="312">
        <v>39917.906942940856</v>
      </c>
      <c r="AI1068" s="312">
        <v>76665.10639437272</v>
      </c>
      <c r="AJ1068" s="312">
        <v>2914.9862303003706</v>
      </c>
      <c r="AK1068" s="312">
        <v>31201.703180216682</v>
      </c>
      <c r="AL1068" s="312">
        <v>1110699.2992452774</v>
      </c>
      <c r="AM1068" s="312">
        <v>42286.809937935366</v>
      </c>
      <c r="AN1068" s="312">
        <v>12263.375998109981</v>
      </c>
      <c r="AO1068" s="312">
        <v>59463.199382456289</v>
      </c>
      <c r="AP1068" s="312">
        <v>17210.913722540958</v>
      </c>
      <c r="AQ1068" s="312">
        <v>9851.3627248827688</v>
      </c>
      <c r="AR1068" s="312">
        <v>9937.2877796568846</v>
      </c>
      <c r="AS1068" s="70"/>
    </row>
    <row r="1069" spans="1:45" x14ac:dyDescent="0.3">
      <c r="A1069" s="185">
        <v>2005</v>
      </c>
      <c r="B1069" s="312">
        <v>0</v>
      </c>
      <c r="C1069" s="312">
        <v>20885.572829841971</v>
      </c>
      <c r="D1069" s="312">
        <v>17749.50598490125</v>
      </c>
      <c r="E1069" s="312">
        <v>40903.871503353846</v>
      </c>
      <c r="F1069" s="312">
        <v>14972.179076730688</v>
      </c>
      <c r="G1069" s="312">
        <v>14678.906168975662</v>
      </c>
      <c r="H1069" s="312">
        <v>8767.0795655808779</v>
      </c>
      <c r="I1069" s="312">
        <v>37645.824384811676</v>
      </c>
      <c r="J1069" s="312">
        <v>0</v>
      </c>
      <c r="K1069" s="312">
        <v>38526.791878400378</v>
      </c>
      <c r="L1069" s="312">
        <v>50864.608982481099</v>
      </c>
      <c r="M1069" s="312">
        <v>0</v>
      </c>
      <c r="N1069" s="312">
        <v>44800.806728743286</v>
      </c>
      <c r="O1069" s="312">
        <v>3429.096747691166</v>
      </c>
      <c r="P1069" s="312">
        <v>9960.7096004362447</v>
      </c>
      <c r="Q1069" s="312">
        <v>120.74380165289256</v>
      </c>
      <c r="R1069" s="312">
        <v>2939.2257837352849</v>
      </c>
      <c r="S1069" s="312">
        <v>2608.2572005772681</v>
      </c>
      <c r="T1069" s="312">
        <v>1460.6240323232701</v>
      </c>
      <c r="U1069" s="312">
        <v>18975.143396535826</v>
      </c>
      <c r="V1069" s="312">
        <v>107378.07506040922</v>
      </c>
      <c r="W1069" s="312">
        <v>3052.704227555635</v>
      </c>
      <c r="X1069" s="312">
        <v>0</v>
      </c>
      <c r="Y1069" s="312">
        <v>58890.451991274786</v>
      </c>
      <c r="Z1069" s="312">
        <v>30023.600017709501</v>
      </c>
      <c r="AA1069" s="312">
        <v>132746.48261107539</v>
      </c>
      <c r="AB1069" s="312">
        <v>218331.72957637423</v>
      </c>
      <c r="AC1069" s="312">
        <v>8158.6407491014879</v>
      </c>
      <c r="AD1069" s="312">
        <v>184769.65638463496</v>
      </c>
      <c r="AE1069" s="312">
        <v>15576.966437723551</v>
      </c>
      <c r="AF1069" s="312">
        <v>28747.036487721685</v>
      </c>
      <c r="AG1069" s="312">
        <v>78539.1555029093</v>
      </c>
      <c r="AH1069" s="312">
        <v>38829.401662446602</v>
      </c>
      <c r="AI1069" s="312">
        <v>65056.525682787797</v>
      </c>
      <c r="AJ1069" s="312">
        <v>3246.2633098024357</v>
      </c>
      <c r="AK1069" s="312">
        <v>26215.897689850539</v>
      </c>
      <c r="AL1069" s="312">
        <v>1438334.6782780637</v>
      </c>
      <c r="AM1069" s="312">
        <v>55952.094601971578</v>
      </c>
      <c r="AN1069" s="312">
        <v>21474.311233930555</v>
      </c>
      <c r="AO1069" s="312">
        <v>77558.43276916827</v>
      </c>
      <c r="AP1069" s="312">
        <v>23001.460852030676</v>
      </c>
      <c r="AQ1069" s="312">
        <v>11363.296287739782</v>
      </c>
      <c r="AR1069" s="312">
        <v>13423.810270986847</v>
      </c>
      <c r="AS1069" s="70"/>
    </row>
    <row r="1070" spans="1:45" x14ac:dyDescent="0.3">
      <c r="A1070" s="185">
        <v>2006</v>
      </c>
      <c r="B1070" s="312">
        <v>0</v>
      </c>
      <c r="C1070" s="312">
        <v>20885.572829841971</v>
      </c>
      <c r="D1070" s="312">
        <v>17749.50598490125</v>
      </c>
      <c r="E1070" s="312">
        <v>40903.871503353846</v>
      </c>
      <c r="F1070" s="312">
        <v>14972.179076730688</v>
      </c>
      <c r="G1070" s="312">
        <v>14678.906168975662</v>
      </c>
      <c r="H1070" s="312">
        <v>8767.0795655808779</v>
      </c>
      <c r="I1070" s="312">
        <v>37821.868599011847</v>
      </c>
      <c r="J1070" s="312">
        <v>0</v>
      </c>
      <c r="K1070" s="312">
        <v>38526.791878400378</v>
      </c>
      <c r="L1070" s="312">
        <v>50864.608982481099</v>
      </c>
      <c r="M1070" s="312">
        <v>0</v>
      </c>
      <c r="N1070" s="312">
        <v>46461.754921057407</v>
      </c>
      <c r="O1070" s="312">
        <v>3461.1848579673128</v>
      </c>
      <c r="P1070" s="312">
        <v>10053.917920762193</v>
      </c>
      <c r="Q1070" s="312">
        <v>181.11570247933884</v>
      </c>
      <c r="R1070" s="312">
        <v>2966.7298782576968</v>
      </c>
      <c r="S1070" s="312">
        <v>2672.5310646032199</v>
      </c>
      <c r="T1070" s="312">
        <v>1496.6173961778029</v>
      </c>
      <c r="U1070" s="312">
        <v>19921.732336975529</v>
      </c>
      <c r="V1070" s="312">
        <v>134250.41825278531</v>
      </c>
      <c r="W1070" s="312">
        <v>3127.9303580116089</v>
      </c>
      <c r="X1070" s="312">
        <v>0</v>
      </c>
      <c r="Y1070" s="312">
        <v>77636.715918863789</v>
      </c>
      <c r="Z1070" s="312">
        <v>42035.05228347853</v>
      </c>
      <c r="AA1070" s="312">
        <v>126108.19820783412</v>
      </c>
      <c r="AB1070" s="312">
        <v>218331.72957637423</v>
      </c>
      <c r="AC1070" s="312">
        <v>8223.6970267533943</v>
      </c>
      <c r="AD1070" s="312">
        <v>223568.95406810919</v>
      </c>
      <c r="AE1070" s="312">
        <v>23612.290089434315</v>
      </c>
      <c r="AF1070" s="312">
        <v>41746.732288675084</v>
      </c>
      <c r="AG1070" s="312">
        <v>159567.09582593036</v>
      </c>
      <c r="AH1070" s="312">
        <v>73815.966402213147</v>
      </c>
      <c r="AI1070" s="312">
        <v>140418.91277979157</v>
      </c>
      <c r="AJ1070" s="312">
        <v>5271.3665824288355</v>
      </c>
      <c r="AK1070" s="312">
        <v>56375.663182369768</v>
      </c>
      <c r="AL1070" s="312">
        <v>2035356.4991148126</v>
      </c>
      <c r="AM1070" s="312">
        <v>82501.934152435453</v>
      </c>
      <c r="AN1070" s="312">
        <v>24958.511584468444</v>
      </c>
      <c r="AO1070" s="312">
        <v>104789.59749554194</v>
      </c>
      <c r="AP1070" s="312">
        <v>34172.254042633249</v>
      </c>
      <c r="AQ1070" s="312">
        <v>16502.945418960455</v>
      </c>
      <c r="AR1070" s="312">
        <v>16781.209769614637</v>
      </c>
      <c r="AS1070" s="70"/>
    </row>
    <row r="1071" spans="1:45" x14ac:dyDescent="0.3">
      <c r="A1071" s="185">
        <v>2007</v>
      </c>
      <c r="B1071" s="312">
        <v>0</v>
      </c>
      <c r="C1071" s="312">
        <v>20885.572829841971</v>
      </c>
      <c r="D1071" s="312">
        <v>17749.50598490125</v>
      </c>
      <c r="E1071" s="312">
        <v>40903.871503353854</v>
      </c>
      <c r="F1071" s="312">
        <v>14972.179076730688</v>
      </c>
      <c r="G1071" s="312">
        <v>14678.906168975662</v>
      </c>
      <c r="H1071" s="312">
        <v>8767.0795655808561</v>
      </c>
      <c r="I1071" s="312">
        <v>34351.406408582057</v>
      </c>
      <c r="J1071" s="312">
        <v>0</v>
      </c>
      <c r="K1071" s="312">
        <v>38526.791878400378</v>
      </c>
      <c r="L1071" s="312">
        <v>50864.608982481099</v>
      </c>
      <c r="M1071" s="312">
        <v>0</v>
      </c>
      <c r="N1071" s="312">
        <v>44376.457450010581</v>
      </c>
      <c r="O1071" s="312">
        <v>3461.1848579673106</v>
      </c>
      <c r="P1071" s="312">
        <v>10053.917920762189</v>
      </c>
      <c r="Q1071" s="312">
        <v>241.48760330578511</v>
      </c>
      <c r="R1071" s="312">
        <v>2966.7298782576945</v>
      </c>
      <c r="S1071" s="312">
        <v>1951.3423818037788</v>
      </c>
      <c r="T1071" s="312">
        <v>1092.7517338101161</v>
      </c>
      <c r="U1071" s="312">
        <v>17786.084757017456</v>
      </c>
      <c r="V1071" s="312">
        <v>78217.333115054425</v>
      </c>
      <c r="W1071" s="312">
        <v>2283.851123663143</v>
      </c>
      <c r="X1071" s="312">
        <v>0</v>
      </c>
      <c r="Y1071" s="312">
        <v>55975.517316072481</v>
      </c>
      <c r="Z1071" s="312">
        <v>31169.960487456887</v>
      </c>
      <c r="AA1071" s="312">
        <v>134436.28044821374</v>
      </c>
      <c r="AB1071" s="312">
        <v>208519.27465226292</v>
      </c>
      <c r="AC1071" s="312">
        <v>8223.6970267533943</v>
      </c>
      <c r="AD1071" s="312">
        <v>194611.0817330665</v>
      </c>
      <c r="AE1071" s="312">
        <v>21804.08892107031</v>
      </c>
      <c r="AF1071" s="312">
        <v>36454.631180989694</v>
      </c>
      <c r="AG1071" s="312">
        <v>136343.41594789387</v>
      </c>
      <c r="AH1071" s="312">
        <v>83591.912173469944</v>
      </c>
      <c r="AI1071" s="312">
        <v>139610.74610146717</v>
      </c>
      <c r="AJ1071" s="312">
        <v>5466.1252134994647</v>
      </c>
      <c r="AK1071" s="312">
        <v>56259.552195769887</v>
      </c>
      <c r="AL1071" s="312">
        <v>1252465.4400933718</v>
      </c>
      <c r="AM1071" s="312">
        <v>77784.965506175766</v>
      </c>
      <c r="AN1071" s="312">
        <v>11289.731877802664</v>
      </c>
      <c r="AO1071" s="312">
        <v>66455.590160698397</v>
      </c>
      <c r="AP1071" s="312">
        <v>16757.102873892534</v>
      </c>
      <c r="AQ1071" s="312">
        <v>13474.9715789334</v>
      </c>
      <c r="AR1071" s="312">
        <v>9674.3773788477429</v>
      </c>
      <c r="AS1071" s="70"/>
    </row>
    <row r="1072" spans="1:45" x14ac:dyDescent="0.3">
      <c r="A1072" s="185">
        <v>2008</v>
      </c>
      <c r="B1072" s="312">
        <v>0</v>
      </c>
      <c r="C1072" s="312">
        <v>20840.76429007862</v>
      </c>
      <c r="D1072" s="312">
        <v>17362.84472933162</v>
      </c>
      <c r="E1072" s="312">
        <v>40843.459166025335</v>
      </c>
      <c r="F1072" s="312">
        <v>14947.155299810458</v>
      </c>
      <c r="G1072" s="312">
        <v>14647.079232576865</v>
      </c>
      <c r="H1072" s="312">
        <v>8760.5246116185026</v>
      </c>
      <c r="I1072" s="312">
        <v>29408.296389041228</v>
      </c>
      <c r="J1072" s="312">
        <v>0</v>
      </c>
      <c r="K1072" s="312">
        <v>34070.561674050958</v>
      </c>
      <c r="L1072" s="312">
        <v>50799.292067579467</v>
      </c>
      <c r="M1072" s="312">
        <v>0</v>
      </c>
      <c r="N1072" s="312">
        <v>40162.772706520525</v>
      </c>
      <c r="O1072" s="312">
        <v>2687.841409240441</v>
      </c>
      <c r="P1072" s="312">
        <v>7807.5393316031859</v>
      </c>
      <c r="Q1072" s="312">
        <v>301.85950413223139</v>
      </c>
      <c r="R1072" s="312">
        <v>2303.8640650632351</v>
      </c>
      <c r="S1072" s="312">
        <v>1990.2033660793227</v>
      </c>
      <c r="T1072" s="312">
        <v>1114.5138850044207</v>
      </c>
      <c r="U1072" s="312">
        <v>11610.458996554118</v>
      </c>
      <c r="V1072" s="312">
        <v>25123.530560523232</v>
      </c>
      <c r="W1072" s="312">
        <v>2329.3340196592399</v>
      </c>
      <c r="X1072" s="312">
        <v>0</v>
      </c>
      <c r="Y1072" s="312">
        <v>15056.331624060118</v>
      </c>
      <c r="Z1072" s="312">
        <v>7442.95708472768</v>
      </c>
      <c r="AA1072" s="312">
        <v>142661.81364033074</v>
      </c>
      <c r="AB1072" s="312">
        <v>188709.74931292466</v>
      </c>
      <c r="AC1072" s="312">
        <v>6359.5963109912436</v>
      </c>
      <c r="AD1072" s="312">
        <v>112399.25797504857</v>
      </c>
      <c r="AE1072" s="312">
        <v>4426.5225803783169</v>
      </c>
      <c r="AF1072" s="312">
        <v>9271.1436879725061</v>
      </c>
      <c r="AG1072" s="312">
        <v>28243.183654689048</v>
      </c>
      <c r="AH1072" s="312">
        <v>16980.747459673101</v>
      </c>
      <c r="AI1072" s="312">
        <v>28409.873080431469</v>
      </c>
      <c r="AJ1072" s="312">
        <v>1051.7677854169419</v>
      </c>
      <c r="AK1072" s="312">
        <v>11457.414008809717</v>
      </c>
      <c r="AL1072" s="312">
        <v>375083.90928619722</v>
      </c>
      <c r="AM1072" s="312">
        <v>17300.864043101952</v>
      </c>
      <c r="AN1072" s="312">
        <v>4576.538492362427</v>
      </c>
      <c r="AO1072" s="312">
        <v>20575.726748244586</v>
      </c>
      <c r="AP1072" s="312">
        <v>5372.3544710502701</v>
      </c>
      <c r="AQ1072" s="312">
        <v>3440.7775959140358</v>
      </c>
      <c r="AR1072" s="312">
        <v>3112.2831369436644</v>
      </c>
      <c r="AS1072" s="70"/>
    </row>
    <row r="1073" spans="1:45" x14ac:dyDescent="0.3">
      <c r="A1073" s="185">
        <v>2009</v>
      </c>
      <c r="B1073" s="312">
        <v>0</v>
      </c>
      <c r="C1073" s="312">
        <v>20885.572829841971</v>
      </c>
      <c r="D1073" s="312">
        <v>17319.582826032198</v>
      </c>
      <c r="E1073" s="312">
        <v>40903.871503353854</v>
      </c>
      <c r="F1073" s="312">
        <v>14972.179076730688</v>
      </c>
      <c r="G1073" s="312">
        <v>14678.90616897566</v>
      </c>
      <c r="H1073" s="312">
        <v>8767.0795655808761</v>
      </c>
      <c r="I1073" s="312">
        <v>24519.809770287186</v>
      </c>
      <c r="J1073" s="312">
        <v>0</v>
      </c>
      <c r="K1073" s="312">
        <v>33412.81237135132</v>
      </c>
      <c r="L1073" s="312">
        <v>50864.608982481099</v>
      </c>
      <c r="M1073" s="312">
        <v>0</v>
      </c>
      <c r="N1073" s="312">
        <v>22801.766734312405</v>
      </c>
      <c r="O1073" s="312">
        <v>2465.2282907911931</v>
      </c>
      <c r="P1073" s="312">
        <v>7160.90122563156</v>
      </c>
      <c r="Q1073" s="312">
        <v>362.23140495867767</v>
      </c>
      <c r="R1073" s="312">
        <v>2113.0528206781655</v>
      </c>
      <c r="S1073" s="312">
        <v>2640.628324363674</v>
      </c>
      <c r="T1073" s="312">
        <v>1478.7518616436571</v>
      </c>
      <c r="U1073" s="312">
        <v>9325.3896332594522</v>
      </c>
      <c r="V1073" s="312">
        <v>40430.543882891732</v>
      </c>
      <c r="W1073" s="312">
        <v>3090.5913908352441</v>
      </c>
      <c r="X1073" s="312">
        <v>0</v>
      </c>
      <c r="Y1073" s="312">
        <v>23322.749911620762</v>
      </c>
      <c r="Z1073" s="312">
        <v>11906.576331680901</v>
      </c>
      <c r="AA1073" s="312">
        <v>147462.20839322309</v>
      </c>
      <c r="AB1073" s="312">
        <v>212782.20423288876</v>
      </c>
      <c r="AC1073" s="312">
        <v>5820.2245282780477</v>
      </c>
      <c r="AD1073" s="312">
        <v>114199.55740042802</v>
      </c>
      <c r="AE1073" s="312">
        <v>7085.1472282073519</v>
      </c>
      <c r="AF1073" s="312">
        <v>13685.782987254273</v>
      </c>
      <c r="AG1073" s="312">
        <v>42598.511347285901</v>
      </c>
      <c r="AH1073" s="312">
        <v>24815.43536702243</v>
      </c>
      <c r="AI1073" s="312">
        <v>41541.111168303039</v>
      </c>
      <c r="AJ1073" s="312">
        <v>1658.0869270216181</v>
      </c>
      <c r="AK1073" s="312">
        <v>16755.885032240039</v>
      </c>
      <c r="AL1073" s="312">
        <v>564368.51535290049</v>
      </c>
      <c r="AM1073" s="312">
        <v>26314.2837181676</v>
      </c>
      <c r="AN1073" s="312">
        <v>6965.542393861966</v>
      </c>
      <c r="AO1073" s="312">
        <v>30553.226332003542</v>
      </c>
      <c r="AP1073" s="312">
        <v>8646.1897633511453</v>
      </c>
      <c r="AQ1073" s="312">
        <v>5140.6420046020048</v>
      </c>
      <c r="AR1073" s="312">
        <v>5008.8635707673311</v>
      </c>
      <c r="AS1073" s="70"/>
    </row>
    <row r="1074" spans="1:45" x14ac:dyDescent="0.3">
      <c r="A1074" s="185">
        <v>2010</v>
      </c>
      <c r="B1074" s="312">
        <v>0</v>
      </c>
      <c r="C1074" s="312">
        <v>20885.572829841971</v>
      </c>
      <c r="D1074" s="312">
        <v>17716.523664751072</v>
      </c>
      <c r="E1074" s="312">
        <v>40903.871503353846</v>
      </c>
      <c r="F1074" s="312">
        <v>14972.179076730688</v>
      </c>
      <c r="G1074" s="312">
        <v>14678.906168976853</v>
      </c>
      <c r="H1074" s="312">
        <v>8767.0795655808761</v>
      </c>
      <c r="I1074" s="312">
        <v>31287.927165842211</v>
      </c>
      <c r="J1074" s="312">
        <v>0</v>
      </c>
      <c r="K1074" s="312">
        <v>38080.781156471305</v>
      </c>
      <c r="L1074" s="312">
        <v>50864.608982481099</v>
      </c>
      <c r="M1074" s="312">
        <v>0</v>
      </c>
      <c r="N1074" s="312">
        <v>22866.016715394282</v>
      </c>
      <c r="O1074" s="312">
        <v>2760.8469572581907</v>
      </c>
      <c r="P1074" s="312">
        <v>8019.6030663214096</v>
      </c>
      <c r="Q1074" s="312">
        <v>422.60330578512395</v>
      </c>
      <c r="R1074" s="312">
        <v>2366.4402490784487</v>
      </c>
      <c r="S1074" s="312">
        <v>2664.728547846431</v>
      </c>
      <c r="T1074" s="312">
        <v>1492.2479867940012</v>
      </c>
      <c r="U1074" s="312">
        <v>13248.489163043218</v>
      </c>
      <c r="V1074" s="312">
        <v>74657.050988248462</v>
      </c>
      <c r="W1074" s="312">
        <v>3118.7982923994628</v>
      </c>
      <c r="X1074" s="312">
        <v>0</v>
      </c>
      <c r="Y1074" s="312">
        <v>41356.688941841145</v>
      </c>
      <c r="Z1074" s="312">
        <v>19521.552041801919</v>
      </c>
      <c r="AA1074" s="312">
        <v>139925.07539164991</v>
      </c>
      <c r="AB1074" s="312">
        <v>218331.72957637423</v>
      </c>
      <c r="AC1074" s="312">
        <v>6572.7845582335813</v>
      </c>
      <c r="AD1074" s="312">
        <v>148824.75051874825</v>
      </c>
      <c r="AE1074" s="312">
        <v>10846.58957415375</v>
      </c>
      <c r="AF1074" s="312">
        <v>24586.859933320793</v>
      </c>
      <c r="AG1074" s="312">
        <v>70646.226374557096</v>
      </c>
      <c r="AH1074" s="312">
        <v>35669.241349900549</v>
      </c>
      <c r="AI1074" s="312">
        <v>67708.551412268862</v>
      </c>
      <c r="AJ1074" s="312">
        <v>2620.6551453849056</v>
      </c>
      <c r="AK1074" s="312">
        <v>27283.154934935872</v>
      </c>
      <c r="AL1074" s="312">
        <v>1029656.0100855184</v>
      </c>
      <c r="AM1074" s="312">
        <v>37575.189223657791</v>
      </c>
      <c r="AN1074" s="312">
        <v>11182.014468524032</v>
      </c>
      <c r="AO1074" s="312">
        <v>54567.537874909896</v>
      </c>
      <c r="AP1074" s="312">
        <v>15996.078373453214</v>
      </c>
      <c r="AQ1074" s="312">
        <v>9009.0862090215705</v>
      </c>
      <c r="AR1074" s="312">
        <v>9233.5854329333815</v>
      </c>
      <c r="AS1074" s="70"/>
    </row>
    <row r="1075" spans="1:45" x14ac:dyDescent="0.3">
      <c r="A1075" s="185">
        <v>2011</v>
      </c>
      <c r="B1075" s="312">
        <v>0</v>
      </c>
      <c r="C1075" s="312">
        <v>20885.572829841971</v>
      </c>
      <c r="D1075" s="312">
        <v>17749.505984901254</v>
      </c>
      <c r="E1075" s="312">
        <v>40903.871503353854</v>
      </c>
      <c r="F1075" s="312">
        <v>14972.179076730687</v>
      </c>
      <c r="G1075" s="312">
        <v>14678.906168975662</v>
      </c>
      <c r="H1075" s="312">
        <v>8767.0795655808761</v>
      </c>
      <c r="I1075" s="312">
        <v>37240.645251292597</v>
      </c>
      <c r="J1075" s="312">
        <v>0</v>
      </c>
      <c r="K1075" s="312">
        <v>38526.791878400712</v>
      </c>
      <c r="L1075" s="312">
        <v>50864.608982481099</v>
      </c>
      <c r="M1075" s="312">
        <v>0</v>
      </c>
      <c r="N1075" s="312">
        <v>44261.697798255693</v>
      </c>
      <c r="O1075" s="312">
        <v>3385.4376810101598</v>
      </c>
      <c r="P1075" s="312">
        <v>9833.8904067437961</v>
      </c>
      <c r="Q1075" s="312">
        <v>482.97520661157023</v>
      </c>
      <c r="R1075" s="312">
        <v>2901.8037265801368</v>
      </c>
      <c r="S1075" s="312">
        <v>2603.6234447061911</v>
      </c>
      <c r="T1075" s="312">
        <v>1458.0291290354669</v>
      </c>
      <c r="U1075" s="312">
        <v>19392.679001367556</v>
      </c>
      <c r="V1075" s="312">
        <v>134427.49062205464</v>
      </c>
      <c r="W1075" s="312">
        <v>3047.2808796841259</v>
      </c>
      <c r="X1075" s="312">
        <v>0</v>
      </c>
      <c r="Y1075" s="312">
        <v>69159.42968366752</v>
      </c>
      <c r="Z1075" s="312">
        <v>34556.563322642716</v>
      </c>
      <c r="AA1075" s="312">
        <v>127493.01474444639</v>
      </c>
      <c r="AB1075" s="312">
        <v>218331.72957637423</v>
      </c>
      <c r="AC1075" s="312">
        <v>8070.1252341420459</v>
      </c>
      <c r="AD1075" s="312">
        <v>230177.57308448089</v>
      </c>
      <c r="AE1075" s="312">
        <v>16381.234663720383</v>
      </c>
      <c r="AF1075" s="312">
        <v>42384.259506857692</v>
      </c>
      <c r="AG1075" s="312">
        <v>105208.78704951282</v>
      </c>
      <c r="AH1075" s="312">
        <v>38887.546261118245</v>
      </c>
      <c r="AI1075" s="312">
        <v>88878.795518206753</v>
      </c>
      <c r="AJ1075" s="312">
        <v>3265.5151631371714</v>
      </c>
      <c r="AK1075" s="312">
        <v>35745.191196065804</v>
      </c>
      <c r="AL1075" s="312">
        <v>2029070.2890838371</v>
      </c>
      <c r="AM1075" s="312">
        <v>56419.578819562761</v>
      </c>
      <c r="AN1075" s="312">
        <v>25671.6383392182</v>
      </c>
      <c r="AO1075" s="312">
        <v>93741.957631753496</v>
      </c>
      <c r="AP1075" s="312">
        <v>34319.665780282157</v>
      </c>
      <c r="AQ1075" s="312">
        <v>13430.545124218421</v>
      </c>
      <c r="AR1075" s="312">
        <v>16830.165220788262</v>
      </c>
      <c r="AS1075" s="70"/>
    </row>
    <row r="1076" spans="1:45" x14ac:dyDescent="0.3">
      <c r="A1076" s="185">
        <v>2012</v>
      </c>
      <c r="B1076" s="312">
        <v>0</v>
      </c>
      <c r="C1076" s="312">
        <v>20840.76429007862</v>
      </c>
      <c r="D1076" s="312">
        <v>17700.448873774749</v>
      </c>
      <c r="E1076" s="312">
        <v>40843.459166025335</v>
      </c>
      <c r="F1076" s="312">
        <v>14947.155299810458</v>
      </c>
      <c r="G1076" s="312">
        <v>14647.079232576927</v>
      </c>
      <c r="H1076" s="312">
        <v>8760.5246116185044</v>
      </c>
      <c r="I1076" s="312">
        <v>34075.399005636653</v>
      </c>
      <c r="J1076" s="312">
        <v>0</v>
      </c>
      <c r="K1076" s="312">
        <v>38169.359363900476</v>
      </c>
      <c r="L1076" s="312">
        <v>50799.292067579467</v>
      </c>
      <c r="M1076" s="312">
        <v>0</v>
      </c>
      <c r="N1076" s="312">
        <v>44113.06791375266</v>
      </c>
      <c r="O1076" s="312">
        <v>3384.5106718050333</v>
      </c>
      <c r="P1076" s="312">
        <v>9831.1976657193827</v>
      </c>
      <c r="Q1076" s="312">
        <v>543.34710743801656</v>
      </c>
      <c r="R1076" s="312">
        <v>2901.0091472614577</v>
      </c>
      <c r="S1076" s="312">
        <v>2120.2492082320364</v>
      </c>
      <c r="T1076" s="312">
        <v>1187.3395566099405</v>
      </c>
      <c r="U1076" s="312">
        <v>17545.275681353993</v>
      </c>
      <c r="V1076" s="312">
        <v>69922.40299275094</v>
      </c>
      <c r="W1076" s="312">
        <v>2481.5396733147759</v>
      </c>
      <c r="X1076" s="312">
        <v>0</v>
      </c>
      <c r="Y1076" s="312">
        <v>52275.557351962765</v>
      </c>
      <c r="Z1076" s="312">
        <v>30674.129629657171</v>
      </c>
      <c r="AA1076" s="312">
        <v>135218.7286202012</v>
      </c>
      <c r="AB1076" s="312">
        <v>215186.51900581492</v>
      </c>
      <c r="AC1076" s="312">
        <v>7948.070875084235</v>
      </c>
      <c r="AD1076" s="312">
        <v>184973.82038275231</v>
      </c>
      <c r="AE1076" s="312">
        <v>21762.326183795856</v>
      </c>
      <c r="AF1076" s="312">
        <v>33888.304518626486</v>
      </c>
      <c r="AG1076" s="312">
        <v>131969.50113629803</v>
      </c>
      <c r="AH1076" s="312">
        <v>83026.194069285179</v>
      </c>
      <c r="AI1076" s="312">
        <v>135801.67773158289</v>
      </c>
      <c r="AJ1076" s="312">
        <v>5450.5016251107927</v>
      </c>
      <c r="AK1076" s="312">
        <v>54194.341642463754</v>
      </c>
      <c r="AL1076" s="312">
        <v>1145912.967897878</v>
      </c>
      <c r="AM1076" s="312">
        <v>80796.520585438484</v>
      </c>
      <c r="AN1076" s="312">
        <v>11268.148696134118</v>
      </c>
      <c r="AO1076" s="312">
        <v>60938.765535038765</v>
      </c>
      <c r="AP1076" s="312">
        <v>14974.154360368047</v>
      </c>
      <c r="AQ1076" s="312">
        <v>12645.783261841641</v>
      </c>
      <c r="AR1076" s="312">
        <v>8655.8708414507346</v>
      </c>
      <c r="AS1076" s="70"/>
    </row>
    <row r="1077" spans="1:45" x14ac:dyDescent="0.3">
      <c r="A1077" s="185">
        <v>2013</v>
      </c>
      <c r="B1077" s="312">
        <v>0</v>
      </c>
      <c r="C1077" s="312">
        <v>19696.669941219407</v>
      </c>
      <c r="D1077" s="312">
        <v>17749.505984901254</v>
      </c>
      <c r="E1077" s="312">
        <v>39162.297522018984</v>
      </c>
      <c r="F1077" s="312">
        <v>14972.179076730688</v>
      </c>
      <c r="G1077" s="312">
        <v>14678.906168975662</v>
      </c>
      <c r="H1077" s="312">
        <v>7837.3055240811318</v>
      </c>
      <c r="I1077" s="312">
        <v>33563.032962703619</v>
      </c>
      <c r="J1077" s="312">
        <v>0</v>
      </c>
      <c r="K1077" s="312">
        <v>37823.646423217397</v>
      </c>
      <c r="L1077" s="312">
        <v>50172.152944210546</v>
      </c>
      <c r="M1077" s="312">
        <v>0</v>
      </c>
      <c r="N1077" s="312">
        <v>40465.244787252006</v>
      </c>
      <c r="O1077" s="312">
        <v>2872.8701615143732</v>
      </c>
      <c r="P1077" s="312">
        <v>8345.0038024941314</v>
      </c>
      <c r="Q1077" s="312">
        <v>603.71900826446279</v>
      </c>
      <c r="R1077" s="312">
        <v>2462.4601384408911</v>
      </c>
      <c r="S1077" s="312">
        <v>1537.6278306916349</v>
      </c>
      <c r="T1077" s="312">
        <v>861.07158518731546</v>
      </c>
      <c r="U1077" s="312">
        <v>14028.847638059615</v>
      </c>
      <c r="V1077" s="312">
        <v>61734.846916798931</v>
      </c>
      <c r="W1077" s="312">
        <v>1799.6396130414896</v>
      </c>
      <c r="X1077" s="312">
        <v>0</v>
      </c>
      <c r="Y1077" s="312">
        <v>37034.350847484289</v>
      </c>
      <c r="Z1077" s="312">
        <v>19866.949982376183</v>
      </c>
      <c r="AA1077" s="312">
        <v>136371.55906716376</v>
      </c>
      <c r="AB1077" s="312">
        <v>193674.97224633532</v>
      </c>
      <c r="AC1077" s="312">
        <v>6799.4171045446274</v>
      </c>
      <c r="AD1077" s="312">
        <v>144459.20712213294</v>
      </c>
      <c r="AE1077" s="312">
        <v>11923.710110210426</v>
      </c>
      <c r="AF1077" s="312">
        <v>20752.807190460895</v>
      </c>
      <c r="AG1077" s="312">
        <v>64481.84951116841</v>
      </c>
      <c r="AH1077" s="312">
        <v>36581.604662493752</v>
      </c>
      <c r="AI1077" s="312">
        <v>51718.930360049904</v>
      </c>
      <c r="AJ1077" s="312">
        <v>2607.5832023382704</v>
      </c>
      <c r="AK1077" s="312">
        <v>17182.938960244745</v>
      </c>
      <c r="AL1077" s="312">
        <v>848986.53215277288</v>
      </c>
      <c r="AM1077" s="312">
        <v>39687.23818998428</v>
      </c>
      <c r="AN1077" s="312">
        <v>10623.75893657113</v>
      </c>
      <c r="AO1077" s="312">
        <v>44280.250351840019</v>
      </c>
      <c r="AP1077" s="312">
        <v>13196.966570308899</v>
      </c>
      <c r="AQ1077" s="312">
        <v>7557.8697536872223</v>
      </c>
      <c r="AR1077" s="312">
        <v>667.6344459215494</v>
      </c>
      <c r="AS1077" s="70"/>
    </row>
    <row r="1078" spans="1:45" x14ac:dyDescent="0.3">
      <c r="A1078" s="185">
        <v>2014</v>
      </c>
      <c r="B1078" s="312">
        <v>0</v>
      </c>
      <c r="C1078" s="312">
        <v>14220.125262411968</v>
      </c>
      <c r="D1078" s="312">
        <v>14492.755802419231</v>
      </c>
      <c r="E1078" s="312">
        <v>29500.04929236422</v>
      </c>
      <c r="F1078" s="312">
        <v>14972.179076730688</v>
      </c>
      <c r="G1078" s="312">
        <v>14678.906168975662</v>
      </c>
      <c r="H1078" s="312">
        <v>4233.9465567380566</v>
      </c>
      <c r="I1078" s="312">
        <v>23615.24332034307</v>
      </c>
      <c r="J1078" s="312">
        <v>0</v>
      </c>
      <c r="K1078" s="312">
        <v>23845.890875316596</v>
      </c>
      <c r="L1078" s="312">
        <v>44961.799840328516</v>
      </c>
      <c r="M1078" s="312">
        <v>0</v>
      </c>
      <c r="N1078" s="312">
        <v>31512.273097149762</v>
      </c>
      <c r="O1078" s="312">
        <v>1852.456357569602</v>
      </c>
      <c r="P1078" s="312">
        <v>5380.9446577021781</v>
      </c>
      <c r="Q1078" s="312">
        <v>664.09090909090901</v>
      </c>
      <c r="R1078" s="312">
        <v>1587.8197350596588</v>
      </c>
      <c r="S1078" s="312">
        <v>800.89478992272791</v>
      </c>
      <c r="T1078" s="312">
        <v>448.50108235672764</v>
      </c>
      <c r="U1078" s="312">
        <v>5776.0759314289498</v>
      </c>
      <c r="V1078" s="312">
        <v>6174.0340488266766</v>
      </c>
      <c r="W1078" s="312">
        <v>937.36726212556084</v>
      </c>
      <c r="X1078" s="312">
        <v>0</v>
      </c>
      <c r="Y1078" s="312">
        <v>3327.4045691571869</v>
      </c>
      <c r="Z1078" s="312">
        <v>1634.7873897349436</v>
      </c>
      <c r="AA1078" s="312">
        <v>149346.25920210881</v>
      </c>
      <c r="AB1078" s="312">
        <v>186213.35317782615</v>
      </c>
      <c r="AC1078" s="312">
        <v>4358.9185012076196</v>
      </c>
      <c r="AD1078" s="312">
        <v>67627.018514301453</v>
      </c>
      <c r="AE1078" s="312">
        <v>971.81630099535141</v>
      </c>
      <c r="AF1078" s="312">
        <v>2090.1910956183988</v>
      </c>
      <c r="AG1078" s="312">
        <v>6270.6479651675436</v>
      </c>
      <c r="AH1078" s="312">
        <v>3789.7238412166917</v>
      </c>
      <c r="AI1078" s="312">
        <v>6343.7523353786983</v>
      </c>
      <c r="AJ1078" s="312">
        <v>231.50873908290455</v>
      </c>
      <c r="AK1078" s="312">
        <v>2558.8679338244328</v>
      </c>
      <c r="AL1078" s="312">
        <v>83334.214865061454</v>
      </c>
      <c r="AM1078" s="312">
        <v>3834.8019821462726</v>
      </c>
      <c r="AN1078" s="312">
        <v>1026.1958919193062</v>
      </c>
      <c r="AO1078" s="312">
        <v>4583.4050959307115</v>
      </c>
      <c r="AP1078" s="312">
        <v>1320.3199739814654</v>
      </c>
      <c r="AQ1078" s="312">
        <v>766.3099200286797</v>
      </c>
      <c r="AR1078" s="312">
        <v>764.88057750758969</v>
      </c>
      <c r="AS1078" s="70"/>
    </row>
    <row r="1079" spans="1:45" x14ac:dyDescent="0.3">
      <c r="A1079" s="185"/>
      <c r="B1079" s="185"/>
      <c r="C1079" s="190"/>
      <c r="D1079" s="190"/>
      <c r="E1079" s="190"/>
      <c r="F1079" s="190"/>
      <c r="G1079" s="190"/>
      <c r="H1079" s="190"/>
      <c r="I1079" s="190"/>
      <c r="J1079" s="190"/>
      <c r="K1079" s="190"/>
      <c r="L1079" s="190"/>
      <c r="M1079" s="190"/>
      <c r="N1079" s="190"/>
      <c r="O1079" s="190"/>
      <c r="P1079" s="190"/>
      <c r="Q1079" s="190"/>
      <c r="R1079" s="190"/>
      <c r="S1079" s="190"/>
      <c r="T1079" s="190"/>
      <c r="U1079" s="190"/>
      <c r="V1079" s="190"/>
      <c r="W1079" s="190"/>
      <c r="X1079" s="190"/>
      <c r="Y1079" s="190"/>
      <c r="Z1079" s="190"/>
      <c r="AA1079" s="190"/>
      <c r="AB1079" s="190"/>
      <c r="AC1079" s="190"/>
      <c r="AD1079" s="190"/>
      <c r="AE1079" s="190"/>
      <c r="AF1079" s="190"/>
      <c r="AG1079" s="190"/>
      <c r="AH1079" s="190"/>
      <c r="AI1079" s="190"/>
      <c r="AJ1079" s="190"/>
      <c r="AK1079" s="190"/>
      <c r="AL1079" s="190"/>
      <c r="AM1079" s="190"/>
      <c r="AN1079" s="190"/>
      <c r="AO1079" s="190"/>
      <c r="AP1079" s="190"/>
      <c r="AQ1079" s="190"/>
      <c r="AR1079" s="190"/>
      <c r="AS1079" s="70"/>
    </row>
    <row r="1080" spans="1:45" collapsed="1" x14ac:dyDescent="0.3">
      <c r="A1080" s="70"/>
      <c r="B1080" s="70"/>
      <c r="C1080" s="70"/>
      <c r="D1080" s="70"/>
      <c r="E1080" s="70"/>
      <c r="F1080" s="70"/>
      <c r="G1080" s="70"/>
      <c r="H1080" s="70"/>
      <c r="I1080" s="70"/>
      <c r="J1080"/>
      <c r="K1080" s="70"/>
      <c r="L1080" s="70"/>
      <c r="M1080" s="70"/>
      <c r="N1080" s="70"/>
      <c r="O1080" s="70"/>
      <c r="P1080" s="70"/>
      <c r="Q1080" s="70"/>
      <c r="R1080" s="70"/>
      <c r="S1080" s="70"/>
      <c r="T1080" s="70"/>
      <c r="U1080" s="70"/>
      <c r="V1080" s="70"/>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row>
    <row r="1081" spans="1:45" x14ac:dyDescent="0.3">
      <c r="J1081"/>
    </row>
    <row r="1082" spans="1:45" x14ac:dyDescent="0.3">
      <c r="J1082"/>
    </row>
    <row r="1083" spans="1:45" x14ac:dyDescent="0.3">
      <c r="J1083"/>
    </row>
    <row r="1084" spans="1:45" x14ac:dyDescent="0.3">
      <c r="J1084"/>
    </row>
    <row r="1085" spans="1:45" x14ac:dyDescent="0.3">
      <c r="J1085"/>
    </row>
    <row r="1086" spans="1:45" x14ac:dyDescent="0.3">
      <c r="J1086"/>
    </row>
    <row r="1087" spans="1:45" x14ac:dyDescent="0.3">
      <c r="J1087"/>
    </row>
    <row r="1088" spans="1:45" x14ac:dyDescent="0.3">
      <c r="J1088"/>
    </row>
    <row r="1089" spans="10:10" x14ac:dyDescent="0.3">
      <c r="J1089"/>
    </row>
    <row r="1090" spans="10:10" x14ac:dyDescent="0.3">
      <c r="J1090"/>
    </row>
    <row r="1091" spans="10:10" x14ac:dyDescent="0.3">
      <c r="J1091"/>
    </row>
    <row r="1092" spans="10:10" x14ac:dyDescent="0.3">
      <c r="J1092"/>
    </row>
    <row r="1093" spans="10:10" x14ac:dyDescent="0.3">
      <c r="J1093"/>
    </row>
    <row r="1094" spans="10:10" x14ac:dyDescent="0.3">
      <c r="J1094"/>
    </row>
    <row r="1095" spans="10:10" x14ac:dyDescent="0.3">
      <c r="J1095"/>
    </row>
    <row r="1096" spans="10:10" x14ac:dyDescent="0.3">
      <c r="J1096"/>
    </row>
    <row r="1097" spans="10:10" x14ac:dyDescent="0.3">
      <c r="J1097"/>
    </row>
    <row r="1098" spans="10:10" x14ac:dyDescent="0.3">
      <c r="J1098"/>
    </row>
    <row r="1099" spans="10:10" x14ac:dyDescent="0.3">
      <c r="J1099"/>
    </row>
    <row r="1100" spans="10:10" x14ac:dyDescent="0.3">
      <c r="J1100"/>
    </row>
    <row r="1101" spans="10:10" x14ac:dyDescent="0.3">
      <c r="J1101"/>
    </row>
    <row r="1102" spans="10:10" x14ac:dyDescent="0.3">
      <c r="J1102"/>
    </row>
    <row r="1103" spans="10:10" x14ac:dyDescent="0.3">
      <c r="J1103"/>
    </row>
    <row r="1104" spans="10:10" x14ac:dyDescent="0.3">
      <c r="J1104"/>
    </row>
    <row r="1105" spans="10:10" x14ac:dyDescent="0.3">
      <c r="J1105"/>
    </row>
    <row r="1106" spans="10:10" x14ac:dyDescent="0.3">
      <c r="J1106"/>
    </row>
    <row r="1107" spans="10:10" x14ac:dyDescent="0.3">
      <c r="J1107"/>
    </row>
    <row r="1108" spans="10:10" x14ac:dyDescent="0.3">
      <c r="J1108"/>
    </row>
    <row r="1109" spans="10:10" x14ac:dyDescent="0.3">
      <c r="J1109"/>
    </row>
    <row r="1110" spans="10:10" x14ac:dyDescent="0.3">
      <c r="J1110"/>
    </row>
    <row r="1111" spans="10:10" x14ac:dyDescent="0.3">
      <c r="J1111"/>
    </row>
    <row r="1112" spans="10:10" x14ac:dyDescent="0.3">
      <c r="J1112"/>
    </row>
    <row r="1113" spans="10:10" x14ac:dyDescent="0.3">
      <c r="J1113"/>
    </row>
    <row r="1114" spans="10:10" x14ac:dyDescent="0.3">
      <c r="J1114"/>
    </row>
    <row r="1115" spans="10:10" x14ac:dyDescent="0.3">
      <c r="J1115"/>
    </row>
    <row r="1116" spans="10:10" x14ac:dyDescent="0.3">
      <c r="J1116"/>
    </row>
    <row r="1117" spans="10:10" x14ac:dyDescent="0.3">
      <c r="J1117"/>
    </row>
    <row r="1118" spans="10:10" x14ac:dyDescent="0.3">
      <c r="J1118"/>
    </row>
    <row r="1119" spans="10:10" x14ac:dyDescent="0.3">
      <c r="J1119"/>
    </row>
    <row r="1120" spans="10:10" x14ac:dyDescent="0.3">
      <c r="J1120"/>
    </row>
    <row r="1121" spans="10:10" x14ac:dyDescent="0.3">
      <c r="J1121"/>
    </row>
    <row r="1122" spans="10:10" x14ac:dyDescent="0.3">
      <c r="J1122"/>
    </row>
    <row r="1123" spans="10:10" x14ac:dyDescent="0.3">
      <c r="J1123"/>
    </row>
    <row r="1124" spans="10:10" x14ac:dyDescent="0.3">
      <c r="J1124"/>
    </row>
    <row r="1125" spans="10:10" x14ac:dyDescent="0.3">
      <c r="J1125"/>
    </row>
    <row r="1126" spans="10:10" x14ac:dyDescent="0.3">
      <c r="J1126"/>
    </row>
    <row r="1127" spans="10:10" x14ac:dyDescent="0.3">
      <c r="J1127"/>
    </row>
    <row r="1128" spans="10:10" x14ac:dyDescent="0.3">
      <c r="J1128"/>
    </row>
    <row r="1129" spans="10:10" x14ac:dyDescent="0.3">
      <c r="J1129"/>
    </row>
    <row r="1130" spans="10:10" x14ac:dyDescent="0.3">
      <c r="J1130"/>
    </row>
    <row r="1131" spans="10:10" x14ac:dyDescent="0.3">
      <c r="J1131"/>
    </row>
    <row r="1132" spans="10:10" x14ac:dyDescent="0.3">
      <c r="J1132"/>
    </row>
    <row r="1133" spans="10:10" x14ac:dyDescent="0.3">
      <c r="J1133"/>
    </row>
    <row r="1134" spans="10:10" x14ac:dyDescent="0.3">
      <c r="J1134"/>
    </row>
    <row r="1135" spans="10:10" x14ac:dyDescent="0.3">
      <c r="J1135"/>
    </row>
    <row r="1136" spans="10:10" x14ac:dyDescent="0.3">
      <c r="J1136"/>
    </row>
    <row r="1137" spans="10:10" x14ac:dyDescent="0.3">
      <c r="J1137"/>
    </row>
    <row r="1138" spans="10:10" x14ac:dyDescent="0.3">
      <c r="J1138"/>
    </row>
    <row r="1139" spans="10:10" x14ac:dyDescent="0.3">
      <c r="J1139"/>
    </row>
    <row r="1140" spans="10:10" x14ac:dyDescent="0.3">
      <c r="J1140"/>
    </row>
    <row r="1141" spans="10:10" x14ac:dyDescent="0.3">
      <c r="J1141"/>
    </row>
    <row r="1142" spans="10:10" x14ac:dyDescent="0.3">
      <c r="J1142"/>
    </row>
    <row r="1143" spans="10:10" x14ac:dyDescent="0.3">
      <c r="J1143"/>
    </row>
    <row r="1144" spans="10:10" x14ac:dyDescent="0.3">
      <c r="J1144"/>
    </row>
    <row r="1145" spans="10:10" x14ac:dyDescent="0.3">
      <c r="J1145"/>
    </row>
    <row r="1146" spans="10:10" x14ac:dyDescent="0.3">
      <c r="J1146"/>
    </row>
    <row r="1147" spans="10:10" x14ac:dyDescent="0.3">
      <c r="J1147"/>
    </row>
    <row r="1148" spans="10:10" x14ac:dyDescent="0.3">
      <c r="J1148"/>
    </row>
    <row r="1149" spans="10:10" x14ac:dyDescent="0.3">
      <c r="J1149"/>
    </row>
    <row r="1150" spans="10:10" x14ac:dyDescent="0.3">
      <c r="J1150"/>
    </row>
    <row r="1151" spans="10:10" x14ac:dyDescent="0.3">
      <c r="J1151"/>
    </row>
    <row r="1152" spans="10:10" x14ac:dyDescent="0.3">
      <c r="J1152"/>
    </row>
    <row r="1153" spans="10:10" x14ac:dyDescent="0.3">
      <c r="J1153"/>
    </row>
    <row r="1154" spans="10:10" x14ac:dyDescent="0.3">
      <c r="J1154"/>
    </row>
    <row r="1155" spans="10:10" x14ac:dyDescent="0.3">
      <c r="J1155"/>
    </row>
    <row r="1156" spans="10:10" x14ac:dyDescent="0.3">
      <c r="J1156"/>
    </row>
    <row r="1157" spans="10:10" x14ac:dyDescent="0.3">
      <c r="J1157"/>
    </row>
    <row r="1158" spans="10:10" x14ac:dyDescent="0.3">
      <c r="J1158"/>
    </row>
    <row r="1159" spans="10:10" x14ac:dyDescent="0.3">
      <c r="J1159"/>
    </row>
    <row r="1160" spans="10:10" x14ac:dyDescent="0.3">
      <c r="J1160"/>
    </row>
    <row r="1161" spans="10:10" x14ac:dyDescent="0.3">
      <c r="J1161"/>
    </row>
    <row r="1162" spans="10:10" x14ac:dyDescent="0.3">
      <c r="J1162"/>
    </row>
    <row r="1163" spans="10:10" x14ac:dyDescent="0.3">
      <c r="J1163"/>
    </row>
    <row r="1164" spans="10:10" x14ac:dyDescent="0.3">
      <c r="J1164"/>
    </row>
    <row r="1165" spans="10:10" x14ac:dyDescent="0.3">
      <c r="J1165"/>
    </row>
    <row r="1166" spans="10:10" x14ac:dyDescent="0.3">
      <c r="J1166"/>
    </row>
    <row r="1167" spans="10:10" x14ac:dyDescent="0.3">
      <c r="J1167"/>
    </row>
    <row r="1168" spans="10:10" x14ac:dyDescent="0.3">
      <c r="J1168"/>
    </row>
    <row r="1169" spans="1:45" x14ac:dyDescent="0.3">
      <c r="J1169"/>
    </row>
    <row r="1170" spans="1:45" x14ac:dyDescent="0.3">
      <c r="J1170"/>
    </row>
    <row r="1171" spans="1:45" x14ac:dyDescent="0.3">
      <c r="J1171"/>
    </row>
    <row r="1172" spans="1:45" x14ac:dyDescent="0.3">
      <c r="J1172"/>
    </row>
    <row r="1173" spans="1:45" x14ac:dyDescent="0.3">
      <c r="J1173"/>
    </row>
    <row r="1174" spans="1:45" x14ac:dyDescent="0.3">
      <c r="J1174"/>
    </row>
    <row r="1175" spans="1:45" x14ac:dyDescent="0.3">
      <c r="J1175"/>
    </row>
    <row r="1176" spans="1:45" x14ac:dyDescent="0.3">
      <c r="J1176"/>
    </row>
    <row r="1177" spans="1:45" x14ac:dyDescent="0.3">
      <c r="J1177"/>
    </row>
    <row r="1178" spans="1:45" x14ac:dyDescent="0.3">
      <c r="J1178"/>
    </row>
    <row r="1179" spans="1:45" x14ac:dyDescent="0.3">
      <c r="J1179"/>
    </row>
    <row r="1180" spans="1:45" x14ac:dyDescent="0.3">
      <c r="J1180"/>
    </row>
    <row r="1181" spans="1:45" x14ac:dyDescent="0.3">
      <c r="J1181"/>
    </row>
    <row r="1182" spans="1:45" x14ac:dyDescent="0.3">
      <c r="J1182"/>
    </row>
    <row r="1183" spans="1:45" x14ac:dyDescent="0.3">
      <c r="J1183"/>
    </row>
    <row r="1184" spans="1:45" s="70" customFormat="1" x14ac:dyDescent="0.3">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row>
    <row r="1185" spans="1:45" s="70" customFormat="1" x14ac:dyDescent="0.3">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row>
    <row r="1186" spans="1:45" s="70" customFormat="1" x14ac:dyDescent="0.3">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row>
    <row r="1187" spans="1:45" s="70" customFormat="1" x14ac:dyDescent="0.3">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row>
    <row r="1188" spans="1:45" s="70" customFormat="1" x14ac:dyDescent="0.3">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row>
    <row r="1189" spans="1:45" s="70" customFormat="1" x14ac:dyDescent="0.3">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row>
    <row r="1190" spans="1:45" s="70" customFormat="1" x14ac:dyDescent="0.3">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row>
    <row r="1191" spans="1:45" s="70" customFormat="1" x14ac:dyDescent="0.3">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row>
    <row r="1192" spans="1:45" s="70" customFormat="1" x14ac:dyDescent="0.3">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row>
    <row r="1193" spans="1:45" s="70" customFormat="1" x14ac:dyDescent="0.3">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row>
    <row r="1194" spans="1:45" s="70" customFormat="1" x14ac:dyDescent="0.3">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row>
    <row r="1195" spans="1:45" s="70" customFormat="1" x14ac:dyDescent="0.3">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row>
    <row r="1196" spans="1:45" s="70" customFormat="1" x14ac:dyDescent="0.3">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row>
    <row r="1197" spans="1:45" s="70" customFormat="1" x14ac:dyDescent="0.3">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row>
    <row r="1198" spans="1:45" s="70" customFormat="1" x14ac:dyDescent="0.3">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row>
    <row r="1199" spans="1:45" s="70" customFormat="1" x14ac:dyDescent="0.3">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row>
    <row r="1200" spans="1:45" s="70" customFormat="1" x14ac:dyDescent="0.3">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row>
    <row r="1201" spans="1:45" s="70" customFormat="1" x14ac:dyDescent="0.3">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row>
    <row r="1202" spans="1:45" s="70" customFormat="1" x14ac:dyDescent="0.3">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row>
    <row r="1203" spans="1:45" s="70" customFormat="1" x14ac:dyDescent="0.3">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row>
    <row r="1204" spans="1:45" s="70" customFormat="1" x14ac:dyDescent="0.3">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row>
    <row r="1205" spans="1:45" s="70" customFormat="1" x14ac:dyDescent="0.3">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row>
    <row r="1206" spans="1:45" s="70" customFormat="1" x14ac:dyDescent="0.3">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row>
    <row r="1207" spans="1:45" s="70" customFormat="1" x14ac:dyDescent="0.3">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row>
    <row r="1208" spans="1:45" s="70" customFormat="1" x14ac:dyDescent="0.3">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row>
    <row r="1209" spans="1:45" s="70" customFormat="1" x14ac:dyDescent="0.3">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row>
    <row r="1210" spans="1:45" s="70" customFormat="1" x14ac:dyDescent="0.3">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row>
    <row r="1211" spans="1:45" s="70" customFormat="1" x14ac:dyDescent="0.3">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row>
    <row r="1212" spans="1:45" s="70" customFormat="1" x14ac:dyDescent="0.3">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row>
    <row r="1213" spans="1:45" s="70" customFormat="1" x14ac:dyDescent="0.3">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row>
    <row r="1214" spans="1:45" s="70" customFormat="1" x14ac:dyDescent="0.3">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row>
    <row r="1215" spans="1:45" s="70" customFormat="1" x14ac:dyDescent="0.3">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row>
    <row r="1216" spans="1:45" s="70" customFormat="1" x14ac:dyDescent="0.3">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row>
    <row r="1217" spans="1:45" s="70" customFormat="1" x14ac:dyDescent="0.3">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row>
    <row r="1218" spans="1:45" s="70" customFormat="1" x14ac:dyDescent="0.3">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row>
    <row r="1219" spans="1:45" s="70" customFormat="1" x14ac:dyDescent="0.3">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row>
    <row r="1220" spans="1:45" s="70" customFormat="1" x14ac:dyDescent="0.3">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row>
    <row r="1221" spans="1:45" s="70" customFormat="1" x14ac:dyDescent="0.3">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row>
    <row r="1222" spans="1:45" s="70" customFormat="1" x14ac:dyDescent="0.3">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row>
    <row r="1223" spans="1:45" s="70" customFormat="1" x14ac:dyDescent="0.3">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row>
    <row r="1224" spans="1:45" s="70" customFormat="1" x14ac:dyDescent="0.3">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row>
    <row r="1225" spans="1:45" s="70" customFormat="1" x14ac:dyDescent="0.3">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row>
    <row r="1226" spans="1:45" s="70" customFormat="1" x14ac:dyDescent="0.3">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row>
    <row r="1227" spans="1:45" s="70" customFormat="1" x14ac:dyDescent="0.3">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row>
    <row r="1228" spans="1:45" s="70" customFormat="1" x14ac:dyDescent="0.3">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row>
    <row r="1229" spans="1:45" s="70" customFormat="1" x14ac:dyDescent="0.3">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row>
    <row r="1230" spans="1:45" s="70" customFormat="1" x14ac:dyDescent="0.3">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row>
    <row r="1231" spans="1:45" s="70" customFormat="1" x14ac:dyDescent="0.3">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row>
    <row r="1232" spans="1:45" s="70" customFormat="1" x14ac:dyDescent="0.3">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row>
    <row r="1233" spans="1:45" s="70" customFormat="1" x14ac:dyDescent="0.3">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row>
    <row r="1234" spans="1:45" s="70" customFormat="1" x14ac:dyDescent="0.3">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row>
    <row r="1235" spans="1:45" s="70" customFormat="1" x14ac:dyDescent="0.3">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row>
    <row r="1236" spans="1:45" s="70" customFormat="1" x14ac:dyDescent="0.3">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row>
    <row r="1237" spans="1:45" s="70" customFormat="1" x14ac:dyDescent="0.3">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row>
    <row r="1238" spans="1:45" s="70" customFormat="1" x14ac:dyDescent="0.3">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row>
    <row r="1239" spans="1:45" s="70" customFormat="1" x14ac:dyDescent="0.3">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row>
    <row r="1240" spans="1:45" s="70" customFormat="1" x14ac:dyDescent="0.3">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row>
    <row r="1241" spans="1:45" s="70" customFormat="1" x14ac:dyDescent="0.3">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row>
    <row r="1242" spans="1:45" s="70" customFormat="1" x14ac:dyDescent="0.3">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row>
    <row r="1243" spans="1:45" s="70" customFormat="1" x14ac:dyDescent="0.3">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row>
    <row r="1244" spans="1:45" s="70" customFormat="1" x14ac:dyDescent="0.3">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row>
    <row r="1245" spans="1:45" s="70" customFormat="1" x14ac:dyDescent="0.3">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row>
    <row r="1246" spans="1:45" s="70" customFormat="1" x14ac:dyDescent="0.3">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row>
    <row r="1247" spans="1:45" s="70" customFormat="1" x14ac:dyDescent="0.3">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row>
    <row r="1248" spans="1:45" s="70" customFormat="1" x14ac:dyDescent="0.3">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row>
    <row r="1249" spans="1:45" s="70" customFormat="1" x14ac:dyDescent="0.3">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row>
    <row r="1250" spans="1:45" s="70" customFormat="1" x14ac:dyDescent="0.3">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row>
    <row r="1251" spans="1:45" s="70" customFormat="1" x14ac:dyDescent="0.3">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row>
    <row r="1252" spans="1:45" s="70" customFormat="1" x14ac:dyDescent="0.3">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row>
    <row r="1253" spans="1:45" s="70" customFormat="1" x14ac:dyDescent="0.3">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row>
    <row r="1254" spans="1:45" s="70" customFormat="1" x14ac:dyDescent="0.3">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row>
    <row r="1255" spans="1:45" s="70" customFormat="1" x14ac:dyDescent="0.3">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row>
    <row r="1256" spans="1:45" s="70" customFormat="1" x14ac:dyDescent="0.3">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row>
    <row r="1257" spans="1:45" s="70" customFormat="1" x14ac:dyDescent="0.3">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row>
    <row r="1258" spans="1:45" s="70" customFormat="1" x14ac:dyDescent="0.3">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row>
    <row r="1259" spans="1:45" s="70" customFormat="1" x14ac:dyDescent="0.3">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row>
    <row r="1260" spans="1:45" s="70" customFormat="1" x14ac:dyDescent="0.3">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row>
    <row r="1261" spans="1:45" s="70" customFormat="1" x14ac:dyDescent="0.3">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row>
    <row r="1262" spans="1:45" s="70" customFormat="1" x14ac:dyDescent="0.3">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row>
    <row r="1263" spans="1:45" s="70" customFormat="1" x14ac:dyDescent="0.3">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row>
    <row r="1264" spans="1:45" s="70" customFormat="1" x14ac:dyDescent="0.3">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row>
    <row r="1265" spans="1:45" s="70" customFormat="1" x14ac:dyDescent="0.3">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row>
    <row r="1266" spans="1:45" s="70" customFormat="1" x14ac:dyDescent="0.3">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row>
    <row r="1267" spans="1:45" s="70" customFormat="1" x14ac:dyDescent="0.3">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row>
    <row r="1268" spans="1:45" s="70" customFormat="1" x14ac:dyDescent="0.3">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row>
    <row r="1269" spans="1:45" s="70" customFormat="1" x14ac:dyDescent="0.3">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row>
    <row r="1270" spans="1:45" s="70" customFormat="1" x14ac:dyDescent="0.3">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row>
    <row r="1271" spans="1:45" s="70" customFormat="1" x14ac:dyDescent="0.3">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row>
    <row r="1272" spans="1:45" s="70" customFormat="1" x14ac:dyDescent="0.3">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row>
    <row r="1273" spans="1:45" s="70" customFormat="1" x14ac:dyDescent="0.3">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row>
    <row r="1274" spans="1:45" s="70" customFormat="1" x14ac:dyDescent="0.3">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row>
    <row r="1275" spans="1:45" s="70" customFormat="1" x14ac:dyDescent="0.3">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row>
    <row r="1276" spans="1:45" s="70" customFormat="1" x14ac:dyDescent="0.3">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row>
    <row r="1277" spans="1:45" s="70" customFormat="1" x14ac:dyDescent="0.3">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row>
    <row r="1278" spans="1:45" s="70" customFormat="1" x14ac:dyDescent="0.3">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row>
    <row r="1279" spans="1:45" s="70" customFormat="1" x14ac:dyDescent="0.3">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row>
    <row r="1280" spans="1:45" s="70" customFormat="1" x14ac:dyDescent="0.3">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row>
    <row r="1281" spans="1:45" s="70" customFormat="1" x14ac:dyDescent="0.3">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row>
    <row r="1282" spans="1:45" s="70" customFormat="1" x14ac:dyDescent="0.3">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row>
    <row r="1283" spans="1:45" s="70" customFormat="1" x14ac:dyDescent="0.3">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row>
    <row r="1284" spans="1:45" s="70" customFormat="1" x14ac:dyDescent="0.3">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row>
    <row r="1285" spans="1:45" s="70" customFormat="1" x14ac:dyDescent="0.3">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row>
    <row r="1286" spans="1:45" s="70" customFormat="1" x14ac:dyDescent="0.3">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row>
    <row r="1287" spans="1:45" s="70" customFormat="1" x14ac:dyDescent="0.3">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row>
    <row r="1288" spans="1:45" s="70" customFormat="1" x14ac:dyDescent="0.3">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row>
    <row r="1289" spans="1:45" s="70" customFormat="1" x14ac:dyDescent="0.3">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row>
    <row r="1290" spans="1:45" s="70" customFormat="1" x14ac:dyDescent="0.3">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row>
    <row r="1291" spans="1:45" s="70" customFormat="1" x14ac:dyDescent="0.3">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row>
    <row r="1292" spans="1:45" s="70" customFormat="1" x14ac:dyDescent="0.3">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row>
    <row r="1293" spans="1:45" s="70" customFormat="1" x14ac:dyDescent="0.3">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row>
    <row r="1294" spans="1:45" s="70" customFormat="1" x14ac:dyDescent="0.3">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row>
    <row r="1295" spans="1:45" s="70" customFormat="1" x14ac:dyDescent="0.3">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row>
    <row r="1296" spans="1:45" s="70" customFormat="1" x14ac:dyDescent="0.3">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row>
    <row r="1297" spans="1:45" s="70" customFormat="1" x14ac:dyDescent="0.3">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row>
    <row r="1298" spans="1:45" s="70" customFormat="1" x14ac:dyDescent="0.3">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row>
    <row r="1299" spans="1:45" s="70" customFormat="1" x14ac:dyDescent="0.3">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row>
    <row r="1300" spans="1:45" s="70" customFormat="1" x14ac:dyDescent="0.3">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row>
    <row r="1301" spans="1:45" s="70" customFormat="1" x14ac:dyDescent="0.3">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row>
    <row r="1302" spans="1:45" s="70" customFormat="1" x14ac:dyDescent="0.3">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row>
    <row r="1303" spans="1:45" s="70" customFormat="1" x14ac:dyDescent="0.3">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row>
    <row r="1304" spans="1:45" s="70" customFormat="1" x14ac:dyDescent="0.3">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row>
    <row r="1305" spans="1:45" s="70" customFormat="1" x14ac:dyDescent="0.3">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row>
    <row r="1306" spans="1:45" s="70" customFormat="1" x14ac:dyDescent="0.3">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row>
    <row r="1307" spans="1:45" s="70" customFormat="1" x14ac:dyDescent="0.3">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row>
    <row r="1308" spans="1:45" s="70" customFormat="1" x14ac:dyDescent="0.3">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row>
    <row r="1309" spans="1:45" s="70" customFormat="1" x14ac:dyDescent="0.3">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row>
    <row r="1310" spans="1:45" s="70" customFormat="1" x14ac:dyDescent="0.3">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row>
    <row r="1311" spans="1:45" s="70" customFormat="1" x14ac:dyDescent="0.3">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row>
    <row r="1312" spans="1:45" s="70" customFormat="1" x14ac:dyDescent="0.3">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row>
    <row r="1313" spans="1:45" s="70" customFormat="1" x14ac:dyDescent="0.3">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row>
    <row r="1314" spans="1:45" s="70" customFormat="1" x14ac:dyDescent="0.3">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row>
    <row r="1315" spans="1:45" s="70" customFormat="1" x14ac:dyDescent="0.3">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row>
    <row r="1316" spans="1:45" s="70" customFormat="1" x14ac:dyDescent="0.3">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row>
    <row r="1317" spans="1:45" s="70" customFormat="1" x14ac:dyDescent="0.3">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row>
    <row r="1318" spans="1:45" s="70" customFormat="1" x14ac:dyDescent="0.3">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row>
    <row r="1319" spans="1:45" s="70" customFormat="1" x14ac:dyDescent="0.3">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row>
    <row r="1320" spans="1:45" s="70" customFormat="1" x14ac:dyDescent="0.3">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row>
    <row r="1321" spans="1:45" s="70" customFormat="1" x14ac:dyDescent="0.3">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row>
    <row r="1322" spans="1:45" s="70" customFormat="1" x14ac:dyDescent="0.3">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row>
    <row r="1323" spans="1:45" s="70" customFormat="1" x14ac:dyDescent="0.3">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row>
    <row r="1324" spans="1:45" s="70" customFormat="1" x14ac:dyDescent="0.3">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row>
    <row r="1325" spans="1:45" s="70" customFormat="1" x14ac:dyDescent="0.3">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row>
    <row r="1326" spans="1:45" s="70" customFormat="1" x14ac:dyDescent="0.3">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row>
    <row r="1327" spans="1:45" s="70" customFormat="1" x14ac:dyDescent="0.3">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row>
    <row r="1328" spans="1:45" s="70" customFormat="1" x14ac:dyDescent="0.3">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row>
    <row r="1329" spans="1:45" s="70" customFormat="1" x14ac:dyDescent="0.3">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row>
    <row r="1330" spans="1:45" s="70" customFormat="1" x14ac:dyDescent="0.3">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row>
    <row r="1331" spans="1:45" x14ac:dyDescent="0.3">
      <c r="J1331"/>
    </row>
    <row r="1332" spans="1:45" x14ac:dyDescent="0.3">
      <c r="J1332"/>
    </row>
    <row r="1333" spans="1:45" x14ac:dyDescent="0.3">
      <c r="J1333"/>
    </row>
    <row r="1334" spans="1:45" x14ac:dyDescent="0.3">
      <c r="J1334"/>
    </row>
    <row r="1335" spans="1:45" x14ac:dyDescent="0.3">
      <c r="J1335"/>
    </row>
    <row r="1336" spans="1:45" x14ac:dyDescent="0.3">
      <c r="J1336"/>
    </row>
    <row r="1337" spans="1:45" x14ac:dyDescent="0.3">
      <c r="J1337"/>
    </row>
    <row r="1338" spans="1:45" x14ac:dyDescent="0.3">
      <c r="J1338"/>
    </row>
    <row r="1339" spans="1:45" x14ac:dyDescent="0.3">
      <c r="J1339"/>
    </row>
    <row r="1340" spans="1:45" x14ac:dyDescent="0.3">
      <c r="J1340"/>
    </row>
    <row r="1341" spans="1:45" x14ac:dyDescent="0.3">
      <c r="J1341"/>
    </row>
    <row r="1342" spans="1:45" x14ac:dyDescent="0.3">
      <c r="J1342"/>
    </row>
    <row r="1343" spans="1:45" x14ac:dyDescent="0.3">
      <c r="J1343"/>
    </row>
    <row r="1344" spans="1:45" x14ac:dyDescent="0.3">
      <c r="J1344"/>
    </row>
    <row r="1345" spans="10:10" x14ac:dyDescent="0.3">
      <c r="J1345"/>
    </row>
    <row r="1346" spans="10:10" x14ac:dyDescent="0.3">
      <c r="J1346"/>
    </row>
    <row r="1347" spans="10:10" x14ac:dyDescent="0.3">
      <c r="J1347"/>
    </row>
    <row r="1348" spans="10:10" x14ac:dyDescent="0.3">
      <c r="J1348"/>
    </row>
    <row r="1349" spans="10:10" x14ac:dyDescent="0.3">
      <c r="J1349"/>
    </row>
    <row r="1350" spans="10:10" x14ac:dyDescent="0.3">
      <c r="J1350"/>
    </row>
    <row r="1351" spans="10:10" x14ac:dyDescent="0.3">
      <c r="J1351"/>
    </row>
    <row r="1352" spans="10:10" x14ac:dyDescent="0.3">
      <c r="J1352"/>
    </row>
    <row r="1353" spans="10:10" x14ac:dyDescent="0.3">
      <c r="J1353"/>
    </row>
    <row r="1354" spans="10:10" x14ac:dyDescent="0.3">
      <c r="J1354"/>
    </row>
    <row r="1355" spans="10:10" x14ac:dyDescent="0.3">
      <c r="J1355"/>
    </row>
    <row r="1356" spans="10:10" x14ac:dyDescent="0.3">
      <c r="J1356"/>
    </row>
    <row r="1357" spans="10:10" x14ac:dyDescent="0.3">
      <c r="J1357"/>
    </row>
    <row r="1358" spans="10:10" x14ac:dyDescent="0.3">
      <c r="J1358"/>
    </row>
    <row r="1359" spans="10:10" x14ac:dyDescent="0.3">
      <c r="J1359"/>
    </row>
    <row r="1360" spans="10:10" x14ac:dyDescent="0.3">
      <c r="J1360"/>
    </row>
    <row r="1361" spans="10:10" x14ac:dyDescent="0.3">
      <c r="J1361"/>
    </row>
    <row r="1362" spans="10:10" x14ac:dyDescent="0.3">
      <c r="J1362"/>
    </row>
    <row r="1363" spans="10:10" x14ac:dyDescent="0.3">
      <c r="J1363"/>
    </row>
    <row r="1364" spans="10:10" x14ac:dyDescent="0.3">
      <c r="J1364"/>
    </row>
    <row r="1365" spans="10:10" x14ac:dyDescent="0.3">
      <c r="J1365"/>
    </row>
    <row r="1366" spans="10:10" x14ac:dyDescent="0.3">
      <c r="J1366"/>
    </row>
    <row r="1367" spans="10:10" x14ac:dyDescent="0.3">
      <c r="J1367"/>
    </row>
    <row r="1368" spans="10:10" x14ac:dyDescent="0.3">
      <c r="J1368"/>
    </row>
    <row r="1369" spans="10:10" x14ac:dyDescent="0.3">
      <c r="J1369"/>
    </row>
    <row r="1370" spans="10:10" x14ac:dyDescent="0.3">
      <c r="J1370"/>
    </row>
    <row r="1371" spans="10:10" x14ac:dyDescent="0.3">
      <c r="J1371"/>
    </row>
    <row r="1372" spans="10:10" x14ac:dyDescent="0.3">
      <c r="J1372"/>
    </row>
    <row r="1373" spans="10:10" x14ac:dyDescent="0.3">
      <c r="J1373"/>
    </row>
    <row r="1374" spans="10:10" x14ac:dyDescent="0.3">
      <c r="J1374"/>
    </row>
    <row r="1375" spans="10:10" x14ac:dyDescent="0.3">
      <c r="J1375"/>
    </row>
    <row r="1376" spans="10:10" x14ac:dyDescent="0.3">
      <c r="J1376"/>
    </row>
    <row r="1377" spans="10:10" x14ac:dyDescent="0.3">
      <c r="J1377"/>
    </row>
    <row r="1378" spans="10:10" x14ac:dyDescent="0.3">
      <c r="J1378"/>
    </row>
    <row r="1379" spans="10:10" x14ac:dyDescent="0.3">
      <c r="J1379"/>
    </row>
    <row r="1380" spans="10:10" x14ac:dyDescent="0.3">
      <c r="J1380"/>
    </row>
    <row r="1381" spans="10:10" x14ac:dyDescent="0.3">
      <c r="J1381"/>
    </row>
    <row r="1382" spans="10:10" x14ac:dyDescent="0.3">
      <c r="J1382"/>
    </row>
    <row r="1383" spans="10:10" x14ac:dyDescent="0.3">
      <c r="J1383"/>
    </row>
    <row r="1384" spans="10:10" x14ac:dyDescent="0.3">
      <c r="J1384"/>
    </row>
    <row r="1385" spans="10:10" x14ac:dyDescent="0.3">
      <c r="J1385"/>
    </row>
    <row r="1386" spans="10:10" x14ac:dyDescent="0.3">
      <c r="J1386"/>
    </row>
    <row r="1387" spans="10:10" x14ac:dyDescent="0.3">
      <c r="J1387"/>
    </row>
    <row r="1388" spans="10:10" x14ac:dyDescent="0.3">
      <c r="J1388"/>
    </row>
    <row r="1389" spans="10:10" x14ac:dyDescent="0.3">
      <c r="J1389"/>
    </row>
    <row r="1390" spans="10:10" x14ac:dyDescent="0.3">
      <c r="J1390"/>
    </row>
    <row r="1391" spans="10:10" x14ac:dyDescent="0.3">
      <c r="J1391"/>
    </row>
    <row r="1392" spans="10:10" x14ac:dyDescent="0.3">
      <c r="J1392"/>
    </row>
    <row r="1393" spans="10:10" x14ac:dyDescent="0.3">
      <c r="J1393"/>
    </row>
    <row r="1394" spans="10:10" x14ac:dyDescent="0.3">
      <c r="J1394"/>
    </row>
    <row r="1395" spans="10:10" x14ac:dyDescent="0.3">
      <c r="J1395"/>
    </row>
    <row r="1396" spans="10:10" x14ac:dyDescent="0.3">
      <c r="J1396"/>
    </row>
    <row r="1397" spans="10:10" x14ac:dyDescent="0.3">
      <c r="J1397"/>
    </row>
    <row r="1398" spans="10:10" x14ac:dyDescent="0.3">
      <c r="J1398"/>
    </row>
    <row r="1399" spans="10:10" x14ac:dyDescent="0.3">
      <c r="J1399"/>
    </row>
    <row r="1400" spans="10:10" x14ac:dyDescent="0.3">
      <c r="J1400"/>
    </row>
    <row r="1401" spans="10:10" x14ac:dyDescent="0.3">
      <c r="J1401"/>
    </row>
    <row r="1402" spans="10:10" x14ac:dyDescent="0.3">
      <c r="J1402"/>
    </row>
    <row r="1403" spans="10:10" x14ac:dyDescent="0.3">
      <c r="J1403"/>
    </row>
    <row r="1404" spans="10:10" x14ac:dyDescent="0.3">
      <c r="J1404"/>
    </row>
    <row r="1405" spans="10:10" x14ac:dyDescent="0.3">
      <c r="J1405"/>
    </row>
    <row r="1406" spans="10:10" x14ac:dyDescent="0.3">
      <c r="J1406"/>
    </row>
    <row r="1407" spans="10:10" x14ac:dyDescent="0.3">
      <c r="J1407"/>
    </row>
    <row r="1408" spans="10:10" x14ac:dyDescent="0.3">
      <c r="J1408"/>
    </row>
    <row r="1409" spans="10:10" x14ac:dyDescent="0.3">
      <c r="J1409"/>
    </row>
    <row r="1410" spans="10:10" x14ac:dyDescent="0.3">
      <c r="J1410"/>
    </row>
    <row r="1411" spans="10:10" x14ac:dyDescent="0.3">
      <c r="J1411"/>
    </row>
    <row r="1412" spans="10:10" x14ac:dyDescent="0.3">
      <c r="J1412"/>
    </row>
    <row r="1413" spans="10:10" x14ac:dyDescent="0.3">
      <c r="J1413"/>
    </row>
    <row r="1414" spans="10:10" x14ac:dyDescent="0.3">
      <c r="J1414"/>
    </row>
    <row r="1415" spans="10:10" x14ac:dyDescent="0.3">
      <c r="J1415"/>
    </row>
    <row r="1416" spans="10:10" x14ac:dyDescent="0.3">
      <c r="J1416"/>
    </row>
    <row r="1417" spans="10:10" x14ac:dyDescent="0.3">
      <c r="J1417"/>
    </row>
    <row r="1418" spans="10:10" x14ac:dyDescent="0.3">
      <c r="J1418"/>
    </row>
    <row r="1419" spans="10:10" x14ac:dyDescent="0.3">
      <c r="J1419"/>
    </row>
    <row r="1420" spans="10:10" x14ac:dyDescent="0.3">
      <c r="J1420"/>
    </row>
    <row r="1421" spans="10:10" x14ac:dyDescent="0.3">
      <c r="J1421"/>
    </row>
    <row r="1422" spans="10:10" x14ac:dyDescent="0.3">
      <c r="J1422"/>
    </row>
    <row r="1423" spans="10:10" x14ac:dyDescent="0.3">
      <c r="J1423"/>
    </row>
    <row r="1424" spans="10:10" x14ac:dyDescent="0.3">
      <c r="J1424"/>
    </row>
    <row r="1425" spans="10:10" x14ac:dyDescent="0.3">
      <c r="J1425"/>
    </row>
    <row r="1426" spans="10:10" x14ac:dyDescent="0.3">
      <c r="J1426"/>
    </row>
    <row r="1427" spans="10:10" x14ac:dyDescent="0.3">
      <c r="J1427"/>
    </row>
    <row r="1428" spans="10:10" x14ac:dyDescent="0.3">
      <c r="J1428"/>
    </row>
    <row r="1429" spans="10:10" x14ac:dyDescent="0.3">
      <c r="J1429"/>
    </row>
    <row r="1430" spans="10:10" x14ac:dyDescent="0.3">
      <c r="J1430"/>
    </row>
    <row r="1431" spans="10:10" x14ac:dyDescent="0.3">
      <c r="J1431"/>
    </row>
    <row r="1432" spans="10:10" x14ac:dyDescent="0.3">
      <c r="J1432"/>
    </row>
    <row r="1433" spans="10:10" x14ac:dyDescent="0.3">
      <c r="J1433"/>
    </row>
    <row r="1434" spans="10:10" x14ac:dyDescent="0.3">
      <c r="J1434"/>
    </row>
    <row r="1435" spans="10:10" x14ac:dyDescent="0.3">
      <c r="J1435"/>
    </row>
    <row r="1436" spans="10:10" x14ac:dyDescent="0.3">
      <c r="J1436"/>
    </row>
    <row r="1437" spans="10:10" x14ac:dyDescent="0.3">
      <c r="J1437"/>
    </row>
    <row r="1438" spans="10:10" x14ac:dyDescent="0.3">
      <c r="J1438"/>
    </row>
    <row r="1439" spans="10:10" x14ac:dyDescent="0.3">
      <c r="J1439"/>
    </row>
    <row r="1440" spans="10:10" x14ac:dyDescent="0.3">
      <c r="J1440"/>
    </row>
    <row r="1441" spans="10:10" x14ac:dyDescent="0.3">
      <c r="J1441"/>
    </row>
    <row r="1442" spans="10:10" x14ac:dyDescent="0.3">
      <c r="J1442"/>
    </row>
    <row r="1443" spans="10:10" x14ac:dyDescent="0.3">
      <c r="J1443"/>
    </row>
    <row r="1444" spans="10:10" x14ac:dyDescent="0.3">
      <c r="J1444"/>
    </row>
    <row r="1445" spans="10:10" x14ac:dyDescent="0.3">
      <c r="J1445"/>
    </row>
    <row r="1446" spans="10:10" x14ac:dyDescent="0.3">
      <c r="J1446"/>
    </row>
    <row r="1447" spans="10:10" x14ac:dyDescent="0.3">
      <c r="J1447"/>
    </row>
    <row r="1448" spans="10:10" x14ac:dyDescent="0.3">
      <c r="J1448"/>
    </row>
    <row r="1449" spans="10:10" x14ac:dyDescent="0.3">
      <c r="J1449"/>
    </row>
    <row r="1450" spans="10:10" x14ac:dyDescent="0.3">
      <c r="J1450"/>
    </row>
    <row r="1451" spans="10:10" x14ac:dyDescent="0.3">
      <c r="J1451"/>
    </row>
    <row r="1452" spans="10:10" x14ac:dyDescent="0.3">
      <c r="J1452"/>
    </row>
    <row r="1453" spans="10:10" x14ac:dyDescent="0.3">
      <c r="J1453"/>
    </row>
    <row r="1454" spans="10:10" x14ac:dyDescent="0.3">
      <c r="J1454"/>
    </row>
    <row r="1455" spans="10:10" x14ac:dyDescent="0.3">
      <c r="J1455"/>
    </row>
    <row r="1456" spans="10:10" x14ac:dyDescent="0.3">
      <c r="J1456"/>
    </row>
    <row r="1457" spans="10:10" x14ac:dyDescent="0.3">
      <c r="J1457"/>
    </row>
    <row r="1458" spans="10:10" x14ac:dyDescent="0.3">
      <c r="J1458"/>
    </row>
    <row r="1459" spans="10:10" x14ac:dyDescent="0.3">
      <c r="J1459"/>
    </row>
    <row r="1460" spans="10:10" x14ac:dyDescent="0.3">
      <c r="J1460"/>
    </row>
    <row r="1461" spans="10:10" x14ac:dyDescent="0.3">
      <c r="J1461"/>
    </row>
    <row r="1462" spans="10:10" x14ac:dyDescent="0.3">
      <c r="J1462"/>
    </row>
    <row r="1463" spans="10:10" x14ac:dyDescent="0.3">
      <c r="J1463"/>
    </row>
    <row r="1464" spans="10:10" x14ac:dyDescent="0.3">
      <c r="J1464"/>
    </row>
    <row r="1465" spans="10:10" x14ac:dyDescent="0.3">
      <c r="J1465"/>
    </row>
    <row r="1466" spans="10:10" x14ac:dyDescent="0.3">
      <c r="J1466"/>
    </row>
    <row r="1467" spans="10:10" x14ac:dyDescent="0.3">
      <c r="J1467"/>
    </row>
    <row r="1468" spans="10:10" x14ac:dyDescent="0.3">
      <c r="J1468"/>
    </row>
    <row r="1469" spans="10:10" x14ac:dyDescent="0.3">
      <c r="J1469"/>
    </row>
    <row r="1470" spans="10:10" x14ac:dyDescent="0.3">
      <c r="J1470"/>
    </row>
    <row r="1471" spans="10:10" x14ac:dyDescent="0.3">
      <c r="J1471"/>
    </row>
    <row r="1472" spans="10:10" x14ac:dyDescent="0.3">
      <c r="J1472"/>
    </row>
    <row r="1473" spans="10:10" x14ac:dyDescent="0.3">
      <c r="J1473"/>
    </row>
    <row r="1474" spans="10:10" x14ac:dyDescent="0.3">
      <c r="J1474"/>
    </row>
    <row r="1475" spans="10:10" x14ac:dyDescent="0.3">
      <c r="J1475"/>
    </row>
    <row r="1476" spans="10:10" x14ac:dyDescent="0.3">
      <c r="J1476"/>
    </row>
    <row r="1477" spans="10:10" x14ac:dyDescent="0.3">
      <c r="J1477"/>
    </row>
    <row r="1478" spans="10:10" x14ac:dyDescent="0.3">
      <c r="J1478"/>
    </row>
    <row r="1479" spans="10:10" x14ac:dyDescent="0.3">
      <c r="J1479"/>
    </row>
    <row r="1480" spans="10:10" x14ac:dyDescent="0.3">
      <c r="J1480"/>
    </row>
    <row r="1481" spans="10:10" x14ac:dyDescent="0.3">
      <c r="J1481"/>
    </row>
    <row r="1482" spans="10:10" x14ac:dyDescent="0.3">
      <c r="J1482"/>
    </row>
    <row r="1483" spans="10:10" x14ac:dyDescent="0.3">
      <c r="J1483"/>
    </row>
    <row r="1484" spans="10:10" x14ac:dyDescent="0.3">
      <c r="J1484"/>
    </row>
    <row r="1485" spans="10:10" x14ac:dyDescent="0.3">
      <c r="J1485"/>
    </row>
    <row r="1486" spans="10:10" x14ac:dyDescent="0.3">
      <c r="J1486"/>
    </row>
    <row r="1487" spans="10:10" x14ac:dyDescent="0.3">
      <c r="J1487"/>
    </row>
    <row r="1488" spans="10:10" x14ac:dyDescent="0.3">
      <c r="J1488"/>
    </row>
    <row r="1489" spans="10:10" x14ac:dyDescent="0.3">
      <c r="J1489"/>
    </row>
    <row r="1490" spans="10:10" x14ac:dyDescent="0.3">
      <c r="J1490"/>
    </row>
    <row r="1491" spans="10:10" x14ac:dyDescent="0.3">
      <c r="J1491"/>
    </row>
    <row r="1492" spans="10:10" x14ac:dyDescent="0.3">
      <c r="J1492"/>
    </row>
    <row r="1493" spans="10:10" x14ac:dyDescent="0.3">
      <c r="J1493"/>
    </row>
    <row r="1494" spans="10:10" x14ac:dyDescent="0.3">
      <c r="J1494"/>
    </row>
    <row r="1495" spans="10:10" x14ac:dyDescent="0.3">
      <c r="J1495"/>
    </row>
    <row r="1496" spans="10:10" x14ac:dyDescent="0.3">
      <c r="J1496"/>
    </row>
    <row r="1497" spans="10:10" x14ac:dyDescent="0.3">
      <c r="J1497"/>
    </row>
    <row r="1498" spans="10:10" x14ac:dyDescent="0.3">
      <c r="J1498"/>
    </row>
    <row r="1499" spans="10:10" x14ac:dyDescent="0.3">
      <c r="J1499"/>
    </row>
    <row r="1500" spans="10:10" x14ac:dyDescent="0.3">
      <c r="J1500"/>
    </row>
    <row r="1501" spans="10:10" x14ac:dyDescent="0.3">
      <c r="J1501"/>
    </row>
    <row r="1502" spans="10:10" x14ac:dyDescent="0.3">
      <c r="J1502"/>
    </row>
    <row r="1503" spans="10:10" x14ac:dyDescent="0.3">
      <c r="J1503"/>
    </row>
    <row r="1504" spans="10:10" x14ac:dyDescent="0.3">
      <c r="J1504"/>
    </row>
    <row r="1505" spans="10:10" x14ac:dyDescent="0.3">
      <c r="J1505"/>
    </row>
    <row r="1506" spans="10:10" x14ac:dyDescent="0.3">
      <c r="J1506"/>
    </row>
    <row r="1507" spans="10:10" x14ac:dyDescent="0.3">
      <c r="J1507"/>
    </row>
    <row r="1508" spans="10:10" x14ac:dyDescent="0.3">
      <c r="J1508"/>
    </row>
    <row r="1509" spans="10:10" x14ac:dyDescent="0.3">
      <c r="J1509"/>
    </row>
    <row r="1510" spans="10:10" x14ac:dyDescent="0.3">
      <c r="J1510"/>
    </row>
    <row r="1511" spans="10:10" x14ac:dyDescent="0.3">
      <c r="J1511"/>
    </row>
    <row r="1512" spans="10:10" x14ac:dyDescent="0.3">
      <c r="J1512"/>
    </row>
    <row r="1513" spans="10:10" x14ac:dyDescent="0.3">
      <c r="J1513"/>
    </row>
    <row r="1514" spans="10:10" x14ac:dyDescent="0.3">
      <c r="J1514"/>
    </row>
    <row r="1515" spans="10:10" x14ac:dyDescent="0.3">
      <c r="J1515"/>
    </row>
    <row r="1516" spans="10:10" x14ac:dyDescent="0.3">
      <c r="J1516"/>
    </row>
    <row r="1517" spans="10:10" x14ac:dyDescent="0.3">
      <c r="J1517"/>
    </row>
    <row r="1518" spans="10:10" x14ac:dyDescent="0.3">
      <c r="J1518"/>
    </row>
    <row r="1519" spans="10:10" x14ac:dyDescent="0.3">
      <c r="J1519"/>
    </row>
    <row r="1520" spans="10:10" x14ac:dyDescent="0.3">
      <c r="J1520"/>
    </row>
    <row r="1521" spans="10:10" x14ac:dyDescent="0.3">
      <c r="J1521"/>
    </row>
    <row r="1522" spans="10:10" x14ac:dyDescent="0.3">
      <c r="J1522"/>
    </row>
    <row r="1523" spans="10:10" x14ac:dyDescent="0.3">
      <c r="J1523"/>
    </row>
    <row r="1524" spans="10:10" x14ac:dyDescent="0.3">
      <c r="J1524"/>
    </row>
    <row r="1525" spans="10:10" x14ac:dyDescent="0.3">
      <c r="J1525"/>
    </row>
    <row r="1526" spans="10:10" x14ac:dyDescent="0.3">
      <c r="J1526"/>
    </row>
    <row r="1527" spans="10:10" x14ac:dyDescent="0.3">
      <c r="J1527"/>
    </row>
    <row r="1528" spans="10:10" x14ac:dyDescent="0.3">
      <c r="J1528"/>
    </row>
    <row r="1529" spans="10:10" x14ac:dyDescent="0.3">
      <c r="J1529"/>
    </row>
    <row r="1530" spans="10:10" x14ac:dyDescent="0.3">
      <c r="J1530"/>
    </row>
    <row r="1531" spans="10:10" x14ac:dyDescent="0.3">
      <c r="J1531"/>
    </row>
    <row r="1532" spans="10:10" x14ac:dyDescent="0.3">
      <c r="J1532"/>
    </row>
    <row r="1533" spans="10:10" x14ac:dyDescent="0.3">
      <c r="J1533"/>
    </row>
    <row r="1534" spans="10:10" x14ac:dyDescent="0.3">
      <c r="J1534"/>
    </row>
    <row r="1535" spans="10:10" x14ac:dyDescent="0.3">
      <c r="J1535"/>
    </row>
    <row r="1536" spans="10:10" x14ac:dyDescent="0.3">
      <c r="J1536"/>
    </row>
    <row r="1537" spans="10:10" x14ac:dyDescent="0.3">
      <c r="J1537"/>
    </row>
    <row r="1538" spans="10:10" x14ac:dyDescent="0.3">
      <c r="J1538"/>
    </row>
    <row r="1539" spans="10:10" x14ac:dyDescent="0.3">
      <c r="J1539"/>
    </row>
    <row r="1540" spans="10:10" x14ac:dyDescent="0.3">
      <c r="J1540"/>
    </row>
    <row r="1541" spans="10:10" x14ac:dyDescent="0.3">
      <c r="J1541"/>
    </row>
    <row r="1542" spans="10:10" x14ac:dyDescent="0.3">
      <c r="J1542"/>
    </row>
    <row r="1543" spans="10:10" x14ac:dyDescent="0.3">
      <c r="J1543"/>
    </row>
    <row r="1544" spans="10:10" x14ac:dyDescent="0.3">
      <c r="J1544"/>
    </row>
    <row r="1545" spans="10:10" x14ac:dyDescent="0.3">
      <c r="J1545"/>
    </row>
    <row r="1546" spans="10:10" x14ac:dyDescent="0.3">
      <c r="J1546"/>
    </row>
    <row r="1547" spans="10:10" x14ac:dyDescent="0.3">
      <c r="J1547"/>
    </row>
    <row r="1548" spans="10:10" x14ac:dyDescent="0.3">
      <c r="J1548"/>
    </row>
    <row r="1549" spans="10:10" x14ac:dyDescent="0.3">
      <c r="J1549"/>
    </row>
    <row r="1550" spans="10:10" x14ac:dyDescent="0.3">
      <c r="J1550"/>
    </row>
    <row r="1551" spans="10:10" x14ac:dyDescent="0.3">
      <c r="J1551"/>
    </row>
    <row r="1552" spans="10:10" x14ac:dyDescent="0.3">
      <c r="J1552"/>
    </row>
    <row r="1553" spans="10:10" x14ac:dyDescent="0.3">
      <c r="J1553"/>
    </row>
    <row r="1554" spans="10:10" x14ac:dyDescent="0.3">
      <c r="J1554"/>
    </row>
    <row r="1555" spans="10:10" x14ac:dyDescent="0.3">
      <c r="J1555"/>
    </row>
    <row r="1556" spans="10:10" x14ac:dyDescent="0.3">
      <c r="J1556"/>
    </row>
    <row r="1557" spans="10:10" x14ac:dyDescent="0.3">
      <c r="J1557"/>
    </row>
    <row r="1558" spans="10:10" x14ac:dyDescent="0.3">
      <c r="J1558"/>
    </row>
    <row r="1559" spans="10:10" x14ac:dyDescent="0.3">
      <c r="J1559"/>
    </row>
    <row r="1560" spans="10:10" x14ac:dyDescent="0.3">
      <c r="J1560"/>
    </row>
    <row r="1561" spans="10:10" x14ac:dyDescent="0.3">
      <c r="J1561"/>
    </row>
    <row r="1562" spans="10:10" x14ac:dyDescent="0.3">
      <c r="J1562"/>
    </row>
    <row r="1563" spans="10:10" x14ac:dyDescent="0.3">
      <c r="J1563"/>
    </row>
    <row r="1564" spans="10:10" x14ac:dyDescent="0.3">
      <c r="J1564"/>
    </row>
    <row r="1565" spans="10:10" x14ac:dyDescent="0.3">
      <c r="J1565"/>
    </row>
    <row r="1566" spans="10:10" x14ac:dyDescent="0.3">
      <c r="J1566"/>
    </row>
    <row r="1567" spans="10:10" x14ac:dyDescent="0.3">
      <c r="J1567"/>
    </row>
    <row r="1568" spans="10:10" x14ac:dyDescent="0.3">
      <c r="J1568"/>
    </row>
    <row r="1569" spans="10:10" x14ac:dyDescent="0.3">
      <c r="J1569"/>
    </row>
    <row r="1570" spans="10:10" x14ac:dyDescent="0.3">
      <c r="J1570"/>
    </row>
    <row r="1571" spans="10:10" x14ac:dyDescent="0.3">
      <c r="J1571"/>
    </row>
    <row r="1572" spans="10:10" x14ac:dyDescent="0.3">
      <c r="J1572"/>
    </row>
    <row r="1573" spans="10:10" x14ac:dyDescent="0.3">
      <c r="J1573"/>
    </row>
    <row r="1574" spans="10:10" x14ac:dyDescent="0.3">
      <c r="J1574"/>
    </row>
    <row r="1575" spans="10:10" x14ac:dyDescent="0.3">
      <c r="J1575"/>
    </row>
    <row r="1576" spans="10:10" x14ac:dyDescent="0.3">
      <c r="J1576"/>
    </row>
    <row r="1577" spans="10:10" x14ac:dyDescent="0.3">
      <c r="J1577"/>
    </row>
    <row r="1578" spans="10:10" x14ac:dyDescent="0.3">
      <c r="J1578"/>
    </row>
    <row r="1579" spans="10:10" x14ac:dyDescent="0.3">
      <c r="J1579"/>
    </row>
    <row r="1580" spans="10:10" x14ac:dyDescent="0.3">
      <c r="J1580"/>
    </row>
    <row r="1581" spans="10:10" x14ac:dyDescent="0.3">
      <c r="J1581"/>
    </row>
    <row r="1582" spans="10:10" x14ac:dyDescent="0.3">
      <c r="J1582"/>
    </row>
    <row r="1583" spans="10:10" x14ac:dyDescent="0.3">
      <c r="J1583"/>
    </row>
    <row r="1584" spans="10:10" x14ac:dyDescent="0.3">
      <c r="J1584"/>
    </row>
    <row r="1585" spans="10:10" x14ac:dyDescent="0.3">
      <c r="J1585"/>
    </row>
    <row r="1586" spans="10:10" x14ac:dyDescent="0.3">
      <c r="J1586"/>
    </row>
    <row r="1587" spans="10:10" x14ac:dyDescent="0.3">
      <c r="J1587"/>
    </row>
    <row r="1588" spans="10:10" x14ac:dyDescent="0.3">
      <c r="J1588"/>
    </row>
    <row r="1589" spans="10:10" x14ac:dyDescent="0.3">
      <c r="J1589"/>
    </row>
    <row r="1590" spans="10:10" x14ac:dyDescent="0.3">
      <c r="J1590"/>
    </row>
    <row r="1591" spans="10:10" x14ac:dyDescent="0.3">
      <c r="J1591"/>
    </row>
    <row r="1592" spans="10:10" x14ac:dyDescent="0.3">
      <c r="J1592"/>
    </row>
    <row r="1593" spans="10:10" x14ac:dyDescent="0.3">
      <c r="J1593"/>
    </row>
    <row r="1594" spans="10:10" x14ac:dyDescent="0.3">
      <c r="J1594"/>
    </row>
    <row r="1595" spans="10:10" x14ac:dyDescent="0.3">
      <c r="J1595"/>
    </row>
    <row r="1596" spans="10:10" x14ac:dyDescent="0.3">
      <c r="J1596"/>
    </row>
    <row r="1597" spans="10:10" x14ac:dyDescent="0.3">
      <c r="J1597"/>
    </row>
    <row r="1598" spans="10:10" x14ac:dyDescent="0.3">
      <c r="J1598"/>
    </row>
    <row r="1599" spans="10:10" x14ac:dyDescent="0.3">
      <c r="J1599"/>
    </row>
    <row r="1600" spans="10:10" x14ac:dyDescent="0.3">
      <c r="J1600"/>
    </row>
    <row r="1601" spans="10:10" x14ac:dyDescent="0.3">
      <c r="J1601"/>
    </row>
    <row r="1602" spans="10:10" x14ac:dyDescent="0.3">
      <c r="J1602"/>
    </row>
    <row r="1603" spans="10:10" x14ac:dyDescent="0.3">
      <c r="J1603"/>
    </row>
    <row r="1604" spans="10:10" x14ac:dyDescent="0.3">
      <c r="J1604"/>
    </row>
    <row r="1605" spans="10:10" x14ac:dyDescent="0.3">
      <c r="J1605"/>
    </row>
    <row r="1606" spans="10:10" x14ac:dyDescent="0.3">
      <c r="J1606"/>
    </row>
    <row r="1607" spans="10:10" x14ac:dyDescent="0.3">
      <c r="J1607"/>
    </row>
    <row r="1608" spans="10:10" x14ac:dyDescent="0.3">
      <c r="J1608"/>
    </row>
    <row r="1609" spans="10:10" x14ac:dyDescent="0.3">
      <c r="J1609"/>
    </row>
    <row r="1610" spans="10:10" x14ac:dyDescent="0.3">
      <c r="J1610"/>
    </row>
    <row r="1611" spans="10:10" x14ac:dyDescent="0.3">
      <c r="J1611"/>
    </row>
    <row r="1612" spans="10:10" x14ac:dyDescent="0.3">
      <c r="J1612"/>
    </row>
    <row r="1613" spans="10:10" x14ac:dyDescent="0.3">
      <c r="J1613"/>
    </row>
    <row r="1614" spans="10:10" x14ac:dyDescent="0.3">
      <c r="J1614"/>
    </row>
    <row r="1615" spans="10:10" x14ac:dyDescent="0.3">
      <c r="J1615"/>
    </row>
    <row r="1616" spans="10:10" x14ac:dyDescent="0.3">
      <c r="J1616"/>
    </row>
    <row r="1617" spans="10:10" x14ac:dyDescent="0.3">
      <c r="J1617"/>
    </row>
    <row r="1618" spans="10:10" x14ac:dyDescent="0.3">
      <c r="J1618"/>
    </row>
    <row r="1619" spans="10:10" x14ac:dyDescent="0.3">
      <c r="J1619"/>
    </row>
    <row r="1620" spans="10:10" x14ac:dyDescent="0.3">
      <c r="J1620"/>
    </row>
    <row r="1621" spans="10:10" x14ac:dyDescent="0.3">
      <c r="J1621"/>
    </row>
    <row r="1622" spans="10:10" x14ac:dyDescent="0.3">
      <c r="J1622"/>
    </row>
    <row r="1623" spans="10:10" x14ac:dyDescent="0.3">
      <c r="J1623"/>
    </row>
    <row r="1624" spans="10:10" x14ac:dyDescent="0.3">
      <c r="J1624"/>
    </row>
    <row r="1625" spans="10:10" x14ac:dyDescent="0.3">
      <c r="J1625"/>
    </row>
    <row r="1626" spans="10:10" x14ac:dyDescent="0.3">
      <c r="J1626"/>
    </row>
    <row r="1627" spans="10:10" x14ac:dyDescent="0.3">
      <c r="J1627"/>
    </row>
    <row r="1628" spans="10:10" x14ac:dyDescent="0.3">
      <c r="J1628"/>
    </row>
    <row r="1629" spans="10:10" x14ac:dyDescent="0.3">
      <c r="J1629"/>
    </row>
    <row r="1630" spans="10:10" x14ac:dyDescent="0.3">
      <c r="J1630"/>
    </row>
    <row r="1631" spans="10:10" x14ac:dyDescent="0.3">
      <c r="J1631"/>
    </row>
    <row r="1632" spans="10:10" x14ac:dyDescent="0.3">
      <c r="J1632"/>
    </row>
    <row r="1633" spans="10:10" x14ac:dyDescent="0.3">
      <c r="J1633"/>
    </row>
    <row r="1634" spans="10:10" x14ac:dyDescent="0.3">
      <c r="J1634"/>
    </row>
    <row r="1635" spans="10:10" x14ac:dyDescent="0.3">
      <c r="J1635"/>
    </row>
    <row r="1636" spans="10:10" x14ac:dyDescent="0.3">
      <c r="J1636"/>
    </row>
    <row r="1637" spans="10:10" x14ac:dyDescent="0.3">
      <c r="J1637"/>
    </row>
    <row r="1638" spans="10:10" x14ac:dyDescent="0.3">
      <c r="J1638"/>
    </row>
    <row r="1639" spans="10:10" x14ac:dyDescent="0.3">
      <c r="J1639"/>
    </row>
    <row r="1640" spans="10:10" x14ac:dyDescent="0.3">
      <c r="J1640"/>
    </row>
    <row r="1641" spans="10:10" x14ac:dyDescent="0.3">
      <c r="J1641"/>
    </row>
    <row r="1642" spans="10:10" x14ac:dyDescent="0.3">
      <c r="J1642"/>
    </row>
    <row r="1643" spans="10:10" x14ac:dyDescent="0.3">
      <c r="J1643"/>
    </row>
    <row r="1644" spans="10:10" x14ac:dyDescent="0.3">
      <c r="J1644"/>
    </row>
    <row r="1645" spans="10:10" x14ac:dyDescent="0.3">
      <c r="J1645"/>
    </row>
    <row r="1646" spans="10:10" x14ac:dyDescent="0.3">
      <c r="J1646"/>
    </row>
    <row r="1647" spans="10:10" x14ac:dyDescent="0.3">
      <c r="J1647"/>
    </row>
    <row r="1648" spans="10:10" x14ac:dyDescent="0.3">
      <c r="J1648"/>
    </row>
    <row r="1649" spans="10:10" x14ac:dyDescent="0.3">
      <c r="J1649"/>
    </row>
    <row r="1650" spans="10:10" x14ac:dyDescent="0.3">
      <c r="J1650"/>
    </row>
    <row r="1651" spans="10:10" x14ac:dyDescent="0.3">
      <c r="J1651"/>
    </row>
    <row r="1652" spans="10:10" x14ac:dyDescent="0.3">
      <c r="J1652"/>
    </row>
    <row r="1653" spans="10:10" x14ac:dyDescent="0.3">
      <c r="J1653"/>
    </row>
    <row r="1654" spans="10:10" x14ac:dyDescent="0.3">
      <c r="J1654"/>
    </row>
    <row r="1655" spans="10:10" x14ac:dyDescent="0.3">
      <c r="J1655"/>
    </row>
    <row r="1656" spans="10:10" x14ac:dyDescent="0.3">
      <c r="J1656"/>
    </row>
    <row r="1657" spans="10:10" x14ac:dyDescent="0.3">
      <c r="J1657"/>
    </row>
    <row r="1658" spans="10:10" x14ac:dyDescent="0.3">
      <c r="J1658"/>
    </row>
    <row r="1659" spans="10:10" x14ac:dyDescent="0.3">
      <c r="J1659"/>
    </row>
    <row r="1660" spans="10:10" x14ac:dyDescent="0.3">
      <c r="J1660"/>
    </row>
    <row r="1661" spans="10:10" x14ac:dyDescent="0.3">
      <c r="J1661"/>
    </row>
    <row r="1662" spans="10:10" x14ac:dyDescent="0.3">
      <c r="J1662"/>
    </row>
    <row r="1663" spans="10:10" x14ac:dyDescent="0.3">
      <c r="J1663"/>
    </row>
    <row r="1664" spans="10:10" x14ac:dyDescent="0.3">
      <c r="J1664"/>
    </row>
    <row r="1665" spans="10:10" x14ac:dyDescent="0.3">
      <c r="J1665"/>
    </row>
    <row r="1666" spans="10:10" x14ac:dyDescent="0.3">
      <c r="J1666"/>
    </row>
    <row r="1667" spans="10:10" x14ac:dyDescent="0.3">
      <c r="J1667"/>
    </row>
    <row r="1668" spans="10:10" x14ac:dyDescent="0.3">
      <c r="J1668"/>
    </row>
    <row r="1669" spans="10:10" x14ac:dyDescent="0.3">
      <c r="J1669"/>
    </row>
    <row r="1670" spans="10:10" x14ac:dyDescent="0.3">
      <c r="J1670"/>
    </row>
    <row r="1671" spans="10:10" x14ac:dyDescent="0.3">
      <c r="J1671"/>
    </row>
    <row r="1672" spans="10:10" x14ac:dyDescent="0.3">
      <c r="J1672"/>
    </row>
    <row r="1673" spans="10:10" x14ac:dyDescent="0.3">
      <c r="J1673"/>
    </row>
    <row r="1674" spans="10:10" x14ac:dyDescent="0.3">
      <c r="J1674"/>
    </row>
    <row r="1675" spans="10:10" x14ac:dyDescent="0.3">
      <c r="J1675"/>
    </row>
    <row r="1676" spans="10:10" x14ac:dyDescent="0.3">
      <c r="J1676"/>
    </row>
    <row r="1677" spans="10:10" x14ac:dyDescent="0.3">
      <c r="J1677"/>
    </row>
    <row r="1678" spans="10:10" x14ac:dyDescent="0.3">
      <c r="J1678"/>
    </row>
    <row r="1679" spans="10:10" x14ac:dyDescent="0.3">
      <c r="J1679"/>
    </row>
    <row r="1680" spans="10:10" x14ac:dyDescent="0.3">
      <c r="J1680"/>
    </row>
    <row r="1681" spans="10:10" x14ac:dyDescent="0.3">
      <c r="J1681"/>
    </row>
    <row r="1682" spans="10:10" x14ac:dyDescent="0.3">
      <c r="J1682"/>
    </row>
    <row r="1683" spans="10:10" x14ac:dyDescent="0.3">
      <c r="J1683"/>
    </row>
    <row r="1684" spans="10:10" x14ac:dyDescent="0.3">
      <c r="J1684"/>
    </row>
    <row r="1685" spans="10:10" x14ac:dyDescent="0.3">
      <c r="J1685"/>
    </row>
    <row r="1686" spans="10:10" x14ac:dyDescent="0.3">
      <c r="J1686"/>
    </row>
    <row r="1687" spans="10:10" x14ac:dyDescent="0.3">
      <c r="J1687"/>
    </row>
    <row r="1688" spans="10:10" x14ac:dyDescent="0.3">
      <c r="J1688"/>
    </row>
    <row r="1689" spans="10:10" x14ac:dyDescent="0.3">
      <c r="J1689"/>
    </row>
    <row r="1690" spans="10:10" x14ac:dyDescent="0.3">
      <c r="J1690"/>
    </row>
    <row r="1691" spans="10:10" x14ac:dyDescent="0.3">
      <c r="J1691"/>
    </row>
    <row r="1692" spans="10:10" x14ac:dyDescent="0.3">
      <c r="J1692"/>
    </row>
    <row r="1693" spans="10:10" x14ac:dyDescent="0.3">
      <c r="J1693"/>
    </row>
    <row r="1694" spans="10:10" x14ac:dyDescent="0.3">
      <c r="J1694"/>
    </row>
    <row r="1695" spans="10:10" x14ac:dyDescent="0.3">
      <c r="J1695"/>
    </row>
    <row r="1696" spans="10:10" x14ac:dyDescent="0.3">
      <c r="J1696"/>
    </row>
    <row r="1697" spans="10:10" x14ac:dyDescent="0.3">
      <c r="J1697"/>
    </row>
    <row r="1698" spans="10:10" x14ac:dyDescent="0.3">
      <c r="J1698"/>
    </row>
    <row r="1699" spans="10:10" x14ac:dyDescent="0.3">
      <c r="J1699"/>
    </row>
    <row r="1700" spans="10:10" x14ac:dyDescent="0.3">
      <c r="J1700"/>
    </row>
    <row r="1701" spans="10:10" x14ac:dyDescent="0.3">
      <c r="J1701"/>
    </row>
    <row r="1702" spans="10:10" x14ac:dyDescent="0.3">
      <c r="J1702"/>
    </row>
    <row r="1703" spans="10:10" x14ac:dyDescent="0.3">
      <c r="J1703"/>
    </row>
    <row r="1704" spans="10:10" x14ac:dyDescent="0.3">
      <c r="J1704"/>
    </row>
    <row r="1705" spans="10:10" x14ac:dyDescent="0.3">
      <c r="J1705"/>
    </row>
    <row r="1706" spans="10:10" x14ac:dyDescent="0.3">
      <c r="J1706"/>
    </row>
    <row r="1707" spans="10:10" x14ac:dyDescent="0.3">
      <c r="J1707"/>
    </row>
    <row r="1708" spans="10:10" x14ac:dyDescent="0.3">
      <c r="J1708"/>
    </row>
    <row r="1709" spans="10:10" x14ac:dyDescent="0.3">
      <c r="J1709"/>
    </row>
    <row r="1710" spans="10:10" x14ac:dyDescent="0.3">
      <c r="J1710"/>
    </row>
    <row r="1711" spans="10:10" x14ac:dyDescent="0.3">
      <c r="J1711"/>
    </row>
    <row r="1712" spans="10:10" x14ac:dyDescent="0.3">
      <c r="J1712"/>
    </row>
    <row r="1713" spans="10:10" x14ac:dyDescent="0.3">
      <c r="J1713"/>
    </row>
    <row r="1714" spans="10:10" x14ac:dyDescent="0.3">
      <c r="J1714"/>
    </row>
    <row r="1715" spans="10:10" x14ac:dyDescent="0.3">
      <c r="J1715"/>
    </row>
    <row r="1716" spans="10:10" x14ac:dyDescent="0.3">
      <c r="J1716"/>
    </row>
    <row r="1717" spans="10:10" x14ac:dyDescent="0.3">
      <c r="J1717"/>
    </row>
    <row r="1718" spans="10:10" x14ac:dyDescent="0.3">
      <c r="J1718"/>
    </row>
    <row r="1719" spans="10:10" x14ac:dyDescent="0.3">
      <c r="J1719"/>
    </row>
    <row r="1720" spans="10:10" x14ac:dyDescent="0.3">
      <c r="J1720"/>
    </row>
    <row r="1721" spans="10:10" x14ac:dyDescent="0.3">
      <c r="J1721"/>
    </row>
    <row r="1722" spans="10:10" x14ac:dyDescent="0.3">
      <c r="J1722"/>
    </row>
    <row r="1723" spans="10:10" x14ac:dyDescent="0.3">
      <c r="J1723"/>
    </row>
    <row r="1724" spans="10:10" x14ac:dyDescent="0.3">
      <c r="J1724"/>
    </row>
    <row r="1725" spans="10:10" x14ac:dyDescent="0.3">
      <c r="J1725"/>
    </row>
    <row r="1726" spans="10:10" x14ac:dyDescent="0.3">
      <c r="J1726"/>
    </row>
    <row r="1727" spans="10:10" x14ac:dyDescent="0.3">
      <c r="J1727"/>
    </row>
    <row r="1728" spans="10:10" x14ac:dyDescent="0.3">
      <c r="J1728"/>
    </row>
    <row r="1729" spans="10:10" x14ac:dyDescent="0.3">
      <c r="J1729"/>
    </row>
    <row r="1730" spans="10:10" x14ac:dyDescent="0.3">
      <c r="J1730"/>
    </row>
    <row r="1731" spans="10:10" x14ac:dyDescent="0.3">
      <c r="J1731"/>
    </row>
    <row r="1732" spans="10:10" x14ac:dyDescent="0.3">
      <c r="J1732"/>
    </row>
    <row r="1733" spans="10:10" x14ac:dyDescent="0.3">
      <c r="J1733"/>
    </row>
    <row r="1734" spans="10:10" x14ac:dyDescent="0.3">
      <c r="J1734"/>
    </row>
    <row r="1735" spans="10:10" x14ac:dyDescent="0.3">
      <c r="J1735"/>
    </row>
    <row r="1736" spans="10:10" x14ac:dyDescent="0.3">
      <c r="J1736"/>
    </row>
    <row r="1737" spans="10:10" x14ac:dyDescent="0.3">
      <c r="J1737"/>
    </row>
    <row r="1738" spans="10:10" x14ac:dyDescent="0.3">
      <c r="J1738"/>
    </row>
    <row r="1739" spans="10:10" x14ac:dyDescent="0.3">
      <c r="J1739"/>
    </row>
    <row r="1740" spans="10:10" x14ac:dyDescent="0.3">
      <c r="J1740"/>
    </row>
    <row r="1741" spans="10:10" x14ac:dyDescent="0.3">
      <c r="J1741"/>
    </row>
    <row r="1742" spans="10:10" x14ac:dyDescent="0.3">
      <c r="J1742"/>
    </row>
    <row r="1743" spans="10:10" x14ac:dyDescent="0.3">
      <c r="J1743"/>
    </row>
    <row r="1744" spans="10:10" x14ac:dyDescent="0.3">
      <c r="J1744"/>
    </row>
    <row r="1745" spans="10:10" x14ac:dyDescent="0.3">
      <c r="J1745"/>
    </row>
    <row r="1746" spans="10:10" x14ac:dyDescent="0.3">
      <c r="J1746"/>
    </row>
    <row r="1747" spans="10:10" x14ac:dyDescent="0.3">
      <c r="J1747"/>
    </row>
    <row r="1748" spans="10:10" x14ac:dyDescent="0.3">
      <c r="J1748"/>
    </row>
    <row r="1749" spans="10:10" x14ac:dyDescent="0.3">
      <c r="J1749"/>
    </row>
    <row r="1750" spans="10:10" x14ac:dyDescent="0.3">
      <c r="J1750"/>
    </row>
    <row r="1751" spans="10:10" x14ac:dyDescent="0.3">
      <c r="J1751"/>
    </row>
    <row r="1752" spans="10:10" x14ac:dyDescent="0.3">
      <c r="J1752"/>
    </row>
    <row r="1753" spans="10:10" x14ac:dyDescent="0.3">
      <c r="J1753"/>
    </row>
    <row r="1754" spans="10:10" x14ac:dyDescent="0.3">
      <c r="J1754"/>
    </row>
    <row r="1755" spans="10:10" x14ac:dyDescent="0.3">
      <c r="J1755"/>
    </row>
    <row r="1756" spans="10:10" x14ac:dyDescent="0.3">
      <c r="J1756"/>
    </row>
    <row r="1757" spans="10:10" x14ac:dyDescent="0.3">
      <c r="J1757"/>
    </row>
    <row r="1758" spans="10:10" x14ac:dyDescent="0.3">
      <c r="J1758"/>
    </row>
    <row r="1759" spans="10:10" x14ac:dyDescent="0.3">
      <c r="J1759"/>
    </row>
    <row r="1760" spans="10:10" x14ac:dyDescent="0.3">
      <c r="J1760"/>
    </row>
    <row r="1761" spans="10:10" x14ac:dyDescent="0.3">
      <c r="J1761"/>
    </row>
    <row r="1762" spans="10:10" x14ac:dyDescent="0.3">
      <c r="J1762"/>
    </row>
    <row r="1763" spans="10:10" x14ac:dyDescent="0.3">
      <c r="J1763"/>
    </row>
    <row r="1764" spans="10:10" x14ac:dyDescent="0.3">
      <c r="J1764"/>
    </row>
    <row r="1765" spans="10:10" x14ac:dyDescent="0.3">
      <c r="J1765"/>
    </row>
    <row r="1766" spans="10:10" x14ac:dyDescent="0.3">
      <c r="J1766"/>
    </row>
    <row r="1767" spans="10:10" x14ac:dyDescent="0.3">
      <c r="J1767"/>
    </row>
    <row r="1768" spans="10:10" x14ac:dyDescent="0.3">
      <c r="J1768"/>
    </row>
    <row r="1769" spans="10:10" x14ac:dyDescent="0.3">
      <c r="J1769"/>
    </row>
    <row r="1770" spans="10:10" x14ac:dyDescent="0.3">
      <c r="J1770"/>
    </row>
    <row r="1771" spans="10:10" x14ac:dyDescent="0.3">
      <c r="J1771"/>
    </row>
    <row r="1772" spans="10:10" x14ac:dyDescent="0.3">
      <c r="J1772"/>
    </row>
    <row r="1773" spans="10:10" x14ac:dyDescent="0.3">
      <c r="J1773"/>
    </row>
    <row r="1774" spans="10:10" x14ac:dyDescent="0.3">
      <c r="J1774"/>
    </row>
    <row r="1775" spans="10:10" x14ac:dyDescent="0.3">
      <c r="J1775"/>
    </row>
    <row r="1776" spans="10:10" x14ac:dyDescent="0.3">
      <c r="J1776"/>
    </row>
    <row r="1777" spans="10:10" x14ac:dyDescent="0.3">
      <c r="J1777"/>
    </row>
    <row r="1778" spans="10:10" x14ac:dyDescent="0.3">
      <c r="J1778"/>
    </row>
    <row r="1779" spans="10:10" x14ac:dyDescent="0.3">
      <c r="J1779"/>
    </row>
    <row r="1780" spans="10:10" x14ac:dyDescent="0.3">
      <c r="J1780"/>
    </row>
    <row r="1781" spans="10:10" x14ac:dyDescent="0.3">
      <c r="J1781"/>
    </row>
    <row r="1782" spans="10:10" x14ac:dyDescent="0.3">
      <c r="J1782"/>
    </row>
    <row r="1783" spans="10:10" x14ac:dyDescent="0.3">
      <c r="J1783"/>
    </row>
    <row r="1784" spans="10:10" x14ac:dyDescent="0.3">
      <c r="J1784"/>
    </row>
    <row r="1785" spans="10:10" x14ac:dyDescent="0.3">
      <c r="J1785"/>
    </row>
    <row r="1786" spans="10:10" x14ac:dyDescent="0.3">
      <c r="J1786"/>
    </row>
    <row r="1787" spans="10:10" x14ac:dyDescent="0.3">
      <c r="J1787"/>
    </row>
    <row r="1788" spans="10:10" x14ac:dyDescent="0.3">
      <c r="J1788"/>
    </row>
    <row r="1789" spans="10:10" x14ac:dyDescent="0.3">
      <c r="J1789"/>
    </row>
    <row r="1790" spans="10:10" x14ac:dyDescent="0.3">
      <c r="J1790"/>
    </row>
    <row r="1791" spans="10:10" x14ac:dyDescent="0.3">
      <c r="J1791"/>
    </row>
    <row r="1792" spans="10:10" x14ac:dyDescent="0.3">
      <c r="J1792"/>
    </row>
    <row r="1793" spans="10:10" x14ac:dyDescent="0.3">
      <c r="J1793"/>
    </row>
    <row r="1794" spans="10:10" x14ac:dyDescent="0.3">
      <c r="J1794"/>
    </row>
    <row r="1795" spans="10:10" x14ac:dyDescent="0.3">
      <c r="J1795"/>
    </row>
    <row r="1796" spans="10:10" x14ac:dyDescent="0.3">
      <c r="J1796"/>
    </row>
    <row r="1797" spans="10:10" x14ac:dyDescent="0.3">
      <c r="J1797"/>
    </row>
    <row r="1798" spans="10:10" x14ac:dyDescent="0.3">
      <c r="J1798"/>
    </row>
    <row r="1799" spans="10:10" x14ac:dyDescent="0.3">
      <c r="J1799"/>
    </row>
    <row r="1800" spans="10:10" x14ac:dyDescent="0.3">
      <c r="J1800"/>
    </row>
    <row r="1801" spans="10:10" x14ac:dyDescent="0.3">
      <c r="J1801"/>
    </row>
    <row r="1802" spans="10:10" x14ac:dyDescent="0.3">
      <c r="J1802"/>
    </row>
    <row r="1803" spans="10:10" x14ac:dyDescent="0.3">
      <c r="J1803"/>
    </row>
    <row r="1804" spans="10:10" x14ac:dyDescent="0.3">
      <c r="J1804"/>
    </row>
    <row r="1805" spans="10:10" x14ac:dyDescent="0.3">
      <c r="J1805"/>
    </row>
    <row r="1806" spans="10:10" x14ac:dyDescent="0.3">
      <c r="J1806"/>
    </row>
    <row r="1807" spans="10:10" x14ac:dyDescent="0.3">
      <c r="J1807"/>
    </row>
    <row r="1808" spans="10:10" x14ac:dyDescent="0.3">
      <c r="J1808"/>
    </row>
    <row r="1809" spans="10:10" x14ac:dyDescent="0.3">
      <c r="J1809"/>
    </row>
    <row r="1810" spans="10:10" x14ac:dyDescent="0.3">
      <c r="J1810"/>
    </row>
    <row r="1811" spans="10:10" x14ac:dyDescent="0.3">
      <c r="J1811"/>
    </row>
    <row r="1812" spans="10:10" x14ac:dyDescent="0.3">
      <c r="J1812"/>
    </row>
    <row r="1813" spans="10:10" x14ac:dyDescent="0.3">
      <c r="J1813"/>
    </row>
    <row r="1814" spans="10:10" x14ac:dyDescent="0.3">
      <c r="J1814"/>
    </row>
    <row r="1815" spans="10:10" x14ac:dyDescent="0.3">
      <c r="J1815"/>
    </row>
    <row r="1816" spans="10:10" x14ac:dyDescent="0.3">
      <c r="J1816"/>
    </row>
    <row r="1817" spans="10:10" x14ac:dyDescent="0.3">
      <c r="J1817"/>
    </row>
    <row r="1818" spans="10:10" x14ac:dyDescent="0.3">
      <c r="J1818"/>
    </row>
    <row r="1819" spans="10:10" x14ac:dyDescent="0.3">
      <c r="J1819"/>
    </row>
    <row r="1820" spans="10:10" x14ac:dyDescent="0.3">
      <c r="J1820"/>
    </row>
    <row r="1821" spans="10:10" x14ac:dyDescent="0.3">
      <c r="J1821"/>
    </row>
    <row r="1822" spans="10:10" x14ac:dyDescent="0.3">
      <c r="J1822"/>
    </row>
    <row r="1823" spans="10:10" x14ac:dyDescent="0.3">
      <c r="J1823"/>
    </row>
    <row r="1824" spans="10:10" x14ac:dyDescent="0.3">
      <c r="J1824"/>
    </row>
    <row r="1825" spans="10:10" x14ac:dyDescent="0.3">
      <c r="J1825"/>
    </row>
    <row r="1826" spans="10:10" x14ac:dyDescent="0.3">
      <c r="J1826"/>
    </row>
    <row r="1827" spans="10:10" x14ac:dyDescent="0.3">
      <c r="J1827"/>
    </row>
    <row r="1828" spans="10:10" x14ac:dyDescent="0.3">
      <c r="J1828"/>
    </row>
    <row r="1829" spans="10:10" x14ac:dyDescent="0.3">
      <c r="J1829"/>
    </row>
    <row r="1830" spans="10:10" x14ac:dyDescent="0.3">
      <c r="J1830"/>
    </row>
    <row r="1831" spans="10:10" x14ac:dyDescent="0.3">
      <c r="J1831"/>
    </row>
    <row r="1832" spans="10:10" x14ac:dyDescent="0.3">
      <c r="J1832"/>
    </row>
    <row r="1833" spans="10:10" x14ac:dyDescent="0.3">
      <c r="J1833"/>
    </row>
    <row r="1834" spans="10:10" x14ac:dyDescent="0.3">
      <c r="J1834"/>
    </row>
    <row r="1835" spans="10:10" x14ac:dyDescent="0.3">
      <c r="J1835"/>
    </row>
    <row r="1836" spans="10:10" x14ac:dyDescent="0.3">
      <c r="J1836"/>
    </row>
    <row r="1837" spans="10:10" x14ac:dyDescent="0.3">
      <c r="J1837"/>
    </row>
    <row r="1838" spans="10:10" x14ac:dyDescent="0.3">
      <c r="J1838"/>
    </row>
    <row r="1839" spans="10:10" x14ac:dyDescent="0.3">
      <c r="J1839"/>
    </row>
    <row r="1840" spans="10:10" x14ac:dyDescent="0.3">
      <c r="J1840"/>
    </row>
    <row r="1841" spans="10:10" x14ac:dyDescent="0.3">
      <c r="J1841"/>
    </row>
    <row r="1842" spans="10:10" x14ac:dyDescent="0.3">
      <c r="J1842"/>
    </row>
    <row r="1843" spans="10:10" x14ac:dyDescent="0.3">
      <c r="J1843"/>
    </row>
    <row r="1844" spans="10:10" x14ac:dyDescent="0.3">
      <c r="J1844"/>
    </row>
    <row r="1845" spans="10:10" x14ac:dyDescent="0.3">
      <c r="J1845"/>
    </row>
    <row r="1846" spans="10:10" x14ac:dyDescent="0.3">
      <c r="J1846"/>
    </row>
    <row r="1847" spans="10:10" x14ac:dyDescent="0.3">
      <c r="J1847"/>
    </row>
    <row r="1848" spans="10:10" x14ac:dyDescent="0.3">
      <c r="J1848"/>
    </row>
    <row r="1849" spans="10:10" x14ac:dyDescent="0.3">
      <c r="J1849"/>
    </row>
    <row r="1850" spans="10:10" x14ac:dyDescent="0.3">
      <c r="J1850"/>
    </row>
    <row r="1851" spans="10:10" x14ac:dyDescent="0.3">
      <c r="J1851"/>
    </row>
    <row r="1852" spans="10:10" x14ac:dyDescent="0.3">
      <c r="J1852"/>
    </row>
    <row r="1853" spans="10:10" x14ac:dyDescent="0.3">
      <c r="J1853"/>
    </row>
    <row r="1854" spans="10:10" x14ac:dyDescent="0.3">
      <c r="J1854"/>
    </row>
    <row r="1855" spans="10:10" x14ac:dyDescent="0.3">
      <c r="J1855"/>
    </row>
    <row r="1856" spans="10:10" x14ac:dyDescent="0.3">
      <c r="J1856"/>
    </row>
    <row r="1857" spans="10:10" x14ac:dyDescent="0.3">
      <c r="J1857"/>
    </row>
    <row r="1858" spans="10:10" x14ac:dyDescent="0.3">
      <c r="J1858"/>
    </row>
    <row r="1859" spans="10:10" x14ac:dyDescent="0.3">
      <c r="J1859"/>
    </row>
    <row r="1860" spans="10:10" x14ac:dyDescent="0.3">
      <c r="J1860"/>
    </row>
    <row r="1861" spans="10:10" x14ac:dyDescent="0.3">
      <c r="J1861"/>
    </row>
    <row r="1862" spans="10:10" x14ac:dyDescent="0.3">
      <c r="J1862"/>
    </row>
    <row r="1863" spans="10:10" x14ac:dyDescent="0.3">
      <c r="J1863"/>
    </row>
    <row r="1864" spans="10:10" x14ac:dyDescent="0.3">
      <c r="J1864"/>
    </row>
    <row r="1865" spans="10:10" x14ac:dyDescent="0.3">
      <c r="J1865"/>
    </row>
    <row r="1866" spans="10:10" x14ac:dyDescent="0.3">
      <c r="J1866"/>
    </row>
    <row r="1867" spans="10:10" x14ac:dyDescent="0.3">
      <c r="J1867"/>
    </row>
    <row r="1868" spans="10:10" x14ac:dyDescent="0.3">
      <c r="J1868"/>
    </row>
    <row r="1869" spans="10:10" x14ac:dyDescent="0.3">
      <c r="J1869"/>
    </row>
    <row r="1870" spans="10:10" x14ac:dyDescent="0.3">
      <c r="J1870"/>
    </row>
    <row r="1871" spans="10:10" x14ac:dyDescent="0.3">
      <c r="J1871"/>
    </row>
    <row r="1872" spans="10:10" x14ac:dyDescent="0.3">
      <c r="J1872"/>
    </row>
    <row r="1873" spans="10:10" x14ac:dyDescent="0.3">
      <c r="J1873"/>
    </row>
    <row r="1874" spans="10:10" x14ac:dyDescent="0.3">
      <c r="J1874"/>
    </row>
    <row r="1875" spans="10:10" x14ac:dyDescent="0.3">
      <c r="J1875"/>
    </row>
    <row r="1876" spans="10:10" x14ac:dyDescent="0.3">
      <c r="J1876"/>
    </row>
    <row r="1877" spans="10:10" x14ac:dyDescent="0.3">
      <c r="J1877"/>
    </row>
    <row r="1878" spans="10:10" x14ac:dyDescent="0.3">
      <c r="J1878"/>
    </row>
    <row r="1879" spans="10:10" x14ac:dyDescent="0.3">
      <c r="J1879"/>
    </row>
    <row r="1880" spans="10:10" x14ac:dyDescent="0.3">
      <c r="J1880"/>
    </row>
    <row r="1881" spans="10:10" x14ac:dyDescent="0.3">
      <c r="J1881"/>
    </row>
    <row r="1882" spans="10:10" x14ac:dyDescent="0.3">
      <c r="J1882"/>
    </row>
    <row r="1883" spans="10:10" x14ac:dyDescent="0.3">
      <c r="J1883"/>
    </row>
    <row r="1884" spans="10:10" x14ac:dyDescent="0.3">
      <c r="J1884"/>
    </row>
    <row r="1885" spans="10:10" x14ac:dyDescent="0.3">
      <c r="J1885"/>
    </row>
    <row r="1886" spans="10:10" x14ac:dyDescent="0.3">
      <c r="J1886"/>
    </row>
    <row r="1887" spans="10:10" x14ac:dyDescent="0.3">
      <c r="J1887"/>
    </row>
    <row r="1888" spans="10:10" x14ac:dyDescent="0.3">
      <c r="J1888"/>
    </row>
    <row r="1889" spans="10:10" x14ac:dyDescent="0.3">
      <c r="J1889"/>
    </row>
    <row r="1890" spans="10:10" x14ac:dyDescent="0.3">
      <c r="J1890"/>
    </row>
    <row r="1891" spans="10:10" x14ac:dyDescent="0.3">
      <c r="J1891"/>
    </row>
    <row r="1892" spans="10:10" x14ac:dyDescent="0.3">
      <c r="J1892"/>
    </row>
    <row r="1893" spans="10:10" x14ac:dyDescent="0.3">
      <c r="J1893"/>
    </row>
    <row r="1894" spans="10:10" x14ac:dyDescent="0.3">
      <c r="J1894"/>
    </row>
    <row r="1895" spans="10:10" x14ac:dyDescent="0.3">
      <c r="J1895"/>
    </row>
    <row r="1896" spans="10:10" x14ac:dyDescent="0.3">
      <c r="J1896"/>
    </row>
    <row r="1897" spans="10:10" x14ac:dyDescent="0.3">
      <c r="J1897"/>
    </row>
    <row r="1898" spans="10:10" x14ac:dyDescent="0.3">
      <c r="J1898"/>
    </row>
    <row r="1899" spans="10:10" x14ac:dyDescent="0.3">
      <c r="J1899"/>
    </row>
    <row r="1900" spans="10:10" x14ac:dyDescent="0.3">
      <c r="J1900"/>
    </row>
    <row r="1901" spans="10:10" x14ac:dyDescent="0.3">
      <c r="J1901"/>
    </row>
    <row r="1902" spans="10:10" x14ac:dyDescent="0.3">
      <c r="J1902"/>
    </row>
    <row r="1903" spans="10:10" x14ac:dyDescent="0.3">
      <c r="J1903"/>
    </row>
    <row r="1904" spans="10:10" x14ac:dyDescent="0.3">
      <c r="J1904"/>
    </row>
    <row r="1905" spans="10:10" x14ac:dyDescent="0.3">
      <c r="J1905"/>
    </row>
    <row r="1906" spans="10:10" x14ac:dyDescent="0.3">
      <c r="J1906"/>
    </row>
    <row r="1907" spans="10:10" x14ac:dyDescent="0.3">
      <c r="J1907"/>
    </row>
    <row r="1908" spans="10:10" x14ac:dyDescent="0.3">
      <c r="J1908"/>
    </row>
    <row r="1909" spans="10:10" x14ac:dyDescent="0.3">
      <c r="J1909"/>
    </row>
    <row r="1910" spans="10:10" x14ac:dyDescent="0.3">
      <c r="J1910"/>
    </row>
    <row r="1911" spans="10:10" x14ac:dyDescent="0.3">
      <c r="J1911"/>
    </row>
    <row r="1912" spans="10:10" x14ac:dyDescent="0.3">
      <c r="J1912"/>
    </row>
    <row r="1913" spans="10:10" x14ac:dyDescent="0.3">
      <c r="J1913"/>
    </row>
    <row r="1914" spans="10:10" x14ac:dyDescent="0.3">
      <c r="J1914"/>
    </row>
    <row r="1915" spans="10:10" x14ac:dyDescent="0.3">
      <c r="J1915"/>
    </row>
    <row r="1916" spans="10:10" x14ac:dyDescent="0.3">
      <c r="J1916"/>
    </row>
    <row r="1917" spans="10:10" x14ac:dyDescent="0.3">
      <c r="J1917"/>
    </row>
    <row r="1918" spans="10:10" x14ac:dyDescent="0.3">
      <c r="J1918"/>
    </row>
    <row r="1919" spans="10:10" x14ac:dyDescent="0.3">
      <c r="J1919"/>
    </row>
    <row r="1920" spans="10:10" x14ac:dyDescent="0.3">
      <c r="J1920"/>
    </row>
    <row r="1921" spans="10:10" x14ac:dyDescent="0.3">
      <c r="J1921"/>
    </row>
    <row r="1922" spans="10:10" x14ac:dyDescent="0.3">
      <c r="J1922"/>
    </row>
    <row r="1923" spans="10:10" x14ac:dyDescent="0.3">
      <c r="J1923"/>
    </row>
    <row r="1924" spans="10:10" x14ac:dyDescent="0.3">
      <c r="J1924"/>
    </row>
    <row r="1925" spans="10:10" x14ac:dyDescent="0.3">
      <c r="J1925"/>
    </row>
    <row r="1926" spans="10:10" x14ac:dyDescent="0.3">
      <c r="J1926"/>
    </row>
    <row r="1927" spans="10:10" x14ac:dyDescent="0.3">
      <c r="J1927"/>
    </row>
    <row r="1928" spans="10:10" x14ac:dyDescent="0.3">
      <c r="J1928"/>
    </row>
    <row r="1929" spans="10:10" x14ac:dyDescent="0.3">
      <c r="J1929"/>
    </row>
    <row r="1930" spans="10:10" x14ac:dyDescent="0.3">
      <c r="J1930"/>
    </row>
    <row r="1931" spans="10:10" x14ac:dyDescent="0.3">
      <c r="J1931"/>
    </row>
    <row r="1932" spans="10:10" x14ac:dyDescent="0.3">
      <c r="J1932"/>
    </row>
    <row r="1933" spans="10:10" x14ac:dyDescent="0.3">
      <c r="J1933"/>
    </row>
    <row r="1934" spans="10:10" x14ac:dyDescent="0.3">
      <c r="J1934"/>
    </row>
    <row r="1935" spans="10:10" x14ac:dyDescent="0.3">
      <c r="J1935"/>
    </row>
    <row r="1936" spans="10:10" x14ac:dyDescent="0.3">
      <c r="J1936"/>
    </row>
    <row r="1937" spans="10:10" x14ac:dyDescent="0.3">
      <c r="J1937"/>
    </row>
    <row r="1938" spans="10:10" x14ac:dyDescent="0.3">
      <c r="J1938"/>
    </row>
    <row r="1939" spans="10:10" x14ac:dyDescent="0.3">
      <c r="J1939"/>
    </row>
    <row r="1940" spans="10:10" x14ac:dyDescent="0.3">
      <c r="J1940"/>
    </row>
    <row r="1941" spans="10:10" x14ac:dyDescent="0.3">
      <c r="J1941"/>
    </row>
    <row r="1942" spans="10:10" x14ac:dyDescent="0.3">
      <c r="J1942"/>
    </row>
    <row r="1943" spans="10:10" x14ac:dyDescent="0.3">
      <c r="J1943"/>
    </row>
    <row r="1944" spans="10:10" x14ac:dyDescent="0.3">
      <c r="J1944"/>
    </row>
    <row r="1945" spans="10:10" x14ac:dyDescent="0.3">
      <c r="J1945"/>
    </row>
    <row r="1946" spans="10:10" x14ac:dyDescent="0.3">
      <c r="J1946"/>
    </row>
    <row r="1947" spans="10:10" x14ac:dyDescent="0.3">
      <c r="J1947"/>
    </row>
    <row r="1948" spans="10:10" x14ac:dyDescent="0.3">
      <c r="J1948"/>
    </row>
    <row r="1949" spans="10:10" x14ac:dyDescent="0.3">
      <c r="J1949"/>
    </row>
    <row r="1950" spans="10:10" x14ac:dyDescent="0.3">
      <c r="J1950"/>
    </row>
    <row r="1951" spans="10:10" x14ac:dyDescent="0.3">
      <c r="J1951"/>
    </row>
    <row r="1952" spans="10:10" x14ac:dyDescent="0.3">
      <c r="J1952"/>
    </row>
    <row r="1953" spans="10:10" x14ac:dyDescent="0.3">
      <c r="J1953"/>
    </row>
    <row r="1954" spans="10:10" x14ac:dyDescent="0.3">
      <c r="J1954"/>
    </row>
    <row r="1955" spans="10:10" x14ac:dyDescent="0.3">
      <c r="J1955"/>
    </row>
    <row r="1956" spans="10:10" x14ac:dyDescent="0.3">
      <c r="J1956"/>
    </row>
    <row r="1957" spans="10:10" x14ac:dyDescent="0.3">
      <c r="J1957"/>
    </row>
    <row r="1958" spans="10:10" x14ac:dyDescent="0.3">
      <c r="J1958"/>
    </row>
    <row r="1959" spans="10:10" x14ac:dyDescent="0.3">
      <c r="J1959"/>
    </row>
    <row r="1960" spans="10:10" x14ac:dyDescent="0.3">
      <c r="J1960"/>
    </row>
    <row r="1961" spans="10:10" x14ac:dyDescent="0.3">
      <c r="J1961"/>
    </row>
    <row r="1962" spans="10:10" x14ac:dyDescent="0.3">
      <c r="J1962"/>
    </row>
    <row r="1963" spans="10:10" x14ac:dyDescent="0.3">
      <c r="J1963"/>
    </row>
    <row r="1964" spans="10:10" x14ac:dyDescent="0.3">
      <c r="J1964"/>
    </row>
    <row r="1965" spans="10:10" x14ac:dyDescent="0.3">
      <c r="J1965"/>
    </row>
    <row r="1966" spans="10:10" x14ac:dyDescent="0.3">
      <c r="J1966"/>
    </row>
    <row r="1967" spans="10:10" x14ac:dyDescent="0.3">
      <c r="J1967"/>
    </row>
    <row r="1968" spans="10:10" x14ac:dyDescent="0.3">
      <c r="J1968"/>
    </row>
    <row r="1969" spans="10:10" x14ac:dyDescent="0.3">
      <c r="J1969"/>
    </row>
    <row r="1970" spans="10:10" x14ac:dyDescent="0.3">
      <c r="J1970"/>
    </row>
    <row r="1971" spans="10:10" x14ac:dyDescent="0.3">
      <c r="J1971"/>
    </row>
    <row r="1972" spans="10:10" x14ac:dyDescent="0.3">
      <c r="J1972"/>
    </row>
    <row r="1973" spans="10:10" x14ac:dyDescent="0.3">
      <c r="J1973"/>
    </row>
    <row r="1974" spans="10:10" x14ac:dyDescent="0.3">
      <c r="J1974"/>
    </row>
    <row r="1975" spans="10:10" x14ac:dyDescent="0.3">
      <c r="J1975"/>
    </row>
    <row r="1976" spans="10:10" x14ac:dyDescent="0.3">
      <c r="J1976"/>
    </row>
    <row r="1977" spans="10:10" x14ac:dyDescent="0.3">
      <c r="J1977"/>
    </row>
    <row r="1978" spans="10:10" x14ac:dyDescent="0.3">
      <c r="J1978"/>
    </row>
    <row r="1979" spans="10:10" x14ac:dyDescent="0.3">
      <c r="J1979"/>
    </row>
    <row r="1980" spans="10:10" x14ac:dyDescent="0.3">
      <c r="J1980"/>
    </row>
    <row r="1981" spans="10:10" x14ac:dyDescent="0.3">
      <c r="J1981"/>
    </row>
    <row r="1982" spans="10:10" x14ac:dyDescent="0.3">
      <c r="J1982"/>
    </row>
    <row r="1983" spans="10:10" x14ac:dyDescent="0.3">
      <c r="J1983"/>
    </row>
    <row r="1984" spans="10:10" x14ac:dyDescent="0.3">
      <c r="J1984"/>
    </row>
    <row r="1985" spans="10:10" x14ac:dyDescent="0.3">
      <c r="J1985"/>
    </row>
    <row r="1986" spans="10:10" x14ac:dyDescent="0.3">
      <c r="J1986"/>
    </row>
    <row r="1987" spans="10:10" x14ac:dyDescent="0.3">
      <c r="J1987"/>
    </row>
    <row r="1988" spans="10:10" x14ac:dyDescent="0.3">
      <c r="J1988"/>
    </row>
    <row r="1989" spans="10:10" x14ac:dyDescent="0.3">
      <c r="J1989"/>
    </row>
    <row r="1990" spans="10:10" x14ac:dyDescent="0.3">
      <c r="J1990"/>
    </row>
    <row r="1991" spans="10:10" x14ac:dyDescent="0.3">
      <c r="J1991"/>
    </row>
    <row r="1992" spans="10:10" x14ac:dyDescent="0.3">
      <c r="J1992"/>
    </row>
    <row r="1993" spans="10:10" x14ac:dyDescent="0.3">
      <c r="J1993"/>
    </row>
    <row r="1994" spans="10:10" x14ac:dyDescent="0.3">
      <c r="J1994"/>
    </row>
    <row r="1995" spans="10:10" x14ac:dyDescent="0.3">
      <c r="J1995"/>
    </row>
    <row r="1996" spans="10:10" x14ac:dyDescent="0.3">
      <c r="J1996"/>
    </row>
    <row r="1997" spans="10:10" x14ac:dyDescent="0.3">
      <c r="J1997"/>
    </row>
    <row r="1998" spans="10:10" x14ac:dyDescent="0.3">
      <c r="J1998"/>
    </row>
    <row r="1999" spans="10:10" x14ac:dyDescent="0.3">
      <c r="J1999"/>
    </row>
    <row r="2000" spans="10:10" x14ac:dyDescent="0.3">
      <c r="J2000"/>
    </row>
    <row r="2001" spans="10:10" x14ac:dyDescent="0.3">
      <c r="J2001"/>
    </row>
    <row r="2002" spans="10:10" x14ac:dyDescent="0.3">
      <c r="J2002"/>
    </row>
    <row r="2003" spans="10:10" x14ac:dyDescent="0.3">
      <c r="J2003"/>
    </row>
    <row r="2004" spans="10:10" x14ac:dyDescent="0.3">
      <c r="J2004"/>
    </row>
    <row r="2005" spans="10:10" x14ac:dyDescent="0.3">
      <c r="J2005"/>
    </row>
    <row r="2006" spans="10:10" x14ac:dyDescent="0.3">
      <c r="J2006"/>
    </row>
    <row r="2007" spans="10:10" x14ac:dyDescent="0.3">
      <c r="J2007"/>
    </row>
    <row r="2008" spans="10:10" x14ac:dyDescent="0.3">
      <c r="J2008"/>
    </row>
    <row r="2009" spans="10:10" x14ac:dyDescent="0.3">
      <c r="J2009"/>
    </row>
    <row r="2010" spans="10:10" x14ac:dyDescent="0.3">
      <c r="J2010"/>
    </row>
    <row r="2011" spans="10:10" x14ac:dyDescent="0.3">
      <c r="J2011"/>
    </row>
    <row r="2012" spans="10:10" x14ac:dyDescent="0.3">
      <c r="J2012"/>
    </row>
    <row r="2013" spans="10:10" x14ac:dyDescent="0.3">
      <c r="J2013"/>
    </row>
    <row r="2014" spans="10:10" x14ac:dyDescent="0.3">
      <c r="J2014"/>
    </row>
    <row r="2015" spans="10:10" x14ac:dyDescent="0.3">
      <c r="J2015"/>
    </row>
    <row r="2016" spans="10:10" x14ac:dyDescent="0.3">
      <c r="J2016"/>
    </row>
    <row r="2017" spans="10:10" x14ac:dyDescent="0.3">
      <c r="J2017"/>
    </row>
    <row r="2018" spans="10:10" x14ac:dyDescent="0.3">
      <c r="J2018"/>
    </row>
    <row r="2019" spans="10:10" x14ac:dyDescent="0.3">
      <c r="J2019"/>
    </row>
    <row r="2020" spans="10:10" x14ac:dyDescent="0.3">
      <c r="J2020"/>
    </row>
    <row r="2021" spans="10:10" x14ac:dyDescent="0.3">
      <c r="J2021"/>
    </row>
    <row r="2022" spans="10:10" x14ac:dyDescent="0.3">
      <c r="J2022"/>
    </row>
    <row r="2023" spans="10:10" x14ac:dyDescent="0.3">
      <c r="J2023"/>
    </row>
    <row r="2024" spans="10:10" x14ac:dyDescent="0.3">
      <c r="J2024"/>
    </row>
    <row r="2025" spans="10:10" x14ac:dyDescent="0.3">
      <c r="J2025"/>
    </row>
    <row r="2026" spans="10:10" x14ac:dyDescent="0.3">
      <c r="J2026"/>
    </row>
    <row r="2027" spans="10:10" x14ac:dyDescent="0.3">
      <c r="J2027"/>
    </row>
    <row r="2028" spans="10:10" x14ac:dyDescent="0.3">
      <c r="J2028"/>
    </row>
    <row r="2029" spans="10:10" x14ac:dyDescent="0.3">
      <c r="J2029"/>
    </row>
    <row r="2030" spans="10:10" x14ac:dyDescent="0.3">
      <c r="J2030"/>
    </row>
    <row r="2031" spans="10:10" x14ac:dyDescent="0.3">
      <c r="J2031"/>
    </row>
    <row r="2032" spans="10:10" x14ac:dyDescent="0.3">
      <c r="J2032"/>
    </row>
    <row r="2033" spans="10:10" x14ac:dyDescent="0.3">
      <c r="J2033"/>
    </row>
    <row r="2034" spans="10:10" x14ac:dyDescent="0.3">
      <c r="J2034"/>
    </row>
    <row r="2035" spans="10:10" x14ac:dyDescent="0.3">
      <c r="J2035"/>
    </row>
    <row r="2036" spans="10:10" x14ac:dyDescent="0.3">
      <c r="J2036"/>
    </row>
    <row r="2037" spans="10:10" x14ac:dyDescent="0.3">
      <c r="J2037"/>
    </row>
    <row r="2038" spans="10:10" x14ac:dyDescent="0.3">
      <c r="J2038"/>
    </row>
    <row r="2039" spans="10:10" x14ac:dyDescent="0.3">
      <c r="J2039"/>
    </row>
    <row r="2040" spans="10:10" x14ac:dyDescent="0.3">
      <c r="J2040"/>
    </row>
    <row r="2041" spans="10:10" x14ac:dyDescent="0.3">
      <c r="J2041"/>
    </row>
    <row r="2042" spans="10:10" x14ac:dyDescent="0.3">
      <c r="J2042"/>
    </row>
    <row r="2043" spans="10:10" x14ac:dyDescent="0.3">
      <c r="J2043"/>
    </row>
    <row r="2044" spans="10:10" x14ac:dyDescent="0.3">
      <c r="J2044"/>
    </row>
    <row r="2045" spans="10:10" x14ac:dyDescent="0.3">
      <c r="J2045"/>
    </row>
    <row r="2046" spans="10:10" x14ac:dyDescent="0.3">
      <c r="J2046"/>
    </row>
    <row r="2047" spans="10:10" x14ac:dyDescent="0.3">
      <c r="J2047"/>
    </row>
    <row r="2048" spans="10:10" x14ac:dyDescent="0.3">
      <c r="J2048"/>
    </row>
    <row r="2049" spans="10:10" x14ac:dyDescent="0.3">
      <c r="J2049"/>
    </row>
    <row r="2050" spans="10:10" x14ac:dyDescent="0.3">
      <c r="J2050"/>
    </row>
    <row r="2051" spans="10:10" x14ac:dyDescent="0.3">
      <c r="J2051"/>
    </row>
    <row r="2052" spans="10:10" x14ac:dyDescent="0.3">
      <c r="J2052"/>
    </row>
    <row r="2053" spans="10:10" x14ac:dyDescent="0.3">
      <c r="J2053"/>
    </row>
    <row r="2054" spans="10:10" x14ac:dyDescent="0.3">
      <c r="J2054"/>
    </row>
    <row r="2055" spans="10:10" x14ac:dyDescent="0.3">
      <c r="J2055"/>
    </row>
    <row r="2056" spans="10:10" x14ac:dyDescent="0.3">
      <c r="J2056"/>
    </row>
    <row r="2057" spans="10:10" x14ac:dyDescent="0.3">
      <c r="J2057"/>
    </row>
    <row r="2058" spans="10:10" x14ac:dyDescent="0.3">
      <c r="J2058"/>
    </row>
    <row r="2059" spans="10:10" x14ac:dyDescent="0.3">
      <c r="J2059"/>
    </row>
    <row r="2060" spans="10:10" x14ac:dyDescent="0.3">
      <c r="J2060"/>
    </row>
    <row r="2061" spans="10:10" x14ac:dyDescent="0.3">
      <c r="J2061"/>
    </row>
    <row r="2062" spans="10:10" x14ac:dyDescent="0.3">
      <c r="J2062"/>
    </row>
    <row r="2063" spans="10:10" x14ac:dyDescent="0.3">
      <c r="J2063"/>
    </row>
    <row r="2064" spans="10:10" x14ac:dyDescent="0.3">
      <c r="J2064"/>
    </row>
    <row r="2065" spans="10:10" x14ac:dyDescent="0.3">
      <c r="J2065"/>
    </row>
    <row r="2066" spans="10:10" x14ac:dyDescent="0.3">
      <c r="J2066"/>
    </row>
    <row r="2067" spans="10:10" x14ac:dyDescent="0.3">
      <c r="J2067"/>
    </row>
    <row r="2068" spans="10:10" x14ac:dyDescent="0.3">
      <c r="J2068"/>
    </row>
    <row r="2069" spans="10:10" x14ac:dyDescent="0.3">
      <c r="J2069"/>
    </row>
    <row r="2070" spans="10:10" x14ac:dyDescent="0.3">
      <c r="J2070"/>
    </row>
    <row r="2071" spans="10:10" x14ac:dyDescent="0.3">
      <c r="J2071"/>
    </row>
    <row r="2072" spans="10:10" x14ac:dyDescent="0.3">
      <c r="J2072"/>
    </row>
    <row r="2073" spans="10:10" x14ac:dyDescent="0.3">
      <c r="J2073"/>
    </row>
    <row r="2074" spans="10:10" x14ac:dyDescent="0.3">
      <c r="J2074"/>
    </row>
    <row r="2075" spans="10:10" x14ac:dyDescent="0.3">
      <c r="J2075"/>
    </row>
    <row r="2076" spans="10:10" x14ac:dyDescent="0.3">
      <c r="J2076"/>
    </row>
    <row r="2077" spans="10:10" x14ac:dyDescent="0.3">
      <c r="J2077"/>
    </row>
    <row r="2078" spans="10:10" x14ac:dyDescent="0.3">
      <c r="J2078"/>
    </row>
    <row r="2079" spans="10:10" x14ac:dyDescent="0.3">
      <c r="J2079"/>
    </row>
    <row r="2080" spans="10:10" x14ac:dyDescent="0.3">
      <c r="J2080"/>
    </row>
    <row r="2081" spans="10:10" x14ac:dyDescent="0.3">
      <c r="J2081"/>
    </row>
    <row r="2082" spans="10:10" x14ac:dyDescent="0.3">
      <c r="J2082"/>
    </row>
    <row r="2083" spans="10:10" x14ac:dyDescent="0.3">
      <c r="J2083"/>
    </row>
    <row r="2084" spans="10:10" x14ac:dyDescent="0.3">
      <c r="J2084"/>
    </row>
    <row r="2085" spans="10:10" x14ac:dyDescent="0.3">
      <c r="J2085"/>
    </row>
    <row r="2086" spans="10:10" x14ac:dyDescent="0.3">
      <c r="J2086"/>
    </row>
    <row r="2087" spans="10:10" x14ac:dyDescent="0.3">
      <c r="J2087"/>
    </row>
    <row r="2088" spans="10:10" x14ac:dyDescent="0.3">
      <c r="J2088"/>
    </row>
    <row r="2089" spans="10:10" x14ac:dyDescent="0.3">
      <c r="J2089"/>
    </row>
    <row r="2090" spans="10:10" x14ac:dyDescent="0.3">
      <c r="J2090"/>
    </row>
    <row r="2091" spans="10:10" x14ac:dyDescent="0.3">
      <c r="J2091"/>
    </row>
    <row r="2092" spans="10:10" x14ac:dyDescent="0.3">
      <c r="J2092"/>
    </row>
    <row r="2093" spans="10:10" x14ac:dyDescent="0.3">
      <c r="J2093"/>
    </row>
    <row r="2094" spans="10:10" x14ac:dyDescent="0.3">
      <c r="J2094"/>
    </row>
    <row r="2095" spans="10:10" x14ac:dyDescent="0.3">
      <c r="J2095"/>
    </row>
    <row r="2096" spans="10:10" x14ac:dyDescent="0.3">
      <c r="J2096"/>
    </row>
    <row r="2097" spans="10:10" x14ac:dyDescent="0.3">
      <c r="J2097"/>
    </row>
    <row r="2098" spans="10:10" x14ac:dyDescent="0.3">
      <c r="J2098"/>
    </row>
    <row r="2099" spans="10:10" x14ac:dyDescent="0.3">
      <c r="J2099"/>
    </row>
    <row r="2100" spans="10:10" x14ac:dyDescent="0.3">
      <c r="J2100"/>
    </row>
    <row r="2101" spans="10:10" x14ac:dyDescent="0.3">
      <c r="J2101"/>
    </row>
    <row r="2102" spans="10:10" x14ac:dyDescent="0.3">
      <c r="J2102"/>
    </row>
    <row r="2103" spans="10:10" x14ac:dyDescent="0.3">
      <c r="J2103"/>
    </row>
    <row r="2104" spans="10:10" x14ac:dyDescent="0.3">
      <c r="J2104"/>
    </row>
    <row r="2105" spans="10:10" x14ac:dyDescent="0.3">
      <c r="J2105"/>
    </row>
    <row r="2106" spans="10:10" x14ac:dyDescent="0.3">
      <c r="J2106"/>
    </row>
    <row r="2107" spans="10:10" x14ac:dyDescent="0.3">
      <c r="J2107"/>
    </row>
    <row r="2108" spans="10:10" x14ac:dyDescent="0.3">
      <c r="J2108"/>
    </row>
    <row r="2109" spans="10:10" x14ac:dyDescent="0.3">
      <c r="J2109"/>
    </row>
    <row r="2110" spans="10:10" x14ac:dyDescent="0.3">
      <c r="J2110"/>
    </row>
    <row r="2111" spans="10:10" x14ac:dyDescent="0.3">
      <c r="J2111"/>
    </row>
    <row r="2112" spans="10:10" x14ac:dyDescent="0.3">
      <c r="J2112"/>
    </row>
    <row r="2113" spans="10:10" x14ac:dyDescent="0.3">
      <c r="J2113"/>
    </row>
    <row r="2114" spans="10:10" x14ac:dyDescent="0.3">
      <c r="J2114"/>
    </row>
    <row r="2115" spans="10:10" x14ac:dyDescent="0.3">
      <c r="J2115"/>
    </row>
    <row r="2116" spans="10:10" x14ac:dyDescent="0.3">
      <c r="J2116"/>
    </row>
    <row r="2117" spans="10:10" x14ac:dyDescent="0.3">
      <c r="J2117"/>
    </row>
    <row r="2118" spans="10:10" x14ac:dyDescent="0.3">
      <c r="J2118"/>
    </row>
    <row r="2119" spans="10:10" x14ac:dyDescent="0.3">
      <c r="J2119"/>
    </row>
  </sheetData>
  <autoFilter ref="A12:I978" xr:uid="{0A16531F-EA2A-4CFE-9895-EFDB96799169}"/>
  <dataConsolidate link="1">
    <dataRefs count="1">
      <dataRef ref="A1:A1048576" sheet="DEMANDS" r:id="rId1"/>
    </dataRefs>
  </dataConsolidate>
  <mergeCells count="4">
    <mergeCell ref="A2:I5"/>
    <mergeCell ref="A7:I7"/>
    <mergeCell ref="A8:I9"/>
    <mergeCell ref="A981:I981"/>
  </mergeCells>
  <pageMargins left="0.7" right="0.7" top="0.75" bottom="0.75" header="0.3" footer="0.3"/>
  <pageSetup scale="82" orientation="portrait" r:id="rId2"/>
  <legacy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6865B-4385-456E-85DF-43E025C984C2}">
  <sheetPr codeName="Sheet46"/>
  <dimension ref="A1:W45"/>
  <sheetViews>
    <sheetView workbookViewId="0"/>
  </sheetViews>
  <sheetFormatPr defaultRowHeight="14.4" x14ac:dyDescent="0.3"/>
  <cols>
    <col min="1" max="1" width="65.33203125" bestFit="1" customWidth="1"/>
    <col min="2" max="6" width="12.88671875" bestFit="1" customWidth="1"/>
    <col min="7" max="7" width="56.44140625" style="170" bestFit="1" customWidth="1"/>
    <col min="9" max="9" width="65.33203125" bestFit="1" customWidth="1"/>
    <col min="15" max="15" width="56.44140625" style="170" bestFit="1" customWidth="1"/>
    <col min="17" max="17" width="65.33203125" bestFit="1" customWidth="1"/>
    <col min="18" max="18" width="11.5546875" bestFit="1" customWidth="1"/>
    <col min="23" max="23" width="8.6640625" style="170"/>
  </cols>
  <sheetData>
    <row r="1" spans="1:23" s="336" customFormat="1" ht="21" x14ac:dyDescent="0.4">
      <c r="A1" s="344" t="s">
        <v>2829</v>
      </c>
      <c r="B1" s="345"/>
      <c r="C1" s="345"/>
      <c r="D1" s="345"/>
      <c r="E1" s="345"/>
      <c r="F1" s="345"/>
      <c r="G1" s="357"/>
      <c r="I1" s="346" t="s">
        <v>2830</v>
      </c>
      <c r="J1" s="347"/>
      <c r="K1" s="347"/>
      <c r="L1" s="347"/>
      <c r="M1" s="347"/>
      <c r="N1" s="347"/>
      <c r="O1" s="359"/>
      <c r="Q1" s="348" t="s">
        <v>2831</v>
      </c>
      <c r="R1" s="349"/>
      <c r="S1" s="349"/>
      <c r="T1" s="349"/>
      <c r="U1" s="349"/>
      <c r="V1" s="349"/>
      <c r="W1" s="360"/>
    </row>
    <row r="2" spans="1:23" x14ac:dyDescent="0.3">
      <c r="A2" t="s">
        <v>193</v>
      </c>
      <c r="B2" s="1">
        <v>2025</v>
      </c>
      <c r="C2" s="1">
        <v>2030</v>
      </c>
      <c r="D2" s="1">
        <v>2035</v>
      </c>
      <c r="E2" s="1">
        <v>2040</v>
      </c>
      <c r="F2" s="1">
        <v>2045</v>
      </c>
      <c r="G2" s="358" t="s">
        <v>153</v>
      </c>
      <c r="I2" t="s">
        <v>193</v>
      </c>
      <c r="J2" s="1">
        <v>2025</v>
      </c>
      <c r="K2" s="1">
        <v>2030</v>
      </c>
      <c r="L2" s="1">
        <v>2035</v>
      </c>
      <c r="M2" s="1">
        <v>2040</v>
      </c>
      <c r="N2" s="1">
        <v>2045</v>
      </c>
      <c r="O2" s="358" t="s">
        <v>153</v>
      </c>
      <c r="Q2" t="s">
        <v>193</v>
      </c>
      <c r="R2" s="1">
        <v>2025</v>
      </c>
      <c r="S2" s="1">
        <v>2030</v>
      </c>
      <c r="T2" s="1">
        <v>2035</v>
      </c>
      <c r="U2" s="1">
        <v>2040</v>
      </c>
      <c r="V2" s="1">
        <v>2045</v>
      </c>
      <c r="W2" s="358" t="s">
        <v>153</v>
      </c>
    </row>
    <row r="3" spans="1:23" x14ac:dyDescent="0.3">
      <c r="A3" s="56" t="str">
        <f>'Contractor Assumptions'!B6</f>
        <v>Butte County</v>
      </c>
      <c r="B3" s="56"/>
      <c r="C3" s="143"/>
      <c r="D3" s="143"/>
      <c r="E3" s="143"/>
      <c r="F3" s="143"/>
      <c r="G3" s="461" t="s">
        <v>748</v>
      </c>
      <c r="I3" s="56" t="str">
        <f>'Contractor Assumptions'!B6</f>
        <v>Butte County</v>
      </c>
      <c r="J3" s="56" t="s">
        <v>748</v>
      </c>
      <c r="K3" s="143"/>
      <c r="L3" s="143"/>
      <c r="M3" s="143"/>
      <c r="N3" s="143"/>
      <c r="O3" s="375"/>
      <c r="Q3" s="56" t="str">
        <f>'Contractor Assumptions'!B6</f>
        <v>Butte County</v>
      </c>
      <c r="R3" s="56"/>
      <c r="S3" s="143"/>
      <c r="T3" s="143"/>
      <c r="U3" s="143"/>
      <c r="V3" s="143"/>
      <c r="W3" s="56" t="s">
        <v>748</v>
      </c>
    </row>
    <row r="4" spans="1:23" x14ac:dyDescent="0.3">
      <c r="A4" t="str">
        <f>'Contractor Assumptions'!B7</f>
        <v>City of Folsom</v>
      </c>
      <c r="B4" s="337">
        <v>7000</v>
      </c>
      <c r="C4" s="337">
        <v>7000</v>
      </c>
      <c r="D4" s="337">
        <v>7000</v>
      </c>
      <c r="E4" s="337">
        <v>7000</v>
      </c>
      <c r="F4" s="337">
        <v>7000</v>
      </c>
      <c r="G4" s="170" t="s">
        <v>2696</v>
      </c>
      <c r="I4" t="str">
        <f>'Contractor Assumptions'!B7</f>
        <v>City of Folsom</v>
      </c>
      <c r="J4">
        <v>5250</v>
      </c>
      <c r="K4">
        <v>5250</v>
      </c>
      <c r="L4">
        <v>5250</v>
      </c>
      <c r="M4">
        <v>5250</v>
      </c>
      <c r="N4">
        <v>5250</v>
      </c>
      <c r="O4" s="170" t="s">
        <v>2832</v>
      </c>
      <c r="Q4" t="str">
        <f>'Contractor Assumptions'!B7</f>
        <v>City of Folsom</v>
      </c>
      <c r="R4">
        <f>AVERAGE(5250, 5250, 3500, 3500, 1750)</f>
        <v>3850</v>
      </c>
      <c r="S4">
        <f>AVERAGE(5250, 5250, 3500, 3500, 1750)</f>
        <v>3850</v>
      </c>
      <c r="T4">
        <f>AVERAGE(5250, 5250, 3500, 3500, 1750)</f>
        <v>3850</v>
      </c>
      <c r="U4">
        <f>AVERAGE(5250, 5250, 3500, 3500, 1750)</f>
        <v>3850</v>
      </c>
      <c r="V4">
        <f>AVERAGE(5250, 5250, 3500, 3500, 1750)</f>
        <v>3850</v>
      </c>
      <c r="W4" s="170" t="s">
        <v>2832</v>
      </c>
    </row>
    <row r="5" spans="1:23" x14ac:dyDescent="0.3">
      <c r="A5" t="str">
        <f>'Contractor Assumptions'!B8</f>
        <v>City of Redding</v>
      </c>
      <c r="B5" s="337">
        <v>27141</v>
      </c>
      <c r="C5" s="337">
        <v>27141</v>
      </c>
      <c r="D5" s="337">
        <v>27141</v>
      </c>
      <c r="E5" s="337">
        <v>27141</v>
      </c>
      <c r="F5" s="337">
        <v>27141</v>
      </c>
      <c r="G5" s="170" t="s">
        <v>2833</v>
      </c>
      <c r="I5" t="str">
        <f>'Contractor Assumptions'!B8</f>
        <v>City of Redding</v>
      </c>
      <c r="J5">
        <v>26140</v>
      </c>
      <c r="K5">
        <v>26760</v>
      </c>
      <c r="L5">
        <v>26760</v>
      </c>
      <c r="M5">
        <v>26760</v>
      </c>
      <c r="N5">
        <v>26760</v>
      </c>
      <c r="O5" s="170" t="s">
        <v>2833</v>
      </c>
      <c r="Q5" t="str">
        <f>'Contractor Assumptions'!B8</f>
        <v>City of Redding</v>
      </c>
      <c r="R5">
        <v>20310</v>
      </c>
      <c r="S5">
        <v>20623</v>
      </c>
      <c r="T5">
        <v>20623</v>
      </c>
      <c r="U5">
        <v>20623</v>
      </c>
      <c r="V5">
        <v>20623</v>
      </c>
      <c r="W5" s="170" t="s">
        <v>2833</v>
      </c>
    </row>
    <row r="6" spans="1:23" x14ac:dyDescent="0.3">
      <c r="A6" t="str">
        <f>'Contractor Assumptions'!B9</f>
        <v>City of Roseville</v>
      </c>
      <c r="B6" s="337">
        <v>32000</v>
      </c>
      <c r="C6" s="337">
        <v>32000</v>
      </c>
      <c r="D6" s="337">
        <v>32000</v>
      </c>
      <c r="E6" s="337">
        <v>32000</v>
      </c>
      <c r="F6" s="337">
        <v>32000</v>
      </c>
      <c r="G6" s="170" t="s">
        <v>2789</v>
      </c>
      <c r="I6" t="str">
        <f>'Contractor Assumptions'!B9</f>
        <v>City of Roseville</v>
      </c>
      <c r="J6">
        <v>32000</v>
      </c>
      <c r="K6">
        <v>32000</v>
      </c>
      <c r="L6">
        <v>32000</v>
      </c>
      <c r="M6">
        <v>32000</v>
      </c>
      <c r="N6">
        <v>32000</v>
      </c>
      <c r="O6" s="170" t="s">
        <v>2789</v>
      </c>
      <c r="Q6" t="str">
        <f>'Contractor Assumptions'!B9</f>
        <v>City of Roseville</v>
      </c>
      <c r="R6">
        <v>32000</v>
      </c>
      <c r="S6">
        <v>32000</v>
      </c>
      <c r="T6">
        <v>32000</v>
      </c>
      <c r="U6">
        <v>32000</v>
      </c>
      <c r="V6">
        <v>32000</v>
      </c>
      <c r="W6" s="170" t="s">
        <v>2789</v>
      </c>
    </row>
    <row r="7" spans="1:23" x14ac:dyDescent="0.3">
      <c r="A7" t="str">
        <f>'Contractor Assumptions'!B10</f>
        <v>City of West Sacramento</v>
      </c>
      <c r="B7" s="337">
        <v>9680</v>
      </c>
      <c r="C7" s="337">
        <v>9680</v>
      </c>
      <c r="D7" s="337">
        <v>9680</v>
      </c>
      <c r="E7" s="337">
        <v>9680</v>
      </c>
      <c r="F7" s="337">
        <v>9680</v>
      </c>
      <c r="G7" s="37" t="s">
        <v>2834</v>
      </c>
      <c r="I7" t="str">
        <f>'Contractor Assumptions'!B10</f>
        <v>City of West Sacramento</v>
      </c>
      <c r="J7">
        <v>1063</v>
      </c>
      <c r="K7">
        <v>1147</v>
      </c>
      <c r="L7">
        <v>1230</v>
      </c>
      <c r="M7">
        <v>1313</v>
      </c>
      <c r="N7">
        <v>1396</v>
      </c>
      <c r="O7" s="37" t="s">
        <v>2834</v>
      </c>
      <c r="Q7" t="str">
        <f>'Contractor Assumptions'!B10</f>
        <v>City of West Sacramento</v>
      </c>
      <c r="R7">
        <v>1914</v>
      </c>
      <c r="S7">
        <v>2064</v>
      </c>
      <c r="T7">
        <v>2213</v>
      </c>
      <c r="U7">
        <v>2363</v>
      </c>
      <c r="V7">
        <v>2513</v>
      </c>
      <c r="W7" s="37" t="s">
        <v>2834</v>
      </c>
    </row>
    <row r="8" spans="1:23" x14ac:dyDescent="0.3">
      <c r="A8" t="str">
        <f>'Contractor Assumptions'!B11</f>
        <v>Yuba City</v>
      </c>
      <c r="B8" s="337">
        <v>3264</v>
      </c>
      <c r="C8" s="337">
        <v>3264</v>
      </c>
      <c r="D8" s="337">
        <v>3264</v>
      </c>
      <c r="E8" s="337">
        <v>3264</v>
      </c>
      <c r="F8" s="337">
        <v>3264</v>
      </c>
      <c r="G8" s="170" t="s">
        <v>2835</v>
      </c>
      <c r="I8" t="str">
        <f>'Contractor Assumptions'!B11</f>
        <v>Yuba City</v>
      </c>
      <c r="J8">
        <v>240</v>
      </c>
      <c r="K8">
        <v>240</v>
      </c>
      <c r="L8">
        <v>240</v>
      </c>
      <c r="M8">
        <v>240</v>
      </c>
      <c r="N8">
        <v>240</v>
      </c>
      <c r="O8" s="170" t="s">
        <v>2835</v>
      </c>
      <c r="Q8" t="str">
        <f>'Contractor Assumptions'!B11</f>
        <v>Yuba City</v>
      </c>
      <c r="R8">
        <f>AVERAGE(2160, 1440, 240, 720, 1440)</f>
        <v>1200</v>
      </c>
      <c r="S8">
        <f t="shared" ref="S8:V8" si="0">AVERAGE(2160, 1440, 240, 720, 1440)</f>
        <v>1200</v>
      </c>
      <c r="T8">
        <f t="shared" si="0"/>
        <v>1200</v>
      </c>
      <c r="U8">
        <f t="shared" si="0"/>
        <v>1200</v>
      </c>
      <c r="V8">
        <f t="shared" si="0"/>
        <v>1200</v>
      </c>
      <c r="W8" s="170" t="s">
        <v>2835</v>
      </c>
    </row>
    <row r="9" spans="1:23" x14ac:dyDescent="0.3">
      <c r="A9" t="str">
        <f>'Contractor Assumptions'!B12</f>
        <v>El Dorado Irrigation District</v>
      </c>
      <c r="B9" s="337">
        <v>7550</v>
      </c>
      <c r="C9" s="337">
        <v>7550</v>
      </c>
      <c r="D9" s="337">
        <v>7550</v>
      </c>
      <c r="E9" s="337">
        <v>7550</v>
      </c>
      <c r="F9" s="337">
        <v>7550</v>
      </c>
      <c r="G9" s="170" t="s">
        <v>2836</v>
      </c>
      <c r="I9" t="str">
        <f>'Contractor Assumptions'!B12</f>
        <v>El Dorado Irrigation District</v>
      </c>
      <c r="J9">
        <v>3775</v>
      </c>
      <c r="K9">
        <v>3775</v>
      </c>
      <c r="L9">
        <v>3775</v>
      </c>
      <c r="M9">
        <v>3775</v>
      </c>
      <c r="N9">
        <v>3775</v>
      </c>
      <c r="O9" s="170" t="s">
        <v>2836</v>
      </c>
      <c r="Q9" t="str">
        <f>'Contractor Assumptions'!B12</f>
        <v>El Dorado Irrigation District</v>
      </c>
      <c r="R9">
        <f>AVERAGE(3775, 3775, 1235, 1235, 1235)</f>
        <v>2251</v>
      </c>
      <c r="S9">
        <f t="shared" ref="S9:V9" si="1">AVERAGE(3775, 3775, 1235, 1235, 1235)</f>
        <v>2251</v>
      </c>
      <c r="T9">
        <f t="shared" si="1"/>
        <v>2251</v>
      </c>
      <c r="U9">
        <f t="shared" si="1"/>
        <v>2251</v>
      </c>
      <c r="V9">
        <f t="shared" si="1"/>
        <v>2251</v>
      </c>
      <c r="W9" s="170" t="s">
        <v>2836</v>
      </c>
    </row>
    <row r="10" spans="1:23" x14ac:dyDescent="0.3">
      <c r="A10" s="56" t="str">
        <f>'Contractor Assumptions'!B13</f>
        <v>Napa County Flood Control &amp; Water Conservation District</v>
      </c>
      <c r="B10" s="163"/>
      <c r="C10" s="163"/>
      <c r="D10" s="163"/>
      <c r="E10" s="163"/>
      <c r="F10" s="163"/>
      <c r="G10" s="461" t="s">
        <v>748</v>
      </c>
      <c r="I10" t="str">
        <f>'Contractor Assumptions'!B13</f>
        <v>Napa County Flood Control &amp; Water Conservation District</v>
      </c>
      <c r="Q10" t="str">
        <f>'Contractor Assumptions'!B13</f>
        <v>Napa County Flood Control &amp; Water Conservation District</v>
      </c>
      <c r="R10" s="56"/>
      <c r="S10" s="143"/>
      <c r="T10" s="143"/>
      <c r="U10" s="143"/>
      <c r="V10" s="143"/>
      <c r="W10" s="56" t="s">
        <v>748</v>
      </c>
    </row>
    <row r="11" spans="1:23" x14ac:dyDescent="0.3">
      <c r="A11" t="str">
        <f>'Contractor Assumptions'!B14</f>
        <v>Placer County Water Agency</v>
      </c>
      <c r="B11" s="337">
        <v>0</v>
      </c>
      <c r="C11" s="337">
        <v>35000</v>
      </c>
      <c r="D11" s="337">
        <v>35000</v>
      </c>
      <c r="E11" s="337">
        <v>35000</v>
      </c>
      <c r="F11" s="337">
        <v>35000</v>
      </c>
      <c r="G11" s="170" t="s">
        <v>2703</v>
      </c>
      <c r="I11" t="str">
        <f>'Contractor Assumptions'!B14</f>
        <v>Placer County Water Agency</v>
      </c>
      <c r="J11">
        <v>0</v>
      </c>
      <c r="K11">
        <v>17500</v>
      </c>
      <c r="L11">
        <v>17500</v>
      </c>
      <c r="M11">
        <v>17500</v>
      </c>
      <c r="N11">
        <v>17500</v>
      </c>
      <c r="O11" s="170" t="s">
        <v>2723</v>
      </c>
      <c r="Q11" t="str">
        <f>'Contractor Assumptions'!B14</f>
        <v>Placer County Water Agency</v>
      </c>
      <c r="R11">
        <v>0</v>
      </c>
      <c r="S11">
        <v>26250</v>
      </c>
      <c r="T11">
        <v>26250</v>
      </c>
      <c r="U11">
        <v>26250</v>
      </c>
      <c r="V11">
        <v>26250</v>
      </c>
      <c r="W11" s="170" t="s">
        <v>2736</v>
      </c>
    </row>
    <row r="12" spans="1:23" x14ac:dyDescent="0.3">
      <c r="A12" t="str">
        <f>'Contractor Assumptions'!B15</f>
        <v>Sacramento County Water Agency</v>
      </c>
      <c r="B12" s="337">
        <f xml:space="preserve"> 30000 + 15000</f>
        <v>45000</v>
      </c>
      <c r="C12" s="337">
        <f t="shared" ref="C12:F12" si="2" xml:space="preserve"> 30000 + 15000</f>
        <v>45000</v>
      </c>
      <c r="D12" s="337">
        <f t="shared" si="2"/>
        <v>45000</v>
      </c>
      <c r="E12" s="337">
        <f t="shared" si="2"/>
        <v>45000</v>
      </c>
      <c r="F12" s="337">
        <f t="shared" si="2"/>
        <v>45000</v>
      </c>
      <c r="G12" s="170" t="s">
        <v>2837</v>
      </c>
      <c r="I12" t="str">
        <f>'Contractor Assumptions'!B15</f>
        <v>Sacramento County Water Agency</v>
      </c>
      <c r="J12">
        <f xml:space="preserve"> 2023 + 2500</f>
        <v>4523</v>
      </c>
      <c r="K12">
        <f t="shared" ref="K12:N12" si="3" xml:space="preserve"> 2023 + 2500</f>
        <v>4523</v>
      </c>
      <c r="L12">
        <f t="shared" si="3"/>
        <v>4523</v>
      </c>
      <c r="M12">
        <f t="shared" si="3"/>
        <v>4523</v>
      </c>
      <c r="N12">
        <f t="shared" si="3"/>
        <v>4523</v>
      </c>
      <c r="O12" s="170" t="s">
        <v>2837</v>
      </c>
      <c r="Q12" t="str">
        <f>'Contractor Assumptions'!B15</f>
        <v>Sacramento County Water Agency</v>
      </c>
      <c r="R12">
        <f>AVERAGE(6068, 4045, 2023, 2023, 4045) + AVERAGE(7500, 5000, 2500, 2500, 5000)</f>
        <v>8140.8</v>
      </c>
      <c r="S12">
        <f>AVERAGE(7500, 5000, 2500, 2500, 5000) + AVERAGE(7500, 5000, 2500, 2500, 5000)</f>
        <v>9000</v>
      </c>
      <c r="T12">
        <f>AVERAGE(11250, 7500, 3750, 3750, 7500) + AVERAGE(7500, 5000, 2500, 2500, 5000)</f>
        <v>11250</v>
      </c>
      <c r="U12">
        <f>AVERAGE(15000, 1000, 5000, 5000, 10000) + AVERAGE(7500, 5000, 2500, 2500, 5000)</f>
        <v>11700</v>
      </c>
      <c r="V12">
        <f>AVERAGE(22500, 15000, 7500, 7500, 15000)+ AVERAGE(7500, 5000, 2500, 2500, 5000)</f>
        <v>18000</v>
      </c>
      <c r="W12" s="170" t="s">
        <v>2837</v>
      </c>
    </row>
    <row r="13" spans="1:23" x14ac:dyDescent="0.3">
      <c r="A13" t="str">
        <f>'Contractor Assumptions'!B16</f>
        <v>San Juan Water District</v>
      </c>
      <c r="B13" s="337">
        <v>24200</v>
      </c>
      <c r="C13" s="337">
        <v>24200</v>
      </c>
      <c r="D13" s="337">
        <v>24200</v>
      </c>
      <c r="E13" s="337">
        <v>24200</v>
      </c>
      <c r="F13" s="337">
        <v>24200</v>
      </c>
      <c r="G13" s="170" t="s">
        <v>2838</v>
      </c>
      <c r="I13" t="str">
        <f>'Contractor Assumptions'!B16</f>
        <v>San Juan Water District</v>
      </c>
      <c r="J13">
        <v>1000</v>
      </c>
      <c r="K13">
        <v>1000</v>
      </c>
      <c r="L13">
        <v>1000</v>
      </c>
      <c r="M13">
        <v>1000</v>
      </c>
      <c r="N13">
        <v>1000</v>
      </c>
      <c r="O13" s="170" t="s">
        <v>2838</v>
      </c>
      <c r="Q13" t="str">
        <f>'Contractor Assumptions'!B16</f>
        <v>San Juan Water District</v>
      </c>
      <c r="R13">
        <v>1000</v>
      </c>
      <c r="S13">
        <v>1000</v>
      </c>
      <c r="T13">
        <v>1000</v>
      </c>
      <c r="U13">
        <v>1000</v>
      </c>
      <c r="V13">
        <v>1000</v>
      </c>
      <c r="W13" s="170" t="s">
        <v>2838</v>
      </c>
    </row>
    <row r="14" spans="1:23" x14ac:dyDescent="0.3">
      <c r="A14" s="56" t="str">
        <f>'Contractor Assumptions'!B17</f>
        <v>Shasta Contractors</v>
      </c>
      <c r="B14" s="163"/>
      <c r="C14" s="163"/>
      <c r="D14" s="163"/>
      <c r="E14" s="163"/>
      <c r="F14" s="163"/>
      <c r="G14" s="461" t="s">
        <v>748</v>
      </c>
      <c r="I14" t="str">
        <f>'Contractor Assumptions'!B17</f>
        <v>Shasta Contractors</v>
      </c>
      <c r="Q14" t="str">
        <f>'Contractor Assumptions'!B17</f>
        <v>Shasta Contractors</v>
      </c>
      <c r="R14" s="56"/>
      <c r="S14" s="143"/>
      <c r="T14" s="143"/>
      <c r="U14" s="143"/>
      <c r="V14" s="143"/>
      <c r="W14" s="56" t="s">
        <v>748</v>
      </c>
    </row>
    <row r="15" spans="1:23" x14ac:dyDescent="0.3">
      <c r="A15" s="56" t="str">
        <f>'Contractor Assumptions'!B18</f>
        <v>Solano County Water Agency</v>
      </c>
      <c r="B15" s="163"/>
      <c r="C15" s="163"/>
      <c r="D15" s="163"/>
      <c r="E15" s="163"/>
      <c r="F15" s="163"/>
      <c r="G15" s="461" t="s">
        <v>748</v>
      </c>
      <c r="I15" t="str">
        <f>'Contractor Assumptions'!B18</f>
        <v>Solano County Water Agency</v>
      </c>
      <c r="Q15" t="str">
        <f>'Contractor Assumptions'!B18</f>
        <v>Solano County Water Agency</v>
      </c>
    </row>
    <row r="16" spans="1:23" x14ac:dyDescent="0.3">
      <c r="A16" s="56" t="str">
        <f>'Contractor Assumptions'!B19</f>
        <v>City of Avenal</v>
      </c>
      <c r="B16" s="163"/>
      <c r="C16" s="163"/>
      <c r="D16" s="163"/>
      <c r="E16" s="163"/>
      <c r="F16" s="163"/>
      <c r="G16" s="461" t="s">
        <v>748</v>
      </c>
      <c r="I16" t="str">
        <f>'Contractor Assumptions'!B19</f>
        <v>City of Avenal</v>
      </c>
      <c r="Q16" t="str">
        <f>'Contractor Assumptions'!B19</f>
        <v>City of Avenal</v>
      </c>
    </row>
    <row r="17" spans="1:23" x14ac:dyDescent="0.3">
      <c r="A17" t="str">
        <f>'Contractor Assumptions'!B20</f>
        <v>City of Coalinga</v>
      </c>
      <c r="B17" s="337">
        <v>10002</v>
      </c>
      <c r="C17" s="337">
        <v>10002</v>
      </c>
      <c r="D17" s="337">
        <v>10002</v>
      </c>
      <c r="E17" s="337">
        <v>10002</v>
      </c>
      <c r="F17" s="337">
        <v>10002</v>
      </c>
      <c r="G17" s="37" t="s">
        <v>2839</v>
      </c>
      <c r="I17" t="str">
        <f>'Contractor Assumptions'!B20</f>
        <v>City of Coalinga</v>
      </c>
      <c r="J17">
        <v>5460</v>
      </c>
      <c r="K17">
        <v>6199</v>
      </c>
      <c r="L17">
        <v>7037</v>
      </c>
      <c r="M17">
        <v>7988</v>
      </c>
      <c r="N17">
        <v>7988</v>
      </c>
      <c r="O17" s="37" t="s">
        <v>2840</v>
      </c>
      <c r="Q17" t="str">
        <f>'Contractor Assumptions'!B20</f>
        <v>City of Coalinga</v>
      </c>
      <c r="R17">
        <v>5131</v>
      </c>
      <c r="S17">
        <v>5825</v>
      </c>
      <c r="T17">
        <v>6613</v>
      </c>
      <c r="U17">
        <v>7507</v>
      </c>
      <c r="V17">
        <v>7507</v>
      </c>
      <c r="W17" s="37" t="s">
        <v>2841</v>
      </c>
    </row>
    <row r="18" spans="1:23" x14ac:dyDescent="0.3">
      <c r="A18" t="str">
        <f>'Contractor Assumptions'!B21</f>
        <v>City of Fresno</v>
      </c>
      <c r="B18" s="501">
        <v>60000</v>
      </c>
      <c r="C18" s="501">
        <v>60000</v>
      </c>
      <c r="D18" s="501">
        <v>60000</v>
      </c>
      <c r="E18" s="501">
        <v>60000</v>
      </c>
      <c r="F18" s="501">
        <v>60000</v>
      </c>
      <c r="G18" s="170" t="s">
        <v>2707</v>
      </c>
      <c r="I18" t="str">
        <f>'Contractor Assumptions'!B21</f>
        <v>City of Fresno</v>
      </c>
      <c r="J18" s="355">
        <v>45852</v>
      </c>
      <c r="K18" s="355">
        <v>45852</v>
      </c>
      <c r="L18" s="355">
        <v>45852</v>
      </c>
      <c r="M18" s="355">
        <v>45852</v>
      </c>
      <c r="N18" s="355">
        <v>45852</v>
      </c>
      <c r="O18" s="170" t="s">
        <v>2724</v>
      </c>
      <c r="Q18" t="str">
        <f>'Contractor Assumptions'!B21</f>
        <v>City of Fresno</v>
      </c>
      <c r="R18" s="355">
        <f>30000+37200+0+0+45000</f>
        <v>112200</v>
      </c>
      <c r="S18" s="355">
        <f t="shared" ref="S18:V18" si="4">30000+37200+0+0+45000</f>
        <v>112200</v>
      </c>
      <c r="T18" s="355">
        <f t="shared" si="4"/>
        <v>112200</v>
      </c>
      <c r="U18" s="355">
        <f t="shared" si="4"/>
        <v>112200</v>
      </c>
      <c r="V18" s="355">
        <f t="shared" si="4"/>
        <v>112200</v>
      </c>
      <c r="W18" s="170" t="s">
        <v>2737</v>
      </c>
    </row>
    <row r="19" spans="1:23" x14ac:dyDescent="0.3">
      <c r="A19" s="56" t="str">
        <f>'Contractor Assumptions'!B22</f>
        <v>City of Huron</v>
      </c>
      <c r="B19" s="163"/>
      <c r="C19" s="163"/>
      <c r="D19" s="163"/>
      <c r="E19" s="163"/>
      <c r="F19" s="163"/>
      <c r="G19" s="461" t="s">
        <v>748</v>
      </c>
      <c r="I19" t="str">
        <f>'Contractor Assumptions'!B22</f>
        <v>City of Huron</v>
      </c>
      <c r="Q19" t="str">
        <f>'Contractor Assumptions'!B22</f>
        <v>City of Huron</v>
      </c>
      <c r="R19" s="56"/>
      <c r="S19" s="143"/>
      <c r="T19" s="143"/>
      <c r="U19" s="143"/>
      <c r="V19" s="143"/>
      <c r="W19" s="56" t="s">
        <v>748</v>
      </c>
    </row>
    <row r="20" spans="1:23" x14ac:dyDescent="0.3">
      <c r="A20" s="56" t="str">
        <f>'Contractor Assumptions'!B23</f>
        <v>City of Lindsay</v>
      </c>
      <c r="B20" s="163"/>
      <c r="C20" s="163"/>
      <c r="D20" s="163"/>
      <c r="E20" s="163"/>
      <c r="F20" s="163"/>
      <c r="G20" s="461" t="s">
        <v>748</v>
      </c>
      <c r="I20" t="str">
        <f>'Contractor Assumptions'!B23</f>
        <v>City of Lindsay</v>
      </c>
      <c r="Q20" t="str">
        <f>'Contractor Assumptions'!B23</f>
        <v>City of Lindsay</v>
      </c>
      <c r="R20" s="56"/>
      <c r="S20" s="143"/>
      <c r="T20" s="143"/>
      <c r="U20" s="143"/>
      <c r="V20" s="143"/>
      <c r="W20" s="56" t="s">
        <v>748</v>
      </c>
    </row>
    <row r="21" spans="1:23" x14ac:dyDescent="0.3">
      <c r="A21" s="56" t="str">
        <f>'Contractor Assumptions'!B24</f>
        <v>City of Orange Cove</v>
      </c>
      <c r="B21" s="163"/>
      <c r="C21" s="163"/>
      <c r="D21" s="163"/>
      <c r="E21" s="163"/>
      <c r="F21" s="163"/>
      <c r="G21" s="461" t="s">
        <v>748</v>
      </c>
      <c r="I21" t="str">
        <f>'Contractor Assumptions'!B24</f>
        <v>City of Orange Cove</v>
      </c>
      <c r="Q21" t="str">
        <f>'Contractor Assumptions'!B24</f>
        <v>City of Orange Cove</v>
      </c>
      <c r="R21" s="56"/>
      <c r="S21" s="143"/>
      <c r="T21" s="143"/>
      <c r="U21" s="143"/>
      <c r="V21" s="143"/>
      <c r="W21" s="56" t="s">
        <v>748</v>
      </c>
    </row>
    <row r="22" spans="1:23" x14ac:dyDescent="0.3">
      <c r="A22" t="str">
        <f>'Contractor Assumptions'!B25</f>
        <v>City of Tracy</v>
      </c>
      <c r="B22" s="337">
        <f>4448+5000</f>
        <v>9448</v>
      </c>
      <c r="C22" s="337">
        <f t="shared" ref="C22:F22" si="5">4448+5000</f>
        <v>9448</v>
      </c>
      <c r="D22" s="337">
        <f t="shared" si="5"/>
        <v>9448</v>
      </c>
      <c r="E22" s="337">
        <f t="shared" si="5"/>
        <v>9448</v>
      </c>
      <c r="F22" s="337">
        <f t="shared" si="5"/>
        <v>9448</v>
      </c>
      <c r="G22" s="170" t="s">
        <v>2708</v>
      </c>
      <c r="I22" t="str">
        <f>'Contractor Assumptions'!B25</f>
        <v>City of Tracy</v>
      </c>
      <c r="J22">
        <f>1483+0</f>
        <v>1483</v>
      </c>
      <c r="K22">
        <f t="shared" ref="K22:N22" si="6">1483+0</f>
        <v>1483</v>
      </c>
      <c r="L22">
        <f t="shared" si="6"/>
        <v>1483</v>
      </c>
      <c r="M22">
        <f t="shared" si="6"/>
        <v>1483</v>
      </c>
      <c r="N22">
        <f t="shared" si="6"/>
        <v>1483</v>
      </c>
      <c r="O22" s="170" t="s">
        <v>2725</v>
      </c>
      <c r="Q22" t="str">
        <f>'Contractor Assumptions'!B25</f>
        <v>City of Tracy</v>
      </c>
      <c r="R22">
        <f>2372+0</f>
        <v>2372</v>
      </c>
      <c r="S22">
        <f t="shared" ref="S22:V22" si="7">2372+0</f>
        <v>2372</v>
      </c>
      <c r="T22">
        <f t="shared" si="7"/>
        <v>2372</v>
      </c>
      <c r="U22">
        <f t="shared" si="7"/>
        <v>2372</v>
      </c>
      <c r="V22">
        <f t="shared" si="7"/>
        <v>2372</v>
      </c>
      <c r="W22" s="170" t="s">
        <v>2738</v>
      </c>
    </row>
    <row r="23" spans="1:23" x14ac:dyDescent="0.3">
      <c r="A23" t="str">
        <f>'Contractor Assumptions'!B26</f>
        <v>Kern County Water Agency</v>
      </c>
      <c r="B23" s="337">
        <v>43132</v>
      </c>
      <c r="C23" s="337">
        <v>43132</v>
      </c>
      <c r="D23" s="337">
        <v>43132</v>
      </c>
      <c r="E23" s="337">
        <v>43132</v>
      </c>
      <c r="F23" s="337">
        <v>43132</v>
      </c>
      <c r="G23" s="170" t="s">
        <v>2842</v>
      </c>
      <c r="I23" t="str">
        <f>'Contractor Assumptions'!B26</f>
        <v>Kern County Water Agency</v>
      </c>
      <c r="Q23" t="str">
        <f>'Contractor Assumptions'!B26</f>
        <v>Kern County Water Agency</v>
      </c>
      <c r="R23" s="56"/>
      <c r="S23" s="143"/>
      <c r="T23" s="143"/>
      <c r="U23" s="143"/>
      <c r="V23" s="143"/>
      <c r="W23" s="56" t="s">
        <v>748</v>
      </c>
    </row>
    <row r="24" spans="1:23" x14ac:dyDescent="0.3">
      <c r="A24" s="56" t="str">
        <f>'Contractor Assumptions'!B27</f>
        <v>Other Friant-Kern M&amp;I Contractors</v>
      </c>
      <c r="B24" s="163"/>
      <c r="C24" s="163"/>
      <c r="D24" s="163"/>
      <c r="E24" s="163"/>
      <c r="F24" s="163"/>
      <c r="G24" s="461" t="s">
        <v>748</v>
      </c>
      <c r="I24" t="str">
        <f>'Contractor Assumptions'!B27</f>
        <v>Other Friant-Kern M&amp;I Contractors</v>
      </c>
      <c r="Q24" t="str">
        <f>'Contractor Assumptions'!B27</f>
        <v>Other Friant-Kern M&amp;I Contractors</v>
      </c>
      <c r="R24" s="56"/>
      <c r="S24" s="143"/>
      <c r="T24" s="143"/>
      <c r="U24" s="143"/>
      <c r="V24" s="143"/>
      <c r="W24" s="56" t="s">
        <v>748</v>
      </c>
    </row>
    <row r="25" spans="1:23" x14ac:dyDescent="0.3">
      <c r="A25" t="str">
        <f>'Contractor Assumptions'!B28</f>
        <v>Stockton-East Water District</v>
      </c>
      <c r="B25" s="337">
        <f>90000 + 80000</f>
        <v>170000</v>
      </c>
      <c r="C25" s="337">
        <f>90000 + 80000</f>
        <v>170000</v>
      </c>
      <c r="D25" s="337">
        <f>90000 + 75000</f>
        <v>165000</v>
      </c>
      <c r="E25" s="337">
        <f>90000 + 75000</f>
        <v>165000</v>
      </c>
      <c r="F25" s="337">
        <f>90000 + 75000</f>
        <v>165000</v>
      </c>
      <c r="G25" s="170" t="s">
        <v>2843</v>
      </c>
      <c r="I25" t="str">
        <f>'Contractor Assumptions'!B28</f>
        <v>Stockton-East Water District</v>
      </c>
      <c r="J25" s="338">
        <f>15000 + 38478</f>
        <v>53478</v>
      </c>
      <c r="K25" s="338">
        <f t="shared" ref="K25:N25" si="8">15000 + 38478</f>
        <v>53478</v>
      </c>
      <c r="L25" s="338">
        <f t="shared" si="8"/>
        <v>53478</v>
      </c>
      <c r="M25" s="338">
        <f t="shared" si="8"/>
        <v>53478</v>
      </c>
      <c r="N25" s="338">
        <f t="shared" si="8"/>
        <v>53478</v>
      </c>
      <c r="O25" s="170" t="s">
        <v>2726</v>
      </c>
      <c r="Q25" t="str">
        <f>'Contractor Assumptions'!B28</f>
        <v>Stockton-East Water District</v>
      </c>
      <c r="R25" s="337">
        <f>AVERAGE(90000 + 80000, 55000 + 66300, 0 + 38478, 0 + 66300, 80000 + 90000)</f>
        <v>113215.6</v>
      </c>
      <c r="S25" s="337">
        <f t="shared" ref="S25:V25" si="9">AVERAGE(90000 + 80000, 55000 + 66300, 0 + 38478, 0 + 66300, 80000 + 90000)</f>
        <v>113215.6</v>
      </c>
      <c r="T25" s="337">
        <f t="shared" si="9"/>
        <v>113215.6</v>
      </c>
      <c r="U25" s="337">
        <f t="shared" si="9"/>
        <v>113215.6</v>
      </c>
      <c r="V25" s="337">
        <f t="shared" si="9"/>
        <v>113215.6</v>
      </c>
      <c r="W25" s="170" t="s">
        <v>2739</v>
      </c>
    </row>
    <row r="26" spans="1:23" x14ac:dyDescent="0.3">
      <c r="A26" t="str">
        <f>'Contractor Assumptions'!B29</f>
        <v>Alameda County Flood Control and Water Conservation District, Zone 7</v>
      </c>
      <c r="B26" s="337">
        <f>47000 + 10000</f>
        <v>57000</v>
      </c>
      <c r="C26" s="337">
        <f>46000 + 10000</f>
        <v>56000</v>
      </c>
      <c r="D26" s="337">
        <f>45000 + 10000</f>
        <v>55000</v>
      </c>
      <c r="E26" s="337">
        <f>43500 + 10000</f>
        <v>53500</v>
      </c>
      <c r="F26" s="337">
        <f>43500 + 10000</f>
        <v>53500</v>
      </c>
      <c r="G26" s="170" t="s">
        <v>2784</v>
      </c>
      <c r="I26" t="str">
        <f>'Contractor Assumptions'!B29</f>
        <v>Alameda County Flood Control and Water Conservation District, Zone 7</v>
      </c>
      <c r="J26">
        <f>4400 + 15500</f>
        <v>19900</v>
      </c>
      <c r="K26">
        <f>4400 + 12000</f>
        <v>16400</v>
      </c>
      <c r="L26">
        <f>4400 + 13800</f>
        <v>18200</v>
      </c>
      <c r="M26">
        <f xml:space="preserve"> 4400 + 12600</f>
        <v>17000</v>
      </c>
      <c r="N26">
        <f>4400 + 12700</f>
        <v>17100</v>
      </c>
      <c r="O26" s="170" t="s">
        <v>2844</v>
      </c>
      <c r="Q26" t="str">
        <f>'Contractor Assumptions'!B29</f>
        <v>Alameda County Flood Control and Water Conservation District, Zone 7</v>
      </c>
      <c r="R26" s="337">
        <f>AVERAGE(19900 + 15500, 20200 + 2800, 20200 + 1800, 20200 + 1800, 20200 + 1800)</f>
        <v>24880</v>
      </c>
      <c r="S26" s="337">
        <f>AVERAGE(19500 + 12000, 19800 + 4400, 19800 + 2700, 19500 + 2100, 19800 + 1900)</f>
        <v>24300</v>
      </c>
      <c r="T26" s="337">
        <f>AVERAGE(19500 + 13800, 19800 + 3500, 19700 + 2500, 19800 + 2000, 19700 + 1900)</f>
        <v>24440</v>
      </c>
      <c r="U26" s="337">
        <f>AVERAGE(19500 + 12600, 19600 + 3100, 19700 + 2300, 19700 + 1900, 19600 + 1900)</f>
        <v>23980</v>
      </c>
      <c r="V26" s="337">
        <f>AVERAGE(19400 + 12700, 19600 + 3100, 19600 + 2300, 19800 + 1900, 19600 + 1900)</f>
        <v>23980</v>
      </c>
      <c r="W26" s="170" t="s">
        <v>2845</v>
      </c>
    </row>
    <row r="27" spans="1:23" x14ac:dyDescent="0.3">
      <c r="A27" t="str">
        <f>'Contractor Assumptions'!B30</f>
        <v>Alameda County Water District</v>
      </c>
      <c r="B27" s="337">
        <f>20900+0</f>
        <v>20900</v>
      </c>
      <c r="C27" s="337">
        <f t="shared" ref="C27:F27" si="10">20900+0</f>
        <v>20900</v>
      </c>
      <c r="D27" s="337">
        <f t="shared" si="10"/>
        <v>20900</v>
      </c>
      <c r="E27" s="337">
        <f t="shared" si="10"/>
        <v>20900</v>
      </c>
      <c r="F27" s="337">
        <f t="shared" si="10"/>
        <v>20900</v>
      </c>
      <c r="G27" t="s">
        <v>2711</v>
      </c>
      <c r="I27" t="str">
        <f>'Contractor Assumptions'!B30</f>
        <v>Alameda County Water District</v>
      </c>
      <c r="J27">
        <f>3700+0</f>
        <v>3700</v>
      </c>
      <c r="K27">
        <f t="shared" ref="K27:N27" si="11">3700+0</f>
        <v>3700</v>
      </c>
      <c r="L27">
        <f t="shared" si="11"/>
        <v>3700</v>
      </c>
      <c r="M27">
        <f t="shared" si="11"/>
        <v>3700</v>
      </c>
      <c r="N27">
        <f t="shared" si="11"/>
        <v>3700</v>
      </c>
      <c r="O27" t="s">
        <v>2728</v>
      </c>
      <c r="Q27" t="str">
        <f>'Contractor Assumptions'!B30</f>
        <v>Alameda County Water District</v>
      </c>
      <c r="R27">
        <f>7300+0</f>
        <v>7300</v>
      </c>
      <c r="S27">
        <f>7300+0</f>
        <v>7300</v>
      </c>
      <c r="T27">
        <f>7300+0</f>
        <v>7300</v>
      </c>
      <c r="U27">
        <f>7300+0</f>
        <v>7300</v>
      </c>
      <c r="V27">
        <f>7300+0</f>
        <v>7300</v>
      </c>
      <c r="W27" t="s">
        <v>2846</v>
      </c>
    </row>
    <row r="28" spans="1:23" x14ac:dyDescent="0.3">
      <c r="A28" t="str">
        <f>'Contractor Assumptions'!B31</f>
        <v>Contra Costa Water District</v>
      </c>
      <c r="B28" s="337">
        <v>168400</v>
      </c>
      <c r="C28" s="337">
        <v>181900</v>
      </c>
      <c r="D28" s="337">
        <v>185300</v>
      </c>
      <c r="E28" s="337">
        <v>185300</v>
      </c>
      <c r="F28" s="337">
        <v>185300</v>
      </c>
      <c r="G28" s="170" t="s">
        <v>2847</v>
      </c>
      <c r="I28" t="str">
        <f>'Contractor Assumptions'!B31</f>
        <v>Contra Costa Water District</v>
      </c>
      <c r="J28">
        <v>124120</v>
      </c>
      <c r="K28">
        <v>134050</v>
      </c>
      <c r="L28">
        <v>136500</v>
      </c>
      <c r="M28">
        <v>136500</v>
      </c>
      <c r="N28">
        <v>136500</v>
      </c>
      <c r="O28" s="170" t="s">
        <v>2847</v>
      </c>
      <c r="Q28" t="str">
        <f>'Contractor Assumptions'!B31</f>
        <v>Contra Costa Water District</v>
      </c>
      <c r="R28">
        <v>109934</v>
      </c>
      <c r="S28">
        <v>118728</v>
      </c>
      <c r="T28">
        <v>120900</v>
      </c>
      <c r="U28">
        <v>120900</v>
      </c>
      <c r="V28">
        <v>120900</v>
      </c>
      <c r="W28" s="170" t="s">
        <v>2847</v>
      </c>
    </row>
    <row r="29" spans="1:23" x14ac:dyDescent="0.3">
      <c r="A29" t="str">
        <f>'Contractor Assumptions'!B32</f>
        <v>East Bay Municipal Utilities District</v>
      </c>
      <c r="B29" s="337">
        <v>0</v>
      </c>
      <c r="C29" s="337">
        <v>0</v>
      </c>
      <c r="D29" s="337">
        <v>0</v>
      </c>
      <c r="E29" s="337">
        <v>0</v>
      </c>
      <c r="F29" s="337">
        <v>0</v>
      </c>
      <c r="I29" t="str">
        <f>'Contractor Assumptions'!B32</f>
        <v>East Bay Municipal Utilities District</v>
      </c>
      <c r="J29">
        <v>0</v>
      </c>
      <c r="K29">
        <v>0</v>
      </c>
      <c r="L29">
        <v>0</v>
      </c>
      <c r="M29">
        <v>0</v>
      </c>
      <c r="N29">
        <v>0</v>
      </c>
      <c r="Q29" t="str">
        <f>'Contractor Assumptions'!B32</f>
        <v>East Bay Municipal Utilities District</v>
      </c>
      <c r="R29">
        <v>0</v>
      </c>
      <c r="S29">
        <v>0</v>
      </c>
      <c r="T29">
        <v>0</v>
      </c>
      <c r="U29">
        <v>0</v>
      </c>
      <c r="V29">
        <v>0</v>
      </c>
    </row>
    <row r="30" spans="1:23" x14ac:dyDescent="0.3">
      <c r="A30" t="str">
        <f>'Contractor Assumptions'!B33</f>
        <v>San Benito County Water District, Zone 6</v>
      </c>
      <c r="B30" s="337">
        <v>4949</v>
      </c>
      <c r="C30" s="337">
        <v>5388</v>
      </c>
      <c r="D30" s="337">
        <v>5388</v>
      </c>
      <c r="E30" s="337">
        <v>5388</v>
      </c>
      <c r="F30" s="337">
        <v>5388</v>
      </c>
      <c r="G30" s="170" t="s">
        <v>2848</v>
      </c>
      <c r="I30" t="str">
        <f>'Contractor Assumptions'!B33</f>
        <v>San Benito County Water District, Zone 6</v>
      </c>
      <c r="J30">
        <v>4253</v>
      </c>
      <c r="K30">
        <v>5013</v>
      </c>
      <c r="L30">
        <v>5013</v>
      </c>
      <c r="M30">
        <v>5013</v>
      </c>
      <c r="N30">
        <v>5013</v>
      </c>
      <c r="O30" s="170" t="s">
        <v>2848</v>
      </c>
      <c r="Q30" t="str">
        <f>'Contractor Assumptions'!B33</f>
        <v>San Benito County Water District, Zone 6</v>
      </c>
      <c r="R30">
        <v>3414</v>
      </c>
      <c r="S30">
        <v>3414</v>
      </c>
      <c r="T30">
        <v>3414</v>
      </c>
      <c r="U30">
        <v>3414</v>
      </c>
      <c r="V30">
        <v>3414</v>
      </c>
      <c r="W30" s="170" t="s">
        <v>2848</v>
      </c>
    </row>
    <row r="31" spans="1:23" x14ac:dyDescent="0.3">
      <c r="A31" t="str">
        <f>'Contractor Assumptions'!B34</f>
        <v>Santa Clara Valley Water District</v>
      </c>
      <c r="B31" s="337">
        <v>130000</v>
      </c>
      <c r="C31" s="337">
        <v>134000</v>
      </c>
      <c r="D31" s="337">
        <v>136000</v>
      </c>
      <c r="E31" s="337">
        <v>139000</v>
      </c>
      <c r="F31" s="337">
        <v>142000</v>
      </c>
      <c r="G31" s="170" t="s">
        <v>2713</v>
      </c>
      <c r="I31" t="str">
        <f>'Contractor Assumptions'!B34</f>
        <v>Santa Clara Valley Water District</v>
      </c>
      <c r="J31">
        <f>0.8*B31</f>
        <v>104000</v>
      </c>
      <c r="K31">
        <f t="shared" ref="K31:N31" si="12">0.8*C31</f>
        <v>107200</v>
      </c>
      <c r="L31">
        <f t="shared" si="12"/>
        <v>108800</v>
      </c>
      <c r="M31">
        <f t="shared" si="12"/>
        <v>111200</v>
      </c>
      <c r="N31">
        <f t="shared" si="12"/>
        <v>113600</v>
      </c>
      <c r="O31" s="170" t="s">
        <v>2730</v>
      </c>
      <c r="Q31" t="str">
        <f>'Contractor Assumptions'!B34</f>
        <v>Santa Clara Valley Water District</v>
      </c>
      <c r="R31">
        <f>AVERAGE(0.78,0.83,0.77,0.78,0.77) * B31</f>
        <v>102180</v>
      </c>
      <c r="S31">
        <f t="shared" ref="S31:V31" si="13">AVERAGE(0.78,0.83,0.77,0.78,0.77) * C31</f>
        <v>105324</v>
      </c>
      <c r="T31">
        <f t="shared" si="13"/>
        <v>106896</v>
      </c>
      <c r="U31">
        <f t="shared" si="13"/>
        <v>109254</v>
      </c>
      <c r="V31">
        <f t="shared" si="13"/>
        <v>111612</v>
      </c>
      <c r="W31" s="170" t="s">
        <v>2730</v>
      </c>
    </row>
    <row r="32" spans="1:23" x14ac:dyDescent="0.3">
      <c r="A32" t="str">
        <f>'Contractor Assumptions'!B35</f>
        <v>San Luis Obispo County Flood Control &amp; Water Conservation District</v>
      </c>
      <c r="B32" s="337"/>
      <c r="C32" s="337"/>
      <c r="D32" s="337"/>
      <c r="E32" s="337"/>
      <c r="F32" s="337"/>
      <c r="I32" t="str">
        <f>'Contractor Assumptions'!B35</f>
        <v>San Luis Obispo County Flood Control &amp; Water Conservation District</v>
      </c>
      <c r="Q32" t="str">
        <f>'Contractor Assumptions'!B35</f>
        <v>San Luis Obispo County Flood Control &amp; Water Conservation District</v>
      </c>
    </row>
    <row r="33" spans="1:23" x14ac:dyDescent="0.3">
      <c r="A33" s="56" t="str">
        <f>'Contractor Assumptions'!B36</f>
        <v>Santa Barbara County Flood Control &amp; Water Conservation District</v>
      </c>
      <c r="B33" s="163"/>
      <c r="C33" s="163"/>
      <c r="D33" s="163"/>
      <c r="E33" s="163"/>
      <c r="F33" s="163"/>
      <c r="G33" s="461" t="s">
        <v>748</v>
      </c>
      <c r="I33" t="str">
        <f>'Contractor Assumptions'!B36</f>
        <v>Santa Barbara County Flood Control &amp; Water Conservation District</v>
      </c>
      <c r="Q33" t="str">
        <f>'Contractor Assumptions'!B36</f>
        <v>Santa Barbara County Flood Control &amp; Water Conservation District</v>
      </c>
      <c r="R33" s="56"/>
      <c r="S33" s="143"/>
      <c r="T33" s="143"/>
      <c r="U33" s="143"/>
      <c r="V33" s="143"/>
      <c r="W33" s="56" t="s">
        <v>748</v>
      </c>
    </row>
    <row r="34" spans="1:23" x14ac:dyDescent="0.3">
      <c r="A34" t="str">
        <f>'Contractor Assumptions'!B37</f>
        <v>Antelope Valley-East Kern Water Agency</v>
      </c>
      <c r="B34" s="337">
        <v>81840</v>
      </c>
      <c r="C34" s="337">
        <v>79660</v>
      </c>
      <c r="D34" s="337">
        <v>77490</v>
      </c>
      <c r="E34" s="337">
        <v>75320</v>
      </c>
      <c r="F34" s="337">
        <v>75320</v>
      </c>
      <c r="G34" s="170" t="s">
        <v>2849</v>
      </c>
      <c r="I34" t="str">
        <f>'Contractor Assumptions'!B37</f>
        <v>Antelope Valley-East Kern Water Agency</v>
      </c>
      <c r="J34">
        <v>7240</v>
      </c>
      <c r="K34">
        <v>7240</v>
      </c>
      <c r="L34">
        <v>7240</v>
      </c>
      <c r="M34">
        <v>7240</v>
      </c>
      <c r="N34">
        <v>7240</v>
      </c>
      <c r="O34" s="170" t="s">
        <v>2731</v>
      </c>
      <c r="Q34" t="str">
        <f>'Contractor Assumptions'!B37</f>
        <v>Antelope Valley-East Kern Water Agency</v>
      </c>
      <c r="R34" s="337">
        <f>(7240/0.05) * AVERAGE(0.123, 0.322, 0.133, 0.256, 0.18)</f>
        <v>29365.440000000002</v>
      </c>
      <c r="S34" s="337">
        <f t="shared" ref="S34:V34" si="14">(7240/0.05) * AVERAGE(0.123, 0.322, 0.133, 0.256, 0.18)</f>
        <v>29365.440000000002</v>
      </c>
      <c r="T34" s="337">
        <f t="shared" si="14"/>
        <v>29365.440000000002</v>
      </c>
      <c r="U34" s="337">
        <f t="shared" si="14"/>
        <v>29365.440000000002</v>
      </c>
      <c r="V34" s="337">
        <f t="shared" si="14"/>
        <v>29365.440000000002</v>
      </c>
      <c r="W34" s="170" t="s">
        <v>2850</v>
      </c>
    </row>
    <row r="35" spans="1:23" x14ac:dyDescent="0.3">
      <c r="A35" t="str">
        <f>'Contractor Assumptions'!B38</f>
        <v>Santa Clarita Water Division</v>
      </c>
      <c r="B35" s="337">
        <v>55220</v>
      </c>
      <c r="C35" s="337">
        <v>53310</v>
      </c>
      <c r="D35" s="337">
        <v>51410</v>
      </c>
      <c r="E35" s="337">
        <v>49500</v>
      </c>
      <c r="F35" s="337">
        <v>49500</v>
      </c>
      <c r="G35" s="421" t="s">
        <v>2851</v>
      </c>
      <c r="I35" t="str">
        <f>'Contractor Assumptions'!B38</f>
        <v>Santa Clarita Water Division</v>
      </c>
      <c r="J35">
        <v>4760</v>
      </c>
      <c r="K35">
        <v>4760</v>
      </c>
      <c r="L35">
        <v>4760</v>
      </c>
      <c r="M35">
        <v>4760</v>
      </c>
      <c r="N35">
        <v>4760</v>
      </c>
      <c r="O35" s="421" t="s">
        <v>2852</v>
      </c>
      <c r="Q35" t="str">
        <f>'Contractor Assumptions'!B38</f>
        <v>Santa Clarita Water Division</v>
      </c>
      <c r="R35">
        <v>24040</v>
      </c>
      <c r="S35">
        <v>24090</v>
      </c>
      <c r="T35">
        <v>24130</v>
      </c>
      <c r="U35">
        <v>24180</v>
      </c>
      <c r="V35">
        <v>24180</v>
      </c>
      <c r="W35" s="421" t="s">
        <v>2853</v>
      </c>
    </row>
    <row r="36" spans="1:23" x14ac:dyDescent="0.3">
      <c r="A36" t="str">
        <f>'Contractor Assumptions'!B39</f>
        <v>Coachella Valley Water District</v>
      </c>
      <c r="B36" s="501" t="s">
        <v>2684</v>
      </c>
      <c r="C36" s="501" t="s">
        <v>2684</v>
      </c>
      <c r="D36" s="501" t="s">
        <v>2684</v>
      </c>
      <c r="E36" s="501" t="s">
        <v>2684</v>
      </c>
      <c r="F36" s="501" t="s">
        <v>2684</v>
      </c>
      <c r="G36" s="170" t="s">
        <v>2854</v>
      </c>
      <c r="I36" t="str">
        <f>'Contractor Assumptions'!B39</f>
        <v>Coachella Valley Water District</v>
      </c>
      <c r="J36" s="355" t="s">
        <v>2684</v>
      </c>
      <c r="K36" s="355" t="s">
        <v>2684</v>
      </c>
      <c r="L36" s="355" t="s">
        <v>2684</v>
      </c>
      <c r="M36" s="355" t="s">
        <v>2684</v>
      </c>
      <c r="N36" s="355" t="s">
        <v>2684</v>
      </c>
      <c r="O36" s="170" t="s">
        <v>2855</v>
      </c>
      <c r="Q36" t="str">
        <f>'Contractor Assumptions'!B39</f>
        <v>Coachella Valley Water District</v>
      </c>
      <c r="R36" s="355" t="s">
        <v>2684</v>
      </c>
      <c r="S36" s="355" t="s">
        <v>2684</v>
      </c>
      <c r="T36" s="355" t="s">
        <v>2684</v>
      </c>
      <c r="U36" s="355" t="s">
        <v>2684</v>
      </c>
      <c r="V36" s="355" t="s">
        <v>2684</v>
      </c>
      <c r="W36" s="170" t="s">
        <v>2856</v>
      </c>
    </row>
    <row r="37" spans="1:23" x14ac:dyDescent="0.3">
      <c r="A37" s="56" t="str">
        <f>'Contractor Assumptions'!B40</f>
        <v>Crestline-Lake Arrowhead Water Agency</v>
      </c>
      <c r="B37" s="163"/>
      <c r="C37" s="163"/>
      <c r="D37" s="163"/>
      <c r="E37" s="163"/>
      <c r="F37" s="163"/>
      <c r="G37" s="461" t="s">
        <v>748</v>
      </c>
      <c r="I37" t="str">
        <f>'Contractor Assumptions'!B40</f>
        <v>Crestline-Lake Arrowhead Water Agency</v>
      </c>
      <c r="Q37" t="str">
        <f>'Contractor Assumptions'!B40</f>
        <v>Crestline-Lake Arrowhead Water Agency</v>
      </c>
    </row>
    <row r="38" spans="1:23" x14ac:dyDescent="0.3">
      <c r="A38" t="str">
        <f>'Contractor Assumptions'!B41</f>
        <v>Desert Water Agency</v>
      </c>
      <c r="B38" s="337"/>
      <c r="C38" s="337"/>
      <c r="D38" s="337"/>
      <c r="E38" s="337"/>
      <c r="F38" s="337"/>
      <c r="I38" t="str">
        <f>'Contractor Assumptions'!B41</f>
        <v>Desert Water Agency</v>
      </c>
      <c r="Q38" t="str">
        <f>'Contractor Assumptions'!B41</f>
        <v>Desert Water Agency</v>
      </c>
    </row>
    <row r="39" spans="1:23" x14ac:dyDescent="0.3">
      <c r="A39" t="str">
        <f>'Contractor Assumptions'!B42</f>
        <v>Metropolitan Water District of Southern California</v>
      </c>
      <c r="B39" s="337">
        <v>1774000</v>
      </c>
      <c r="C39" s="337">
        <v>1766000</v>
      </c>
      <c r="D39" s="337">
        <v>1764000</v>
      </c>
      <c r="E39" s="337">
        <v>1762000</v>
      </c>
      <c r="F39" s="337">
        <v>1761000</v>
      </c>
      <c r="G39" s="170" t="s">
        <v>2857</v>
      </c>
      <c r="I39" t="str">
        <f>'Contractor Assumptions'!B42</f>
        <v>Metropolitan Water District of Southern California</v>
      </c>
      <c r="J39" s="338">
        <v>647000</v>
      </c>
      <c r="K39">
        <v>634000</v>
      </c>
      <c r="L39">
        <v>634000</v>
      </c>
      <c r="M39">
        <v>634000</v>
      </c>
      <c r="N39">
        <v>633000</v>
      </c>
      <c r="O39" s="170" t="s">
        <v>2858</v>
      </c>
      <c r="Q39" t="str">
        <f>'Contractor Assumptions'!B42</f>
        <v>Metropolitan Water District of Southern California</v>
      </c>
      <c r="R39">
        <v>734800</v>
      </c>
      <c r="S39">
        <v>772000</v>
      </c>
      <c r="T39">
        <v>794000</v>
      </c>
      <c r="U39">
        <v>816000</v>
      </c>
      <c r="V39">
        <v>792000</v>
      </c>
      <c r="W39" s="170" t="s">
        <v>2859</v>
      </c>
    </row>
    <row r="40" spans="1:23" x14ac:dyDescent="0.3">
      <c r="A40" t="str">
        <f>'Contractor Assumptions'!B43</f>
        <v>Mojave Water Agency</v>
      </c>
      <c r="B40" s="337">
        <v>50737</v>
      </c>
      <c r="C40" s="337">
        <v>49390</v>
      </c>
      <c r="D40" s="337">
        <v>48043</v>
      </c>
      <c r="E40" s="337">
        <v>46696</v>
      </c>
      <c r="F40" s="337">
        <v>46696</v>
      </c>
      <c r="G40" s="170" t="s">
        <v>2860</v>
      </c>
      <c r="I40" t="str">
        <f>'Contractor Assumptions'!B43</f>
        <v>Mojave Water Agency</v>
      </c>
      <c r="J40">
        <v>4490</v>
      </c>
      <c r="K40">
        <v>4490</v>
      </c>
      <c r="L40">
        <v>4490</v>
      </c>
      <c r="M40">
        <v>4490</v>
      </c>
      <c r="N40">
        <v>4490</v>
      </c>
      <c r="O40" s="170" t="s">
        <v>2835</v>
      </c>
      <c r="Q40" t="str">
        <f>'Contractor Assumptions'!B43</f>
        <v>Mojave Water Agency</v>
      </c>
      <c r="R40">
        <f>AVERAGE(31430, 4490, 4490, 17960, 31430)</f>
        <v>17960</v>
      </c>
      <c r="S40">
        <f t="shared" ref="S40:V40" si="15">AVERAGE(31430, 4490, 4490, 17960, 31430)</f>
        <v>17960</v>
      </c>
      <c r="T40">
        <f t="shared" si="15"/>
        <v>17960</v>
      </c>
      <c r="U40">
        <f t="shared" si="15"/>
        <v>17960</v>
      </c>
      <c r="V40">
        <f t="shared" si="15"/>
        <v>17960</v>
      </c>
    </row>
    <row r="41" spans="1:23" x14ac:dyDescent="0.3">
      <c r="A41" t="str">
        <f>'Contractor Assumptions'!B44</f>
        <v>Palmdale Water District &amp; Littlerock Creek Irrigation District</v>
      </c>
      <c r="B41" s="337">
        <v>12030</v>
      </c>
      <c r="C41" s="337">
        <v>11720</v>
      </c>
      <c r="D41" s="337">
        <v>11400</v>
      </c>
      <c r="E41" s="337">
        <v>11080</v>
      </c>
      <c r="F41" s="337">
        <v>11080</v>
      </c>
      <c r="G41" s="170" t="s">
        <v>2716</v>
      </c>
      <c r="I41" t="str">
        <f>'Contractor Assumptions'!B44</f>
        <v>Palmdale Water District &amp; Littlerock Creek Irrigation District</v>
      </c>
      <c r="J41">
        <v>1490</v>
      </c>
      <c r="K41">
        <v>1705</v>
      </c>
      <c r="L41">
        <v>1915</v>
      </c>
      <c r="M41">
        <v>2130</v>
      </c>
      <c r="N41">
        <v>2130</v>
      </c>
      <c r="O41" s="170" t="s">
        <v>2732</v>
      </c>
      <c r="Q41" t="str">
        <f>'Contractor Assumptions'!B44</f>
        <v>Palmdale Water District &amp; Littlerock Creek Irrigation District</v>
      </c>
      <c r="R41">
        <v>6180</v>
      </c>
      <c r="S41">
        <v>5645</v>
      </c>
      <c r="T41">
        <v>5110</v>
      </c>
      <c r="U41">
        <v>4470</v>
      </c>
      <c r="V41">
        <v>4470</v>
      </c>
      <c r="W41" s="170" t="s">
        <v>2744</v>
      </c>
    </row>
    <row r="42" spans="1:23" x14ac:dyDescent="0.3">
      <c r="A42" t="str">
        <f>'Contractor Assumptions'!B45</f>
        <v>San Bernardino Valley Municipal Water District</v>
      </c>
      <c r="B42" s="337">
        <v>59508</v>
      </c>
      <c r="C42" s="337">
        <v>59508</v>
      </c>
      <c r="D42" s="337">
        <v>59508</v>
      </c>
      <c r="E42" s="337">
        <v>53352</v>
      </c>
      <c r="F42" s="337">
        <v>53352</v>
      </c>
      <c r="G42" s="170" t="s">
        <v>2861</v>
      </c>
      <c r="I42" t="str">
        <f>'Contractor Assumptions'!B45</f>
        <v>San Bernardino Valley Municipal Water District</v>
      </c>
      <c r="J42">
        <v>5130</v>
      </c>
      <c r="K42">
        <v>5130</v>
      </c>
      <c r="L42">
        <v>5130</v>
      </c>
      <c r="M42">
        <v>5130</v>
      </c>
      <c r="N42">
        <v>5130</v>
      </c>
      <c r="O42" s="170" t="s">
        <v>2862</v>
      </c>
      <c r="Q42" t="str">
        <f>'Contractor Assumptions'!B45</f>
        <v>San Bernardino Valley Municipal Water District</v>
      </c>
      <c r="R42">
        <v>26676</v>
      </c>
      <c r="S42">
        <v>26676</v>
      </c>
      <c r="T42">
        <v>26676</v>
      </c>
      <c r="U42">
        <v>22572</v>
      </c>
      <c r="V42">
        <v>22572</v>
      </c>
      <c r="W42" s="170" t="s">
        <v>2862</v>
      </c>
    </row>
    <row r="43" spans="1:23" x14ac:dyDescent="0.3">
      <c r="A43" t="str">
        <f>'Contractor Assumptions'!B46</f>
        <v>San Gabriel Valley Municipal Water District</v>
      </c>
      <c r="B43" s="337">
        <v>16704</v>
      </c>
      <c r="C43" s="337">
        <v>16704</v>
      </c>
      <c r="D43" s="337">
        <v>16704</v>
      </c>
      <c r="E43" s="337">
        <v>16704</v>
      </c>
      <c r="F43" s="337">
        <v>16704</v>
      </c>
      <c r="G43" s="170" t="s">
        <v>2863</v>
      </c>
      <c r="I43" t="str">
        <f>'Contractor Assumptions'!B46</f>
        <v>San Gabriel Valley Municipal Water District</v>
      </c>
      <c r="J43">
        <v>2016</v>
      </c>
      <c r="K43">
        <v>2016</v>
      </c>
      <c r="L43">
        <v>2016</v>
      </c>
      <c r="M43">
        <v>2016</v>
      </c>
      <c r="N43">
        <v>2016</v>
      </c>
      <c r="O43" s="170" t="s">
        <v>1071</v>
      </c>
      <c r="Q43" t="str">
        <f>'Contractor Assumptions'!B46</f>
        <v>San Gabriel Valley Municipal Water District</v>
      </c>
      <c r="R43">
        <v>7488</v>
      </c>
      <c r="S43">
        <v>7488</v>
      </c>
      <c r="T43">
        <v>7488</v>
      </c>
      <c r="U43">
        <v>7488</v>
      </c>
      <c r="V43">
        <v>7488</v>
      </c>
      <c r="W43" s="170" t="s">
        <v>1079</v>
      </c>
    </row>
    <row r="44" spans="1:23" x14ac:dyDescent="0.3">
      <c r="A44" t="str">
        <f>'Contractor Assumptions'!B47</f>
        <v>San Gorgonio Pass Water Agency</v>
      </c>
      <c r="B44" s="337">
        <v>10034</v>
      </c>
      <c r="C44" s="337">
        <v>10034</v>
      </c>
      <c r="D44" s="337">
        <v>10034</v>
      </c>
      <c r="E44" s="337">
        <v>10034</v>
      </c>
      <c r="F44" s="337">
        <v>10034</v>
      </c>
      <c r="G44" s="170" t="s">
        <v>2864</v>
      </c>
      <c r="I44" t="str">
        <f>'Contractor Assumptions'!B47</f>
        <v>San Gorgonio Pass Water Agency</v>
      </c>
      <c r="J44">
        <v>865</v>
      </c>
      <c r="K44">
        <v>865</v>
      </c>
      <c r="L44">
        <v>865</v>
      </c>
      <c r="M44">
        <v>865</v>
      </c>
      <c r="N44">
        <v>865</v>
      </c>
      <c r="O44" s="170" t="s">
        <v>2864</v>
      </c>
      <c r="Q44" t="str">
        <f>'Contractor Assumptions'!B47</f>
        <v>San Gorgonio Pass Water Agency</v>
      </c>
      <c r="R44">
        <f>AVERAGE(6055, 865, 865, 3460, 6055)</f>
        <v>3460</v>
      </c>
      <c r="S44">
        <f t="shared" ref="S44:V44" si="16">AVERAGE(6055, 865, 865, 3460, 6055)</f>
        <v>3460</v>
      </c>
      <c r="T44">
        <f t="shared" si="16"/>
        <v>3460</v>
      </c>
      <c r="U44">
        <f t="shared" si="16"/>
        <v>3460</v>
      </c>
      <c r="V44">
        <f t="shared" si="16"/>
        <v>3460</v>
      </c>
      <c r="W44" s="170" t="s">
        <v>2864</v>
      </c>
    </row>
    <row r="45" spans="1:23" x14ac:dyDescent="0.3">
      <c r="A45" t="str">
        <f>'Contractor Assumptions'!B48</f>
        <v>Ventura County Watershed Protection District</v>
      </c>
      <c r="I45" t="str">
        <f>'Contractor Assumptions'!B48</f>
        <v>Ventura County Watershed Protection District</v>
      </c>
      <c r="Q45" t="str">
        <f>'Contractor Assumptions'!B48</f>
        <v>Ventura County Watershed Protection District</v>
      </c>
    </row>
  </sheetData>
  <pageMargins left="0.7" right="0.7" top="0.75" bottom="0.75" header="0.3" footer="0.3"/>
  <pageSetup orientation="portrait" horizont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97C04-92F3-4AF0-A8EB-3C76C57555AB}">
  <sheetPr codeName="Sheet48" filterMode="1">
    <tabColor rgb="FF7030A0"/>
  </sheetPr>
  <dimension ref="A1:S1208"/>
  <sheetViews>
    <sheetView workbookViewId="0"/>
  </sheetViews>
  <sheetFormatPr defaultRowHeight="14.4" x14ac:dyDescent="0.3"/>
  <cols>
    <col min="1" max="1" width="7.6640625" bestFit="1" customWidth="1"/>
    <col min="2" max="2" width="54" bestFit="1" customWidth="1"/>
    <col min="3" max="3" width="40.109375" bestFit="1" customWidth="1"/>
    <col min="4" max="4" width="18.88671875" bestFit="1" customWidth="1"/>
    <col min="5" max="5" width="26.5546875" bestFit="1" customWidth="1"/>
    <col min="6" max="6" width="23" bestFit="1" customWidth="1"/>
    <col min="7" max="7" width="32.109375" bestFit="1" customWidth="1"/>
    <col min="8" max="8" width="57.6640625" customWidth="1"/>
    <col min="9" max="9" width="35.44140625" bestFit="1" customWidth="1"/>
    <col min="10" max="10" width="33.109375" bestFit="1" customWidth="1"/>
    <col min="11" max="11" width="35.44140625" bestFit="1" customWidth="1"/>
    <col min="12" max="18" width="33.109375" bestFit="1" customWidth="1"/>
    <col min="19" max="19" width="19.44140625" bestFit="1" customWidth="1"/>
  </cols>
  <sheetData>
    <row r="1" spans="1:19" x14ac:dyDescent="0.3">
      <c r="A1" t="s">
        <v>1191</v>
      </c>
      <c r="B1" t="s">
        <v>1192</v>
      </c>
      <c r="C1" t="s">
        <v>1193</v>
      </c>
      <c r="D1" t="s">
        <v>1194</v>
      </c>
      <c r="E1" t="s">
        <v>1195</v>
      </c>
      <c r="F1" t="s">
        <v>1196</v>
      </c>
      <c r="G1" t="s">
        <v>2865</v>
      </c>
      <c r="H1" t="s">
        <v>2866</v>
      </c>
      <c r="I1" t="s">
        <v>2867</v>
      </c>
      <c r="J1" t="s">
        <v>2868</v>
      </c>
      <c r="K1" t="s">
        <v>2869</v>
      </c>
      <c r="L1" t="s">
        <v>2870</v>
      </c>
      <c r="M1" t="s">
        <v>2871</v>
      </c>
      <c r="N1" t="s">
        <v>2872</v>
      </c>
      <c r="O1" t="s">
        <v>2873</v>
      </c>
      <c r="P1" t="s">
        <v>2874</v>
      </c>
      <c r="Q1" t="s">
        <v>2875</v>
      </c>
      <c r="R1" t="s">
        <v>2876</v>
      </c>
      <c r="S1" t="s">
        <v>2255</v>
      </c>
    </row>
    <row r="2" spans="1:19" hidden="1" x14ac:dyDescent="0.3">
      <c r="A2">
        <v>13</v>
      </c>
      <c r="B2" t="s">
        <v>1201</v>
      </c>
      <c r="C2" t="s">
        <v>2877</v>
      </c>
      <c r="D2" t="s">
        <v>1203</v>
      </c>
      <c r="E2" t="s">
        <v>1204</v>
      </c>
      <c r="F2">
        <v>5973</v>
      </c>
      <c r="G2" t="s">
        <v>2679</v>
      </c>
      <c r="H2" t="s">
        <v>2878</v>
      </c>
      <c r="I2">
        <v>20</v>
      </c>
      <c r="J2" t="s">
        <v>2460</v>
      </c>
      <c r="K2">
        <v>23</v>
      </c>
      <c r="L2" t="s">
        <v>2460</v>
      </c>
      <c r="M2">
        <v>25</v>
      </c>
      <c r="N2" t="s">
        <v>2460</v>
      </c>
      <c r="O2">
        <v>25</v>
      </c>
      <c r="P2" t="s">
        <v>2460</v>
      </c>
      <c r="Q2">
        <v>27</v>
      </c>
      <c r="R2" t="s">
        <v>2460</v>
      </c>
      <c r="S2" t="s">
        <v>988</v>
      </c>
    </row>
    <row r="3" spans="1:19" hidden="1" x14ac:dyDescent="0.3">
      <c r="A3">
        <v>13</v>
      </c>
      <c r="B3" t="s">
        <v>1201</v>
      </c>
      <c r="C3" t="s">
        <v>2877</v>
      </c>
      <c r="D3" t="s">
        <v>1203</v>
      </c>
      <c r="E3" t="s">
        <v>1204</v>
      </c>
      <c r="F3">
        <v>5973</v>
      </c>
      <c r="G3" t="s">
        <v>2681</v>
      </c>
      <c r="H3" t="s">
        <v>2879</v>
      </c>
      <c r="I3">
        <v>2851</v>
      </c>
      <c r="J3" t="s">
        <v>2880</v>
      </c>
      <c r="K3">
        <v>2851</v>
      </c>
      <c r="L3" t="s">
        <v>2880</v>
      </c>
      <c r="M3">
        <v>2575</v>
      </c>
      <c r="N3" t="s">
        <v>2880</v>
      </c>
      <c r="O3">
        <v>2851</v>
      </c>
      <c r="P3" t="s">
        <v>2880</v>
      </c>
      <c r="Q3">
        <v>2851</v>
      </c>
      <c r="R3" t="s">
        <v>2880</v>
      </c>
      <c r="S3" t="s">
        <v>988</v>
      </c>
    </row>
    <row r="4" spans="1:19" hidden="1" x14ac:dyDescent="0.3">
      <c r="A4">
        <v>13</v>
      </c>
      <c r="B4" t="s">
        <v>1201</v>
      </c>
      <c r="C4" t="s">
        <v>2877</v>
      </c>
      <c r="D4" t="s">
        <v>1203</v>
      </c>
      <c r="E4" t="s">
        <v>1204</v>
      </c>
      <c r="F4">
        <v>5973</v>
      </c>
      <c r="G4" t="s">
        <v>2681</v>
      </c>
      <c r="H4" t="s">
        <v>2881</v>
      </c>
      <c r="I4">
        <v>61555</v>
      </c>
      <c r="J4" t="s">
        <v>2882</v>
      </c>
      <c r="K4">
        <v>61555</v>
      </c>
      <c r="L4" t="s">
        <v>2882</v>
      </c>
      <c r="M4">
        <v>61555</v>
      </c>
      <c r="N4" t="s">
        <v>2882</v>
      </c>
      <c r="O4">
        <v>61555</v>
      </c>
      <c r="P4" t="s">
        <v>2882</v>
      </c>
      <c r="Q4">
        <v>61555</v>
      </c>
      <c r="R4" t="s">
        <v>2882</v>
      </c>
      <c r="S4" t="s">
        <v>988</v>
      </c>
    </row>
    <row r="5" spans="1:19" hidden="1" x14ac:dyDescent="0.3">
      <c r="A5">
        <v>23</v>
      </c>
      <c r="B5" t="s">
        <v>801</v>
      </c>
      <c r="C5" t="s">
        <v>2877</v>
      </c>
      <c r="D5" t="s">
        <v>159</v>
      </c>
      <c r="E5" t="s">
        <v>159</v>
      </c>
      <c r="F5">
        <v>6868</v>
      </c>
      <c r="G5" t="s">
        <v>2685</v>
      </c>
      <c r="H5" t="s">
        <v>2883</v>
      </c>
      <c r="I5">
        <v>5000</v>
      </c>
      <c r="J5" t="s">
        <v>2460</v>
      </c>
      <c r="K5">
        <v>5000</v>
      </c>
      <c r="L5" t="s">
        <v>2460</v>
      </c>
      <c r="M5">
        <v>5000</v>
      </c>
      <c r="N5" t="s">
        <v>2460</v>
      </c>
      <c r="O5">
        <v>5000</v>
      </c>
      <c r="P5" t="s">
        <v>2460</v>
      </c>
      <c r="Q5">
        <v>5000</v>
      </c>
      <c r="R5" t="s">
        <v>2460</v>
      </c>
      <c r="S5" t="s">
        <v>988</v>
      </c>
    </row>
    <row r="6" spans="1:19" hidden="1" x14ac:dyDescent="0.3">
      <c r="A6">
        <v>23</v>
      </c>
      <c r="B6" t="s">
        <v>801</v>
      </c>
      <c r="C6" t="s">
        <v>2877</v>
      </c>
      <c r="D6" t="s">
        <v>159</v>
      </c>
      <c r="E6" t="s">
        <v>159</v>
      </c>
      <c r="F6">
        <v>6868</v>
      </c>
      <c r="G6" t="s">
        <v>2683</v>
      </c>
      <c r="H6" t="s">
        <v>2884</v>
      </c>
      <c r="I6">
        <v>15400</v>
      </c>
      <c r="J6" t="s">
        <v>2460</v>
      </c>
      <c r="K6">
        <v>15400</v>
      </c>
      <c r="L6" t="s">
        <v>2460</v>
      </c>
      <c r="M6">
        <v>15400</v>
      </c>
      <c r="N6" t="s">
        <v>2460</v>
      </c>
      <c r="O6">
        <v>15400</v>
      </c>
      <c r="P6" t="s">
        <v>2460</v>
      </c>
      <c r="Q6">
        <v>15400</v>
      </c>
      <c r="R6" t="s">
        <v>2460</v>
      </c>
      <c r="S6" t="s">
        <v>988</v>
      </c>
    </row>
    <row r="7" spans="1:19" hidden="1" x14ac:dyDescent="0.3">
      <c r="A7">
        <v>23</v>
      </c>
      <c r="B7" t="s">
        <v>801</v>
      </c>
      <c r="C7" t="s">
        <v>2877</v>
      </c>
      <c r="D7" t="s">
        <v>159</v>
      </c>
      <c r="E7" t="s">
        <v>159</v>
      </c>
      <c r="F7">
        <v>6868</v>
      </c>
      <c r="G7" t="s">
        <v>2683</v>
      </c>
      <c r="H7" t="s">
        <v>2885</v>
      </c>
      <c r="I7">
        <v>20900</v>
      </c>
      <c r="J7" t="s">
        <v>2460</v>
      </c>
      <c r="K7">
        <v>20900</v>
      </c>
      <c r="L7" t="s">
        <v>2460</v>
      </c>
      <c r="M7">
        <v>20900</v>
      </c>
      <c r="N7" t="s">
        <v>2460</v>
      </c>
      <c r="O7">
        <v>20900</v>
      </c>
      <c r="P7" t="s">
        <v>2460</v>
      </c>
      <c r="Q7">
        <v>20900</v>
      </c>
      <c r="R7" t="s">
        <v>2460</v>
      </c>
      <c r="S7" t="s">
        <v>988</v>
      </c>
    </row>
    <row r="8" spans="1:19" hidden="1" x14ac:dyDescent="0.3">
      <c r="A8">
        <v>23</v>
      </c>
      <c r="B8" t="s">
        <v>801</v>
      </c>
      <c r="C8" t="s">
        <v>2877</v>
      </c>
      <c r="D8" t="s">
        <v>159</v>
      </c>
      <c r="E8" t="s">
        <v>159</v>
      </c>
      <c r="F8">
        <v>6868</v>
      </c>
      <c r="G8" t="s">
        <v>2687</v>
      </c>
      <c r="H8" t="s">
        <v>2886</v>
      </c>
      <c r="I8">
        <v>5100</v>
      </c>
      <c r="J8" t="s">
        <v>2460</v>
      </c>
      <c r="K8">
        <v>5100</v>
      </c>
      <c r="L8" t="s">
        <v>2460</v>
      </c>
      <c r="M8">
        <v>5100</v>
      </c>
      <c r="N8" t="s">
        <v>2460</v>
      </c>
      <c r="O8">
        <v>5100</v>
      </c>
      <c r="P8" t="s">
        <v>2460</v>
      </c>
      <c r="Q8">
        <v>5100</v>
      </c>
      <c r="R8" t="s">
        <v>2460</v>
      </c>
      <c r="S8" t="s">
        <v>988</v>
      </c>
    </row>
    <row r="9" spans="1:19" hidden="1" x14ac:dyDescent="0.3">
      <c r="A9">
        <v>23</v>
      </c>
      <c r="B9" t="s">
        <v>801</v>
      </c>
      <c r="C9" t="s">
        <v>2877</v>
      </c>
      <c r="D9" t="s">
        <v>159</v>
      </c>
      <c r="E9" t="s">
        <v>159</v>
      </c>
      <c r="F9">
        <v>6868</v>
      </c>
      <c r="G9" t="s">
        <v>2681</v>
      </c>
      <c r="H9" t="s">
        <v>2887</v>
      </c>
      <c r="I9">
        <v>21800</v>
      </c>
      <c r="J9" t="s">
        <v>2460</v>
      </c>
      <c r="K9">
        <v>21800</v>
      </c>
      <c r="L9" t="s">
        <v>2460</v>
      </c>
      <c r="M9">
        <v>21900</v>
      </c>
      <c r="N9" t="s">
        <v>2460</v>
      </c>
      <c r="O9">
        <v>21900</v>
      </c>
      <c r="P9" t="s">
        <v>2460</v>
      </c>
      <c r="Q9">
        <v>21800</v>
      </c>
      <c r="R9" t="s">
        <v>2460</v>
      </c>
      <c r="S9" t="s">
        <v>988</v>
      </c>
    </row>
    <row r="10" spans="1:19" hidden="1" x14ac:dyDescent="0.3">
      <c r="A10">
        <v>30</v>
      </c>
      <c r="B10" t="s">
        <v>1213</v>
      </c>
      <c r="C10" t="s">
        <v>2877</v>
      </c>
      <c r="D10" t="s">
        <v>159</v>
      </c>
      <c r="E10" t="s">
        <v>159</v>
      </c>
      <c r="F10">
        <v>5557</v>
      </c>
      <c r="G10" t="s">
        <v>2681</v>
      </c>
      <c r="H10" t="s">
        <v>2888</v>
      </c>
      <c r="I10">
        <v>7433</v>
      </c>
      <c r="J10" t="s">
        <v>2460</v>
      </c>
      <c r="K10">
        <v>7526</v>
      </c>
      <c r="L10" t="s">
        <v>2460</v>
      </c>
      <c r="M10">
        <v>7621</v>
      </c>
      <c r="N10" t="s">
        <v>2460</v>
      </c>
      <c r="O10">
        <v>7717</v>
      </c>
      <c r="P10" t="s">
        <v>2460</v>
      </c>
      <c r="Q10">
        <v>7812</v>
      </c>
      <c r="R10" t="s">
        <v>2460</v>
      </c>
      <c r="S10" t="s">
        <v>988</v>
      </c>
    </row>
    <row r="11" spans="1:19" hidden="1" x14ac:dyDescent="0.3">
      <c r="A11">
        <v>30</v>
      </c>
      <c r="B11" t="s">
        <v>1213</v>
      </c>
      <c r="C11" t="s">
        <v>2877</v>
      </c>
      <c r="D11" t="s">
        <v>159</v>
      </c>
      <c r="E11" t="s">
        <v>159</v>
      </c>
      <c r="F11">
        <v>5557</v>
      </c>
      <c r="G11" t="s">
        <v>2683</v>
      </c>
      <c r="H11" t="s">
        <v>2889</v>
      </c>
      <c r="I11">
        <v>3000</v>
      </c>
      <c r="J11" t="s">
        <v>2460</v>
      </c>
      <c r="K11">
        <v>3000</v>
      </c>
      <c r="L11" t="s">
        <v>2460</v>
      </c>
      <c r="M11">
        <v>3000</v>
      </c>
      <c r="N11" t="s">
        <v>2460</v>
      </c>
      <c r="O11">
        <v>3000</v>
      </c>
      <c r="P11" t="s">
        <v>2460</v>
      </c>
      <c r="Q11">
        <v>3000</v>
      </c>
      <c r="R11" t="s">
        <v>2460</v>
      </c>
      <c r="S11" t="s">
        <v>988</v>
      </c>
    </row>
    <row r="12" spans="1:19" hidden="1" x14ac:dyDescent="0.3">
      <c r="A12">
        <v>55</v>
      </c>
      <c r="B12" t="s">
        <v>1217</v>
      </c>
      <c r="C12" t="s">
        <v>2877</v>
      </c>
      <c r="D12" t="s">
        <v>1203</v>
      </c>
      <c r="E12" t="s">
        <v>1204</v>
      </c>
      <c r="F12">
        <v>5577</v>
      </c>
      <c r="G12" t="s">
        <v>2689</v>
      </c>
      <c r="H12" t="s">
        <v>2890</v>
      </c>
      <c r="I12">
        <v>17200</v>
      </c>
      <c r="J12" t="s">
        <v>2460</v>
      </c>
      <c r="K12">
        <v>17200</v>
      </c>
      <c r="L12" t="s">
        <v>2460</v>
      </c>
      <c r="M12">
        <v>17200</v>
      </c>
      <c r="N12" t="s">
        <v>2460</v>
      </c>
      <c r="O12">
        <v>17600</v>
      </c>
      <c r="P12" t="s">
        <v>2460</v>
      </c>
      <c r="Q12">
        <v>17600</v>
      </c>
      <c r="R12" t="s">
        <v>2460</v>
      </c>
      <c r="S12" t="s">
        <v>988</v>
      </c>
    </row>
    <row r="13" spans="1:19" hidden="1" x14ac:dyDescent="0.3">
      <c r="A13">
        <v>55</v>
      </c>
      <c r="B13" t="s">
        <v>1217</v>
      </c>
      <c r="C13" t="s">
        <v>2877</v>
      </c>
      <c r="D13" t="s">
        <v>1203</v>
      </c>
      <c r="E13" t="s">
        <v>1204</v>
      </c>
      <c r="F13">
        <v>5577</v>
      </c>
      <c r="G13" t="s">
        <v>2687</v>
      </c>
      <c r="H13" t="s">
        <v>2460</v>
      </c>
      <c r="I13">
        <v>1620</v>
      </c>
      <c r="J13" t="s">
        <v>2460</v>
      </c>
      <c r="K13">
        <v>1620</v>
      </c>
      <c r="L13" t="s">
        <v>2460</v>
      </c>
      <c r="M13">
        <v>1620</v>
      </c>
      <c r="N13" t="s">
        <v>2460</v>
      </c>
      <c r="O13">
        <v>1220</v>
      </c>
      <c r="P13" t="s">
        <v>2460</v>
      </c>
      <c r="Q13">
        <v>1220</v>
      </c>
      <c r="R13" t="s">
        <v>2460</v>
      </c>
      <c r="S13" t="s">
        <v>988</v>
      </c>
    </row>
    <row r="14" spans="1:19" hidden="1" x14ac:dyDescent="0.3">
      <c r="A14">
        <v>55</v>
      </c>
      <c r="B14" t="s">
        <v>1217</v>
      </c>
      <c r="C14" t="s">
        <v>2877</v>
      </c>
      <c r="D14" t="s">
        <v>1203</v>
      </c>
      <c r="E14" t="s">
        <v>1204</v>
      </c>
      <c r="F14">
        <v>5577</v>
      </c>
      <c r="G14" t="s">
        <v>2679</v>
      </c>
      <c r="H14" t="s">
        <v>2460</v>
      </c>
      <c r="I14">
        <v>983</v>
      </c>
      <c r="J14" t="s">
        <v>2460</v>
      </c>
      <c r="K14">
        <v>1222</v>
      </c>
      <c r="L14" t="s">
        <v>2460</v>
      </c>
      <c r="M14">
        <v>1230</v>
      </c>
      <c r="N14" t="s">
        <v>2460</v>
      </c>
      <c r="O14">
        <v>1237</v>
      </c>
      <c r="P14" t="s">
        <v>2460</v>
      </c>
      <c r="Q14">
        <v>1245</v>
      </c>
      <c r="R14" t="s">
        <v>2460</v>
      </c>
      <c r="S14" t="s">
        <v>988</v>
      </c>
    </row>
    <row r="15" spans="1:19" hidden="1" x14ac:dyDescent="0.3">
      <c r="A15">
        <v>64</v>
      </c>
      <c r="B15" t="s">
        <v>1220</v>
      </c>
      <c r="C15" t="s">
        <v>2877</v>
      </c>
      <c r="D15" t="s">
        <v>159</v>
      </c>
      <c r="E15" t="s">
        <v>159</v>
      </c>
      <c r="F15">
        <v>6851</v>
      </c>
      <c r="G15" t="s">
        <v>2683</v>
      </c>
      <c r="H15" t="s">
        <v>2891</v>
      </c>
      <c r="I15">
        <v>14000</v>
      </c>
      <c r="J15" t="s">
        <v>2460</v>
      </c>
      <c r="K15">
        <v>14000</v>
      </c>
      <c r="L15" t="s">
        <v>2460</v>
      </c>
      <c r="M15">
        <v>14000</v>
      </c>
      <c r="N15" t="s">
        <v>2460</v>
      </c>
      <c r="O15">
        <v>14000</v>
      </c>
      <c r="P15" t="s">
        <v>2460</v>
      </c>
      <c r="Q15">
        <v>14000</v>
      </c>
      <c r="R15" t="s">
        <v>2460</v>
      </c>
      <c r="S15" t="s">
        <v>988</v>
      </c>
    </row>
    <row r="16" spans="1:19" hidden="1" x14ac:dyDescent="0.3">
      <c r="A16">
        <v>64</v>
      </c>
      <c r="B16" t="s">
        <v>1220</v>
      </c>
      <c r="C16" t="s">
        <v>2877</v>
      </c>
      <c r="D16" t="s">
        <v>159</v>
      </c>
      <c r="E16" t="s">
        <v>159</v>
      </c>
      <c r="F16">
        <v>6851</v>
      </c>
      <c r="G16" t="s">
        <v>2679</v>
      </c>
      <c r="H16" t="s">
        <v>2892</v>
      </c>
      <c r="I16">
        <v>120</v>
      </c>
      <c r="J16" t="s">
        <v>2460</v>
      </c>
      <c r="K16">
        <v>120</v>
      </c>
      <c r="L16" t="s">
        <v>2460</v>
      </c>
      <c r="M16">
        <v>120</v>
      </c>
      <c r="N16" t="s">
        <v>2460</v>
      </c>
      <c r="O16">
        <v>120</v>
      </c>
      <c r="P16" t="s">
        <v>2460</v>
      </c>
      <c r="Q16">
        <v>120</v>
      </c>
      <c r="R16" t="s">
        <v>2460</v>
      </c>
      <c r="S16" t="s">
        <v>988</v>
      </c>
    </row>
    <row r="17" spans="1:19" hidden="1" x14ac:dyDescent="0.3">
      <c r="A17">
        <v>64</v>
      </c>
      <c r="B17" t="s">
        <v>1220</v>
      </c>
      <c r="C17" t="s">
        <v>2877</v>
      </c>
      <c r="D17" t="s">
        <v>159</v>
      </c>
      <c r="E17" t="s">
        <v>159</v>
      </c>
      <c r="F17">
        <v>6851</v>
      </c>
      <c r="G17" t="s">
        <v>2681</v>
      </c>
      <c r="H17" t="s">
        <v>2893</v>
      </c>
      <c r="I17">
        <v>48182</v>
      </c>
      <c r="J17" t="s">
        <v>2460</v>
      </c>
      <c r="K17">
        <v>51316</v>
      </c>
      <c r="L17" t="s">
        <v>2460</v>
      </c>
      <c r="M17">
        <v>52528</v>
      </c>
      <c r="N17" t="s">
        <v>2460</v>
      </c>
      <c r="O17">
        <v>53834</v>
      </c>
      <c r="P17" t="s">
        <v>2460</v>
      </c>
      <c r="Q17">
        <v>54298</v>
      </c>
      <c r="R17" t="s">
        <v>2460</v>
      </c>
      <c r="S17" t="s">
        <v>988</v>
      </c>
    </row>
    <row r="18" spans="1:19" hidden="1" x14ac:dyDescent="0.3">
      <c r="A18">
        <v>82</v>
      </c>
      <c r="B18" t="s">
        <v>1224</v>
      </c>
      <c r="C18" t="s">
        <v>2877</v>
      </c>
      <c r="D18" t="s">
        <v>159</v>
      </c>
      <c r="E18" t="s">
        <v>159</v>
      </c>
      <c r="F18">
        <v>6783</v>
      </c>
      <c r="G18" t="s">
        <v>2683</v>
      </c>
      <c r="H18" t="s">
        <v>2894</v>
      </c>
      <c r="I18">
        <v>12011.6270449</v>
      </c>
      <c r="J18" t="s">
        <v>2460</v>
      </c>
      <c r="K18">
        <v>12011.6270449</v>
      </c>
      <c r="L18" t="s">
        <v>2460</v>
      </c>
      <c r="M18">
        <v>12011.6270449</v>
      </c>
      <c r="N18" t="s">
        <v>2460</v>
      </c>
      <c r="O18">
        <v>12011.6270449</v>
      </c>
      <c r="P18" t="s">
        <v>2460</v>
      </c>
      <c r="Q18">
        <v>12011.6270449</v>
      </c>
      <c r="R18" t="s">
        <v>2460</v>
      </c>
      <c r="S18" t="s">
        <v>988</v>
      </c>
    </row>
    <row r="19" spans="1:19" hidden="1" x14ac:dyDescent="0.3">
      <c r="A19">
        <v>82</v>
      </c>
      <c r="B19" t="s">
        <v>1224</v>
      </c>
      <c r="C19" t="s">
        <v>2877</v>
      </c>
      <c r="D19" t="s">
        <v>159</v>
      </c>
      <c r="E19" t="s">
        <v>159</v>
      </c>
      <c r="F19">
        <v>6783</v>
      </c>
      <c r="G19" t="s">
        <v>2691</v>
      </c>
      <c r="H19" t="s">
        <v>2895</v>
      </c>
      <c r="I19">
        <v>8795.4325781000007</v>
      </c>
      <c r="J19" t="s">
        <v>2460</v>
      </c>
      <c r="K19">
        <v>8795.4325781000007</v>
      </c>
      <c r="L19" t="s">
        <v>2460</v>
      </c>
      <c r="M19">
        <v>8795.4325781000007</v>
      </c>
      <c r="N19" t="s">
        <v>2460</v>
      </c>
      <c r="O19">
        <v>8795.4325781000007</v>
      </c>
      <c r="P19" t="s">
        <v>2460</v>
      </c>
      <c r="Q19">
        <v>8795.4325781000007</v>
      </c>
      <c r="R19" t="s">
        <v>2460</v>
      </c>
      <c r="S19" t="s">
        <v>988</v>
      </c>
    </row>
    <row r="20" spans="1:19" hidden="1" x14ac:dyDescent="0.3">
      <c r="A20">
        <v>82</v>
      </c>
      <c r="B20" t="s">
        <v>1224</v>
      </c>
      <c r="C20" t="s">
        <v>2877</v>
      </c>
      <c r="D20" t="s">
        <v>159</v>
      </c>
      <c r="E20" t="s">
        <v>159</v>
      </c>
      <c r="F20">
        <v>6783</v>
      </c>
      <c r="G20" t="s">
        <v>2679</v>
      </c>
      <c r="H20" t="s">
        <v>2896</v>
      </c>
      <c r="I20">
        <v>239.37325229999999</v>
      </c>
      <c r="J20" t="s">
        <v>2460</v>
      </c>
      <c r="K20">
        <v>251.6488037</v>
      </c>
      <c r="L20" t="s">
        <v>2460</v>
      </c>
      <c r="M20">
        <v>263.92435510000001</v>
      </c>
      <c r="N20" t="s">
        <v>2460</v>
      </c>
      <c r="O20">
        <v>276.1999065</v>
      </c>
      <c r="P20" t="s">
        <v>2460</v>
      </c>
      <c r="Q20">
        <v>291.54434574999999</v>
      </c>
      <c r="R20" t="s">
        <v>2460</v>
      </c>
      <c r="S20" t="s">
        <v>988</v>
      </c>
    </row>
    <row r="21" spans="1:19" hidden="1" x14ac:dyDescent="0.3">
      <c r="A21">
        <v>87</v>
      </c>
      <c r="B21" t="s">
        <v>1228</v>
      </c>
      <c r="C21" t="s">
        <v>2877</v>
      </c>
      <c r="D21" t="s">
        <v>1203</v>
      </c>
      <c r="E21" t="s">
        <v>1204</v>
      </c>
      <c r="F21">
        <v>5448</v>
      </c>
      <c r="G21" t="s">
        <v>2681</v>
      </c>
      <c r="H21" t="s">
        <v>2897</v>
      </c>
      <c r="I21">
        <v>4590</v>
      </c>
      <c r="J21" t="s">
        <v>2460</v>
      </c>
      <c r="K21">
        <v>4590</v>
      </c>
      <c r="L21" t="s">
        <v>2460</v>
      </c>
      <c r="M21">
        <v>4590</v>
      </c>
      <c r="N21" t="s">
        <v>2460</v>
      </c>
      <c r="O21">
        <v>4590</v>
      </c>
      <c r="P21" t="s">
        <v>2460</v>
      </c>
      <c r="Q21">
        <v>4590</v>
      </c>
      <c r="R21" t="s">
        <v>2460</v>
      </c>
      <c r="S21" t="s">
        <v>988</v>
      </c>
    </row>
    <row r="22" spans="1:19" hidden="1" x14ac:dyDescent="0.3">
      <c r="A22">
        <v>87</v>
      </c>
      <c r="B22" t="s">
        <v>1228</v>
      </c>
      <c r="C22" t="s">
        <v>2877</v>
      </c>
      <c r="D22" t="s">
        <v>1203</v>
      </c>
      <c r="E22" t="s">
        <v>1204</v>
      </c>
      <c r="F22">
        <v>5448</v>
      </c>
      <c r="G22" t="s">
        <v>2681</v>
      </c>
      <c r="H22" t="s">
        <v>2898</v>
      </c>
      <c r="I22">
        <v>11256</v>
      </c>
      <c r="J22" t="s">
        <v>2460</v>
      </c>
      <c r="K22">
        <v>11876</v>
      </c>
      <c r="L22" t="s">
        <v>2460</v>
      </c>
      <c r="M22">
        <v>12530</v>
      </c>
      <c r="N22" t="s">
        <v>2460</v>
      </c>
      <c r="O22">
        <v>13220</v>
      </c>
      <c r="P22" t="s">
        <v>2460</v>
      </c>
      <c r="Q22">
        <v>13948</v>
      </c>
      <c r="R22" t="s">
        <v>2460</v>
      </c>
      <c r="S22" t="s">
        <v>988</v>
      </c>
    </row>
    <row r="23" spans="1:19" hidden="1" x14ac:dyDescent="0.3">
      <c r="A23">
        <v>93</v>
      </c>
      <c r="B23" t="s">
        <v>1231</v>
      </c>
      <c r="C23" t="s">
        <v>2877</v>
      </c>
      <c r="D23" t="s">
        <v>159</v>
      </c>
      <c r="E23" t="s">
        <v>159</v>
      </c>
      <c r="F23">
        <v>5447</v>
      </c>
      <c r="G23" t="s">
        <v>2681</v>
      </c>
      <c r="H23" t="s">
        <v>2888</v>
      </c>
      <c r="I23">
        <v>11201</v>
      </c>
      <c r="J23" t="s">
        <v>2460</v>
      </c>
      <c r="K23">
        <v>11408</v>
      </c>
      <c r="L23" t="s">
        <v>2460</v>
      </c>
      <c r="M23">
        <v>11619</v>
      </c>
      <c r="N23" t="s">
        <v>2460</v>
      </c>
      <c r="O23">
        <v>11834</v>
      </c>
      <c r="P23" t="s">
        <v>2460</v>
      </c>
      <c r="Q23">
        <v>12051</v>
      </c>
      <c r="R23" t="s">
        <v>2460</v>
      </c>
      <c r="S23" t="s">
        <v>988</v>
      </c>
    </row>
    <row r="24" spans="1:19" hidden="1" x14ac:dyDescent="0.3">
      <c r="A24">
        <v>93</v>
      </c>
      <c r="B24" t="s">
        <v>1231</v>
      </c>
      <c r="C24" t="s">
        <v>2877</v>
      </c>
      <c r="D24" t="s">
        <v>159</v>
      </c>
      <c r="E24" t="s">
        <v>159</v>
      </c>
      <c r="F24">
        <v>5447</v>
      </c>
      <c r="G24" t="s">
        <v>2681</v>
      </c>
      <c r="H24" t="s">
        <v>2899</v>
      </c>
      <c r="I24">
        <v>3400</v>
      </c>
      <c r="J24" t="s">
        <v>2460</v>
      </c>
      <c r="K24">
        <v>3400</v>
      </c>
      <c r="L24" t="s">
        <v>2460</v>
      </c>
      <c r="M24">
        <v>3400</v>
      </c>
      <c r="N24" t="s">
        <v>2460</v>
      </c>
      <c r="O24">
        <v>3400</v>
      </c>
      <c r="P24" t="s">
        <v>2460</v>
      </c>
      <c r="Q24">
        <v>3400</v>
      </c>
      <c r="R24" t="s">
        <v>2460</v>
      </c>
      <c r="S24" t="s">
        <v>988</v>
      </c>
    </row>
    <row r="25" spans="1:19" hidden="1" x14ac:dyDescent="0.3">
      <c r="A25">
        <v>94</v>
      </c>
      <c r="B25" t="s">
        <v>1232</v>
      </c>
      <c r="C25" t="s">
        <v>2877</v>
      </c>
      <c r="D25" t="s">
        <v>159</v>
      </c>
      <c r="E25" t="s">
        <v>159</v>
      </c>
      <c r="F25">
        <v>7274</v>
      </c>
      <c r="G25" t="s">
        <v>2683</v>
      </c>
      <c r="H25" t="s">
        <v>2460</v>
      </c>
      <c r="I25">
        <v>3639.7009901000001</v>
      </c>
      <c r="J25" t="s">
        <v>2900</v>
      </c>
      <c r="K25">
        <v>3639.7009901000001</v>
      </c>
      <c r="L25" t="s">
        <v>2900</v>
      </c>
      <c r="M25">
        <v>3639.7009901000001</v>
      </c>
      <c r="N25" t="s">
        <v>2900</v>
      </c>
      <c r="O25">
        <v>3639.7009901000001</v>
      </c>
      <c r="P25" t="s">
        <v>2900</v>
      </c>
      <c r="Q25">
        <v>3639.7009901000001</v>
      </c>
      <c r="R25" t="s">
        <v>2900</v>
      </c>
      <c r="S25" t="s">
        <v>988</v>
      </c>
    </row>
    <row r="26" spans="1:19" hidden="1" x14ac:dyDescent="0.3">
      <c r="A26">
        <v>94</v>
      </c>
      <c r="B26" t="s">
        <v>1232</v>
      </c>
      <c r="C26" t="s">
        <v>2877</v>
      </c>
      <c r="D26" t="s">
        <v>159</v>
      </c>
      <c r="E26" t="s">
        <v>159</v>
      </c>
      <c r="F26">
        <v>7274</v>
      </c>
      <c r="G26" t="s">
        <v>2681</v>
      </c>
      <c r="H26" t="s">
        <v>2460</v>
      </c>
      <c r="I26">
        <v>561.60647655000002</v>
      </c>
      <c r="J26" t="s">
        <v>2901</v>
      </c>
      <c r="K26">
        <v>561.60647655000002</v>
      </c>
      <c r="L26" t="s">
        <v>2901</v>
      </c>
      <c r="M26">
        <v>561.60647655000002</v>
      </c>
      <c r="N26" t="s">
        <v>2901</v>
      </c>
      <c r="O26">
        <v>561.60647655000002</v>
      </c>
      <c r="P26" t="s">
        <v>2901</v>
      </c>
      <c r="Q26">
        <v>561.60647655000002</v>
      </c>
      <c r="R26" t="s">
        <v>2901</v>
      </c>
      <c r="S26" t="s">
        <v>988</v>
      </c>
    </row>
    <row r="27" spans="1:19" hidden="1" x14ac:dyDescent="0.3">
      <c r="A27">
        <v>102</v>
      </c>
      <c r="B27" t="s">
        <v>1237</v>
      </c>
      <c r="C27" t="s">
        <v>2877</v>
      </c>
      <c r="D27" t="s">
        <v>1203</v>
      </c>
      <c r="E27" t="s">
        <v>1204</v>
      </c>
      <c r="F27">
        <v>5765</v>
      </c>
      <c r="G27" t="s">
        <v>2681</v>
      </c>
      <c r="H27" t="s">
        <v>2460</v>
      </c>
      <c r="I27">
        <v>3243.8144574500002</v>
      </c>
      <c r="J27" t="s">
        <v>2460</v>
      </c>
      <c r="K27">
        <v>3378.8455228500002</v>
      </c>
      <c r="L27" t="s">
        <v>2460</v>
      </c>
      <c r="M27">
        <v>3520.0143639500002</v>
      </c>
      <c r="N27" t="s">
        <v>2460</v>
      </c>
      <c r="O27">
        <v>3661.1832050500002</v>
      </c>
      <c r="P27" t="s">
        <v>2460</v>
      </c>
      <c r="R27" t="s">
        <v>2460</v>
      </c>
      <c r="S27" t="s">
        <v>988</v>
      </c>
    </row>
    <row r="28" spans="1:19" hidden="1" x14ac:dyDescent="0.3">
      <c r="A28">
        <v>107</v>
      </c>
      <c r="B28" t="s">
        <v>1238</v>
      </c>
      <c r="C28" t="s">
        <v>2877</v>
      </c>
      <c r="D28" t="s">
        <v>159</v>
      </c>
      <c r="E28" t="s">
        <v>159</v>
      </c>
      <c r="F28">
        <v>7175</v>
      </c>
      <c r="G28" t="s">
        <v>2681</v>
      </c>
      <c r="H28" t="s">
        <v>2902</v>
      </c>
      <c r="I28">
        <v>3096.5078406500002</v>
      </c>
      <c r="J28" t="s">
        <v>2460</v>
      </c>
      <c r="K28">
        <v>3277.5722237999998</v>
      </c>
      <c r="L28" t="s">
        <v>2460</v>
      </c>
      <c r="M28">
        <v>3403.3966256499998</v>
      </c>
      <c r="N28" t="s">
        <v>2460</v>
      </c>
      <c r="O28">
        <v>3535.3588031999998</v>
      </c>
      <c r="P28" t="s">
        <v>2460</v>
      </c>
      <c r="Q28">
        <v>3676.5276442999998</v>
      </c>
      <c r="R28" t="s">
        <v>2460</v>
      </c>
      <c r="S28" t="s">
        <v>988</v>
      </c>
    </row>
    <row r="29" spans="1:19" hidden="1" x14ac:dyDescent="0.3">
      <c r="A29">
        <v>107</v>
      </c>
      <c r="B29" t="s">
        <v>1238</v>
      </c>
      <c r="C29" t="s">
        <v>2877</v>
      </c>
      <c r="D29" t="s">
        <v>159</v>
      </c>
      <c r="E29" t="s">
        <v>159</v>
      </c>
      <c r="F29">
        <v>7175</v>
      </c>
      <c r="G29" t="s">
        <v>2681</v>
      </c>
      <c r="H29" t="s">
        <v>2903</v>
      </c>
      <c r="I29">
        <v>2430.5591771999998</v>
      </c>
      <c r="J29" t="s">
        <v>2460</v>
      </c>
      <c r="K29">
        <v>2577.8657939999998</v>
      </c>
      <c r="L29" t="s">
        <v>2460</v>
      </c>
      <c r="M29">
        <v>2673.0013173500001</v>
      </c>
      <c r="N29" t="s">
        <v>2460</v>
      </c>
      <c r="O29">
        <v>2780.4123921</v>
      </c>
      <c r="P29" t="s">
        <v>2460</v>
      </c>
      <c r="Q29">
        <v>2890.8923546999999</v>
      </c>
      <c r="R29" t="s">
        <v>2460</v>
      </c>
      <c r="S29" t="s">
        <v>988</v>
      </c>
    </row>
    <row r="30" spans="1:19" hidden="1" x14ac:dyDescent="0.3">
      <c r="A30">
        <v>110</v>
      </c>
      <c r="B30" t="s">
        <v>1239</v>
      </c>
      <c r="C30" t="s">
        <v>2877</v>
      </c>
      <c r="D30" t="s">
        <v>1203</v>
      </c>
      <c r="E30" t="s">
        <v>1204</v>
      </c>
      <c r="F30">
        <v>7792</v>
      </c>
      <c r="G30" t="s">
        <v>2681</v>
      </c>
      <c r="H30" t="s">
        <v>2904</v>
      </c>
      <c r="I30">
        <v>9642</v>
      </c>
      <c r="J30" t="s">
        <v>2460</v>
      </c>
      <c r="K30">
        <v>10324</v>
      </c>
      <c r="L30" t="s">
        <v>2460</v>
      </c>
      <c r="M30">
        <v>11056</v>
      </c>
      <c r="N30" t="s">
        <v>2460</v>
      </c>
      <c r="O30">
        <v>11838</v>
      </c>
      <c r="P30" t="s">
        <v>2460</v>
      </c>
      <c r="R30" t="s">
        <v>2460</v>
      </c>
      <c r="S30" t="s">
        <v>988</v>
      </c>
    </row>
    <row r="31" spans="1:19" hidden="1" x14ac:dyDescent="0.3">
      <c r="A31">
        <v>117</v>
      </c>
      <c r="B31" t="s">
        <v>1240</v>
      </c>
      <c r="C31" t="s">
        <v>2877</v>
      </c>
      <c r="D31" t="s">
        <v>159</v>
      </c>
      <c r="E31" t="s">
        <v>159</v>
      </c>
      <c r="F31">
        <v>7816</v>
      </c>
      <c r="G31" t="s">
        <v>2681</v>
      </c>
      <c r="H31" t="s">
        <v>2905</v>
      </c>
      <c r="I31">
        <v>24350</v>
      </c>
      <c r="J31" t="s">
        <v>2906</v>
      </c>
      <c r="K31">
        <v>24350</v>
      </c>
      <c r="L31" t="s">
        <v>2906</v>
      </c>
      <c r="M31">
        <v>24350</v>
      </c>
      <c r="N31" t="s">
        <v>2906</v>
      </c>
      <c r="O31">
        <v>24350</v>
      </c>
      <c r="P31" t="s">
        <v>2906</v>
      </c>
      <c r="Q31">
        <v>24350</v>
      </c>
      <c r="R31" t="s">
        <v>2906</v>
      </c>
      <c r="S31" t="s">
        <v>988</v>
      </c>
    </row>
    <row r="32" spans="1:19" hidden="1" x14ac:dyDescent="0.3">
      <c r="A32">
        <v>117</v>
      </c>
      <c r="B32" t="s">
        <v>1240</v>
      </c>
      <c r="C32" t="s">
        <v>2877</v>
      </c>
      <c r="D32" t="s">
        <v>159</v>
      </c>
      <c r="E32" t="s">
        <v>159</v>
      </c>
      <c r="F32">
        <v>7816</v>
      </c>
      <c r="G32" t="s">
        <v>2691</v>
      </c>
      <c r="H32" t="s">
        <v>2907</v>
      </c>
      <c r="I32">
        <v>10100</v>
      </c>
      <c r="J32" t="s">
        <v>2908</v>
      </c>
      <c r="K32">
        <v>10100</v>
      </c>
      <c r="L32" t="s">
        <v>2908</v>
      </c>
      <c r="M32">
        <v>10100</v>
      </c>
      <c r="N32" t="s">
        <v>2908</v>
      </c>
      <c r="O32">
        <v>10100</v>
      </c>
      <c r="P32" t="s">
        <v>2908</v>
      </c>
      <c r="Q32">
        <v>10100</v>
      </c>
      <c r="R32" t="s">
        <v>2908</v>
      </c>
      <c r="S32" t="s">
        <v>988</v>
      </c>
    </row>
    <row r="33" spans="1:19" hidden="1" x14ac:dyDescent="0.3">
      <c r="A33">
        <v>117</v>
      </c>
      <c r="B33" t="s">
        <v>1240</v>
      </c>
      <c r="C33" t="s">
        <v>2877</v>
      </c>
      <c r="D33" t="s">
        <v>159</v>
      </c>
      <c r="E33" t="s">
        <v>159</v>
      </c>
      <c r="F33">
        <v>7816</v>
      </c>
      <c r="G33" t="s">
        <v>2683</v>
      </c>
      <c r="H33" t="s">
        <v>2909</v>
      </c>
      <c r="I33">
        <v>4000</v>
      </c>
      <c r="J33" t="s">
        <v>2910</v>
      </c>
      <c r="K33">
        <v>4000</v>
      </c>
      <c r="L33" t="s">
        <v>2910</v>
      </c>
      <c r="M33">
        <v>4000</v>
      </c>
      <c r="N33" t="s">
        <v>2910</v>
      </c>
      <c r="O33">
        <v>4000</v>
      </c>
      <c r="P33" t="s">
        <v>2910</v>
      </c>
      <c r="Q33">
        <v>4000</v>
      </c>
      <c r="R33" t="s">
        <v>2910</v>
      </c>
      <c r="S33" t="s">
        <v>988</v>
      </c>
    </row>
    <row r="34" spans="1:19" hidden="1" x14ac:dyDescent="0.3">
      <c r="A34">
        <v>123</v>
      </c>
      <c r="B34" t="s">
        <v>1242</v>
      </c>
      <c r="C34" t="s">
        <v>2877</v>
      </c>
      <c r="D34" t="s">
        <v>1203</v>
      </c>
      <c r="E34" t="s">
        <v>1204</v>
      </c>
      <c r="F34">
        <v>5757</v>
      </c>
      <c r="G34" t="s">
        <v>2681</v>
      </c>
      <c r="H34" t="s">
        <v>2911</v>
      </c>
      <c r="I34">
        <v>39190</v>
      </c>
      <c r="J34" t="s">
        <v>2460</v>
      </c>
      <c r="K34">
        <v>43873</v>
      </c>
      <c r="L34" t="s">
        <v>2460</v>
      </c>
      <c r="M34">
        <v>48991</v>
      </c>
      <c r="N34" t="s">
        <v>2460</v>
      </c>
      <c r="O34">
        <v>54589</v>
      </c>
      <c r="P34" t="s">
        <v>2460</v>
      </c>
      <c r="R34" t="s">
        <v>2460</v>
      </c>
      <c r="S34" t="s">
        <v>988</v>
      </c>
    </row>
    <row r="35" spans="1:19" hidden="1" x14ac:dyDescent="0.3">
      <c r="A35">
        <v>123</v>
      </c>
      <c r="B35" t="s">
        <v>1242</v>
      </c>
      <c r="C35" t="s">
        <v>2877</v>
      </c>
      <c r="D35" t="s">
        <v>1203</v>
      </c>
      <c r="E35" t="s">
        <v>1204</v>
      </c>
      <c r="F35">
        <v>5757</v>
      </c>
      <c r="G35" t="s">
        <v>2679</v>
      </c>
      <c r="H35" t="s">
        <v>2912</v>
      </c>
      <c r="I35">
        <v>2240</v>
      </c>
      <c r="J35" t="s">
        <v>2460</v>
      </c>
      <c r="K35">
        <v>8961</v>
      </c>
      <c r="L35" t="s">
        <v>2460</v>
      </c>
      <c r="M35">
        <v>8961</v>
      </c>
      <c r="N35" t="s">
        <v>2460</v>
      </c>
      <c r="O35">
        <v>8961</v>
      </c>
      <c r="P35" t="s">
        <v>2460</v>
      </c>
      <c r="R35" t="s">
        <v>2460</v>
      </c>
      <c r="S35" t="s">
        <v>988</v>
      </c>
    </row>
    <row r="36" spans="1:19" hidden="1" x14ac:dyDescent="0.3">
      <c r="A36">
        <v>123</v>
      </c>
      <c r="B36" t="s">
        <v>1242</v>
      </c>
      <c r="C36" t="s">
        <v>2877</v>
      </c>
      <c r="D36" t="s">
        <v>1203</v>
      </c>
      <c r="E36" t="s">
        <v>1204</v>
      </c>
      <c r="F36">
        <v>5757</v>
      </c>
      <c r="G36" t="s">
        <v>2691</v>
      </c>
      <c r="H36" t="s">
        <v>2123</v>
      </c>
      <c r="I36">
        <v>6500</v>
      </c>
      <c r="J36" t="s">
        <v>2460</v>
      </c>
      <c r="K36">
        <v>6500</v>
      </c>
      <c r="L36" t="s">
        <v>2460</v>
      </c>
      <c r="M36">
        <v>6500</v>
      </c>
      <c r="N36" t="s">
        <v>2460</v>
      </c>
      <c r="O36">
        <v>6500</v>
      </c>
      <c r="P36" t="s">
        <v>2460</v>
      </c>
      <c r="R36" t="s">
        <v>2460</v>
      </c>
      <c r="S36" t="s">
        <v>988</v>
      </c>
    </row>
    <row r="37" spans="1:19" hidden="1" x14ac:dyDescent="0.3">
      <c r="A37">
        <v>123</v>
      </c>
      <c r="B37" t="s">
        <v>1242</v>
      </c>
      <c r="C37" t="s">
        <v>2877</v>
      </c>
      <c r="D37" t="s">
        <v>1203</v>
      </c>
      <c r="E37" t="s">
        <v>1204</v>
      </c>
      <c r="F37">
        <v>5757</v>
      </c>
      <c r="G37" t="s">
        <v>2691</v>
      </c>
      <c r="H37" t="s">
        <v>2122</v>
      </c>
      <c r="I37">
        <v>4500</v>
      </c>
      <c r="J37" t="s">
        <v>2460</v>
      </c>
      <c r="K37">
        <v>4500</v>
      </c>
      <c r="L37" t="s">
        <v>2460</v>
      </c>
      <c r="M37">
        <v>4500</v>
      </c>
      <c r="N37" t="s">
        <v>2460</v>
      </c>
      <c r="O37">
        <v>4500</v>
      </c>
      <c r="P37" t="s">
        <v>2460</v>
      </c>
      <c r="R37" t="s">
        <v>2460</v>
      </c>
      <c r="S37" t="s">
        <v>988</v>
      </c>
    </row>
    <row r="38" spans="1:19" hidden="1" x14ac:dyDescent="0.3">
      <c r="A38">
        <v>124</v>
      </c>
      <c r="B38" t="s">
        <v>1246</v>
      </c>
      <c r="C38" t="s">
        <v>2877</v>
      </c>
      <c r="D38" t="s">
        <v>1203</v>
      </c>
      <c r="E38" t="s">
        <v>1204</v>
      </c>
      <c r="F38">
        <v>6589</v>
      </c>
      <c r="G38" t="s">
        <v>2681</v>
      </c>
      <c r="H38" t="s">
        <v>2913</v>
      </c>
      <c r="I38">
        <v>3722.5609620499999</v>
      </c>
      <c r="J38" t="s">
        <v>2460</v>
      </c>
      <c r="K38">
        <v>3596.7365602</v>
      </c>
      <c r="L38" t="s">
        <v>2460</v>
      </c>
      <c r="M38">
        <v>3811.5587096999998</v>
      </c>
      <c r="N38" t="s">
        <v>2460</v>
      </c>
      <c r="O38">
        <v>4029.44974705</v>
      </c>
      <c r="P38" t="s">
        <v>2460</v>
      </c>
      <c r="R38" t="s">
        <v>2460</v>
      </c>
      <c r="S38" t="s">
        <v>988</v>
      </c>
    </row>
    <row r="39" spans="1:19" hidden="1" x14ac:dyDescent="0.3">
      <c r="A39">
        <v>129</v>
      </c>
      <c r="B39" t="s">
        <v>1250</v>
      </c>
      <c r="C39" t="s">
        <v>2877</v>
      </c>
      <c r="D39" t="s">
        <v>159</v>
      </c>
      <c r="E39" t="s">
        <v>159</v>
      </c>
      <c r="F39">
        <v>7821</v>
      </c>
      <c r="G39" t="s">
        <v>2681</v>
      </c>
      <c r="H39" t="s">
        <v>2914</v>
      </c>
      <c r="I39">
        <v>3679</v>
      </c>
      <c r="J39" t="s">
        <v>2915</v>
      </c>
      <c r="K39">
        <v>3730</v>
      </c>
      <c r="L39" t="s">
        <v>2915</v>
      </c>
      <c r="M39">
        <v>3730</v>
      </c>
      <c r="N39" t="s">
        <v>2915</v>
      </c>
      <c r="O39">
        <v>3730</v>
      </c>
      <c r="P39" t="s">
        <v>2915</v>
      </c>
      <c r="Q39">
        <v>3730</v>
      </c>
      <c r="R39" t="s">
        <v>2915</v>
      </c>
      <c r="S39" t="s">
        <v>988</v>
      </c>
    </row>
    <row r="40" spans="1:19" hidden="1" x14ac:dyDescent="0.3">
      <c r="A40">
        <v>129</v>
      </c>
      <c r="B40" t="s">
        <v>1250</v>
      </c>
      <c r="C40" t="s">
        <v>2877</v>
      </c>
      <c r="D40" t="s">
        <v>159</v>
      </c>
      <c r="E40" t="s">
        <v>159</v>
      </c>
      <c r="F40">
        <v>7821</v>
      </c>
      <c r="G40" t="s">
        <v>687</v>
      </c>
      <c r="H40" t="s">
        <v>2916</v>
      </c>
      <c r="I40">
        <v>45534</v>
      </c>
      <c r="J40" t="s">
        <v>2460</v>
      </c>
      <c r="K40">
        <v>40080</v>
      </c>
      <c r="L40" t="s">
        <v>2460</v>
      </c>
      <c r="M40">
        <v>28824</v>
      </c>
      <c r="N40" t="s">
        <v>2460</v>
      </c>
      <c r="O40">
        <v>16213</v>
      </c>
      <c r="P40" t="s">
        <v>2460</v>
      </c>
      <c r="Q40">
        <v>2640</v>
      </c>
      <c r="R40" t="s">
        <v>2460</v>
      </c>
      <c r="S40" t="s">
        <v>988</v>
      </c>
    </row>
    <row r="41" spans="1:19" hidden="1" x14ac:dyDescent="0.3">
      <c r="A41">
        <v>129</v>
      </c>
      <c r="B41" t="s">
        <v>1250</v>
      </c>
      <c r="C41" t="s">
        <v>2877</v>
      </c>
      <c r="D41" t="s">
        <v>159</v>
      </c>
      <c r="E41" t="s">
        <v>159</v>
      </c>
      <c r="F41">
        <v>7821</v>
      </c>
      <c r="G41" t="s">
        <v>2681</v>
      </c>
      <c r="H41" t="s">
        <v>2917</v>
      </c>
      <c r="I41">
        <v>1430</v>
      </c>
      <c r="J41" t="s">
        <v>2918</v>
      </c>
      <c r="K41">
        <v>1430</v>
      </c>
      <c r="L41" t="s">
        <v>2918</v>
      </c>
      <c r="M41">
        <v>1430</v>
      </c>
      <c r="N41" t="s">
        <v>2918</v>
      </c>
      <c r="O41">
        <v>1430</v>
      </c>
      <c r="P41" t="s">
        <v>2918</v>
      </c>
      <c r="Q41">
        <v>1430</v>
      </c>
      <c r="R41" t="s">
        <v>2918</v>
      </c>
      <c r="S41" t="s">
        <v>988</v>
      </c>
    </row>
    <row r="42" spans="1:19" hidden="1" x14ac:dyDescent="0.3">
      <c r="A42">
        <v>129</v>
      </c>
      <c r="B42" t="s">
        <v>1250</v>
      </c>
      <c r="C42" t="s">
        <v>2877</v>
      </c>
      <c r="D42" t="s">
        <v>159</v>
      </c>
      <c r="E42" t="s">
        <v>159</v>
      </c>
      <c r="F42">
        <v>7821</v>
      </c>
      <c r="G42" t="s">
        <v>2683</v>
      </c>
      <c r="H42" t="s">
        <v>2919</v>
      </c>
      <c r="I42">
        <v>250</v>
      </c>
      <c r="J42" t="s">
        <v>2920</v>
      </c>
      <c r="K42">
        <v>500</v>
      </c>
      <c r="L42" t="s">
        <v>2920</v>
      </c>
      <c r="M42">
        <v>1000</v>
      </c>
      <c r="N42" t="s">
        <v>2920</v>
      </c>
      <c r="O42">
        <v>1750</v>
      </c>
      <c r="P42" t="s">
        <v>2920</v>
      </c>
      <c r="Q42">
        <v>2500</v>
      </c>
      <c r="R42" t="s">
        <v>2920</v>
      </c>
      <c r="S42" t="s">
        <v>988</v>
      </c>
    </row>
    <row r="43" spans="1:19" hidden="1" x14ac:dyDescent="0.3">
      <c r="A43">
        <v>129</v>
      </c>
      <c r="B43" t="s">
        <v>1250</v>
      </c>
      <c r="C43" t="s">
        <v>2877</v>
      </c>
      <c r="D43" t="s">
        <v>159</v>
      </c>
      <c r="E43" t="s">
        <v>159</v>
      </c>
      <c r="F43">
        <v>7821</v>
      </c>
      <c r="G43" t="s">
        <v>2681</v>
      </c>
      <c r="H43" t="s">
        <v>2921</v>
      </c>
      <c r="I43">
        <v>1055</v>
      </c>
      <c r="J43" t="s">
        <v>2922</v>
      </c>
      <c r="K43">
        <v>1187</v>
      </c>
      <c r="L43" t="s">
        <v>2922</v>
      </c>
      <c r="M43">
        <v>1304</v>
      </c>
      <c r="N43" t="s">
        <v>2922</v>
      </c>
      <c r="O43">
        <v>1330</v>
      </c>
      <c r="P43" t="s">
        <v>2922</v>
      </c>
      <c r="Q43">
        <v>1330</v>
      </c>
      <c r="R43" t="s">
        <v>2922</v>
      </c>
      <c r="S43" t="s">
        <v>988</v>
      </c>
    </row>
    <row r="44" spans="1:19" hidden="1" x14ac:dyDescent="0.3">
      <c r="A44">
        <v>129</v>
      </c>
      <c r="B44" t="s">
        <v>1250</v>
      </c>
      <c r="C44" t="s">
        <v>2877</v>
      </c>
      <c r="D44" t="s">
        <v>159</v>
      </c>
      <c r="E44" t="s">
        <v>159</v>
      </c>
      <c r="F44">
        <v>7821</v>
      </c>
      <c r="G44" t="s">
        <v>2685</v>
      </c>
      <c r="H44" t="s">
        <v>2923</v>
      </c>
      <c r="I44">
        <v>999</v>
      </c>
      <c r="J44" t="s">
        <v>2924</v>
      </c>
      <c r="K44">
        <v>2126</v>
      </c>
      <c r="L44" t="s">
        <v>2925</v>
      </c>
      <c r="M44">
        <v>3156</v>
      </c>
      <c r="N44" t="s">
        <v>2926</v>
      </c>
      <c r="O44">
        <v>4128</v>
      </c>
      <c r="P44" t="s">
        <v>2927</v>
      </c>
      <c r="Q44">
        <v>4991</v>
      </c>
      <c r="R44" t="s">
        <v>2928</v>
      </c>
      <c r="S44" t="s">
        <v>988</v>
      </c>
    </row>
    <row r="45" spans="1:19" hidden="1" x14ac:dyDescent="0.3">
      <c r="A45">
        <v>129</v>
      </c>
      <c r="B45" t="s">
        <v>1250</v>
      </c>
      <c r="C45" t="s">
        <v>2877</v>
      </c>
      <c r="D45" t="s">
        <v>159</v>
      </c>
      <c r="E45" t="s">
        <v>159</v>
      </c>
      <c r="F45">
        <v>7821</v>
      </c>
      <c r="G45" t="s">
        <v>2679</v>
      </c>
      <c r="H45" t="s">
        <v>2460</v>
      </c>
      <c r="I45">
        <v>1067</v>
      </c>
      <c r="J45" t="s">
        <v>2929</v>
      </c>
      <c r="K45">
        <v>1107</v>
      </c>
      <c r="L45" t="s">
        <v>2930</v>
      </c>
      <c r="M45">
        <v>2491</v>
      </c>
      <c r="N45" t="s">
        <v>2931</v>
      </c>
      <c r="O45">
        <v>2491</v>
      </c>
      <c r="P45" t="s">
        <v>2932</v>
      </c>
      <c r="Q45">
        <v>2491</v>
      </c>
      <c r="R45" t="s">
        <v>2933</v>
      </c>
      <c r="S45" t="s">
        <v>988</v>
      </c>
    </row>
    <row r="46" spans="1:19" hidden="1" x14ac:dyDescent="0.3">
      <c r="A46">
        <v>129</v>
      </c>
      <c r="B46" t="s">
        <v>1250</v>
      </c>
      <c r="C46" t="s">
        <v>2877</v>
      </c>
      <c r="D46" t="s">
        <v>159</v>
      </c>
      <c r="E46" t="s">
        <v>159</v>
      </c>
      <c r="F46">
        <v>7821</v>
      </c>
      <c r="G46" t="s">
        <v>2681</v>
      </c>
      <c r="H46" t="s">
        <v>2934</v>
      </c>
      <c r="I46">
        <v>1491</v>
      </c>
      <c r="J46" t="s">
        <v>2935</v>
      </c>
      <c r="K46">
        <v>1267</v>
      </c>
      <c r="L46" t="s">
        <v>2935</v>
      </c>
      <c r="M46">
        <v>1077</v>
      </c>
      <c r="N46" t="s">
        <v>2935</v>
      </c>
      <c r="O46">
        <v>916</v>
      </c>
      <c r="P46" t="s">
        <v>2935</v>
      </c>
      <c r="Q46">
        <v>778</v>
      </c>
      <c r="R46" t="s">
        <v>2935</v>
      </c>
      <c r="S46" t="s">
        <v>988</v>
      </c>
    </row>
    <row r="47" spans="1:19" hidden="1" x14ac:dyDescent="0.3">
      <c r="A47">
        <v>129</v>
      </c>
      <c r="B47" t="s">
        <v>1250</v>
      </c>
      <c r="C47" t="s">
        <v>2877</v>
      </c>
      <c r="D47" t="s">
        <v>159</v>
      </c>
      <c r="E47" t="s">
        <v>159</v>
      </c>
      <c r="F47">
        <v>7821</v>
      </c>
      <c r="G47" t="s">
        <v>2681</v>
      </c>
      <c r="H47" t="s">
        <v>2936</v>
      </c>
      <c r="I47">
        <v>853</v>
      </c>
      <c r="J47" t="s">
        <v>2460</v>
      </c>
      <c r="K47">
        <v>960</v>
      </c>
      <c r="L47" t="s">
        <v>2460</v>
      </c>
      <c r="M47">
        <v>1054</v>
      </c>
      <c r="N47" t="s">
        <v>2460</v>
      </c>
      <c r="O47">
        <v>1136</v>
      </c>
      <c r="P47" t="s">
        <v>2460</v>
      </c>
      <c r="Q47">
        <v>1208</v>
      </c>
      <c r="R47" t="s">
        <v>2460</v>
      </c>
      <c r="S47" t="s">
        <v>988</v>
      </c>
    </row>
    <row r="48" spans="1:19" hidden="1" x14ac:dyDescent="0.3">
      <c r="A48">
        <v>159</v>
      </c>
      <c r="B48" t="s">
        <v>1251</v>
      </c>
      <c r="C48" t="s">
        <v>2877</v>
      </c>
      <c r="D48" t="s">
        <v>1203</v>
      </c>
      <c r="E48" t="s">
        <v>1204</v>
      </c>
      <c r="F48">
        <v>6161</v>
      </c>
      <c r="G48" t="s">
        <v>2681</v>
      </c>
      <c r="H48" t="s">
        <v>2937</v>
      </c>
      <c r="I48">
        <v>471</v>
      </c>
      <c r="J48" t="s">
        <v>2460</v>
      </c>
      <c r="K48">
        <v>547</v>
      </c>
      <c r="L48" t="s">
        <v>2460</v>
      </c>
      <c r="M48">
        <v>1387</v>
      </c>
      <c r="N48" t="s">
        <v>2460</v>
      </c>
      <c r="O48">
        <v>1542</v>
      </c>
      <c r="P48" t="s">
        <v>2460</v>
      </c>
      <c r="Q48">
        <v>1542</v>
      </c>
      <c r="R48" t="s">
        <v>2460</v>
      </c>
      <c r="S48" t="s">
        <v>988</v>
      </c>
    </row>
    <row r="49" spans="1:19" hidden="1" x14ac:dyDescent="0.3">
      <c r="A49">
        <v>159</v>
      </c>
      <c r="B49" t="s">
        <v>1251</v>
      </c>
      <c r="C49" t="s">
        <v>2877</v>
      </c>
      <c r="D49" t="s">
        <v>1203</v>
      </c>
      <c r="E49" t="s">
        <v>1204</v>
      </c>
      <c r="F49">
        <v>6161</v>
      </c>
      <c r="G49" t="s">
        <v>2681</v>
      </c>
      <c r="H49" t="s">
        <v>2938</v>
      </c>
      <c r="I49">
        <v>2070</v>
      </c>
      <c r="J49" t="s">
        <v>2939</v>
      </c>
      <c r="K49">
        <v>2070</v>
      </c>
      <c r="L49" t="s">
        <v>2939</v>
      </c>
      <c r="M49">
        <v>2070</v>
      </c>
      <c r="N49" t="s">
        <v>2939</v>
      </c>
      <c r="O49">
        <v>2070</v>
      </c>
      <c r="P49" t="s">
        <v>2939</v>
      </c>
      <c r="Q49">
        <v>2070</v>
      </c>
      <c r="R49" t="s">
        <v>2939</v>
      </c>
      <c r="S49" t="s">
        <v>988</v>
      </c>
    </row>
    <row r="50" spans="1:19" hidden="1" x14ac:dyDescent="0.3">
      <c r="A50">
        <v>159</v>
      </c>
      <c r="B50" t="s">
        <v>1251</v>
      </c>
      <c r="C50" t="s">
        <v>2877</v>
      </c>
      <c r="D50" t="s">
        <v>1203</v>
      </c>
      <c r="E50" t="s">
        <v>1204</v>
      </c>
      <c r="F50">
        <v>6161</v>
      </c>
      <c r="G50" t="s">
        <v>2681</v>
      </c>
      <c r="H50" t="s">
        <v>2940</v>
      </c>
      <c r="I50">
        <v>280</v>
      </c>
      <c r="J50" t="s">
        <v>2460</v>
      </c>
      <c r="K50">
        <v>514</v>
      </c>
      <c r="L50" t="s">
        <v>2460</v>
      </c>
      <c r="M50">
        <v>868</v>
      </c>
      <c r="N50" t="s">
        <v>2460</v>
      </c>
      <c r="O50">
        <v>922</v>
      </c>
      <c r="P50" t="s">
        <v>2460</v>
      </c>
      <c r="Q50">
        <v>1155</v>
      </c>
      <c r="R50" t="s">
        <v>2460</v>
      </c>
      <c r="S50" t="s">
        <v>988</v>
      </c>
    </row>
    <row r="51" spans="1:19" hidden="1" x14ac:dyDescent="0.3">
      <c r="A51">
        <v>159</v>
      </c>
      <c r="B51" t="s">
        <v>1251</v>
      </c>
      <c r="C51" t="s">
        <v>2877</v>
      </c>
      <c r="D51" t="s">
        <v>1203</v>
      </c>
      <c r="E51" t="s">
        <v>1204</v>
      </c>
      <c r="F51">
        <v>6161</v>
      </c>
      <c r="G51" t="s">
        <v>2681</v>
      </c>
      <c r="H51" t="s">
        <v>2941</v>
      </c>
      <c r="I51">
        <v>1322</v>
      </c>
      <c r="J51" t="s">
        <v>2460</v>
      </c>
      <c r="K51">
        <v>1286</v>
      </c>
      <c r="L51" t="s">
        <v>2460</v>
      </c>
      <c r="M51">
        <v>1165</v>
      </c>
      <c r="N51" t="s">
        <v>2460</v>
      </c>
      <c r="O51">
        <v>1099</v>
      </c>
      <c r="P51" t="s">
        <v>2460</v>
      </c>
      <c r="Q51">
        <v>1099</v>
      </c>
      <c r="R51" t="s">
        <v>2460</v>
      </c>
      <c r="S51" t="s">
        <v>988</v>
      </c>
    </row>
    <row r="52" spans="1:19" x14ac:dyDescent="0.3">
      <c r="A52">
        <v>159</v>
      </c>
      <c r="B52" t="s">
        <v>1251</v>
      </c>
      <c r="C52" t="s">
        <v>2877</v>
      </c>
      <c r="D52" t="s">
        <v>1203</v>
      </c>
      <c r="E52" t="s">
        <v>1204</v>
      </c>
      <c r="F52">
        <v>6161</v>
      </c>
      <c r="G52" t="s">
        <v>2695</v>
      </c>
      <c r="H52" t="s">
        <v>2942</v>
      </c>
      <c r="I52">
        <v>185</v>
      </c>
      <c r="J52" t="s">
        <v>2460</v>
      </c>
      <c r="K52">
        <v>185</v>
      </c>
      <c r="L52" t="s">
        <v>2460</v>
      </c>
      <c r="M52">
        <v>185</v>
      </c>
      <c r="N52" t="s">
        <v>2460</v>
      </c>
      <c r="O52">
        <v>185</v>
      </c>
      <c r="P52" t="s">
        <v>2460</v>
      </c>
      <c r="Q52">
        <v>185</v>
      </c>
      <c r="R52" t="s">
        <v>2460</v>
      </c>
      <c r="S52" t="s">
        <v>988</v>
      </c>
    </row>
    <row r="53" spans="1:19" x14ac:dyDescent="0.3">
      <c r="A53">
        <v>159</v>
      </c>
      <c r="B53" t="s">
        <v>1251</v>
      </c>
      <c r="C53" t="s">
        <v>2877</v>
      </c>
      <c r="D53" t="s">
        <v>1203</v>
      </c>
      <c r="E53" t="s">
        <v>1204</v>
      </c>
      <c r="F53">
        <v>6161</v>
      </c>
      <c r="G53" t="s">
        <v>2695</v>
      </c>
      <c r="H53" t="s">
        <v>2943</v>
      </c>
      <c r="I53">
        <v>0</v>
      </c>
      <c r="J53" t="s">
        <v>2460</v>
      </c>
      <c r="K53">
        <v>350</v>
      </c>
      <c r="L53" t="s">
        <v>2460</v>
      </c>
      <c r="M53">
        <v>350</v>
      </c>
      <c r="N53" t="s">
        <v>2460</v>
      </c>
      <c r="O53">
        <v>350</v>
      </c>
      <c r="P53" t="s">
        <v>2460</v>
      </c>
      <c r="Q53">
        <v>350</v>
      </c>
      <c r="R53" t="s">
        <v>2460</v>
      </c>
      <c r="S53" t="s">
        <v>988</v>
      </c>
    </row>
    <row r="54" spans="1:19" hidden="1" x14ac:dyDescent="0.3">
      <c r="A54">
        <v>159</v>
      </c>
      <c r="B54" t="s">
        <v>1251</v>
      </c>
      <c r="C54" t="s">
        <v>2877</v>
      </c>
      <c r="D54" t="s">
        <v>1203</v>
      </c>
      <c r="E54" t="s">
        <v>1204</v>
      </c>
      <c r="F54">
        <v>6161</v>
      </c>
      <c r="G54" t="s">
        <v>2683</v>
      </c>
      <c r="H54" t="s">
        <v>2944</v>
      </c>
      <c r="I54">
        <v>8868</v>
      </c>
      <c r="J54" t="s">
        <v>2460</v>
      </c>
      <c r="K54">
        <v>9300</v>
      </c>
      <c r="L54" t="s">
        <v>2460</v>
      </c>
      <c r="M54">
        <v>9966</v>
      </c>
      <c r="N54" t="s">
        <v>2460</v>
      </c>
      <c r="O54">
        <v>10717</v>
      </c>
      <c r="P54" t="s">
        <v>2460</v>
      </c>
      <c r="Q54">
        <v>11281</v>
      </c>
      <c r="R54" t="s">
        <v>2460</v>
      </c>
      <c r="S54" t="s">
        <v>988</v>
      </c>
    </row>
    <row r="55" spans="1:19" hidden="1" x14ac:dyDescent="0.3">
      <c r="A55">
        <v>159</v>
      </c>
      <c r="B55" t="s">
        <v>1251</v>
      </c>
      <c r="C55" t="s">
        <v>2877</v>
      </c>
      <c r="D55" t="s">
        <v>1203</v>
      </c>
      <c r="E55" t="s">
        <v>1204</v>
      </c>
      <c r="F55">
        <v>6161</v>
      </c>
      <c r="G55" t="s">
        <v>2679</v>
      </c>
      <c r="H55" t="s">
        <v>2945</v>
      </c>
      <c r="I55">
        <v>2017</v>
      </c>
      <c r="J55" t="s">
        <v>2460</v>
      </c>
      <c r="K55">
        <v>2381</v>
      </c>
      <c r="L55" t="s">
        <v>2460</v>
      </c>
      <c r="M55">
        <v>2892</v>
      </c>
      <c r="N55" t="s">
        <v>2460</v>
      </c>
      <c r="O55">
        <v>2955</v>
      </c>
      <c r="P55" t="s">
        <v>2460</v>
      </c>
      <c r="Q55">
        <v>2915</v>
      </c>
      <c r="R55" t="s">
        <v>2460</v>
      </c>
      <c r="S55" t="s">
        <v>988</v>
      </c>
    </row>
    <row r="56" spans="1:19" hidden="1" x14ac:dyDescent="0.3">
      <c r="A56">
        <v>159</v>
      </c>
      <c r="B56" t="s">
        <v>1251</v>
      </c>
      <c r="C56" t="s">
        <v>2877</v>
      </c>
      <c r="D56" t="s">
        <v>1203</v>
      </c>
      <c r="E56" t="s">
        <v>1204</v>
      </c>
      <c r="F56">
        <v>6161</v>
      </c>
      <c r="G56" t="s">
        <v>2683</v>
      </c>
      <c r="H56" t="s">
        <v>2946</v>
      </c>
      <c r="I56">
        <v>276</v>
      </c>
      <c r="J56" t="s">
        <v>2460</v>
      </c>
      <c r="K56">
        <v>246</v>
      </c>
      <c r="L56" t="s">
        <v>2460</v>
      </c>
      <c r="M56">
        <v>0</v>
      </c>
      <c r="N56" t="s">
        <v>2460</v>
      </c>
      <c r="O56">
        <v>0</v>
      </c>
      <c r="P56" t="s">
        <v>2460</v>
      </c>
      <c r="Q56">
        <v>0</v>
      </c>
      <c r="R56" t="s">
        <v>2460</v>
      </c>
      <c r="S56" t="s">
        <v>988</v>
      </c>
    </row>
    <row r="57" spans="1:19" hidden="1" x14ac:dyDescent="0.3">
      <c r="A57">
        <v>159</v>
      </c>
      <c r="B57" t="s">
        <v>1251</v>
      </c>
      <c r="C57" t="s">
        <v>2877</v>
      </c>
      <c r="D57" t="s">
        <v>1203</v>
      </c>
      <c r="E57" t="s">
        <v>1204</v>
      </c>
      <c r="F57">
        <v>6161</v>
      </c>
      <c r="G57" t="s">
        <v>2681</v>
      </c>
      <c r="H57" t="s">
        <v>2947</v>
      </c>
      <c r="I57">
        <v>0</v>
      </c>
      <c r="J57" t="s">
        <v>2460</v>
      </c>
      <c r="K57">
        <v>0</v>
      </c>
      <c r="L57" t="s">
        <v>2460</v>
      </c>
      <c r="M57">
        <v>300</v>
      </c>
      <c r="N57" t="s">
        <v>2460</v>
      </c>
      <c r="O57">
        <v>300</v>
      </c>
      <c r="P57" t="s">
        <v>2460</v>
      </c>
      <c r="Q57">
        <v>300</v>
      </c>
      <c r="R57" t="s">
        <v>2460</v>
      </c>
      <c r="S57" t="s">
        <v>988</v>
      </c>
    </row>
    <row r="58" spans="1:19" hidden="1" x14ac:dyDescent="0.3">
      <c r="A58">
        <v>159</v>
      </c>
      <c r="B58" t="s">
        <v>1251</v>
      </c>
      <c r="C58" t="s">
        <v>2877</v>
      </c>
      <c r="D58" t="s">
        <v>1203</v>
      </c>
      <c r="E58" t="s">
        <v>1204</v>
      </c>
      <c r="F58">
        <v>6161</v>
      </c>
      <c r="G58" t="s">
        <v>2681</v>
      </c>
      <c r="H58" t="s">
        <v>2948</v>
      </c>
      <c r="I58">
        <v>0</v>
      </c>
      <c r="J58" t="s">
        <v>2460</v>
      </c>
      <c r="K58">
        <v>0</v>
      </c>
      <c r="L58" t="s">
        <v>2460</v>
      </c>
      <c r="M58">
        <v>600</v>
      </c>
      <c r="N58" t="s">
        <v>2460</v>
      </c>
      <c r="O58">
        <v>600</v>
      </c>
      <c r="P58" t="s">
        <v>2460</v>
      </c>
      <c r="Q58">
        <v>600</v>
      </c>
      <c r="R58" t="s">
        <v>2460</v>
      </c>
      <c r="S58" t="s">
        <v>988</v>
      </c>
    </row>
    <row r="59" spans="1:19" hidden="1" x14ac:dyDescent="0.3">
      <c r="A59">
        <v>159</v>
      </c>
      <c r="B59" t="s">
        <v>1251</v>
      </c>
      <c r="C59" t="s">
        <v>2877</v>
      </c>
      <c r="D59" t="s">
        <v>1203</v>
      </c>
      <c r="E59" t="s">
        <v>1204</v>
      </c>
      <c r="F59">
        <v>6161</v>
      </c>
      <c r="G59" t="s">
        <v>2683</v>
      </c>
      <c r="H59" t="s">
        <v>2949</v>
      </c>
      <c r="I59">
        <v>1500</v>
      </c>
      <c r="J59" t="s">
        <v>2460</v>
      </c>
      <c r="K59">
        <v>1200</v>
      </c>
      <c r="L59" t="s">
        <v>2460</v>
      </c>
      <c r="M59">
        <v>1000</v>
      </c>
      <c r="N59" t="s">
        <v>2460</v>
      </c>
      <c r="O59">
        <v>1000</v>
      </c>
      <c r="P59" t="s">
        <v>2460</v>
      </c>
      <c r="Q59">
        <v>1000</v>
      </c>
      <c r="R59" t="s">
        <v>2460</v>
      </c>
      <c r="S59" t="s">
        <v>988</v>
      </c>
    </row>
    <row r="60" spans="1:19" hidden="1" x14ac:dyDescent="0.3">
      <c r="A60">
        <v>159</v>
      </c>
      <c r="B60" t="s">
        <v>1251</v>
      </c>
      <c r="C60" t="s">
        <v>2877</v>
      </c>
      <c r="D60" t="s">
        <v>1203</v>
      </c>
      <c r="E60" t="s">
        <v>1204</v>
      </c>
      <c r="F60">
        <v>6161</v>
      </c>
      <c r="G60" t="s">
        <v>2683</v>
      </c>
      <c r="H60" t="s">
        <v>2950</v>
      </c>
      <c r="I60">
        <v>1572</v>
      </c>
      <c r="J60" t="s">
        <v>2460</v>
      </c>
      <c r="K60">
        <v>396</v>
      </c>
      <c r="L60" t="s">
        <v>2460</v>
      </c>
      <c r="M60">
        <v>2389</v>
      </c>
      <c r="N60" t="s">
        <v>2460</v>
      </c>
      <c r="O60">
        <v>2994</v>
      </c>
      <c r="P60" t="s">
        <v>2460</v>
      </c>
      <c r="Q60">
        <v>3769</v>
      </c>
      <c r="R60" t="s">
        <v>2460</v>
      </c>
      <c r="S60" t="s">
        <v>988</v>
      </c>
    </row>
    <row r="61" spans="1:19" hidden="1" x14ac:dyDescent="0.3">
      <c r="A61">
        <v>167</v>
      </c>
      <c r="B61" t="s">
        <v>1257</v>
      </c>
      <c r="C61" t="s">
        <v>2877</v>
      </c>
      <c r="D61" t="s">
        <v>1203</v>
      </c>
      <c r="E61" t="s">
        <v>1204</v>
      </c>
      <c r="F61">
        <v>5807</v>
      </c>
      <c r="G61" t="s">
        <v>2691</v>
      </c>
      <c r="H61" t="s">
        <v>2951</v>
      </c>
      <c r="I61">
        <v>18700</v>
      </c>
      <c r="J61" t="s">
        <v>2952</v>
      </c>
      <c r="K61">
        <v>18700</v>
      </c>
      <c r="L61" t="s">
        <v>2952</v>
      </c>
      <c r="M61">
        <v>18700</v>
      </c>
      <c r="N61" t="s">
        <v>2952</v>
      </c>
      <c r="O61">
        <v>18700</v>
      </c>
      <c r="P61" t="s">
        <v>2952</v>
      </c>
      <c r="Q61">
        <v>18700</v>
      </c>
      <c r="R61" t="s">
        <v>2952</v>
      </c>
      <c r="S61" t="s">
        <v>988</v>
      </c>
    </row>
    <row r="62" spans="1:19" hidden="1" x14ac:dyDescent="0.3">
      <c r="A62">
        <v>167</v>
      </c>
      <c r="B62" t="s">
        <v>1257</v>
      </c>
      <c r="C62" t="s">
        <v>2877</v>
      </c>
      <c r="D62" t="s">
        <v>1203</v>
      </c>
      <c r="E62" t="s">
        <v>1204</v>
      </c>
      <c r="F62">
        <v>5807</v>
      </c>
      <c r="G62" t="s">
        <v>2691</v>
      </c>
      <c r="H62" t="s">
        <v>2953</v>
      </c>
      <c r="I62">
        <v>1459</v>
      </c>
      <c r="J62" t="s">
        <v>2954</v>
      </c>
      <c r="K62">
        <v>1459</v>
      </c>
      <c r="L62" t="s">
        <v>2954</v>
      </c>
      <c r="M62">
        <v>1459</v>
      </c>
      <c r="N62" t="s">
        <v>2954</v>
      </c>
      <c r="O62">
        <v>1459</v>
      </c>
      <c r="P62" t="s">
        <v>2954</v>
      </c>
      <c r="Q62">
        <v>1459</v>
      </c>
      <c r="R62" t="s">
        <v>2954</v>
      </c>
      <c r="S62" t="s">
        <v>988</v>
      </c>
    </row>
    <row r="63" spans="1:19" hidden="1" x14ac:dyDescent="0.3">
      <c r="A63">
        <v>167</v>
      </c>
      <c r="B63" t="s">
        <v>1257</v>
      </c>
      <c r="C63" t="s">
        <v>2877</v>
      </c>
      <c r="D63" t="s">
        <v>1203</v>
      </c>
      <c r="E63" t="s">
        <v>1204</v>
      </c>
      <c r="F63">
        <v>5807</v>
      </c>
      <c r="G63" t="s">
        <v>2681</v>
      </c>
      <c r="H63" t="s">
        <v>2955</v>
      </c>
      <c r="I63">
        <v>4315</v>
      </c>
      <c r="J63" t="s">
        <v>2460</v>
      </c>
      <c r="K63">
        <v>5315</v>
      </c>
      <c r="L63" t="s">
        <v>2460</v>
      </c>
      <c r="M63">
        <v>5315</v>
      </c>
      <c r="N63" t="s">
        <v>2460</v>
      </c>
      <c r="O63">
        <v>5315</v>
      </c>
      <c r="P63" t="s">
        <v>2460</v>
      </c>
      <c r="Q63">
        <v>5315</v>
      </c>
      <c r="R63" t="s">
        <v>2460</v>
      </c>
      <c r="S63" t="s">
        <v>988</v>
      </c>
    </row>
    <row r="64" spans="1:19" hidden="1" x14ac:dyDescent="0.3">
      <c r="A64">
        <v>170</v>
      </c>
      <c r="B64" t="s">
        <v>1258</v>
      </c>
      <c r="C64" t="s">
        <v>2877</v>
      </c>
      <c r="D64" t="s">
        <v>1203</v>
      </c>
      <c r="E64" t="s">
        <v>1204</v>
      </c>
      <c r="F64">
        <v>5955</v>
      </c>
      <c r="G64" t="s">
        <v>2681</v>
      </c>
      <c r="H64" t="s">
        <v>2956</v>
      </c>
      <c r="I64">
        <v>6423</v>
      </c>
      <c r="J64" t="s">
        <v>2957</v>
      </c>
      <c r="K64">
        <v>6423</v>
      </c>
      <c r="L64" t="s">
        <v>2957</v>
      </c>
      <c r="M64">
        <v>6423</v>
      </c>
      <c r="N64" t="s">
        <v>2957</v>
      </c>
      <c r="O64">
        <v>6423</v>
      </c>
      <c r="P64" t="s">
        <v>2957</v>
      </c>
      <c r="Q64">
        <v>6423</v>
      </c>
      <c r="R64" t="s">
        <v>2957</v>
      </c>
      <c r="S64" t="s">
        <v>988</v>
      </c>
    </row>
    <row r="65" spans="1:19" hidden="1" x14ac:dyDescent="0.3">
      <c r="A65">
        <v>170</v>
      </c>
      <c r="B65" t="s">
        <v>1258</v>
      </c>
      <c r="C65" t="s">
        <v>2877</v>
      </c>
      <c r="D65" t="s">
        <v>1203</v>
      </c>
      <c r="E65" t="s">
        <v>1204</v>
      </c>
      <c r="F65">
        <v>5955</v>
      </c>
      <c r="G65" t="s">
        <v>2679</v>
      </c>
      <c r="H65" t="s">
        <v>2958</v>
      </c>
      <c r="I65">
        <v>125</v>
      </c>
      <c r="J65" t="s">
        <v>2460</v>
      </c>
      <c r="K65">
        <v>125</v>
      </c>
      <c r="L65" t="s">
        <v>2460</v>
      </c>
      <c r="M65">
        <v>125</v>
      </c>
      <c r="N65" t="s">
        <v>2460</v>
      </c>
      <c r="O65">
        <v>125</v>
      </c>
      <c r="P65" t="s">
        <v>2460</v>
      </c>
      <c r="Q65">
        <v>125</v>
      </c>
      <c r="R65" t="s">
        <v>2460</v>
      </c>
      <c r="S65" t="s">
        <v>988</v>
      </c>
    </row>
    <row r="66" spans="1:19" hidden="1" x14ac:dyDescent="0.3">
      <c r="A66">
        <v>178</v>
      </c>
      <c r="B66" t="s">
        <v>1261</v>
      </c>
      <c r="C66" t="s">
        <v>2877</v>
      </c>
      <c r="D66" t="s">
        <v>1203</v>
      </c>
      <c r="E66" t="s">
        <v>1204</v>
      </c>
      <c r="F66">
        <v>5494</v>
      </c>
      <c r="G66" t="s">
        <v>687</v>
      </c>
      <c r="H66" t="s">
        <v>2460</v>
      </c>
      <c r="I66">
        <v>28646</v>
      </c>
      <c r="J66" t="s">
        <v>2460</v>
      </c>
      <c r="K66">
        <v>28646</v>
      </c>
      <c r="L66" t="s">
        <v>2460</v>
      </c>
      <c r="M66">
        <v>28646</v>
      </c>
      <c r="N66" t="s">
        <v>2460</v>
      </c>
      <c r="O66">
        <v>28646</v>
      </c>
      <c r="P66" t="s">
        <v>2460</v>
      </c>
      <c r="Q66">
        <v>28646</v>
      </c>
      <c r="R66" t="s">
        <v>2460</v>
      </c>
      <c r="S66" t="s">
        <v>988</v>
      </c>
    </row>
    <row r="67" spans="1:19" hidden="1" x14ac:dyDescent="0.3">
      <c r="A67">
        <v>193</v>
      </c>
      <c r="B67" t="s">
        <v>1265</v>
      </c>
      <c r="C67" t="s">
        <v>2877</v>
      </c>
      <c r="D67" t="s">
        <v>1203</v>
      </c>
      <c r="E67" t="s">
        <v>1204</v>
      </c>
      <c r="F67">
        <v>5906</v>
      </c>
      <c r="G67" t="s">
        <v>2683</v>
      </c>
      <c r="H67" t="s">
        <v>2959</v>
      </c>
      <c r="I67">
        <v>8981</v>
      </c>
      <c r="J67" t="s">
        <v>2460</v>
      </c>
      <c r="K67">
        <v>8804</v>
      </c>
      <c r="L67" t="s">
        <v>2460</v>
      </c>
      <c r="M67">
        <v>9013</v>
      </c>
      <c r="N67" t="s">
        <v>2460</v>
      </c>
      <c r="O67">
        <v>9255</v>
      </c>
      <c r="P67" t="s">
        <v>2460</v>
      </c>
      <c r="Q67">
        <v>9441</v>
      </c>
      <c r="R67" t="s">
        <v>2460</v>
      </c>
      <c r="S67" t="s">
        <v>988</v>
      </c>
    </row>
    <row r="68" spans="1:19" hidden="1" x14ac:dyDescent="0.3">
      <c r="A68">
        <v>193</v>
      </c>
      <c r="B68" t="s">
        <v>1265</v>
      </c>
      <c r="C68" t="s">
        <v>2877</v>
      </c>
      <c r="D68" t="s">
        <v>1203</v>
      </c>
      <c r="E68" t="s">
        <v>1204</v>
      </c>
      <c r="F68">
        <v>5906</v>
      </c>
      <c r="G68" t="s">
        <v>2681</v>
      </c>
      <c r="H68" t="s">
        <v>2960</v>
      </c>
      <c r="I68">
        <v>2952</v>
      </c>
      <c r="J68" t="s">
        <v>2460</v>
      </c>
      <c r="K68">
        <v>3327</v>
      </c>
      <c r="L68" t="s">
        <v>2460</v>
      </c>
      <c r="M68">
        <v>3327</v>
      </c>
      <c r="N68" t="s">
        <v>2460</v>
      </c>
      <c r="O68">
        <v>3327</v>
      </c>
      <c r="P68" t="s">
        <v>2460</v>
      </c>
      <c r="Q68">
        <v>3327</v>
      </c>
      <c r="R68" t="s">
        <v>2460</v>
      </c>
      <c r="S68" t="s">
        <v>988</v>
      </c>
    </row>
    <row r="69" spans="1:19" hidden="1" x14ac:dyDescent="0.3">
      <c r="A69">
        <v>197</v>
      </c>
      <c r="B69" t="s">
        <v>1268</v>
      </c>
      <c r="C69" t="s">
        <v>2877</v>
      </c>
      <c r="D69" t="s">
        <v>159</v>
      </c>
      <c r="E69" t="s">
        <v>159</v>
      </c>
      <c r="F69">
        <v>5480</v>
      </c>
      <c r="G69" t="s">
        <v>2681</v>
      </c>
      <c r="H69" t="s">
        <v>2460</v>
      </c>
      <c r="I69">
        <v>1185</v>
      </c>
      <c r="J69" t="s">
        <v>2460</v>
      </c>
      <c r="K69">
        <v>1206</v>
      </c>
      <c r="L69" t="s">
        <v>2460</v>
      </c>
      <c r="M69">
        <v>1227</v>
      </c>
      <c r="N69" t="s">
        <v>2460</v>
      </c>
      <c r="O69">
        <v>1249</v>
      </c>
      <c r="P69" t="s">
        <v>2460</v>
      </c>
      <c r="Q69">
        <v>1271</v>
      </c>
      <c r="R69" t="s">
        <v>2460</v>
      </c>
      <c r="S69" t="s">
        <v>988</v>
      </c>
    </row>
    <row r="70" spans="1:19" hidden="1" x14ac:dyDescent="0.3">
      <c r="A70">
        <v>198</v>
      </c>
      <c r="B70" t="s">
        <v>1270</v>
      </c>
      <c r="C70" t="s">
        <v>2877</v>
      </c>
      <c r="D70" t="s">
        <v>159</v>
      </c>
      <c r="E70" t="s">
        <v>159</v>
      </c>
      <c r="F70">
        <v>7825</v>
      </c>
      <c r="G70" t="s">
        <v>2681</v>
      </c>
      <c r="H70" t="s">
        <v>2460</v>
      </c>
      <c r="I70">
        <v>3100</v>
      </c>
      <c r="J70" t="s">
        <v>2961</v>
      </c>
      <c r="K70">
        <v>3100</v>
      </c>
      <c r="L70" t="s">
        <v>2961</v>
      </c>
      <c r="M70">
        <v>3100</v>
      </c>
      <c r="N70" t="s">
        <v>2961</v>
      </c>
      <c r="O70">
        <v>3100</v>
      </c>
      <c r="P70" t="s">
        <v>2961</v>
      </c>
      <c r="Q70">
        <v>3100</v>
      </c>
      <c r="R70" t="s">
        <v>2961</v>
      </c>
      <c r="S70" t="s">
        <v>988</v>
      </c>
    </row>
    <row r="71" spans="1:19" hidden="1" x14ac:dyDescent="0.3">
      <c r="A71">
        <v>241</v>
      </c>
      <c r="B71" t="s">
        <v>1271</v>
      </c>
      <c r="C71" t="s">
        <v>2877</v>
      </c>
      <c r="D71" t="s">
        <v>1203</v>
      </c>
      <c r="E71" t="s">
        <v>1204</v>
      </c>
      <c r="F71">
        <v>5667</v>
      </c>
      <c r="G71" t="s">
        <v>2681</v>
      </c>
      <c r="H71" t="s">
        <v>2962</v>
      </c>
      <c r="I71">
        <v>3461</v>
      </c>
      <c r="J71" t="s">
        <v>2963</v>
      </c>
      <c r="K71">
        <v>3697</v>
      </c>
      <c r="L71" t="s">
        <v>2963</v>
      </c>
      <c r="M71">
        <v>3915</v>
      </c>
      <c r="N71" t="s">
        <v>2963</v>
      </c>
      <c r="O71">
        <v>4124</v>
      </c>
      <c r="P71" t="s">
        <v>2963</v>
      </c>
      <c r="Q71">
        <v>4318</v>
      </c>
      <c r="R71" t="s">
        <v>2963</v>
      </c>
      <c r="S71" t="s">
        <v>988</v>
      </c>
    </row>
    <row r="72" spans="1:19" hidden="1" x14ac:dyDescent="0.3">
      <c r="A72">
        <v>262</v>
      </c>
      <c r="B72" t="s">
        <v>1273</v>
      </c>
      <c r="C72" t="s">
        <v>2877</v>
      </c>
      <c r="D72" t="s">
        <v>1203</v>
      </c>
      <c r="E72" t="s">
        <v>1204</v>
      </c>
      <c r="F72">
        <v>5902</v>
      </c>
      <c r="G72" t="s">
        <v>2685</v>
      </c>
      <c r="H72" t="s">
        <v>2964</v>
      </c>
      <c r="I72">
        <v>7831.8017932000002</v>
      </c>
      <c r="J72" t="s">
        <v>2460</v>
      </c>
      <c r="K72">
        <v>7598.5663166000004</v>
      </c>
      <c r="L72" t="s">
        <v>2460</v>
      </c>
      <c r="M72">
        <v>7359.1930642999996</v>
      </c>
      <c r="N72" t="s">
        <v>2460</v>
      </c>
      <c r="O72">
        <v>7110.6131484500002</v>
      </c>
      <c r="P72" t="s">
        <v>2460</v>
      </c>
      <c r="Q72">
        <v>6852.8265690500002</v>
      </c>
      <c r="R72" t="s">
        <v>2460</v>
      </c>
      <c r="S72" t="s">
        <v>988</v>
      </c>
    </row>
    <row r="73" spans="1:19" hidden="1" x14ac:dyDescent="0.3">
      <c r="A73">
        <v>262</v>
      </c>
      <c r="B73" t="s">
        <v>1273</v>
      </c>
      <c r="C73" t="s">
        <v>2877</v>
      </c>
      <c r="D73" t="s">
        <v>1203</v>
      </c>
      <c r="E73" t="s">
        <v>1204</v>
      </c>
      <c r="F73">
        <v>5902</v>
      </c>
      <c r="G73" t="s">
        <v>2683</v>
      </c>
      <c r="H73" t="s">
        <v>2460</v>
      </c>
      <c r="I73">
        <v>7291.6775316000003</v>
      </c>
      <c r="J73" t="s">
        <v>2460</v>
      </c>
      <c r="K73">
        <v>7524.9130082000001</v>
      </c>
      <c r="L73" t="s">
        <v>2460</v>
      </c>
      <c r="M73">
        <v>7764.2862605</v>
      </c>
      <c r="N73" t="s">
        <v>2460</v>
      </c>
      <c r="O73">
        <v>8012.8661763500004</v>
      </c>
      <c r="P73" t="s">
        <v>2460</v>
      </c>
      <c r="Q73">
        <v>8270.6527557499994</v>
      </c>
      <c r="R73" t="s">
        <v>2460</v>
      </c>
      <c r="S73" t="s">
        <v>988</v>
      </c>
    </row>
    <row r="74" spans="1:19" hidden="1" x14ac:dyDescent="0.3">
      <c r="A74">
        <v>263</v>
      </c>
      <c r="B74" t="s">
        <v>1278</v>
      </c>
      <c r="C74" t="s">
        <v>2877</v>
      </c>
      <c r="D74" t="s">
        <v>159</v>
      </c>
      <c r="E74" t="s">
        <v>159</v>
      </c>
      <c r="F74">
        <v>5651</v>
      </c>
      <c r="G74" t="s">
        <v>2683</v>
      </c>
      <c r="H74" t="s">
        <v>2965</v>
      </c>
      <c r="I74">
        <v>428</v>
      </c>
      <c r="J74" t="s">
        <v>2460</v>
      </c>
      <c r="K74">
        <v>580</v>
      </c>
      <c r="L74" t="s">
        <v>2460</v>
      </c>
      <c r="M74">
        <v>576</v>
      </c>
      <c r="N74" t="s">
        <v>2460</v>
      </c>
      <c r="O74">
        <v>610</v>
      </c>
      <c r="P74" t="s">
        <v>2460</v>
      </c>
      <c r="Q74">
        <v>630</v>
      </c>
      <c r="R74" t="s">
        <v>2460</v>
      </c>
      <c r="S74" t="s">
        <v>988</v>
      </c>
    </row>
    <row r="75" spans="1:19" hidden="1" x14ac:dyDescent="0.3">
      <c r="A75">
        <v>263</v>
      </c>
      <c r="B75" t="s">
        <v>1278</v>
      </c>
      <c r="C75" t="s">
        <v>2877</v>
      </c>
      <c r="D75" t="s">
        <v>159</v>
      </c>
      <c r="E75" t="s">
        <v>159</v>
      </c>
      <c r="F75">
        <v>5651</v>
      </c>
      <c r="G75" t="s">
        <v>2683</v>
      </c>
      <c r="H75" t="s">
        <v>2966</v>
      </c>
      <c r="I75">
        <v>9000</v>
      </c>
      <c r="J75" t="s">
        <v>2460</v>
      </c>
      <c r="K75">
        <v>9000</v>
      </c>
      <c r="L75" t="s">
        <v>2460</v>
      </c>
      <c r="M75">
        <v>9000</v>
      </c>
      <c r="N75" t="s">
        <v>2460</v>
      </c>
      <c r="O75">
        <v>9000</v>
      </c>
      <c r="P75" t="s">
        <v>2460</v>
      </c>
      <c r="Q75">
        <v>9000</v>
      </c>
      <c r="R75" t="s">
        <v>2460</v>
      </c>
      <c r="S75" t="s">
        <v>988</v>
      </c>
    </row>
    <row r="76" spans="1:19" hidden="1" x14ac:dyDescent="0.3">
      <c r="A76">
        <v>263</v>
      </c>
      <c r="B76" t="s">
        <v>1278</v>
      </c>
      <c r="C76" t="s">
        <v>2877</v>
      </c>
      <c r="D76" t="s">
        <v>159</v>
      </c>
      <c r="E76" t="s">
        <v>159</v>
      </c>
      <c r="F76">
        <v>5651</v>
      </c>
      <c r="G76" t="s">
        <v>2681</v>
      </c>
      <c r="H76" t="s">
        <v>2967</v>
      </c>
      <c r="I76">
        <v>115</v>
      </c>
      <c r="J76" t="s">
        <v>2460</v>
      </c>
      <c r="K76">
        <v>115</v>
      </c>
      <c r="L76" t="s">
        <v>2460</v>
      </c>
      <c r="M76">
        <v>115</v>
      </c>
      <c r="N76" t="s">
        <v>2460</v>
      </c>
      <c r="O76">
        <v>115</v>
      </c>
      <c r="P76" t="s">
        <v>2460</v>
      </c>
      <c r="Q76">
        <v>115</v>
      </c>
      <c r="R76" t="s">
        <v>2460</v>
      </c>
      <c r="S76" t="s">
        <v>988</v>
      </c>
    </row>
    <row r="77" spans="1:19" hidden="1" x14ac:dyDescent="0.3">
      <c r="A77">
        <v>264</v>
      </c>
      <c r="B77" t="s">
        <v>1283</v>
      </c>
      <c r="C77" t="s">
        <v>2877</v>
      </c>
      <c r="D77" t="s">
        <v>159</v>
      </c>
      <c r="E77" t="s">
        <v>159</v>
      </c>
      <c r="F77">
        <v>6905</v>
      </c>
      <c r="G77" t="s">
        <v>2681</v>
      </c>
      <c r="H77" t="s">
        <v>2968</v>
      </c>
      <c r="I77">
        <v>5600.7203262499997</v>
      </c>
      <c r="J77" t="s">
        <v>2969</v>
      </c>
      <c r="K77">
        <v>5600.7203262499997</v>
      </c>
      <c r="L77" t="s">
        <v>2969</v>
      </c>
      <c r="M77">
        <v>5600.7203262499997</v>
      </c>
      <c r="N77" t="s">
        <v>2969</v>
      </c>
      <c r="O77">
        <v>5600.7203262499997</v>
      </c>
      <c r="P77" t="s">
        <v>2969</v>
      </c>
      <c r="Q77">
        <v>5600.7203262499997</v>
      </c>
      <c r="R77" t="s">
        <v>2969</v>
      </c>
      <c r="S77" t="s">
        <v>988</v>
      </c>
    </row>
    <row r="78" spans="1:19" hidden="1" x14ac:dyDescent="0.3">
      <c r="A78">
        <v>264</v>
      </c>
      <c r="B78" t="s">
        <v>1283</v>
      </c>
      <c r="C78" t="s">
        <v>2877</v>
      </c>
      <c r="D78" t="s">
        <v>159</v>
      </c>
      <c r="E78" t="s">
        <v>159</v>
      </c>
      <c r="F78">
        <v>6905</v>
      </c>
      <c r="G78" t="s">
        <v>2691</v>
      </c>
      <c r="H78" t="s">
        <v>2970</v>
      </c>
      <c r="I78">
        <v>7030.8220643499999</v>
      </c>
      <c r="J78" t="s">
        <v>2971</v>
      </c>
      <c r="K78">
        <v>7030.8220643499999</v>
      </c>
      <c r="L78" t="s">
        <v>2971</v>
      </c>
      <c r="M78">
        <v>7030.8220643499999</v>
      </c>
      <c r="N78" t="s">
        <v>2971</v>
      </c>
      <c r="O78">
        <v>7030.8220643499999</v>
      </c>
      <c r="P78" t="s">
        <v>2971</v>
      </c>
      <c r="Q78">
        <v>7030.8220643499999</v>
      </c>
      <c r="R78" t="s">
        <v>2971</v>
      </c>
      <c r="S78" t="s">
        <v>988</v>
      </c>
    </row>
    <row r="79" spans="1:19" hidden="1" x14ac:dyDescent="0.3">
      <c r="A79">
        <v>264</v>
      </c>
      <c r="B79" t="s">
        <v>1283</v>
      </c>
      <c r="C79" t="s">
        <v>2877</v>
      </c>
      <c r="D79" t="s">
        <v>159</v>
      </c>
      <c r="E79" t="s">
        <v>159</v>
      </c>
      <c r="F79">
        <v>6905</v>
      </c>
      <c r="G79" t="s">
        <v>2683</v>
      </c>
      <c r="H79" t="s">
        <v>2972</v>
      </c>
      <c r="I79">
        <v>6720.8643915000002</v>
      </c>
      <c r="J79" t="s">
        <v>2973</v>
      </c>
      <c r="K79">
        <v>6720.8643915000002</v>
      </c>
      <c r="L79" t="s">
        <v>2973</v>
      </c>
      <c r="M79">
        <v>6720.8643915000002</v>
      </c>
      <c r="N79" t="s">
        <v>2973</v>
      </c>
      <c r="O79">
        <v>6720.8643915000002</v>
      </c>
      <c r="P79" t="s">
        <v>2973</v>
      </c>
      <c r="Q79">
        <v>6720.8643915000002</v>
      </c>
      <c r="R79" t="s">
        <v>2973</v>
      </c>
      <c r="S79" t="s">
        <v>988</v>
      </c>
    </row>
    <row r="80" spans="1:19" hidden="1" x14ac:dyDescent="0.3">
      <c r="A80">
        <v>264</v>
      </c>
      <c r="B80" t="s">
        <v>1283</v>
      </c>
      <c r="C80" t="s">
        <v>2877</v>
      </c>
      <c r="D80" t="s">
        <v>159</v>
      </c>
      <c r="E80" t="s">
        <v>159</v>
      </c>
      <c r="F80">
        <v>6905</v>
      </c>
      <c r="G80" t="s">
        <v>2679</v>
      </c>
      <c r="H80" t="s">
        <v>2974</v>
      </c>
      <c r="I80">
        <v>1117.0751774</v>
      </c>
      <c r="J80" t="s">
        <v>2975</v>
      </c>
      <c r="K80">
        <v>1264.3817942000001</v>
      </c>
      <c r="L80" t="s">
        <v>2975</v>
      </c>
      <c r="M80">
        <v>1411.6884110000001</v>
      </c>
      <c r="N80" t="s">
        <v>2975</v>
      </c>
      <c r="O80">
        <v>1558.9950277999999</v>
      </c>
      <c r="P80" t="s">
        <v>2975</v>
      </c>
      <c r="Q80">
        <v>1558.9950277999999</v>
      </c>
      <c r="R80" t="s">
        <v>2975</v>
      </c>
      <c r="S80" t="s">
        <v>988</v>
      </c>
    </row>
    <row r="81" spans="1:19" hidden="1" x14ac:dyDescent="0.3">
      <c r="A81">
        <v>264</v>
      </c>
      <c r="B81" t="s">
        <v>1283</v>
      </c>
      <c r="C81" t="s">
        <v>2877</v>
      </c>
      <c r="D81" t="s">
        <v>159</v>
      </c>
      <c r="E81" t="s">
        <v>159</v>
      </c>
      <c r="F81">
        <v>6905</v>
      </c>
      <c r="G81" t="s">
        <v>2691</v>
      </c>
      <c r="H81" t="s">
        <v>2976</v>
      </c>
      <c r="I81">
        <v>1049.5596447</v>
      </c>
      <c r="J81" t="s">
        <v>2977</v>
      </c>
      <c r="K81">
        <v>1049.5596447</v>
      </c>
      <c r="L81" t="s">
        <v>2977</v>
      </c>
      <c r="M81">
        <v>1049.5596447</v>
      </c>
      <c r="N81" t="s">
        <v>2977</v>
      </c>
      <c r="O81">
        <v>1049.5596447</v>
      </c>
      <c r="P81" t="s">
        <v>2977</v>
      </c>
      <c r="Q81">
        <v>1049.5596447</v>
      </c>
      <c r="R81" t="s">
        <v>2977</v>
      </c>
      <c r="S81" t="s">
        <v>988</v>
      </c>
    </row>
    <row r="82" spans="1:19" hidden="1" x14ac:dyDescent="0.3">
      <c r="A82">
        <v>283</v>
      </c>
      <c r="B82" t="s">
        <v>1288</v>
      </c>
      <c r="C82" t="s">
        <v>2877</v>
      </c>
      <c r="D82" t="s">
        <v>1203</v>
      </c>
      <c r="E82" t="s">
        <v>1204</v>
      </c>
      <c r="F82">
        <v>5636</v>
      </c>
      <c r="G82" t="s">
        <v>2683</v>
      </c>
      <c r="H82" t="s">
        <v>2893</v>
      </c>
      <c r="I82">
        <v>12873</v>
      </c>
      <c r="J82" t="s">
        <v>2460</v>
      </c>
      <c r="K82">
        <v>12187</v>
      </c>
      <c r="L82" t="s">
        <v>2460</v>
      </c>
      <c r="M82">
        <v>12298.5</v>
      </c>
      <c r="N82" t="s">
        <v>2460</v>
      </c>
      <c r="O82">
        <v>12392</v>
      </c>
      <c r="P82" t="s">
        <v>2460</v>
      </c>
      <c r="Q82">
        <v>12463</v>
      </c>
      <c r="R82" t="s">
        <v>2460</v>
      </c>
      <c r="S82" t="s">
        <v>988</v>
      </c>
    </row>
    <row r="83" spans="1:19" hidden="1" x14ac:dyDescent="0.3">
      <c r="A83">
        <v>283</v>
      </c>
      <c r="B83" t="s">
        <v>1288</v>
      </c>
      <c r="C83" t="s">
        <v>2877</v>
      </c>
      <c r="D83" t="s">
        <v>1203</v>
      </c>
      <c r="E83" t="s">
        <v>1204</v>
      </c>
      <c r="F83">
        <v>5636</v>
      </c>
      <c r="G83" t="s">
        <v>2681</v>
      </c>
      <c r="H83" t="s">
        <v>2965</v>
      </c>
      <c r="I83">
        <v>1430</v>
      </c>
      <c r="J83" t="s">
        <v>2460</v>
      </c>
      <c r="K83">
        <v>1354</v>
      </c>
      <c r="L83" t="s">
        <v>2460</v>
      </c>
      <c r="M83">
        <v>1366.5</v>
      </c>
      <c r="N83" t="s">
        <v>2460</v>
      </c>
      <c r="O83">
        <v>1377</v>
      </c>
      <c r="P83" t="s">
        <v>2460</v>
      </c>
      <c r="Q83">
        <v>1385</v>
      </c>
      <c r="R83" t="s">
        <v>2460</v>
      </c>
      <c r="S83" t="s">
        <v>988</v>
      </c>
    </row>
    <row r="84" spans="1:19" hidden="1" x14ac:dyDescent="0.3">
      <c r="A84">
        <v>285</v>
      </c>
      <c r="B84" t="s">
        <v>1290</v>
      </c>
      <c r="C84" t="s">
        <v>2877</v>
      </c>
      <c r="D84" t="s">
        <v>1203</v>
      </c>
      <c r="E84" t="s">
        <v>1204</v>
      </c>
      <c r="F84">
        <v>5744</v>
      </c>
      <c r="G84" t="s">
        <v>2681</v>
      </c>
      <c r="H84" t="s">
        <v>2978</v>
      </c>
      <c r="I84">
        <v>10655</v>
      </c>
      <c r="J84" t="s">
        <v>2460</v>
      </c>
      <c r="K84">
        <v>10658</v>
      </c>
      <c r="L84" t="s">
        <v>2460</v>
      </c>
      <c r="M84">
        <v>10672</v>
      </c>
      <c r="N84" t="s">
        <v>2460</v>
      </c>
      <c r="O84">
        <v>10700</v>
      </c>
      <c r="P84" t="s">
        <v>2460</v>
      </c>
      <c r="Q84">
        <v>10700</v>
      </c>
      <c r="R84" t="s">
        <v>2460</v>
      </c>
      <c r="S84" t="s">
        <v>988</v>
      </c>
    </row>
    <row r="85" spans="1:19" hidden="1" x14ac:dyDescent="0.3">
      <c r="A85">
        <v>285</v>
      </c>
      <c r="B85" t="s">
        <v>1290</v>
      </c>
      <c r="C85" t="s">
        <v>2877</v>
      </c>
      <c r="D85" t="s">
        <v>1203</v>
      </c>
      <c r="E85" t="s">
        <v>1204</v>
      </c>
      <c r="F85">
        <v>5744</v>
      </c>
      <c r="G85" t="s">
        <v>2683</v>
      </c>
      <c r="H85" t="s">
        <v>2979</v>
      </c>
      <c r="I85">
        <v>6800</v>
      </c>
      <c r="J85" t="s">
        <v>2460</v>
      </c>
      <c r="K85">
        <v>6800</v>
      </c>
      <c r="L85" t="s">
        <v>2460</v>
      </c>
      <c r="M85">
        <v>6800</v>
      </c>
      <c r="N85" t="s">
        <v>2460</v>
      </c>
      <c r="O85">
        <v>6800</v>
      </c>
      <c r="P85" t="s">
        <v>2460</v>
      </c>
      <c r="Q85">
        <v>6800</v>
      </c>
      <c r="R85" t="s">
        <v>2460</v>
      </c>
      <c r="S85" t="s">
        <v>988</v>
      </c>
    </row>
    <row r="86" spans="1:19" hidden="1" x14ac:dyDescent="0.3">
      <c r="A86">
        <v>285</v>
      </c>
      <c r="B86" t="s">
        <v>1290</v>
      </c>
      <c r="C86" t="s">
        <v>2877</v>
      </c>
      <c r="D86" t="s">
        <v>1203</v>
      </c>
      <c r="E86" t="s">
        <v>1204</v>
      </c>
      <c r="F86">
        <v>5744</v>
      </c>
      <c r="G86" t="s">
        <v>2679</v>
      </c>
      <c r="H86" t="s">
        <v>2980</v>
      </c>
      <c r="I86">
        <v>3540</v>
      </c>
      <c r="J86" t="s">
        <v>2460</v>
      </c>
      <c r="K86">
        <v>3540</v>
      </c>
      <c r="L86" t="s">
        <v>2460</v>
      </c>
      <c r="M86">
        <v>3540</v>
      </c>
      <c r="N86" t="s">
        <v>2460</v>
      </c>
      <c r="O86">
        <v>3540</v>
      </c>
      <c r="P86" t="s">
        <v>2460</v>
      </c>
      <c r="Q86">
        <v>3540</v>
      </c>
      <c r="R86" t="s">
        <v>2460</v>
      </c>
      <c r="S86" t="s">
        <v>988</v>
      </c>
    </row>
    <row r="87" spans="1:19" hidden="1" x14ac:dyDescent="0.3">
      <c r="A87">
        <v>285</v>
      </c>
      <c r="B87" t="s">
        <v>1290</v>
      </c>
      <c r="C87" t="s">
        <v>2877</v>
      </c>
      <c r="D87" t="s">
        <v>1203</v>
      </c>
      <c r="E87" t="s">
        <v>1204</v>
      </c>
      <c r="F87">
        <v>5744</v>
      </c>
      <c r="G87" t="s">
        <v>2683</v>
      </c>
      <c r="H87" t="s">
        <v>2981</v>
      </c>
      <c r="I87">
        <v>7407</v>
      </c>
      <c r="J87" t="s">
        <v>2460</v>
      </c>
      <c r="K87">
        <v>9318</v>
      </c>
      <c r="L87" t="s">
        <v>2460</v>
      </c>
      <c r="M87">
        <v>10714</v>
      </c>
      <c r="N87" t="s">
        <v>2460</v>
      </c>
      <c r="O87">
        <v>11012</v>
      </c>
      <c r="P87" t="s">
        <v>2460</v>
      </c>
      <c r="Q87">
        <v>11310</v>
      </c>
      <c r="R87" t="s">
        <v>2460</v>
      </c>
      <c r="S87" t="s">
        <v>988</v>
      </c>
    </row>
    <row r="88" spans="1:19" hidden="1" x14ac:dyDescent="0.3">
      <c r="A88">
        <v>286</v>
      </c>
      <c r="B88" t="s">
        <v>1295</v>
      </c>
      <c r="C88" t="s">
        <v>2877</v>
      </c>
      <c r="D88" t="s">
        <v>1203</v>
      </c>
      <c r="E88" t="s">
        <v>1204</v>
      </c>
      <c r="F88">
        <v>5826</v>
      </c>
      <c r="G88" t="s">
        <v>2683</v>
      </c>
      <c r="H88" t="s">
        <v>2508</v>
      </c>
      <c r="I88">
        <v>5858.5069056499997</v>
      </c>
      <c r="J88" t="s">
        <v>2460</v>
      </c>
      <c r="K88">
        <v>5858.5069056499997</v>
      </c>
      <c r="L88" t="s">
        <v>2460</v>
      </c>
      <c r="M88">
        <v>5858.5069056499997</v>
      </c>
      <c r="N88" t="s">
        <v>2460</v>
      </c>
      <c r="O88">
        <v>5858.5069056499997</v>
      </c>
      <c r="P88" t="s">
        <v>2460</v>
      </c>
      <c r="Q88">
        <v>5858.5069056499997</v>
      </c>
      <c r="R88" t="s">
        <v>2460</v>
      </c>
      <c r="S88" t="s">
        <v>988</v>
      </c>
    </row>
    <row r="89" spans="1:19" hidden="1" x14ac:dyDescent="0.3">
      <c r="A89">
        <v>351</v>
      </c>
      <c r="B89" t="s">
        <v>1297</v>
      </c>
      <c r="C89" t="s">
        <v>2877</v>
      </c>
      <c r="D89" t="s">
        <v>1203</v>
      </c>
      <c r="E89" t="s">
        <v>1204</v>
      </c>
      <c r="F89">
        <v>5475</v>
      </c>
      <c r="G89" t="s">
        <v>2681</v>
      </c>
      <c r="H89" t="s">
        <v>2460</v>
      </c>
      <c r="I89">
        <v>61</v>
      </c>
      <c r="J89" t="s">
        <v>2982</v>
      </c>
      <c r="K89">
        <v>61</v>
      </c>
      <c r="L89" t="s">
        <v>2982</v>
      </c>
      <c r="M89">
        <v>61</v>
      </c>
      <c r="N89" t="s">
        <v>2982</v>
      </c>
      <c r="O89">
        <v>61</v>
      </c>
      <c r="P89" t="s">
        <v>2982</v>
      </c>
      <c r="Q89">
        <v>61</v>
      </c>
      <c r="R89" t="s">
        <v>2982</v>
      </c>
      <c r="S89" t="s">
        <v>988</v>
      </c>
    </row>
    <row r="90" spans="1:19" hidden="1" x14ac:dyDescent="0.3">
      <c r="A90">
        <v>351</v>
      </c>
      <c r="B90" t="s">
        <v>1297</v>
      </c>
      <c r="C90" t="s">
        <v>2877</v>
      </c>
      <c r="D90" t="s">
        <v>1203</v>
      </c>
      <c r="E90" t="s">
        <v>1204</v>
      </c>
      <c r="F90">
        <v>5475</v>
      </c>
      <c r="G90" t="s">
        <v>2691</v>
      </c>
      <c r="H90" t="s">
        <v>2460</v>
      </c>
      <c r="I90">
        <v>109995</v>
      </c>
      <c r="J90" t="s">
        <v>2982</v>
      </c>
      <c r="K90">
        <v>109995</v>
      </c>
      <c r="L90" t="s">
        <v>2982</v>
      </c>
      <c r="M90">
        <v>109995</v>
      </c>
      <c r="N90" t="s">
        <v>2982</v>
      </c>
      <c r="O90">
        <v>109995</v>
      </c>
      <c r="P90" t="s">
        <v>2982</v>
      </c>
      <c r="Q90">
        <v>109995</v>
      </c>
      <c r="R90" t="s">
        <v>2982</v>
      </c>
      <c r="S90" t="s">
        <v>988</v>
      </c>
    </row>
    <row r="91" spans="1:19" hidden="1" x14ac:dyDescent="0.3">
      <c r="A91">
        <v>351</v>
      </c>
      <c r="B91" t="s">
        <v>1297</v>
      </c>
      <c r="C91" t="s">
        <v>2877</v>
      </c>
      <c r="D91" t="s">
        <v>1203</v>
      </c>
      <c r="E91" t="s">
        <v>1204</v>
      </c>
      <c r="F91">
        <v>5475</v>
      </c>
      <c r="G91" t="s">
        <v>2679</v>
      </c>
      <c r="H91" t="s">
        <v>2460</v>
      </c>
      <c r="I91">
        <v>568</v>
      </c>
      <c r="J91" t="s">
        <v>2982</v>
      </c>
      <c r="K91">
        <v>692</v>
      </c>
      <c r="L91" t="s">
        <v>2982</v>
      </c>
      <c r="M91">
        <v>816</v>
      </c>
      <c r="N91" t="s">
        <v>2982</v>
      </c>
      <c r="O91">
        <v>940</v>
      </c>
      <c r="P91" t="s">
        <v>2982</v>
      </c>
      <c r="Q91">
        <v>1046</v>
      </c>
      <c r="R91" t="s">
        <v>2982</v>
      </c>
      <c r="S91" t="s">
        <v>988</v>
      </c>
    </row>
    <row r="92" spans="1:19" hidden="1" x14ac:dyDescent="0.3">
      <c r="A92">
        <v>353</v>
      </c>
      <c r="B92" t="s">
        <v>1298</v>
      </c>
      <c r="C92" t="s">
        <v>2877</v>
      </c>
      <c r="D92" t="s">
        <v>1203</v>
      </c>
      <c r="E92" t="s">
        <v>1204</v>
      </c>
      <c r="F92">
        <v>7537</v>
      </c>
      <c r="G92" t="s">
        <v>2683</v>
      </c>
      <c r="H92" t="s">
        <v>2983</v>
      </c>
      <c r="I92">
        <v>10081.296587250001</v>
      </c>
      <c r="J92" t="s">
        <v>2460</v>
      </c>
      <c r="K92">
        <v>10081.296587250001</v>
      </c>
      <c r="L92" t="s">
        <v>2460</v>
      </c>
      <c r="M92">
        <v>10081.296587250001</v>
      </c>
      <c r="N92" t="s">
        <v>2460</v>
      </c>
      <c r="O92">
        <v>10081.296587250001</v>
      </c>
      <c r="P92" t="s">
        <v>2460</v>
      </c>
      <c r="Q92">
        <v>10081.296587250001</v>
      </c>
      <c r="R92" t="s">
        <v>2460</v>
      </c>
      <c r="S92" t="s">
        <v>988</v>
      </c>
    </row>
    <row r="93" spans="1:19" hidden="1" x14ac:dyDescent="0.3">
      <c r="A93">
        <v>368</v>
      </c>
      <c r="B93" t="s">
        <v>1299</v>
      </c>
      <c r="C93" t="s">
        <v>2877</v>
      </c>
      <c r="D93" t="s">
        <v>1203</v>
      </c>
      <c r="E93" t="s">
        <v>1204</v>
      </c>
      <c r="F93">
        <v>5562</v>
      </c>
      <c r="G93" t="s">
        <v>2681</v>
      </c>
      <c r="H93" t="s">
        <v>2984</v>
      </c>
      <c r="I93">
        <v>2175</v>
      </c>
      <c r="J93" t="s">
        <v>2985</v>
      </c>
      <c r="K93">
        <v>2175</v>
      </c>
      <c r="L93" t="s">
        <v>2985</v>
      </c>
      <c r="M93">
        <v>2175</v>
      </c>
      <c r="N93" t="s">
        <v>2985</v>
      </c>
      <c r="O93">
        <v>2175</v>
      </c>
      <c r="P93" t="s">
        <v>2985</v>
      </c>
      <c r="Q93">
        <v>2175</v>
      </c>
      <c r="R93" t="s">
        <v>2985</v>
      </c>
      <c r="S93" t="s">
        <v>988</v>
      </c>
    </row>
    <row r="94" spans="1:19" hidden="1" x14ac:dyDescent="0.3">
      <c r="A94">
        <v>368</v>
      </c>
      <c r="B94" t="s">
        <v>1299</v>
      </c>
      <c r="C94" t="s">
        <v>2877</v>
      </c>
      <c r="D94" t="s">
        <v>1203</v>
      </c>
      <c r="E94" t="s">
        <v>1204</v>
      </c>
      <c r="F94">
        <v>5562</v>
      </c>
      <c r="G94" t="s">
        <v>2683</v>
      </c>
      <c r="H94" t="s">
        <v>2986</v>
      </c>
      <c r="I94">
        <v>2785</v>
      </c>
      <c r="J94" t="s">
        <v>2460</v>
      </c>
      <c r="K94">
        <v>2923</v>
      </c>
      <c r="L94" t="s">
        <v>2460</v>
      </c>
      <c r="M94">
        <v>3062</v>
      </c>
      <c r="N94" t="s">
        <v>2460</v>
      </c>
      <c r="O94">
        <v>3192</v>
      </c>
      <c r="P94" t="s">
        <v>2460</v>
      </c>
      <c r="Q94">
        <v>3321</v>
      </c>
      <c r="R94" t="s">
        <v>2460</v>
      </c>
      <c r="S94" t="s">
        <v>988</v>
      </c>
    </row>
    <row r="95" spans="1:19" hidden="1" x14ac:dyDescent="0.3">
      <c r="A95">
        <v>368</v>
      </c>
      <c r="B95" t="s">
        <v>1299</v>
      </c>
      <c r="C95" t="s">
        <v>2877</v>
      </c>
      <c r="D95" t="s">
        <v>1203</v>
      </c>
      <c r="E95" t="s">
        <v>1204</v>
      </c>
      <c r="F95">
        <v>5562</v>
      </c>
      <c r="G95" t="s">
        <v>2683</v>
      </c>
      <c r="H95" t="s">
        <v>2987</v>
      </c>
      <c r="I95">
        <v>1588</v>
      </c>
      <c r="J95" t="s">
        <v>2460</v>
      </c>
      <c r="K95">
        <v>1644</v>
      </c>
      <c r="L95" t="s">
        <v>2460</v>
      </c>
      <c r="M95">
        <v>1700</v>
      </c>
      <c r="N95" t="s">
        <v>2460</v>
      </c>
      <c r="O95">
        <v>1708</v>
      </c>
      <c r="P95" t="s">
        <v>2460</v>
      </c>
      <c r="Q95">
        <v>1716</v>
      </c>
      <c r="R95" t="s">
        <v>2460</v>
      </c>
      <c r="S95" t="s">
        <v>988</v>
      </c>
    </row>
    <row r="96" spans="1:19" hidden="1" x14ac:dyDescent="0.3">
      <c r="A96">
        <v>368</v>
      </c>
      <c r="B96" t="s">
        <v>1299</v>
      </c>
      <c r="C96" t="s">
        <v>2877</v>
      </c>
      <c r="D96" t="s">
        <v>1203</v>
      </c>
      <c r="E96" t="s">
        <v>1204</v>
      </c>
      <c r="F96">
        <v>5562</v>
      </c>
      <c r="G96" t="s">
        <v>2691</v>
      </c>
      <c r="H96" t="s">
        <v>2988</v>
      </c>
      <c r="I96">
        <v>1672</v>
      </c>
      <c r="J96" t="s">
        <v>2989</v>
      </c>
      <c r="K96">
        <v>1672</v>
      </c>
      <c r="L96" t="s">
        <v>2989</v>
      </c>
      <c r="M96">
        <v>1672</v>
      </c>
      <c r="N96" t="s">
        <v>2989</v>
      </c>
      <c r="O96">
        <v>1672</v>
      </c>
      <c r="P96" t="s">
        <v>2989</v>
      </c>
      <c r="Q96">
        <v>1672</v>
      </c>
      <c r="R96" t="s">
        <v>2989</v>
      </c>
      <c r="S96" t="s">
        <v>988</v>
      </c>
    </row>
    <row r="97" spans="1:19" hidden="1" x14ac:dyDescent="0.3">
      <c r="A97">
        <v>368</v>
      </c>
      <c r="B97" t="s">
        <v>1299</v>
      </c>
      <c r="C97" t="s">
        <v>2877</v>
      </c>
      <c r="D97" t="s">
        <v>1203</v>
      </c>
      <c r="E97" t="s">
        <v>1204</v>
      </c>
      <c r="F97">
        <v>5562</v>
      </c>
      <c r="G97" t="s">
        <v>2681</v>
      </c>
      <c r="H97" t="s">
        <v>2990</v>
      </c>
      <c r="I97">
        <v>2770</v>
      </c>
      <c r="J97" t="s">
        <v>2991</v>
      </c>
      <c r="K97">
        <v>2770</v>
      </c>
      <c r="L97" t="s">
        <v>2991</v>
      </c>
      <c r="M97">
        <v>2770</v>
      </c>
      <c r="N97" t="s">
        <v>2991</v>
      </c>
      <c r="O97">
        <v>2770</v>
      </c>
      <c r="P97" t="s">
        <v>2991</v>
      </c>
      <c r="Q97">
        <v>2770</v>
      </c>
      <c r="R97" t="s">
        <v>2991</v>
      </c>
      <c r="S97" t="s">
        <v>988</v>
      </c>
    </row>
    <row r="98" spans="1:19" hidden="1" x14ac:dyDescent="0.3">
      <c r="A98">
        <v>368</v>
      </c>
      <c r="B98" t="s">
        <v>1299</v>
      </c>
      <c r="C98" t="s">
        <v>2877</v>
      </c>
      <c r="D98" t="s">
        <v>1203</v>
      </c>
      <c r="E98" t="s">
        <v>1204</v>
      </c>
      <c r="F98">
        <v>5562</v>
      </c>
      <c r="G98" t="s">
        <v>2681</v>
      </c>
      <c r="H98" t="s">
        <v>2992</v>
      </c>
      <c r="I98">
        <v>1609</v>
      </c>
      <c r="J98" t="s">
        <v>2993</v>
      </c>
      <c r="K98">
        <v>1609</v>
      </c>
      <c r="L98" t="s">
        <v>2993</v>
      </c>
      <c r="M98">
        <v>1609</v>
      </c>
      <c r="N98" t="s">
        <v>2993</v>
      </c>
      <c r="O98">
        <v>1609</v>
      </c>
      <c r="P98" t="s">
        <v>2993</v>
      </c>
      <c r="Q98">
        <v>1609</v>
      </c>
      <c r="R98" t="s">
        <v>2993</v>
      </c>
      <c r="S98" t="s">
        <v>988</v>
      </c>
    </row>
    <row r="99" spans="1:19" hidden="1" x14ac:dyDescent="0.3">
      <c r="A99">
        <v>368</v>
      </c>
      <c r="B99" t="s">
        <v>1299</v>
      </c>
      <c r="C99" t="s">
        <v>2877</v>
      </c>
      <c r="D99" t="s">
        <v>1203</v>
      </c>
      <c r="E99" t="s">
        <v>1204</v>
      </c>
      <c r="F99">
        <v>5562</v>
      </c>
      <c r="G99" t="s">
        <v>2683</v>
      </c>
      <c r="H99" t="s">
        <v>2994</v>
      </c>
      <c r="I99">
        <v>1507</v>
      </c>
      <c r="J99" t="s">
        <v>2460</v>
      </c>
      <c r="K99">
        <v>1611</v>
      </c>
      <c r="L99" t="s">
        <v>2460</v>
      </c>
      <c r="M99">
        <v>1716</v>
      </c>
      <c r="N99" t="s">
        <v>2460</v>
      </c>
      <c r="O99">
        <v>1790</v>
      </c>
      <c r="P99" t="s">
        <v>2460</v>
      </c>
      <c r="Q99">
        <v>1865</v>
      </c>
      <c r="R99" t="s">
        <v>2460</v>
      </c>
      <c r="S99" t="s">
        <v>988</v>
      </c>
    </row>
    <row r="100" spans="1:19" hidden="1" x14ac:dyDescent="0.3">
      <c r="A100">
        <v>368</v>
      </c>
      <c r="B100" t="s">
        <v>1299</v>
      </c>
      <c r="C100" t="s">
        <v>2877</v>
      </c>
      <c r="D100" t="s">
        <v>1203</v>
      </c>
      <c r="E100" t="s">
        <v>1204</v>
      </c>
      <c r="F100">
        <v>5562</v>
      </c>
      <c r="G100" t="s">
        <v>2681</v>
      </c>
      <c r="H100" t="s">
        <v>2995</v>
      </c>
      <c r="I100">
        <v>6048</v>
      </c>
      <c r="J100" t="s">
        <v>2996</v>
      </c>
      <c r="K100">
        <v>6048</v>
      </c>
      <c r="L100" t="s">
        <v>2996</v>
      </c>
      <c r="M100">
        <v>6048</v>
      </c>
      <c r="N100" t="s">
        <v>2996</v>
      </c>
      <c r="O100">
        <v>6048</v>
      </c>
      <c r="P100" t="s">
        <v>2996</v>
      </c>
      <c r="Q100">
        <v>6048</v>
      </c>
      <c r="R100" t="s">
        <v>2996</v>
      </c>
      <c r="S100" t="s">
        <v>988</v>
      </c>
    </row>
    <row r="101" spans="1:19" hidden="1" x14ac:dyDescent="0.3">
      <c r="A101">
        <v>368</v>
      </c>
      <c r="B101" t="s">
        <v>1299</v>
      </c>
      <c r="C101" t="s">
        <v>2877</v>
      </c>
      <c r="D101" t="s">
        <v>1203</v>
      </c>
      <c r="E101" t="s">
        <v>1204</v>
      </c>
      <c r="F101">
        <v>5562</v>
      </c>
      <c r="G101" t="s">
        <v>2683</v>
      </c>
      <c r="H101" t="s">
        <v>2997</v>
      </c>
      <c r="I101">
        <v>1442</v>
      </c>
      <c r="J101" t="s">
        <v>2460</v>
      </c>
      <c r="K101">
        <v>1442</v>
      </c>
      <c r="L101" t="s">
        <v>2460</v>
      </c>
      <c r="M101">
        <v>1442</v>
      </c>
      <c r="N101" t="s">
        <v>2460</v>
      </c>
      <c r="O101">
        <v>1442</v>
      </c>
      <c r="P101" t="s">
        <v>2460</v>
      </c>
      <c r="Q101">
        <v>1442</v>
      </c>
      <c r="R101" t="s">
        <v>2460</v>
      </c>
      <c r="S101" t="s">
        <v>988</v>
      </c>
    </row>
    <row r="102" spans="1:19" hidden="1" x14ac:dyDescent="0.3">
      <c r="A102">
        <v>369</v>
      </c>
      <c r="B102" t="s">
        <v>1305</v>
      </c>
      <c r="C102" t="s">
        <v>2877</v>
      </c>
      <c r="D102" t="s">
        <v>1203</v>
      </c>
      <c r="E102" t="s">
        <v>1204</v>
      </c>
      <c r="F102">
        <v>5748</v>
      </c>
      <c r="G102" t="s">
        <v>2687</v>
      </c>
      <c r="H102" t="s">
        <v>2998</v>
      </c>
      <c r="I102">
        <v>94</v>
      </c>
      <c r="J102" t="s">
        <v>2999</v>
      </c>
      <c r="K102">
        <v>94</v>
      </c>
      <c r="L102" t="s">
        <v>2999</v>
      </c>
      <c r="M102">
        <v>94</v>
      </c>
      <c r="N102" t="s">
        <v>2999</v>
      </c>
      <c r="O102">
        <v>94</v>
      </c>
      <c r="P102" t="s">
        <v>2999</v>
      </c>
      <c r="Q102">
        <v>94</v>
      </c>
      <c r="R102" t="s">
        <v>2999</v>
      </c>
      <c r="S102" t="s">
        <v>988</v>
      </c>
    </row>
    <row r="103" spans="1:19" hidden="1" x14ac:dyDescent="0.3">
      <c r="A103">
        <v>369</v>
      </c>
      <c r="B103" t="s">
        <v>1305</v>
      </c>
      <c r="C103" t="s">
        <v>2877</v>
      </c>
      <c r="D103" t="s">
        <v>1203</v>
      </c>
      <c r="E103" t="s">
        <v>1204</v>
      </c>
      <c r="F103">
        <v>5748</v>
      </c>
      <c r="G103" t="s">
        <v>2681</v>
      </c>
      <c r="H103" t="s">
        <v>3000</v>
      </c>
      <c r="I103">
        <v>1474</v>
      </c>
      <c r="J103" t="s">
        <v>3001</v>
      </c>
      <c r="K103">
        <v>774</v>
      </c>
      <c r="L103" t="s">
        <v>3002</v>
      </c>
      <c r="M103">
        <v>774</v>
      </c>
      <c r="N103" t="s">
        <v>3002</v>
      </c>
      <c r="O103">
        <v>774</v>
      </c>
      <c r="P103" t="s">
        <v>3002</v>
      </c>
      <c r="Q103">
        <v>774</v>
      </c>
      <c r="R103" t="s">
        <v>3002</v>
      </c>
      <c r="S103" t="s">
        <v>988</v>
      </c>
    </row>
    <row r="104" spans="1:19" hidden="1" x14ac:dyDescent="0.3">
      <c r="A104">
        <v>369</v>
      </c>
      <c r="B104" t="s">
        <v>1305</v>
      </c>
      <c r="C104" t="s">
        <v>2877</v>
      </c>
      <c r="D104" t="s">
        <v>1203</v>
      </c>
      <c r="E104" t="s">
        <v>1204</v>
      </c>
      <c r="F104">
        <v>5748</v>
      </c>
      <c r="G104" t="s">
        <v>2681</v>
      </c>
      <c r="H104" t="s">
        <v>3003</v>
      </c>
      <c r="I104">
        <v>3376</v>
      </c>
      <c r="J104" t="s">
        <v>3004</v>
      </c>
      <c r="K104">
        <v>3376</v>
      </c>
      <c r="L104" t="s">
        <v>3004</v>
      </c>
      <c r="M104">
        <v>3376</v>
      </c>
      <c r="N104" t="s">
        <v>3004</v>
      </c>
      <c r="O104">
        <v>3376</v>
      </c>
      <c r="P104" t="s">
        <v>3004</v>
      </c>
      <c r="Q104">
        <v>3376</v>
      </c>
      <c r="R104" t="s">
        <v>3004</v>
      </c>
      <c r="S104" t="s">
        <v>988</v>
      </c>
    </row>
    <row r="105" spans="1:19" hidden="1" x14ac:dyDescent="0.3">
      <c r="A105">
        <v>369</v>
      </c>
      <c r="B105" t="s">
        <v>1305</v>
      </c>
      <c r="C105" t="s">
        <v>2877</v>
      </c>
      <c r="D105" t="s">
        <v>1203</v>
      </c>
      <c r="E105" t="s">
        <v>1204</v>
      </c>
      <c r="F105">
        <v>5748</v>
      </c>
      <c r="G105" t="s">
        <v>2679</v>
      </c>
      <c r="H105" t="s">
        <v>3005</v>
      </c>
      <c r="I105">
        <v>3500</v>
      </c>
      <c r="J105" t="s">
        <v>3006</v>
      </c>
      <c r="K105">
        <v>3500</v>
      </c>
      <c r="L105" t="s">
        <v>3006</v>
      </c>
      <c r="M105">
        <v>3500</v>
      </c>
      <c r="N105" t="s">
        <v>3006</v>
      </c>
      <c r="O105">
        <v>3500</v>
      </c>
      <c r="P105" t="s">
        <v>3006</v>
      </c>
      <c r="Q105">
        <v>3500</v>
      </c>
      <c r="R105" t="s">
        <v>3006</v>
      </c>
      <c r="S105" t="s">
        <v>988</v>
      </c>
    </row>
    <row r="106" spans="1:19" hidden="1" x14ac:dyDescent="0.3">
      <c r="A106">
        <v>369</v>
      </c>
      <c r="B106" t="s">
        <v>1305</v>
      </c>
      <c r="C106" t="s">
        <v>2877</v>
      </c>
      <c r="D106" t="s">
        <v>1203</v>
      </c>
      <c r="E106" t="s">
        <v>1204</v>
      </c>
      <c r="F106">
        <v>5748</v>
      </c>
      <c r="G106" t="s">
        <v>2689</v>
      </c>
      <c r="H106" t="s">
        <v>3007</v>
      </c>
      <c r="I106">
        <v>0</v>
      </c>
      <c r="J106" t="s">
        <v>2982</v>
      </c>
      <c r="K106">
        <v>6252</v>
      </c>
      <c r="L106" t="s">
        <v>3008</v>
      </c>
      <c r="M106">
        <v>6252</v>
      </c>
      <c r="N106" t="s">
        <v>3008</v>
      </c>
      <c r="O106">
        <v>6252</v>
      </c>
      <c r="P106" t="s">
        <v>3008</v>
      </c>
      <c r="Q106">
        <v>6252</v>
      </c>
      <c r="R106" t="s">
        <v>3008</v>
      </c>
      <c r="S106" t="s">
        <v>988</v>
      </c>
    </row>
    <row r="107" spans="1:19" hidden="1" x14ac:dyDescent="0.3">
      <c r="A107">
        <v>369</v>
      </c>
      <c r="B107" t="s">
        <v>1305</v>
      </c>
      <c r="C107" t="s">
        <v>2877</v>
      </c>
      <c r="D107" t="s">
        <v>1203</v>
      </c>
      <c r="E107" t="s">
        <v>1204</v>
      </c>
      <c r="F107">
        <v>5748</v>
      </c>
      <c r="G107" t="s">
        <v>687</v>
      </c>
      <c r="H107" t="s">
        <v>3009</v>
      </c>
      <c r="I107">
        <v>920</v>
      </c>
      <c r="J107" t="s">
        <v>3010</v>
      </c>
      <c r="K107">
        <v>920</v>
      </c>
      <c r="L107" t="s">
        <v>3010</v>
      </c>
      <c r="M107">
        <v>920</v>
      </c>
      <c r="N107" t="s">
        <v>3010</v>
      </c>
      <c r="O107">
        <v>920</v>
      </c>
      <c r="P107" t="s">
        <v>3010</v>
      </c>
      <c r="Q107">
        <v>920</v>
      </c>
      <c r="R107" t="s">
        <v>3010</v>
      </c>
      <c r="S107" t="s">
        <v>988</v>
      </c>
    </row>
    <row r="108" spans="1:19" hidden="1" x14ac:dyDescent="0.3">
      <c r="A108">
        <v>369</v>
      </c>
      <c r="B108" t="s">
        <v>1305</v>
      </c>
      <c r="C108" t="s">
        <v>2877</v>
      </c>
      <c r="D108" t="s">
        <v>1203</v>
      </c>
      <c r="E108" t="s">
        <v>1204</v>
      </c>
      <c r="F108">
        <v>5748</v>
      </c>
      <c r="G108" t="s">
        <v>2679</v>
      </c>
      <c r="H108" t="s">
        <v>3011</v>
      </c>
      <c r="I108">
        <v>528</v>
      </c>
      <c r="J108" t="s">
        <v>3012</v>
      </c>
      <c r="K108">
        <v>2250</v>
      </c>
      <c r="L108" t="s">
        <v>3013</v>
      </c>
      <c r="M108">
        <v>2250</v>
      </c>
      <c r="N108" t="s">
        <v>3013</v>
      </c>
      <c r="O108">
        <v>2250</v>
      </c>
      <c r="P108" t="s">
        <v>3013</v>
      </c>
      <c r="Q108">
        <v>2250</v>
      </c>
      <c r="R108" t="s">
        <v>3013</v>
      </c>
      <c r="S108" t="s">
        <v>988</v>
      </c>
    </row>
    <row r="109" spans="1:19" hidden="1" x14ac:dyDescent="0.3">
      <c r="A109">
        <v>372</v>
      </c>
      <c r="B109" t="s">
        <v>1310</v>
      </c>
      <c r="C109" t="s">
        <v>2877</v>
      </c>
      <c r="D109" t="s">
        <v>1203</v>
      </c>
      <c r="E109" t="s">
        <v>1204</v>
      </c>
      <c r="F109">
        <v>5790</v>
      </c>
      <c r="G109" t="s">
        <v>2681</v>
      </c>
      <c r="H109" t="s">
        <v>3014</v>
      </c>
      <c r="I109">
        <v>20490.96417445</v>
      </c>
      <c r="J109" t="s">
        <v>3015</v>
      </c>
      <c r="K109">
        <v>20490.96417445</v>
      </c>
      <c r="L109" t="s">
        <v>3015</v>
      </c>
      <c r="M109">
        <v>20490.96417445</v>
      </c>
      <c r="N109" t="s">
        <v>3015</v>
      </c>
      <c r="O109">
        <v>20490.96417445</v>
      </c>
      <c r="P109" t="s">
        <v>3015</v>
      </c>
      <c r="R109" t="s">
        <v>2460</v>
      </c>
      <c r="S109" t="s">
        <v>988</v>
      </c>
    </row>
    <row r="110" spans="1:19" hidden="1" x14ac:dyDescent="0.3">
      <c r="A110">
        <v>372</v>
      </c>
      <c r="B110" t="s">
        <v>1310</v>
      </c>
      <c r="C110" t="s">
        <v>2877</v>
      </c>
      <c r="D110" t="s">
        <v>1203</v>
      </c>
      <c r="E110" t="s">
        <v>1204</v>
      </c>
      <c r="F110">
        <v>5790</v>
      </c>
      <c r="G110" t="s">
        <v>2683</v>
      </c>
      <c r="H110" t="s">
        <v>3016</v>
      </c>
      <c r="I110">
        <v>2000.9148782</v>
      </c>
      <c r="J110" t="s">
        <v>2982</v>
      </c>
      <c r="K110">
        <v>2000.9148782</v>
      </c>
      <c r="L110" t="s">
        <v>2982</v>
      </c>
      <c r="M110">
        <v>2000.9148782</v>
      </c>
      <c r="N110" t="s">
        <v>2982</v>
      </c>
      <c r="O110">
        <v>2000.9148782</v>
      </c>
      <c r="P110" t="s">
        <v>2982</v>
      </c>
      <c r="R110" t="s">
        <v>2460</v>
      </c>
      <c r="S110" t="s">
        <v>988</v>
      </c>
    </row>
    <row r="111" spans="1:19" hidden="1" x14ac:dyDescent="0.3">
      <c r="A111">
        <v>372</v>
      </c>
      <c r="B111" t="s">
        <v>1310</v>
      </c>
      <c r="C111" t="s">
        <v>2877</v>
      </c>
      <c r="D111" t="s">
        <v>1203</v>
      </c>
      <c r="E111" t="s">
        <v>1204</v>
      </c>
      <c r="F111">
        <v>5790</v>
      </c>
      <c r="G111" t="s">
        <v>2681</v>
      </c>
      <c r="H111" t="s">
        <v>3017</v>
      </c>
      <c r="I111">
        <v>3397.2588499499998</v>
      </c>
      <c r="J111" t="s">
        <v>3018</v>
      </c>
      <c r="K111">
        <v>3397.2588499499998</v>
      </c>
      <c r="L111" t="s">
        <v>3018</v>
      </c>
      <c r="M111">
        <v>3397.2588499499998</v>
      </c>
      <c r="N111" t="s">
        <v>3018</v>
      </c>
      <c r="O111">
        <v>3397.2588499499998</v>
      </c>
      <c r="P111" t="s">
        <v>3018</v>
      </c>
      <c r="R111" t="s">
        <v>2460</v>
      </c>
      <c r="S111" t="s">
        <v>988</v>
      </c>
    </row>
    <row r="112" spans="1:19" hidden="1" x14ac:dyDescent="0.3">
      <c r="A112">
        <v>372</v>
      </c>
      <c r="B112" t="s">
        <v>1310</v>
      </c>
      <c r="C112" t="s">
        <v>2877</v>
      </c>
      <c r="D112" t="s">
        <v>1203</v>
      </c>
      <c r="E112" t="s">
        <v>1204</v>
      </c>
      <c r="F112">
        <v>5790</v>
      </c>
      <c r="G112" t="s">
        <v>2683</v>
      </c>
      <c r="H112" t="s">
        <v>3019</v>
      </c>
      <c r="I112">
        <v>4514.3340273499998</v>
      </c>
      <c r="J112" t="s">
        <v>3020</v>
      </c>
      <c r="K112">
        <v>2577.8657939999998</v>
      </c>
      <c r="L112" t="s">
        <v>3021</v>
      </c>
      <c r="M112">
        <v>2577.8657939999998</v>
      </c>
      <c r="N112" t="s">
        <v>3021</v>
      </c>
      <c r="O112">
        <v>2577.8657939999998</v>
      </c>
      <c r="P112" t="s">
        <v>3021</v>
      </c>
      <c r="R112" t="s">
        <v>2460</v>
      </c>
      <c r="S112" t="s">
        <v>988</v>
      </c>
    </row>
    <row r="113" spans="1:19" hidden="1" x14ac:dyDescent="0.3">
      <c r="A113">
        <v>372</v>
      </c>
      <c r="B113" t="s">
        <v>1310</v>
      </c>
      <c r="C113" t="s">
        <v>2877</v>
      </c>
      <c r="D113" t="s">
        <v>1203</v>
      </c>
      <c r="E113" t="s">
        <v>1204</v>
      </c>
      <c r="F113">
        <v>5790</v>
      </c>
      <c r="G113" t="s">
        <v>2681</v>
      </c>
      <c r="H113" t="s">
        <v>3022</v>
      </c>
      <c r="I113">
        <v>589.2264672</v>
      </c>
      <c r="J113" t="s">
        <v>3023</v>
      </c>
      <c r="K113">
        <v>589.2264672</v>
      </c>
      <c r="L113" t="s">
        <v>3023</v>
      </c>
      <c r="M113">
        <v>589.2264672</v>
      </c>
      <c r="N113" t="s">
        <v>3023</v>
      </c>
      <c r="O113">
        <v>589.2264672</v>
      </c>
      <c r="P113" t="s">
        <v>3023</v>
      </c>
      <c r="R113" t="s">
        <v>2460</v>
      </c>
      <c r="S113" t="s">
        <v>988</v>
      </c>
    </row>
    <row r="114" spans="1:19" hidden="1" x14ac:dyDescent="0.3">
      <c r="A114">
        <v>372</v>
      </c>
      <c r="B114" t="s">
        <v>1310</v>
      </c>
      <c r="C114" t="s">
        <v>2877</v>
      </c>
      <c r="D114" t="s">
        <v>1203</v>
      </c>
      <c r="E114" t="s">
        <v>1204</v>
      </c>
      <c r="F114">
        <v>5790</v>
      </c>
      <c r="G114" t="s">
        <v>2683</v>
      </c>
      <c r="H114" t="s">
        <v>3024</v>
      </c>
      <c r="I114">
        <v>3630.4943265500001</v>
      </c>
      <c r="J114" t="s">
        <v>3025</v>
      </c>
      <c r="K114">
        <v>3630.4943265500001</v>
      </c>
      <c r="L114" t="s">
        <v>3025</v>
      </c>
      <c r="M114">
        <v>3630.4943265500001</v>
      </c>
      <c r="N114" t="s">
        <v>3025</v>
      </c>
      <c r="O114">
        <v>3630.4943265500001</v>
      </c>
      <c r="P114" t="s">
        <v>3025</v>
      </c>
      <c r="R114" t="s">
        <v>2460</v>
      </c>
      <c r="S114" t="s">
        <v>988</v>
      </c>
    </row>
    <row r="115" spans="1:19" hidden="1" x14ac:dyDescent="0.3">
      <c r="A115">
        <v>372</v>
      </c>
      <c r="B115" t="s">
        <v>1310</v>
      </c>
      <c r="C115" t="s">
        <v>2877</v>
      </c>
      <c r="D115" t="s">
        <v>1203</v>
      </c>
      <c r="E115" t="s">
        <v>1204</v>
      </c>
      <c r="F115">
        <v>5790</v>
      </c>
      <c r="G115" t="s">
        <v>2681</v>
      </c>
      <c r="H115" t="s">
        <v>3026</v>
      </c>
      <c r="I115">
        <v>896.11525219999999</v>
      </c>
      <c r="J115" t="s">
        <v>3027</v>
      </c>
      <c r="K115">
        <v>896.11525219999999</v>
      </c>
      <c r="L115" t="s">
        <v>3027</v>
      </c>
      <c r="M115">
        <v>896.11525219999999</v>
      </c>
      <c r="N115" t="s">
        <v>3027</v>
      </c>
      <c r="O115">
        <v>896.11525219999999</v>
      </c>
      <c r="P115" t="s">
        <v>3027</v>
      </c>
      <c r="R115" t="s">
        <v>2460</v>
      </c>
      <c r="S115" t="s">
        <v>988</v>
      </c>
    </row>
    <row r="116" spans="1:19" hidden="1" x14ac:dyDescent="0.3">
      <c r="A116">
        <v>372</v>
      </c>
      <c r="B116" t="s">
        <v>1310</v>
      </c>
      <c r="C116" t="s">
        <v>2877</v>
      </c>
      <c r="D116" t="s">
        <v>1203</v>
      </c>
      <c r="E116" t="s">
        <v>1204</v>
      </c>
      <c r="F116">
        <v>5790</v>
      </c>
      <c r="G116" t="s">
        <v>2681</v>
      </c>
      <c r="H116" t="s">
        <v>3028</v>
      </c>
      <c r="I116">
        <v>24468.242828049999</v>
      </c>
      <c r="J116" t="s">
        <v>3029</v>
      </c>
      <c r="K116">
        <v>24468.242828049999</v>
      </c>
      <c r="L116" t="s">
        <v>3029</v>
      </c>
      <c r="M116">
        <v>24468.242828049999</v>
      </c>
      <c r="N116" t="s">
        <v>3029</v>
      </c>
      <c r="O116">
        <v>24468.242828049999</v>
      </c>
      <c r="P116" t="s">
        <v>3029</v>
      </c>
      <c r="R116" t="s">
        <v>2460</v>
      </c>
      <c r="S116" t="s">
        <v>988</v>
      </c>
    </row>
    <row r="117" spans="1:19" hidden="1" x14ac:dyDescent="0.3">
      <c r="A117">
        <v>372</v>
      </c>
      <c r="B117" t="s">
        <v>1310</v>
      </c>
      <c r="C117" t="s">
        <v>2877</v>
      </c>
      <c r="D117" t="s">
        <v>1203</v>
      </c>
      <c r="E117" t="s">
        <v>1204</v>
      </c>
      <c r="F117">
        <v>5790</v>
      </c>
      <c r="G117" t="s">
        <v>2683</v>
      </c>
      <c r="H117" t="s">
        <v>3030</v>
      </c>
      <c r="I117">
        <v>4514.3340273499998</v>
      </c>
      <c r="J117" t="s">
        <v>3031</v>
      </c>
      <c r="K117">
        <v>2577.8657939999998</v>
      </c>
      <c r="L117" t="s">
        <v>3032</v>
      </c>
      <c r="M117">
        <v>2577.8657939999998</v>
      </c>
      <c r="N117" t="s">
        <v>3032</v>
      </c>
      <c r="O117">
        <v>2577.8657939999998</v>
      </c>
      <c r="P117" t="s">
        <v>3032</v>
      </c>
      <c r="R117" t="s">
        <v>2460</v>
      </c>
      <c r="S117" t="s">
        <v>988</v>
      </c>
    </row>
    <row r="118" spans="1:19" hidden="1" x14ac:dyDescent="0.3">
      <c r="A118">
        <v>372</v>
      </c>
      <c r="B118" t="s">
        <v>1310</v>
      </c>
      <c r="C118" t="s">
        <v>2877</v>
      </c>
      <c r="D118" t="s">
        <v>1203</v>
      </c>
      <c r="E118" t="s">
        <v>1204</v>
      </c>
      <c r="F118">
        <v>5790</v>
      </c>
      <c r="G118" t="s">
        <v>2681</v>
      </c>
      <c r="H118" t="s">
        <v>3033</v>
      </c>
      <c r="I118">
        <v>24541.896136449999</v>
      </c>
      <c r="J118" t="s">
        <v>3034</v>
      </c>
      <c r="K118">
        <v>24541.896136449999</v>
      </c>
      <c r="L118" t="s">
        <v>3034</v>
      </c>
      <c r="M118">
        <v>24541.896136449999</v>
      </c>
      <c r="N118" t="s">
        <v>3034</v>
      </c>
      <c r="O118">
        <v>24541.896136449999</v>
      </c>
      <c r="P118" t="s">
        <v>3034</v>
      </c>
      <c r="R118" t="s">
        <v>2460</v>
      </c>
      <c r="S118" t="s">
        <v>988</v>
      </c>
    </row>
    <row r="119" spans="1:19" hidden="1" x14ac:dyDescent="0.3">
      <c r="A119">
        <v>372</v>
      </c>
      <c r="B119" t="s">
        <v>1310</v>
      </c>
      <c r="C119" t="s">
        <v>2877</v>
      </c>
      <c r="D119" t="s">
        <v>1203</v>
      </c>
      <c r="E119" t="s">
        <v>1204</v>
      </c>
      <c r="F119">
        <v>5790</v>
      </c>
      <c r="G119" t="s">
        <v>2683</v>
      </c>
      <c r="H119" t="s">
        <v>3035</v>
      </c>
      <c r="I119">
        <v>2000.9148782</v>
      </c>
      <c r="J119" t="s">
        <v>2982</v>
      </c>
      <c r="K119">
        <v>2000.9148782</v>
      </c>
      <c r="L119" t="s">
        <v>2982</v>
      </c>
      <c r="M119">
        <v>2000.9148782</v>
      </c>
      <c r="N119" t="s">
        <v>2982</v>
      </c>
      <c r="O119">
        <v>2000.9148782</v>
      </c>
      <c r="P119" t="s">
        <v>2982</v>
      </c>
      <c r="R119" t="s">
        <v>2460</v>
      </c>
      <c r="S119" t="s">
        <v>988</v>
      </c>
    </row>
    <row r="120" spans="1:19" hidden="1" x14ac:dyDescent="0.3">
      <c r="A120">
        <v>372</v>
      </c>
      <c r="B120" t="s">
        <v>1310</v>
      </c>
      <c r="C120" t="s">
        <v>2877</v>
      </c>
      <c r="D120" t="s">
        <v>1203</v>
      </c>
      <c r="E120" t="s">
        <v>1204</v>
      </c>
      <c r="F120">
        <v>5790</v>
      </c>
      <c r="G120" t="s">
        <v>2681</v>
      </c>
      <c r="H120" t="s">
        <v>3036</v>
      </c>
      <c r="I120">
        <v>727.32642045</v>
      </c>
      <c r="J120" t="s">
        <v>2982</v>
      </c>
      <c r="K120">
        <v>727.32642045</v>
      </c>
      <c r="L120" t="s">
        <v>2982</v>
      </c>
      <c r="M120">
        <v>727.32642045</v>
      </c>
      <c r="N120" t="s">
        <v>2982</v>
      </c>
      <c r="O120">
        <v>727.32642045</v>
      </c>
      <c r="P120" t="s">
        <v>2982</v>
      </c>
      <c r="R120" t="s">
        <v>2460</v>
      </c>
      <c r="S120" t="s">
        <v>988</v>
      </c>
    </row>
    <row r="121" spans="1:19" hidden="1" x14ac:dyDescent="0.3">
      <c r="A121">
        <v>372</v>
      </c>
      <c r="B121" t="s">
        <v>1310</v>
      </c>
      <c r="C121" t="s">
        <v>2877</v>
      </c>
      <c r="D121" t="s">
        <v>1203</v>
      </c>
      <c r="E121" t="s">
        <v>1204</v>
      </c>
      <c r="F121">
        <v>5790</v>
      </c>
      <c r="G121" t="s">
        <v>2683</v>
      </c>
      <c r="H121" t="s">
        <v>3037</v>
      </c>
      <c r="I121">
        <v>138.09995325</v>
      </c>
      <c r="J121" t="s">
        <v>3038</v>
      </c>
      <c r="K121">
        <v>622.98423355</v>
      </c>
      <c r="L121" t="s">
        <v>3039</v>
      </c>
      <c r="M121">
        <v>1565.1328034999999</v>
      </c>
      <c r="N121" t="s">
        <v>3040</v>
      </c>
      <c r="O121">
        <v>3130.2656069999998</v>
      </c>
      <c r="P121" t="s">
        <v>3041</v>
      </c>
      <c r="R121" t="s">
        <v>2460</v>
      </c>
      <c r="S121" t="s">
        <v>988</v>
      </c>
    </row>
    <row r="122" spans="1:19" hidden="1" x14ac:dyDescent="0.3">
      <c r="A122">
        <v>372</v>
      </c>
      <c r="B122" t="s">
        <v>1310</v>
      </c>
      <c r="C122" t="s">
        <v>2877</v>
      </c>
      <c r="D122" t="s">
        <v>1203</v>
      </c>
      <c r="E122" t="s">
        <v>1204</v>
      </c>
      <c r="F122">
        <v>5790</v>
      </c>
      <c r="G122" t="s">
        <v>2681</v>
      </c>
      <c r="H122" t="s">
        <v>3042</v>
      </c>
      <c r="I122">
        <v>28285.939313449999</v>
      </c>
      <c r="J122" t="s">
        <v>3043</v>
      </c>
      <c r="K122">
        <v>28285.939313449999</v>
      </c>
      <c r="L122" t="s">
        <v>3043</v>
      </c>
      <c r="M122">
        <v>28285.939313449999</v>
      </c>
      <c r="N122" t="s">
        <v>3043</v>
      </c>
      <c r="O122">
        <v>28285.939313449999</v>
      </c>
      <c r="P122" t="s">
        <v>3043</v>
      </c>
      <c r="R122" t="s">
        <v>2460</v>
      </c>
      <c r="S122" t="s">
        <v>988</v>
      </c>
    </row>
    <row r="123" spans="1:19" hidden="1" x14ac:dyDescent="0.3">
      <c r="A123">
        <v>372</v>
      </c>
      <c r="B123" t="s">
        <v>1310</v>
      </c>
      <c r="C123" t="s">
        <v>2877</v>
      </c>
      <c r="D123" t="s">
        <v>1203</v>
      </c>
      <c r="E123" t="s">
        <v>1204</v>
      </c>
      <c r="F123">
        <v>5790</v>
      </c>
      <c r="G123" t="s">
        <v>2683</v>
      </c>
      <c r="H123" t="s">
        <v>3044</v>
      </c>
      <c r="I123">
        <v>4514.3340273499998</v>
      </c>
      <c r="J123" t="s">
        <v>3045</v>
      </c>
      <c r="K123">
        <v>2577.8657939999998</v>
      </c>
      <c r="L123" t="s">
        <v>3045</v>
      </c>
      <c r="M123">
        <v>2577.8657939999998</v>
      </c>
      <c r="N123" t="s">
        <v>3045</v>
      </c>
      <c r="O123">
        <v>2577.8657939999998</v>
      </c>
      <c r="P123" t="s">
        <v>3045</v>
      </c>
      <c r="R123" t="s">
        <v>2460</v>
      </c>
      <c r="S123" t="s">
        <v>988</v>
      </c>
    </row>
    <row r="124" spans="1:19" hidden="1" x14ac:dyDescent="0.3">
      <c r="A124">
        <v>372</v>
      </c>
      <c r="B124" t="s">
        <v>1310</v>
      </c>
      <c r="C124" t="s">
        <v>2877</v>
      </c>
      <c r="D124" t="s">
        <v>1203</v>
      </c>
      <c r="E124" t="s">
        <v>1204</v>
      </c>
      <c r="F124">
        <v>5790</v>
      </c>
      <c r="G124" t="s">
        <v>2681</v>
      </c>
      <c r="H124" t="s">
        <v>3046</v>
      </c>
      <c r="I124">
        <v>920.66635499999995</v>
      </c>
      <c r="J124" t="s">
        <v>3047</v>
      </c>
      <c r="K124">
        <v>920.66635499999995</v>
      </c>
      <c r="L124" t="s">
        <v>3047</v>
      </c>
      <c r="M124">
        <v>920.66635499999995</v>
      </c>
      <c r="N124" t="s">
        <v>3047</v>
      </c>
      <c r="O124">
        <v>920.66635499999995</v>
      </c>
      <c r="P124" t="s">
        <v>3047</v>
      </c>
      <c r="R124" t="s">
        <v>2460</v>
      </c>
      <c r="S124" t="s">
        <v>988</v>
      </c>
    </row>
    <row r="125" spans="1:19" hidden="1" x14ac:dyDescent="0.3">
      <c r="A125">
        <v>372</v>
      </c>
      <c r="B125" t="s">
        <v>1310</v>
      </c>
      <c r="C125" t="s">
        <v>2877</v>
      </c>
      <c r="D125" t="s">
        <v>1203</v>
      </c>
      <c r="E125" t="s">
        <v>1204</v>
      </c>
      <c r="F125">
        <v>5790</v>
      </c>
      <c r="G125" t="s">
        <v>2683</v>
      </c>
      <c r="H125" t="s">
        <v>3048</v>
      </c>
      <c r="I125">
        <v>2261.7703454500001</v>
      </c>
      <c r="J125" t="s">
        <v>3049</v>
      </c>
      <c r="K125">
        <v>2356.9058688</v>
      </c>
      <c r="L125" t="s">
        <v>3050</v>
      </c>
      <c r="M125">
        <v>2912.37456965</v>
      </c>
      <c r="N125" t="s">
        <v>3051</v>
      </c>
      <c r="O125">
        <v>3360.4321957500001</v>
      </c>
      <c r="P125" t="s">
        <v>3052</v>
      </c>
      <c r="R125" t="s">
        <v>2460</v>
      </c>
      <c r="S125" t="s">
        <v>988</v>
      </c>
    </row>
    <row r="126" spans="1:19" hidden="1" x14ac:dyDescent="0.3">
      <c r="A126">
        <v>372</v>
      </c>
      <c r="B126" t="s">
        <v>1310</v>
      </c>
      <c r="C126" t="s">
        <v>2877</v>
      </c>
      <c r="D126" t="s">
        <v>1203</v>
      </c>
      <c r="E126" t="s">
        <v>1204</v>
      </c>
      <c r="F126">
        <v>5790</v>
      </c>
      <c r="G126" t="s">
        <v>2681</v>
      </c>
      <c r="H126" t="s">
        <v>3053</v>
      </c>
      <c r="I126">
        <v>14936.277165949999</v>
      </c>
      <c r="J126" t="s">
        <v>3054</v>
      </c>
      <c r="K126">
        <v>14936.277165949999</v>
      </c>
      <c r="L126" t="s">
        <v>3054</v>
      </c>
      <c r="M126">
        <v>14936.277165949999</v>
      </c>
      <c r="N126" t="s">
        <v>3054</v>
      </c>
      <c r="O126">
        <v>14936.277165949999</v>
      </c>
      <c r="P126" t="s">
        <v>3054</v>
      </c>
      <c r="R126" t="s">
        <v>2460</v>
      </c>
      <c r="S126" t="s">
        <v>988</v>
      </c>
    </row>
    <row r="127" spans="1:19" hidden="1" x14ac:dyDescent="0.3">
      <c r="A127">
        <v>373</v>
      </c>
      <c r="B127" t="s">
        <v>1339</v>
      </c>
      <c r="C127" t="s">
        <v>2877</v>
      </c>
      <c r="D127" t="s">
        <v>1203</v>
      </c>
      <c r="E127" t="s">
        <v>1204</v>
      </c>
      <c r="F127">
        <v>6638</v>
      </c>
      <c r="G127" t="s">
        <v>2679</v>
      </c>
      <c r="H127" t="s">
        <v>3055</v>
      </c>
      <c r="I127">
        <v>0</v>
      </c>
      <c r="J127" t="s">
        <v>2460</v>
      </c>
      <c r="K127">
        <v>1120.14406525</v>
      </c>
      <c r="L127" t="s">
        <v>2460</v>
      </c>
      <c r="M127">
        <v>1120.14406525</v>
      </c>
      <c r="N127" t="s">
        <v>2460</v>
      </c>
      <c r="O127">
        <v>1120.14406525</v>
      </c>
      <c r="P127" t="s">
        <v>2460</v>
      </c>
      <c r="R127" t="s">
        <v>2460</v>
      </c>
      <c r="S127" t="s">
        <v>988</v>
      </c>
    </row>
    <row r="128" spans="1:19" hidden="1" x14ac:dyDescent="0.3">
      <c r="A128">
        <v>373</v>
      </c>
      <c r="B128" t="s">
        <v>1339</v>
      </c>
      <c r="C128" t="s">
        <v>2877</v>
      </c>
      <c r="D128" t="s">
        <v>1203</v>
      </c>
      <c r="E128" t="s">
        <v>1204</v>
      </c>
      <c r="F128">
        <v>6638</v>
      </c>
      <c r="G128" t="s">
        <v>2683</v>
      </c>
      <c r="H128" t="s">
        <v>3056</v>
      </c>
      <c r="I128">
        <v>12082.21146545</v>
      </c>
      <c r="J128" t="s">
        <v>2460</v>
      </c>
      <c r="K128">
        <v>11023.4451572</v>
      </c>
      <c r="L128" t="s">
        <v>2460</v>
      </c>
      <c r="M128">
        <v>11318.058390800001</v>
      </c>
      <c r="N128" t="s">
        <v>2460</v>
      </c>
      <c r="O128">
        <v>11621.87828795</v>
      </c>
      <c r="P128" t="s">
        <v>2460</v>
      </c>
      <c r="R128" t="s">
        <v>2460</v>
      </c>
      <c r="S128" t="s">
        <v>988</v>
      </c>
    </row>
    <row r="129" spans="1:19" hidden="1" x14ac:dyDescent="0.3">
      <c r="A129">
        <v>376</v>
      </c>
      <c r="B129" t="s">
        <v>1342</v>
      </c>
      <c r="C129" t="s">
        <v>2877</v>
      </c>
      <c r="D129" t="s">
        <v>1203</v>
      </c>
      <c r="E129" t="s">
        <v>1204</v>
      </c>
      <c r="F129">
        <v>5548</v>
      </c>
      <c r="G129" t="s">
        <v>2683</v>
      </c>
      <c r="H129" t="s">
        <v>2124</v>
      </c>
      <c r="I129">
        <v>18559.3</v>
      </c>
      <c r="J129" t="s">
        <v>2460</v>
      </c>
      <c r="K129">
        <v>18559.3</v>
      </c>
      <c r="L129" t="s">
        <v>2460</v>
      </c>
      <c r="M129">
        <v>18559.3</v>
      </c>
      <c r="N129" t="s">
        <v>2460</v>
      </c>
      <c r="O129">
        <v>18559.3</v>
      </c>
      <c r="P129" t="s">
        <v>2460</v>
      </c>
      <c r="Q129">
        <v>18559.3</v>
      </c>
      <c r="R129" t="s">
        <v>2460</v>
      </c>
      <c r="S129" t="s">
        <v>988</v>
      </c>
    </row>
    <row r="130" spans="1:19" hidden="1" x14ac:dyDescent="0.3">
      <c r="A130">
        <v>384</v>
      </c>
      <c r="B130" t="s">
        <v>1343</v>
      </c>
      <c r="C130" t="s">
        <v>2877</v>
      </c>
      <c r="D130" t="s">
        <v>1203</v>
      </c>
      <c r="E130" t="s">
        <v>1204</v>
      </c>
      <c r="F130">
        <v>5848</v>
      </c>
      <c r="G130" t="s">
        <v>2681</v>
      </c>
      <c r="H130" t="s">
        <v>3057</v>
      </c>
      <c r="I130">
        <v>473</v>
      </c>
      <c r="J130" t="s">
        <v>2460</v>
      </c>
      <c r="K130">
        <v>459</v>
      </c>
      <c r="L130" t="s">
        <v>2460</v>
      </c>
      <c r="M130">
        <v>463</v>
      </c>
      <c r="N130" t="s">
        <v>2460</v>
      </c>
      <c r="O130">
        <v>466</v>
      </c>
      <c r="P130" t="s">
        <v>2460</v>
      </c>
      <c r="Q130">
        <v>470</v>
      </c>
      <c r="R130" t="s">
        <v>2460</v>
      </c>
      <c r="S130" t="s">
        <v>988</v>
      </c>
    </row>
    <row r="131" spans="1:19" hidden="1" x14ac:dyDescent="0.3">
      <c r="A131">
        <v>384</v>
      </c>
      <c r="B131" t="s">
        <v>1343</v>
      </c>
      <c r="C131" t="s">
        <v>2877</v>
      </c>
      <c r="D131" t="s">
        <v>1203</v>
      </c>
      <c r="E131" t="s">
        <v>1204</v>
      </c>
      <c r="F131">
        <v>5848</v>
      </c>
      <c r="G131" t="s">
        <v>2683</v>
      </c>
      <c r="H131" t="s">
        <v>3058</v>
      </c>
      <c r="I131">
        <v>200</v>
      </c>
      <c r="J131" t="s">
        <v>2460</v>
      </c>
      <c r="K131">
        <v>195</v>
      </c>
      <c r="L131" t="s">
        <v>2460</v>
      </c>
      <c r="M131">
        <v>196</v>
      </c>
      <c r="N131" t="s">
        <v>2460</v>
      </c>
      <c r="O131">
        <v>198</v>
      </c>
      <c r="P131" t="s">
        <v>2460</v>
      </c>
      <c r="Q131">
        <v>200</v>
      </c>
      <c r="R131" t="s">
        <v>2460</v>
      </c>
      <c r="S131" t="s">
        <v>988</v>
      </c>
    </row>
    <row r="132" spans="1:19" hidden="1" x14ac:dyDescent="0.3">
      <c r="A132">
        <v>386</v>
      </c>
      <c r="B132" t="s">
        <v>1345</v>
      </c>
      <c r="C132" t="s">
        <v>2877</v>
      </c>
      <c r="D132" t="s">
        <v>1203</v>
      </c>
      <c r="E132" t="s">
        <v>1204</v>
      </c>
      <c r="F132">
        <v>5850</v>
      </c>
      <c r="G132" t="s">
        <v>2683</v>
      </c>
      <c r="H132" t="s">
        <v>3059</v>
      </c>
      <c r="I132">
        <v>17400</v>
      </c>
      <c r="J132" t="s">
        <v>2460</v>
      </c>
      <c r="K132">
        <v>31900</v>
      </c>
      <c r="L132" t="s">
        <v>2460</v>
      </c>
      <c r="M132">
        <v>31900</v>
      </c>
      <c r="N132" t="s">
        <v>2460</v>
      </c>
      <c r="O132">
        <v>31900</v>
      </c>
      <c r="P132" t="s">
        <v>2460</v>
      </c>
      <c r="Q132">
        <v>31900</v>
      </c>
      <c r="R132" t="s">
        <v>2460</v>
      </c>
      <c r="S132" t="s">
        <v>988</v>
      </c>
    </row>
    <row r="133" spans="1:19" hidden="1" x14ac:dyDescent="0.3">
      <c r="A133">
        <v>386</v>
      </c>
      <c r="B133" t="s">
        <v>1345</v>
      </c>
      <c r="C133" t="s">
        <v>2877</v>
      </c>
      <c r="D133" t="s">
        <v>1203</v>
      </c>
      <c r="E133" t="s">
        <v>1204</v>
      </c>
      <c r="F133">
        <v>5850</v>
      </c>
      <c r="G133" t="s">
        <v>2683</v>
      </c>
      <c r="H133" t="s">
        <v>3060</v>
      </c>
      <c r="I133">
        <v>18900</v>
      </c>
      <c r="J133" t="s">
        <v>2460</v>
      </c>
      <c r="K133">
        <v>18900</v>
      </c>
      <c r="L133" t="s">
        <v>2460</v>
      </c>
      <c r="M133">
        <v>18900</v>
      </c>
      <c r="N133" t="s">
        <v>2460</v>
      </c>
      <c r="O133">
        <v>18900</v>
      </c>
      <c r="P133" t="s">
        <v>2460</v>
      </c>
      <c r="Q133">
        <v>18900</v>
      </c>
      <c r="R133" t="s">
        <v>2460</v>
      </c>
      <c r="S133" t="s">
        <v>988</v>
      </c>
    </row>
    <row r="134" spans="1:19" hidden="1" x14ac:dyDescent="0.3">
      <c r="A134">
        <v>386</v>
      </c>
      <c r="B134" t="s">
        <v>1345</v>
      </c>
      <c r="C134" t="s">
        <v>2877</v>
      </c>
      <c r="D134" t="s">
        <v>1203</v>
      </c>
      <c r="E134" t="s">
        <v>1204</v>
      </c>
      <c r="F134">
        <v>5850</v>
      </c>
      <c r="G134" t="s">
        <v>2681</v>
      </c>
      <c r="H134" t="s">
        <v>3061</v>
      </c>
      <c r="I134">
        <v>24139</v>
      </c>
      <c r="J134" t="s">
        <v>2460</v>
      </c>
      <c r="K134">
        <v>11881</v>
      </c>
      <c r="L134" t="s">
        <v>2460</v>
      </c>
      <c r="M134">
        <v>14608</v>
      </c>
      <c r="N134" t="s">
        <v>2460</v>
      </c>
      <c r="O134">
        <v>17071</v>
      </c>
      <c r="P134" t="s">
        <v>2460</v>
      </c>
      <c r="Q134">
        <v>19514</v>
      </c>
      <c r="R134" t="s">
        <v>2460</v>
      </c>
      <c r="S134" t="s">
        <v>988</v>
      </c>
    </row>
    <row r="135" spans="1:19" hidden="1" x14ac:dyDescent="0.3">
      <c r="A135">
        <v>387</v>
      </c>
      <c r="B135" t="s">
        <v>1347</v>
      </c>
      <c r="C135" t="s">
        <v>2877</v>
      </c>
      <c r="D135" t="s">
        <v>1203</v>
      </c>
      <c r="E135" t="s">
        <v>1204</v>
      </c>
      <c r="F135">
        <v>5849</v>
      </c>
      <c r="G135" t="s">
        <v>2691</v>
      </c>
      <c r="H135" t="s">
        <v>3062</v>
      </c>
      <c r="I135">
        <v>840</v>
      </c>
      <c r="J135" t="s">
        <v>2460</v>
      </c>
      <c r="K135">
        <v>840</v>
      </c>
      <c r="L135" t="s">
        <v>2460</v>
      </c>
      <c r="M135">
        <v>840</v>
      </c>
      <c r="N135" t="s">
        <v>2460</v>
      </c>
      <c r="O135">
        <v>840</v>
      </c>
      <c r="P135" t="s">
        <v>2460</v>
      </c>
      <c r="Q135">
        <v>840</v>
      </c>
      <c r="R135" t="s">
        <v>2460</v>
      </c>
      <c r="S135" t="s">
        <v>988</v>
      </c>
    </row>
    <row r="136" spans="1:19" hidden="1" x14ac:dyDescent="0.3">
      <c r="A136">
        <v>387</v>
      </c>
      <c r="B136" t="s">
        <v>1347</v>
      </c>
      <c r="C136" t="s">
        <v>2877</v>
      </c>
      <c r="D136" t="s">
        <v>1203</v>
      </c>
      <c r="E136" t="s">
        <v>1204</v>
      </c>
      <c r="F136">
        <v>5849</v>
      </c>
      <c r="G136" t="s">
        <v>2683</v>
      </c>
      <c r="H136" t="s">
        <v>1909</v>
      </c>
      <c r="I136">
        <v>11956</v>
      </c>
      <c r="J136" t="s">
        <v>2460</v>
      </c>
      <c r="K136">
        <v>11859</v>
      </c>
      <c r="L136" t="s">
        <v>2460</v>
      </c>
      <c r="M136">
        <v>11890</v>
      </c>
      <c r="N136" t="s">
        <v>2460</v>
      </c>
      <c r="O136">
        <v>11835</v>
      </c>
      <c r="P136" t="s">
        <v>2460</v>
      </c>
      <c r="Q136">
        <v>11854</v>
      </c>
      <c r="R136" t="s">
        <v>2460</v>
      </c>
      <c r="S136" t="s">
        <v>988</v>
      </c>
    </row>
    <row r="137" spans="1:19" hidden="1" x14ac:dyDescent="0.3">
      <c r="A137">
        <v>388</v>
      </c>
      <c r="B137" t="s">
        <v>1348</v>
      </c>
      <c r="C137" t="s">
        <v>2877</v>
      </c>
      <c r="D137" t="s">
        <v>1203</v>
      </c>
      <c r="E137" t="s">
        <v>1204</v>
      </c>
      <c r="F137">
        <v>5851</v>
      </c>
      <c r="G137" t="s">
        <v>2681</v>
      </c>
      <c r="H137" t="s">
        <v>3063</v>
      </c>
      <c r="I137">
        <v>348.67399999999998</v>
      </c>
      <c r="J137" t="s">
        <v>2460</v>
      </c>
      <c r="K137">
        <v>353.68400000000003</v>
      </c>
      <c r="L137" t="s">
        <v>2460</v>
      </c>
      <c r="M137">
        <v>354.03800000000001</v>
      </c>
      <c r="N137" t="s">
        <v>2460</v>
      </c>
      <c r="O137">
        <v>353.76499999999999</v>
      </c>
      <c r="P137" t="s">
        <v>2460</v>
      </c>
      <c r="Q137">
        <v>354.83199999999999</v>
      </c>
      <c r="R137" t="s">
        <v>2460</v>
      </c>
      <c r="S137" t="s">
        <v>988</v>
      </c>
    </row>
    <row r="138" spans="1:19" hidden="1" x14ac:dyDescent="0.3">
      <c r="A138">
        <v>388</v>
      </c>
      <c r="B138" t="s">
        <v>1348</v>
      </c>
      <c r="C138" t="s">
        <v>2877</v>
      </c>
      <c r="D138" t="s">
        <v>1203</v>
      </c>
      <c r="E138" t="s">
        <v>1204</v>
      </c>
      <c r="F138">
        <v>5851</v>
      </c>
      <c r="G138" t="s">
        <v>2681</v>
      </c>
      <c r="H138" t="s">
        <v>3064</v>
      </c>
      <c r="I138">
        <v>23027.454000000002</v>
      </c>
      <c r="J138" t="s">
        <v>2460</v>
      </c>
      <c r="K138">
        <v>24157.741000000002</v>
      </c>
      <c r="L138" t="s">
        <v>2460</v>
      </c>
      <c r="M138">
        <v>25217.11</v>
      </c>
      <c r="N138" t="s">
        <v>2460</v>
      </c>
      <c r="O138">
        <v>25744.016</v>
      </c>
      <c r="P138" t="s">
        <v>2460</v>
      </c>
      <c r="Q138">
        <v>26118.964</v>
      </c>
      <c r="R138" t="s">
        <v>2460</v>
      </c>
      <c r="S138" t="s">
        <v>988</v>
      </c>
    </row>
    <row r="139" spans="1:19" hidden="1" x14ac:dyDescent="0.3">
      <c r="A139">
        <v>390</v>
      </c>
      <c r="B139" t="s">
        <v>1349</v>
      </c>
      <c r="C139" t="s">
        <v>2877</v>
      </c>
      <c r="D139" t="s">
        <v>1203</v>
      </c>
      <c r="E139" t="s">
        <v>1204</v>
      </c>
      <c r="F139">
        <v>5852</v>
      </c>
      <c r="G139" t="s">
        <v>2681</v>
      </c>
      <c r="H139" t="s">
        <v>3065</v>
      </c>
      <c r="I139">
        <v>1335</v>
      </c>
      <c r="J139" t="s">
        <v>2460</v>
      </c>
      <c r="K139">
        <v>1295</v>
      </c>
      <c r="L139" t="s">
        <v>2460</v>
      </c>
      <c r="M139">
        <v>1302</v>
      </c>
      <c r="N139" t="s">
        <v>2460</v>
      </c>
      <c r="O139">
        <v>1307</v>
      </c>
      <c r="P139" t="s">
        <v>2460</v>
      </c>
      <c r="Q139">
        <v>1321</v>
      </c>
      <c r="R139" t="s">
        <v>2460</v>
      </c>
      <c r="S139" t="s">
        <v>988</v>
      </c>
    </row>
    <row r="140" spans="1:19" hidden="1" x14ac:dyDescent="0.3">
      <c r="A140">
        <v>391</v>
      </c>
      <c r="B140" t="s">
        <v>1350</v>
      </c>
      <c r="C140" t="s">
        <v>2877</v>
      </c>
      <c r="D140" t="s">
        <v>1203</v>
      </c>
      <c r="E140" t="s">
        <v>1204</v>
      </c>
      <c r="F140">
        <v>7554</v>
      </c>
      <c r="G140" t="s">
        <v>2679</v>
      </c>
      <c r="H140" t="s">
        <v>3066</v>
      </c>
      <c r="I140">
        <v>4737</v>
      </c>
      <c r="J140" t="s">
        <v>2460</v>
      </c>
      <c r="K140">
        <v>4737</v>
      </c>
      <c r="L140" t="s">
        <v>2460</v>
      </c>
      <c r="M140">
        <v>4737</v>
      </c>
      <c r="N140" t="s">
        <v>2460</v>
      </c>
      <c r="O140">
        <v>4737</v>
      </c>
      <c r="P140" t="s">
        <v>2460</v>
      </c>
      <c r="Q140">
        <v>4737</v>
      </c>
      <c r="R140" t="s">
        <v>2460</v>
      </c>
      <c r="S140" t="s">
        <v>988</v>
      </c>
    </row>
    <row r="141" spans="1:19" hidden="1" x14ac:dyDescent="0.3">
      <c r="A141">
        <v>391</v>
      </c>
      <c r="B141" t="s">
        <v>1350</v>
      </c>
      <c r="C141" t="s">
        <v>2877</v>
      </c>
      <c r="D141" t="s">
        <v>1203</v>
      </c>
      <c r="E141" t="s">
        <v>1204</v>
      </c>
      <c r="F141">
        <v>7554</v>
      </c>
      <c r="G141" t="s">
        <v>2683</v>
      </c>
      <c r="H141" t="s">
        <v>3067</v>
      </c>
      <c r="I141">
        <v>22048</v>
      </c>
      <c r="J141" t="s">
        <v>2460</v>
      </c>
      <c r="K141">
        <v>21787</v>
      </c>
      <c r="L141" t="s">
        <v>2460</v>
      </c>
      <c r="M141">
        <v>22690</v>
      </c>
      <c r="N141" t="s">
        <v>2460</v>
      </c>
      <c r="O141">
        <v>22140</v>
      </c>
      <c r="P141" t="s">
        <v>2460</v>
      </c>
      <c r="Q141">
        <v>22287</v>
      </c>
      <c r="R141" t="s">
        <v>2460</v>
      </c>
      <c r="S141" t="s">
        <v>988</v>
      </c>
    </row>
    <row r="142" spans="1:19" hidden="1" x14ac:dyDescent="0.3">
      <c r="A142">
        <v>391</v>
      </c>
      <c r="B142" t="s">
        <v>1350</v>
      </c>
      <c r="C142" t="s">
        <v>2877</v>
      </c>
      <c r="D142" t="s">
        <v>1203</v>
      </c>
      <c r="E142" t="s">
        <v>1204</v>
      </c>
      <c r="F142">
        <v>7554</v>
      </c>
      <c r="G142" t="s">
        <v>2687</v>
      </c>
      <c r="H142" t="s">
        <v>3068</v>
      </c>
      <c r="I142">
        <v>438</v>
      </c>
      <c r="J142" t="s">
        <v>2460</v>
      </c>
      <c r="K142">
        <v>438</v>
      </c>
      <c r="L142" t="s">
        <v>2460</v>
      </c>
      <c r="M142">
        <v>438</v>
      </c>
      <c r="N142" t="s">
        <v>2460</v>
      </c>
      <c r="O142">
        <v>438</v>
      </c>
      <c r="P142" t="s">
        <v>2460</v>
      </c>
      <c r="Q142">
        <v>438</v>
      </c>
      <c r="R142" t="s">
        <v>2460</v>
      </c>
      <c r="S142" t="s">
        <v>988</v>
      </c>
    </row>
    <row r="143" spans="1:19" hidden="1" x14ac:dyDescent="0.3">
      <c r="A143">
        <v>391</v>
      </c>
      <c r="B143" t="s">
        <v>1350</v>
      </c>
      <c r="C143" t="s">
        <v>2877</v>
      </c>
      <c r="D143" t="s">
        <v>1203</v>
      </c>
      <c r="E143" t="s">
        <v>1204</v>
      </c>
      <c r="F143">
        <v>7554</v>
      </c>
      <c r="G143" t="s">
        <v>2681</v>
      </c>
      <c r="H143" t="s">
        <v>3069</v>
      </c>
      <c r="I143">
        <v>5885</v>
      </c>
      <c r="J143" t="s">
        <v>2460</v>
      </c>
      <c r="K143">
        <v>5885</v>
      </c>
      <c r="L143" t="s">
        <v>2460</v>
      </c>
      <c r="M143">
        <v>5021</v>
      </c>
      <c r="N143" t="s">
        <v>2460</v>
      </c>
      <c r="O143">
        <v>5622</v>
      </c>
      <c r="P143" t="s">
        <v>2460</v>
      </c>
      <c r="Q143">
        <v>5624</v>
      </c>
      <c r="R143" t="s">
        <v>2460</v>
      </c>
      <c r="S143" t="s">
        <v>988</v>
      </c>
    </row>
    <row r="144" spans="1:19" hidden="1" x14ac:dyDescent="0.3">
      <c r="A144">
        <v>392</v>
      </c>
      <c r="B144" t="s">
        <v>1351</v>
      </c>
      <c r="C144" t="s">
        <v>2877</v>
      </c>
      <c r="D144" t="s">
        <v>1203</v>
      </c>
      <c r="E144" t="s">
        <v>1204</v>
      </c>
      <c r="F144">
        <v>5854</v>
      </c>
      <c r="G144" t="s">
        <v>2683</v>
      </c>
      <c r="H144" t="s">
        <v>2958</v>
      </c>
      <c r="I144">
        <v>2059</v>
      </c>
      <c r="J144" t="s">
        <v>2460</v>
      </c>
      <c r="K144">
        <v>1740</v>
      </c>
      <c r="L144" t="s">
        <v>2460</v>
      </c>
      <c r="M144">
        <v>1743</v>
      </c>
      <c r="N144" t="s">
        <v>2460</v>
      </c>
      <c r="O144">
        <v>1758</v>
      </c>
      <c r="P144" t="s">
        <v>2460</v>
      </c>
      <c r="Q144">
        <v>1852</v>
      </c>
      <c r="R144" t="s">
        <v>2460</v>
      </c>
      <c r="S144" t="s">
        <v>988</v>
      </c>
    </row>
    <row r="145" spans="1:19" hidden="1" x14ac:dyDescent="0.3">
      <c r="A145">
        <v>392</v>
      </c>
      <c r="B145" t="s">
        <v>1351</v>
      </c>
      <c r="C145" t="s">
        <v>2877</v>
      </c>
      <c r="D145" t="s">
        <v>1203</v>
      </c>
      <c r="E145" t="s">
        <v>1204</v>
      </c>
      <c r="F145">
        <v>5854</v>
      </c>
      <c r="G145" t="s">
        <v>2681</v>
      </c>
      <c r="H145" t="s">
        <v>3070</v>
      </c>
      <c r="I145">
        <v>11774</v>
      </c>
      <c r="J145" t="s">
        <v>2460</v>
      </c>
      <c r="K145">
        <v>11774</v>
      </c>
      <c r="L145" t="s">
        <v>2460</v>
      </c>
      <c r="M145">
        <v>11774</v>
      </c>
      <c r="N145" t="s">
        <v>2460</v>
      </c>
      <c r="O145">
        <v>11774</v>
      </c>
      <c r="P145" t="s">
        <v>2460</v>
      </c>
      <c r="Q145">
        <v>11774</v>
      </c>
      <c r="R145" t="s">
        <v>2460</v>
      </c>
      <c r="S145" t="s">
        <v>988</v>
      </c>
    </row>
    <row r="146" spans="1:19" hidden="1" x14ac:dyDescent="0.3">
      <c r="A146">
        <v>392</v>
      </c>
      <c r="B146" t="s">
        <v>1351</v>
      </c>
      <c r="C146" t="s">
        <v>2877</v>
      </c>
      <c r="D146" t="s">
        <v>1203</v>
      </c>
      <c r="E146" t="s">
        <v>1204</v>
      </c>
      <c r="F146">
        <v>5854</v>
      </c>
      <c r="G146" t="s">
        <v>2679</v>
      </c>
      <c r="H146" t="s">
        <v>2958</v>
      </c>
      <c r="I146">
        <v>35</v>
      </c>
      <c r="J146" t="s">
        <v>2460</v>
      </c>
      <c r="K146">
        <v>35</v>
      </c>
      <c r="L146" t="s">
        <v>2460</v>
      </c>
      <c r="M146">
        <v>35</v>
      </c>
      <c r="N146" t="s">
        <v>2460</v>
      </c>
      <c r="O146">
        <v>35</v>
      </c>
      <c r="P146" t="s">
        <v>2460</v>
      </c>
      <c r="Q146">
        <v>35</v>
      </c>
      <c r="R146" t="s">
        <v>2460</v>
      </c>
      <c r="S146" t="s">
        <v>988</v>
      </c>
    </row>
    <row r="147" spans="1:19" hidden="1" x14ac:dyDescent="0.3">
      <c r="A147">
        <v>396</v>
      </c>
      <c r="B147" t="s">
        <v>1353</v>
      </c>
      <c r="C147" t="s">
        <v>2877</v>
      </c>
      <c r="D147" t="s">
        <v>1203</v>
      </c>
      <c r="E147" t="s">
        <v>1204</v>
      </c>
      <c r="F147">
        <v>7555</v>
      </c>
      <c r="G147" t="s">
        <v>2681</v>
      </c>
      <c r="H147" t="s">
        <v>3071</v>
      </c>
      <c r="I147">
        <v>4070</v>
      </c>
      <c r="J147" t="s">
        <v>2460</v>
      </c>
      <c r="K147">
        <v>4070</v>
      </c>
      <c r="L147" t="s">
        <v>2460</v>
      </c>
      <c r="M147">
        <v>4070</v>
      </c>
      <c r="N147" t="s">
        <v>2460</v>
      </c>
      <c r="O147">
        <v>4070</v>
      </c>
      <c r="P147" t="s">
        <v>2460</v>
      </c>
      <c r="Q147">
        <v>4070</v>
      </c>
      <c r="R147" t="s">
        <v>2460</v>
      </c>
      <c r="S147" t="s">
        <v>988</v>
      </c>
    </row>
    <row r="148" spans="1:19" hidden="1" x14ac:dyDescent="0.3">
      <c r="A148">
        <v>396</v>
      </c>
      <c r="B148" t="s">
        <v>1353</v>
      </c>
      <c r="C148" t="s">
        <v>2877</v>
      </c>
      <c r="D148" t="s">
        <v>1203</v>
      </c>
      <c r="E148" t="s">
        <v>1204</v>
      </c>
      <c r="F148">
        <v>7555</v>
      </c>
      <c r="G148" t="s">
        <v>2679</v>
      </c>
      <c r="H148" t="s">
        <v>3066</v>
      </c>
      <c r="I148">
        <v>193</v>
      </c>
      <c r="J148" t="s">
        <v>2460</v>
      </c>
      <c r="K148">
        <v>193</v>
      </c>
      <c r="L148" t="s">
        <v>2460</v>
      </c>
      <c r="M148">
        <v>193</v>
      </c>
      <c r="N148" t="s">
        <v>2460</v>
      </c>
      <c r="O148">
        <v>193</v>
      </c>
      <c r="P148" t="s">
        <v>2460</v>
      </c>
      <c r="Q148">
        <v>193</v>
      </c>
      <c r="R148" t="s">
        <v>2460</v>
      </c>
      <c r="S148" t="s">
        <v>988</v>
      </c>
    </row>
    <row r="149" spans="1:19" hidden="1" x14ac:dyDescent="0.3">
      <c r="A149">
        <v>396</v>
      </c>
      <c r="B149" t="s">
        <v>1353</v>
      </c>
      <c r="C149" t="s">
        <v>2877</v>
      </c>
      <c r="D149" t="s">
        <v>1203</v>
      </c>
      <c r="E149" t="s">
        <v>1204</v>
      </c>
      <c r="F149">
        <v>7555</v>
      </c>
      <c r="G149" t="s">
        <v>2683</v>
      </c>
      <c r="H149" t="s">
        <v>3066</v>
      </c>
      <c r="I149">
        <v>6590</v>
      </c>
      <c r="J149" t="s">
        <v>2460</v>
      </c>
      <c r="K149">
        <v>6423</v>
      </c>
      <c r="L149" t="s">
        <v>2460</v>
      </c>
      <c r="M149">
        <v>6415</v>
      </c>
      <c r="N149" t="s">
        <v>2460</v>
      </c>
      <c r="O149">
        <v>6410</v>
      </c>
      <c r="P149" t="s">
        <v>2460</v>
      </c>
      <c r="Q149">
        <v>6494</v>
      </c>
      <c r="R149" t="s">
        <v>2460</v>
      </c>
      <c r="S149" t="s">
        <v>988</v>
      </c>
    </row>
    <row r="150" spans="1:19" hidden="1" x14ac:dyDescent="0.3">
      <c r="A150">
        <v>397</v>
      </c>
      <c r="B150" t="s">
        <v>1354</v>
      </c>
      <c r="C150" t="s">
        <v>2877</v>
      </c>
      <c r="D150" t="s">
        <v>1203</v>
      </c>
      <c r="E150" t="s">
        <v>1204</v>
      </c>
      <c r="F150">
        <v>5858</v>
      </c>
      <c r="G150" t="s">
        <v>2691</v>
      </c>
      <c r="H150" t="s">
        <v>3072</v>
      </c>
      <c r="I150">
        <v>265</v>
      </c>
      <c r="J150" t="s">
        <v>2460</v>
      </c>
      <c r="K150">
        <v>265</v>
      </c>
      <c r="L150" t="s">
        <v>2460</v>
      </c>
      <c r="M150">
        <v>265</v>
      </c>
      <c r="N150" t="s">
        <v>2460</v>
      </c>
      <c r="O150">
        <v>265</v>
      </c>
      <c r="P150" t="s">
        <v>2460</v>
      </c>
      <c r="Q150">
        <v>265</v>
      </c>
      <c r="R150" t="s">
        <v>2460</v>
      </c>
      <c r="S150" t="s">
        <v>988</v>
      </c>
    </row>
    <row r="151" spans="1:19" hidden="1" x14ac:dyDescent="0.3">
      <c r="A151">
        <v>397</v>
      </c>
      <c r="B151" t="s">
        <v>1354</v>
      </c>
      <c r="C151" t="s">
        <v>2877</v>
      </c>
      <c r="D151" t="s">
        <v>1203</v>
      </c>
      <c r="E151" t="s">
        <v>1204</v>
      </c>
      <c r="F151">
        <v>5858</v>
      </c>
      <c r="G151" t="s">
        <v>2681</v>
      </c>
      <c r="H151" t="s">
        <v>3073</v>
      </c>
      <c r="I151">
        <v>501</v>
      </c>
      <c r="J151" t="s">
        <v>2460</v>
      </c>
      <c r="K151">
        <v>499</v>
      </c>
      <c r="L151" t="s">
        <v>2460</v>
      </c>
      <c r="M151">
        <v>495</v>
      </c>
      <c r="N151" t="s">
        <v>2460</v>
      </c>
      <c r="O151">
        <v>492</v>
      </c>
      <c r="P151" t="s">
        <v>2460</v>
      </c>
      <c r="Q151">
        <v>490</v>
      </c>
      <c r="R151" t="s">
        <v>2460</v>
      </c>
      <c r="S151" t="s">
        <v>988</v>
      </c>
    </row>
    <row r="152" spans="1:19" hidden="1" x14ac:dyDescent="0.3">
      <c r="A152">
        <v>398</v>
      </c>
      <c r="B152" t="s">
        <v>1355</v>
      </c>
      <c r="C152" t="s">
        <v>2877</v>
      </c>
      <c r="D152" t="s">
        <v>1203</v>
      </c>
      <c r="E152" t="s">
        <v>1204</v>
      </c>
      <c r="F152">
        <v>5857</v>
      </c>
      <c r="G152" t="s">
        <v>2681</v>
      </c>
      <c r="H152" t="s">
        <v>3074</v>
      </c>
      <c r="I152">
        <v>1662</v>
      </c>
      <c r="J152" t="s">
        <v>2460</v>
      </c>
      <c r="K152">
        <v>1671</v>
      </c>
      <c r="L152" t="s">
        <v>2460</v>
      </c>
      <c r="M152">
        <v>1711</v>
      </c>
      <c r="N152" t="s">
        <v>2460</v>
      </c>
      <c r="O152">
        <v>1750</v>
      </c>
      <c r="P152" t="s">
        <v>2460</v>
      </c>
      <c r="Q152">
        <v>1797</v>
      </c>
      <c r="R152" t="s">
        <v>2460</v>
      </c>
      <c r="S152" t="s">
        <v>988</v>
      </c>
    </row>
    <row r="153" spans="1:19" hidden="1" x14ac:dyDescent="0.3">
      <c r="A153">
        <v>401</v>
      </c>
      <c r="B153" t="s">
        <v>1356</v>
      </c>
      <c r="C153" t="s">
        <v>2877</v>
      </c>
      <c r="D153" t="s">
        <v>1203</v>
      </c>
      <c r="E153" t="s">
        <v>1204</v>
      </c>
      <c r="F153">
        <v>5859</v>
      </c>
      <c r="G153" t="s">
        <v>2683</v>
      </c>
      <c r="H153" t="s">
        <v>3075</v>
      </c>
      <c r="I153">
        <v>6264</v>
      </c>
      <c r="J153" t="s">
        <v>2460</v>
      </c>
      <c r="K153">
        <v>6292</v>
      </c>
      <c r="L153" t="s">
        <v>2460</v>
      </c>
      <c r="M153">
        <v>6446</v>
      </c>
      <c r="N153" t="s">
        <v>2460</v>
      </c>
      <c r="O153">
        <v>6486</v>
      </c>
      <c r="P153" t="s">
        <v>2460</v>
      </c>
      <c r="Q153">
        <v>6563</v>
      </c>
      <c r="R153" t="s">
        <v>2460</v>
      </c>
      <c r="S153" t="s">
        <v>988</v>
      </c>
    </row>
    <row r="154" spans="1:19" hidden="1" x14ac:dyDescent="0.3">
      <c r="A154">
        <v>401</v>
      </c>
      <c r="B154" t="s">
        <v>1356</v>
      </c>
      <c r="C154" t="s">
        <v>2877</v>
      </c>
      <c r="D154" t="s">
        <v>1203</v>
      </c>
      <c r="E154" t="s">
        <v>1204</v>
      </c>
      <c r="F154">
        <v>5859</v>
      </c>
      <c r="G154" t="s">
        <v>2681</v>
      </c>
      <c r="H154" t="s">
        <v>3076</v>
      </c>
      <c r="I154">
        <v>3069</v>
      </c>
      <c r="J154" t="s">
        <v>2460</v>
      </c>
      <c r="K154">
        <v>3069</v>
      </c>
      <c r="L154" t="s">
        <v>2460</v>
      </c>
      <c r="M154">
        <v>3069</v>
      </c>
      <c r="N154" t="s">
        <v>2460</v>
      </c>
      <c r="O154">
        <v>3069</v>
      </c>
      <c r="P154" t="s">
        <v>2460</v>
      </c>
      <c r="Q154">
        <v>3069</v>
      </c>
      <c r="R154" t="s">
        <v>2460</v>
      </c>
      <c r="S154" t="s">
        <v>988</v>
      </c>
    </row>
    <row r="155" spans="1:19" hidden="1" x14ac:dyDescent="0.3">
      <c r="A155">
        <v>402</v>
      </c>
      <c r="B155" t="s">
        <v>1357</v>
      </c>
      <c r="C155" t="s">
        <v>2877</v>
      </c>
      <c r="D155" t="s">
        <v>1203</v>
      </c>
      <c r="E155" t="s">
        <v>1204</v>
      </c>
      <c r="F155">
        <v>5860</v>
      </c>
      <c r="G155" t="s">
        <v>2681</v>
      </c>
      <c r="H155" t="s">
        <v>3077</v>
      </c>
      <c r="I155">
        <v>3902</v>
      </c>
      <c r="J155" t="s">
        <v>2460</v>
      </c>
      <c r="K155">
        <v>3901</v>
      </c>
      <c r="L155" t="s">
        <v>2460</v>
      </c>
      <c r="M155">
        <v>3997</v>
      </c>
      <c r="N155" t="s">
        <v>2460</v>
      </c>
      <c r="O155">
        <v>4100</v>
      </c>
      <c r="P155" t="s">
        <v>2460</v>
      </c>
      <c r="Q155">
        <v>4229</v>
      </c>
      <c r="R155" t="s">
        <v>2460</v>
      </c>
      <c r="S155" t="s">
        <v>988</v>
      </c>
    </row>
    <row r="156" spans="1:19" hidden="1" x14ac:dyDescent="0.3">
      <c r="A156">
        <v>402</v>
      </c>
      <c r="B156" t="s">
        <v>1357</v>
      </c>
      <c r="C156" t="s">
        <v>2877</v>
      </c>
      <c r="D156" t="s">
        <v>1203</v>
      </c>
      <c r="E156" t="s">
        <v>1204</v>
      </c>
      <c r="F156">
        <v>5860</v>
      </c>
      <c r="G156" t="s">
        <v>2683</v>
      </c>
      <c r="H156" t="s">
        <v>3078</v>
      </c>
      <c r="I156">
        <v>9105</v>
      </c>
      <c r="J156" t="s">
        <v>2460</v>
      </c>
      <c r="K156">
        <v>9102</v>
      </c>
      <c r="L156" t="s">
        <v>2460</v>
      </c>
      <c r="M156">
        <v>9327</v>
      </c>
      <c r="N156" t="s">
        <v>2460</v>
      </c>
      <c r="O156">
        <v>9566</v>
      </c>
      <c r="P156" t="s">
        <v>2460</v>
      </c>
      <c r="Q156">
        <v>9868</v>
      </c>
      <c r="R156" t="s">
        <v>2460</v>
      </c>
      <c r="S156" t="s">
        <v>988</v>
      </c>
    </row>
    <row r="157" spans="1:19" hidden="1" x14ac:dyDescent="0.3">
      <c r="A157">
        <v>402</v>
      </c>
      <c r="B157" t="s">
        <v>1357</v>
      </c>
      <c r="C157" t="s">
        <v>2877</v>
      </c>
      <c r="D157" t="s">
        <v>1203</v>
      </c>
      <c r="E157" t="s">
        <v>1204</v>
      </c>
      <c r="F157">
        <v>5860</v>
      </c>
      <c r="G157" t="s">
        <v>2679</v>
      </c>
      <c r="H157" t="s">
        <v>3079</v>
      </c>
      <c r="I157">
        <v>100</v>
      </c>
      <c r="J157" t="s">
        <v>2460</v>
      </c>
      <c r="K157">
        <v>100</v>
      </c>
      <c r="L157" t="s">
        <v>2460</v>
      </c>
      <c r="M157">
        <v>100</v>
      </c>
      <c r="N157" t="s">
        <v>2460</v>
      </c>
      <c r="O157">
        <v>100</v>
      </c>
      <c r="P157" t="s">
        <v>2460</v>
      </c>
      <c r="Q157">
        <v>100</v>
      </c>
      <c r="R157" t="s">
        <v>2460</v>
      </c>
      <c r="S157" t="s">
        <v>988</v>
      </c>
    </row>
    <row r="158" spans="1:19" hidden="1" x14ac:dyDescent="0.3">
      <c r="A158">
        <v>405</v>
      </c>
      <c r="B158" t="s">
        <v>1358</v>
      </c>
      <c r="C158" t="s">
        <v>2877</v>
      </c>
      <c r="D158" t="s">
        <v>1203</v>
      </c>
      <c r="E158" t="s">
        <v>1204</v>
      </c>
      <c r="F158">
        <v>5861</v>
      </c>
      <c r="G158" t="s">
        <v>2681</v>
      </c>
      <c r="H158" t="s">
        <v>3080</v>
      </c>
      <c r="I158">
        <v>1967</v>
      </c>
      <c r="J158" t="s">
        <v>3081</v>
      </c>
      <c r="K158">
        <v>1942</v>
      </c>
      <c r="L158" t="s">
        <v>3081</v>
      </c>
      <c r="M158">
        <v>1922</v>
      </c>
      <c r="N158" t="s">
        <v>3081</v>
      </c>
      <c r="O158">
        <v>1905</v>
      </c>
      <c r="P158" t="s">
        <v>3081</v>
      </c>
      <c r="Q158">
        <v>1897</v>
      </c>
      <c r="R158" t="s">
        <v>3081</v>
      </c>
      <c r="S158" t="s">
        <v>988</v>
      </c>
    </row>
    <row r="159" spans="1:19" hidden="1" x14ac:dyDescent="0.3">
      <c r="A159">
        <v>420</v>
      </c>
      <c r="B159" t="s">
        <v>1359</v>
      </c>
      <c r="C159" t="s">
        <v>2877</v>
      </c>
      <c r="D159" t="s">
        <v>1203</v>
      </c>
      <c r="E159" t="s">
        <v>1204</v>
      </c>
      <c r="F159">
        <v>5862</v>
      </c>
      <c r="G159" t="s">
        <v>2683</v>
      </c>
      <c r="H159" t="s">
        <v>1909</v>
      </c>
      <c r="I159">
        <v>14418</v>
      </c>
      <c r="J159" t="s">
        <v>2460</v>
      </c>
      <c r="K159">
        <v>14530</v>
      </c>
      <c r="L159" t="s">
        <v>2460</v>
      </c>
      <c r="M159">
        <v>14786</v>
      </c>
      <c r="N159" t="s">
        <v>2460</v>
      </c>
      <c r="O159">
        <v>14977</v>
      </c>
      <c r="P159" t="s">
        <v>2460</v>
      </c>
      <c r="Q159">
        <v>15279</v>
      </c>
      <c r="R159" t="s">
        <v>2460</v>
      </c>
      <c r="S159" t="s">
        <v>988</v>
      </c>
    </row>
    <row r="160" spans="1:19" hidden="1" x14ac:dyDescent="0.3">
      <c r="A160">
        <v>412</v>
      </c>
      <c r="B160" t="s">
        <v>1360</v>
      </c>
      <c r="C160" t="s">
        <v>2877</v>
      </c>
      <c r="D160" t="s">
        <v>1203</v>
      </c>
      <c r="E160" t="s">
        <v>1204</v>
      </c>
      <c r="F160">
        <v>5863</v>
      </c>
      <c r="G160" t="s">
        <v>2681</v>
      </c>
      <c r="H160" t="s">
        <v>3082</v>
      </c>
      <c r="I160">
        <v>106</v>
      </c>
      <c r="J160" t="s">
        <v>2460</v>
      </c>
      <c r="K160">
        <v>104</v>
      </c>
      <c r="L160" t="s">
        <v>2460</v>
      </c>
      <c r="M160">
        <v>104</v>
      </c>
      <c r="N160" t="s">
        <v>2460</v>
      </c>
      <c r="O160">
        <v>103</v>
      </c>
      <c r="P160" t="s">
        <v>2460</v>
      </c>
      <c r="Q160">
        <v>103</v>
      </c>
      <c r="R160" t="s">
        <v>2460</v>
      </c>
      <c r="S160" t="s">
        <v>988</v>
      </c>
    </row>
    <row r="161" spans="1:19" hidden="1" x14ac:dyDescent="0.3">
      <c r="A161">
        <v>412</v>
      </c>
      <c r="B161" t="s">
        <v>1360</v>
      </c>
      <c r="C161" t="s">
        <v>2877</v>
      </c>
      <c r="D161" t="s">
        <v>1203</v>
      </c>
      <c r="E161" t="s">
        <v>1204</v>
      </c>
      <c r="F161">
        <v>5863</v>
      </c>
      <c r="G161" t="s">
        <v>2683</v>
      </c>
      <c r="H161" t="s">
        <v>3083</v>
      </c>
      <c r="I161">
        <v>2548</v>
      </c>
      <c r="J161" t="s">
        <v>2460</v>
      </c>
      <c r="K161">
        <v>2495</v>
      </c>
      <c r="L161" t="s">
        <v>2460</v>
      </c>
      <c r="M161">
        <v>2490</v>
      </c>
      <c r="N161" t="s">
        <v>2460</v>
      </c>
      <c r="O161">
        <v>2484</v>
      </c>
      <c r="P161" t="s">
        <v>2460</v>
      </c>
      <c r="Q161">
        <v>2483</v>
      </c>
      <c r="R161" t="s">
        <v>2460</v>
      </c>
      <c r="S161" t="s">
        <v>988</v>
      </c>
    </row>
    <row r="162" spans="1:19" hidden="1" x14ac:dyDescent="0.3">
      <c r="A162">
        <v>413</v>
      </c>
      <c r="B162" t="s">
        <v>1361</v>
      </c>
      <c r="C162" t="s">
        <v>2877</v>
      </c>
      <c r="D162" t="s">
        <v>1203</v>
      </c>
      <c r="E162" t="s">
        <v>1204</v>
      </c>
      <c r="F162">
        <v>5864</v>
      </c>
      <c r="G162" t="s">
        <v>2679</v>
      </c>
      <c r="H162" t="s">
        <v>2460</v>
      </c>
      <c r="I162">
        <v>0</v>
      </c>
      <c r="J162" t="s">
        <v>2460</v>
      </c>
      <c r="K162">
        <v>194</v>
      </c>
      <c r="L162" t="s">
        <v>2460</v>
      </c>
      <c r="M162">
        <v>194</v>
      </c>
      <c r="N162" t="s">
        <v>2460</v>
      </c>
      <c r="O162">
        <v>194</v>
      </c>
      <c r="P162" t="s">
        <v>2460</v>
      </c>
      <c r="Q162">
        <v>194</v>
      </c>
      <c r="R162" t="s">
        <v>2460</v>
      </c>
      <c r="S162" t="s">
        <v>988</v>
      </c>
    </row>
    <row r="163" spans="1:19" hidden="1" x14ac:dyDescent="0.3">
      <c r="A163">
        <v>413</v>
      </c>
      <c r="B163" t="s">
        <v>1361</v>
      </c>
      <c r="C163" t="s">
        <v>2877</v>
      </c>
      <c r="D163" t="s">
        <v>1203</v>
      </c>
      <c r="E163" t="s">
        <v>1204</v>
      </c>
      <c r="F163">
        <v>5864</v>
      </c>
      <c r="G163" t="s">
        <v>2683</v>
      </c>
      <c r="H163" t="s">
        <v>3066</v>
      </c>
      <c r="I163">
        <v>17873</v>
      </c>
      <c r="J163" t="s">
        <v>2460</v>
      </c>
      <c r="K163">
        <v>17782</v>
      </c>
      <c r="L163" t="s">
        <v>2460</v>
      </c>
      <c r="M163">
        <v>17950</v>
      </c>
      <c r="N163" t="s">
        <v>2460</v>
      </c>
      <c r="O163">
        <v>18070</v>
      </c>
      <c r="P163" t="s">
        <v>2460</v>
      </c>
      <c r="Q163">
        <v>18300</v>
      </c>
      <c r="R163" t="s">
        <v>2460</v>
      </c>
      <c r="S163" t="s">
        <v>988</v>
      </c>
    </row>
    <row r="164" spans="1:19" hidden="1" x14ac:dyDescent="0.3">
      <c r="A164">
        <v>416</v>
      </c>
      <c r="B164" t="s">
        <v>1362</v>
      </c>
      <c r="C164" t="s">
        <v>2877</v>
      </c>
      <c r="D164" t="s">
        <v>1203</v>
      </c>
      <c r="E164" t="s">
        <v>1204</v>
      </c>
      <c r="F164">
        <v>5865</v>
      </c>
      <c r="G164" t="s">
        <v>2683</v>
      </c>
      <c r="H164" t="s">
        <v>2016</v>
      </c>
      <c r="I164">
        <v>6.3920000000000003</v>
      </c>
      <c r="J164" t="s">
        <v>2460</v>
      </c>
      <c r="K164">
        <v>5.6849999999999996</v>
      </c>
      <c r="L164" t="s">
        <v>2460</v>
      </c>
      <c r="M164">
        <v>5.5720000000000001</v>
      </c>
      <c r="N164" t="s">
        <v>2460</v>
      </c>
      <c r="O164">
        <v>5.4589999999999996</v>
      </c>
      <c r="P164" t="s">
        <v>2460</v>
      </c>
      <c r="Q164">
        <v>5.423</v>
      </c>
      <c r="R164" t="s">
        <v>2460</v>
      </c>
      <c r="S164" t="s">
        <v>988</v>
      </c>
    </row>
    <row r="165" spans="1:19" hidden="1" x14ac:dyDescent="0.3">
      <c r="A165">
        <v>416</v>
      </c>
      <c r="B165" t="s">
        <v>1362</v>
      </c>
      <c r="C165" t="s">
        <v>2877</v>
      </c>
      <c r="D165" t="s">
        <v>1203</v>
      </c>
      <c r="E165" t="s">
        <v>1204</v>
      </c>
      <c r="F165">
        <v>5865</v>
      </c>
      <c r="G165" t="s">
        <v>2683</v>
      </c>
      <c r="H165" t="s">
        <v>3084</v>
      </c>
      <c r="I165">
        <v>249.191</v>
      </c>
      <c r="J165" t="s">
        <v>2460</v>
      </c>
      <c r="K165">
        <v>237.458</v>
      </c>
      <c r="L165" t="s">
        <v>2460</v>
      </c>
      <c r="M165">
        <v>234.76</v>
      </c>
      <c r="N165" t="s">
        <v>2460</v>
      </c>
      <c r="O165">
        <v>231.934</v>
      </c>
      <c r="P165" t="s">
        <v>2460</v>
      </c>
      <c r="Q165">
        <v>231.28399999999999</v>
      </c>
      <c r="R165" t="s">
        <v>2460</v>
      </c>
      <c r="S165" t="s">
        <v>988</v>
      </c>
    </row>
    <row r="166" spans="1:19" hidden="1" x14ac:dyDescent="0.3">
      <c r="A166">
        <v>416</v>
      </c>
      <c r="B166" t="s">
        <v>1362</v>
      </c>
      <c r="C166" t="s">
        <v>2877</v>
      </c>
      <c r="D166" t="s">
        <v>1203</v>
      </c>
      <c r="E166" t="s">
        <v>1204</v>
      </c>
      <c r="F166">
        <v>5865</v>
      </c>
      <c r="G166" t="s">
        <v>2681</v>
      </c>
      <c r="H166" t="s">
        <v>3085</v>
      </c>
      <c r="I166">
        <v>12.388</v>
      </c>
      <c r="J166" t="s">
        <v>2460</v>
      </c>
      <c r="K166">
        <v>11.154999999999999</v>
      </c>
      <c r="L166" t="s">
        <v>2460</v>
      </c>
      <c r="M166">
        <v>11.052</v>
      </c>
      <c r="N166" t="s">
        <v>2460</v>
      </c>
      <c r="O166">
        <v>10.917</v>
      </c>
      <c r="P166" t="s">
        <v>2460</v>
      </c>
      <c r="Q166">
        <v>10.869</v>
      </c>
      <c r="R166" t="s">
        <v>2460</v>
      </c>
      <c r="S166" t="s">
        <v>988</v>
      </c>
    </row>
    <row r="167" spans="1:19" hidden="1" x14ac:dyDescent="0.3">
      <c r="A167">
        <v>416</v>
      </c>
      <c r="B167" t="s">
        <v>1362</v>
      </c>
      <c r="C167" t="s">
        <v>2877</v>
      </c>
      <c r="D167" t="s">
        <v>1203</v>
      </c>
      <c r="E167" t="s">
        <v>1204</v>
      </c>
      <c r="F167">
        <v>5865</v>
      </c>
      <c r="G167" t="s">
        <v>2681</v>
      </c>
      <c r="H167" t="s">
        <v>3086</v>
      </c>
      <c r="I167">
        <v>22.533999999999999</v>
      </c>
      <c r="J167" t="s">
        <v>2460</v>
      </c>
      <c r="K167">
        <v>21.268999999999998</v>
      </c>
      <c r="L167" t="s">
        <v>2460</v>
      </c>
      <c r="M167">
        <v>20.715</v>
      </c>
      <c r="N167" t="s">
        <v>2460</v>
      </c>
      <c r="O167">
        <v>20.190999999999999</v>
      </c>
      <c r="P167" t="s">
        <v>2460</v>
      </c>
      <c r="Q167">
        <v>19.989999999999998</v>
      </c>
      <c r="R167" t="s">
        <v>2460</v>
      </c>
      <c r="S167" t="s">
        <v>988</v>
      </c>
    </row>
    <row r="168" spans="1:19" hidden="1" x14ac:dyDescent="0.3">
      <c r="A168">
        <v>416</v>
      </c>
      <c r="B168" t="s">
        <v>1362</v>
      </c>
      <c r="C168" t="s">
        <v>2877</v>
      </c>
      <c r="D168" t="s">
        <v>1203</v>
      </c>
      <c r="E168" t="s">
        <v>1204</v>
      </c>
      <c r="F168">
        <v>5865</v>
      </c>
      <c r="G168" t="s">
        <v>2681</v>
      </c>
      <c r="H168" t="s">
        <v>3087</v>
      </c>
      <c r="I168">
        <v>69.087000000000003</v>
      </c>
      <c r="J168" t="s">
        <v>2460</v>
      </c>
      <c r="K168">
        <v>68.019000000000005</v>
      </c>
      <c r="L168" t="s">
        <v>2460</v>
      </c>
      <c r="M168">
        <v>67.325000000000003</v>
      </c>
      <c r="N168" t="s">
        <v>2460</v>
      </c>
      <c r="O168">
        <v>66.495999999999995</v>
      </c>
      <c r="P168" t="s">
        <v>2460</v>
      </c>
      <c r="Q168">
        <v>66.177999999999997</v>
      </c>
      <c r="R168" t="s">
        <v>2460</v>
      </c>
      <c r="S168" t="s">
        <v>988</v>
      </c>
    </row>
    <row r="169" spans="1:19" hidden="1" x14ac:dyDescent="0.3">
      <c r="A169">
        <v>417</v>
      </c>
      <c r="B169" t="s">
        <v>1363</v>
      </c>
      <c r="C169" t="s">
        <v>2877</v>
      </c>
      <c r="D169" t="s">
        <v>1203</v>
      </c>
      <c r="E169" t="s">
        <v>1204</v>
      </c>
      <c r="F169">
        <v>5866</v>
      </c>
      <c r="G169" t="s">
        <v>2681</v>
      </c>
      <c r="H169" t="s">
        <v>3088</v>
      </c>
      <c r="I169">
        <v>221.22200000000001</v>
      </c>
      <c r="J169" t="s">
        <v>2460</v>
      </c>
      <c r="K169">
        <v>213.922</v>
      </c>
      <c r="L169" t="s">
        <v>2460</v>
      </c>
      <c r="M169">
        <v>209.45699999999999</v>
      </c>
      <c r="N169" t="s">
        <v>2460</v>
      </c>
      <c r="O169">
        <v>205.13800000000001</v>
      </c>
      <c r="P169" t="s">
        <v>2460</v>
      </c>
      <c r="Q169">
        <v>202.571</v>
      </c>
      <c r="R169" t="s">
        <v>2460</v>
      </c>
      <c r="S169" t="s">
        <v>988</v>
      </c>
    </row>
    <row r="170" spans="1:19" hidden="1" x14ac:dyDescent="0.3">
      <c r="A170">
        <v>417</v>
      </c>
      <c r="B170" t="s">
        <v>1363</v>
      </c>
      <c r="C170" t="s">
        <v>2877</v>
      </c>
      <c r="D170" t="s">
        <v>1203</v>
      </c>
      <c r="E170" t="s">
        <v>1204</v>
      </c>
      <c r="F170">
        <v>5866</v>
      </c>
      <c r="G170" t="s">
        <v>2681</v>
      </c>
      <c r="H170" t="s">
        <v>3089</v>
      </c>
      <c r="I170">
        <v>510.78300000000002</v>
      </c>
      <c r="J170" t="s">
        <v>2460</v>
      </c>
      <c r="K170">
        <v>490.346</v>
      </c>
      <c r="L170" t="s">
        <v>2460</v>
      </c>
      <c r="M170">
        <v>480.73099999999999</v>
      </c>
      <c r="N170" t="s">
        <v>2460</v>
      </c>
      <c r="O170">
        <v>471.3</v>
      </c>
      <c r="P170" t="s">
        <v>2460</v>
      </c>
      <c r="Q170">
        <v>465.47800000000001</v>
      </c>
      <c r="R170" t="s">
        <v>2460</v>
      </c>
      <c r="S170" t="s">
        <v>988</v>
      </c>
    </row>
    <row r="171" spans="1:19" hidden="1" x14ac:dyDescent="0.3">
      <c r="A171">
        <v>417</v>
      </c>
      <c r="B171" t="s">
        <v>1363</v>
      </c>
      <c r="C171" t="s">
        <v>2877</v>
      </c>
      <c r="D171" t="s">
        <v>1203</v>
      </c>
      <c r="E171" t="s">
        <v>1204</v>
      </c>
      <c r="F171">
        <v>5866</v>
      </c>
      <c r="G171" t="s">
        <v>2681</v>
      </c>
      <c r="H171" t="s">
        <v>3090</v>
      </c>
      <c r="I171">
        <v>6315.5460000000003</v>
      </c>
      <c r="J171" t="s">
        <v>2460</v>
      </c>
      <c r="K171">
        <v>6453.2709999999997</v>
      </c>
      <c r="L171" t="s">
        <v>2460</v>
      </c>
      <c r="M171">
        <v>6670.2520000000004</v>
      </c>
      <c r="N171" t="s">
        <v>2460</v>
      </c>
      <c r="O171">
        <v>6891.9639999999999</v>
      </c>
      <c r="P171" t="s">
        <v>2460</v>
      </c>
      <c r="Q171">
        <v>7143.5690000000004</v>
      </c>
      <c r="R171" t="s">
        <v>2460</v>
      </c>
      <c r="S171" t="s">
        <v>988</v>
      </c>
    </row>
    <row r="172" spans="1:19" hidden="1" x14ac:dyDescent="0.3">
      <c r="A172">
        <v>417</v>
      </c>
      <c r="B172" t="s">
        <v>1363</v>
      </c>
      <c r="C172" t="s">
        <v>2877</v>
      </c>
      <c r="D172" t="s">
        <v>1203</v>
      </c>
      <c r="E172" t="s">
        <v>1204</v>
      </c>
      <c r="F172">
        <v>5866</v>
      </c>
      <c r="G172" t="s">
        <v>2681</v>
      </c>
      <c r="H172" t="s">
        <v>3091</v>
      </c>
      <c r="I172">
        <v>9135.1080000000002</v>
      </c>
      <c r="J172" t="s">
        <v>2460</v>
      </c>
      <c r="K172">
        <v>9392.5879999999997</v>
      </c>
      <c r="L172" t="s">
        <v>2460</v>
      </c>
      <c r="M172">
        <v>9759.7139999999999</v>
      </c>
      <c r="N172" t="s">
        <v>2460</v>
      </c>
      <c r="O172">
        <v>10133.727000000001</v>
      </c>
      <c r="P172" t="s">
        <v>2460</v>
      </c>
      <c r="Q172">
        <v>10549.308999999999</v>
      </c>
      <c r="R172" t="s">
        <v>2460</v>
      </c>
      <c r="S172" t="s">
        <v>988</v>
      </c>
    </row>
    <row r="173" spans="1:19" hidden="1" x14ac:dyDescent="0.3">
      <c r="A173">
        <v>417</v>
      </c>
      <c r="B173" t="s">
        <v>1363</v>
      </c>
      <c r="C173" t="s">
        <v>2877</v>
      </c>
      <c r="D173" t="s">
        <v>1203</v>
      </c>
      <c r="E173" t="s">
        <v>1204</v>
      </c>
      <c r="F173">
        <v>5866</v>
      </c>
      <c r="G173" t="s">
        <v>2681</v>
      </c>
      <c r="H173" t="s">
        <v>3092</v>
      </c>
      <c r="I173">
        <v>425.923</v>
      </c>
      <c r="J173" t="s">
        <v>2460</v>
      </c>
      <c r="K173">
        <v>437.91800000000001</v>
      </c>
      <c r="L173" t="s">
        <v>2460</v>
      </c>
      <c r="M173">
        <v>455.02600000000001</v>
      </c>
      <c r="N173" t="s">
        <v>2460</v>
      </c>
      <c r="O173">
        <v>472.45600000000002</v>
      </c>
      <c r="P173" t="s">
        <v>2460</v>
      </c>
      <c r="Q173">
        <v>491.82299999999998</v>
      </c>
      <c r="R173" t="s">
        <v>2460</v>
      </c>
      <c r="S173" t="s">
        <v>988</v>
      </c>
    </row>
    <row r="174" spans="1:19" hidden="1" x14ac:dyDescent="0.3">
      <c r="A174">
        <v>421</v>
      </c>
      <c r="B174" t="s">
        <v>1364</v>
      </c>
      <c r="C174" t="s">
        <v>2877</v>
      </c>
      <c r="D174" t="s">
        <v>1203</v>
      </c>
      <c r="E174" t="s">
        <v>1204</v>
      </c>
      <c r="F174">
        <v>5867</v>
      </c>
      <c r="G174" t="s">
        <v>2681</v>
      </c>
      <c r="H174" t="s">
        <v>3093</v>
      </c>
      <c r="I174">
        <v>4434</v>
      </c>
      <c r="J174" t="s">
        <v>2460</v>
      </c>
      <c r="K174">
        <v>4397</v>
      </c>
      <c r="L174" t="s">
        <v>2460</v>
      </c>
      <c r="M174">
        <v>4540</v>
      </c>
      <c r="N174" t="s">
        <v>2460</v>
      </c>
      <c r="O174">
        <v>4659</v>
      </c>
      <c r="P174" t="s">
        <v>2460</v>
      </c>
      <c r="Q174">
        <v>4800</v>
      </c>
      <c r="R174" t="s">
        <v>2460</v>
      </c>
      <c r="S174" t="s">
        <v>988</v>
      </c>
    </row>
    <row r="175" spans="1:19" hidden="1" x14ac:dyDescent="0.3">
      <c r="A175">
        <v>422</v>
      </c>
      <c r="B175" t="s">
        <v>1365</v>
      </c>
      <c r="C175" t="s">
        <v>2877</v>
      </c>
      <c r="D175" t="s">
        <v>1203</v>
      </c>
      <c r="E175" t="s">
        <v>1204</v>
      </c>
      <c r="F175">
        <v>5868</v>
      </c>
      <c r="G175" t="s">
        <v>2683</v>
      </c>
      <c r="H175" t="s">
        <v>1909</v>
      </c>
      <c r="I175">
        <v>6009</v>
      </c>
      <c r="J175" t="s">
        <v>2460</v>
      </c>
      <c r="K175">
        <v>5949</v>
      </c>
      <c r="L175" t="s">
        <v>2460</v>
      </c>
      <c r="M175">
        <v>6101</v>
      </c>
      <c r="N175" t="s">
        <v>2460</v>
      </c>
      <c r="O175">
        <v>6466</v>
      </c>
      <c r="P175" t="s">
        <v>2460</v>
      </c>
      <c r="Q175">
        <v>6889</v>
      </c>
      <c r="R175" t="s">
        <v>2460</v>
      </c>
      <c r="S175" t="s">
        <v>988</v>
      </c>
    </row>
    <row r="176" spans="1:19" hidden="1" x14ac:dyDescent="0.3">
      <c r="A176">
        <v>422</v>
      </c>
      <c r="B176" t="s">
        <v>1365</v>
      </c>
      <c r="C176" t="s">
        <v>2877</v>
      </c>
      <c r="D176" t="s">
        <v>1203</v>
      </c>
      <c r="E176" t="s">
        <v>1204</v>
      </c>
      <c r="F176">
        <v>5868</v>
      </c>
      <c r="G176" t="s">
        <v>2681</v>
      </c>
      <c r="H176" t="s">
        <v>3094</v>
      </c>
      <c r="I176">
        <v>1534</v>
      </c>
      <c r="J176" t="s">
        <v>2460</v>
      </c>
      <c r="K176">
        <v>1534</v>
      </c>
      <c r="L176" t="s">
        <v>2460</v>
      </c>
      <c r="M176">
        <v>1534</v>
      </c>
      <c r="N176" t="s">
        <v>2460</v>
      </c>
      <c r="O176">
        <v>1534</v>
      </c>
      <c r="P176" t="s">
        <v>2460</v>
      </c>
      <c r="Q176">
        <v>1534</v>
      </c>
      <c r="R176" t="s">
        <v>2460</v>
      </c>
      <c r="S176" t="s">
        <v>988</v>
      </c>
    </row>
    <row r="177" spans="1:19" hidden="1" x14ac:dyDescent="0.3">
      <c r="A177">
        <v>424</v>
      </c>
      <c r="B177" t="s">
        <v>1366</v>
      </c>
      <c r="C177" t="s">
        <v>2877</v>
      </c>
      <c r="D177" t="s">
        <v>1203</v>
      </c>
      <c r="E177" t="s">
        <v>1204</v>
      </c>
      <c r="F177">
        <v>5869</v>
      </c>
      <c r="G177" t="s">
        <v>2681</v>
      </c>
      <c r="H177" t="s">
        <v>3095</v>
      </c>
      <c r="I177">
        <v>1340</v>
      </c>
      <c r="J177" t="s">
        <v>2460</v>
      </c>
      <c r="K177">
        <v>1340</v>
      </c>
      <c r="L177" t="s">
        <v>2460</v>
      </c>
      <c r="M177">
        <v>1340</v>
      </c>
      <c r="N177" t="s">
        <v>2460</v>
      </c>
      <c r="O177">
        <v>1340</v>
      </c>
      <c r="P177" t="s">
        <v>2460</v>
      </c>
      <c r="Q177">
        <v>1340</v>
      </c>
      <c r="R177" t="s">
        <v>2460</v>
      </c>
      <c r="S177" t="s">
        <v>988</v>
      </c>
    </row>
    <row r="178" spans="1:19" hidden="1" x14ac:dyDescent="0.3">
      <c r="A178">
        <v>424</v>
      </c>
      <c r="B178" t="s">
        <v>1366</v>
      </c>
      <c r="C178" t="s">
        <v>2877</v>
      </c>
      <c r="D178" t="s">
        <v>1203</v>
      </c>
      <c r="E178" t="s">
        <v>1204</v>
      </c>
      <c r="F178">
        <v>5869</v>
      </c>
      <c r="G178" t="s">
        <v>2683</v>
      </c>
      <c r="H178" t="s">
        <v>912</v>
      </c>
      <c r="I178">
        <v>22393</v>
      </c>
      <c r="J178" t="s">
        <v>2460</v>
      </c>
      <c r="K178">
        <v>22248</v>
      </c>
      <c r="L178" t="s">
        <v>2460</v>
      </c>
      <c r="M178">
        <v>22208</v>
      </c>
      <c r="N178" t="s">
        <v>2460</v>
      </c>
      <c r="O178">
        <v>22140</v>
      </c>
      <c r="P178" t="s">
        <v>2460</v>
      </c>
      <c r="Q178">
        <v>22177</v>
      </c>
      <c r="R178" t="s">
        <v>2460</v>
      </c>
      <c r="S178" t="s">
        <v>988</v>
      </c>
    </row>
    <row r="179" spans="1:19" hidden="1" x14ac:dyDescent="0.3">
      <c r="A179">
        <v>427</v>
      </c>
      <c r="B179" t="s">
        <v>1367</v>
      </c>
      <c r="C179" t="s">
        <v>2877</v>
      </c>
      <c r="D179" t="s">
        <v>1203</v>
      </c>
      <c r="E179" t="s">
        <v>1204</v>
      </c>
      <c r="F179">
        <v>5870</v>
      </c>
      <c r="G179" t="s">
        <v>2681</v>
      </c>
      <c r="H179" t="s">
        <v>2460</v>
      </c>
      <c r="I179">
        <v>32520</v>
      </c>
      <c r="J179" t="s">
        <v>2460</v>
      </c>
      <c r="K179">
        <v>35276</v>
      </c>
      <c r="L179" t="s">
        <v>2460</v>
      </c>
      <c r="M179">
        <v>38310</v>
      </c>
      <c r="N179" t="s">
        <v>2460</v>
      </c>
      <c r="O179">
        <v>41258</v>
      </c>
      <c r="P179" t="s">
        <v>2460</v>
      </c>
      <c r="Q179">
        <v>44529</v>
      </c>
      <c r="R179" t="s">
        <v>2460</v>
      </c>
      <c r="S179" t="s">
        <v>988</v>
      </c>
    </row>
    <row r="180" spans="1:19" hidden="1" x14ac:dyDescent="0.3">
      <c r="A180">
        <v>428</v>
      </c>
      <c r="B180" t="s">
        <v>1368</v>
      </c>
      <c r="C180" t="s">
        <v>2877</v>
      </c>
      <c r="D180" t="s">
        <v>1203</v>
      </c>
      <c r="E180" t="s">
        <v>1204</v>
      </c>
      <c r="F180">
        <v>5871</v>
      </c>
      <c r="G180" t="s">
        <v>2683</v>
      </c>
      <c r="H180" t="s">
        <v>3096</v>
      </c>
      <c r="I180">
        <v>6943</v>
      </c>
      <c r="J180" t="s">
        <v>2460</v>
      </c>
      <c r="K180">
        <v>6818</v>
      </c>
      <c r="L180" t="s">
        <v>2460</v>
      </c>
      <c r="M180">
        <v>6821</v>
      </c>
      <c r="N180" t="s">
        <v>2460</v>
      </c>
      <c r="O180">
        <v>6816</v>
      </c>
      <c r="P180" t="s">
        <v>2460</v>
      </c>
      <c r="Q180">
        <v>6836</v>
      </c>
      <c r="R180" t="s">
        <v>2460</v>
      </c>
      <c r="S180" t="s">
        <v>988</v>
      </c>
    </row>
    <row r="181" spans="1:19" hidden="1" x14ac:dyDescent="0.3">
      <c r="A181">
        <v>428</v>
      </c>
      <c r="B181" t="s">
        <v>1368</v>
      </c>
      <c r="C181" t="s">
        <v>2877</v>
      </c>
      <c r="D181" t="s">
        <v>1203</v>
      </c>
      <c r="E181" t="s">
        <v>1204</v>
      </c>
      <c r="F181">
        <v>5871</v>
      </c>
      <c r="G181" t="s">
        <v>2679</v>
      </c>
      <c r="H181" t="s">
        <v>3096</v>
      </c>
      <c r="I181">
        <v>436</v>
      </c>
      <c r="J181" t="s">
        <v>2460</v>
      </c>
      <c r="K181">
        <v>436</v>
      </c>
      <c r="L181" t="s">
        <v>2460</v>
      </c>
      <c r="M181">
        <v>436</v>
      </c>
      <c r="N181" t="s">
        <v>2460</v>
      </c>
      <c r="O181">
        <v>436</v>
      </c>
      <c r="P181" t="s">
        <v>2460</v>
      </c>
      <c r="Q181">
        <v>436</v>
      </c>
      <c r="R181" t="s">
        <v>2460</v>
      </c>
      <c r="S181" t="s">
        <v>988</v>
      </c>
    </row>
    <row r="182" spans="1:19" hidden="1" x14ac:dyDescent="0.3">
      <c r="A182">
        <v>429</v>
      </c>
      <c r="B182" t="s">
        <v>1369</v>
      </c>
      <c r="C182" t="s">
        <v>2877</v>
      </c>
      <c r="D182" t="s">
        <v>1203</v>
      </c>
      <c r="E182" t="s">
        <v>1204</v>
      </c>
      <c r="F182">
        <v>5872</v>
      </c>
      <c r="G182" t="s">
        <v>2681</v>
      </c>
      <c r="H182" t="s">
        <v>3097</v>
      </c>
      <c r="I182">
        <v>1527</v>
      </c>
      <c r="J182" t="s">
        <v>2460</v>
      </c>
      <c r="K182">
        <v>1617</v>
      </c>
      <c r="L182" t="s">
        <v>2460</v>
      </c>
      <c r="M182">
        <v>1615</v>
      </c>
      <c r="N182" t="s">
        <v>2460</v>
      </c>
      <c r="O182">
        <v>1876</v>
      </c>
      <c r="P182" t="s">
        <v>2460</v>
      </c>
      <c r="Q182">
        <v>1881</v>
      </c>
      <c r="R182" t="s">
        <v>2460</v>
      </c>
      <c r="S182" t="s">
        <v>988</v>
      </c>
    </row>
    <row r="183" spans="1:19" hidden="1" x14ac:dyDescent="0.3">
      <c r="A183">
        <v>443</v>
      </c>
      <c r="B183" t="s">
        <v>1370</v>
      </c>
      <c r="C183" t="s">
        <v>2877</v>
      </c>
      <c r="D183" t="s">
        <v>1203</v>
      </c>
      <c r="E183" t="s">
        <v>1204</v>
      </c>
      <c r="F183">
        <v>5713</v>
      </c>
      <c r="G183" t="s">
        <v>2679</v>
      </c>
      <c r="H183" t="s">
        <v>2460</v>
      </c>
      <c r="I183">
        <v>206</v>
      </c>
      <c r="J183" t="s">
        <v>3098</v>
      </c>
      <c r="K183">
        <v>206</v>
      </c>
      <c r="L183" t="s">
        <v>3098</v>
      </c>
      <c r="M183">
        <v>206</v>
      </c>
      <c r="N183" t="s">
        <v>3098</v>
      </c>
      <c r="O183">
        <v>206</v>
      </c>
      <c r="P183" t="s">
        <v>3098</v>
      </c>
      <c r="Q183">
        <v>206</v>
      </c>
      <c r="R183" t="s">
        <v>3098</v>
      </c>
      <c r="S183" t="s">
        <v>988</v>
      </c>
    </row>
    <row r="184" spans="1:19" hidden="1" x14ac:dyDescent="0.3">
      <c r="A184">
        <v>443</v>
      </c>
      <c r="B184" t="s">
        <v>1370</v>
      </c>
      <c r="C184" t="s">
        <v>2877</v>
      </c>
      <c r="D184" t="s">
        <v>1203</v>
      </c>
      <c r="E184" t="s">
        <v>1204</v>
      </c>
      <c r="F184">
        <v>5713</v>
      </c>
      <c r="G184" t="s">
        <v>2681</v>
      </c>
      <c r="H184" t="s">
        <v>3099</v>
      </c>
      <c r="I184">
        <v>1716</v>
      </c>
      <c r="J184" t="s">
        <v>3100</v>
      </c>
      <c r="K184">
        <v>1583</v>
      </c>
      <c r="L184" t="s">
        <v>3101</v>
      </c>
      <c r="M184">
        <v>1711</v>
      </c>
      <c r="N184" t="s">
        <v>3102</v>
      </c>
      <c r="O184">
        <v>1772</v>
      </c>
      <c r="P184" t="s">
        <v>3103</v>
      </c>
      <c r="Q184">
        <v>1834</v>
      </c>
      <c r="R184" t="s">
        <v>3103</v>
      </c>
      <c r="S184" t="s">
        <v>988</v>
      </c>
    </row>
    <row r="185" spans="1:19" hidden="1" x14ac:dyDescent="0.3">
      <c r="A185">
        <v>443</v>
      </c>
      <c r="B185" t="s">
        <v>1370</v>
      </c>
      <c r="C185" t="s">
        <v>2877</v>
      </c>
      <c r="D185" t="s">
        <v>1203</v>
      </c>
      <c r="E185" t="s">
        <v>1204</v>
      </c>
      <c r="F185">
        <v>5713</v>
      </c>
      <c r="G185" t="s">
        <v>2683</v>
      </c>
      <c r="H185" t="s">
        <v>3096</v>
      </c>
      <c r="I185">
        <v>870</v>
      </c>
      <c r="J185" t="s">
        <v>3104</v>
      </c>
      <c r="K185">
        <v>870</v>
      </c>
      <c r="L185" t="s">
        <v>3104</v>
      </c>
      <c r="M185">
        <v>870</v>
      </c>
      <c r="N185" t="s">
        <v>3104</v>
      </c>
      <c r="O185">
        <v>870</v>
      </c>
      <c r="P185" t="s">
        <v>3104</v>
      </c>
      <c r="Q185">
        <v>870</v>
      </c>
      <c r="R185" t="s">
        <v>3104</v>
      </c>
      <c r="S185" t="s">
        <v>988</v>
      </c>
    </row>
    <row r="186" spans="1:19" hidden="1" x14ac:dyDescent="0.3">
      <c r="A186">
        <v>443</v>
      </c>
      <c r="B186" t="s">
        <v>1370</v>
      </c>
      <c r="C186" t="s">
        <v>2877</v>
      </c>
      <c r="D186" t="s">
        <v>1203</v>
      </c>
      <c r="E186" t="s">
        <v>1204</v>
      </c>
      <c r="F186">
        <v>5713</v>
      </c>
      <c r="G186" t="s">
        <v>2687</v>
      </c>
      <c r="H186" t="s">
        <v>3099</v>
      </c>
      <c r="I186">
        <v>3877</v>
      </c>
      <c r="J186" t="s">
        <v>3105</v>
      </c>
      <c r="K186">
        <v>3877</v>
      </c>
      <c r="L186" t="s">
        <v>3105</v>
      </c>
      <c r="M186">
        <v>3877</v>
      </c>
      <c r="N186" t="s">
        <v>3105</v>
      </c>
      <c r="O186">
        <v>3877</v>
      </c>
      <c r="P186" t="s">
        <v>3105</v>
      </c>
      <c r="Q186">
        <v>3877</v>
      </c>
      <c r="R186" t="s">
        <v>3105</v>
      </c>
      <c r="S186" t="s">
        <v>988</v>
      </c>
    </row>
    <row r="187" spans="1:19" hidden="1" x14ac:dyDescent="0.3">
      <c r="A187">
        <v>445</v>
      </c>
      <c r="B187" t="s">
        <v>1371</v>
      </c>
      <c r="C187" t="s">
        <v>2877</v>
      </c>
      <c r="D187" t="s">
        <v>1203</v>
      </c>
      <c r="E187" t="s">
        <v>1204</v>
      </c>
      <c r="F187">
        <v>5520</v>
      </c>
      <c r="G187" t="s">
        <v>2681</v>
      </c>
      <c r="H187" t="s">
        <v>3106</v>
      </c>
      <c r="I187">
        <v>725</v>
      </c>
      <c r="J187" t="s">
        <v>3107</v>
      </c>
      <c r="K187">
        <v>725</v>
      </c>
      <c r="L187" t="s">
        <v>3107</v>
      </c>
      <c r="M187">
        <v>725</v>
      </c>
      <c r="N187" t="s">
        <v>3107</v>
      </c>
      <c r="O187">
        <v>725</v>
      </c>
      <c r="P187" t="s">
        <v>3107</v>
      </c>
      <c r="Q187">
        <v>725</v>
      </c>
      <c r="R187" t="s">
        <v>3107</v>
      </c>
      <c r="S187" t="s">
        <v>988</v>
      </c>
    </row>
    <row r="188" spans="1:19" hidden="1" x14ac:dyDescent="0.3">
      <c r="A188">
        <v>445</v>
      </c>
      <c r="B188" t="s">
        <v>1371</v>
      </c>
      <c r="C188" t="s">
        <v>2877</v>
      </c>
      <c r="D188" t="s">
        <v>1203</v>
      </c>
      <c r="E188" t="s">
        <v>1204</v>
      </c>
      <c r="F188">
        <v>5520</v>
      </c>
      <c r="G188" t="s">
        <v>2679</v>
      </c>
      <c r="H188" t="s">
        <v>3108</v>
      </c>
      <c r="I188">
        <v>21</v>
      </c>
      <c r="J188" t="s">
        <v>2460</v>
      </c>
      <c r="K188">
        <v>21</v>
      </c>
      <c r="L188" t="s">
        <v>2460</v>
      </c>
      <c r="M188">
        <v>21</v>
      </c>
      <c r="N188" t="s">
        <v>2460</v>
      </c>
      <c r="O188">
        <v>21</v>
      </c>
      <c r="P188" t="s">
        <v>2460</v>
      </c>
      <c r="Q188">
        <v>21</v>
      </c>
      <c r="R188" t="s">
        <v>2460</v>
      </c>
      <c r="S188" t="s">
        <v>988</v>
      </c>
    </row>
    <row r="189" spans="1:19" hidden="1" x14ac:dyDescent="0.3">
      <c r="A189">
        <v>445</v>
      </c>
      <c r="B189" t="s">
        <v>1371</v>
      </c>
      <c r="C189" t="s">
        <v>2877</v>
      </c>
      <c r="D189" t="s">
        <v>1203</v>
      </c>
      <c r="E189" t="s">
        <v>1204</v>
      </c>
      <c r="F189">
        <v>5520</v>
      </c>
      <c r="G189" t="s">
        <v>2679</v>
      </c>
      <c r="H189" t="s">
        <v>3109</v>
      </c>
      <c r="J189" t="s">
        <v>2460</v>
      </c>
      <c r="K189">
        <v>50</v>
      </c>
      <c r="L189" t="s">
        <v>2460</v>
      </c>
      <c r="M189">
        <v>100</v>
      </c>
      <c r="N189" t="s">
        <v>2460</v>
      </c>
      <c r="O189">
        <v>100</v>
      </c>
      <c r="P189" t="s">
        <v>2460</v>
      </c>
      <c r="Q189">
        <v>100</v>
      </c>
      <c r="R189" t="s">
        <v>2460</v>
      </c>
      <c r="S189" t="s">
        <v>988</v>
      </c>
    </row>
    <row r="190" spans="1:19" hidden="1" x14ac:dyDescent="0.3">
      <c r="A190">
        <v>467</v>
      </c>
      <c r="B190" t="s">
        <v>1374</v>
      </c>
      <c r="C190" t="s">
        <v>2877</v>
      </c>
      <c r="D190" t="s">
        <v>1203</v>
      </c>
      <c r="E190" t="s">
        <v>1204</v>
      </c>
      <c r="F190">
        <v>5746</v>
      </c>
      <c r="G190" t="s">
        <v>2681</v>
      </c>
      <c r="H190" t="s">
        <v>3110</v>
      </c>
      <c r="I190">
        <v>7700</v>
      </c>
      <c r="J190" t="s">
        <v>2460</v>
      </c>
      <c r="K190">
        <v>7700</v>
      </c>
      <c r="L190" t="s">
        <v>2460</v>
      </c>
      <c r="M190">
        <v>7700</v>
      </c>
      <c r="N190" t="s">
        <v>2460</v>
      </c>
      <c r="O190">
        <v>7700</v>
      </c>
      <c r="P190" t="s">
        <v>2460</v>
      </c>
      <c r="R190" t="s">
        <v>2460</v>
      </c>
      <c r="S190" t="s">
        <v>988</v>
      </c>
    </row>
    <row r="191" spans="1:19" hidden="1" x14ac:dyDescent="0.3">
      <c r="A191">
        <v>467</v>
      </c>
      <c r="B191" t="s">
        <v>1374</v>
      </c>
      <c r="C191" t="s">
        <v>2877</v>
      </c>
      <c r="D191" t="s">
        <v>1203</v>
      </c>
      <c r="E191" t="s">
        <v>1204</v>
      </c>
      <c r="F191">
        <v>5746</v>
      </c>
      <c r="G191" t="s">
        <v>2683</v>
      </c>
      <c r="H191" t="s">
        <v>3111</v>
      </c>
      <c r="I191">
        <v>7900</v>
      </c>
      <c r="J191" t="s">
        <v>2460</v>
      </c>
      <c r="K191">
        <v>7900</v>
      </c>
      <c r="L191" t="s">
        <v>2460</v>
      </c>
      <c r="M191">
        <v>7900</v>
      </c>
      <c r="N191" t="s">
        <v>2460</v>
      </c>
      <c r="O191">
        <v>7900</v>
      </c>
      <c r="P191" t="s">
        <v>2460</v>
      </c>
      <c r="R191" t="s">
        <v>2460</v>
      </c>
      <c r="S191" t="s">
        <v>988</v>
      </c>
    </row>
    <row r="192" spans="1:19" hidden="1" x14ac:dyDescent="0.3">
      <c r="A192">
        <v>467</v>
      </c>
      <c r="B192" t="s">
        <v>1374</v>
      </c>
      <c r="C192" t="s">
        <v>2877</v>
      </c>
      <c r="D192" t="s">
        <v>1203</v>
      </c>
      <c r="E192" t="s">
        <v>1204</v>
      </c>
      <c r="F192">
        <v>5746</v>
      </c>
      <c r="G192" t="s">
        <v>2679</v>
      </c>
      <c r="H192" t="s">
        <v>3112</v>
      </c>
      <c r="I192">
        <v>10200</v>
      </c>
      <c r="J192" t="s">
        <v>2460</v>
      </c>
      <c r="K192">
        <v>10200</v>
      </c>
      <c r="L192" t="s">
        <v>2460</v>
      </c>
      <c r="M192">
        <v>10200</v>
      </c>
      <c r="N192" t="s">
        <v>2460</v>
      </c>
      <c r="O192">
        <v>10200</v>
      </c>
      <c r="P192" t="s">
        <v>2460</v>
      </c>
      <c r="R192" t="s">
        <v>2460</v>
      </c>
      <c r="S192" t="s">
        <v>988</v>
      </c>
    </row>
    <row r="193" spans="1:19" hidden="1" x14ac:dyDescent="0.3">
      <c r="A193">
        <v>467</v>
      </c>
      <c r="B193" t="s">
        <v>1374</v>
      </c>
      <c r="C193" t="s">
        <v>2877</v>
      </c>
      <c r="D193" t="s">
        <v>1203</v>
      </c>
      <c r="E193" t="s">
        <v>1204</v>
      </c>
      <c r="F193">
        <v>5746</v>
      </c>
      <c r="G193" t="s">
        <v>2687</v>
      </c>
      <c r="H193" t="s">
        <v>3113</v>
      </c>
      <c r="I193">
        <v>1000</v>
      </c>
      <c r="J193" t="s">
        <v>2460</v>
      </c>
      <c r="K193">
        <v>1000</v>
      </c>
      <c r="L193" t="s">
        <v>2460</v>
      </c>
      <c r="M193">
        <v>1000</v>
      </c>
      <c r="N193" t="s">
        <v>2460</v>
      </c>
      <c r="O193">
        <v>1000</v>
      </c>
      <c r="P193" t="s">
        <v>2460</v>
      </c>
      <c r="R193" t="s">
        <v>2460</v>
      </c>
      <c r="S193" t="s">
        <v>988</v>
      </c>
    </row>
    <row r="194" spans="1:19" hidden="1" x14ac:dyDescent="0.3">
      <c r="A194">
        <v>478</v>
      </c>
      <c r="B194" t="s">
        <v>1375</v>
      </c>
      <c r="C194" t="s">
        <v>2877</v>
      </c>
      <c r="D194" t="s">
        <v>159</v>
      </c>
      <c r="E194" t="s">
        <v>159</v>
      </c>
      <c r="F194">
        <v>6869</v>
      </c>
      <c r="G194" t="s">
        <v>2679</v>
      </c>
      <c r="H194" t="s">
        <v>3114</v>
      </c>
      <c r="I194">
        <v>2318</v>
      </c>
      <c r="J194" t="s">
        <v>3115</v>
      </c>
      <c r="K194">
        <v>2318</v>
      </c>
      <c r="L194" t="s">
        <v>3115</v>
      </c>
      <c r="M194">
        <v>2318</v>
      </c>
      <c r="N194" t="s">
        <v>3115</v>
      </c>
      <c r="O194">
        <v>2318</v>
      </c>
      <c r="P194" t="s">
        <v>3115</v>
      </c>
      <c r="Q194">
        <v>2318</v>
      </c>
      <c r="R194" t="s">
        <v>3115</v>
      </c>
      <c r="S194" t="s">
        <v>988</v>
      </c>
    </row>
    <row r="195" spans="1:19" hidden="1" x14ac:dyDescent="0.3">
      <c r="A195">
        <v>478</v>
      </c>
      <c r="B195" t="s">
        <v>1375</v>
      </c>
      <c r="C195" t="s">
        <v>2877</v>
      </c>
      <c r="D195" t="s">
        <v>159</v>
      </c>
      <c r="E195" t="s">
        <v>159</v>
      </c>
      <c r="F195">
        <v>6869</v>
      </c>
      <c r="G195" t="s">
        <v>2679</v>
      </c>
      <c r="H195" t="s">
        <v>3116</v>
      </c>
      <c r="I195">
        <v>1900</v>
      </c>
      <c r="J195" t="s">
        <v>3117</v>
      </c>
      <c r="K195">
        <v>1900</v>
      </c>
      <c r="L195" t="s">
        <v>3117</v>
      </c>
      <c r="M195">
        <v>1900</v>
      </c>
      <c r="N195" t="s">
        <v>3117</v>
      </c>
      <c r="O195">
        <v>1900</v>
      </c>
      <c r="P195" t="s">
        <v>3117</v>
      </c>
      <c r="Q195">
        <v>1900</v>
      </c>
      <c r="R195" t="s">
        <v>3117</v>
      </c>
      <c r="S195" t="s">
        <v>988</v>
      </c>
    </row>
    <row r="196" spans="1:19" hidden="1" x14ac:dyDescent="0.3">
      <c r="A196">
        <v>478</v>
      </c>
      <c r="B196" t="s">
        <v>1375</v>
      </c>
      <c r="C196" t="s">
        <v>2877</v>
      </c>
      <c r="D196" t="s">
        <v>159</v>
      </c>
      <c r="E196" t="s">
        <v>159</v>
      </c>
      <c r="F196">
        <v>6869</v>
      </c>
      <c r="G196" t="s">
        <v>2689</v>
      </c>
      <c r="H196" t="s">
        <v>3118</v>
      </c>
      <c r="I196">
        <v>2500</v>
      </c>
      <c r="J196" t="s">
        <v>3119</v>
      </c>
      <c r="K196">
        <v>2500</v>
      </c>
      <c r="L196" t="s">
        <v>3119</v>
      </c>
      <c r="M196">
        <v>2500</v>
      </c>
      <c r="N196" t="s">
        <v>3119</v>
      </c>
      <c r="O196">
        <v>2500</v>
      </c>
      <c r="P196" t="s">
        <v>3119</v>
      </c>
      <c r="Q196">
        <v>2500</v>
      </c>
      <c r="R196" t="s">
        <v>3119</v>
      </c>
      <c r="S196" t="s">
        <v>988</v>
      </c>
    </row>
    <row r="197" spans="1:19" hidden="1" x14ac:dyDescent="0.3">
      <c r="A197">
        <v>478</v>
      </c>
      <c r="B197" t="s">
        <v>1375</v>
      </c>
      <c r="C197" t="s">
        <v>2877</v>
      </c>
      <c r="D197" t="s">
        <v>159</v>
      </c>
      <c r="E197" t="s">
        <v>159</v>
      </c>
      <c r="F197">
        <v>6869</v>
      </c>
      <c r="G197" t="s">
        <v>2683</v>
      </c>
      <c r="H197" t="s">
        <v>3120</v>
      </c>
      <c r="I197">
        <v>13802</v>
      </c>
      <c r="J197" t="s">
        <v>3121</v>
      </c>
      <c r="K197">
        <v>14155</v>
      </c>
      <c r="L197" t="s">
        <v>3122</v>
      </c>
      <c r="M197">
        <v>14586</v>
      </c>
      <c r="N197" t="s">
        <v>3123</v>
      </c>
      <c r="O197">
        <v>15019</v>
      </c>
      <c r="P197" t="s">
        <v>3124</v>
      </c>
      <c r="Q197">
        <v>15545</v>
      </c>
      <c r="R197" t="s">
        <v>3125</v>
      </c>
      <c r="S197" t="s">
        <v>988</v>
      </c>
    </row>
    <row r="198" spans="1:19" hidden="1" x14ac:dyDescent="0.3">
      <c r="A198">
        <v>481</v>
      </c>
      <c r="B198" t="s">
        <v>1379</v>
      </c>
      <c r="C198" t="s">
        <v>2877</v>
      </c>
      <c r="D198" t="s">
        <v>1203</v>
      </c>
      <c r="E198" t="s">
        <v>1204</v>
      </c>
      <c r="F198">
        <v>5750</v>
      </c>
      <c r="G198" t="s">
        <v>687</v>
      </c>
      <c r="H198" t="s">
        <v>3126</v>
      </c>
      <c r="I198">
        <v>43920</v>
      </c>
      <c r="J198" t="s">
        <v>2460</v>
      </c>
      <c r="K198">
        <v>43920</v>
      </c>
      <c r="L198" t="s">
        <v>2460</v>
      </c>
      <c r="M198">
        <v>43920</v>
      </c>
      <c r="N198" t="s">
        <v>2460</v>
      </c>
      <c r="O198">
        <v>43920</v>
      </c>
      <c r="P198" t="s">
        <v>2460</v>
      </c>
      <c r="Q198">
        <v>43920</v>
      </c>
      <c r="R198" t="s">
        <v>2460</v>
      </c>
      <c r="S198" t="s">
        <v>988</v>
      </c>
    </row>
    <row r="199" spans="1:19" hidden="1" x14ac:dyDescent="0.3">
      <c r="A199">
        <v>485</v>
      </c>
      <c r="B199" t="s">
        <v>1381</v>
      </c>
      <c r="C199" t="s">
        <v>2877</v>
      </c>
      <c r="D199" t="s">
        <v>1203</v>
      </c>
      <c r="E199" t="s">
        <v>1204</v>
      </c>
      <c r="F199">
        <v>6618</v>
      </c>
      <c r="G199" t="s">
        <v>2691</v>
      </c>
      <c r="H199" t="s">
        <v>3127</v>
      </c>
      <c r="I199">
        <v>2110</v>
      </c>
      <c r="J199" t="s">
        <v>2460</v>
      </c>
      <c r="K199">
        <v>2110</v>
      </c>
      <c r="L199" t="s">
        <v>2460</v>
      </c>
      <c r="M199">
        <v>2110</v>
      </c>
      <c r="N199" t="s">
        <v>2460</v>
      </c>
      <c r="O199">
        <v>2110</v>
      </c>
      <c r="P199" t="s">
        <v>2460</v>
      </c>
      <c r="Q199">
        <v>2110</v>
      </c>
      <c r="R199" t="s">
        <v>2460</v>
      </c>
      <c r="S199" t="s">
        <v>988</v>
      </c>
    </row>
    <row r="200" spans="1:19" hidden="1" x14ac:dyDescent="0.3">
      <c r="A200">
        <v>485</v>
      </c>
      <c r="B200" t="s">
        <v>1381</v>
      </c>
      <c r="C200" t="s">
        <v>2877</v>
      </c>
      <c r="D200" t="s">
        <v>1203</v>
      </c>
      <c r="E200" t="s">
        <v>1204</v>
      </c>
      <c r="F200">
        <v>6618</v>
      </c>
      <c r="G200" t="s">
        <v>2681</v>
      </c>
      <c r="H200" t="s">
        <v>2460</v>
      </c>
      <c r="I200">
        <v>1200</v>
      </c>
      <c r="J200" t="s">
        <v>2460</v>
      </c>
      <c r="K200">
        <v>1200</v>
      </c>
      <c r="L200" t="s">
        <v>2460</v>
      </c>
      <c r="M200">
        <v>1200</v>
      </c>
      <c r="N200" t="s">
        <v>2460</v>
      </c>
      <c r="O200">
        <v>1200</v>
      </c>
      <c r="P200" t="s">
        <v>2460</v>
      </c>
      <c r="Q200">
        <v>1200</v>
      </c>
      <c r="R200" t="s">
        <v>2460</v>
      </c>
      <c r="S200" t="s">
        <v>988</v>
      </c>
    </row>
    <row r="201" spans="1:19" hidden="1" x14ac:dyDescent="0.3">
      <c r="A201">
        <v>485</v>
      </c>
      <c r="B201" t="s">
        <v>1381</v>
      </c>
      <c r="C201" t="s">
        <v>2877</v>
      </c>
      <c r="D201" t="s">
        <v>1203</v>
      </c>
      <c r="E201" t="s">
        <v>1204</v>
      </c>
      <c r="F201">
        <v>6618</v>
      </c>
      <c r="G201" t="s">
        <v>2683</v>
      </c>
      <c r="H201" t="s">
        <v>3128</v>
      </c>
      <c r="I201">
        <v>876</v>
      </c>
      <c r="J201" t="s">
        <v>2460</v>
      </c>
      <c r="K201">
        <v>876</v>
      </c>
      <c r="L201" t="s">
        <v>2460</v>
      </c>
      <c r="M201">
        <v>876</v>
      </c>
      <c r="N201" t="s">
        <v>2460</v>
      </c>
      <c r="O201">
        <v>876</v>
      </c>
      <c r="P201" t="s">
        <v>2460</v>
      </c>
      <c r="Q201">
        <v>876</v>
      </c>
      <c r="R201" t="s">
        <v>2460</v>
      </c>
      <c r="S201" t="s">
        <v>988</v>
      </c>
    </row>
    <row r="202" spans="1:19" hidden="1" x14ac:dyDescent="0.3">
      <c r="A202">
        <v>485</v>
      </c>
      <c r="B202" t="s">
        <v>1381</v>
      </c>
      <c r="C202" t="s">
        <v>2877</v>
      </c>
      <c r="D202" t="s">
        <v>1203</v>
      </c>
      <c r="E202" t="s">
        <v>1204</v>
      </c>
      <c r="F202">
        <v>6618</v>
      </c>
      <c r="G202" t="s">
        <v>2679</v>
      </c>
      <c r="H202" t="s">
        <v>2460</v>
      </c>
      <c r="I202">
        <v>0</v>
      </c>
      <c r="J202" t="s">
        <v>2460</v>
      </c>
      <c r="K202">
        <v>1000</v>
      </c>
      <c r="L202" t="s">
        <v>2460</v>
      </c>
      <c r="M202">
        <v>1000</v>
      </c>
      <c r="N202" t="s">
        <v>2460</v>
      </c>
      <c r="O202">
        <v>1000</v>
      </c>
      <c r="P202" t="s">
        <v>2460</v>
      </c>
      <c r="Q202">
        <v>1000</v>
      </c>
      <c r="R202" t="s">
        <v>2460</v>
      </c>
      <c r="S202" t="s">
        <v>988</v>
      </c>
    </row>
    <row r="203" spans="1:19" hidden="1" x14ac:dyDescent="0.3">
      <c r="A203">
        <v>485</v>
      </c>
      <c r="B203" t="s">
        <v>1381</v>
      </c>
      <c r="C203" t="s">
        <v>2877</v>
      </c>
      <c r="D203" t="s">
        <v>1203</v>
      </c>
      <c r="E203" t="s">
        <v>1204</v>
      </c>
      <c r="F203">
        <v>6618</v>
      </c>
      <c r="G203" t="s">
        <v>2687</v>
      </c>
      <c r="H203" t="s">
        <v>2460</v>
      </c>
      <c r="I203">
        <v>0</v>
      </c>
      <c r="J203" t="s">
        <v>2460</v>
      </c>
      <c r="K203">
        <v>0</v>
      </c>
      <c r="L203" t="s">
        <v>2460</v>
      </c>
      <c r="M203">
        <v>0</v>
      </c>
      <c r="N203" t="s">
        <v>2460</v>
      </c>
      <c r="O203">
        <v>0</v>
      </c>
      <c r="P203" t="s">
        <v>2460</v>
      </c>
      <c r="Q203">
        <v>0</v>
      </c>
      <c r="R203" t="s">
        <v>2460</v>
      </c>
      <c r="S203" t="s">
        <v>988</v>
      </c>
    </row>
    <row r="204" spans="1:19" hidden="1" x14ac:dyDescent="0.3">
      <c r="A204">
        <v>485</v>
      </c>
      <c r="B204" t="s">
        <v>1381</v>
      </c>
      <c r="C204" t="s">
        <v>2877</v>
      </c>
      <c r="D204" t="s">
        <v>1203</v>
      </c>
      <c r="E204" t="s">
        <v>1204</v>
      </c>
      <c r="F204">
        <v>6618</v>
      </c>
      <c r="G204" t="s">
        <v>784</v>
      </c>
      <c r="H204" t="s">
        <v>2460</v>
      </c>
      <c r="I204">
        <v>400</v>
      </c>
      <c r="J204" t="s">
        <v>2460</v>
      </c>
      <c r="K204">
        <v>400</v>
      </c>
      <c r="L204" t="s">
        <v>2460</v>
      </c>
      <c r="M204">
        <v>400</v>
      </c>
      <c r="N204" t="s">
        <v>2460</v>
      </c>
      <c r="O204">
        <v>400</v>
      </c>
      <c r="P204" t="s">
        <v>2460</v>
      </c>
      <c r="Q204">
        <v>400</v>
      </c>
      <c r="R204" t="s">
        <v>2460</v>
      </c>
      <c r="S204" t="s">
        <v>988</v>
      </c>
    </row>
    <row r="205" spans="1:19" hidden="1" x14ac:dyDescent="0.3">
      <c r="A205">
        <v>485</v>
      </c>
      <c r="B205" t="s">
        <v>1381</v>
      </c>
      <c r="C205" t="s">
        <v>2877</v>
      </c>
      <c r="D205" t="s">
        <v>1203</v>
      </c>
      <c r="E205" t="s">
        <v>1204</v>
      </c>
      <c r="F205">
        <v>6618</v>
      </c>
      <c r="G205" t="s">
        <v>687</v>
      </c>
      <c r="H205" t="s">
        <v>2460</v>
      </c>
      <c r="I205">
        <v>0</v>
      </c>
      <c r="J205" t="s">
        <v>2460</v>
      </c>
      <c r="K205">
        <v>0</v>
      </c>
      <c r="L205" t="s">
        <v>2460</v>
      </c>
      <c r="M205">
        <v>0</v>
      </c>
      <c r="N205" t="s">
        <v>2460</v>
      </c>
      <c r="O205">
        <v>0</v>
      </c>
      <c r="P205" t="s">
        <v>2460</v>
      </c>
      <c r="Q205">
        <v>0</v>
      </c>
      <c r="R205" t="s">
        <v>2460</v>
      </c>
      <c r="S205" t="s">
        <v>988</v>
      </c>
    </row>
    <row r="206" spans="1:19" hidden="1" x14ac:dyDescent="0.3">
      <c r="A206">
        <v>495</v>
      </c>
      <c r="B206" t="s">
        <v>1382</v>
      </c>
      <c r="C206" t="s">
        <v>2877</v>
      </c>
      <c r="D206" t="s">
        <v>1203</v>
      </c>
      <c r="E206" t="s">
        <v>1204</v>
      </c>
      <c r="F206">
        <v>5743</v>
      </c>
      <c r="G206" t="s">
        <v>2683</v>
      </c>
      <c r="H206" t="s">
        <v>3129</v>
      </c>
      <c r="I206">
        <v>1400</v>
      </c>
      <c r="J206" t="s">
        <v>2460</v>
      </c>
      <c r="K206">
        <v>1400</v>
      </c>
      <c r="L206" t="s">
        <v>2460</v>
      </c>
      <c r="M206">
        <v>1400</v>
      </c>
      <c r="N206" t="s">
        <v>2460</v>
      </c>
      <c r="O206">
        <v>1400</v>
      </c>
      <c r="P206" t="s">
        <v>2460</v>
      </c>
      <c r="R206" t="s">
        <v>2460</v>
      </c>
      <c r="S206" t="s">
        <v>988</v>
      </c>
    </row>
    <row r="207" spans="1:19" hidden="1" x14ac:dyDescent="0.3">
      <c r="A207">
        <v>495</v>
      </c>
      <c r="B207" t="s">
        <v>1382</v>
      </c>
      <c r="C207" t="s">
        <v>2877</v>
      </c>
      <c r="D207" t="s">
        <v>1203</v>
      </c>
      <c r="E207" t="s">
        <v>1204</v>
      </c>
      <c r="F207">
        <v>5743</v>
      </c>
      <c r="G207" t="s">
        <v>2681</v>
      </c>
      <c r="H207" t="s">
        <v>3130</v>
      </c>
      <c r="I207">
        <v>102</v>
      </c>
      <c r="J207" t="s">
        <v>2460</v>
      </c>
      <c r="K207">
        <v>102</v>
      </c>
      <c r="L207" t="s">
        <v>2460</v>
      </c>
      <c r="M207">
        <v>102</v>
      </c>
      <c r="N207" t="s">
        <v>2460</v>
      </c>
      <c r="O207">
        <v>102</v>
      </c>
      <c r="P207" t="s">
        <v>2460</v>
      </c>
      <c r="R207" t="s">
        <v>2460</v>
      </c>
      <c r="S207" t="s">
        <v>988</v>
      </c>
    </row>
    <row r="208" spans="1:19" hidden="1" x14ac:dyDescent="0.3">
      <c r="A208">
        <v>495</v>
      </c>
      <c r="B208" t="s">
        <v>1382</v>
      </c>
      <c r="C208" t="s">
        <v>2877</v>
      </c>
      <c r="D208" t="s">
        <v>1203</v>
      </c>
      <c r="E208" t="s">
        <v>1204</v>
      </c>
      <c r="F208">
        <v>5743</v>
      </c>
      <c r="G208" t="s">
        <v>2691</v>
      </c>
      <c r="H208" t="s">
        <v>3131</v>
      </c>
      <c r="I208">
        <v>10405</v>
      </c>
      <c r="J208" t="s">
        <v>2460</v>
      </c>
      <c r="K208">
        <v>10405</v>
      </c>
      <c r="L208" t="s">
        <v>2460</v>
      </c>
      <c r="M208">
        <v>10405</v>
      </c>
      <c r="N208" t="s">
        <v>2460</v>
      </c>
      <c r="O208">
        <v>10405</v>
      </c>
      <c r="P208" t="s">
        <v>2460</v>
      </c>
      <c r="R208" t="s">
        <v>2460</v>
      </c>
      <c r="S208" t="s">
        <v>988</v>
      </c>
    </row>
    <row r="209" spans="1:19" hidden="1" x14ac:dyDescent="0.3">
      <c r="A209">
        <v>1050</v>
      </c>
      <c r="B209" t="s">
        <v>1385</v>
      </c>
      <c r="C209" t="s">
        <v>2877</v>
      </c>
      <c r="D209" t="s">
        <v>1203</v>
      </c>
      <c r="E209" t="s">
        <v>1204</v>
      </c>
      <c r="F209">
        <v>5766</v>
      </c>
      <c r="G209" t="s">
        <v>2691</v>
      </c>
      <c r="H209" t="s">
        <v>3132</v>
      </c>
      <c r="I209">
        <v>461</v>
      </c>
      <c r="J209" t="s">
        <v>2460</v>
      </c>
      <c r="K209">
        <v>461</v>
      </c>
      <c r="L209" t="s">
        <v>2460</v>
      </c>
      <c r="M209">
        <v>461</v>
      </c>
      <c r="N209" t="s">
        <v>2460</v>
      </c>
      <c r="O209">
        <v>461</v>
      </c>
      <c r="P209" t="s">
        <v>2460</v>
      </c>
      <c r="R209" t="s">
        <v>2460</v>
      </c>
      <c r="S209" t="s">
        <v>988</v>
      </c>
    </row>
    <row r="210" spans="1:19" hidden="1" x14ac:dyDescent="0.3">
      <c r="A210">
        <v>1050</v>
      </c>
      <c r="B210" t="s">
        <v>1385</v>
      </c>
      <c r="C210" t="s">
        <v>2877</v>
      </c>
      <c r="D210" t="s">
        <v>1203</v>
      </c>
      <c r="E210" t="s">
        <v>1204</v>
      </c>
      <c r="F210">
        <v>5766</v>
      </c>
      <c r="G210" t="s">
        <v>2681</v>
      </c>
      <c r="H210" t="s">
        <v>3133</v>
      </c>
      <c r="I210">
        <v>2300</v>
      </c>
      <c r="J210" t="s">
        <v>2460</v>
      </c>
      <c r="K210">
        <v>2300</v>
      </c>
      <c r="L210" t="s">
        <v>2460</v>
      </c>
      <c r="M210">
        <v>2300</v>
      </c>
      <c r="N210" t="s">
        <v>2460</v>
      </c>
      <c r="O210">
        <v>2300</v>
      </c>
      <c r="P210" t="s">
        <v>2460</v>
      </c>
      <c r="R210" t="s">
        <v>2460</v>
      </c>
      <c r="S210" t="s">
        <v>988</v>
      </c>
    </row>
    <row r="211" spans="1:19" hidden="1" x14ac:dyDescent="0.3">
      <c r="A211">
        <v>522</v>
      </c>
      <c r="B211" t="s">
        <v>1387</v>
      </c>
      <c r="C211" t="s">
        <v>2877</v>
      </c>
      <c r="D211" t="s">
        <v>1203</v>
      </c>
      <c r="E211" t="s">
        <v>1204</v>
      </c>
      <c r="F211">
        <v>7829</v>
      </c>
      <c r="G211" t="s">
        <v>2681</v>
      </c>
      <c r="H211" t="s">
        <v>764</v>
      </c>
      <c r="I211">
        <v>9998.4366152999992</v>
      </c>
      <c r="J211" t="s">
        <v>2460</v>
      </c>
      <c r="K211">
        <v>9998.4366152999992</v>
      </c>
      <c r="L211" t="s">
        <v>2460</v>
      </c>
      <c r="M211">
        <v>9998.4366152999992</v>
      </c>
      <c r="N211" t="s">
        <v>2460</v>
      </c>
      <c r="O211">
        <v>9998.4366152999992</v>
      </c>
      <c r="P211" t="s">
        <v>2460</v>
      </c>
      <c r="R211" t="s">
        <v>2460</v>
      </c>
      <c r="S211" t="s">
        <v>988</v>
      </c>
    </row>
    <row r="212" spans="1:19" hidden="1" x14ac:dyDescent="0.3">
      <c r="A212">
        <v>522</v>
      </c>
      <c r="B212" t="s">
        <v>1387</v>
      </c>
      <c r="C212" t="s">
        <v>2877</v>
      </c>
      <c r="D212" t="s">
        <v>1203</v>
      </c>
      <c r="E212" t="s">
        <v>1204</v>
      </c>
      <c r="F212">
        <v>7829</v>
      </c>
      <c r="G212" t="s">
        <v>2691</v>
      </c>
      <c r="H212" t="s">
        <v>3134</v>
      </c>
      <c r="I212">
        <v>15344.439249999999</v>
      </c>
      <c r="J212" t="s">
        <v>2460</v>
      </c>
      <c r="K212">
        <v>15344.439249999999</v>
      </c>
      <c r="L212" t="s">
        <v>2460</v>
      </c>
      <c r="M212">
        <v>15344.439249999999</v>
      </c>
      <c r="N212" t="s">
        <v>2460</v>
      </c>
      <c r="O212">
        <v>15344.439249999999</v>
      </c>
      <c r="P212" t="s">
        <v>2460</v>
      </c>
      <c r="R212" t="s">
        <v>2460</v>
      </c>
      <c r="S212" t="s">
        <v>988</v>
      </c>
    </row>
    <row r="213" spans="1:19" hidden="1" x14ac:dyDescent="0.3">
      <c r="A213">
        <v>524</v>
      </c>
      <c r="B213" t="s">
        <v>1388</v>
      </c>
      <c r="C213" t="s">
        <v>2877</v>
      </c>
      <c r="D213" t="s">
        <v>1203</v>
      </c>
      <c r="E213" t="s">
        <v>1204</v>
      </c>
      <c r="F213">
        <v>5553</v>
      </c>
      <c r="G213" t="s">
        <v>2683</v>
      </c>
      <c r="H213" t="s">
        <v>2127</v>
      </c>
      <c r="I213">
        <v>10</v>
      </c>
      <c r="J213" t="s">
        <v>2460</v>
      </c>
      <c r="K213">
        <v>10</v>
      </c>
      <c r="L213" t="s">
        <v>2460</v>
      </c>
      <c r="M213">
        <v>10</v>
      </c>
      <c r="N213" t="s">
        <v>2460</v>
      </c>
      <c r="O213">
        <v>10</v>
      </c>
      <c r="P213" t="s">
        <v>2460</v>
      </c>
      <c r="Q213">
        <v>10</v>
      </c>
      <c r="R213" t="s">
        <v>2460</v>
      </c>
      <c r="S213" t="s">
        <v>988</v>
      </c>
    </row>
    <row r="214" spans="1:19" hidden="1" x14ac:dyDescent="0.3">
      <c r="A214">
        <v>524</v>
      </c>
      <c r="B214" t="s">
        <v>1388</v>
      </c>
      <c r="C214" t="s">
        <v>2877</v>
      </c>
      <c r="D214" t="s">
        <v>1203</v>
      </c>
      <c r="E214" t="s">
        <v>1204</v>
      </c>
      <c r="F214">
        <v>5553</v>
      </c>
      <c r="G214" t="s">
        <v>2679</v>
      </c>
      <c r="H214" t="s">
        <v>3135</v>
      </c>
      <c r="I214">
        <v>2500</v>
      </c>
      <c r="J214" t="s">
        <v>2460</v>
      </c>
      <c r="K214">
        <v>2500</v>
      </c>
      <c r="L214" t="s">
        <v>2460</v>
      </c>
      <c r="M214">
        <v>2500</v>
      </c>
      <c r="N214" t="s">
        <v>2460</v>
      </c>
      <c r="O214">
        <v>2500</v>
      </c>
      <c r="P214" t="s">
        <v>2460</v>
      </c>
      <c r="Q214">
        <v>2500</v>
      </c>
      <c r="R214" t="s">
        <v>2460</v>
      </c>
      <c r="S214" t="s">
        <v>988</v>
      </c>
    </row>
    <row r="215" spans="1:19" hidden="1" x14ac:dyDescent="0.3">
      <c r="A215">
        <v>524</v>
      </c>
      <c r="B215" t="s">
        <v>1388</v>
      </c>
      <c r="C215" t="s">
        <v>2877</v>
      </c>
      <c r="D215" t="s">
        <v>1203</v>
      </c>
      <c r="E215" t="s">
        <v>1204</v>
      </c>
      <c r="F215">
        <v>5553</v>
      </c>
      <c r="G215" t="s">
        <v>2681</v>
      </c>
      <c r="H215" t="s">
        <v>3136</v>
      </c>
      <c r="I215">
        <v>9847</v>
      </c>
      <c r="J215" t="s">
        <v>2460</v>
      </c>
      <c r="K215">
        <v>10529</v>
      </c>
      <c r="L215" t="s">
        <v>2460</v>
      </c>
      <c r="M215">
        <v>10841</v>
      </c>
      <c r="N215" t="s">
        <v>2460</v>
      </c>
      <c r="O215">
        <v>11054</v>
      </c>
      <c r="P215" t="s">
        <v>2460</v>
      </c>
      <c r="Q215">
        <v>11266</v>
      </c>
      <c r="R215" t="s">
        <v>2460</v>
      </c>
      <c r="S215" t="s">
        <v>988</v>
      </c>
    </row>
    <row r="216" spans="1:19" hidden="1" x14ac:dyDescent="0.3">
      <c r="A216">
        <v>545</v>
      </c>
      <c r="B216" t="s">
        <v>1390</v>
      </c>
      <c r="C216" t="s">
        <v>2877</v>
      </c>
      <c r="D216" t="s">
        <v>1203</v>
      </c>
      <c r="E216" t="s">
        <v>1204</v>
      </c>
      <c r="F216">
        <v>5532</v>
      </c>
      <c r="G216" t="s">
        <v>2681</v>
      </c>
      <c r="H216" t="s">
        <v>3137</v>
      </c>
      <c r="I216">
        <v>5990</v>
      </c>
      <c r="J216" t="s">
        <v>2460</v>
      </c>
      <c r="K216">
        <v>7457</v>
      </c>
      <c r="L216" t="s">
        <v>2460</v>
      </c>
      <c r="M216">
        <v>8734</v>
      </c>
      <c r="N216" t="s">
        <v>2460</v>
      </c>
      <c r="O216">
        <v>9811</v>
      </c>
      <c r="P216" t="s">
        <v>2460</v>
      </c>
      <c r="Q216">
        <v>10955</v>
      </c>
      <c r="R216" t="s">
        <v>2460</v>
      </c>
      <c r="S216" t="s">
        <v>988</v>
      </c>
    </row>
    <row r="217" spans="1:19" hidden="1" x14ac:dyDescent="0.3">
      <c r="A217">
        <v>545</v>
      </c>
      <c r="B217" t="s">
        <v>1390</v>
      </c>
      <c r="C217" t="s">
        <v>2877</v>
      </c>
      <c r="D217" t="s">
        <v>1203</v>
      </c>
      <c r="E217" t="s">
        <v>1204</v>
      </c>
      <c r="F217">
        <v>5532</v>
      </c>
      <c r="G217" t="s">
        <v>2683</v>
      </c>
      <c r="H217" t="s">
        <v>2133</v>
      </c>
      <c r="I217">
        <v>5000</v>
      </c>
      <c r="J217" t="s">
        <v>2460</v>
      </c>
      <c r="K217">
        <v>5000</v>
      </c>
      <c r="L217" t="s">
        <v>2460</v>
      </c>
      <c r="M217">
        <v>5000</v>
      </c>
      <c r="N217" t="s">
        <v>2460</v>
      </c>
      <c r="O217">
        <v>5000</v>
      </c>
      <c r="P217" t="s">
        <v>2460</v>
      </c>
      <c r="Q217">
        <v>5000</v>
      </c>
      <c r="R217" t="s">
        <v>2460</v>
      </c>
      <c r="S217" t="s">
        <v>988</v>
      </c>
    </row>
    <row r="218" spans="1:19" hidden="1" x14ac:dyDescent="0.3">
      <c r="A218">
        <v>545</v>
      </c>
      <c r="B218" t="s">
        <v>1390</v>
      </c>
      <c r="C218" t="s">
        <v>2877</v>
      </c>
      <c r="D218" t="s">
        <v>1203</v>
      </c>
      <c r="E218" t="s">
        <v>1204</v>
      </c>
      <c r="F218">
        <v>5532</v>
      </c>
      <c r="G218" t="s">
        <v>2683</v>
      </c>
      <c r="H218" t="s">
        <v>2237</v>
      </c>
      <c r="I218">
        <v>5353</v>
      </c>
      <c r="J218" t="s">
        <v>2460</v>
      </c>
      <c r="K218">
        <v>5353</v>
      </c>
      <c r="L218" t="s">
        <v>2460</v>
      </c>
      <c r="M218">
        <v>5353</v>
      </c>
      <c r="N218" t="s">
        <v>2460</v>
      </c>
      <c r="O218">
        <v>5353</v>
      </c>
      <c r="P218" t="s">
        <v>2460</v>
      </c>
      <c r="Q218">
        <v>5353</v>
      </c>
      <c r="R218" t="s">
        <v>2460</v>
      </c>
      <c r="S218" t="s">
        <v>988</v>
      </c>
    </row>
    <row r="219" spans="1:19" hidden="1" x14ac:dyDescent="0.3">
      <c r="A219">
        <v>545</v>
      </c>
      <c r="B219" t="s">
        <v>1390</v>
      </c>
      <c r="C219" t="s">
        <v>2877</v>
      </c>
      <c r="D219" t="s">
        <v>1203</v>
      </c>
      <c r="E219" t="s">
        <v>1204</v>
      </c>
      <c r="F219">
        <v>5532</v>
      </c>
      <c r="G219" t="s">
        <v>2679</v>
      </c>
      <c r="H219" t="s">
        <v>2169</v>
      </c>
      <c r="I219">
        <v>4500</v>
      </c>
      <c r="J219" t="s">
        <v>2460</v>
      </c>
      <c r="K219">
        <v>4500</v>
      </c>
      <c r="L219" t="s">
        <v>2460</v>
      </c>
      <c r="M219">
        <v>4000</v>
      </c>
      <c r="N219" t="s">
        <v>2460</v>
      </c>
      <c r="O219">
        <v>3800</v>
      </c>
      <c r="P219" t="s">
        <v>2460</v>
      </c>
      <c r="Q219">
        <v>3800</v>
      </c>
      <c r="R219" t="s">
        <v>2460</v>
      </c>
      <c r="S219" t="s">
        <v>988</v>
      </c>
    </row>
    <row r="220" spans="1:19" hidden="1" x14ac:dyDescent="0.3">
      <c r="A220">
        <v>547</v>
      </c>
      <c r="B220" t="s">
        <v>1391</v>
      </c>
      <c r="C220" t="s">
        <v>2877</v>
      </c>
      <c r="D220" t="s">
        <v>1203</v>
      </c>
      <c r="E220" t="s">
        <v>1204</v>
      </c>
      <c r="F220">
        <v>5677</v>
      </c>
      <c r="G220" t="s">
        <v>2681</v>
      </c>
      <c r="H220" t="s">
        <v>3138</v>
      </c>
      <c r="I220">
        <v>4158</v>
      </c>
      <c r="J220" t="s">
        <v>2460</v>
      </c>
      <c r="K220">
        <v>4158</v>
      </c>
      <c r="L220" t="s">
        <v>2460</v>
      </c>
      <c r="M220">
        <v>4158</v>
      </c>
      <c r="N220" t="s">
        <v>2460</v>
      </c>
      <c r="O220">
        <v>4158</v>
      </c>
      <c r="P220" t="s">
        <v>2460</v>
      </c>
      <c r="Q220">
        <v>4158</v>
      </c>
      <c r="R220" t="s">
        <v>2460</v>
      </c>
      <c r="S220" t="s">
        <v>988</v>
      </c>
    </row>
    <row r="221" spans="1:19" hidden="1" x14ac:dyDescent="0.3">
      <c r="A221">
        <v>547</v>
      </c>
      <c r="B221" t="s">
        <v>1391</v>
      </c>
      <c r="C221" t="s">
        <v>2877</v>
      </c>
      <c r="D221" t="s">
        <v>1203</v>
      </c>
      <c r="E221" t="s">
        <v>1204</v>
      </c>
      <c r="F221">
        <v>5677</v>
      </c>
      <c r="G221" t="s">
        <v>2687</v>
      </c>
      <c r="H221" t="s">
        <v>2133</v>
      </c>
      <c r="I221">
        <v>4200</v>
      </c>
      <c r="J221" t="s">
        <v>2460</v>
      </c>
      <c r="K221">
        <v>4200</v>
      </c>
      <c r="L221" t="s">
        <v>2460</v>
      </c>
      <c r="M221">
        <v>4200</v>
      </c>
      <c r="N221" t="s">
        <v>2460</v>
      </c>
      <c r="O221">
        <v>4200</v>
      </c>
      <c r="P221" t="s">
        <v>2460</v>
      </c>
      <c r="Q221">
        <v>4200</v>
      </c>
      <c r="R221" t="s">
        <v>2460</v>
      </c>
      <c r="S221" t="s">
        <v>988</v>
      </c>
    </row>
    <row r="222" spans="1:19" hidden="1" x14ac:dyDescent="0.3">
      <c r="A222">
        <v>547</v>
      </c>
      <c r="B222" t="s">
        <v>1391</v>
      </c>
      <c r="C222" t="s">
        <v>2877</v>
      </c>
      <c r="D222" t="s">
        <v>1203</v>
      </c>
      <c r="E222" t="s">
        <v>1204</v>
      </c>
      <c r="F222">
        <v>5677</v>
      </c>
      <c r="G222" t="s">
        <v>2679</v>
      </c>
      <c r="H222" t="s">
        <v>2169</v>
      </c>
      <c r="I222">
        <v>2661</v>
      </c>
      <c r="J222" t="s">
        <v>2460</v>
      </c>
      <c r="K222">
        <v>2661</v>
      </c>
      <c r="L222" t="s">
        <v>2460</v>
      </c>
      <c r="M222">
        <v>2661</v>
      </c>
      <c r="N222" t="s">
        <v>2460</v>
      </c>
      <c r="O222">
        <v>2661</v>
      </c>
      <c r="P222" t="s">
        <v>2460</v>
      </c>
      <c r="Q222">
        <v>2661</v>
      </c>
      <c r="R222" t="s">
        <v>2460</v>
      </c>
      <c r="S222" t="s">
        <v>988</v>
      </c>
    </row>
    <row r="223" spans="1:19" hidden="1" x14ac:dyDescent="0.3">
      <c r="A223">
        <v>547</v>
      </c>
      <c r="B223" t="s">
        <v>1391</v>
      </c>
      <c r="C223" t="s">
        <v>2877</v>
      </c>
      <c r="D223" t="s">
        <v>1203</v>
      </c>
      <c r="E223" t="s">
        <v>1204</v>
      </c>
      <c r="F223">
        <v>5677</v>
      </c>
      <c r="G223" t="s">
        <v>2683</v>
      </c>
      <c r="H223" t="s">
        <v>1720</v>
      </c>
      <c r="I223">
        <v>8407</v>
      </c>
      <c r="J223" t="s">
        <v>2460</v>
      </c>
      <c r="K223">
        <v>8407</v>
      </c>
      <c r="L223" t="s">
        <v>2460</v>
      </c>
      <c r="M223">
        <v>8407</v>
      </c>
      <c r="N223" t="s">
        <v>2460</v>
      </c>
      <c r="O223">
        <v>8407</v>
      </c>
      <c r="P223" t="s">
        <v>2460</v>
      </c>
      <c r="Q223">
        <v>8407</v>
      </c>
      <c r="R223" t="s">
        <v>2460</v>
      </c>
      <c r="S223" t="s">
        <v>988</v>
      </c>
    </row>
    <row r="224" spans="1:19" hidden="1" x14ac:dyDescent="0.3">
      <c r="A224">
        <v>547</v>
      </c>
      <c r="B224" t="s">
        <v>1391</v>
      </c>
      <c r="C224" t="s">
        <v>2877</v>
      </c>
      <c r="D224" t="s">
        <v>1203</v>
      </c>
      <c r="E224" t="s">
        <v>1204</v>
      </c>
      <c r="F224">
        <v>5677</v>
      </c>
      <c r="G224" t="s">
        <v>2683</v>
      </c>
      <c r="H224" t="s">
        <v>2237</v>
      </c>
      <c r="I224">
        <v>12258</v>
      </c>
      <c r="J224" t="s">
        <v>2460</v>
      </c>
      <c r="K224">
        <v>14258</v>
      </c>
      <c r="L224" t="s">
        <v>2460</v>
      </c>
      <c r="M224">
        <v>14258</v>
      </c>
      <c r="N224" t="s">
        <v>2460</v>
      </c>
      <c r="O224">
        <v>14258</v>
      </c>
      <c r="P224" t="s">
        <v>2460</v>
      </c>
      <c r="Q224">
        <v>14258</v>
      </c>
      <c r="R224" t="s">
        <v>2460</v>
      </c>
      <c r="S224" t="s">
        <v>988</v>
      </c>
    </row>
    <row r="225" spans="1:19" hidden="1" x14ac:dyDescent="0.3">
      <c r="A225">
        <v>2979</v>
      </c>
      <c r="B225" t="s">
        <v>1396</v>
      </c>
      <c r="C225" t="s">
        <v>2877</v>
      </c>
      <c r="D225" t="s">
        <v>1203</v>
      </c>
      <c r="E225" t="s">
        <v>1204</v>
      </c>
      <c r="F225">
        <v>6904</v>
      </c>
      <c r="G225" t="s">
        <v>2681</v>
      </c>
      <c r="H225" t="s">
        <v>3139</v>
      </c>
      <c r="I225">
        <v>10839.311886199999</v>
      </c>
      <c r="J225" t="s">
        <v>3140</v>
      </c>
      <c r="K225">
        <v>10839.311886199999</v>
      </c>
      <c r="L225" t="s">
        <v>3140</v>
      </c>
      <c r="M225">
        <v>10839.311886199999</v>
      </c>
      <c r="N225" t="s">
        <v>3140</v>
      </c>
      <c r="O225">
        <v>10839.311886199999</v>
      </c>
      <c r="P225" t="s">
        <v>3140</v>
      </c>
      <c r="Q225">
        <v>10839.311886199999</v>
      </c>
      <c r="R225" t="s">
        <v>3140</v>
      </c>
      <c r="S225" t="s">
        <v>988</v>
      </c>
    </row>
    <row r="226" spans="1:19" hidden="1" x14ac:dyDescent="0.3">
      <c r="A226">
        <v>561</v>
      </c>
      <c r="B226" t="s">
        <v>1397</v>
      </c>
      <c r="C226" t="s">
        <v>2877</v>
      </c>
      <c r="D226" t="s">
        <v>159</v>
      </c>
      <c r="E226" t="s">
        <v>159</v>
      </c>
      <c r="F226">
        <v>7857</v>
      </c>
      <c r="G226" t="s">
        <v>2681</v>
      </c>
      <c r="H226" t="s">
        <v>2460</v>
      </c>
      <c r="I226">
        <v>900</v>
      </c>
      <c r="J226" t="s">
        <v>2460</v>
      </c>
      <c r="K226">
        <v>900</v>
      </c>
      <c r="L226" t="s">
        <v>2460</v>
      </c>
      <c r="M226">
        <v>900</v>
      </c>
      <c r="N226" t="s">
        <v>2460</v>
      </c>
      <c r="O226">
        <v>900</v>
      </c>
      <c r="P226" t="s">
        <v>2460</v>
      </c>
      <c r="Q226">
        <v>900</v>
      </c>
      <c r="R226" t="s">
        <v>2460</v>
      </c>
      <c r="S226" t="s">
        <v>988</v>
      </c>
    </row>
    <row r="227" spans="1:19" hidden="1" x14ac:dyDescent="0.3">
      <c r="A227">
        <v>561</v>
      </c>
      <c r="B227" t="s">
        <v>1397</v>
      </c>
      <c r="C227" t="s">
        <v>2877</v>
      </c>
      <c r="D227" t="s">
        <v>159</v>
      </c>
      <c r="E227" t="s">
        <v>159</v>
      </c>
      <c r="F227">
        <v>7857</v>
      </c>
      <c r="G227" t="s">
        <v>2683</v>
      </c>
      <c r="H227" t="s">
        <v>774</v>
      </c>
      <c r="I227">
        <v>10949</v>
      </c>
      <c r="J227" t="s">
        <v>2460</v>
      </c>
      <c r="K227">
        <v>11273</v>
      </c>
      <c r="L227" t="s">
        <v>2460</v>
      </c>
      <c r="M227">
        <v>11537</v>
      </c>
      <c r="N227" t="s">
        <v>2460</v>
      </c>
      <c r="O227">
        <v>12006</v>
      </c>
      <c r="P227" t="s">
        <v>2460</v>
      </c>
      <c r="Q227">
        <v>12455</v>
      </c>
      <c r="R227" t="s">
        <v>2460</v>
      </c>
      <c r="S227" t="s">
        <v>988</v>
      </c>
    </row>
    <row r="228" spans="1:19" hidden="1" x14ac:dyDescent="0.3">
      <c r="A228">
        <v>572</v>
      </c>
      <c r="B228" t="s">
        <v>1399</v>
      </c>
      <c r="C228" t="s">
        <v>2877</v>
      </c>
      <c r="D228" t="s">
        <v>159</v>
      </c>
      <c r="E228" t="s">
        <v>159</v>
      </c>
      <c r="F228">
        <v>7827</v>
      </c>
      <c r="G228" t="s">
        <v>2691</v>
      </c>
      <c r="H228" t="s">
        <v>3141</v>
      </c>
      <c r="I228">
        <v>1632.6483361999999</v>
      </c>
      <c r="J228" t="s">
        <v>2460</v>
      </c>
      <c r="K228">
        <v>1733.92163525</v>
      </c>
      <c r="L228" t="s">
        <v>2460</v>
      </c>
      <c r="M228">
        <v>1749.2660745000001</v>
      </c>
      <c r="N228" t="s">
        <v>2460</v>
      </c>
      <c r="O228">
        <v>1789.16161655</v>
      </c>
      <c r="P228" t="s">
        <v>2460</v>
      </c>
      <c r="R228" t="s">
        <v>2460</v>
      </c>
      <c r="S228" t="s">
        <v>988</v>
      </c>
    </row>
    <row r="229" spans="1:19" hidden="1" x14ac:dyDescent="0.3">
      <c r="A229">
        <v>574</v>
      </c>
      <c r="B229" t="s">
        <v>1401</v>
      </c>
      <c r="C229" t="s">
        <v>2877</v>
      </c>
      <c r="D229" t="s">
        <v>1203</v>
      </c>
      <c r="E229" t="s">
        <v>1204</v>
      </c>
      <c r="F229">
        <v>5930</v>
      </c>
      <c r="G229" t="s">
        <v>784</v>
      </c>
      <c r="H229" t="s">
        <v>3142</v>
      </c>
      <c r="I229">
        <v>550</v>
      </c>
      <c r="J229" t="s">
        <v>2460</v>
      </c>
      <c r="K229">
        <v>1100</v>
      </c>
      <c r="L229" t="s">
        <v>2460</v>
      </c>
      <c r="M229">
        <v>1650</v>
      </c>
      <c r="N229" t="s">
        <v>2460</v>
      </c>
      <c r="O229">
        <v>1750</v>
      </c>
      <c r="P229" t="s">
        <v>2460</v>
      </c>
      <c r="R229" t="s">
        <v>2460</v>
      </c>
      <c r="S229" t="s">
        <v>988</v>
      </c>
    </row>
    <row r="230" spans="1:19" hidden="1" x14ac:dyDescent="0.3">
      <c r="A230">
        <v>574</v>
      </c>
      <c r="B230" t="s">
        <v>1401</v>
      </c>
      <c r="C230" t="s">
        <v>2877</v>
      </c>
      <c r="D230" t="s">
        <v>1203</v>
      </c>
      <c r="E230" t="s">
        <v>1204</v>
      </c>
      <c r="F230">
        <v>5930</v>
      </c>
      <c r="G230" t="s">
        <v>2681</v>
      </c>
      <c r="H230" t="s">
        <v>2913</v>
      </c>
      <c r="I230">
        <v>11429</v>
      </c>
      <c r="J230" t="s">
        <v>2460</v>
      </c>
      <c r="K230">
        <v>10753</v>
      </c>
      <c r="L230" t="s">
        <v>2460</v>
      </c>
      <c r="M230">
        <v>10076</v>
      </c>
      <c r="N230" t="s">
        <v>2460</v>
      </c>
      <c r="O230">
        <v>9400</v>
      </c>
      <c r="P230" t="s">
        <v>2460</v>
      </c>
      <c r="R230" t="s">
        <v>2460</v>
      </c>
      <c r="S230" t="s">
        <v>988</v>
      </c>
    </row>
    <row r="231" spans="1:19" hidden="1" x14ac:dyDescent="0.3">
      <c r="A231">
        <v>574</v>
      </c>
      <c r="B231" t="s">
        <v>1401</v>
      </c>
      <c r="C231" t="s">
        <v>2877</v>
      </c>
      <c r="D231" t="s">
        <v>1203</v>
      </c>
      <c r="E231" t="s">
        <v>1204</v>
      </c>
      <c r="F231">
        <v>5930</v>
      </c>
      <c r="G231" t="s">
        <v>2685</v>
      </c>
      <c r="H231" t="s">
        <v>3143</v>
      </c>
      <c r="I231">
        <v>13500</v>
      </c>
      <c r="J231" t="s">
        <v>2460</v>
      </c>
      <c r="K231">
        <v>13500</v>
      </c>
      <c r="L231" t="s">
        <v>2460</v>
      </c>
      <c r="M231">
        <v>13500</v>
      </c>
      <c r="N231" t="s">
        <v>2460</v>
      </c>
      <c r="O231">
        <v>13500</v>
      </c>
      <c r="P231" t="s">
        <v>2460</v>
      </c>
      <c r="R231" t="s">
        <v>2460</v>
      </c>
      <c r="S231" t="s">
        <v>988</v>
      </c>
    </row>
    <row r="232" spans="1:19" hidden="1" x14ac:dyDescent="0.3">
      <c r="A232">
        <v>574</v>
      </c>
      <c r="B232" t="s">
        <v>1401</v>
      </c>
      <c r="C232" t="s">
        <v>2877</v>
      </c>
      <c r="D232" t="s">
        <v>1203</v>
      </c>
      <c r="E232" t="s">
        <v>1204</v>
      </c>
      <c r="F232">
        <v>5930</v>
      </c>
      <c r="G232" t="s">
        <v>2691</v>
      </c>
      <c r="H232" t="s">
        <v>3144</v>
      </c>
      <c r="I232">
        <v>22160</v>
      </c>
      <c r="J232" t="s">
        <v>2460</v>
      </c>
      <c r="K232">
        <v>27584</v>
      </c>
      <c r="L232" t="s">
        <v>2460</v>
      </c>
      <c r="M232">
        <v>32508</v>
      </c>
      <c r="N232" t="s">
        <v>2460</v>
      </c>
      <c r="O232">
        <v>39400</v>
      </c>
      <c r="P232" t="s">
        <v>2460</v>
      </c>
      <c r="R232" t="s">
        <v>2460</v>
      </c>
      <c r="S232" t="s">
        <v>988</v>
      </c>
    </row>
    <row r="233" spans="1:19" hidden="1" x14ac:dyDescent="0.3">
      <c r="A233">
        <v>574</v>
      </c>
      <c r="B233" t="s">
        <v>1401</v>
      </c>
      <c r="C233" t="s">
        <v>2877</v>
      </c>
      <c r="D233" t="s">
        <v>1203</v>
      </c>
      <c r="E233" t="s">
        <v>1204</v>
      </c>
      <c r="F233">
        <v>5930</v>
      </c>
      <c r="G233" t="s">
        <v>784</v>
      </c>
      <c r="H233" t="s">
        <v>3145</v>
      </c>
      <c r="I233">
        <v>0</v>
      </c>
      <c r="J233" t="s">
        <v>2460</v>
      </c>
      <c r="K233">
        <v>500</v>
      </c>
      <c r="L233" t="s">
        <v>2460</v>
      </c>
      <c r="M233">
        <v>1000</v>
      </c>
      <c r="N233" t="s">
        <v>2460</v>
      </c>
      <c r="O233">
        <v>1200</v>
      </c>
      <c r="P233" t="s">
        <v>2460</v>
      </c>
      <c r="R233" t="s">
        <v>2460</v>
      </c>
      <c r="S233" t="s">
        <v>988</v>
      </c>
    </row>
    <row r="234" spans="1:19" hidden="1" x14ac:dyDescent="0.3">
      <c r="A234">
        <v>574</v>
      </c>
      <c r="B234" t="s">
        <v>1401</v>
      </c>
      <c r="C234" t="s">
        <v>2877</v>
      </c>
      <c r="D234" t="s">
        <v>1203</v>
      </c>
      <c r="E234" t="s">
        <v>1204</v>
      </c>
      <c r="F234">
        <v>5930</v>
      </c>
      <c r="G234" t="s">
        <v>2679</v>
      </c>
      <c r="H234" t="s">
        <v>3146</v>
      </c>
      <c r="I234">
        <v>3100</v>
      </c>
      <c r="J234" t="s">
        <v>2460</v>
      </c>
      <c r="K234">
        <v>5500</v>
      </c>
      <c r="L234" t="s">
        <v>2460</v>
      </c>
      <c r="M234">
        <v>6300</v>
      </c>
      <c r="N234" t="s">
        <v>2460</v>
      </c>
      <c r="O234">
        <v>9400</v>
      </c>
      <c r="P234" t="s">
        <v>2460</v>
      </c>
      <c r="R234" t="s">
        <v>2460</v>
      </c>
      <c r="S234" t="s">
        <v>988</v>
      </c>
    </row>
    <row r="235" spans="1:19" hidden="1" x14ac:dyDescent="0.3">
      <c r="A235">
        <v>575</v>
      </c>
      <c r="B235" t="s">
        <v>1403</v>
      </c>
      <c r="C235" t="s">
        <v>2877</v>
      </c>
      <c r="D235" t="s">
        <v>1203</v>
      </c>
      <c r="E235" t="s">
        <v>1204</v>
      </c>
      <c r="F235">
        <v>5460</v>
      </c>
      <c r="G235" t="s">
        <v>2681</v>
      </c>
      <c r="H235" t="s">
        <v>3147</v>
      </c>
      <c r="I235">
        <v>10869</v>
      </c>
      <c r="J235" t="s">
        <v>2460</v>
      </c>
      <c r="K235">
        <v>12819</v>
      </c>
      <c r="L235" t="s">
        <v>2460</v>
      </c>
      <c r="M235">
        <v>14731</v>
      </c>
      <c r="N235" t="s">
        <v>2460</v>
      </c>
      <c r="O235">
        <v>16819</v>
      </c>
      <c r="P235" t="s">
        <v>2460</v>
      </c>
      <c r="Q235">
        <v>18746</v>
      </c>
      <c r="R235" t="s">
        <v>2460</v>
      </c>
      <c r="S235" t="s">
        <v>988</v>
      </c>
    </row>
    <row r="236" spans="1:19" hidden="1" x14ac:dyDescent="0.3">
      <c r="A236">
        <v>577</v>
      </c>
      <c r="B236" t="s">
        <v>821</v>
      </c>
      <c r="C236" t="s">
        <v>2877</v>
      </c>
      <c r="D236" t="s">
        <v>1203</v>
      </c>
      <c r="E236" t="s">
        <v>1204</v>
      </c>
      <c r="F236">
        <v>7785</v>
      </c>
      <c r="G236" t="s">
        <v>2679</v>
      </c>
      <c r="H236" t="s">
        <v>2460</v>
      </c>
      <c r="I236">
        <v>13600</v>
      </c>
      <c r="J236" t="s">
        <v>2460</v>
      </c>
      <c r="K236">
        <v>14400</v>
      </c>
      <c r="L236" t="s">
        <v>2460</v>
      </c>
      <c r="M236">
        <v>15100</v>
      </c>
      <c r="N236" t="s">
        <v>2460</v>
      </c>
      <c r="O236">
        <v>15900</v>
      </c>
      <c r="P236" t="s">
        <v>2460</v>
      </c>
      <c r="Q236">
        <v>16800</v>
      </c>
      <c r="R236" t="s">
        <v>2460</v>
      </c>
      <c r="S236" t="s">
        <v>988</v>
      </c>
    </row>
    <row r="237" spans="1:19" hidden="1" x14ac:dyDescent="0.3">
      <c r="A237">
        <v>577</v>
      </c>
      <c r="B237" t="s">
        <v>821</v>
      </c>
      <c r="C237" t="s">
        <v>2877</v>
      </c>
      <c r="D237" t="s">
        <v>1203</v>
      </c>
      <c r="E237" t="s">
        <v>1204</v>
      </c>
      <c r="F237">
        <v>7785</v>
      </c>
      <c r="G237" t="s">
        <v>2681</v>
      </c>
      <c r="H237" t="s">
        <v>3148</v>
      </c>
      <c r="I237">
        <v>123461</v>
      </c>
      <c r="J237" t="s">
        <v>2460</v>
      </c>
      <c r="K237">
        <v>130582</v>
      </c>
      <c r="L237" t="s">
        <v>2460</v>
      </c>
      <c r="M237">
        <v>137629</v>
      </c>
      <c r="N237" t="s">
        <v>2460</v>
      </c>
      <c r="O237">
        <v>143082</v>
      </c>
      <c r="P237" t="s">
        <v>2460</v>
      </c>
      <c r="Q237">
        <v>148166</v>
      </c>
      <c r="R237" t="s">
        <v>2460</v>
      </c>
      <c r="S237" t="s">
        <v>988</v>
      </c>
    </row>
    <row r="238" spans="1:19" hidden="1" x14ac:dyDescent="0.3">
      <c r="A238">
        <v>578</v>
      </c>
      <c r="B238" t="s">
        <v>896</v>
      </c>
      <c r="C238" t="s">
        <v>2877</v>
      </c>
      <c r="D238" t="s">
        <v>1203</v>
      </c>
      <c r="E238" t="s">
        <v>1204</v>
      </c>
      <c r="F238">
        <v>7652</v>
      </c>
      <c r="G238" t="s">
        <v>2691</v>
      </c>
      <c r="H238" t="s">
        <v>3149</v>
      </c>
      <c r="I238">
        <v>10001.50550315</v>
      </c>
      <c r="J238" t="s">
        <v>2460</v>
      </c>
      <c r="K238">
        <v>10001.50550315</v>
      </c>
      <c r="L238" t="s">
        <v>2460</v>
      </c>
      <c r="M238">
        <v>10001.50550315</v>
      </c>
      <c r="N238" t="s">
        <v>2460</v>
      </c>
      <c r="O238">
        <v>10001.50550315</v>
      </c>
      <c r="P238" t="s">
        <v>2460</v>
      </c>
      <c r="R238" t="s">
        <v>2460</v>
      </c>
      <c r="S238" t="s">
        <v>988</v>
      </c>
    </row>
    <row r="239" spans="1:19" hidden="1" x14ac:dyDescent="0.3">
      <c r="A239">
        <v>583</v>
      </c>
      <c r="B239" t="s">
        <v>1406</v>
      </c>
      <c r="C239" t="s">
        <v>2877</v>
      </c>
      <c r="D239" t="s">
        <v>159</v>
      </c>
      <c r="E239" t="s">
        <v>159</v>
      </c>
      <c r="F239">
        <v>7159</v>
      </c>
      <c r="G239" t="s">
        <v>2681</v>
      </c>
      <c r="H239" t="s">
        <v>3150</v>
      </c>
      <c r="I239">
        <v>30.688878500000001</v>
      </c>
      <c r="J239" t="s">
        <v>2460</v>
      </c>
      <c r="K239">
        <v>30.688878500000001</v>
      </c>
      <c r="L239" t="s">
        <v>2460</v>
      </c>
      <c r="M239">
        <v>30.688878500000001</v>
      </c>
      <c r="N239" t="s">
        <v>2460</v>
      </c>
      <c r="O239">
        <v>30.688878500000001</v>
      </c>
      <c r="P239" t="s">
        <v>2460</v>
      </c>
      <c r="Q239">
        <v>30.688878500000001</v>
      </c>
      <c r="R239" t="s">
        <v>2460</v>
      </c>
      <c r="S239" t="s">
        <v>988</v>
      </c>
    </row>
    <row r="240" spans="1:19" hidden="1" x14ac:dyDescent="0.3">
      <c r="A240">
        <v>583</v>
      </c>
      <c r="B240" t="s">
        <v>1406</v>
      </c>
      <c r="C240" t="s">
        <v>2877</v>
      </c>
      <c r="D240" t="s">
        <v>159</v>
      </c>
      <c r="E240" t="s">
        <v>159</v>
      </c>
      <c r="F240">
        <v>7159</v>
      </c>
      <c r="G240" t="s">
        <v>2691</v>
      </c>
      <c r="H240" t="s">
        <v>3151</v>
      </c>
      <c r="I240">
        <v>613.77756999999997</v>
      </c>
      <c r="J240" t="s">
        <v>2460</v>
      </c>
      <c r="K240">
        <v>613.77756999999997</v>
      </c>
      <c r="L240" t="s">
        <v>2460</v>
      </c>
      <c r="M240">
        <v>613.77756999999997</v>
      </c>
      <c r="N240" t="s">
        <v>2460</v>
      </c>
      <c r="O240">
        <v>613.77756999999997</v>
      </c>
      <c r="P240" t="s">
        <v>2460</v>
      </c>
      <c r="Q240">
        <v>613.77756999999997</v>
      </c>
      <c r="R240" t="s">
        <v>2460</v>
      </c>
      <c r="S240" t="s">
        <v>988</v>
      </c>
    </row>
    <row r="241" spans="1:19" hidden="1" x14ac:dyDescent="0.3">
      <c r="A241">
        <v>583</v>
      </c>
      <c r="B241" t="s">
        <v>1406</v>
      </c>
      <c r="C241" t="s">
        <v>2877</v>
      </c>
      <c r="D241" t="s">
        <v>159</v>
      </c>
      <c r="E241" t="s">
        <v>159</v>
      </c>
      <c r="F241">
        <v>7159</v>
      </c>
      <c r="G241" t="s">
        <v>2683</v>
      </c>
      <c r="H241" t="s">
        <v>2508</v>
      </c>
      <c r="I241">
        <v>1568.2016913499999</v>
      </c>
      <c r="J241" t="s">
        <v>2460</v>
      </c>
      <c r="K241">
        <v>1546.7194764000001</v>
      </c>
      <c r="L241" t="s">
        <v>2460</v>
      </c>
      <c r="M241">
        <v>1522.1683736</v>
      </c>
      <c r="N241" t="s">
        <v>2460</v>
      </c>
      <c r="O241">
        <v>1488.4106072500001</v>
      </c>
      <c r="P241" t="s">
        <v>2460</v>
      </c>
      <c r="Q241">
        <v>1488.4106072500001</v>
      </c>
      <c r="R241" t="s">
        <v>2460</v>
      </c>
      <c r="S241" t="s">
        <v>988</v>
      </c>
    </row>
    <row r="242" spans="1:19" hidden="1" x14ac:dyDescent="0.3">
      <c r="A242">
        <v>583</v>
      </c>
      <c r="B242" t="s">
        <v>1406</v>
      </c>
      <c r="C242" t="s">
        <v>2877</v>
      </c>
      <c r="D242" t="s">
        <v>159</v>
      </c>
      <c r="E242" t="s">
        <v>159</v>
      </c>
      <c r="F242">
        <v>7159</v>
      </c>
      <c r="G242" t="s">
        <v>2691</v>
      </c>
      <c r="H242" t="s">
        <v>3152</v>
      </c>
      <c r="I242">
        <v>141.16884110000001</v>
      </c>
      <c r="J242" t="s">
        <v>2460</v>
      </c>
      <c r="K242">
        <v>141.16884110000001</v>
      </c>
      <c r="L242" t="s">
        <v>2460</v>
      </c>
      <c r="M242">
        <v>141.16884110000001</v>
      </c>
      <c r="N242" t="s">
        <v>2460</v>
      </c>
      <c r="O242">
        <v>141.16884110000001</v>
      </c>
      <c r="P242" t="s">
        <v>2460</v>
      </c>
      <c r="Q242">
        <v>141.16884110000001</v>
      </c>
      <c r="R242" t="s">
        <v>2460</v>
      </c>
      <c r="S242" t="s">
        <v>988</v>
      </c>
    </row>
    <row r="243" spans="1:19" hidden="1" x14ac:dyDescent="0.3">
      <c r="A243">
        <v>596</v>
      </c>
      <c r="B243" t="s">
        <v>1413</v>
      </c>
      <c r="C243" t="s">
        <v>2877</v>
      </c>
      <c r="D243" t="s">
        <v>1203</v>
      </c>
      <c r="E243" t="s">
        <v>1204</v>
      </c>
      <c r="F243">
        <v>5734</v>
      </c>
      <c r="G243" t="s">
        <v>2681</v>
      </c>
      <c r="H243" t="s">
        <v>3153</v>
      </c>
      <c r="I243">
        <v>4425</v>
      </c>
      <c r="J243" t="s">
        <v>2460</v>
      </c>
      <c r="K243">
        <v>4968</v>
      </c>
      <c r="L243" t="s">
        <v>2460</v>
      </c>
      <c r="M243">
        <v>5510</v>
      </c>
      <c r="N243" t="s">
        <v>2460</v>
      </c>
      <c r="O243">
        <v>5784</v>
      </c>
      <c r="P243" t="s">
        <v>2460</v>
      </c>
      <c r="Q243">
        <v>6058</v>
      </c>
      <c r="R243" t="s">
        <v>2460</v>
      </c>
      <c r="S243" t="s">
        <v>988</v>
      </c>
    </row>
    <row r="244" spans="1:19" hidden="1" x14ac:dyDescent="0.3">
      <c r="A244">
        <v>596</v>
      </c>
      <c r="B244" t="s">
        <v>1413</v>
      </c>
      <c r="C244" t="s">
        <v>2877</v>
      </c>
      <c r="D244" t="s">
        <v>1203</v>
      </c>
      <c r="E244" t="s">
        <v>1204</v>
      </c>
      <c r="F244">
        <v>5734</v>
      </c>
      <c r="G244" t="s">
        <v>2681</v>
      </c>
      <c r="H244" t="s">
        <v>3154</v>
      </c>
      <c r="I244">
        <v>3800</v>
      </c>
      <c r="J244" t="s">
        <v>2460</v>
      </c>
      <c r="K244">
        <v>3800</v>
      </c>
      <c r="L244" t="s">
        <v>2460</v>
      </c>
      <c r="M244">
        <v>3800</v>
      </c>
      <c r="N244" t="s">
        <v>2460</v>
      </c>
      <c r="O244">
        <v>3800</v>
      </c>
      <c r="P244" t="s">
        <v>2460</v>
      </c>
      <c r="Q244">
        <v>3800</v>
      </c>
      <c r="R244" t="s">
        <v>2460</v>
      </c>
      <c r="S244" t="s">
        <v>988</v>
      </c>
    </row>
    <row r="245" spans="1:19" hidden="1" x14ac:dyDescent="0.3">
      <c r="A245">
        <v>596</v>
      </c>
      <c r="B245" t="s">
        <v>1413</v>
      </c>
      <c r="C245" t="s">
        <v>2877</v>
      </c>
      <c r="D245" t="s">
        <v>1203</v>
      </c>
      <c r="E245" t="s">
        <v>1204</v>
      </c>
      <c r="F245">
        <v>5734</v>
      </c>
      <c r="G245" t="s">
        <v>2683</v>
      </c>
      <c r="H245" t="s">
        <v>3155</v>
      </c>
      <c r="I245">
        <v>197</v>
      </c>
      <c r="J245" t="s">
        <v>2460</v>
      </c>
      <c r="K245">
        <v>257</v>
      </c>
      <c r="L245" t="s">
        <v>2460</v>
      </c>
      <c r="M245">
        <v>317</v>
      </c>
      <c r="N245" t="s">
        <v>2460</v>
      </c>
      <c r="O245">
        <v>377</v>
      </c>
      <c r="P245" t="s">
        <v>2460</v>
      </c>
      <c r="Q245">
        <v>436</v>
      </c>
      <c r="R245" t="s">
        <v>2460</v>
      </c>
      <c r="S245" t="s">
        <v>988</v>
      </c>
    </row>
    <row r="246" spans="1:19" hidden="1" x14ac:dyDescent="0.3">
      <c r="A246">
        <v>596</v>
      </c>
      <c r="B246" t="s">
        <v>1413</v>
      </c>
      <c r="C246" t="s">
        <v>2877</v>
      </c>
      <c r="D246" t="s">
        <v>1203</v>
      </c>
      <c r="E246" t="s">
        <v>1204</v>
      </c>
      <c r="F246">
        <v>5734</v>
      </c>
      <c r="G246" t="s">
        <v>2681</v>
      </c>
      <c r="H246" t="s">
        <v>3156</v>
      </c>
      <c r="I246">
        <v>2800</v>
      </c>
      <c r="J246" t="s">
        <v>2460</v>
      </c>
      <c r="K246">
        <v>2800</v>
      </c>
      <c r="L246" t="s">
        <v>2460</v>
      </c>
      <c r="M246">
        <v>2800</v>
      </c>
      <c r="N246" t="s">
        <v>2460</v>
      </c>
      <c r="O246">
        <v>2801</v>
      </c>
      <c r="P246" t="s">
        <v>2460</v>
      </c>
      <c r="Q246">
        <v>2802</v>
      </c>
      <c r="R246" t="s">
        <v>2460</v>
      </c>
      <c r="S246" t="s">
        <v>988</v>
      </c>
    </row>
    <row r="247" spans="1:19" hidden="1" x14ac:dyDescent="0.3">
      <c r="A247">
        <v>613</v>
      </c>
      <c r="B247" t="s">
        <v>804</v>
      </c>
      <c r="C247" t="s">
        <v>2877</v>
      </c>
      <c r="D247" t="s">
        <v>1203</v>
      </c>
      <c r="E247" t="s">
        <v>1204</v>
      </c>
      <c r="F247">
        <v>5673</v>
      </c>
      <c r="G247" t="s">
        <v>687</v>
      </c>
      <c r="H247" t="s">
        <v>3157</v>
      </c>
      <c r="I247">
        <v>80900</v>
      </c>
      <c r="J247" t="s">
        <v>2460</v>
      </c>
      <c r="K247">
        <v>83500</v>
      </c>
      <c r="L247" t="s">
        <v>2460</v>
      </c>
      <c r="M247">
        <v>86400</v>
      </c>
      <c r="N247" t="s">
        <v>2460</v>
      </c>
      <c r="O247">
        <v>89400</v>
      </c>
      <c r="P247" t="s">
        <v>2460</v>
      </c>
      <c r="Q247">
        <v>90700</v>
      </c>
      <c r="R247" t="s">
        <v>2460</v>
      </c>
      <c r="S247" t="s">
        <v>988</v>
      </c>
    </row>
    <row r="248" spans="1:19" hidden="1" x14ac:dyDescent="0.3">
      <c r="A248">
        <v>613</v>
      </c>
      <c r="B248" t="s">
        <v>804</v>
      </c>
      <c r="C248" t="s">
        <v>2877</v>
      </c>
      <c r="D248" t="s">
        <v>1203</v>
      </c>
      <c r="E248" t="s">
        <v>1204</v>
      </c>
      <c r="F248">
        <v>5673</v>
      </c>
      <c r="G248" t="s">
        <v>2679</v>
      </c>
      <c r="H248" t="s">
        <v>3158</v>
      </c>
      <c r="I248">
        <v>10700</v>
      </c>
      <c r="J248" t="s">
        <v>2460</v>
      </c>
      <c r="K248">
        <v>15100</v>
      </c>
      <c r="L248" t="s">
        <v>2460</v>
      </c>
      <c r="M248">
        <v>16000</v>
      </c>
      <c r="N248" t="s">
        <v>2460</v>
      </c>
      <c r="O248">
        <v>16700</v>
      </c>
      <c r="P248" t="s">
        <v>2460</v>
      </c>
      <c r="Q248">
        <v>17000</v>
      </c>
      <c r="R248" t="s">
        <v>2460</v>
      </c>
      <c r="S248" t="s">
        <v>988</v>
      </c>
    </row>
    <row r="249" spans="1:19" hidden="1" x14ac:dyDescent="0.3">
      <c r="A249">
        <v>624</v>
      </c>
      <c r="B249" t="s">
        <v>1425</v>
      </c>
      <c r="C249" t="s">
        <v>2877</v>
      </c>
      <c r="D249" t="s">
        <v>1203</v>
      </c>
      <c r="E249" t="s">
        <v>1204</v>
      </c>
      <c r="F249">
        <v>5690</v>
      </c>
      <c r="G249" t="s">
        <v>2681</v>
      </c>
      <c r="H249" t="s">
        <v>3159</v>
      </c>
      <c r="I249">
        <v>2112</v>
      </c>
      <c r="J249" t="s">
        <v>2460</v>
      </c>
      <c r="K249">
        <v>2112</v>
      </c>
      <c r="L249" t="s">
        <v>2460</v>
      </c>
      <c r="M249">
        <v>2112</v>
      </c>
      <c r="N249" t="s">
        <v>2460</v>
      </c>
      <c r="O249">
        <v>2112</v>
      </c>
      <c r="P249" t="s">
        <v>2460</v>
      </c>
      <c r="Q249">
        <v>2112</v>
      </c>
      <c r="R249" t="s">
        <v>2460</v>
      </c>
      <c r="S249" t="s">
        <v>988</v>
      </c>
    </row>
    <row r="250" spans="1:19" hidden="1" x14ac:dyDescent="0.3">
      <c r="A250">
        <v>624</v>
      </c>
      <c r="B250" t="s">
        <v>1425</v>
      </c>
      <c r="C250" t="s">
        <v>2877</v>
      </c>
      <c r="D250" t="s">
        <v>1203</v>
      </c>
      <c r="E250" t="s">
        <v>1204</v>
      </c>
      <c r="F250">
        <v>5690</v>
      </c>
      <c r="G250" t="s">
        <v>2687</v>
      </c>
      <c r="H250" t="s">
        <v>3160</v>
      </c>
      <c r="I250">
        <v>13000</v>
      </c>
      <c r="J250" t="s">
        <v>2460</v>
      </c>
      <c r="K250">
        <v>13000</v>
      </c>
      <c r="L250" t="s">
        <v>2460</v>
      </c>
      <c r="M250">
        <v>13000</v>
      </c>
      <c r="N250" t="s">
        <v>2460</v>
      </c>
      <c r="O250">
        <v>13000</v>
      </c>
      <c r="P250" t="s">
        <v>2460</v>
      </c>
      <c r="Q250">
        <v>13000</v>
      </c>
      <c r="R250" t="s">
        <v>2460</v>
      </c>
      <c r="S250" t="s">
        <v>988</v>
      </c>
    </row>
    <row r="251" spans="1:19" hidden="1" x14ac:dyDescent="0.3">
      <c r="A251">
        <v>624</v>
      </c>
      <c r="B251" t="s">
        <v>1425</v>
      </c>
      <c r="C251" t="s">
        <v>2877</v>
      </c>
      <c r="D251" t="s">
        <v>1203</v>
      </c>
      <c r="E251" t="s">
        <v>1204</v>
      </c>
      <c r="F251">
        <v>5690</v>
      </c>
      <c r="G251" t="s">
        <v>2683</v>
      </c>
      <c r="H251" t="s">
        <v>3161</v>
      </c>
      <c r="I251">
        <v>21110</v>
      </c>
      <c r="J251" t="s">
        <v>2460</v>
      </c>
      <c r="K251">
        <v>21110</v>
      </c>
      <c r="L251" t="s">
        <v>2460</v>
      </c>
      <c r="M251">
        <v>21110</v>
      </c>
      <c r="N251" t="s">
        <v>2460</v>
      </c>
      <c r="O251">
        <v>21110</v>
      </c>
      <c r="P251" t="s">
        <v>2460</v>
      </c>
      <c r="Q251">
        <v>21110</v>
      </c>
      <c r="R251" t="s">
        <v>2460</v>
      </c>
      <c r="S251" t="s">
        <v>988</v>
      </c>
    </row>
    <row r="252" spans="1:19" hidden="1" x14ac:dyDescent="0.3">
      <c r="A252">
        <v>624</v>
      </c>
      <c r="B252" t="s">
        <v>1425</v>
      </c>
      <c r="C252" t="s">
        <v>2877</v>
      </c>
      <c r="D252" t="s">
        <v>1203</v>
      </c>
      <c r="E252" t="s">
        <v>1204</v>
      </c>
      <c r="F252">
        <v>5690</v>
      </c>
      <c r="G252" t="s">
        <v>2679</v>
      </c>
      <c r="H252" t="s">
        <v>3162</v>
      </c>
      <c r="I252">
        <v>10000</v>
      </c>
      <c r="J252" t="s">
        <v>2460</v>
      </c>
      <c r="K252">
        <v>10000</v>
      </c>
      <c r="L252" t="s">
        <v>2460</v>
      </c>
      <c r="M252">
        <v>10000</v>
      </c>
      <c r="N252" t="s">
        <v>2460</v>
      </c>
      <c r="O252">
        <v>10000</v>
      </c>
      <c r="P252" t="s">
        <v>2460</v>
      </c>
      <c r="Q252">
        <v>10000</v>
      </c>
      <c r="R252" t="s">
        <v>2460</v>
      </c>
      <c r="S252" t="s">
        <v>988</v>
      </c>
    </row>
    <row r="253" spans="1:19" hidden="1" x14ac:dyDescent="0.3">
      <c r="A253">
        <v>644</v>
      </c>
      <c r="B253" t="s">
        <v>1434</v>
      </c>
      <c r="C253" t="s">
        <v>2877</v>
      </c>
      <c r="D253" t="s">
        <v>159</v>
      </c>
      <c r="E253" t="s">
        <v>159</v>
      </c>
      <c r="F253">
        <v>5450</v>
      </c>
      <c r="G253" t="s">
        <v>2683</v>
      </c>
      <c r="H253" t="s">
        <v>3163</v>
      </c>
      <c r="I253">
        <v>5607</v>
      </c>
      <c r="J253" t="s">
        <v>2460</v>
      </c>
      <c r="K253">
        <v>5636</v>
      </c>
      <c r="L253" t="s">
        <v>2460</v>
      </c>
      <c r="M253">
        <v>5665</v>
      </c>
      <c r="N253" t="s">
        <v>2460</v>
      </c>
      <c r="O253">
        <v>5695</v>
      </c>
      <c r="P253" t="s">
        <v>2460</v>
      </c>
      <c r="Q253">
        <v>5724</v>
      </c>
      <c r="R253" t="s">
        <v>2460</v>
      </c>
      <c r="S253" t="s">
        <v>988</v>
      </c>
    </row>
    <row r="254" spans="1:19" hidden="1" x14ac:dyDescent="0.3">
      <c r="A254">
        <v>649</v>
      </c>
      <c r="B254" t="s">
        <v>1436</v>
      </c>
      <c r="C254" t="s">
        <v>2877</v>
      </c>
      <c r="D254" t="s">
        <v>159</v>
      </c>
      <c r="E254" t="s">
        <v>159</v>
      </c>
      <c r="F254">
        <v>5683</v>
      </c>
      <c r="G254" t="s">
        <v>2681</v>
      </c>
      <c r="H254" t="s">
        <v>3164</v>
      </c>
      <c r="I254">
        <v>2482.73027065</v>
      </c>
      <c r="J254" t="s">
        <v>2460</v>
      </c>
      <c r="K254">
        <v>2458.1791678499999</v>
      </c>
      <c r="L254" t="s">
        <v>2460</v>
      </c>
      <c r="M254">
        <v>2439.7658407499998</v>
      </c>
      <c r="N254" t="s">
        <v>2460</v>
      </c>
      <c r="O254">
        <v>2424.4214014999998</v>
      </c>
      <c r="P254" t="s">
        <v>2460</v>
      </c>
      <c r="Q254">
        <v>2412.1458501000002</v>
      </c>
      <c r="R254" t="s">
        <v>2460</v>
      </c>
      <c r="S254" t="s">
        <v>988</v>
      </c>
    </row>
    <row r="255" spans="1:19" hidden="1" x14ac:dyDescent="0.3">
      <c r="A255">
        <v>651</v>
      </c>
      <c r="B255" t="s">
        <v>1437</v>
      </c>
      <c r="C255" t="s">
        <v>2877</v>
      </c>
      <c r="D255" t="s">
        <v>1203</v>
      </c>
      <c r="E255" t="s">
        <v>1204</v>
      </c>
      <c r="F255">
        <v>5729</v>
      </c>
      <c r="G255" t="s">
        <v>2681</v>
      </c>
      <c r="H255" t="s">
        <v>3165</v>
      </c>
      <c r="I255">
        <v>300</v>
      </c>
      <c r="J255" t="s">
        <v>2460</v>
      </c>
      <c r="K255">
        <v>300</v>
      </c>
      <c r="L255" t="s">
        <v>2460</v>
      </c>
      <c r="M255">
        <v>300</v>
      </c>
      <c r="N255" t="s">
        <v>2460</v>
      </c>
      <c r="O255">
        <v>300</v>
      </c>
      <c r="P255" t="s">
        <v>2460</v>
      </c>
      <c r="Q255">
        <v>300</v>
      </c>
      <c r="R255" t="s">
        <v>2460</v>
      </c>
      <c r="S255" t="s">
        <v>988</v>
      </c>
    </row>
    <row r="256" spans="1:19" hidden="1" x14ac:dyDescent="0.3">
      <c r="A256">
        <v>651</v>
      </c>
      <c r="B256" t="s">
        <v>1437</v>
      </c>
      <c r="C256" t="s">
        <v>2877</v>
      </c>
      <c r="D256" t="s">
        <v>1203</v>
      </c>
      <c r="E256" t="s">
        <v>1204</v>
      </c>
      <c r="F256">
        <v>5729</v>
      </c>
      <c r="G256" t="s">
        <v>2683</v>
      </c>
      <c r="H256" t="s">
        <v>3166</v>
      </c>
      <c r="I256">
        <v>2154</v>
      </c>
      <c r="J256" t="s">
        <v>2460</v>
      </c>
      <c r="K256">
        <v>2154</v>
      </c>
      <c r="L256" t="s">
        <v>2460</v>
      </c>
      <c r="M256">
        <v>2154</v>
      </c>
      <c r="N256" t="s">
        <v>2460</v>
      </c>
      <c r="O256">
        <v>2154</v>
      </c>
      <c r="P256" t="s">
        <v>2460</v>
      </c>
      <c r="Q256">
        <v>2154</v>
      </c>
      <c r="R256" t="s">
        <v>2460</v>
      </c>
      <c r="S256" t="s">
        <v>988</v>
      </c>
    </row>
    <row r="257" spans="1:19" hidden="1" x14ac:dyDescent="0.3">
      <c r="A257">
        <v>651</v>
      </c>
      <c r="B257" t="s">
        <v>1437</v>
      </c>
      <c r="C257" t="s">
        <v>2877</v>
      </c>
      <c r="D257" t="s">
        <v>1203</v>
      </c>
      <c r="E257" t="s">
        <v>1204</v>
      </c>
      <c r="F257">
        <v>5729</v>
      </c>
      <c r="G257" t="s">
        <v>2681</v>
      </c>
      <c r="H257" t="s">
        <v>3167</v>
      </c>
      <c r="I257">
        <v>3294</v>
      </c>
      <c r="J257" t="s">
        <v>2460</v>
      </c>
      <c r="K257">
        <v>3294</v>
      </c>
      <c r="L257" t="s">
        <v>2460</v>
      </c>
      <c r="M257">
        <v>3294</v>
      </c>
      <c r="N257" t="s">
        <v>2460</v>
      </c>
      <c r="O257">
        <v>3294</v>
      </c>
      <c r="P257" t="s">
        <v>2460</v>
      </c>
      <c r="Q257">
        <v>3294</v>
      </c>
      <c r="R257" t="s">
        <v>2460</v>
      </c>
      <c r="S257" t="s">
        <v>988</v>
      </c>
    </row>
    <row r="258" spans="1:19" hidden="1" x14ac:dyDescent="0.3">
      <c r="A258">
        <v>654</v>
      </c>
      <c r="B258" t="s">
        <v>1439</v>
      </c>
      <c r="C258" t="s">
        <v>2877</v>
      </c>
      <c r="D258" t="s">
        <v>159</v>
      </c>
      <c r="E258" t="s">
        <v>159</v>
      </c>
      <c r="F258">
        <v>7861</v>
      </c>
      <c r="G258" t="s">
        <v>2683</v>
      </c>
      <c r="H258" t="s">
        <v>3168</v>
      </c>
      <c r="I258">
        <v>1009.19879596804</v>
      </c>
      <c r="J258" t="s">
        <v>2460</v>
      </c>
      <c r="K258">
        <v>1009.19879596804</v>
      </c>
      <c r="L258" t="s">
        <v>2460</v>
      </c>
      <c r="M258">
        <v>1009.19879596804</v>
      </c>
      <c r="N258" t="s">
        <v>2460</v>
      </c>
      <c r="O258">
        <v>1009.19879596804</v>
      </c>
      <c r="P258" t="s">
        <v>2460</v>
      </c>
      <c r="R258" t="s">
        <v>2460</v>
      </c>
      <c r="S258" t="s">
        <v>988</v>
      </c>
    </row>
    <row r="259" spans="1:19" hidden="1" x14ac:dyDescent="0.3">
      <c r="A259">
        <v>654</v>
      </c>
      <c r="B259" t="s">
        <v>1439</v>
      </c>
      <c r="C259" t="s">
        <v>2877</v>
      </c>
      <c r="D259" t="s">
        <v>159</v>
      </c>
      <c r="E259" t="s">
        <v>159</v>
      </c>
      <c r="F259">
        <v>7861</v>
      </c>
      <c r="G259" t="s">
        <v>2681</v>
      </c>
      <c r="H259" t="s">
        <v>3169</v>
      </c>
      <c r="I259">
        <v>534.74976498646902</v>
      </c>
      <c r="J259" t="s">
        <v>2460</v>
      </c>
      <c r="K259">
        <v>561.26491623162894</v>
      </c>
      <c r="L259" t="s">
        <v>2460</v>
      </c>
      <c r="M259">
        <v>587.78006747678796</v>
      </c>
      <c r="N259" t="s">
        <v>2460</v>
      </c>
      <c r="O259">
        <v>614.295218721948</v>
      </c>
      <c r="P259" t="s">
        <v>2460</v>
      </c>
      <c r="R259" t="s">
        <v>2460</v>
      </c>
      <c r="S259" t="s">
        <v>988</v>
      </c>
    </row>
    <row r="260" spans="1:19" hidden="1" x14ac:dyDescent="0.3">
      <c r="A260">
        <v>664</v>
      </c>
      <c r="B260" t="s">
        <v>1441</v>
      </c>
      <c r="C260" t="s">
        <v>2877</v>
      </c>
      <c r="D260" t="s">
        <v>1203</v>
      </c>
      <c r="E260" t="s">
        <v>1204</v>
      </c>
      <c r="F260">
        <v>5463</v>
      </c>
      <c r="G260" t="s">
        <v>2679</v>
      </c>
      <c r="H260" t="s">
        <v>3170</v>
      </c>
      <c r="I260">
        <v>4000</v>
      </c>
      <c r="J260" t="s">
        <v>2460</v>
      </c>
      <c r="K260">
        <v>4000</v>
      </c>
      <c r="L260" t="s">
        <v>2460</v>
      </c>
      <c r="M260">
        <v>4000</v>
      </c>
      <c r="N260" t="s">
        <v>2460</v>
      </c>
      <c r="O260">
        <v>4000</v>
      </c>
      <c r="P260" t="s">
        <v>2460</v>
      </c>
      <c r="Q260">
        <v>4000</v>
      </c>
      <c r="R260" t="s">
        <v>2460</v>
      </c>
      <c r="S260" t="s">
        <v>988</v>
      </c>
    </row>
    <row r="261" spans="1:19" hidden="1" x14ac:dyDescent="0.3">
      <c r="A261">
        <v>664</v>
      </c>
      <c r="B261" t="s">
        <v>1441</v>
      </c>
      <c r="C261" t="s">
        <v>2877</v>
      </c>
      <c r="D261" t="s">
        <v>1203</v>
      </c>
      <c r="E261" t="s">
        <v>1204</v>
      </c>
      <c r="F261">
        <v>5463</v>
      </c>
      <c r="G261" t="s">
        <v>2679</v>
      </c>
      <c r="H261" t="s">
        <v>3171</v>
      </c>
      <c r="I261">
        <v>1800</v>
      </c>
      <c r="J261" t="s">
        <v>2460</v>
      </c>
      <c r="K261">
        <v>2000</v>
      </c>
      <c r="L261" t="s">
        <v>2460</v>
      </c>
      <c r="M261">
        <v>2000</v>
      </c>
      <c r="N261" t="s">
        <v>2460</v>
      </c>
      <c r="O261">
        <v>2000</v>
      </c>
      <c r="P261" t="s">
        <v>2460</v>
      </c>
      <c r="Q261">
        <v>2000</v>
      </c>
      <c r="R261" t="s">
        <v>2460</v>
      </c>
      <c r="S261" t="s">
        <v>988</v>
      </c>
    </row>
    <row r="262" spans="1:19" hidden="1" x14ac:dyDescent="0.3">
      <c r="A262">
        <v>664</v>
      </c>
      <c r="B262" t="s">
        <v>1441</v>
      </c>
      <c r="C262" t="s">
        <v>2877</v>
      </c>
      <c r="D262" t="s">
        <v>1203</v>
      </c>
      <c r="E262" t="s">
        <v>1204</v>
      </c>
      <c r="F262">
        <v>5463</v>
      </c>
      <c r="G262" t="s">
        <v>2683</v>
      </c>
      <c r="H262" t="s">
        <v>2169</v>
      </c>
      <c r="I262">
        <v>28369</v>
      </c>
      <c r="J262" t="s">
        <v>2460</v>
      </c>
      <c r="K262">
        <v>28369</v>
      </c>
      <c r="L262" t="s">
        <v>2460</v>
      </c>
      <c r="M262">
        <v>28369</v>
      </c>
      <c r="N262" t="s">
        <v>2460</v>
      </c>
      <c r="O262">
        <v>28369</v>
      </c>
      <c r="P262" t="s">
        <v>2460</v>
      </c>
      <c r="Q262">
        <v>28369</v>
      </c>
      <c r="R262" t="s">
        <v>2460</v>
      </c>
      <c r="S262" t="s">
        <v>988</v>
      </c>
    </row>
    <row r="263" spans="1:19" hidden="1" x14ac:dyDescent="0.3">
      <c r="A263">
        <v>664</v>
      </c>
      <c r="B263" t="s">
        <v>1441</v>
      </c>
      <c r="C263" t="s">
        <v>2877</v>
      </c>
      <c r="D263" t="s">
        <v>1203</v>
      </c>
      <c r="E263" t="s">
        <v>1204</v>
      </c>
      <c r="F263">
        <v>5463</v>
      </c>
      <c r="G263" t="s">
        <v>2681</v>
      </c>
      <c r="H263" t="s">
        <v>3137</v>
      </c>
      <c r="I263">
        <v>10250</v>
      </c>
      <c r="J263" t="s">
        <v>2460</v>
      </c>
      <c r="K263">
        <v>14773</v>
      </c>
      <c r="L263" t="s">
        <v>2460</v>
      </c>
      <c r="M263">
        <v>16331</v>
      </c>
      <c r="N263" t="s">
        <v>2460</v>
      </c>
      <c r="O263">
        <v>17630</v>
      </c>
      <c r="P263" t="s">
        <v>2460</v>
      </c>
      <c r="Q263">
        <v>17630</v>
      </c>
      <c r="R263" t="s">
        <v>2460</v>
      </c>
      <c r="S263" t="s">
        <v>988</v>
      </c>
    </row>
    <row r="264" spans="1:19" hidden="1" x14ac:dyDescent="0.3">
      <c r="A264">
        <v>664</v>
      </c>
      <c r="B264" t="s">
        <v>1441</v>
      </c>
      <c r="C264" t="s">
        <v>2877</v>
      </c>
      <c r="D264" t="s">
        <v>1203</v>
      </c>
      <c r="E264" t="s">
        <v>1204</v>
      </c>
      <c r="F264">
        <v>5463</v>
      </c>
      <c r="G264" t="s">
        <v>2691</v>
      </c>
      <c r="H264" t="s">
        <v>3172</v>
      </c>
      <c r="I264">
        <v>50</v>
      </c>
      <c r="J264" t="s">
        <v>2460</v>
      </c>
      <c r="K264">
        <v>50</v>
      </c>
      <c r="L264" t="s">
        <v>2460</v>
      </c>
      <c r="M264">
        <v>50</v>
      </c>
      <c r="N264" t="s">
        <v>2460</v>
      </c>
      <c r="O264">
        <v>50</v>
      </c>
      <c r="P264" t="s">
        <v>2460</v>
      </c>
      <c r="Q264">
        <v>50</v>
      </c>
      <c r="R264" t="s">
        <v>2460</v>
      </c>
      <c r="S264" t="s">
        <v>988</v>
      </c>
    </row>
    <row r="265" spans="1:19" hidden="1" x14ac:dyDescent="0.3">
      <c r="A265">
        <v>664</v>
      </c>
      <c r="B265" t="s">
        <v>1441</v>
      </c>
      <c r="C265" t="s">
        <v>2877</v>
      </c>
      <c r="D265" t="s">
        <v>1203</v>
      </c>
      <c r="E265" t="s">
        <v>1204</v>
      </c>
      <c r="F265">
        <v>5463</v>
      </c>
      <c r="G265" t="s">
        <v>2691</v>
      </c>
      <c r="H265" t="s">
        <v>3173</v>
      </c>
      <c r="I265">
        <v>800</v>
      </c>
      <c r="J265" t="s">
        <v>2460</v>
      </c>
      <c r="K265">
        <v>800</v>
      </c>
      <c r="L265" t="s">
        <v>2460</v>
      </c>
      <c r="M265">
        <v>800</v>
      </c>
      <c r="N265" t="s">
        <v>2460</v>
      </c>
      <c r="O265">
        <v>800</v>
      </c>
      <c r="P265" t="s">
        <v>2460</v>
      </c>
      <c r="Q265">
        <v>800</v>
      </c>
      <c r="R265" t="s">
        <v>2460</v>
      </c>
      <c r="S265" t="s">
        <v>988</v>
      </c>
    </row>
    <row r="266" spans="1:19" hidden="1" x14ac:dyDescent="0.3">
      <c r="A266">
        <v>664</v>
      </c>
      <c r="B266" t="s">
        <v>1441</v>
      </c>
      <c r="C266" t="s">
        <v>2877</v>
      </c>
      <c r="D266" t="s">
        <v>1203</v>
      </c>
      <c r="E266" t="s">
        <v>1204</v>
      </c>
      <c r="F266">
        <v>5463</v>
      </c>
      <c r="G266" t="s">
        <v>2681</v>
      </c>
      <c r="H266" t="s">
        <v>3174</v>
      </c>
      <c r="I266">
        <v>10000</v>
      </c>
      <c r="J266" t="s">
        <v>2460</v>
      </c>
      <c r="K266">
        <v>10000</v>
      </c>
      <c r="L266" t="s">
        <v>2460</v>
      </c>
      <c r="M266">
        <v>10000</v>
      </c>
      <c r="N266" t="s">
        <v>2460</v>
      </c>
      <c r="O266">
        <v>10000</v>
      </c>
      <c r="P266" t="s">
        <v>2460</v>
      </c>
      <c r="Q266">
        <v>10000</v>
      </c>
      <c r="R266" t="s">
        <v>2460</v>
      </c>
      <c r="S266" t="s">
        <v>988</v>
      </c>
    </row>
    <row r="267" spans="1:19" hidden="1" x14ac:dyDescent="0.3">
      <c r="A267">
        <v>664</v>
      </c>
      <c r="B267" t="s">
        <v>1441</v>
      </c>
      <c r="C267" t="s">
        <v>2877</v>
      </c>
      <c r="D267" t="s">
        <v>1203</v>
      </c>
      <c r="E267" t="s">
        <v>1204</v>
      </c>
      <c r="F267">
        <v>5463</v>
      </c>
      <c r="G267" t="s">
        <v>2691</v>
      </c>
      <c r="H267" t="s">
        <v>3175</v>
      </c>
      <c r="I267">
        <v>2100</v>
      </c>
      <c r="J267" t="s">
        <v>2460</v>
      </c>
      <c r="K267">
        <v>2100</v>
      </c>
      <c r="L267" t="s">
        <v>2460</v>
      </c>
      <c r="M267">
        <v>2100</v>
      </c>
      <c r="N267" t="s">
        <v>2460</v>
      </c>
      <c r="O267">
        <v>2100</v>
      </c>
      <c r="P267" t="s">
        <v>2460</v>
      </c>
      <c r="Q267">
        <v>2100</v>
      </c>
      <c r="R267" t="s">
        <v>2460</v>
      </c>
      <c r="S267" t="s">
        <v>988</v>
      </c>
    </row>
    <row r="268" spans="1:19" hidden="1" x14ac:dyDescent="0.3">
      <c r="A268">
        <v>673</v>
      </c>
      <c r="B268" t="s">
        <v>1442</v>
      </c>
      <c r="C268" t="s">
        <v>2877</v>
      </c>
      <c r="D268" t="s">
        <v>159</v>
      </c>
      <c r="E268" t="s">
        <v>159</v>
      </c>
      <c r="F268">
        <v>7793</v>
      </c>
      <c r="G268" t="s">
        <v>2683</v>
      </c>
      <c r="H268" t="s">
        <v>2460</v>
      </c>
      <c r="I268">
        <v>4805.8783731000003</v>
      </c>
      <c r="J268" t="s">
        <v>2460</v>
      </c>
      <c r="K268">
        <v>4805.8783731000003</v>
      </c>
      <c r="L268" t="s">
        <v>2460</v>
      </c>
      <c r="M268">
        <v>4805.8783731000003</v>
      </c>
      <c r="N268" t="s">
        <v>2460</v>
      </c>
      <c r="O268">
        <v>4805.8783731000003</v>
      </c>
      <c r="P268" t="s">
        <v>2460</v>
      </c>
      <c r="Q268">
        <v>4805.8783731000003</v>
      </c>
      <c r="R268" t="s">
        <v>2460</v>
      </c>
      <c r="S268" t="s">
        <v>988</v>
      </c>
    </row>
    <row r="269" spans="1:19" hidden="1" x14ac:dyDescent="0.3">
      <c r="A269">
        <v>673</v>
      </c>
      <c r="B269" t="s">
        <v>1442</v>
      </c>
      <c r="C269" t="s">
        <v>2877</v>
      </c>
      <c r="D269" t="s">
        <v>159</v>
      </c>
      <c r="E269" t="s">
        <v>159</v>
      </c>
      <c r="F269">
        <v>7793</v>
      </c>
      <c r="G269" t="s">
        <v>2679</v>
      </c>
      <c r="H269" t="s">
        <v>2460</v>
      </c>
      <c r="I269">
        <v>3102.6456163500002</v>
      </c>
      <c r="J269" t="s">
        <v>2460</v>
      </c>
      <c r="K269">
        <v>3102.6456163500002</v>
      </c>
      <c r="L269" t="s">
        <v>2460</v>
      </c>
      <c r="M269">
        <v>6908.0665503500004</v>
      </c>
      <c r="N269" t="s">
        <v>2460</v>
      </c>
      <c r="O269">
        <v>6908.0665503500004</v>
      </c>
      <c r="P269" t="s">
        <v>2460</v>
      </c>
      <c r="Q269">
        <v>6908.0665503500004</v>
      </c>
      <c r="R269" t="s">
        <v>2460</v>
      </c>
      <c r="S269" t="s">
        <v>988</v>
      </c>
    </row>
    <row r="270" spans="1:19" hidden="1" x14ac:dyDescent="0.3">
      <c r="A270">
        <v>673</v>
      </c>
      <c r="B270" t="s">
        <v>1442</v>
      </c>
      <c r="C270" t="s">
        <v>2877</v>
      </c>
      <c r="D270" t="s">
        <v>159</v>
      </c>
      <c r="E270" t="s">
        <v>159</v>
      </c>
      <c r="F270">
        <v>7793</v>
      </c>
      <c r="G270" t="s">
        <v>2681</v>
      </c>
      <c r="H270" t="s">
        <v>2460</v>
      </c>
      <c r="I270">
        <v>3839.1787003499999</v>
      </c>
      <c r="J270" t="s">
        <v>2460</v>
      </c>
      <c r="K270">
        <v>3839.1787003499999</v>
      </c>
      <c r="L270" t="s">
        <v>2460</v>
      </c>
      <c r="M270">
        <v>3839.1787003499999</v>
      </c>
      <c r="N270" t="s">
        <v>2460</v>
      </c>
      <c r="O270">
        <v>3839.1787003499999</v>
      </c>
      <c r="P270" t="s">
        <v>2460</v>
      </c>
      <c r="Q270">
        <v>3839.1787003499999</v>
      </c>
      <c r="R270" t="s">
        <v>2460</v>
      </c>
      <c r="S270" t="s">
        <v>988</v>
      </c>
    </row>
    <row r="271" spans="1:19" hidden="1" x14ac:dyDescent="0.3">
      <c r="A271">
        <v>678</v>
      </c>
      <c r="B271" t="s">
        <v>1445</v>
      </c>
      <c r="C271" t="s">
        <v>2877</v>
      </c>
      <c r="D271" t="s">
        <v>159</v>
      </c>
      <c r="E271" t="s">
        <v>159</v>
      </c>
      <c r="F271">
        <v>7334</v>
      </c>
      <c r="G271" t="s">
        <v>2681</v>
      </c>
      <c r="H271" t="s">
        <v>3176</v>
      </c>
      <c r="I271">
        <v>12300</v>
      </c>
      <c r="J271" t="s">
        <v>2460</v>
      </c>
      <c r="K271">
        <v>12300</v>
      </c>
      <c r="L271" t="s">
        <v>2460</v>
      </c>
      <c r="M271">
        <v>12300</v>
      </c>
      <c r="N271" t="s">
        <v>2460</v>
      </c>
      <c r="O271">
        <v>12300</v>
      </c>
      <c r="P271" t="s">
        <v>2460</v>
      </c>
      <c r="Q271">
        <v>12300</v>
      </c>
      <c r="R271" t="s">
        <v>2460</v>
      </c>
      <c r="S271" t="s">
        <v>988</v>
      </c>
    </row>
    <row r="272" spans="1:19" hidden="1" x14ac:dyDescent="0.3">
      <c r="A272">
        <v>678</v>
      </c>
      <c r="B272" t="s">
        <v>1445</v>
      </c>
      <c r="C272" t="s">
        <v>2877</v>
      </c>
      <c r="D272" t="s">
        <v>159</v>
      </c>
      <c r="E272" t="s">
        <v>159</v>
      </c>
      <c r="F272">
        <v>7334</v>
      </c>
      <c r="G272" t="s">
        <v>2683</v>
      </c>
      <c r="H272" t="s">
        <v>3177</v>
      </c>
      <c r="I272">
        <v>11425</v>
      </c>
      <c r="J272" t="s">
        <v>2460</v>
      </c>
      <c r="K272">
        <v>11425</v>
      </c>
      <c r="L272" t="s">
        <v>2460</v>
      </c>
      <c r="M272">
        <v>11425</v>
      </c>
      <c r="N272" t="s">
        <v>2460</v>
      </c>
      <c r="O272">
        <v>11425</v>
      </c>
      <c r="P272" t="s">
        <v>2460</v>
      </c>
      <c r="Q272">
        <v>11425</v>
      </c>
      <c r="R272" t="s">
        <v>2460</v>
      </c>
      <c r="S272" t="s">
        <v>988</v>
      </c>
    </row>
    <row r="273" spans="1:19" hidden="1" x14ac:dyDescent="0.3">
      <c r="A273">
        <v>699</v>
      </c>
      <c r="B273" t="s">
        <v>1449</v>
      </c>
      <c r="C273" t="s">
        <v>2877</v>
      </c>
      <c r="D273" t="s">
        <v>159</v>
      </c>
      <c r="E273" t="s">
        <v>159</v>
      </c>
      <c r="F273">
        <v>6729</v>
      </c>
      <c r="G273" t="s">
        <v>784</v>
      </c>
      <c r="H273" t="s">
        <v>3178</v>
      </c>
      <c r="I273">
        <v>264.99999730162301</v>
      </c>
      <c r="J273" t="s">
        <v>2460</v>
      </c>
      <c r="K273">
        <v>264.99999730162301</v>
      </c>
      <c r="L273" t="s">
        <v>2460</v>
      </c>
      <c r="M273">
        <v>264.99999730162301</v>
      </c>
      <c r="N273" t="s">
        <v>2460</v>
      </c>
      <c r="O273">
        <v>264.99999730162301</v>
      </c>
      <c r="P273" t="s">
        <v>2460</v>
      </c>
      <c r="Q273">
        <v>264.99999730162301</v>
      </c>
      <c r="R273" t="s">
        <v>2460</v>
      </c>
      <c r="S273" t="s">
        <v>988</v>
      </c>
    </row>
    <row r="274" spans="1:19" hidden="1" x14ac:dyDescent="0.3">
      <c r="A274">
        <v>699</v>
      </c>
      <c r="B274" t="s">
        <v>1449</v>
      </c>
      <c r="C274" t="s">
        <v>2877</v>
      </c>
      <c r="D274" t="s">
        <v>159</v>
      </c>
      <c r="E274" t="s">
        <v>159</v>
      </c>
      <c r="F274">
        <v>6729</v>
      </c>
      <c r="G274" t="s">
        <v>2681</v>
      </c>
      <c r="H274" t="s">
        <v>3179</v>
      </c>
      <c r="I274">
        <v>169.45592113951901</v>
      </c>
      <c r="J274" t="s">
        <v>2460</v>
      </c>
      <c r="K274">
        <v>183.97612301186899</v>
      </c>
      <c r="L274" t="s">
        <v>2460</v>
      </c>
      <c r="M274">
        <v>198.49862056830801</v>
      </c>
      <c r="N274" t="s">
        <v>2460</v>
      </c>
      <c r="O274">
        <v>213.018822440658</v>
      </c>
      <c r="P274" t="s">
        <v>2460</v>
      </c>
      <c r="Q274">
        <v>227.53902431300699</v>
      </c>
      <c r="R274" t="s">
        <v>2460</v>
      </c>
      <c r="S274" t="s">
        <v>988</v>
      </c>
    </row>
    <row r="275" spans="1:19" hidden="1" x14ac:dyDescent="0.3">
      <c r="A275">
        <v>699</v>
      </c>
      <c r="B275" t="s">
        <v>1449</v>
      </c>
      <c r="C275" t="s">
        <v>2877</v>
      </c>
      <c r="D275" t="s">
        <v>159</v>
      </c>
      <c r="E275" t="s">
        <v>159</v>
      </c>
      <c r="F275">
        <v>6729</v>
      </c>
      <c r="G275" t="s">
        <v>2681</v>
      </c>
      <c r="H275" t="s">
        <v>3180</v>
      </c>
      <c r="I275">
        <v>359.79797613431703</v>
      </c>
      <c r="J275" t="s">
        <v>2460</v>
      </c>
      <c r="K275">
        <v>390.629013469597</v>
      </c>
      <c r="L275" t="s">
        <v>2460</v>
      </c>
      <c r="M275">
        <v>421.46005080487799</v>
      </c>
      <c r="N275" t="s">
        <v>2460</v>
      </c>
      <c r="O275">
        <v>452.29108814015899</v>
      </c>
      <c r="P275" t="s">
        <v>2460</v>
      </c>
      <c r="Q275">
        <v>483.12212547543999</v>
      </c>
      <c r="R275" t="s">
        <v>2460</v>
      </c>
      <c r="S275" t="s">
        <v>988</v>
      </c>
    </row>
    <row r="276" spans="1:19" hidden="1" x14ac:dyDescent="0.3">
      <c r="A276">
        <v>699</v>
      </c>
      <c r="B276" t="s">
        <v>1449</v>
      </c>
      <c r="C276" t="s">
        <v>2877</v>
      </c>
      <c r="D276" t="s">
        <v>159</v>
      </c>
      <c r="E276" t="s">
        <v>159</v>
      </c>
      <c r="F276">
        <v>6729</v>
      </c>
      <c r="G276" t="s">
        <v>2681</v>
      </c>
      <c r="H276" t="s">
        <v>3181</v>
      </c>
      <c r="I276">
        <v>136.90771210455199</v>
      </c>
      <c r="J276" t="s">
        <v>2460</v>
      </c>
      <c r="K276">
        <v>148.64095349104699</v>
      </c>
      <c r="L276" t="s">
        <v>2460</v>
      </c>
      <c r="M276">
        <v>160.37189919344999</v>
      </c>
      <c r="N276" t="s">
        <v>2460</v>
      </c>
      <c r="O276">
        <v>172.10284489585399</v>
      </c>
      <c r="P276" t="s">
        <v>2460</v>
      </c>
      <c r="Q276">
        <v>183.83608628234899</v>
      </c>
      <c r="R276" t="s">
        <v>2460</v>
      </c>
      <c r="S276" t="s">
        <v>988</v>
      </c>
    </row>
    <row r="277" spans="1:19" hidden="1" x14ac:dyDescent="0.3">
      <c r="A277">
        <v>699</v>
      </c>
      <c r="B277" t="s">
        <v>1449</v>
      </c>
      <c r="C277" t="s">
        <v>2877</v>
      </c>
      <c r="D277" t="s">
        <v>159</v>
      </c>
      <c r="E277" t="s">
        <v>159</v>
      </c>
      <c r="F277">
        <v>6729</v>
      </c>
      <c r="G277" t="s">
        <v>2681</v>
      </c>
      <c r="H277" t="s">
        <v>3182</v>
      </c>
      <c r="I277">
        <v>189.143707899562</v>
      </c>
      <c r="J277" t="s">
        <v>2460</v>
      </c>
      <c r="K277">
        <v>205.35123757842101</v>
      </c>
      <c r="L277" t="s">
        <v>2460</v>
      </c>
      <c r="M277">
        <v>221.55876725728001</v>
      </c>
      <c r="N277" t="s">
        <v>2460</v>
      </c>
      <c r="O277">
        <v>237.76629693614001</v>
      </c>
      <c r="P277" t="s">
        <v>2460</v>
      </c>
      <c r="Q277">
        <v>253.97382661499901</v>
      </c>
      <c r="R277" t="s">
        <v>2460</v>
      </c>
      <c r="S277" t="s">
        <v>988</v>
      </c>
    </row>
    <row r="278" spans="1:19" hidden="1" x14ac:dyDescent="0.3">
      <c r="A278">
        <v>711</v>
      </c>
      <c r="B278" t="s">
        <v>1453</v>
      </c>
      <c r="C278" t="s">
        <v>2877</v>
      </c>
      <c r="D278" t="s">
        <v>1203</v>
      </c>
      <c r="E278" t="s">
        <v>1204</v>
      </c>
      <c r="F278">
        <v>5970</v>
      </c>
      <c r="G278" t="s">
        <v>2679</v>
      </c>
      <c r="H278" t="s">
        <v>3183</v>
      </c>
      <c r="I278">
        <v>4461</v>
      </c>
      <c r="J278" t="s">
        <v>2460</v>
      </c>
      <c r="K278">
        <v>4499</v>
      </c>
      <c r="L278" t="s">
        <v>2460</v>
      </c>
      <c r="M278">
        <v>4537</v>
      </c>
      <c r="N278" t="s">
        <v>2460</v>
      </c>
      <c r="O278">
        <v>4575</v>
      </c>
      <c r="P278" t="s">
        <v>2460</v>
      </c>
      <c r="Q278">
        <v>4614</v>
      </c>
      <c r="R278" t="s">
        <v>2460</v>
      </c>
      <c r="S278" t="s">
        <v>988</v>
      </c>
    </row>
    <row r="279" spans="1:19" hidden="1" x14ac:dyDescent="0.3">
      <c r="A279">
        <v>711</v>
      </c>
      <c r="B279" t="s">
        <v>1453</v>
      </c>
      <c r="C279" t="s">
        <v>2877</v>
      </c>
      <c r="D279" t="s">
        <v>1203</v>
      </c>
      <c r="E279" t="s">
        <v>1204</v>
      </c>
      <c r="F279">
        <v>5970</v>
      </c>
      <c r="G279" t="s">
        <v>2681</v>
      </c>
      <c r="H279" t="s">
        <v>3061</v>
      </c>
      <c r="I279">
        <v>9194</v>
      </c>
      <c r="J279" t="s">
        <v>2460</v>
      </c>
      <c r="K279">
        <v>9904</v>
      </c>
      <c r="L279" t="s">
        <v>2460</v>
      </c>
      <c r="M279">
        <v>10670</v>
      </c>
      <c r="N279" t="s">
        <v>2460</v>
      </c>
      <c r="O279">
        <v>11495</v>
      </c>
      <c r="P279" t="s">
        <v>2460</v>
      </c>
      <c r="Q279">
        <v>12383</v>
      </c>
      <c r="R279" t="s">
        <v>2460</v>
      </c>
      <c r="S279" t="s">
        <v>988</v>
      </c>
    </row>
    <row r="280" spans="1:19" hidden="1" x14ac:dyDescent="0.3">
      <c r="A280">
        <v>727</v>
      </c>
      <c r="B280" t="s">
        <v>825</v>
      </c>
      <c r="C280" t="s">
        <v>2877</v>
      </c>
      <c r="D280" t="s">
        <v>1203</v>
      </c>
      <c r="E280" t="s">
        <v>1204</v>
      </c>
      <c r="F280">
        <v>5697</v>
      </c>
      <c r="G280" t="s">
        <v>2691</v>
      </c>
      <c r="H280" t="s">
        <v>3184</v>
      </c>
      <c r="I280">
        <v>2630</v>
      </c>
      <c r="J280" t="s">
        <v>2460</v>
      </c>
      <c r="K280">
        <v>2630</v>
      </c>
      <c r="L280" t="s">
        <v>2460</v>
      </c>
      <c r="M280">
        <v>6000</v>
      </c>
      <c r="N280" t="s">
        <v>2460</v>
      </c>
      <c r="O280">
        <v>6000</v>
      </c>
      <c r="P280" t="s">
        <v>2460</v>
      </c>
      <c r="Q280">
        <v>6000</v>
      </c>
      <c r="R280" t="s">
        <v>2460</v>
      </c>
      <c r="S280" t="s">
        <v>988</v>
      </c>
    </row>
    <row r="281" spans="1:19" hidden="1" x14ac:dyDescent="0.3">
      <c r="A281">
        <v>727</v>
      </c>
      <c r="B281" t="s">
        <v>825</v>
      </c>
      <c r="C281" t="s">
        <v>2877</v>
      </c>
      <c r="D281" t="s">
        <v>1203</v>
      </c>
      <c r="E281" t="s">
        <v>1204</v>
      </c>
      <c r="F281">
        <v>5697</v>
      </c>
      <c r="G281" t="s">
        <v>3185</v>
      </c>
      <c r="H281" t="s">
        <v>2460</v>
      </c>
      <c r="I281">
        <v>3413</v>
      </c>
      <c r="J281" t="s">
        <v>2460</v>
      </c>
      <c r="K281">
        <v>3413</v>
      </c>
      <c r="L281" t="s">
        <v>2460</v>
      </c>
      <c r="M281">
        <v>3413</v>
      </c>
      <c r="N281" t="s">
        <v>2460</v>
      </c>
      <c r="O281">
        <v>3413</v>
      </c>
      <c r="P281" t="s">
        <v>2460</v>
      </c>
      <c r="Q281">
        <v>3413</v>
      </c>
      <c r="R281" t="s">
        <v>2460</v>
      </c>
      <c r="S281" t="s">
        <v>988</v>
      </c>
    </row>
    <row r="282" spans="1:19" hidden="1" x14ac:dyDescent="0.3">
      <c r="A282">
        <v>727</v>
      </c>
      <c r="B282" t="s">
        <v>825</v>
      </c>
      <c r="C282" t="s">
        <v>2877</v>
      </c>
      <c r="D282" t="s">
        <v>1203</v>
      </c>
      <c r="E282" t="s">
        <v>1204</v>
      </c>
      <c r="F282">
        <v>5697</v>
      </c>
      <c r="G282" t="s">
        <v>2681</v>
      </c>
      <c r="H282" t="s">
        <v>3147</v>
      </c>
      <c r="I282">
        <v>33598</v>
      </c>
      <c r="J282" t="s">
        <v>2460</v>
      </c>
      <c r="K282">
        <v>35132</v>
      </c>
      <c r="L282" t="s">
        <v>2460</v>
      </c>
      <c r="M282">
        <v>33264</v>
      </c>
      <c r="N282" t="s">
        <v>2460</v>
      </c>
      <c r="O282">
        <v>34494</v>
      </c>
      <c r="P282" t="s">
        <v>2460</v>
      </c>
      <c r="Q282">
        <v>35565</v>
      </c>
      <c r="R282" t="s">
        <v>2460</v>
      </c>
      <c r="S282" t="s">
        <v>988</v>
      </c>
    </row>
    <row r="283" spans="1:19" hidden="1" x14ac:dyDescent="0.3">
      <c r="A283">
        <v>731</v>
      </c>
      <c r="B283" t="s">
        <v>1458</v>
      </c>
      <c r="C283" t="s">
        <v>2877</v>
      </c>
      <c r="D283" t="s">
        <v>1203</v>
      </c>
      <c r="E283" t="s">
        <v>1204</v>
      </c>
      <c r="F283">
        <v>5481</v>
      </c>
      <c r="G283" t="s">
        <v>2681</v>
      </c>
      <c r="H283" t="s">
        <v>2460</v>
      </c>
      <c r="I283">
        <v>3068.8878500000001</v>
      </c>
      <c r="J283" t="s">
        <v>3186</v>
      </c>
      <c r="K283">
        <v>4213.5830180499997</v>
      </c>
      <c r="L283" t="s">
        <v>3187</v>
      </c>
      <c r="M283">
        <v>5355.2092982499998</v>
      </c>
      <c r="N283" t="s">
        <v>3188</v>
      </c>
      <c r="O283">
        <v>5355.2092982499998</v>
      </c>
      <c r="P283" t="s">
        <v>3188</v>
      </c>
      <c r="R283" t="s">
        <v>2460</v>
      </c>
      <c r="S283" t="s">
        <v>988</v>
      </c>
    </row>
    <row r="284" spans="1:19" hidden="1" x14ac:dyDescent="0.3">
      <c r="A284">
        <v>731</v>
      </c>
      <c r="B284" t="s">
        <v>1458</v>
      </c>
      <c r="C284" t="s">
        <v>2877</v>
      </c>
      <c r="D284" t="s">
        <v>1203</v>
      </c>
      <c r="E284" t="s">
        <v>1204</v>
      </c>
      <c r="F284">
        <v>5481</v>
      </c>
      <c r="G284" t="s">
        <v>2683</v>
      </c>
      <c r="H284" t="s">
        <v>2460</v>
      </c>
      <c r="I284">
        <v>8402.6149332999994</v>
      </c>
      <c r="J284" t="s">
        <v>3189</v>
      </c>
      <c r="K284">
        <v>8402.6149332999994</v>
      </c>
      <c r="L284" t="s">
        <v>3189</v>
      </c>
      <c r="M284">
        <v>8402.6149332999994</v>
      </c>
      <c r="N284" t="s">
        <v>3189</v>
      </c>
      <c r="O284">
        <v>11201.440652499999</v>
      </c>
      <c r="P284" t="s">
        <v>3190</v>
      </c>
      <c r="R284" t="s">
        <v>2460</v>
      </c>
      <c r="S284" t="s">
        <v>988</v>
      </c>
    </row>
    <row r="285" spans="1:19" hidden="1" x14ac:dyDescent="0.3">
      <c r="A285">
        <v>737</v>
      </c>
      <c r="B285" t="s">
        <v>1460</v>
      </c>
      <c r="C285" t="s">
        <v>2877</v>
      </c>
      <c r="D285" t="s">
        <v>1203</v>
      </c>
      <c r="E285" t="s">
        <v>1204</v>
      </c>
      <c r="F285">
        <v>7336</v>
      </c>
      <c r="G285" t="s">
        <v>2681</v>
      </c>
      <c r="H285" t="s">
        <v>2911</v>
      </c>
      <c r="I285">
        <v>5662.0980832499999</v>
      </c>
      <c r="J285" t="s">
        <v>2460</v>
      </c>
      <c r="K285">
        <v>6202.2223448499999</v>
      </c>
      <c r="L285" t="s">
        <v>2460</v>
      </c>
      <c r="M285">
        <v>6797.58658775</v>
      </c>
      <c r="N285" t="s">
        <v>2460</v>
      </c>
      <c r="O285">
        <v>7448.1908119500004</v>
      </c>
      <c r="P285" t="s">
        <v>2460</v>
      </c>
      <c r="R285" t="s">
        <v>2460</v>
      </c>
      <c r="S285" t="s">
        <v>988</v>
      </c>
    </row>
    <row r="286" spans="1:19" hidden="1" x14ac:dyDescent="0.3">
      <c r="A286">
        <v>739</v>
      </c>
      <c r="B286" t="s">
        <v>1463</v>
      </c>
      <c r="C286" t="s">
        <v>2877</v>
      </c>
      <c r="D286" t="s">
        <v>159</v>
      </c>
      <c r="E286" t="s">
        <v>159</v>
      </c>
      <c r="F286">
        <v>7839</v>
      </c>
      <c r="G286" t="s">
        <v>2681</v>
      </c>
      <c r="H286" t="s">
        <v>2460</v>
      </c>
      <c r="I286">
        <v>7672.2196249999997</v>
      </c>
      <c r="J286" t="s">
        <v>2460</v>
      </c>
      <c r="K286">
        <v>7672.2196249999997</v>
      </c>
      <c r="L286" t="s">
        <v>2460</v>
      </c>
      <c r="M286">
        <v>7672.2196249999997</v>
      </c>
      <c r="N286" t="s">
        <v>2460</v>
      </c>
      <c r="O286">
        <v>7672.2196249999997</v>
      </c>
      <c r="P286" t="s">
        <v>2460</v>
      </c>
      <c r="Q286">
        <v>7672.2196249999997</v>
      </c>
      <c r="R286" t="s">
        <v>2460</v>
      </c>
      <c r="S286" t="s">
        <v>988</v>
      </c>
    </row>
    <row r="287" spans="1:19" hidden="1" x14ac:dyDescent="0.3">
      <c r="A287">
        <v>759</v>
      </c>
      <c r="B287" t="s">
        <v>1467</v>
      </c>
      <c r="C287" t="s">
        <v>2877</v>
      </c>
      <c r="D287" t="s">
        <v>159</v>
      </c>
      <c r="E287" t="s">
        <v>159</v>
      </c>
      <c r="F287">
        <v>7834</v>
      </c>
      <c r="G287" t="s">
        <v>2683</v>
      </c>
      <c r="H287" t="s">
        <v>3191</v>
      </c>
      <c r="I287">
        <v>11993</v>
      </c>
      <c r="J287" t="s">
        <v>2460</v>
      </c>
      <c r="K287">
        <v>13363</v>
      </c>
      <c r="L287" t="s">
        <v>2460</v>
      </c>
      <c r="M287">
        <v>13807</v>
      </c>
      <c r="N287" t="s">
        <v>2460</v>
      </c>
      <c r="O287">
        <v>13820</v>
      </c>
      <c r="P287" t="s">
        <v>2460</v>
      </c>
      <c r="Q287">
        <v>14034</v>
      </c>
      <c r="R287" t="s">
        <v>2460</v>
      </c>
      <c r="S287" t="s">
        <v>988</v>
      </c>
    </row>
    <row r="288" spans="1:19" hidden="1" x14ac:dyDescent="0.3">
      <c r="A288">
        <v>759</v>
      </c>
      <c r="B288" t="s">
        <v>1467</v>
      </c>
      <c r="C288" t="s">
        <v>2877</v>
      </c>
      <c r="D288" t="s">
        <v>159</v>
      </c>
      <c r="E288" t="s">
        <v>159</v>
      </c>
      <c r="F288">
        <v>7834</v>
      </c>
      <c r="G288" t="s">
        <v>2679</v>
      </c>
      <c r="H288" t="s">
        <v>2460</v>
      </c>
      <c r="I288">
        <v>3044</v>
      </c>
      <c r="J288" t="s">
        <v>2460</v>
      </c>
      <c r="K288">
        <v>3044</v>
      </c>
      <c r="L288" t="s">
        <v>2460</v>
      </c>
      <c r="M288">
        <v>3044</v>
      </c>
      <c r="N288" t="s">
        <v>2460</v>
      </c>
      <c r="O288">
        <v>3044</v>
      </c>
      <c r="P288" t="s">
        <v>2460</v>
      </c>
      <c r="Q288">
        <v>3044</v>
      </c>
      <c r="R288" t="s">
        <v>2460</v>
      </c>
      <c r="S288" t="s">
        <v>988</v>
      </c>
    </row>
    <row r="289" spans="1:19" hidden="1" x14ac:dyDescent="0.3">
      <c r="A289">
        <v>775</v>
      </c>
      <c r="B289" t="s">
        <v>924</v>
      </c>
      <c r="C289" t="s">
        <v>2877</v>
      </c>
      <c r="D289" t="s">
        <v>1203</v>
      </c>
      <c r="E289" t="s">
        <v>1204</v>
      </c>
      <c r="F289">
        <v>5478</v>
      </c>
      <c r="G289" t="s">
        <v>2679</v>
      </c>
      <c r="H289" t="s">
        <v>3192</v>
      </c>
      <c r="I289">
        <v>6720.8643915000002</v>
      </c>
      <c r="J289" t="s">
        <v>2460</v>
      </c>
      <c r="K289">
        <v>6720.8643915000002</v>
      </c>
      <c r="L289" t="s">
        <v>2460</v>
      </c>
      <c r="M289">
        <v>10078.2276994</v>
      </c>
      <c r="N289" t="s">
        <v>2460</v>
      </c>
      <c r="O289">
        <v>14561.872848249999</v>
      </c>
      <c r="P289" t="s">
        <v>2460</v>
      </c>
      <c r="Q289">
        <v>14561.872848249999</v>
      </c>
      <c r="R289" t="s">
        <v>2460</v>
      </c>
      <c r="S289" t="s">
        <v>988</v>
      </c>
    </row>
    <row r="290" spans="1:19" hidden="1" x14ac:dyDescent="0.3">
      <c r="A290">
        <v>775</v>
      </c>
      <c r="B290" t="s">
        <v>924</v>
      </c>
      <c r="C290" t="s">
        <v>2877</v>
      </c>
      <c r="D290" t="s">
        <v>1203</v>
      </c>
      <c r="E290" t="s">
        <v>1204</v>
      </c>
      <c r="F290">
        <v>5478</v>
      </c>
      <c r="G290" t="s">
        <v>2691</v>
      </c>
      <c r="H290" t="s">
        <v>3193</v>
      </c>
      <c r="I290">
        <v>208346.79613649999</v>
      </c>
      <c r="J290" t="s">
        <v>2460</v>
      </c>
      <c r="K290">
        <v>212827.3723975</v>
      </c>
      <c r="L290" t="s">
        <v>2460</v>
      </c>
      <c r="M290">
        <v>217307.94865850001</v>
      </c>
      <c r="N290" t="s">
        <v>2460</v>
      </c>
      <c r="O290">
        <v>225148.95711525</v>
      </c>
      <c r="P290" t="s">
        <v>2460</v>
      </c>
      <c r="Q290">
        <v>234110.10963724999</v>
      </c>
      <c r="R290" t="s">
        <v>2460</v>
      </c>
      <c r="S290" t="s">
        <v>988</v>
      </c>
    </row>
    <row r="291" spans="1:19" hidden="1" x14ac:dyDescent="0.3">
      <c r="A291">
        <v>784</v>
      </c>
      <c r="B291" t="s">
        <v>1475</v>
      </c>
      <c r="C291" t="s">
        <v>2877</v>
      </c>
      <c r="D291" t="s">
        <v>159</v>
      </c>
      <c r="E291" t="s">
        <v>159</v>
      </c>
      <c r="F291">
        <v>5767</v>
      </c>
      <c r="G291" t="s">
        <v>2681</v>
      </c>
      <c r="H291" t="s">
        <v>3061</v>
      </c>
      <c r="I291">
        <v>5806</v>
      </c>
      <c r="J291" t="s">
        <v>2460</v>
      </c>
      <c r="K291">
        <v>5806</v>
      </c>
      <c r="L291" t="s">
        <v>2460</v>
      </c>
      <c r="M291">
        <v>5806</v>
      </c>
      <c r="N291" t="s">
        <v>2460</v>
      </c>
      <c r="O291">
        <v>5806</v>
      </c>
      <c r="P291" t="s">
        <v>2460</v>
      </c>
      <c r="Q291">
        <v>5806</v>
      </c>
      <c r="R291" t="s">
        <v>2460</v>
      </c>
      <c r="S291" t="s">
        <v>988</v>
      </c>
    </row>
    <row r="292" spans="1:19" hidden="1" x14ac:dyDescent="0.3">
      <c r="A292">
        <v>784</v>
      </c>
      <c r="B292" t="s">
        <v>1475</v>
      </c>
      <c r="C292" t="s">
        <v>2877</v>
      </c>
      <c r="D292" t="s">
        <v>159</v>
      </c>
      <c r="E292" t="s">
        <v>159</v>
      </c>
      <c r="F292">
        <v>5767</v>
      </c>
      <c r="G292" t="s">
        <v>2683</v>
      </c>
      <c r="H292" t="s">
        <v>793</v>
      </c>
      <c r="I292">
        <v>11000</v>
      </c>
      <c r="J292" t="s">
        <v>2460</v>
      </c>
      <c r="K292">
        <v>11000</v>
      </c>
      <c r="L292" t="s">
        <v>2460</v>
      </c>
      <c r="M292">
        <v>11000</v>
      </c>
      <c r="N292" t="s">
        <v>2460</v>
      </c>
      <c r="O292">
        <v>11000</v>
      </c>
      <c r="P292" t="s">
        <v>2460</v>
      </c>
      <c r="Q292">
        <v>11000</v>
      </c>
      <c r="R292" t="s">
        <v>2460</v>
      </c>
      <c r="S292" t="s">
        <v>988</v>
      </c>
    </row>
    <row r="293" spans="1:19" hidden="1" x14ac:dyDescent="0.3">
      <c r="A293">
        <v>785</v>
      </c>
      <c r="B293" t="s">
        <v>1476</v>
      </c>
      <c r="C293" t="s">
        <v>2877</v>
      </c>
      <c r="D293" t="s">
        <v>1203</v>
      </c>
      <c r="E293" t="s">
        <v>1204</v>
      </c>
      <c r="F293">
        <v>5655</v>
      </c>
      <c r="G293" t="s">
        <v>2683</v>
      </c>
      <c r="H293" t="s">
        <v>2965</v>
      </c>
      <c r="I293">
        <v>127.5</v>
      </c>
      <c r="J293" t="s">
        <v>2460</v>
      </c>
      <c r="K293">
        <v>135</v>
      </c>
      <c r="L293" t="s">
        <v>2460</v>
      </c>
      <c r="M293">
        <v>142.5</v>
      </c>
      <c r="N293" t="s">
        <v>2460</v>
      </c>
      <c r="O293">
        <v>150</v>
      </c>
      <c r="P293" t="s">
        <v>2460</v>
      </c>
      <c r="Q293">
        <v>157.5</v>
      </c>
      <c r="R293" t="s">
        <v>2460</v>
      </c>
      <c r="S293" t="s">
        <v>988</v>
      </c>
    </row>
    <row r="294" spans="1:19" hidden="1" x14ac:dyDescent="0.3">
      <c r="A294">
        <v>785</v>
      </c>
      <c r="B294" t="s">
        <v>1476</v>
      </c>
      <c r="C294" t="s">
        <v>2877</v>
      </c>
      <c r="D294" t="s">
        <v>1203</v>
      </c>
      <c r="E294" t="s">
        <v>1204</v>
      </c>
      <c r="F294">
        <v>5655</v>
      </c>
      <c r="G294" t="s">
        <v>2681</v>
      </c>
      <c r="H294" t="s">
        <v>2893</v>
      </c>
      <c r="I294">
        <v>722.5</v>
      </c>
      <c r="J294" t="s">
        <v>2460</v>
      </c>
      <c r="K294">
        <v>765</v>
      </c>
      <c r="L294" t="s">
        <v>2460</v>
      </c>
      <c r="M294">
        <v>807.5</v>
      </c>
      <c r="N294" t="s">
        <v>2460</v>
      </c>
      <c r="O294">
        <v>850</v>
      </c>
      <c r="P294" t="s">
        <v>2460</v>
      </c>
      <c r="Q294">
        <v>892.5</v>
      </c>
      <c r="R294" t="s">
        <v>2460</v>
      </c>
      <c r="S294" t="s">
        <v>988</v>
      </c>
    </row>
    <row r="295" spans="1:19" hidden="1" x14ac:dyDescent="0.3">
      <c r="A295">
        <v>787</v>
      </c>
      <c r="B295" t="s">
        <v>1478</v>
      </c>
      <c r="C295" t="s">
        <v>2877</v>
      </c>
      <c r="D295" t="s">
        <v>1203</v>
      </c>
      <c r="E295" t="s">
        <v>1204</v>
      </c>
      <c r="F295">
        <v>5718</v>
      </c>
      <c r="G295" t="s">
        <v>2681</v>
      </c>
      <c r="H295" t="s">
        <v>3194</v>
      </c>
      <c r="I295">
        <v>20.107353193200002</v>
      </c>
      <c r="J295" t="s">
        <v>2460</v>
      </c>
      <c r="K295">
        <v>20.107353193200002</v>
      </c>
      <c r="L295" t="s">
        <v>2460</v>
      </c>
      <c r="M295">
        <v>20.107353193200002</v>
      </c>
      <c r="N295" t="s">
        <v>2460</v>
      </c>
      <c r="O295">
        <v>20.107353193200002</v>
      </c>
      <c r="P295" t="s">
        <v>2460</v>
      </c>
      <c r="Q295">
        <v>20.107353193200002</v>
      </c>
      <c r="R295" t="s">
        <v>2460</v>
      </c>
      <c r="S295" t="s">
        <v>988</v>
      </c>
    </row>
    <row r="296" spans="1:19" hidden="1" x14ac:dyDescent="0.3">
      <c r="A296">
        <v>787</v>
      </c>
      <c r="B296" t="s">
        <v>1478</v>
      </c>
      <c r="C296" t="s">
        <v>2877</v>
      </c>
      <c r="D296" t="s">
        <v>1203</v>
      </c>
      <c r="E296" t="s">
        <v>1204</v>
      </c>
      <c r="F296">
        <v>5718</v>
      </c>
      <c r="G296" t="s">
        <v>2683</v>
      </c>
      <c r="H296" t="s">
        <v>2508</v>
      </c>
      <c r="I296">
        <v>3879.0742424</v>
      </c>
      <c r="J296" t="s">
        <v>2460</v>
      </c>
      <c r="K296">
        <v>3879.0742424</v>
      </c>
      <c r="L296" t="s">
        <v>2460</v>
      </c>
      <c r="M296">
        <v>3879.0742424</v>
      </c>
      <c r="N296" t="s">
        <v>2460</v>
      </c>
      <c r="O296">
        <v>3879.0742424</v>
      </c>
      <c r="P296" t="s">
        <v>2460</v>
      </c>
      <c r="Q296">
        <v>3879.0742424</v>
      </c>
      <c r="R296" t="s">
        <v>2460</v>
      </c>
      <c r="S296" t="s">
        <v>988</v>
      </c>
    </row>
    <row r="297" spans="1:19" hidden="1" x14ac:dyDescent="0.3">
      <c r="A297">
        <v>793</v>
      </c>
      <c r="B297" t="s">
        <v>1479</v>
      </c>
      <c r="C297" t="s">
        <v>2877</v>
      </c>
      <c r="D297" t="s">
        <v>1203</v>
      </c>
      <c r="E297" t="s">
        <v>1204</v>
      </c>
      <c r="F297">
        <v>5477</v>
      </c>
      <c r="G297" t="s">
        <v>2681</v>
      </c>
      <c r="H297" t="s">
        <v>3195</v>
      </c>
      <c r="I297">
        <v>8200</v>
      </c>
      <c r="J297" t="s">
        <v>2460</v>
      </c>
      <c r="K297">
        <v>8490</v>
      </c>
      <c r="L297" t="s">
        <v>2460</v>
      </c>
      <c r="M297">
        <v>8790</v>
      </c>
      <c r="N297" t="s">
        <v>2460</v>
      </c>
      <c r="O297">
        <v>9090</v>
      </c>
      <c r="P297" t="s">
        <v>2460</v>
      </c>
      <c r="Q297">
        <v>9390</v>
      </c>
      <c r="R297" t="s">
        <v>2460</v>
      </c>
      <c r="S297" t="s">
        <v>988</v>
      </c>
    </row>
    <row r="298" spans="1:19" hidden="1" x14ac:dyDescent="0.3">
      <c r="A298">
        <v>793</v>
      </c>
      <c r="B298" t="s">
        <v>1479</v>
      </c>
      <c r="C298" t="s">
        <v>2877</v>
      </c>
      <c r="D298" t="s">
        <v>1203</v>
      </c>
      <c r="E298" t="s">
        <v>1204</v>
      </c>
      <c r="F298">
        <v>5477</v>
      </c>
      <c r="G298" t="s">
        <v>2683</v>
      </c>
      <c r="H298" t="s">
        <v>3196</v>
      </c>
      <c r="I298">
        <v>2500</v>
      </c>
      <c r="J298" t="s">
        <v>2460</v>
      </c>
      <c r="K298">
        <v>2500</v>
      </c>
      <c r="L298" t="s">
        <v>2460</v>
      </c>
      <c r="M298">
        <v>2500</v>
      </c>
      <c r="N298" t="s">
        <v>2460</v>
      </c>
      <c r="O298">
        <v>2500</v>
      </c>
      <c r="P298" t="s">
        <v>2460</v>
      </c>
      <c r="Q298">
        <v>2500</v>
      </c>
      <c r="R298" t="s">
        <v>2460</v>
      </c>
      <c r="S298" t="s">
        <v>988</v>
      </c>
    </row>
    <row r="299" spans="1:19" hidden="1" x14ac:dyDescent="0.3">
      <c r="A299">
        <v>793</v>
      </c>
      <c r="B299" t="s">
        <v>1479</v>
      </c>
      <c r="C299" t="s">
        <v>2877</v>
      </c>
      <c r="D299" t="s">
        <v>1203</v>
      </c>
      <c r="E299" t="s">
        <v>1204</v>
      </c>
      <c r="F299">
        <v>5477</v>
      </c>
      <c r="G299" t="s">
        <v>2691</v>
      </c>
      <c r="H299" t="s">
        <v>3197</v>
      </c>
      <c r="I299">
        <v>1700</v>
      </c>
      <c r="J299" t="s">
        <v>2460</v>
      </c>
      <c r="K299">
        <v>1700</v>
      </c>
      <c r="L299" t="s">
        <v>2460</v>
      </c>
      <c r="M299">
        <v>1700</v>
      </c>
      <c r="N299" t="s">
        <v>2460</v>
      </c>
      <c r="O299">
        <v>1700</v>
      </c>
      <c r="P299" t="s">
        <v>2460</v>
      </c>
      <c r="Q299">
        <v>1700</v>
      </c>
      <c r="R299" t="s">
        <v>2460</v>
      </c>
      <c r="S299" t="s">
        <v>988</v>
      </c>
    </row>
    <row r="300" spans="1:19" hidden="1" x14ac:dyDescent="0.3">
      <c r="A300">
        <v>793</v>
      </c>
      <c r="B300" t="s">
        <v>1479</v>
      </c>
      <c r="C300" t="s">
        <v>2877</v>
      </c>
      <c r="D300" t="s">
        <v>1203</v>
      </c>
      <c r="E300" t="s">
        <v>1204</v>
      </c>
      <c r="F300">
        <v>5477</v>
      </c>
      <c r="G300" t="s">
        <v>2681</v>
      </c>
      <c r="H300" t="s">
        <v>3198</v>
      </c>
      <c r="I300">
        <v>10257</v>
      </c>
      <c r="J300" t="s">
        <v>2460</v>
      </c>
      <c r="K300">
        <v>10736</v>
      </c>
      <c r="L300" t="s">
        <v>2460</v>
      </c>
      <c r="M300">
        <v>11205</v>
      </c>
      <c r="N300" t="s">
        <v>2460</v>
      </c>
      <c r="O300">
        <v>11620</v>
      </c>
      <c r="P300" t="s">
        <v>2460</v>
      </c>
      <c r="Q300">
        <v>12035</v>
      </c>
      <c r="R300" t="s">
        <v>2460</v>
      </c>
      <c r="S300" t="s">
        <v>988</v>
      </c>
    </row>
    <row r="301" spans="1:19" hidden="1" x14ac:dyDescent="0.3">
      <c r="A301">
        <v>794</v>
      </c>
      <c r="B301" t="s">
        <v>1483</v>
      </c>
      <c r="C301" t="s">
        <v>2877</v>
      </c>
      <c r="D301" t="s">
        <v>159</v>
      </c>
      <c r="E301" t="s">
        <v>159</v>
      </c>
      <c r="F301">
        <v>6888</v>
      </c>
      <c r="G301" t="s">
        <v>2687</v>
      </c>
      <c r="H301" t="s">
        <v>3199</v>
      </c>
      <c r="I301">
        <v>13400</v>
      </c>
      <c r="J301" t="s">
        <v>2460</v>
      </c>
      <c r="K301">
        <v>13400</v>
      </c>
      <c r="L301" t="s">
        <v>2460</v>
      </c>
      <c r="M301">
        <v>13400</v>
      </c>
      <c r="N301" t="s">
        <v>2460</v>
      </c>
      <c r="O301">
        <v>13400</v>
      </c>
      <c r="P301" t="s">
        <v>2460</v>
      </c>
      <c r="Q301">
        <v>13400</v>
      </c>
      <c r="R301" t="s">
        <v>2460</v>
      </c>
      <c r="S301" t="s">
        <v>988</v>
      </c>
    </row>
    <row r="302" spans="1:19" hidden="1" x14ac:dyDescent="0.3">
      <c r="A302">
        <v>794</v>
      </c>
      <c r="B302" t="s">
        <v>1483</v>
      </c>
      <c r="C302" t="s">
        <v>2877</v>
      </c>
      <c r="D302" t="s">
        <v>159</v>
      </c>
      <c r="E302" t="s">
        <v>159</v>
      </c>
      <c r="F302">
        <v>6888</v>
      </c>
      <c r="G302" t="s">
        <v>2679</v>
      </c>
      <c r="H302" t="s">
        <v>3200</v>
      </c>
      <c r="I302">
        <v>43330</v>
      </c>
      <c r="J302" t="s">
        <v>2460</v>
      </c>
      <c r="K302">
        <v>49020</v>
      </c>
      <c r="L302" t="s">
        <v>2460</v>
      </c>
      <c r="M302">
        <v>54500</v>
      </c>
      <c r="N302" t="s">
        <v>2460</v>
      </c>
      <c r="O302">
        <v>59800</v>
      </c>
      <c r="P302" t="s">
        <v>2460</v>
      </c>
      <c r="Q302">
        <v>64100</v>
      </c>
      <c r="R302" t="s">
        <v>2460</v>
      </c>
      <c r="S302" t="s">
        <v>988</v>
      </c>
    </row>
    <row r="303" spans="1:19" hidden="1" x14ac:dyDescent="0.3">
      <c r="A303">
        <v>794</v>
      </c>
      <c r="B303" t="s">
        <v>1483</v>
      </c>
      <c r="C303" t="s">
        <v>2877</v>
      </c>
      <c r="D303" t="s">
        <v>159</v>
      </c>
      <c r="E303" t="s">
        <v>159</v>
      </c>
      <c r="F303">
        <v>6888</v>
      </c>
      <c r="G303" t="s">
        <v>687</v>
      </c>
      <c r="H303" t="s">
        <v>3201</v>
      </c>
      <c r="I303">
        <v>4000</v>
      </c>
      <c r="J303" t="s">
        <v>2460</v>
      </c>
      <c r="K303">
        <v>4000</v>
      </c>
      <c r="L303" t="s">
        <v>2460</v>
      </c>
      <c r="M303">
        <v>12000</v>
      </c>
      <c r="N303" t="s">
        <v>2460</v>
      </c>
      <c r="O303">
        <v>12000</v>
      </c>
      <c r="P303" t="s">
        <v>2460</v>
      </c>
      <c r="Q303">
        <v>12000</v>
      </c>
      <c r="R303" t="s">
        <v>2460</v>
      </c>
      <c r="S303" t="s">
        <v>988</v>
      </c>
    </row>
    <row r="304" spans="1:19" hidden="1" x14ac:dyDescent="0.3">
      <c r="A304">
        <v>794</v>
      </c>
      <c r="B304" t="s">
        <v>1483</v>
      </c>
      <c r="C304" t="s">
        <v>2877</v>
      </c>
      <c r="D304" t="s">
        <v>159</v>
      </c>
      <c r="E304" t="s">
        <v>159</v>
      </c>
      <c r="F304">
        <v>6888</v>
      </c>
      <c r="G304" t="s">
        <v>2683</v>
      </c>
      <c r="H304" t="s">
        <v>3202</v>
      </c>
      <c r="I304">
        <v>66447</v>
      </c>
      <c r="J304" t="s">
        <v>2460</v>
      </c>
      <c r="K304">
        <v>72147</v>
      </c>
      <c r="L304" t="s">
        <v>2460</v>
      </c>
      <c r="M304">
        <v>70247</v>
      </c>
      <c r="N304" t="s">
        <v>2460</v>
      </c>
      <c r="O304">
        <v>74747</v>
      </c>
      <c r="P304" t="s">
        <v>2460</v>
      </c>
      <c r="Q304">
        <v>78847</v>
      </c>
      <c r="R304" t="s">
        <v>2460</v>
      </c>
      <c r="S304" t="s">
        <v>988</v>
      </c>
    </row>
    <row r="305" spans="1:19" hidden="1" x14ac:dyDescent="0.3">
      <c r="A305">
        <v>794</v>
      </c>
      <c r="B305" t="s">
        <v>1483</v>
      </c>
      <c r="C305" t="s">
        <v>2877</v>
      </c>
      <c r="D305" t="s">
        <v>159</v>
      </c>
      <c r="E305" t="s">
        <v>159</v>
      </c>
      <c r="F305">
        <v>6888</v>
      </c>
      <c r="G305" t="s">
        <v>2681</v>
      </c>
      <c r="H305" t="s">
        <v>3203</v>
      </c>
      <c r="I305">
        <v>7303</v>
      </c>
      <c r="J305" t="s">
        <v>2460</v>
      </c>
      <c r="K305">
        <v>7303</v>
      </c>
      <c r="L305" t="s">
        <v>2460</v>
      </c>
      <c r="M305">
        <v>7303</v>
      </c>
      <c r="N305" t="s">
        <v>2460</v>
      </c>
      <c r="O305">
        <v>7303</v>
      </c>
      <c r="P305" t="s">
        <v>2460</v>
      </c>
      <c r="Q305">
        <v>7303</v>
      </c>
      <c r="R305" t="s">
        <v>2460</v>
      </c>
      <c r="S305" t="s">
        <v>988</v>
      </c>
    </row>
    <row r="306" spans="1:19" hidden="1" x14ac:dyDescent="0.3">
      <c r="A306">
        <v>794</v>
      </c>
      <c r="B306" t="s">
        <v>1483</v>
      </c>
      <c r="C306" t="s">
        <v>2877</v>
      </c>
      <c r="D306" t="s">
        <v>159</v>
      </c>
      <c r="E306" t="s">
        <v>159</v>
      </c>
      <c r="F306">
        <v>6888</v>
      </c>
      <c r="G306" t="s">
        <v>2681</v>
      </c>
      <c r="H306" t="s">
        <v>3204</v>
      </c>
      <c r="I306">
        <v>11450</v>
      </c>
      <c r="J306" t="s">
        <v>2460</v>
      </c>
      <c r="K306">
        <v>11450</v>
      </c>
      <c r="L306" t="s">
        <v>2460</v>
      </c>
      <c r="M306">
        <v>11450</v>
      </c>
      <c r="N306" t="s">
        <v>2460</v>
      </c>
      <c r="O306">
        <v>11450</v>
      </c>
      <c r="P306" t="s">
        <v>2460</v>
      </c>
      <c r="Q306">
        <v>11450</v>
      </c>
      <c r="R306" t="s">
        <v>2460</v>
      </c>
      <c r="S306" t="s">
        <v>988</v>
      </c>
    </row>
    <row r="307" spans="1:19" hidden="1" x14ac:dyDescent="0.3">
      <c r="A307">
        <v>814</v>
      </c>
      <c r="B307" t="s">
        <v>1485</v>
      </c>
      <c r="C307" t="s">
        <v>2877</v>
      </c>
      <c r="D307" t="s">
        <v>1203</v>
      </c>
      <c r="E307" t="s">
        <v>1204</v>
      </c>
      <c r="F307">
        <v>5446</v>
      </c>
      <c r="G307" t="s">
        <v>2683</v>
      </c>
      <c r="H307" t="s">
        <v>3205</v>
      </c>
      <c r="I307">
        <v>7905</v>
      </c>
      <c r="J307" t="s">
        <v>2460</v>
      </c>
      <c r="K307">
        <v>8143</v>
      </c>
      <c r="L307" t="s">
        <v>2460</v>
      </c>
      <c r="M307">
        <v>8334</v>
      </c>
      <c r="N307" t="s">
        <v>2460</v>
      </c>
      <c r="O307">
        <v>8755</v>
      </c>
      <c r="P307" t="s">
        <v>2460</v>
      </c>
      <c r="Q307">
        <v>9176</v>
      </c>
      <c r="R307" t="s">
        <v>2460</v>
      </c>
      <c r="S307" t="s">
        <v>988</v>
      </c>
    </row>
    <row r="308" spans="1:19" hidden="1" x14ac:dyDescent="0.3">
      <c r="A308">
        <v>816</v>
      </c>
      <c r="B308" t="s">
        <v>765</v>
      </c>
      <c r="C308" t="s">
        <v>2877</v>
      </c>
      <c r="D308" t="s">
        <v>1203</v>
      </c>
      <c r="E308" t="s">
        <v>1204</v>
      </c>
      <c r="F308">
        <v>5604</v>
      </c>
      <c r="G308" t="s">
        <v>2679</v>
      </c>
      <c r="H308" t="s">
        <v>3206</v>
      </c>
      <c r="I308">
        <v>3500</v>
      </c>
      <c r="J308" t="s">
        <v>2460</v>
      </c>
      <c r="K308">
        <v>3500</v>
      </c>
      <c r="L308" t="s">
        <v>2460</v>
      </c>
      <c r="M308">
        <v>3500</v>
      </c>
      <c r="N308" t="s">
        <v>2460</v>
      </c>
      <c r="O308">
        <v>3500</v>
      </c>
      <c r="P308" t="s">
        <v>2460</v>
      </c>
      <c r="Q308">
        <v>3500</v>
      </c>
      <c r="R308" t="s">
        <v>2460</v>
      </c>
      <c r="S308" t="s">
        <v>988</v>
      </c>
    </row>
    <row r="309" spans="1:19" hidden="1" x14ac:dyDescent="0.3">
      <c r="A309">
        <v>816</v>
      </c>
      <c r="B309" t="s">
        <v>765</v>
      </c>
      <c r="C309" t="s">
        <v>2877</v>
      </c>
      <c r="D309" t="s">
        <v>1203</v>
      </c>
      <c r="E309" t="s">
        <v>1204</v>
      </c>
      <c r="F309">
        <v>5604</v>
      </c>
      <c r="G309" t="s">
        <v>2691</v>
      </c>
      <c r="H309" t="s">
        <v>3207</v>
      </c>
      <c r="I309">
        <v>66500</v>
      </c>
      <c r="J309" t="s">
        <v>2460</v>
      </c>
      <c r="K309">
        <v>66500</v>
      </c>
      <c r="L309" t="s">
        <v>2460</v>
      </c>
      <c r="M309">
        <v>74000</v>
      </c>
      <c r="N309" t="s">
        <v>2460</v>
      </c>
      <c r="O309">
        <v>74000</v>
      </c>
      <c r="P309" t="s">
        <v>2460</v>
      </c>
      <c r="Q309">
        <v>74000</v>
      </c>
      <c r="R309" t="s">
        <v>2460</v>
      </c>
      <c r="S309" t="s">
        <v>988</v>
      </c>
    </row>
    <row r="310" spans="1:19" hidden="1" x14ac:dyDescent="0.3">
      <c r="A310">
        <v>816</v>
      </c>
      <c r="B310" t="s">
        <v>765</v>
      </c>
      <c r="C310" t="s">
        <v>2877</v>
      </c>
      <c r="D310" t="s">
        <v>1203</v>
      </c>
      <c r="E310" t="s">
        <v>1204</v>
      </c>
      <c r="F310">
        <v>5604</v>
      </c>
      <c r="G310" t="s">
        <v>2679</v>
      </c>
      <c r="H310" t="s">
        <v>3208</v>
      </c>
      <c r="I310">
        <v>800</v>
      </c>
      <c r="J310" t="s">
        <v>2460</v>
      </c>
      <c r="K310">
        <v>800</v>
      </c>
      <c r="L310" t="s">
        <v>2460</v>
      </c>
      <c r="M310">
        <v>800</v>
      </c>
      <c r="N310" t="s">
        <v>2460</v>
      </c>
      <c r="O310">
        <v>800</v>
      </c>
      <c r="P310" t="s">
        <v>2460</v>
      </c>
      <c r="Q310">
        <v>800</v>
      </c>
      <c r="R310" t="s">
        <v>2460</v>
      </c>
      <c r="S310" t="s">
        <v>988</v>
      </c>
    </row>
    <row r="311" spans="1:19" hidden="1" x14ac:dyDescent="0.3">
      <c r="A311">
        <v>827</v>
      </c>
      <c r="B311" t="s">
        <v>1488</v>
      </c>
      <c r="C311" t="s">
        <v>2877</v>
      </c>
      <c r="D311" t="s">
        <v>1203</v>
      </c>
      <c r="E311" t="s">
        <v>1204</v>
      </c>
      <c r="F311">
        <v>5921</v>
      </c>
      <c r="G311" t="s">
        <v>2683</v>
      </c>
      <c r="H311" t="s">
        <v>3066</v>
      </c>
      <c r="I311">
        <v>5458</v>
      </c>
      <c r="J311" t="s">
        <v>2460</v>
      </c>
      <c r="K311">
        <v>5411</v>
      </c>
      <c r="L311" t="s">
        <v>2460</v>
      </c>
      <c r="M311">
        <v>5381</v>
      </c>
      <c r="N311" t="s">
        <v>2460</v>
      </c>
      <c r="O311">
        <v>5349</v>
      </c>
      <c r="P311" t="s">
        <v>2460</v>
      </c>
      <c r="R311" t="s">
        <v>2460</v>
      </c>
      <c r="S311" t="s">
        <v>988</v>
      </c>
    </row>
    <row r="312" spans="1:19" hidden="1" x14ac:dyDescent="0.3">
      <c r="A312">
        <v>827</v>
      </c>
      <c r="B312" t="s">
        <v>1488</v>
      </c>
      <c r="C312" t="s">
        <v>2877</v>
      </c>
      <c r="D312" t="s">
        <v>1203</v>
      </c>
      <c r="E312" t="s">
        <v>1204</v>
      </c>
      <c r="F312">
        <v>5921</v>
      </c>
      <c r="G312" t="s">
        <v>2679</v>
      </c>
      <c r="H312" t="s">
        <v>3066</v>
      </c>
      <c r="I312">
        <v>8112</v>
      </c>
      <c r="J312" t="s">
        <v>2460</v>
      </c>
      <c r="K312">
        <v>7332</v>
      </c>
      <c r="L312" t="s">
        <v>2460</v>
      </c>
      <c r="M312">
        <v>6628</v>
      </c>
      <c r="N312" t="s">
        <v>2460</v>
      </c>
      <c r="O312">
        <v>5991</v>
      </c>
      <c r="P312" t="s">
        <v>2460</v>
      </c>
      <c r="R312" t="s">
        <v>2460</v>
      </c>
      <c r="S312" t="s">
        <v>988</v>
      </c>
    </row>
    <row r="313" spans="1:19" hidden="1" x14ac:dyDescent="0.3">
      <c r="A313">
        <v>830</v>
      </c>
      <c r="B313" t="s">
        <v>1491</v>
      </c>
      <c r="C313" t="s">
        <v>2877</v>
      </c>
      <c r="D313" t="s">
        <v>159</v>
      </c>
      <c r="E313" t="s">
        <v>159</v>
      </c>
      <c r="F313">
        <v>5566</v>
      </c>
      <c r="G313" t="s">
        <v>2679</v>
      </c>
      <c r="H313" t="s">
        <v>3209</v>
      </c>
      <c r="I313">
        <v>1485</v>
      </c>
      <c r="J313" t="s">
        <v>2460</v>
      </c>
      <c r="K313">
        <v>1485</v>
      </c>
      <c r="L313" t="s">
        <v>2460</v>
      </c>
      <c r="M313">
        <v>1485</v>
      </c>
      <c r="N313" t="s">
        <v>2460</v>
      </c>
      <c r="O313">
        <v>1485</v>
      </c>
      <c r="P313" t="s">
        <v>2460</v>
      </c>
      <c r="Q313">
        <v>1485</v>
      </c>
      <c r="R313" t="s">
        <v>2460</v>
      </c>
      <c r="S313" t="s">
        <v>988</v>
      </c>
    </row>
    <row r="314" spans="1:19" hidden="1" x14ac:dyDescent="0.3">
      <c r="A314">
        <v>830</v>
      </c>
      <c r="B314" t="s">
        <v>1491</v>
      </c>
      <c r="C314" t="s">
        <v>2877</v>
      </c>
      <c r="D314" t="s">
        <v>159</v>
      </c>
      <c r="E314" t="s">
        <v>159</v>
      </c>
      <c r="F314">
        <v>5566</v>
      </c>
      <c r="G314" t="s">
        <v>2683</v>
      </c>
      <c r="H314" t="s">
        <v>3210</v>
      </c>
      <c r="I314">
        <v>3600</v>
      </c>
      <c r="J314" t="s">
        <v>2460</v>
      </c>
      <c r="K314">
        <v>3600</v>
      </c>
      <c r="L314" t="s">
        <v>2460</v>
      </c>
      <c r="M314">
        <v>3600</v>
      </c>
      <c r="N314" t="s">
        <v>2460</v>
      </c>
      <c r="O314">
        <v>3600</v>
      </c>
      <c r="P314" t="s">
        <v>2460</v>
      </c>
      <c r="Q314">
        <v>3600</v>
      </c>
      <c r="R314" t="s">
        <v>2460</v>
      </c>
      <c r="S314" t="s">
        <v>988</v>
      </c>
    </row>
    <row r="315" spans="1:19" hidden="1" x14ac:dyDescent="0.3">
      <c r="A315">
        <v>830</v>
      </c>
      <c r="B315" t="s">
        <v>1491</v>
      </c>
      <c r="C315" t="s">
        <v>2877</v>
      </c>
      <c r="D315" t="s">
        <v>159</v>
      </c>
      <c r="E315" t="s">
        <v>159</v>
      </c>
      <c r="F315">
        <v>5566</v>
      </c>
      <c r="G315" t="s">
        <v>2683</v>
      </c>
      <c r="H315" t="s">
        <v>3211</v>
      </c>
      <c r="I315">
        <v>3652</v>
      </c>
      <c r="J315" t="s">
        <v>2460</v>
      </c>
      <c r="K315">
        <v>4051</v>
      </c>
      <c r="L315" t="s">
        <v>2460</v>
      </c>
      <c r="M315">
        <v>4066</v>
      </c>
      <c r="N315" t="s">
        <v>2460</v>
      </c>
      <c r="O315">
        <v>4087</v>
      </c>
      <c r="P315" t="s">
        <v>2460</v>
      </c>
      <c r="Q315">
        <v>4071</v>
      </c>
      <c r="R315" t="s">
        <v>2460</v>
      </c>
      <c r="S315" t="s">
        <v>988</v>
      </c>
    </row>
    <row r="316" spans="1:19" hidden="1" x14ac:dyDescent="0.3">
      <c r="A316">
        <v>835</v>
      </c>
      <c r="B316" t="s">
        <v>1493</v>
      </c>
      <c r="C316" t="s">
        <v>2877</v>
      </c>
      <c r="D316" t="s">
        <v>1203</v>
      </c>
      <c r="E316" t="s">
        <v>1204</v>
      </c>
      <c r="F316">
        <v>5610</v>
      </c>
      <c r="G316" t="s">
        <v>2681</v>
      </c>
      <c r="H316" t="s">
        <v>3212</v>
      </c>
      <c r="I316">
        <v>8000</v>
      </c>
      <c r="J316" t="s">
        <v>2460</v>
      </c>
      <c r="K316">
        <v>8000</v>
      </c>
      <c r="L316" t="s">
        <v>2460</v>
      </c>
      <c r="M316">
        <v>8000</v>
      </c>
      <c r="N316" t="s">
        <v>2460</v>
      </c>
      <c r="O316">
        <v>8000</v>
      </c>
      <c r="P316" t="s">
        <v>2460</v>
      </c>
      <c r="Q316">
        <v>8000</v>
      </c>
      <c r="R316" t="s">
        <v>2460</v>
      </c>
      <c r="S316" t="s">
        <v>988</v>
      </c>
    </row>
    <row r="317" spans="1:19" hidden="1" x14ac:dyDescent="0.3">
      <c r="A317">
        <v>835</v>
      </c>
      <c r="B317" t="s">
        <v>1493</v>
      </c>
      <c r="C317" t="s">
        <v>2877</v>
      </c>
      <c r="D317" t="s">
        <v>1203</v>
      </c>
      <c r="E317" t="s">
        <v>1204</v>
      </c>
      <c r="F317">
        <v>5610</v>
      </c>
      <c r="G317" t="s">
        <v>2683</v>
      </c>
      <c r="H317" t="s">
        <v>3213</v>
      </c>
      <c r="I317">
        <v>5000</v>
      </c>
      <c r="J317" t="s">
        <v>2460</v>
      </c>
      <c r="K317">
        <v>5000</v>
      </c>
      <c r="L317" t="s">
        <v>2460</v>
      </c>
      <c r="M317">
        <v>5000</v>
      </c>
      <c r="N317" t="s">
        <v>2460</v>
      </c>
      <c r="O317">
        <v>5000</v>
      </c>
      <c r="P317" t="s">
        <v>2460</v>
      </c>
      <c r="Q317">
        <v>5000</v>
      </c>
      <c r="R317" t="s">
        <v>2460</v>
      </c>
      <c r="S317" t="s">
        <v>988</v>
      </c>
    </row>
    <row r="318" spans="1:19" hidden="1" x14ac:dyDescent="0.3">
      <c r="A318">
        <v>842</v>
      </c>
      <c r="B318" t="s">
        <v>1495</v>
      </c>
      <c r="C318" t="s">
        <v>2877</v>
      </c>
      <c r="D318" t="s">
        <v>159</v>
      </c>
      <c r="E318" t="s">
        <v>159</v>
      </c>
      <c r="F318">
        <v>6760</v>
      </c>
      <c r="G318" t="s">
        <v>2683</v>
      </c>
      <c r="H318" t="s">
        <v>3214</v>
      </c>
      <c r="I318">
        <v>26286</v>
      </c>
      <c r="J318" t="s">
        <v>2460</v>
      </c>
      <c r="K318">
        <v>26286</v>
      </c>
      <c r="L318" t="s">
        <v>2460</v>
      </c>
      <c r="M318">
        <v>26286</v>
      </c>
      <c r="N318" t="s">
        <v>2460</v>
      </c>
      <c r="O318">
        <v>26286</v>
      </c>
      <c r="P318" t="s">
        <v>2460</v>
      </c>
      <c r="Q318">
        <v>26286</v>
      </c>
      <c r="R318" t="s">
        <v>2460</v>
      </c>
      <c r="S318" t="s">
        <v>988</v>
      </c>
    </row>
    <row r="319" spans="1:19" hidden="1" x14ac:dyDescent="0.3">
      <c r="A319">
        <v>842</v>
      </c>
      <c r="B319" t="s">
        <v>1495</v>
      </c>
      <c r="C319" t="s">
        <v>2877</v>
      </c>
      <c r="D319" t="s">
        <v>159</v>
      </c>
      <c r="E319" t="s">
        <v>159</v>
      </c>
      <c r="F319">
        <v>6760</v>
      </c>
      <c r="G319" t="s">
        <v>2683</v>
      </c>
      <c r="H319" t="s">
        <v>3215</v>
      </c>
      <c r="I319">
        <v>0</v>
      </c>
      <c r="J319" t="s">
        <v>2460</v>
      </c>
      <c r="K319">
        <v>3700</v>
      </c>
      <c r="L319" t="s">
        <v>2460</v>
      </c>
      <c r="M319">
        <v>3700</v>
      </c>
      <c r="N319" t="s">
        <v>2460</v>
      </c>
      <c r="O319">
        <v>3700</v>
      </c>
      <c r="P319" t="s">
        <v>2460</v>
      </c>
      <c r="Q319">
        <v>3700</v>
      </c>
      <c r="R319" t="s">
        <v>2460</v>
      </c>
      <c r="S319" t="s">
        <v>988</v>
      </c>
    </row>
    <row r="320" spans="1:19" hidden="1" x14ac:dyDescent="0.3">
      <c r="A320">
        <v>842</v>
      </c>
      <c r="B320" t="s">
        <v>1495</v>
      </c>
      <c r="C320" t="s">
        <v>2877</v>
      </c>
      <c r="D320" t="s">
        <v>159</v>
      </c>
      <c r="E320" t="s">
        <v>159</v>
      </c>
      <c r="F320">
        <v>6760</v>
      </c>
      <c r="G320" t="s">
        <v>2681</v>
      </c>
      <c r="H320" t="s">
        <v>3216</v>
      </c>
      <c r="I320">
        <v>5500</v>
      </c>
      <c r="J320" t="s">
        <v>2460</v>
      </c>
      <c r="K320">
        <v>5500</v>
      </c>
      <c r="L320" t="s">
        <v>2460</v>
      </c>
      <c r="M320">
        <v>5500</v>
      </c>
      <c r="N320" t="s">
        <v>2460</v>
      </c>
      <c r="O320">
        <v>5500</v>
      </c>
      <c r="P320" t="s">
        <v>2460</v>
      </c>
      <c r="Q320">
        <v>5500</v>
      </c>
      <c r="R320" t="s">
        <v>2460</v>
      </c>
      <c r="S320" t="s">
        <v>988</v>
      </c>
    </row>
    <row r="321" spans="1:19" hidden="1" x14ac:dyDescent="0.3">
      <c r="A321">
        <v>842</v>
      </c>
      <c r="B321" t="s">
        <v>1495</v>
      </c>
      <c r="C321" t="s">
        <v>2877</v>
      </c>
      <c r="D321" t="s">
        <v>159</v>
      </c>
      <c r="E321" t="s">
        <v>159</v>
      </c>
      <c r="F321">
        <v>6760</v>
      </c>
      <c r="G321" t="s">
        <v>2681</v>
      </c>
      <c r="H321" t="s">
        <v>3217</v>
      </c>
      <c r="I321">
        <v>1200</v>
      </c>
      <c r="J321" t="s">
        <v>2460</v>
      </c>
      <c r="K321">
        <v>1200</v>
      </c>
      <c r="L321" t="s">
        <v>2460</v>
      </c>
      <c r="M321">
        <v>1200</v>
      </c>
      <c r="N321" t="s">
        <v>2460</v>
      </c>
      <c r="O321">
        <v>1200</v>
      </c>
      <c r="P321" t="s">
        <v>2460</v>
      </c>
      <c r="Q321">
        <v>1200</v>
      </c>
      <c r="R321" t="s">
        <v>2460</v>
      </c>
      <c r="S321" t="s">
        <v>988</v>
      </c>
    </row>
    <row r="322" spans="1:19" hidden="1" x14ac:dyDescent="0.3">
      <c r="A322">
        <v>842</v>
      </c>
      <c r="B322" t="s">
        <v>1495</v>
      </c>
      <c r="C322" t="s">
        <v>2877</v>
      </c>
      <c r="D322" t="s">
        <v>159</v>
      </c>
      <c r="E322" t="s">
        <v>159</v>
      </c>
      <c r="F322">
        <v>6760</v>
      </c>
      <c r="G322" t="s">
        <v>2681</v>
      </c>
      <c r="H322" t="s">
        <v>3218</v>
      </c>
      <c r="I322">
        <v>1300</v>
      </c>
      <c r="J322" t="s">
        <v>2460</v>
      </c>
      <c r="K322">
        <v>1300</v>
      </c>
      <c r="L322" t="s">
        <v>2460</v>
      </c>
      <c r="M322">
        <v>1300</v>
      </c>
      <c r="N322" t="s">
        <v>2460</v>
      </c>
      <c r="O322">
        <v>1300</v>
      </c>
      <c r="P322" t="s">
        <v>2460</v>
      </c>
      <c r="Q322">
        <v>1300</v>
      </c>
      <c r="R322" t="s">
        <v>2460</v>
      </c>
      <c r="S322" t="s">
        <v>988</v>
      </c>
    </row>
    <row r="323" spans="1:19" hidden="1" x14ac:dyDescent="0.3">
      <c r="A323">
        <v>842</v>
      </c>
      <c r="B323" t="s">
        <v>1495</v>
      </c>
      <c r="C323" t="s">
        <v>2877</v>
      </c>
      <c r="D323" t="s">
        <v>159</v>
      </c>
      <c r="E323" t="s">
        <v>159</v>
      </c>
      <c r="F323">
        <v>6760</v>
      </c>
      <c r="G323" t="s">
        <v>2681</v>
      </c>
      <c r="H323" t="s">
        <v>3219</v>
      </c>
      <c r="I323">
        <v>875</v>
      </c>
      <c r="J323" t="s">
        <v>2460</v>
      </c>
      <c r="K323">
        <v>875</v>
      </c>
      <c r="L323" t="s">
        <v>2460</v>
      </c>
      <c r="M323">
        <v>875</v>
      </c>
      <c r="N323" t="s">
        <v>2460</v>
      </c>
      <c r="O323">
        <v>875</v>
      </c>
      <c r="P323" t="s">
        <v>2460</v>
      </c>
      <c r="Q323">
        <v>875</v>
      </c>
      <c r="R323" t="s">
        <v>2460</v>
      </c>
      <c r="S323" t="s">
        <v>988</v>
      </c>
    </row>
    <row r="324" spans="1:19" hidden="1" x14ac:dyDescent="0.3">
      <c r="A324">
        <v>842</v>
      </c>
      <c r="B324" t="s">
        <v>1495</v>
      </c>
      <c r="C324" t="s">
        <v>2877</v>
      </c>
      <c r="D324" t="s">
        <v>159</v>
      </c>
      <c r="E324" t="s">
        <v>159</v>
      </c>
      <c r="F324">
        <v>6760</v>
      </c>
      <c r="G324" t="s">
        <v>2681</v>
      </c>
      <c r="H324" t="s">
        <v>3220</v>
      </c>
      <c r="I324">
        <v>450</v>
      </c>
      <c r="J324" t="s">
        <v>2460</v>
      </c>
      <c r="K324">
        <v>450</v>
      </c>
      <c r="L324" t="s">
        <v>2460</v>
      </c>
      <c r="M324">
        <v>450</v>
      </c>
      <c r="N324" t="s">
        <v>2460</v>
      </c>
      <c r="O324">
        <v>450</v>
      </c>
      <c r="P324" t="s">
        <v>2460</v>
      </c>
      <c r="Q324">
        <v>450</v>
      </c>
      <c r="R324" t="s">
        <v>2460</v>
      </c>
      <c r="S324" t="s">
        <v>988</v>
      </c>
    </row>
    <row r="325" spans="1:19" hidden="1" x14ac:dyDescent="0.3">
      <c r="A325">
        <v>842</v>
      </c>
      <c r="B325" t="s">
        <v>1495</v>
      </c>
      <c r="C325" t="s">
        <v>2877</v>
      </c>
      <c r="D325" t="s">
        <v>159</v>
      </c>
      <c r="E325" t="s">
        <v>159</v>
      </c>
      <c r="F325">
        <v>6760</v>
      </c>
      <c r="G325" t="s">
        <v>2681</v>
      </c>
      <c r="H325" t="s">
        <v>3221</v>
      </c>
      <c r="I325">
        <v>0</v>
      </c>
      <c r="J325" t="s">
        <v>2460</v>
      </c>
      <c r="K325">
        <v>0</v>
      </c>
      <c r="L325" t="s">
        <v>2460</v>
      </c>
      <c r="M325">
        <v>750</v>
      </c>
      <c r="N325" t="s">
        <v>2460</v>
      </c>
      <c r="O325">
        <v>750</v>
      </c>
      <c r="P325" t="s">
        <v>2460</v>
      </c>
      <c r="Q325">
        <v>750</v>
      </c>
      <c r="R325" t="s">
        <v>2460</v>
      </c>
      <c r="S325" t="s">
        <v>988</v>
      </c>
    </row>
    <row r="326" spans="1:19" hidden="1" x14ac:dyDescent="0.3">
      <c r="A326">
        <v>842</v>
      </c>
      <c r="B326" t="s">
        <v>1495</v>
      </c>
      <c r="C326" t="s">
        <v>2877</v>
      </c>
      <c r="D326" t="s">
        <v>159</v>
      </c>
      <c r="E326" t="s">
        <v>159</v>
      </c>
      <c r="F326">
        <v>6760</v>
      </c>
      <c r="G326" t="s">
        <v>687</v>
      </c>
      <c r="H326" t="s">
        <v>3222</v>
      </c>
      <c r="I326">
        <v>0</v>
      </c>
      <c r="J326" t="s">
        <v>2460</v>
      </c>
      <c r="K326">
        <v>0</v>
      </c>
      <c r="L326" t="s">
        <v>2460</v>
      </c>
      <c r="M326">
        <v>0</v>
      </c>
      <c r="N326" t="s">
        <v>2460</v>
      </c>
      <c r="O326">
        <v>940</v>
      </c>
      <c r="P326" t="s">
        <v>2460</v>
      </c>
      <c r="Q326">
        <v>1970</v>
      </c>
      <c r="R326" t="s">
        <v>2460</v>
      </c>
      <c r="S326" t="s">
        <v>988</v>
      </c>
    </row>
    <row r="327" spans="1:19" hidden="1" x14ac:dyDescent="0.3">
      <c r="A327">
        <v>842</v>
      </c>
      <c r="B327" t="s">
        <v>1495</v>
      </c>
      <c r="C327" t="s">
        <v>2877</v>
      </c>
      <c r="D327" t="s">
        <v>159</v>
      </c>
      <c r="E327" t="s">
        <v>159</v>
      </c>
      <c r="F327">
        <v>6760</v>
      </c>
      <c r="G327" t="s">
        <v>2679</v>
      </c>
      <c r="H327" t="s">
        <v>3223</v>
      </c>
      <c r="I327">
        <v>7270</v>
      </c>
      <c r="J327" t="s">
        <v>3224</v>
      </c>
      <c r="K327">
        <v>8027</v>
      </c>
      <c r="L327" t="s">
        <v>3224</v>
      </c>
      <c r="M327">
        <v>8863</v>
      </c>
      <c r="N327" t="s">
        <v>3224</v>
      </c>
      <c r="O327">
        <v>8960</v>
      </c>
      <c r="P327" t="s">
        <v>3224</v>
      </c>
      <c r="Q327">
        <v>8960</v>
      </c>
      <c r="R327" t="s">
        <v>3224</v>
      </c>
      <c r="S327" t="s">
        <v>988</v>
      </c>
    </row>
    <row r="328" spans="1:19" hidden="1" x14ac:dyDescent="0.3">
      <c r="A328">
        <v>842</v>
      </c>
      <c r="B328" t="s">
        <v>1495</v>
      </c>
      <c r="C328" t="s">
        <v>2877</v>
      </c>
      <c r="D328" t="s">
        <v>159</v>
      </c>
      <c r="E328" t="s">
        <v>159</v>
      </c>
      <c r="F328">
        <v>6760</v>
      </c>
      <c r="G328" t="s">
        <v>2679</v>
      </c>
      <c r="H328" t="s">
        <v>3225</v>
      </c>
      <c r="I328">
        <v>1459</v>
      </c>
      <c r="J328" t="s">
        <v>2460</v>
      </c>
      <c r="K328">
        <v>1459</v>
      </c>
      <c r="L328" t="s">
        <v>2460</v>
      </c>
      <c r="M328">
        <v>1459</v>
      </c>
      <c r="N328" t="s">
        <v>2460</v>
      </c>
      <c r="O328">
        <v>1459</v>
      </c>
      <c r="P328" t="s">
        <v>2460</v>
      </c>
      <c r="Q328">
        <v>1459</v>
      </c>
      <c r="R328" t="s">
        <v>2460</v>
      </c>
      <c r="S328" t="s">
        <v>988</v>
      </c>
    </row>
    <row r="329" spans="1:19" hidden="1" x14ac:dyDescent="0.3">
      <c r="A329">
        <v>842</v>
      </c>
      <c r="B329" t="s">
        <v>1495</v>
      </c>
      <c r="C329" t="s">
        <v>2877</v>
      </c>
      <c r="D329" t="s">
        <v>159</v>
      </c>
      <c r="E329" t="s">
        <v>159</v>
      </c>
      <c r="F329">
        <v>6760</v>
      </c>
      <c r="G329" t="s">
        <v>2679</v>
      </c>
      <c r="H329" t="s">
        <v>3226</v>
      </c>
      <c r="I329">
        <v>378</v>
      </c>
      <c r="J329" t="s">
        <v>2460</v>
      </c>
      <c r="K329">
        <v>378</v>
      </c>
      <c r="L329" t="s">
        <v>2460</v>
      </c>
      <c r="M329">
        <v>378</v>
      </c>
      <c r="N329" t="s">
        <v>2460</v>
      </c>
      <c r="O329">
        <v>378</v>
      </c>
      <c r="P329" t="s">
        <v>2460</v>
      </c>
      <c r="Q329">
        <v>378</v>
      </c>
      <c r="R329" t="s">
        <v>2460</v>
      </c>
      <c r="S329" t="s">
        <v>988</v>
      </c>
    </row>
    <row r="330" spans="1:19" hidden="1" x14ac:dyDescent="0.3">
      <c r="A330">
        <v>842</v>
      </c>
      <c r="B330" t="s">
        <v>1495</v>
      </c>
      <c r="C330" t="s">
        <v>2877</v>
      </c>
      <c r="D330" t="s">
        <v>159</v>
      </c>
      <c r="E330" t="s">
        <v>159</v>
      </c>
      <c r="F330">
        <v>6760</v>
      </c>
      <c r="G330" t="s">
        <v>2691</v>
      </c>
      <c r="H330" t="s">
        <v>3227</v>
      </c>
      <c r="I330">
        <v>2500</v>
      </c>
      <c r="J330" t="s">
        <v>3228</v>
      </c>
      <c r="K330">
        <v>2500</v>
      </c>
      <c r="L330" t="s">
        <v>3228</v>
      </c>
      <c r="M330">
        <v>2500</v>
      </c>
      <c r="N330" t="s">
        <v>3228</v>
      </c>
      <c r="O330">
        <v>2500</v>
      </c>
      <c r="P330" t="s">
        <v>3228</v>
      </c>
      <c r="Q330">
        <v>2500</v>
      </c>
      <c r="R330" t="s">
        <v>3228</v>
      </c>
      <c r="S330" t="s">
        <v>988</v>
      </c>
    </row>
    <row r="331" spans="1:19" hidden="1" x14ac:dyDescent="0.3">
      <c r="A331">
        <v>851</v>
      </c>
      <c r="B331" t="s">
        <v>1501</v>
      </c>
      <c r="C331" t="s">
        <v>2877</v>
      </c>
      <c r="D331" t="s">
        <v>1203</v>
      </c>
      <c r="E331" t="s">
        <v>1204</v>
      </c>
      <c r="F331">
        <v>5582</v>
      </c>
      <c r="G331" t="s">
        <v>2679</v>
      </c>
      <c r="H331" t="s">
        <v>3229</v>
      </c>
      <c r="I331">
        <v>3400</v>
      </c>
      <c r="J331" t="s">
        <v>2460</v>
      </c>
      <c r="K331">
        <v>3400</v>
      </c>
      <c r="L331" t="s">
        <v>2460</v>
      </c>
      <c r="M331">
        <v>6800</v>
      </c>
      <c r="N331" t="s">
        <v>2460</v>
      </c>
      <c r="O331">
        <v>6800</v>
      </c>
      <c r="P331" t="s">
        <v>2460</v>
      </c>
      <c r="Q331">
        <v>6800</v>
      </c>
      <c r="R331" t="s">
        <v>2460</v>
      </c>
      <c r="S331" t="s">
        <v>988</v>
      </c>
    </row>
    <row r="332" spans="1:19" hidden="1" x14ac:dyDescent="0.3">
      <c r="A332">
        <v>851</v>
      </c>
      <c r="B332" t="s">
        <v>1501</v>
      </c>
      <c r="C332" t="s">
        <v>2877</v>
      </c>
      <c r="D332" t="s">
        <v>1203</v>
      </c>
      <c r="E332" t="s">
        <v>1204</v>
      </c>
      <c r="F332">
        <v>5582</v>
      </c>
      <c r="G332" t="s">
        <v>2691</v>
      </c>
      <c r="H332" t="s">
        <v>3230</v>
      </c>
      <c r="I332">
        <v>5000</v>
      </c>
      <c r="J332" t="s">
        <v>2460</v>
      </c>
      <c r="K332">
        <v>5000</v>
      </c>
      <c r="L332" t="s">
        <v>2460</v>
      </c>
      <c r="M332">
        <v>5000</v>
      </c>
      <c r="N332" t="s">
        <v>2460</v>
      </c>
      <c r="O332">
        <v>5000</v>
      </c>
      <c r="P332" t="s">
        <v>2460</v>
      </c>
      <c r="Q332">
        <v>5000</v>
      </c>
      <c r="R332" t="s">
        <v>2460</v>
      </c>
      <c r="S332" t="s">
        <v>988</v>
      </c>
    </row>
    <row r="333" spans="1:19" hidden="1" x14ac:dyDescent="0.3">
      <c r="A333">
        <v>851</v>
      </c>
      <c r="B333" t="s">
        <v>1501</v>
      </c>
      <c r="C333" t="s">
        <v>2877</v>
      </c>
      <c r="D333" t="s">
        <v>1203</v>
      </c>
      <c r="E333" t="s">
        <v>1204</v>
      </c>
      <c r="F333">
        <v>5582</v>
      </c>
      <c r="G333" t="s">
        <v>2683</v>
      </c>
      <c r="H333" t="s">
        <v>3231</v>
      </c>
      <c r="I333">
        <v>7900</v>
      </c>
      <c r="J333" t="s">
        <v>3232</v>
      </c>
      <c r="K333">
        <v>7900</v>
      </c>
      <c r="L333" t="s">
        <v>3232</v>
      </c>
      <c r="M333">
        <v>7900</v>
      </c>
      <c r="N333" t="s">
        <v>3232</v>
      </c>
      <c r="O333">
        <v>7900</v>
      </c>
      <c r="P333" t="s">
        <v>3232</v>
      </c>
      <c r="Q333">
        <v>7900</v>
      </c>
      <c r="R333" t="s">
        <v>3232</v>
      </c>
      <c r="S333" t="s">
        <v>988</v>
      </c>
    </row>
    <row r="334" spans="1:19" hidden="1" x14ac:dyDescent="0.3">
      <c r="A334">
        <v>851</v>
      </c>
      <c r="B334" t="s">
        <v>1501</v>
      </c>
      <c r="C334" t="s">
        <v>2877</v>
      </c>
      <c r="D334" t="s">
        <v>1203</v>
      </c>
      <c r="E334" t="s">
        <v>1204</v>
      </c>
      <c r="F334">
        <v>5582</v>
      </c>
      <c r="G334" t="s">
        <v>2683</v>
      </c>
      <c r="H334" t="s">
        <v>3233</v>
      </c>
      <c r="I334">
        <v>12939</v>
      </c>
      <c r="J334" t="s">
        <v>2460</v>
      </c>
      <c r="K334">
        <v>13186</v>
      </c>
      <c r="L334" t="s">
        <v>2460</v>
      </c>
      <c r="M334">
        <v>9437</v>
      </c>
      <c r="N334" t="s">
        <v>2460</v>
      </c>
      <c r="O334">
        <v>8702</v>
      </c>
      <c r="P334" t="s">
        <v>2460</v>
      </c>
      <c r="Q334">
        <v>9618</v>
      </c>
      <c r="R334" t="s">
        <v>2460</v>
      </c>
      <c r="S334" t="s">
        <v>988</v>
      </c>
    </row>
    <row r="335" spans="1:19" hidden="1" x14ac:dyDescent="0.3">
      <c r="A335">
        <v>851</v>
      </c>
      <c r="B335" t="s">
        <v>1501</v>
      </c>
      <c r="C335" t="s">
        <v>2877</v>
      </c>
      <c r="D335" t="s">
        <v>1203</v>
      </c>
      <c r="E335" t="s">
        <v>1204</v>
      </c>
      <c r="F335">
        <v>5582</v>
      </c>
      <c r="G335" t="s">
        <v>687</v>
      </c>
      <c r="H335" t="s">
        <v>3234</v>
      </c>
      <c r="I335">
        <v>0</v>
      </c>
      <c r="J335" t="s">
        <v>2460</v>
      </c>
      <c r="K335">
        <v>0</v>
      </c>
      <c r="L335" t="s">
        <v>2460</v>
      </c>
      <c r="M335">
        <v>4000</v>
      </c>
      <c r="N335" t="s">
        <v>2460</v>
      </c>
      <c r="O335">
        <v>5000</v>
      </c>
      <c r="P335" t="s">
        <v>2460</v>
      </c>
      <c r="Q335">
        <v>5000</v>
      </c>
      <c r="R335" t="s">
        <v>2460</v>
      </c>
      <c r="S335" t="s">
        <v>988</v>
      </c>
    </row>
    <row r="336" spans="1:19" hidden="1" x14ac:dyDescent="0.3">
      <c r="A336">
        <v>851</v>
      </c>
      <c r="B336" t="s">
        <v>1501</v>
      </c>
      <c r="C336" t="s">
        <v>2877</v>
      </c>
      <c r="D336" t="s">
        <v>1203</v>
      </c>
      <c r="E336" t="s">
        <v>1204</v>
      </c>
      <c r="F336">
        <v>5582</v>
      </c>
      <c r="G336" t="s">
        <v>2679</v>
      </c>
      <c r="H336" t="s">
        <v>3235</v>
      </c>
      <c r="I336">
        <v>3650</v>
      </c>
      <c r="J336" t="s">
        <v>2460</v>
      </c>
      <c r="K336">
        <v>4400</v>
      </c>
      <c r="L336" t="s">
        <v>2460</v>
      </c>
      <c r="M336">
        <v>4400</v>
      </c>
      <c r="N336" t="s">
        <v>2460</v>
      </c>
      <c r="O336">
        <v>4400</v>
      </c>
      <c r="P336" t="s">
        <v>2460</v>
      </c>
      <c r="Q336">
        <v>4400</v>
      </c>
      <c r="R336" t="s">
        <v>2460</v>
      </c>
      <c r="S336" t="s">
        <v>988</v>
      </c>
    </row>
    <row r="337" spans="1:19" hidden="1" x14ac:dyDescent="0.3">
      <c r="A337">
        <v>856</v>
      </c>
      <c r="B337" t="s">
        <v>1505</v>
      </c>
      <c r="C337" t="s">
        <v>2877</v>
      </c>
      <c r="D337" t="s">
        <v>1203</v>
      </c>
      <c r="E337" t="s">
        <v>1204</v>
      </c>
      <c r="F337">
        <v>5561</v>
      </c>
      <c r="G337" t="s">
        <v>2683</v>
      </c>
      <c r="H337" t="s">
        <v>2460</v>
      </c>
      <c r="I337">
        <v>6610.3844288999999</v>
      </c>
      <c r="J337" t="s">
        <v>2460</v>
      </c>
      <c r="K337">
        <v>6610.3844288999999</v>
      </c>
      <c r="L337" t="s">
        <v>2460</v>
      </c>
      <c r="M337">
        <v>6610.3844288999999</v>
      </c>
      <c r="N337" t="s">
        <v>2460</v>
      </c>
      <c r="O337">
        <v>6610.3844288999999</v>
      </c>
      <c r="P337" t="s">
        <v>2460</v>
      </c>
      <c r="Q337">
        <v>6610.3844288999999</v>
      </c>
      <c r="R337" t="s">
        <v>2460</v>
      </c>
      <c r="S337" t="s">
        <v>988</v>
      </c>
    </row>
    <row r="338" spans="1:19" hidden="1" x14ac:dyDescent="0.3">
      <c r="A338">
        <v>859</v>
      </c>
      <c r="B338" t="s">
        <v>1507</v>
      </c>
      <c r="C338" t="s">
        <v>2877</v>
      </c>
      <c r="D338" t="s">
        <v>1203</v>
      </c>
      <c r="E338" t="s">
        <v>1204</v>
      </c>
      <c r="F338">
        <v>5694</v>
      </c>
      <c r="G338" t="s">
        <v>2683</v>
      </c>
      <c r="H338" t="s">
        <v>3236</v>
      </c>
      <c r="I338">
        <v>7841.0084567499998</v>
      </c>
      <c r="J338" t="s">
        <v>2460</v>
      </c>
      <c r="K338">
        <v>7841.0084567499998</v>
      </c>
      <c r="L338" t="s">
        <v>2460</v>
      </c>
      <c r="M338">
        <v>7841.0084567499998</v>
      </c>
      <c r="N338" t="s">
        <v>2460</v>
      </c>
      <c r="O338">
        <v>7841.0084567499998</v>
      </c>
      <c r="P338" t="s">
        <v>2460</v>
      </c>
      <c r="Q338">
        <v>7841.0084567499998</v>
      </c>
      <c r="R338" t="s">
        <v>2460</v>
      </c>
      <c r="S338" t="s">
        <v>988</v>
      </c>
    </row>
    <row r="339" spans="1:19" hidden="1" x14ac:dyDescent="0.3">
      <c r="A339">
        <v>866</v>
      </c>
      <c r="B339" t="s">
        <v>1510</v>
      </c>
      <c r="C339" t="s">
        <v>2877</v>
      </c>
      <c r="D339" t="s">
        <v>1203</v>
      </c>
      <c r="E339" t="s">
        <v>1204</v>
      </c>
      <c r="F339">
        <v>5963</v>
      </c>
      <c r="G339" t="s">
        <v>2683</v>
      </c>
      <c r="H339" t="s">
        <v>3237</v>
      </c>
      <c r="I339">
        <v>15000</v>
      </c>
      <c r="J339" t="s">
        <v>3238</v>
      </c>
      <c r="K339">
        <v>15000</v>
      </c>
      <c r="L339" t="s">
        <v>3238</v>
      </c>
      <c r="M339">
        <v>15000</v>
      </c>
      <c r="N339" t="s">
        <v>3238</v>
      </c>
      <c r="O339">
        <v>15000</v>
      </c>
      <c r="P339" t="s">
        <v>3238</v>
      </c>
      <c r="R339" t="s">
        <v>2460</v>
      </c>
      <c r="S339" t="s">
        <v>988</v>
      </c>
    </row>
    <row r="340" spans="1:19" hidden="1" x14ac:dyDescent="0.3">
      <c r="A340">
        <v>866</v>
      </c>
      <c r="B340" t="s">
        <v>1510</v>
      </c>
      <c r="C340" t="s">
        <v>2877</v>
      </c>
      <c r="D340" t="s">
        <v>1203</v>
      </c>
      <c r="E340" t="s">
        <v>1204</v>
      </c>
      <c r="F340">
        <v>5963</v>
      </c>
      <c r="G340" t="s">
        <v>2681</v>
      </c>
      <c r="H340" t="s">
        <v>3239</v>
      </c>
      <c r="I340">
        <v>10968</v>
      </c>
      <c r="J340" t="s">
        <v>3240</v>
      </c>
      <c r="K340">
        <v>10968</v>
      </c>
      <c r="L340" t="s">
        <v>3240</v>
      </c>
      <c r="M340">
        <v>10968</v>
      </c>
      <c r="N340" t="s">
        <v>3240</v>
      </c>
      <c r="O340">
        <v>10968</v>
      </c>
      <c r="P340" t="s">
        <v>3240</v>
      </c>
      <c r="R340" t="s">
        <v>2460</v>
      </c>
      <c r="S340" t="s">
        <v>988</v>
      </c>
    </row>
    <row r="341" spans="1:19" hidden="1" x14ac:dyDescent="0.3">
      <c r="A341">
        <v>867</v>
      </c>
      <c r="B341" t="s">
        <v>1513</v>
      </c>
      <c r="C341" t="s">
        <v>2877</v>
      </c>
      <c r="D341" t="s">
        <v>1203</v>
      </c>
      <c r="E341" t="s">
        <v>1204</v>
      </c>
      <c r="F341">
        <v>5770</v>
      </c>
      <c r="G341" t="s">
        <v>2691</v>
      </c>
      <c r="H341" t="s">
        <v>3241</v>
      </c>
      <c r="I341">
        <v>27039.970846349999</v>
      </c>
      <c r="J341" t="s">
        <v>3242</v>
      </c>
      <c r="K341">
        <v>27039.970846349999</v>
      </c>
      <c r="L341" t="s">
        <v>3242</v>
      </c>
      <c r="M341">
        <v>27039.970846349999</v>
      </c>
      <c r="N341" t="s">
        <v>3242</v>
      </c>
      <c r="O341">
        <v>27039.970846349999</v>
      </c>
      <c r="P341" t="s">
        <v>3242</v>
      </c>
      <c r="Q341">
        <v>27039.970846349999</v>
      </c>
      <c r="R341" t="s">
        <v>3242</v>
      </c>
      <c r="S341" t="s">
        <v>988</v>
      </c>
    </row>
    <row r="342" spans="1:19" hidden="1" x14ac:dyDescent="0.3">
      <c r="A342">
        <v>867</v>
      </c>
      <c r="B342" t="s">
        <v>1513</v>
      </c>
      <c r="C342" t="s">
        <v>2877</v>
      </c>
      <c r="D342" t="s">
        <v>1203</v>
      </c>
      <c r="E342" t="s">
        <v>1204</v>
      </c>
      <c r="F342">
        <v>5770</v>
      </c>
      <c r="G342" t="s">
        <v>2691</v>
      </c>
      <c r="H342" t="s">
        <v>3243</v>
      </c>
      <c r="I342">
        <v>12183.484764500001</v>
      </c>
      <c r="J342" t="s">
        <v>3244</v>
      </c>
      <c r="K342">
        <v>12183.484764500001</v>
      </c>
      <c r="L342" t="s">
        <v>3244</v>
      </c>
      <c r="M342">
        <v>12183.484764500001</v>
      </c>
      <c r="N342" t="s">
        <v>3244</v>
      </c>
      <c r="O342">
        <v>12183.484764500001</v>
      </c>
      <c r="P342" t="s">
        <v>3244</v>
      </c>
      <c r="Q342">
        <v>12183.484764500001</v>
      </c>
      <c r="R342" t="s">
        <v>3244</v>
      </c>
      <c r="S342" t="s">
        <v>988</v>
      </c>
    </row>
    <row r="343" spans="1:19" hidden="1" x14ac:dyDescent="0.3">
      <c r="A343">
        <v>867</v>
      </c>
      <c r="B343" t="s">
        <v>1513</v>
      </c>
      <c r="C343" t="s">
        <v>2877</v>
      </c>
      <c r="D343" t="s">
        <v>1203</v>
      </c>
      <c r="E343" t="s">
        <v>1204</v>
      </c>
      <c r="F343">
        <v>5770</v>
      </c>
      <c r="G343" t="s">
        <v>2691</v>
      </c>
      <c r="H343" t="s">
        <v>3245</v>
      </c>
      <c r="I343">
        <v>8614.3681949500005</v>
      </c>
      <c r="J343" t="s">
        <v>3246</v>
      </c>
      <c r="K343">
        <v>8614.3681949500005</v>
      </c>
      <c r="L343" t="s">
        <v>3246</v>
      </c>
      <c r="M343">
        <v>8614.3681949500005</v>
      </c>
      <c r="N343" t="s">
        <v>3246</v>
      </c>
      <c r="O343">
        <v>8614.3681949500005</v>
      </c>
      <c r="P343" t="s">
        <v>3246</v>
      </c>
      <c r="Q343">
        <v>8614.3681949500005</v>
      </c>
      <c r="R343" t="s">
        <v>3246</v>
      </c>
      <c r="S343" t="s">
        <v>988</v>
      </c>
    </row>
    <row r="344" spans="1:19" hidden="1" x14ac:dyDescent="0.3">
      <c r="A344">
        <v>873</v>
      </c>
      <c r="B344" t="s">
        <v>1516</v>
      </c>
      <c r="C344" t="s">
        <v>2877</v>
      </c>
      <c r="D344" t="s">
        <v>159</v>
      </c>
      <c r="E344" t="s">
        <v>159</v>
      </c>
      <c r="F344">
        <v>6762</v>
      </c>
      <c r="G344" t="s">
        <v>2691</v>
      </c>
      <c r="H344" t="s">
        <v>3247</v>
      </c>
      <c r="I344">
        <v>300</v>
      </c>
      <c r="J344" t="s">
        <v>2460</v>
      </c>
      <c r="K344">
        <v>300</v>
      </c>
      <c r="L344" t="s">
        <v>2460</v>
      </c>
      <c r="M344">
        <v>300</v>
      </c>
      <c r="N344" t="s">
        <v>2460</v>
      </c>
      <c r="O344">
        <v>300</v>
      </c>
      <c r="P344" t="s">
        <v>2460</v>
      </c>
      <c r="Q344">
        <v>300</v>
      </c>
      <c r="R344" t="s">
        <v>2460</v>
      </c>
      <c r="S344" t="s">
        <v>988</v>
      </c>
    </row>
    <row r="345" spans="1:19" hidden="1" x14ac:dyDescent="0.3">
      <c r="A345">
        <v>873</v>
      </c>
      <c r="B345" t="s">
        <v>1516</v>
      </c>
      <c r="C345" t="s">
        <v>2877</v>
      </c>
      <c r="D345" t="s">
        <v>159</v>
      </c>
      <c r="E345" t="s">
        <v>159</v>
      </c>
      <c r="F345">
        <v>6762</v>
      </c>
      <c r="G345" t="s">
        <v>2679</v>
      </c>
      <c r="H345" t="s">
        <v>2460</v>
      </c>
      <c r="I345">
        <v>830</v>
      </c>
      <c r="J345" t="s">
        <v>2460</v>
      </c>
      <c r="K345">
        <v>830</v>
      </c>
      <c r="L345" t="s">
        <v>2460</v>
      </c>
      <c r="M345">
        <v>830</v>
      </c>
      <c r="N345" t="s">
        <v>2460</v>
      </c>
      <c r="O345">
        <v>830</v>
      </c>
      <c r="P345" t="s">
        <v>2460</v>
      </c>
      <c r="Q345">
        <v>830</v>
      </c>
      <c r="R345" t="s">
        <v>2460</v>
      </c>
      <c r="S345" t="s">
        <v>988</v>
      </c>
    </row>
    <row r="346" spans="1:19" hidden="1" x14ac:dyDescent="0.3">
      <c r="A346">
        <v>873</v>
      </c>
      <c r="B346" t="s">
        <v>1516</v>
      </c>
      <c r="C346" t="s">
        <v>2877</v>
      </c>
      <c r="D346" t="s">
        <v>159</v>
      </c>
      <c r="E346" t="s">
        <v>159</v>
      </c>
      <c r="F346">
        <v>6762</v>
      </c>
      <c r="G346" t="s">
        <v>2683</v>
      </c>
      <c r="H346" t="s">
        <v>3248</v>
      </c>
      <c r="I346">
        <v>4045</v>
      </c>
      <c r="J346" t="s">
        <v>2460</v>
      </c>
      <c r="K346">
        <v>4369</v>
      </c>
      <c r="L346" t="s">
        <v>2460</v>
      </c>
      <c r="M346">
        <v>4951</v>
      </c>
      <c r="N346" t="s">
        <v>2460</v>
      </c>
      <c r="O346">
        <v>5160</v>
      </c>
      <c r="P346" t="s">
        <v>2460</v>
      </c>
      <c r="Q346">
        <v>5260</v>
      </c>
      <c r="R346" t="s">
        <v>2460</v>
      </c>
      <c r="S346" t="s">
        <v>988</v>
      </c>
    </row>
    <row r="347" spans="1:19" hidden="1" x14ac:dyDescent="0.3">
      <c r="A347">
        <v>873</v>
      </c>
      <c r="B347" t="s">
        <v>1516</v>
      </c>
      <c r="C347" t="s">
        <v>2877</v>
      </c>
      <c r="D347" t="s">
        <v>159</v>
      </c>
      <c r="E347" t="s">
        <v>159</v>
      </c>
      <c r="F347">
        <v>6762</v>
      </c>
      <c r="G347" t="s">
        <v>2681</v>
      </c>
      <c r="H347" t="s">
        <v>3249</v>
      </c>
      <c r="I347">
        <v>4200</v>
      </c>
      <c r="J347" t="s">
        <v>2460</v>
      </c>
      <c r="K347">
        <v>4200</v>
      </c>
      <c r="L347" t="s">
        <v>2460</v>
      </c>
      <c r="M347">
        <v>4200</v>
      </c>
      <c r="N347" t="s">
        <v>2460</v>
      </c>
      <c r="O347">
        <v>4200</v>
      </c>
      <c r="P347" t="s">
        <v>2460</v>
      </c>
      <c r="Q347">
        <v>4200</v>
      </c>
      <c r="R347" t="s">
        <v>2460</v>
      </c>
      <c r="S347" t="s">
        <v>988</v>
      </c>
    </row>
    <row r="348" spans="1:19" hidden="1" x14ac:dyDescent="0.3">
      <c r="A348">
        <v>873</v>
      </c>
      <c r="B348" t="s">
        <v>1516</v>
      </c>
      <c r="C348" t="s">
        <v>2877</v>
      </c>
      <c r="D348" t="s">
        <v>159</v>
      </c>
      <c r="E348" t="s">
        <v>159</v>
      </c>
      <c r="F348">
        <v>6762</v>
      </c>
      <c r="G348" t="s">
        <v>2681</v>
      </c>
      <c r="H348" t="s">
        <v>3250</v>
      </c>
      <c r="I348">
        <v>100</v>
      </c>
      <c r="J348" t="s">
        <v>2460</v>
      </c>
      <c r="K348">
        <v>100</v>
      </c>
      <c r="L348" t="s">
        <v>2460</v>
      </c>
      <c r="M348">
        <v>100</v>
      </c>
      <c r="N348" t="s">
        <v>2460</v>
      </c>
      <c r="O348">
        <v>100</v>
      </c>
      <c r="P348" t="s">
        <v>2460</v>
      </c>
      <c r="Q348">
        <v>100</v>
      </c>
      <c r="R348" t="s">
        <v>2460</v>
      </c>
      <c r="S348" t="s">
        <v>988</v>
      </c>
    </row>
    <row r="349" spans="1:19" hidden="1" x14ac:dyDescent="0.3">
      <c r="A349">
        <v>904</v>
      </c>
      <c r="B349" t="s">
        <v>862</v>
      </c>
      <c r="C349" t="s">
        <v>2877</v>
      </c>
      <c r="D349" t="s">
        <v>1203</v>
      </c>
      <c r="E349" t="s">
        <v>1204</v>
      </c>
      <c r="F349">
        <v>5650</v>
      </c>
      <c r="G349" t="s">
        <v>2691</v>
      </c>
      <c r="H349" t="s">
        <v>3251</v>
      </c>
      <c r="I349">
        <v>22000</v>
      </c>
      <c r="J349" t="s">
        <v>2460</v>
      </c>
      <c r="K349">
        <v>22000</v>
      </c>
      <c r="L349" t="s">
        <v>2460</v>
      </c>
      <c r="M349">
        <v>22000</v>
      </c>
      <c r="N349" t="s">
        <v>2460</v>
      </c>
      <c r="O349">
        <v>22000</v>
      </c>
      <c r="P349" t="s">
        <v>2460</v>
      </c>
      <c r="Q349">
        <v>22000</v>
      </c>
      <c r="R349" t="s">
        <v>2460</v>
      </c>
      <c r="S349" t="s">
        <v>988</v>
      </c>
    </row>
    <row r="350" spans="1:19" hidden="1" x14ac:dyDescent="0.3">
      <c r="A350">
        <v>904</v>
      </c>
      <c r="B350" t="s">
        <v>862</v>
      </c>
      <c r="C350" t="s">
        <v>2877</v>
      </c>
      <c r="D350" t="s">
        <v>1203</v>
      </c>
      <c r="E350" t="s">
        <v>1204</v>
      </c>
      <c r="F350">
        <v>5650</v>
      </c>
      <c r="G350" t="s">
        <v>2691</v>
      </c>
      <c r="H350" t="s">
        <v>3252</v>
      </c>
      <c r="I350">
        <v>5000</v>
      </c>
      <c r="J350" t="s">
        <v>2460</v>
      </c>
      <c r="K350">
        <v>5000</v>
      </c>
      <c r="L350" t="s">
        <v>2460</v>
      </c>
      <c r="M350">
        <v>5000</v>
      </c>
      <c r="N350" t="s">
        <v>2460</v>
      </c>
      <c r="O350">
        <v>5000</v>
      </c>
      <c r="P350" t="s">
        <v>2460</v>
      </c>
      <c r="Q350">
        <v>5000</v>
      </c>
      <c r="R350" t="s">
        <v>2460</v>
      </c>
      <c r="S350" t="s">
        <v>988</v>
      </c>
    </row>
    <row r="351" spans="1:19" hidden="1" x14ac:dyDescent="0.3">
      <c r="A351">
        <v>904</v>
      </c>
      <c r="B351" t="s">
        <v>862</v>
      </c>
      <c r="C351" t="s">
        <v>2877</v>
      </c>
      <c r="D351" t="s">
        <v>1203</v>
      </c>
      <c r="E351" t="s">
        <v>1204</v>
      </c>
      <c r="F351">
        <v>5650</v>
      </c>
      <c r="G351" t="s">
        <v>2691</v>
      </c>
      <c r="H351" t="s">
        <v>3253</v>
      </c>
      <c r="I351">
        <v>7000</v>
      </c>
      <c r="J351" t="s">
        <v>2460</v>
      </c>
      <c r="K351">
        <v>7000</v>
      </c>
      <c r="L351" t="s">
        <v>2460</v>
      </c>
      <c r="M351">
        <v>7000</v>
      </c>
      <c r="N351" t="s">
        <v>2460</v>
      </c>
      <c r="O351">
        <v>7000</v>
      </c>
      <c r="P351" t="s">
        <v>2460</v>
      </c>
      <c r="Q351">
        <v>7000</v>
      </c>
      <c r="R351" t="s">
        <v>2460</v>
      </c>
      <c r="S351" t="s">
        <v>988</v>
      </c>
    </row>
    <row r="352" spans="1:19" hidden="1" x14ac:dyDescent="0.3">
      <c r="A352">
        <v>904</v>
      </c>
      <c r="B352" t="s">
        <v>862</v>
      </c>
      <c r="C352" t="s">
        <v>2877</v>
      </c>
      <c r="D352" t="s">
        <v>1203</v>
      </c>
      <c r="E352" t="s">
        <v>1204</v>
      </c>
      <c r="F352">
        <v>5650</v>
      </c>
      <c r="G352" t="s">
        <v>2681</v>
      </c>
      <c r="H352" t="s">
        <v>3254</v>
      </c>
      <c r="I352">
        <v>3250</v>
      </c>
      <c r="J352" t="s">
        <v>2460</v>
      </c>
      <c r="K352">
        <v>3250</v>
      </c>
      <c r="L352" t="s">
        <v>2460</v>
      </c>
      <c r="M352">
        <v>3250</v>
      </c>
      <c r="N352" t="s">
        <v>2460</v>
      </c>
      <c r="O352">
        <v>3250</v>
      </c>
      <c r="P352" t="s">
        <v>2460</v>
      </c>
      <c r="Q352">
        <v>3250</v>
      </c>
      <c r="R352" t="s">
        <v>2460</v>
      </c>
      <c r="S352" t="s">
        <v>988</v>
      </c>
    </row>
    <row r="353" spans="1:19" hidden="1" x14ac:dyDescent="0.3">
      <c r="A353">
        <v>904</v>
      </c>
      <c r="B353" t="s">
        <v>862</v>
      </c>
      <c r="C353" t="s">
        <v>2877</v>
      </c>
      <c r="D353" t="s">
        <v>1203</v>
      </c>
      <c r="E353" t="s">
        <v>1204</v>
      </c>
      <c r="F353">
        <v>5650</v>
      </c>
      <c r="G353" t="s">
        <v>2691</v>
      </c>
      <c r="H353" t="s">
        <v>3255</v>
      </c>
      <c r="I353">
        <v>1100</v>
      </c>
      <c r="J353" t="s">
        <v>2460</v>
      </c>
      <c r="K353">
        <v>1100</v>
      </c>
      <c r="L353" t="s">
        <v>2460</v>
      </c>
      <c r="M353">
        <v>1100</v>
      </c>
      <c r="N353" t="s">
        <v>2460</v>
      </c>
      <c r="O353">
        <v>1100</v>
      </c>
      <c r="P353" t="s">
        <v>2460</v>
      </c>
      <c r="Q353">
        <v>1100</v>
      </c>
      <c r="R353" t="s">
        <v>2460</v>
      </c>
      <c r="S353" t="s">
        <v>988</v>
      </c>
    </row>
    <row r="354" spans="1:19" hidden="1" x14ac:dyDescent="0.3">
      <c r="A354">
        <v>920</v>
      </c>
      <c r="B354" t="s">
        <v>1519</v>
      </c>
      <c r="C354" t="s">
        <v>2877</v>
      </c>
      <c r="D354" t="s">
        <v>1203</v>
      </c>
      <c r="E354" t="s">
        <v>1204</v>
      </c>
      <c r="F354">
        <v>5702</v>
      </c>
      <c r="G354" t="s">
        <v>2681</v>
      </c>
      <c r="H354" t="s">
        <v>2460</v>
      </c>
      <c r="I354">
        <v>1417.8261867000001</v>
      </c>
      <c r="J354" t="s">
        <v>2460</v>
      </c>
      <c r="K354">
        <v>1537.51281285</v>
      </c>
      <c r="L354" t="s">
        <v>2460</v>
      </c>
      <c r="M354">
        <v>1660.26832685</v>
      </c>
      <c r="N354" t="s">
        <v>2460</v>
      </c>
      <c r="O354">
        <v>1795.29939225</v>
      </c>
      <c r="P354" t="s">
        <v>2460</v>
      </c>
      <c r="Q354">
        <v>1945.6748969</v>
      </c>
      <c r="R354" t="s">
        <v>2460</v>
      </c>
      <c r="S354" t="s">
        <v>988</v>
      </c>
    </row>
    <row r="355" spans="1:19" hidden="1" x14ac:dyDescent="0.3">
      <c r="A355">
        <v>924</v>
      </c>
      <c r="B355" t="s">
        <v>1523</v>
      </c>
      <c r="C355" t="s">
        <v>2877</v>
      </c>
      <c r="D355" t="s">
        <v>159</v>
      </c>
      <c r="E355" t="s">
        <v>159</v>
      </c>
      <c r="F355">
        <v>7854</v>
      </c>
      <c r="G355" t="s">
        <v>2681</v>
      </c>
      <c r="H355" t="s">
        <v>2893</v>
      </c>
      <c r="I355">
        <v>7301</v>
      </c>
      <c r="J355" t="s">
        <v>2460</v>
      </c>
      <c r="K355">
        <v>7234</v>
      </c>
      <c r="L355" t="s">
        <v>2460</v>
      </c>
      <c r="M355">
        <v>7330</v>
      </c>
      <c r="N355" t="s">
        <v>2460</v>
      </c>
      <c r="O355">
        <v>7410</v>
      </c>
      <c r="P355" t="s">
        <v>2460</v>
      </c>
      <c r="Q355">
        <v>7410</v>
      </c>
      <c r="R355" t="s">
        <v>2460</v>
      </c>
      <c r="S355" t="s">
        <v>988</v>
      </c>
    </row>
    <row r="356" spans="1:19" hidden="1" x14ac:dyDescent="0.3">
      <c r="A356">
        <v>924</v>
      </c>
      <c r="B356" t="s">
        <v>1523</v>
      </c>
      <c r="C356" t="s">
        <v>2877</v>
      </c>
      <c r="D356" t="s">
        <v>159</v>
      </c>
      <c r="E356" t="s">
        <v>159</v>
      </c>
      <c r="F356">
        <v>7854</v>
      </c>
      <c r="G356" t="s">
        <v>2679</v>
      </c>
      <c r="H356" t="s">
        <v>3256</v>
      </c>
      <c r="I356">
        <v>1400</v>
      </c>
      <c r="J356" t="s">
        <v>2460</v>
      </c>
      <c r="K356">
        <v>1400</v>
      </c>
      <c r="L356" t="s">
        <v>2460</v>
      </c>
      <c r="M356">
        <v>1400</v>
      </c>
      <c r="N356" t="s">
        <v>2460</v>
      </c>
      <c r="O356">
        <v>1400</v>
      </c>
      <c r="P356" t="s">
        <v>2460</v>
      </c>
      <c r="Q356">
        <v>1400</v>
      </c>
      <c r="R356" t="s">
        <v>2460</v>
      </c>
      <c r="S356" t="s">
        <v>988</v>
      </c>
    </row>
    <row r="357" spans="1:19" hidden="1" x14ac:dyDescent="0.3">
      <c r="A357">
        <v>924</v>
      </c>
      <c r="B357" t="s">
        <v>1523</v>
      </c>
      <c r="C357" t="s">
        <v>2877</v>
      </c>
      <c r="D357" t="s">
        <v>159</v>
      </c>
      <c r="E357" t="s">
        <v>159</v>
      </c>
      <c r="F357">
        <v>7854</v>
      </c>
      <c r="G357" t="s">
        <v>2683</v>
      </c>
      <c r="H357" t="s">
        <v>2965</v>
      </c>
      <c r="I357">
        <v>1288</v>
      </c>
      <c r="J357" t="s">
        <v>2460</v>
      </c>
      <c r="K357">
        <v>1277</v>
      </c>
      <c r="L357" t="s">
        <v>2460</v>
      </c>
      <c r="M357">
        <v>1294</v>
      </c>
      <c r="N357" t="s">
        <v>2460</v>
      </c>
      <c r="O357">
        <v>1308</v>
      </c>
      <c r="P357" t="s">
        <v>2460</v>
      </c>
      <c r="Q357">
        <v>1308</v>
      </c>
      <c r="R357" t="s">
        <v>2460</v>
      </c>
      <c r="S357" t="s">
        <v>988</v>
      </c>
    </row>
    <row r="358" spans="1:19" hidden="1" x14ac:dyDescent="0.3">
      <c r="A358">
        <v>934</v>
      </c>
      <c r="B358" t="s">
        <v>899</v>
      </c>
      <c r="C358" t="s">
        <v>2877</v>
      </c>
      <c r="D358" t="s">
        <v>159</v>
      </c>
      <c r="E358" t="s">
        <v>159</v>
      </c>
      <c r="F358">
        <v>7328</v>
      </c>
      <c r="G358" t="s">
        <v>2679</v>
      </c>
      <c r="H358" t="s">
        <v>3257</v>
      </c>
      <c r="I358">
        <v>5800</v>
      </c>
      <c r="J358" t="s">
        <v>2460</v>
      </c>
      <c r="K358">
        <v>5800</v>
      </c>
      <c r="L358" t="s">
        <v>2460</v>
      </c>
      <c r="M358">
        <v>5800</v>
      </c>
      <c r="N358" t="s">
        <v>2460</v>
      </c>
      <c r="O358">
        <v>5800</v>
      </c>
      <c r="P358" t="s">
        <v>2460</v>
      </c>
      <c r="Q358">
        <v>5800</v>
      </c>
      <c r="R358" t="s">
        <v>2460</v>
      </c>
      <c r="S358" t="s">
        <v>988</v>
      </c>
    </row>
    <row r="359" spans="1:19" hidden="1" x14ac:dyDescent="0.3">
      <c r="A359">
        <v>934</v>
      </c>
      <c r="B359" t="s">
        <v>899</v>
      </c>
      <c r="C359" t="s">
        <v>2877</v>
      </c>
      <c r="D359" t="s">
        <v>159</v>
      </c>
      <c r="E359" t="s">
        <v>159</v>
      </c>
      <c r="F359">
        <v>7328</v>
      </c>
      <c r="G359" t="s">
        <v>2679</v>
      </c>
      <c r="H359" t="s">
        <v>3258</v>
      </c>
      <c r="I359">
        <v>110</v>
      </c>
      <c r="J359" t="s">
        <v>2460</v>
      </c>
      <c r="K359">
        <v>110</v>
      </c>
      <c r="L359" t="s">
        <v>2460</v>
      </c>
      <c r="M359">
        <v>110</v>
      </c>
      <c r="N359" t="s">
        <v>2460</v>
      </c>
      <c r="O359">
        <v>110</v>
      </c>
      <c r="P359" t="s">
        <v>2460</v>
      </c>
      <c r="Q359">
        <v>110</v>
      </c>
      <c r="R359" t="s">
        <v>2460</v>
      </c>
      <c r="S359" t="s">
        <v>988</v>
      </c>
    </row>
    <row r="360" spans="1:19" hidden="1" x14ac:dyDescent="0.3">
      <c r="A360">
        <v>934</v>
      </c>
      <c r="B360" t="s">
        <v>899</v>
      </c>
      <c r="C360" t="s">
        <v>2877</v>
      </c>
      <c r="D360" t="s">
        <v>159</v>
      </c>
      <c r="E360" t="s">
        <v>159</v>
      </c>
      <c r="F360">
        <v>7328</v>
      </c>
      <c r="G360" t="s">
        <v>2691</v>
      </c>
      <c r="H360" t="s">
        <v>3259</v>
      </c>
      <c r="I360">
        <v>60000</v>
      </c>
      <c r="J360" t="s">
        <v>2460</v>
      </c>
      <c r="K360">
        <v>60000</v>
      </c>
      <c r="L360" t="s">
        <v>2460</v>
      </c>
      <c r="M360">
        <v>60000</v>
      </c>
      <c r="N360" t="s">
        <v>2460</v>
      </c>
      <c r="O360">
        <v>60000</v>
      </c>
      <c r="P360" t="s">
        <v>2460</v>
      </c>
      <c r="Q360">
        <v>60000</v>
      </c>
      <c r="R360" t="s">
        <v>2460</v>
      </c>
      <c r="S360" t="s">
        <v>988</v>
      </c>
    </row>
    <row r="361" spans="1:19" hidden="1" x14ac:dyDescent="0.3">
      <c r="A361">
        <v>934</v>
      </c>
      <c r="B361" t="s">
        <v>899</v>
      </c>
      <c r="C361" t="s">
        <v>2877</v>
      </c>
      <c r="D361" t="s">
        <v>159</v>
      </c>
      <c r="E361" t="s">
        <v>159</v>
      </c>
      <c r="F361">
        <v>7328</v>
      </c>
      <c r="G361" t="s">
        <v>2681</v>
      </c>
      <c r="H361" t="s">
        <v>3093</v>
      </c>
      <c r="I361">
        <v>138090</v>
      </c>
      <c r="J361" t="s">
        <v>2460</v>
      </c>
      <c r="K361">
        <v>143630</v>
      </c>
      <c r="L361" t="s">
        <v>2460</v>
      </c>
      <c r="M361">
        <v>149100</v>
      </c>
      <c r="N361" t="s">
        <v>2460</v>
      </c>
      <c r="O361">
        <v>154490</v>
      </c>
      <c r="P361" t="s">
        <v>2460</v>
      </c>
      <c r="Q361">
        <v>159820</v>
      </c>
      <c r="R361" t="s">
        <v>2460</v>
      </c>
      <c r="S361" t="s">
        <v>988</v>
      </c>
    </row>
    <row r="362" spans="1:19" hidden="1" x14ac:dyDescent="0.3">
      <c r="A362">
        <v>934</v>
      </c>
      <c r="B362" t="s">
        <v>899</v>
      </c>
      <c r="C362" t="s">
        <v>2877</v>
      </c>
      <c r="D362" t="s">
        <v>159</v>
      </c>
      <c r="E362" t="s">
        <v>159</v>
      </c>
      <c r="F362">
        <v>7328</v>
      </c>
      <c r="G362" t="s">
        <v>2691</v>
      </c>
      <c r="H362" t="s">
        <v>3260</v>
      </c>
      <c r="I362">
        <v>125030</v>
      </c>
      <c r="J362" t="s">
        <v>2460</v>
      </c>
      <c r="K362">
        <v>131600</v>
      </c>
      <c r="L362" t="s">
        <v>2460</v>
      </c>
      <c r="M362">
        <v>131600</v>
      </c>
      <c r="N362" t="s">
        <v>2460</v>
      </c>
      <c r="O362">
        <v>131600</v>
      </c>
      <c r="P362" t="s">
        <v>2460</v>
      </c>
      <c r="Q362">
        <v>131600</v>
      </c>
      <c r="R362" t="s">
        <v>2460</v>
      </c>
      <c r="S362" t="s">
        <v>988</v>
      </c>
    </row>
    <row r="363" spans="1:19" hidden="1" x14ac:dyDescent="0.3">
      <c r="A363">
        <v>967</v>
      </c>
      <c r="B363" t="s">
        <v>1528</v>
      </c>
      <c r="C363" t="s">
        <v>2877</v>
      </c>
      <c r="D363" t="s">
        <v>1203</v>
      </c>
      <c r="E363" t="s">
        <v>1204</v>
      </c>
      <c r="F363">
        <v>5550</v>
      </c>
      <c r="G363" t="s">
        <v>2681</v>
      </c>
      <c r="H363" t="s">
        <v>2893</v>
      </c>
      <c r="I363">
        <v>21807</v>
      </c>
      <c r="J363" t="s">
        <v>2460</v>
      </c>
      <c r="K363">
        <v>23328</v>
      </c>
      <c r="L363" t="s">
        <v>2460</v>
      </c>
      <c r="M363">
        <v>23427</v>
      </c>
      <c r="N363" t="s">
        <v>2460</v>
      </c>
      <c r="O363">
        <v>23521</v>
      </c>
      <c r="P363" t="s">
        <v>2460</v>
      </c>
      <c r="Q363">
        <v>23672</v>
      </c>
      <c r="R363" t="s">
        <v>2460</v>
      </c>
      <c r="S363" t="s">
        <v>988</v>
      </c>
    </row>
    <row r="364" spans="1:19" hidden="1" x14ac:dyDescent="0.3">
      <c r="A364">
        <v>967</v>
      </c>
      <c r="B364" t="s">
        <v>1528</v>
      </c>
      <c r="C364" t="s">
        <v>2877</v>
      </c>
      <c r="D364" t="s">
        <v>1203</v>
      </c>
      <c r="E364" t="s">
        <v>1204</v>
      </c>
      <c r="F364">
        <v>5550</v>
      </c>
      <c r="G364" t="s">
        <v>2683</v>
      </c>
      <c r="H364" t="s">
        <v>3261</v>
      </c>
      <c r="I364">
        <v>3848</v>
      </c>
      <c r="J364" t="s">
        <v>2460</v>
      </c>
      <c r="K364">
        <v>4117</v>
      </c>
      <c r="L364" t="s">
        <v>2460</v>
      </c>
      <c r="M364">
        <v>4134</v>
      </c>
      <c r="N364" t="s">
        <v>2460</v>
      </c>
      <c r="O364">
        <v>4151</v>
      </c>
      <c r="P364" t="s">
        <v>2460</v>
      </c>
      <c r="Q364">
        <v>4177</v>
      </c>
      <c r="R364" t="s">
        <v>2460</v>
      </c>
      <c r="S364" t="s">
        <v>988</v>
      </c>
    </row>
    <row r="365" spans="1:19" hidden="1" x14ac:dyDescent="0.3">
      <c r="A365">
        <v>972</v>
      </c>
      <c r="B365" t="s">
        <v>1529</v>
      </c>
      <c r="C365" t="s">
        <v>2877</v>
      </c>
      <c r="D365" t="s">
        <v>1203</v>
      </c>
      <c r="E365" t="s">
        <v>1204</v>
      </c>
      <c r="F365">
        <v>5640</v>
      </c>
      <c r="G365" t="s">
        <v>2681</v>
      </c>
      <c r="H365" t="s">
        <v>3262</v>
      </c>
      <c r="I365">
        <v>4897</v>
      </c>
      <c r="J365" t="s">
        <v>2460</v>
      </c>
      <c r="K365">
        <v>5013</v>
      </c>
      <c r="L365" t="s">
        <v>2460</v>
      </c>
      <c r="M365">
        <v>5303</v>
      </c>
      <c r="N365" t="s">
        <v>2460</v>
      </c>
      <c r="O365">
        <v>5615</v>
      </c>
      <c r="P365" t="s">
        <v>2460</v>
      </c>
      <c r="Q365">
        <v>5950</v>
      </c>
      <c r="R365" t="s">
        <v>2460</v>
      </c>
      <c r="S365" t="s">
        <v>988</v>
      </c>
    </row>
    <row r="366" spans="1:19" hidden="1" x14ac:dyDescent="0.3">
      <c r="A366">
        <v>972</v>
      </c>
      <c r="B366" t="s">
        <v>1529</v>
      </c>
      <c r="C366" t="s">
        <v>2877</v>
      </c>
      <c r="D366" t="s">
        <v>1203</v>
      </c>
      <c r="E366" t="s">
        <v>1204</v>
      </c>
      <c r="F366">
        <v>5640</v>
      </c>
      <c r="G366" t="s">
        <v>2679</v>
      </c>
      <c r="H366" t="s">
        <v>2679</v>
      </c>
      <c r="I366">
        <v>655</v>
      </c>
      <c r="J366" t="s">
        <v>2460</v>
      </c>
      <c r="K366">
        <v>665</v>
      </c>
      <c r="L366" t="s">
        <v>2460</v>
      </c>
      <c r="M366">
        <v>665</v>
      </c>
      <c r="N366" t="s">
        <v>2460</v>
      </c>
      <c r="O366">
        <v>665</v>
      </c>
      <c r="P366" t="s">
        <v>2460</v>
      </c>
      <c r="Q366">
        <v>665</v>
      </c>
      <c r="R366" t="s">
        <v>2460</v>
      </c>
      <c r="S366" t="s">
        <v>988</v>
      </c>
    </row>
    <row r="367" spans="1:19" hidden="1" x14ac:dyDescent="0.3">
      <c r="A367">
        <v>977</v>
      </c>
      <c r="B367" t="s">
        <v>1531</v>
      </c>
      <c r="C367" t="s">
        <v>2877</v>
      </c>
      <c r="D367" t="s">
        <v>1203</v>
      </c>
      <c r="E367" t="s">
        <v>1204</v>
      </c>
      <c r="F367">
        <v>5521</v>
      </c>
      <c r="G367" t="s">
        <v>2681</v>
      </c>
      <c r="H367" t="s">
        <v>2893</v>
      </c>
      <c r="I367">
        <v>19200</v>
      </c>
      <c r="J367" t="s">
        <v>2460</v>
      </c>
      <c r="K367">
        <v>19514</v>
      </c>
      <c r="L367" t="s">
        <v>2460</v>
      </c>
      <c r="M367">
        <v>19448</v>
      </c>
      <c r="N367" t="s">
        <v>2460</v>
      </c>
      <c r="O367">
        <v>19332</v>
      </c>
      <c r="P367" t="s">
        <v>2460</v>
      </c>
      <c r="Q367">
        <v>19373</v>
      </c>
      <c r="R367" t="s">
        <v>2460</v>
      </c>
      <c r="S367" t="s">
        <v>988</v>
      </c>
    </row>
    <row r="368" spans="1:19" hidden="1" x14ac:dyDescent="0.3">
      <c r="A368">
        <v>977</v>
      </c>
      <c r="B368" t="s">
        <v>1531</v>
      </c>
      <c r="C368" t="s">
        <v>2877</v>
      </c>
      <c r="D368" t="s">
        <v>1203</v>
      </c>
      <c r="E368" t="s">
        <v>1204</v>
      </c>
      <c r="F368">
        <v>5521</v>
      </c>
      <c r="G368" t="s">
        <v>2683</v>
      </c>
      <c r="H368" t="s">
        <v>2965</v>
      </c>
      <c r="I368">
        <v>3388</v>
      </c>
      <c r="J368" t="s">
        <v>2460</v>
      </c>
      <c r="K368">
        <v>3444</v>
      </c>
      <c r="L368" t="s">
        <v>2460</v>
      </c>
      <c r="M368">
        <v>3432</v>
      </c>
      <c r="N368" t="s">
        <v>2460</v>
      </c>
      <c r="O368">
        <v>3412</v>
      </c>
      <c r="P368" t="s">
        <v>2460</v>
      </c>
      <c r="Q368">
        <v>3419</v>
      </c>
      <c r="R368" t="s">
        <v>2460</v>
      </c>
      <c r="S368" t="s">
        <v>988</v>
      </c>
    </row>
    <row r="369" spans="1:19" hidden="1" x14ac:dyDescent="0.3">
      <c r="A369">
        <v>990</v>
      </c>
      <c r="B369" t="s">
        <v>1537</v>
      </c>
      <c r="C369" t="s">
        <v>2877</v>
      </c>
      <c r="D369" t="s">
        <v>1203</v>
      </c>
      <c r="E369" t="s">
        <v>1204</v>
      </c>
      <c r="F369">
        <v>5687</v>
      </c>
      <c r="G369" t="s">
        <v>2691</v>
      </c>
      <c r="H369" t="s">
        <v>3263</v>
      </c>
      <c r="I369">
        <v>20000</v>
      </c>
      <c r="J369" t="s">
        <v>3264</v>
      </c>
      <c r="K369">
        <v>20000</v>
      </c>
      <c r="L369" t="s">
        <v>3264</v>
      </c>
      <c r="M369">
        <v>20000</v>
      </c>
      <c r="N369" t="s">
        <v>3264</v>
      </c>
      <c r="O369">
        <v>20000</v>
      </c>
      <c r="P369" t="s">
        <v>3264</v>
      </c>
      <c r="Q369">
        <v>20000</v>
      </c>
      <c r="R369" t="s">
        <v>3264</v>
      </c>
      <c r="S369" t="s">
        <v>988</v>
      </c>
    </row>
    <row r="370" spans="1:19" hidden="1" x14ac:dyDescent="0.3">
      <c r="A370">
        <v>995</v>
      </c>
      <c r="B370" t="s">
        <v>1540</v>
      </c>
      <c r="C370" t="s">
        <v>2877</v>
      </c>
      <c r="D370" t="s">
        <v>1203</v>
      </c>
      <c r="E370" t="s">
        <v>1204</v>
      </c>
      <c r="F370">
        <v>6827</v>
      </c>
      <c r="G370" t="s">
        <v>2679</v>
      </c>
      <c r="H370" t="s">
        <v>2460</v>
      </c>
      <c r="I370">
        <v>1673</v>
      </c>
      <c r="J370" t="s">
        <v>2460</v>
      </c>
      <c r="K370">
        <v>2069</v>
      </c>
      <c r="L370" t="s">
        <v>2460</v>
      </c>
      <c r="M370">
        <v>2464</v>
      </c>
      <c r="N370" t="s">
        <v>2460</v>
      </c>
      <c r="O370">
        <v>2464</v>
      </c>
      <c r="P370" t="s">
        <v>2460</v>
      </c>
      <c r="Q370">
        <v>2464</v>
      </c>
      <c r="R370" t="s">
        <v>2460</v>
      </c>
      <c r="S370" t="s">
        <v>988</v>
      </c>
    </row>
    <row r="371" spans="1:19" hidden="1" x14ac:dyDescent="0.3">
      <c r="A371">
        <v>995</v>
      </c>
      <c r="B371" t="s">
        <v>1540</v>
      </c>
      <c r="C371" t="s">
        <v>2877</v>
      </c>
      <c r="D371" t="s">
        <v>1203</v>
      </c>
      <c r="E371" t="s">
        <v>1204</v>
      </c>
      <c r="F371">
        <v>6827</v>
      </c>
      <c r="G371" t="s">
        <v>2681</v>
      </c>
      <c r="H371" t="s">
        <v>2460</v>
      </c>
      <c r="I371">
        <v>22000</v>
      </c>
      <c r="J371" t="s">
        <v>2460</v>
      </c>
      <c r="K371">
        <v>22000</v>
      </c>
      <c r="L371" t="s">
        <v>2460</v>
      </c>
      <c r="M371">
        <v>22000</v>
      </c>
      <c r="N371" t="s">
        <v>2460</v>
      </c>
      <c r="O371">
        <v>22000</v>
      </c>
      <c r="P371" t="s">
        <v>2460</v>
      </c>
      <c r="Q371">
        <v>22000</v>
      </c>
      <c r="R371" t="s">
        <v>2460</v>
      </c>
      <c r="S371" t="s">
        <v>988</v>
      </c>
    </row>
    <row r="372" spans="1:19" hidden="1" x14ac:dyDescent="0.3">
      <c r="A372">
        <v>1004</v>
      </c>
      <c r="B372" t="s">
        <v>1541</v>
      </c>
      <c r="C372" t="s">
        <v>2877</v>
      </c>
      <c r="D372" t="s">
        <v>1203</v>
      </c>
      <c r="E372" t="s">
        <v>1204</v>
      </c>
      <c r="F372">
        <v>5904</v>
      </c>
      <c r="G372" t="s">
        <v>2683</v>
      </c>
      <c r="H372" t="s">
        <v>2889</v>
      </c>
      <c r="I372">
        <v>26000</v>
      </c>
      <c r="J372" t="s">
        <v>3265</v>
      </c>
      <c r="K372">
        <v>26000</v>
      </c>
      <c r="L372" t="s">
        <v>3265</v>
      </c>
      <c r="M372">
        <v>26000</v>
      </c>
      <c r="N372" t="s">
        <v>3265</v>
      </c>
      <c r="O372">
        <v>26000</v>
      </c>
      <c r="P372" t="s">
        <v>3265</v>
      </c>
      <c r="Q372">
        <v>26000</v>
      </c>
      <c r="R372" t="s">
        <v>3265</v>
      </c>
      <c r="S372" t="s">
        <v>988</v>
      </c>
    </row>
    <row r="373" spans="1:19" hidden="1" x14ac:dyDescent="0.3">
      <c r="A373">
        <v>1004</v>
      </c>
      <c r="B373" t="s">
        <v>1541</v>
      </c>
      <c r="C373" t="s">
        <v>2877</v>
      </c>
      <c r="D373" t="s">
        <v>1203</v>
      </c>
      <c r="E373" t="s">
        <v>1204</v>
      </c>
      <c r="F373">
        <v>5904</v>
      </c>
      <c r="G373" t="s">
        <v>2679</v>
      </c>
      <c r="H373" t="s">
        <v>3266</v>
      </c>
      <c r="I373">
        <v>7492</v>
      </c>
      <c r="J373" t="s">
        <v>3267</v>
      </c>
      <c r="K373">
        <v>7492</v>
      </c>
      <c r="L373" t="s">
        <v>3267</v>
      </c>
      <c r="M373">
        <v>7492</v>
      </c>
      <c r="N373" t="s">
        <v>3267</v>
      </c>
      <c r="O373">
        <v>7492</v>
      </c>
      <c r="P373" t="s">
        <v>3267</v>
      </c>
      <c r="Q373">
        <v>7492</v>
      </c>
      <c r="R373" t="s">
        <v>3267</v>
      </c>
      <c r="S373" t="s">
        <v>988</v>
      </c>
    </row>
    <row r="374" spans="1:19" hidden="1" x14ac:dyDescent="0.3">
      <c r="A374">
        <v>1004</v>
      </c>
      <c r="B374" t="s">
        <v>1541</v>
      </c>
      <c r="C374" t="s">
        <v>2877</v>
      </c>
      <c r="D374" t="s">
        <v>1203</v>
      </c>
      <c r="E374" t="s">
        <v>1204</v>
      </c>
      <c r="F374">
        <v>5904</v>
      </c>
      <c r="G374" t="s">
        <v>2681</v>
      </c>
      <c r="H374" t="s">
        <v>3268</v>
      </c>
      <c r="I374">
        <v>3856</v>
      </c>
      <c r="J374" t="s">
        <v>3269</v>
      </c>
      <c r="K374">
        <v>3856</v>
      </c>
      <c r="L374" t="s">
        <v>3269</v>
      </c>
      <c r="M374">
        <v>3856</v>
      </c>
      <c r="N374" t="s">
        <v>3269</v>
      </c>
      <c r="O374">
        <v>3856</v>
      </c>
      <c r="P374" t="s">
        <v>3269</v>
      </c>
      <c r="Q374">
        <v>3856</v>
      </c>
      <c r="R374" t="s">
        <v>3269</v>
      </c>
      <c r="S374" t="s">
        <v>988</v>
      </c>
    </row>
    <row r="375" spans="1:19" hidden="1" x14ac:dyDescent="0.3">
      <c r="A375">
        <v>1004</v>
      </c>
      <c r="B375" t="s">
        <v>1541</v>
      </c>
      <c r="C375" t="s">
        <v>2877</v>
      </c>
      <c r="D375" t="s">
        <v>1203</v>
      </c>
      <c r="E375" t="s">
        <v>1204</v>
      </c>
      <c r="F375">
        <v>5904</v>
      </c>
      <c r="G375" t="s">
        <v>2681</v>
      </c>
      <c r="H375" t="s">
        <v>3270</v>
      </c>
      <c r="I375">
        <v>7660</v>
      </c>
      <c r="J375" t="s">
        <v>3271</v>
      </c>
      <c r="K375">
        <v>7660</v>
      </c>
      <c r="L375" t="s">
        <v>3271</v>
      </c>
      <c r="M375">
        <v>7660</v>
      </c>
      <c r="N375" t="s">
        <v>3271</v>
      </c>
      <c r="O375">
        <v>7660</v>
      </c>
      <c r="P375" t="s">
        <v>3271</v>
      </c>
      <c r="Q375">
        <v>7660</v>
      </c>
      <c r="R375" t="s">
        <v>3271</v>
      </c>
      <c r="S375" t="s">
        <v>988</v>
      </c>
    </row>
    <row r="376" spans="1:19" hidden="1" x14ac:dyDescent="0.3">
      <c r="A376">
        <v>1005</v>
      </c>
      <c r="B376" t="s">
        <v>1542</v>
      </c>
      <c r="C376" t="s">
        <v>2877</v>
      </c>
      <c r="D376" t="s">
        <v>1203</v>
      </c>
      <c r="E376" t="s">
        <v>1204</v>
      </c>
      <c r="F376">
        <v>5451</v>
      </c>
      <c r="G376" t="s">
        <v>2683</v>
      </c>
      <c r="H376" t="s">
        <v>2228</v>
      </c>
      <c r="I376">
        <v>754</v>
      </c>
      <c r="J376" t="s">
        <v>2460</v>
      </c>
      <c r="K376">
        <v>762</v>
      </c>
      <c r="L376" t="s">
        <v>2460</v>
      </c>
      <c r="M376">
        <v>771</v>
      </c>
      <c r="N376" t="s">
        <v>2460</v>
      </c>
      <c r="O376">
        <v>779</v>
      </c>
      <c r="P376" t="s">
        <v>2460</v>
      </c>
      <c r="Q376">
        <v>788</v>
      </c>
      <c r="R376" t="s">
        <v>2460</v>
      </c>
      <c r="S376" t="s">
        <v>988</v>
      </c>
    </row>
    <row r="377" spans="1:19" hidden="1" x14ac:dyDescent="0.3">
      <c r="A377">
        <v>1005</v>
      </c>
      <c r="B377" t="s">
        <v>1542</v>
      </c>
      <c r="C377" t="s">
        <v>2877</v>
      </c>
      <c r="D377" t="s">
        <v>1203</v>
      </c>
      <c r="E377" t="s">
        <v>1204</v>
      </c>
      <c r="F377">
        <v>5451</v>
      </c>
      <c r="G377" t="s">
        <v>2681</v>
      </c>
      <c r="H377" t="s">
        <v>2888</v>
      </c>
      <c r="I377">
        <v>10314</v>
      </c>
      <c r="J377" t="s">
        <v>2460</v>
      </c>
      <c r="K377">
        <v>10427</v>
      </c>
      <c r="L377" t="s">
        <v>2460</v>
      </c>
      <c r="M377">
        <v>10539</v>
      </c>
      <c r="N377" t="s">
        <v>2460</v>
      </c>
      <c r="O377">
        <v>10654</v>
      </c>
      <c r="P377" t="s">
        <v>2460</v>
      </c>
      <c r="Q377">
        <v>10770</v>
      </c>
      <c r="R377" t="s">
        <v>2460</v>
      </c>
      <c r="S377" t="s">
        <v>988</v>
      </c>
    </row>
    <row r="378" spans="1:19" hidden="1" x14ac:dyDescent="0.3">
      <c r="A378">
        <v>1005</v>
      </c>
      <c r="B378" t="s">
        <v>1542</v>
      </c>
      <c r="C378" t="s">
        <v>2877</v>
      </c>
      <c r="D378" t="s">
        <v>1203</v>
      </c>
      <c r="E378" t="s">
        <v>1204</v>
      </c>
      <c r="F378">
        <v>5451</v>
      </c>
      <c r="G378" t="s">
        <v>2683</v>
      </c>
      <c r="H378" t="s">
        <v>3272</v>
      </c>
      <c r="I378">
        <v>22</v>
      </c>
      <c r="J378" t="s">
        <v>2460</v>
      </c>
      <c r="K378">
        <v>22</v>
      </c>
      <c r="L378" t="s">
        <v>2460</v>
      </c>
      <c r="M378">
        <v>23</v>
      </c>
      <c r="N378" t="s">
        <v>2460</v>
      </c>
      <c r="O378">
        <v>23</v>
      </c>
      <c r="P378" t="s">
        <v>2460</v>
      </c>
      <c r="Q378">
        <v>23</v>
      </c>
      <c r="R378" t="s">
        <v>2460</v>
      </c>
      <c r="S378" t="s">
        <v>988</v>
      </c>
    </row>
    <row r="379" spans="1:19" hidden="1" x14ac:dyDescent="0.3">
      <c r="A379">
        <v>1029</v>
      </c>
      <c r="B379" t="s">
        <v>1543</v>
      </c>
      <c r="C379" t="s">
        <v>2877</v>
      </c>
      <c r="D379" t="s">
        <v>1203</v>
      </c>
      <c r="E379" t="s">
        <v>1204</v>
      </c>
      <c r="F379">
        <v>5875</v>
      </c>
      <c r="G379" t="s">
        <v>2679</v>
      </c>
      <c r="H379" t="s">
        <v>2460</v>
      </c>
      <c r="I379">
        <v>110</v>
      </c>
      <c r="J379" t="s">
        <v>2460</v>
      </c>
      <c r="K379">
        <v>110</v>
      </c>
      <c r="L379" t="s">
        <v>2460</v>
      </c>
      <c r="M379">
        <v>110</v>
      </c>
      <c r="N379" t="s">
        <v>2460</v>
      </c>
      <c r="O379">
        <v>110</v>
      </c>
      <c r="P379" t="s">
        <v>2460</v>
      </c>
      <c r="Q379">
        <v>110</v>
      </c>
      <c r="R379" t="s">
        <v>2460</v>
      </c>
      <c r="S379" t="s">
        <v>988</v>
      </c>
    </row>
    <row r="380" spans="1:19" hidden="1" x14ac:dyDescent="0.3">
      <c r="A380">
        <v>1029</v>
      </c>
      <c r="B380" t="s">
        <v>1543</v>
      </c>
      <c r="C380" t="s">
        <v>2877</v>
      </c>
      <c r="D380" t="s">
        <v>1203</v>
      </c>
      <c r="E380" t="s">
        <v>1204</v>
      </c>
      <c r="F380">
        <v>5875</v>
      </c>
      <c r="G380" t="s">
        <v>687</v>
      </c>
      <c r="H380" t="s">
        <v>3273</v>
      </c>
      <c r="I380">
        <v>5109</v>
      </c>
      <c r="J380" t="s">
        <v>2460</v>
      </c>
      <c r="K380">
        <v>5152</v>
      </c>
      <c r="L380" t="s">
        <v>2460</v>
      </c>
      <c r="M380">
        <v>5196</v>
      </c>
      <c r="N380" t="s">
        <v>2460</v>
      </c>
      <c r="O380">
        <v>5240</v>
      </c>
      <c r="P380" t="s">
        <v>2460</v>
      </c>
      <c r="Q380">
        <v>5284</v>
      </c>
      <c r="R380" t="s">
        <v>2460</v>
      </c>
      <c r="S380" t="s">
        <v>988</v>
      </c>
    </row>
    <row r="381" spans="1:19" hidden="1" x14ac:dyDescent="0.3">
      <c r="A381">
        <v>1030</v>
      </c>
      <c r="B381" t="s">
        <v>1544</v>
      </c>
      <c r="C381" t="s">
        <v>2877</v>
      </c>
      <c r="D381" t="s">
        <v>1203</v>
      </c>
      <c r="E381" t="s">
        <v>1204</v>
      </c>
      <c r="F381">
        <v>5887</v>
      </c>
      <c r="G381" t="s">
        <v>2681</v>
      </c>
      <c r="H381" t="s">
        <v>2460</v>
      </c>
      <c r="I381">
        <v>5435</v>
      </c>
      <c r="J381" t="s">
        <v>2460</v>
      </c>
      <c r="K381">
        <v>5528</v>
      </c>
      <c r="L381" t="s">
        <v>2460</v>
      </c>
      <c r="M381">
        <v>5622</v>
      </c>
      <c r="N381" t="s">
        <v>2460</v>
      </c>
      <c r="O381">
        <v>5718</v>
      </c>
      <c r="P381" t="s">
        <v>2460</v>
      </c>
      <c r="Q381">
        <v>5815</v>
      </c>
      <c r="R381" t="s">
        <v>2460</v>
      </c>
      <c r="S381" t="s">
        <v>988</v>
      </c>
    </row>
    <row r="382" spans="1:19" hidden="1" x14ac:dyDescent="0.3">
      <c r="A382">
        <v>1031</v>
      </c>
      <c r="B382" t="s">
        <v>1545</v>
      </c>
      <c r="C382" t="s">
        <v>2877</v>
      </c>
      <c r="D382" t="s">
        <v>1203</v>
      </c>
      <c r="E382" t="s">
        <v>1204</v>
      </c>
      <c r="F382">
        <v>5889</v>
      </c>
      <c r="G382" t="s">
        <v>687</v>
      </c>
      <c r="H382" t="s">
        <v>2460</v>
      </c>
      <c r="I382">
        <v>1774</v>
      </c>
      <c r="J382" t="s">
        <v>2460</v>
      </c>
      <c r="K382">
        <v>1804</v>
      </c>
      <c r="L382" t="s">
        <v>2460</v>
      </c>
      <c r="M382">
        <v>1836</v>
      </c>
      <c r="N382" t="s">
        <v>2460</v>
      </c>
      <c r="O382">
        <v>1867</v>
      </c>
      <c r="P382" t="s">
        <v>2460</v>
      </c>
      <c r="Q382">
        <v>1899</v>
      </c>
      <c r="R382" t="s">
        <v>2460</v>
      </c>
      <c r="S382" t="s">
        <v>988</v>
      </c>
    </row>
    <row r="383" spans="1:19" hidden="1" x14ac:dyDescent="0.3">
      <c r="A383">
        <v>1032</v>
      </c>
      <c r="B383" t="s">
        <v>1546</v>
      </c>
      <c r="C383" t="s">
        <v>2877</v>
      </c>
      <c r="D383" t="s">
        <v>1203</v>
      </c>
      <c r="E383" t="s">
        <v>1204</v>
      </c>
      <c r="F383">
        <v>5891</v>
      </c>
      <c r="G383" t="s">
        <v>687</v>
      </c>
      <c r="H383" t="s">
        <v>3274</v>
      </c>
      <c r="I383">
        <v>4636</v>
      </c>
      <c r="J383" t="s">
        <v>2460</v>
      </c>
      <c r="K383">
        <v>4667</v>
      </c>
      <c r="L383" t="s">
        <v>2460</v>
      </c>
      <c r="M383">
        <v>4699</v>
      </c>
      <c r="N383" t="s">
        <v>2460</v>
      </c>
      <c r="O383">
        <v>4731</v>
      </c>
      <c r="P383" t="s">
        <v>2460</v>
      </c>
      <c r="Q383">
        <v>4763</v>
      </c>
      <c r="R383" t="s">
        <v>2460</v>
      </c>
      <c r="S383" t="s">
        <v>988</v>
      </c>
    </row>
    <row r="384" spans="1:19" hidden="1" x14ac:dyDescent="0.3">
      <c r="A384">
        <v>1032</v>
      </c>
      <c r="B384" t="s">
        <v>1546</v>
      </c>
      <c r="C384" t="s">
        <v>2877</v>
      </c>
      <c r="D384" t="s">
        <v>1203</v>
      </c>
      <c r="E384" t="s">
        <v>1204</v>
      </c>
      <c r="F384">
        <v>5891</v>
      </c>
      <c r="G384" t="s">
        <v>2679</v>
      </c>
      <c r="H384" t="s">
        <v>2460</v>
      </c>
      <c r="I384">
        <v>140</v>
      </c>
      <c r="J384" t="s">
        <v>2460</v>
      </c>
      <c r="K384">
        <v>140</v>
      </c>
      <c r="L384" t="s">
        <v>2460</v>
      </c>
      <c r="M384">
        <v>140</v>
      </c>
      <c r="N384" t="s">
        <v>2460</v>
      </c>
      <c r="O384">
        <v>140</v>
      </c>
      <c r="P384" t="s">
        <v>2460</v>
      </c>
      <c r="Q384">
        <v>140</v>
      </c>
      <c r="R384" t="s">
        <v>2460</v>
      </c>
      <c r="S384" t="s">
        <v>988</v>
      </c>
    </row>
    <row r="385" spans="1:19" hidden="1" x14ac:dyDescent="0.3">
      <c r="A385">
        <v>1034</v>
      </c>
      <c r="B385" t="s">
        <v>1547</v>
      </c>
      <c r="C385" t="s">
        <v>2877</v>
      </c>
      <c r="D385" t="s">
        <v>1203</v>
      </c>
      <c r="E385" t="s">
        <v>1204</v>
      </c>
      <c r="F385">
        <v>5539</v>
      </c>
      <c r="G385" t="s">
        <v>2681</v>
      </c>
      <c r="H385" t="s">
        <v>3275</v>
      </c>
      <c r="I385">
        <v>4329</v>
      </c>
      <c r="J385" t="s">
        <v>2460</v>
      </c>
      <c r="K385">
        <v>4329</v>
      </c>
      <c r="L385" t="s">
        <v>2460</v>
      </c>
      <c r="M385">
        <v>4329</v>
      </c>
      <c r="N385" t="s">
        <v>2460</v>
      </c>
      <c r="O385">
        <v>4329</v>
      </c>
      <c r="P385" t="s">
        <v>2460</v>
      </c>
      <c r="Q385">
        <v>4329</v>
      </c>
      <c r="R385" t="s">
        <v>2460</v>
      </c>
      <c r="S385" t="s">
        <v>988</v>
      </c>
    </row>
    <row r="386" spans="1:19" hidden="1" x14ac:dyDescent="0.3">
      <c r="A386">
        <v>1034</v>
      </c>
      <c r="B386" t="s">
        <v>1547</v>
      </c>
      <c r="C386" t="s">
        <v>2877</v>
      </c>
      <c r="D386" t="s">
        <v>1203</v>
      </c>
      <c r="E386" t="s">
        <v>1204</v>
      </c>
      <c r="F386">
        <v>5539</v>
      </c>
      <c r="G386" t="s">
        <v>2681</v>
      </c>
      <c r="H386" t="s">
        <v>3137</v>
      </c>
      <c r="I386">
        <v>800</v>
      </c>
      <c r="J386" t="s">
        <v>2460</v>
      </c>
      <c r="K386">
        <v>800</v>
      </c>
      <c r="L386" t="s">
        <v>2460</v>
      </c>
      <c r="M386">
        <v>900</v>
      </c>
      <c r="N386" t="s">
        <v>2460</v>
      </c>
      <c r="O386">
        <v>900</v>
      </c>
      <c r="P386" t="s">
        <v>2460</v>
      </c>
      <c r="Q386">
        <v>980</v>
      </c>
      <c r="R386" t="s">
        <v>2460</v>
      </c>
      <c r="S386" t="s">
        <v>988</v>
      </c>
    </row>
    <row r="387" spans="1:19" hidden="1" x14ac:dyDescent="0.3">
      <c r="A387">
        <v>1034</v>
      </c>
      <c r="B387" t="s">
        <v>1547</v>
      </c>
      <c r="C387" t="s">
        <v>2877</v>
      </c>
      <c r="D387" t="s">
        <v>1203</v>
      </c>
      <c r="E387" t="s">
        <v>1204</v>
      </c>
      <c r="F387">
        <v>5539</v>
      </c>
      <c r="G387" t="s">
        <v>2683</v>
      </c>
      <c r="H387" t="s">
        <v>2195</v>
      </c>
      <c r="I387">
        <v>500</v>
      </c>
      <c r="J387" t="s">
        <v>2460</v>
      </c>
      <c r="K387">
        <v>500</v>
      </c>
      <c r="L387" t="s">
        <v>2460</v>
      </c>
      <c r="M387">
        <v>500</v>
      </c>
      <c r="N387" t="s">
        <v>2460</v>
      </c>
      <c r="O387">
        <v>500</v>
      </c>
      <c r="P387" t="s">
        <v>2460</v>
      </c>
      <c r="Q387">
        <v>500</v>
      </c>
      <c r="R387" t="s">
        <v>2460</v>
      </c>
      <c r="S387" t="s">
        <v>988</v>
      </c>
    </row>
    <row r="388" spans="1:19" hidden="1" x14ac:dyDescent="0.3">
      <c r="A388">
        <v>1034</v>
      </c>
      <c r="B388" t="s">
        <v>1547</v>
      </c>
      <c r="C388" t="s">
        <v>2877</v>
      </c>
      <c r="D388" t="s">
        <v>1203</v>
      </c>
      <c r="E388" t="s">
        <v>1204</v>
      </c>
      <c r="F388">
        <v>5539</v>
      </c>
      <c r="G388" t="s">
        <v>2683</v>
      </c>
      <c r="H388" t="s">
        <v>2228</v>
      </c>
      <c r="I388">
        <v>4822</v>
      </c>
      <c r="J388" t="s">
        <v>2460</v>
      </c>
      <c r="K388">
        <v>4994</v>
      </c>
      <c r="L388" t="s">
        <v>2460</v>
      </c>
      <c r="M388">
        <v>5069</v>
      </c>
      <c r="N388" t="s">
        <v>2460</v>
      </c>
      <c r="O388">
        <v>5248</v>
      </c>
      <c r="P388" t="s">
        <v>2460</v>
      </c>
      <c r="Q388">
        <v>5349</v>
      </c>
      <c r="R388" t="s">
        <v>2460</v>
      </c>
      <c r="S388" t="s">
        <v>988</v>
      </c>
    </row>
    <row r="389" spans="1:19" hidden="1" x14ac:dyDescent="0.3">
      <c r="A389">
        <v>1036</v>
      </c>
      <c r="B389" t="s">
        <v>1548</v>
      </c>
      <c r="C389" t="s">
        <v>2877</v>
      </c>
      <c r="D389" t="s">
        <v>1203</v>
      </c>
      <c r="E389" t="s">
        <v>1204</v>
      </c>
      <c r="F389">
        <v>5892</v>
      </c>
      <c r="G389" t="s">
        <v>687</v>
      </c>
      <c r="H389" t="s">
        <v>2460</v>
      </c>
      <c r="I389">
        <v>13605</v>
      </c>
      <c r="J389" t="s">
        <v>2460</v>
      </c>
      <c r="K389">
        <v>13949</v>
      </c>
      <c r="L389" t="s">
        <v>2460</v>
      </c>
      <c r="M389">
        <v>14301</v>
      </c>
      <c r="N389" t="s">
        <v>2460</v>
      </c>
      <c r="O389">
        <v>14662</v>
      </c>
      <c r="P389" t="s">
        <v>2460</v>
      </c>
      <c r="Q389">
        <v>15032</v>
      </c>
      <c r="R389" t="s">
        <v>2460</v>
      </c>
      <c r="S389" t="s">
        <v>988</v>
      </c>
    </row>
    <row r="390" spans="1:19" hidden="1" x14ac:dyDescent="0.3">
      <c r="A390">
        <v>1038</v>
      </c>
      <c r="B390" t="s">
        <v>1549</v>
      </c>
      <c r="C390" t="s">
        <v>2877</v>
      </c>
      <c r="D390" t="s">
        <v>1203</v>
      </c>
      <c r="E390" t="s">
        <v>1204</v>
      </c>
      <c r="F390">
        <v>5893</v>
      </c>
      <c r="G390" t="s">
        <v>687</v>
      </c>
      <c r="H390" t="s">
        <v>2460</v>
      </c>
      <c r="I390">
        <v>5002</v>
      </c>
      <c r="J390" t="s">
        <v>2460</v>
      </c>
      <c r="K390">
        <v>5086</v>
      </c>
      <c r="L390" t="s">
        <v>2460</v>
      </c>
      <c r="M390">
        <v>5175</v>
      </c>
      <c r="N390" t="s">
        <v>2460</v>
      </c>
      <c r="O390">
        <v>5269</v>
      </c>
      <c r="P390" t="s">
        <v>2460</v>
      </c>
      <c r="Q390">
        <v>5370</v>
      </c>
      <c r="R390" t="s">
        <v>2460</v>
      </c>
      <c r="S390" t="s">
        <v>988</v>
      </c>
    </row>
    <row r="391" spans="1:19" hidden="1" x14ac:dyDescent="0.3">
      <c r="A391">
        <v>1041</v>
      </c>
      <c r="B391" t="s">
        <v>1550</v>
      </c>
      <c r="C391" t="s">
        <v>2877</v>
      </c>
      <c r="D391" t="s">
        <v>1203</v>
      </c>
      <c r="E391" t="s">
        <v>1204</v>
      </c>
      <c r="F391">
        <v>5894</v>
      </c>
      <c r="G391" t="s">
        <v>687</v>
      </c>
      <c r="H391" t="s">
        <v>2460</v>
      </c>
      <c r="I391">
        <v>4843</v>
      </c>
      <c r="J391" t="s">
        <v>2460</v>
      </c>
      <c r="K391">
        <v>4945</v>
      </c>
      <c r="L391" t="s">
        <v>2460</v>
      </c>
      <c r="M391">
        <v>5049</v>
      </c>
      <c r="N391" t="s">
        <v>2460</v>
      </c>
      <c r="O391">
        <v>5155</v>
      </c>
      <c r="P391" t="s">
        <v>2460</v>
      </c>
      <c r="Q391">
        <v>5264</v>
      </c>
      <c r="R391" t="s">
        <v>2460</v>
      </c>
      <c r="S391" t="s">
        <v>988</v>
      </c>
    </row>
    <row r="392" spans="1:19" hidden="1" x14ac:dyDescent="0.3">
      <c r="A392">
        <v>1049</v>
      </c>
      <c r="B392" t="s">
        <v>1551</v>
      </c>
      <c r="C392" t="s">
        <v>2877</v>
      </c>
      <c r="D392" t="s">
        <v>1203</v>
      </c>
      <c r="E392" t="s">
        <v>1204</v>
      </c>
      <c r="F392">
        <v>5895</v>
      </c>
      <c r="G392" t="s">
        <v>687</v>
      </c>
      <c r="H392" t="s">
        <v>2460</v>
      </c>
      <c r="I392">
        <v>4365</v>
      </c>
      <c r="J392" t="s">
        <v>2460</v>
      </c>
      <c r="K392">
        <v>4367</v>
      </c>
      <c r="L392" t="s">
        <v>2460</v>
      </c>
      <c r="M392">
        <v>4369</v>
      </c>
      <c r="N392" t="s">
        <v>2460</v>
      </c>
      <c r="O392">
        <v>4371</v>
      </c>
      <c r="P392" t="s">
        <v>2460</v>
      </c>
      <c r="Q392">
        <v>4374</v>
      </c>
      <c r="R392" t="s">
        <v>2460</v>
      </c>
      <c r="S392" t="s">
        <v>988</v>
      </c>
    </row>
    <row r="393" spans="1:19" hidden="1" x14ac:dyDescent="0.3">
      <c r="A393">
        <v>1049</v>
      </c>
      <c r="B393" t="s">
        <v>1551</v>
      </c>
      <c r="C393" t="s">
        <v>2877</v>
      </c>
      <c r="D393" t="s">
        <v>1203</v>
      </c>
      <c r="E393" t="s">
        <v>1204</v>
      </c>
      <c r="F393">
        <v>5895</v>
      </c>
      <c r="G393" t="s">
        <v>2679</v>
      </c>
      <c r="H393" t="s">
        <v>2460</v>
      </c>
      <c r="I393">
        <v>200</v>
      </c>
      <c r="J393" t="s">
        <v>2460</v>
      </c>
      <c r="K393">
        <v>200</v>
      </c>
      <c r="L393" t="s">
        <v>2460</v>
      </c>
      <c r="M393">
        <v>200</v>
      </c>
      <c r="N393" t="s">
        <v>2460</v>
      </c>
      <c r="O393">
        <v>200</v>
      </c>
      <c r="P393" t="s">
        <v>2460</v>
      </c>
      <c r="Q393">
        <v>200</v>
      </c>
      <c r="R393" t="s">
        <v>2460</v>
      </c>
      <c r="S393" t="s">
        <v>988</v>
      </c>
    </row>
    <row r="394" spans="1:19" hidden="1" x14ac:dyDescent="0.3">
      <c r="A394">
        <v>1052</v>
      </c>
      <c r="B394" t="s">
        <v>1552</v>
      </c>
      <c r="C394" t="s">
        <v>2877</v>
      </c>
      <c r="D394" t="s">
        <v>1203</v>
      </c>
      <c r="E394" t="s">
        <v>1204</v>
      </c>
      <c r="F394">
        <v>5896</v>
      </c>
      <c r="G394" t="s">
        <v>687</v>
      </c>
      <c r="H394" t="s">
        <v>2460</v>
      </c>
      <c r="I394">
        <v>6105</v>
      </c>
      <c r="J394" t="s">
        <v>2460</v>
      </c>
      <c r="K394">
        <v>6266</v>
      </c>
      <c r="L394" t="s">
        <v>2460</v>
      </c>
      <c r="M394">
        <v>6432</v>
      </c>
      <c r="N394" t="s">
        <v>2460</v>
      </c>
      <c r="O394">
        <v>6603</v>
      </c>
      <c r="P394" t="s">
        <v>2460</v>
      </c>
      <c r="Q394">
        <v>6777</v>
      </c>
      <c r="R394" t="s">
        <v>2460</v>
      </c>
      <c r="S394" t="s">
        <v>988</v>
      </c>
    </row>
    <row r="395" spans="1:19" hidden="1" x14ac:dyDescent="0.3">
      <c r="A395">
        <v>1053</v>
      </c>
      <c r="B395" t="s">
        <v>1553</v>
      </c>
      <c r="C395" t="s">
        <v>2877</v>
      </c>
      <c r="D395" t="s">
        <v>1203</v>
      </c>
      <c r="E395" t="s">
        <v>1204</v>
      </c>
      <c r="F395">
        <v>5897</v>
      </c>
      <c r="G395" t="s">
        <v>687</v>
      </c>
      <c r="H395" t="s">
        <v>2460</v>
      </c>
      <c r="I395">
        <v>6657</v>
      </c>
      <c r="J395" t="s">
        <v>2460</v>
      </c>
      <c r="K395">
        <v>6683</v>
      </c>
      <c r="L395" t="s">
        <v>2460</v>
      </c>
      <c r="M395">
        <v>6709</v>
      </c>
      <c r="N395" t="s">
        <v>2460</v>
      </c>
      <c r="O395">
        <v>6736</v>
      </c>
      <c r="P395" t="s">
        <v>2460</v>
      </c>
      <c r="Q395">
        <v>6762</v>
      </c>
      <c r="R395" t="s">
        <v>2460</v>
      </c>
      <c r="S395" t="s">
        <v>988</v>
      </c>
    </row>
    <row r="396" spans="1:19" hidden="1" x14ac:dyDescent="0.3">
      <c r="A396">
        <v>1054</v>
      </c>
      <c r="B396" t="s">
        <v>1554</v>
      </c>
      <c r="C396" t="s">
        <v>2877</v>
      </c>
      <c r="D396" t="s">
        <v>1203</v>
      </c>
      <c r="E396" t="s">
        <v>1204</v>
      </c>
      <c r="F396">
        <v>5540</v>
      </c>
      <c r="G396" t="s">
        <v>2683</v>
      </c>
      <c r="H396" t="s">
        <v>2084</v>
      </c>
      <c r="I396">
        <v>200</v>
      </c>
      <c r="J396" t="s">
        <v>2460</v>
      </c>
      <c r="K396">
        <v>200</v>
      </c>
      <c r="L396" t="s">
        <v>2460</v>
      </c>
      <c r="M396">
        <v>200</v>
      </c>
      <c r="N396" t="s">
        <v>2460</v>
      </c>
      <c r="O396">
        <v>200</v>
      </c>
      <c r="P396" t="s">
        <v>2460</v>
      </c>
      <c r="Q396">
        <v>200</v>
      </c>
      <c r="R396" t="s">
        <v>2460</v>
      </c>
      <c r="S396" t="s">
        <v>988</v>
      </c>
    </row>
    <row r="397" spans="1:19" hidden="1" x14ac:dyDescent="0.3">
      <c r="A397">
        <v>1054</v>
      </c>
      <c r="B397" t="s">
        <v>1554</v>
      </c>
      <c r="C397" t="s">
        <v>2877</v>
      </c>
      <c r="D397" t="s">
        <v>1203</v>
      </c>
      <c r="E397" t="s">
        <v>1204</v>
      </c>
      <c r="F397">
        <v>5540</v>
      </c>
      <c r="G397" t="s">
        <v>2683</v>
      </c>
      <c r="H397" t="s">
        <v>3272</v>
      </c>
      <c r="I397">
        <v>500</v>
      </c>
      <c r="J397" t="s">
        <v>2460</v>
      </c>
      <c r="K397">
        <v>500</v>
      </c>
      <c r="L397" t="s">
        <v>2460</v>
      </c>
      <c r="M397">
        <v>500</v>
      </c>
      <c r="N397" t="s">
        <v>2460</v>
      </c>
      <c r="O397">
        <v>500</v>
      </c>
      <c r="P397" t="s">
        <v>2460</v>
      </c>
      <c r="Q397">
        <v>500</v>
      </c>
      <c r="R397" t="s">
        <v>2460</v>
      </c>
      <c r="S397" t="s">
        <v>988</v>
      </c>
    </row>
    <row r="398" spans="1:19" hidden="1" x14ac:dyDescent="0.3">
      <c r="A398">
        <v>1054</v>
      </c>
      <c r="B398" t="s">
        <v>1554</v>
      </c>
      <c r="C398" t="s">
        <v>2877</v>
      </c>
      <c r="D398" t="s">
        <v>1203</v>
      </c>
      <c r="E398" t="s">
        <v>1204</v>
      </c>
      <c r="F398">
        <v>5540</v>
      </c>
      <c r="G398" t="s">
        <v>2681</v>
      </c>
      <c r="H398" t="s">
        <v>2888</v>
      </c>
      <c r="I398">
        <v>3000</v>
      </c>
      <c r="J398" t="s">
        <v>2460</v>
      </c>
      <c r="K398">
        <v>3000</v>
      </c>
      <c r="L398" t="s">
        <v>2460</v>
      </c>
      <c r="M398">
        <v>3000</v>
      </c>
      <c r="N398" t="s">
        <v>2460</v>
      </c>
      <c r="O398">
        <v>3000</v>
      </c>
      <c r="P398" t="s">
        <v>2460</v>
      </c>
      <c r="Q398">
        <v>3000</v>
      </c>
      <c r="R398" t="s">
        <v>2460</v>
      </c>
      <c r="S398" t="s">
        <v>988</v>
      </c>
    </row>
    <row r="399" spans="1:19" hidden="1" x14ac:dyDescent="0.3">
      <c r="A399">
        <v>1054</v>
      </c>
      <c r="B399" t="s">
        <v>1554</v>
      </c>
      <c r="C399" t="s">
        <v>2877</v>
      </c>
      <c r="D399" t="s">
        <v>1203</v>
      </c>
      <c r="E399" t="s">
        <v>1204</v>
      </c>
      <c r="F399">
        <v>5540</v>
      </c>
      <c r="G399" t="s">
        <v>2683</v>
      </c>
      <c r="H399" t="s">
        <v>2228</v>
      </c>
      <c r="I399">
        <v>7053</v>
      </c>
      <c r="J399" t="s">
        <v>2460</v>
      </c>
      <c r="K399">
        <v>7096</v>
      </c>
      <c r="L399" t="s">
        <v>2460</v>
      </c>
      <c r="M399">
        <v>7140</v>
      </c>
      <c r="N399" t="s">
        <v>2460</v>
      </c>
      <c r="O399">
        <v>7183</v>
      </c>
      <c r="P399" t="s">
        <v>2460</v>
      </c>
      <c r="Q399">
        <v>7227</v>
      </c>
      <c r="R399" t="s">
        <v>2460</v>
      </c>
      <c r="S399" t="s">
        <v>988</v>
      </c>
    </row>
    <row r="400" spans="1:19" hidden="1" x14ac:dyDescent="0.3">
      <c r="A400">
        <v>1057</v>
      </c>
      <c r="B400" t="s">
        <v>1555</v>
      </c>
      <c r="C400" t="s">
        <v>2877</v>
      </c>
      <c r="D400" t="s">
        <v>1203</v>
      </c>
      <c r="E400" t="s">
        <v>1204</v>
      </c>
      <c r="F400">
        <v>5898</v>
      </c>
      <c r="G400" t="s">
        <v>687</v>
      </c>
      <c r="H400" t="s">
        <v>2460</v>
      </c>
      <c r="I400">
        <v>6062</v>
      </c>
      <c r="J400" t="s">
        <v>2460</v>
      </c>
      <c r="K400">
        <v>6189</v>
      </c>
      <c r="L400" t="s">
        <v>2460</v>
      </c>
      <c r="M400">
        <v>6318</v>
      </c>
      <c r="N400" t="s">
        <v>2460</v>
      </c>
      <c r="O400">
        <v>6450</v>
      </c>
      <c r="P400" t="s">
        <v>2460</v>
      </c>
      <c r="Q400">
        <v>6585</v>
      </c>
      <c r="R400" t="s">
        <v>2460</v>
      </c>
      <c r="S400" t="s">
        <v>988</v>
      </c>
    </row>
    <row r="401" spans="1:19" hidden="1" x14ac:dyDescent="0.3">
      <c r="A401">
        <v>1058</v>
      </c>
      <c r="B401" t="s">
        <v>1556</v>
      </c>
      <c r="C401" t="s">
        <v>2877</v>
      </c>
      <c r="D401" t="s">
        <v>1203</v>
      </c>
      <c r="E401" t="s">
        <v>1204</v>
      </c>
      <c r="F401">
        <v>5899</v>
      </c>
      <c r="G401" t="s">
        <v>687</v>
      </c>
      <c r="H401" t="s">
        <v>2460</v>
      </c>
      <c r="I401">
        <v>2954</v>
      </c>
      <c r="J401" t="s">
        <v>2460</v>
      </c>
      <c r="K401">
        <v>2988</v>
      </c>
      <c r="L401" t="s">
        <v>2460</v>
      </c>
      <c r="M401">
        <v>3022</v>
      </c>
      <c r="N401" t="s">
        <v>2460</v>
      </c>
      <c r="O401">
        <v>3056</v>
      </c>
      <c r="P401" t="s">
        <v>2460</v>
      </c>
      <c r="Q401">
        <v>3091</v>
      </c>
      <c r="R401" t="s">
        <v>2460</v>
      </c>
      <c r="S401" t="s">
        <v>988</v>
      </c>
    </row>
    <row r="402" spans="1:19" hidden="1" x14ac:dyDescent="0.3">
      <c r="A402">
        <v>1059</v>
      </c>
      <c r="B402" t="s">
        <v>1557</v>
      </c>
      <c r="C402" t="s">
        <v>2877</v>
      </c>
      <c r="D402" t="s">
        <v>1203</v>
      </c>
      <c r="E402" t="s">
        <v>1204</v>
      </c>
      <c r="F402">
        <v>5900</v>
      </c>
      <c r="G402" t="s">
        <v>2679</v>
      </c>
      <c r="H402" t="s">
        <v>2460</v>
      </c>
      <c r="I402">
        <v>30</v>
      </c>
      <c r="J402" t="s">
        <v>2460</v>
      </c>
      <c r="K402">
        <v>30</v>
      </c>
      <c r="L402" t="s">
        <v>2460</v>
      </c>
      <c r="M402">
        <v>30</v>
      </c>
      <c r="N402" t="s">
        <v>2460</v>
      </c>
      <c r="O402">
        <v>30</v>
      </c>
      <c r="P402" t="s">
        <v>2460</v>
      </c>
      <c r="Q402">
        <v>30</v>
      </c>
      <c r="R402" t="s">
        <v>2460</v>
      </c>
      <c r="S402" t="s">
        <v>988</v>
      </c>
    </row>
    <row r="403" spans="1:19" hidden="1" x14ac:dyDescent="0.3">
      <c r="A403">
        <v>1059</v>
      </c>
      <c r="B403" t="s">
        <v>1557</v>
      </c>
      <c r="C403" t="s">
        <v>2877</v>
      </c>
      <c r="D403" t="s">
        <v>1203</v>
      </c>
      <c r="E403" t="s">
        <v>1204</v>
      </c>
      <c r="F403">
        <v>5900</v>
      </c>
      <c r="G403" t="s">
        <v>687</v>
      </c>
      <c r="H403" t="s">
        <v>2460</v>
      </c>
      <c r="I403">
        <v>2396</v>
      </c>
      <c r="J403" t="s">
        <v>2460</v>
      </c>
      <c r="K403">
        <v>2422</v>
      </c>
      <c r="L403" t="s">
        <v>2460</v>
      </c>
      <c r="M403">
        <v>2447</v>
      </c>
      <c r="N403" t="s">
        <v>2460</v>
      </c>
      <c r="O403">
        <v>2474</v>
      </c>
      <c r="P403" t="s">
        <v>2460</v>
      </c>
      <c r="Q403">
        <v>2500</v>
      </c>
      <c r="R403" t="s">
        <v>2460</v>
      </c>
      <c r="S403" t="s">
        <v>988</v>
      </c>
    </row>
    <row r="404" spans="1:19" hidden="1" x14ac:dyDescent="0.3">
      <c r="A404">
        <v>1060</v>
      </c>
      <c r="B404" t="s">
        <v>1558</v>
      </c>
      <c r="C404" t="s">
        <v>2877</v>
      </c>
      <c r="D404" t="s">
        <v>1203</v>
      </c>
      <c r="E404" t="s">
        <v>1204</v>
      </c>
      <c r="F404">
        <v>5901</v>
      </c>
      <c r="G404" t="s">
        <v>687</v>
      </c>
      <c r="H404" t="s">
        <v>2460</v>
      </c>
      <c r="I404">
        <v>26939</v>
      </c>
      <c r="J404" t="s">
        <v>2460</v>
      </c>
      <c r="K404">
        <v>27347</v>
      </c>
      <c r="L404" t="s">
        <v>2460</v>
      </c>
      <c r="M404">
        <v>27761</v>
      </c>
      <c r="N404" t="s">
        <v>2460</v>
      </c>
      <c r="O404">
        <v>28181</v>
      </c>
      <c r="P404" t="s">
        <v>2460</v>
      </c>
      <c r="Q404">
        <v>28608</v>
      </c>
      <c r="R404" t="s">
        <v>2460</v>
      </c>
      <c r="S404" t="s">
        <v>988</v>
      </c>
    </row>
    <row r="405" spans="1:19" hidden="1" x14ac:dyDescent="0.3">
      <c r="A405">
        <v>1060</v>
      </c>
      <c r="B405" t="s">
        <v>1558</v>
      </c>
      <c r="C405" t="s">
        <v>2877</v>
      </c>
      <c r="D405" t="s">
        <v>1203</v>
      </c>
      <c r="E405" t="s">
        <v>1204</v>
      </c>
      <c r="F405">
        <v>5901</v>
      </c>
      <c r="G405" t="s">
        <v>2679</v>
      </c>
      <c r="H405" t="s">
        <v>2460</v>
      </c>
      <c r="I405">
        <v>500</v>
      </c>
      <c r="J405" t="s">
        <v>2460</v>
      </c>
      <c r="K405">
        <v>500</v>
      </c>
      <c r="L405" t="s">
        <v>2460</v>
      </c>
      <c r="M405">
        <v>500</v>
      </c>
      <c r="N405" t="s">
        <v>2460</v>
      </c>
      <c r="O405">
        <v>500</v>
      </c>
      <c r="P405" t="s">
        <v>2460</v>
      </c>
      <c r="Q405">
        <v>500</v>
      </c>
      <c r="R405" t="s">
        <v>2460</v>
      </c>
      <c r="S405" t="s">
        <v>988</v>
      </c>
    </row>
    <row r="406" spans="1:19" hidden="1" x14ac:dyDescent="0.3">
      <c r="A406">
        <v>1062</v>
      </c>
      <c r="B406" t="s">
        <v>1559</v>
      </c>
      <c r="C406" t="s">
        <v>2877</v>
      </c>
      <c r="D406" t="s">
        <v>1203</v>
      </c>
      <c r="E406" t="s">
        <v>1204</v>
      </c>
      <c r="F406">
        <v>5886</v>
      </c>
      <c r="G406" t="s">
        <v>2679</v>
      </c>
      <c r="H406" t="s">
        <v>2460</v>
      </c>
      <c r="I406">
        <v>250</v>
      </c>
      <c r="J406" t="s">
        <v>2460</v>
      </c>
      <c r="K406">
        <v>250</v>
      </c>
      <c r="L406" t="s">
        <v>2460</v>
      </c>
      <c r="M406">
        <v>250</v>
      </c>
      <c r="N406" t="s">
        <v>2460</v>
      </c>
      <c r="O406">
        <v>250</v>
      </c>
      <c r="P406" t="s">
        <v>2460</v>
      </c>
      <c r="Q406">
        <v>250</v>
      </c>
      <c r="R406" t="s">
        <v>2460</v>
      </c>
      <c r="S406" t="s">
        <v>988</v>
      </c>
    </row>
    <row r="407" spans="1:19" hidden="1" x14ac:dyDescent="0.3">
      <c r="A407">
        <v>1062</v>
      </c>
      <c r="B407" t="s">
        <v>1559</v>
      </c>
      <c r="C407" t="s">
        <v>2877</v>
      </c>
      <c r="D407" t="s">
        <v>1203</v>
      </c>
      <c r="E407" t="s">
        <v>1204</v>
      </c>
      <c r="F407">
        <v>5886</v>
      </c>
      <c r="G407" t="s">
        <v>687</v>
      </c>
      <c r="H407" t="s">
        <v>2460</v>
      </c>
      <c r="I407">
        <v>14137</v>
      </c>
      <c r="J407" t="s">
        <v>2460</v>
      </c>
      <c r="K407">
        <v>14527</v>
      </c>
      <c r="L407" t="s">
        <v>2460</v>
      </c>
      <c r="M407">
        <v>14926</v>
      </c>
      <c r="N407" t="s">
        <v>2460</v>
      </c>
      <c r="O407">
        <v>15337</v>
      </c>
      <c r="P407" t="s">
        <v>2460</v>
      </c>
      <c r="Q407">
        <v>15759</v>
      </c>
      <c r="R407" t="s">
        <v>2460</v>
      </c>
      <c r="S407" t="s">
        <v>988</v>
      </c>
    </row>
    <row r="408" spans="1:19" hidden="1" x14ac:dyDescent="0.3">
      <c r="A408">
        <v>1068</v>
      </c>
      <c r="B408" t="s">
        <v>1560</v>
      </c>
      <c r="C408" t="s">
        <v>2877</v>
      </c>
      <c r="D408" t="s">
        <v>159</v>
      </c>
      <c r="E408" t="s">
        <v>159</v>
      </c>
      <c r="F408">
        <v>5489</v>
      </c>
      <c r="G408" t="s">
        <v>2683</v>
      </c>
      <c r="H408" t="s">
        <v>2460</v>
      </c>
      <c r="I408">
        <v>3800</v>
      </c>
      <c r="J408" t="s">
        <v>2460</v>
      </c>
      <c r="K408">
        <v>3800</v>
      </c>
      <c r="L408" t="s">
        <v>2460</v>
      </c>
      <c r="M408">
        <v>3800</v>
      </c>
      <c r="N408" t="s">
        <v>2460</v>
      </c>
      <c r="O408">
        <v>3800</v>
      </c>
      <c r="P408" t="s">
        <v>2460</v>
      </c>
      <c r="R408" t="s">
        <v>2460</v>
      </c>
      <c r="S408" t="s">
        <v>988</v>
      </c>
    </row>
    <row r="409" spans="1:19" hidden="1" x14ac:dyDescent="0.3">
      <c r="A409">
        <v>1068</v>
      </c>
      <c r="B409" t="s">
        <v>1560</v>
      </c>
      <c r="C409" t="s">
        <v>2877</v>
      </c>
      <c r="D409" t="s">
        <v>159</v>
      </c>
      <c r="E409" t="s">
        <v>159</v>
      </c>
      <c r="F409">
        <v>5489</v>
      </c>
      <c r="G409" t="s">
        <v>2691</v>
      </c>
      <c r="H409" t="s">
        <v>2460</v>
      </c>
      <c r="I409">
        <v>9322</v>
      </c>
      <c r="J409" t="s">
        <v>2460</v>
      </c>
      <c r="K409">
        <v>9322</v>
      </c>
      <c r="L409" t="s">
        <v>2460</v>
      </c>
      <c r="M409">
        <v>9322</v>
      </c>
      <c r="N409" t="s">
        <v>2460</v>
      </c>
      <c r="O409">
        <v>9322</v>
      </c>
      <c r="P409" t="s">
        <v>2460</v>
      </c>
      <c r="R409" t="s">
        <v>2460</v>
      </c>
      <c r="S409" t="s">
        <v>988</v>
      </c>
    </row>
    <row r="410" spans="1:19" hidden="1" x14ac:dyDescent="0.3">
      <c r="A410">
        <v>1068</v>
      </c>
      <c r="B410" t="s">
        <v>1560</v>
      </c>
      <c r="C410" t="s">
        <v>2877</v>
      </c>
      <c r="D410" t="s">
        <v>159</v>
      </c>
      <c r="E410" t="s">
        <v>159</v>
      </c>
      <c r="F410">
        <v>5489</v>
      </c>
      <c r="G410" t="s">
        <v>2679</v>
      </c>
      <c r="H410" t="s">
        <v>2460</v>
      </c>
      <c r="I410">
        <v>768</v>
      </c>
      <c r="J410" t="s">
        <v>2460</v>
      </c>
      <c r="K410">
        <v>772</v>
      </c>
      <c r="L410" t="s">
        <v>2460</v>
      </c>
      <c r="M410">
        <v>772</v>
      </c>
      <c r="N410" t="s">
        <v>2460</v>
      </c>
      <c r="O410">
        <v>772</v>
      </c>
      <c r="P410" t="s">
        <v>2460</v>
      </c>
      <c r="R410" t="s">
        <v>2460</v>
      </c>
      <c r="S410" t="s">
        <v>988</v>
      </c>
    </row>
    <row r="411" spans="1:19" hidden="1" x14ac:dyDescent="0.3">
      <c r="A411">
        <v>1068</v>
      </c>
      <c r="B411" t="s">
        <v>1560</v>
      </c>
      <c r="C411" t="s">
        <v>2877</v>
      </c>
      <c r="D411" t="s">
        <v>159</v>
      </c>
      <c r="E411" t="s">
        <v>159</v>
      </c>
      <c r="F411">
        <v>5489</v>
      </c>
      <c r="G411" t="s">
        <v>2681</v>
      </c>
      <c r="H411" t="s">
        <v>2460</v>
      </c>
      <c r="I411">
        <v>2350</v>
      </c>
      <c r="J411" t="s">
        <v>2460</v>
      </c>
      <c r="K411">
        <v>2350</v>
      </c>
      <c r="L411" t="s">
        <v>2460</v>
      </c>
      <c r="M411">
        <v>2350</v>
      </c>
      <c r="N411" t="s">
        <v>2460</v>
      </c>
      <c r="O411">
        <v>2350</v>
      </c>
      <c r="P411" t="s">
        <v>2460</v>
      </c>
      <c r="R411" t="s">
        <v>2460</v>
      </c>
      <c r="S411" t="s">
        <v>988</v>
      </c>
    </row>
    <row r="412" spans="1:19" hidden="1" x14ac:dyDescent="0.3">
      <c r="A412">
        <v>1083</v>
      </c>
      <c r="B412" t="s">
        <v>1561</v>
      </c>
      <c r="C412" t="s">
        <v>2877</v>
      </c>
      <c r="D412" t="s">
        <v>1203</v>
      </c>
      <c r="E412" t="s">
        <v>1204</v>
      </c>
      <c r="F412">
        <v>5752</v>
      </c>
      <c r="G412" t="s">
        <v>2687</v>
      </c>
      <c r="H412" t="s">
        <v>3276</v>
      </c>
      <c r="I412">
        <v>36332.563256150002</v>
      </c>
      <c r="J412" t="s">
        <v>2460</v>
      </c>
      <c r="K412">
        <v>38913.497938</v>
      </c>
      <c r="L412" t="s">
        <v>2460</v>
      </c>
      <c r="M412">
        <v>38913.497938</v>
      </c>
      <c r="N412" t="s">
        <v>2460</v>
      </c>
      <c r="O412">
        <v>38913.497938</v>
      </c>
      <c r="P412" t="s">
        <v>2460</v>
      </c>
      <c r="Q412">
        <v>38913.497938</v>
      </c>
      <c r="R412" t="s">
        <v>2460</v>
      </c>
      <c r="S412" t="s">
        <v>988</v>
      </c>
    </row>
    <row r="413" spans="1:19" hidden="1" x14ac:dyDescent="0.3">
      <c r="A413">
        <v>1094</v>
      </c>
      <c r="B413" t="s">
        <v>1564</v>
      </c>
      <c r="C413" t="s">
        <v>2877</v>
      </c>
      <c r="D413" t="s">
        <v>1203</v>
      </c>
      <c r="E413" t="s">
        <v>1204</v>
      </c>
      <c r="F413">
        <v>5821</v>
      </c>
      <c r="G413" t="s">
        <v>2681</v>
      </c>
      <c r="H413" t="s">
        <v>3277</v>
      </c>
      <c r="I413">
        <v>9722.2367087999992</v>
      </c>
      <c r="J413" t="s">
        <v>2460</v>
      </c>
      <c r="K413">
        <v>9722.2367087999992</v>
      </c>
      <c r="L413" t="s">
        <v>2460</v>
      </c>
      <c r="M413">
        <v>9722.2367087999992</v>
      </c>
      <c r="N413" t="s">
        <v>2460</v>
      </c>
      <c r="O413">
        <v>9722.2367087999992</v>
      </c>
      <c r="P413" t="s">
        <v>2460</v>
      </c>
      <c r="Q413">
        <v>9722.2367087999992</v>
      </c>
      <c r="R413" t="s">
        <v>2460</v>
      </c>
      <c r="S413" t="s">
        <v>988</v>
      </c>
    </row>
    <row r="414" spans="1:19" hidden="1" x14ac:dyDescent="0.3">
      <c r="A414">
        <v>1109</v>
      </c>
      <c r="B414" t="s">
        <v>1566</v>
      </c>
      <c r="C414" t="s">
        <v>2877</v>
      </c>
      <c r="D414" t="s">
        <v>1203</v>
      </c>
      <c r="E414" t="s">
        <v>1204</v>
      </c>
      <c r="F414">
        <v>6747</v>
      </c>
      <c r="G414" t="s">
        <v>2683</v>
      </c>
      <c r="H414" t="s">
        <v>3278</v>
      </c>
      <c r="I414">
        <v>435.78207470000001</v>
      </c>
      <c r="J414" t="s">
        <v>3279</v>
      </c>
      <c r="K414">
        <v>448.05762609999999</v>
      </c>
      <c r="L414" t="s">
        <v>3280</v>
      </c>
      <c r="M414">
        <v>463.40206534999999</v>
      </c>
      <c r="N414" t="s">
        <v>3281</v>
      </c>
      <c r="O414">
        <v>487.95316815000001</v>
      </c>
      <c r="P414" t="s">
        <v>3282</v>
      </c>
      <c r="Q414">
        <v>521.71093450000001</v>
      </c>
      <c r="R414" t="s">
        <v>3283</v>
      </c>
      <c r="S414" t="s">
        <v>988</v>
      </c>
    </row>
    <row r="415" spans="1:19" hidden="1" x14ac:dyDescent="0.3">
      <c r="A415">
        <v>1110</v>
      </c>
      <c r="B415" t="s">
        <v>1571</v>
      </c>
      <c r="C415" t="s">
        <v>2877</v>
      </c>
      <c r="D415" t="s">
        <v>1203</v>
      </c>
      <c r="E415" t="s">
        <v>1204</v>
      </c>
      <c r="F415">
        <v>7139</v>
      </c>
      <c r="G415" t="s">
        <v>2683</v>
      </c>
      <c r="H415" t="s">
        <v>3284</v>
      </c>
      <c r="I415">
        <v>800</v>
      </c>
      <c r="J415" t="s">
        <v>2460</v>
      </c>
      <c r="K415">
        <v>800</v>
      </c>
      <c r="L415" t="s">
        <v>2460</v>
      </c>
      <c r="M415">
        <v>800</v>
      </c>
      <c r="N415" t="s">
        <v>2460</v>
      </c>
      <c r="O415">
        <v>800</v>
      </c>
      <c r="P415" t="s">
        <v>2460</v>
      </c>
      <c r="Q415">
        <v>800</v>
      </c>
      <c r="R415" t="s">
        <v>2460</v>
      </c>
      <c r="S415" t="s">
        <v>988</v>
      </c>
    </row>
    <row r="416" spans="1:19" hidden="1" x14ac:dyDescent="0.3">
      <c r="A416">
        <v>1110</v>
      </c>
      <c r="B416" t="s">
        <v>1571</v>
      </c>
      <c r="C416" t="s">
        <v>2877</v>
      </c>
      <c r="D416" t="s">
        <v>1203</v>
      </c>
      <c r="E416" t="s">
        <v>1204</v>
      </c>
      <c r="F416">
        <v>7139</v>
      </c>
      <c r="G416" t="s">
        <v>2683</v>
      </c>
      <c r="H416" t="s">
        <v>3285</v>
      </c>
      <c r="I416">
        <v>324</v>
      </c>
      <c r="J416" t="s">
        <v>2460</v>
      </c>
      <c r="K416">
        <v>324</v>
      </c>
      <c r="L416" t="s">
        <v>2460</v>
      </c>
      <c r="M416">
        <v>324</v>
      </c>
      <c r="N416" t="s">
        <v>2460</v>
      </c>
      <c r="O416">
        <v>324</v>
      </c>
      <c r="P416" t="s">
        <v>2460</v>
      </c>
      <c r="Q416">
        <v>324</v>
      </c>
      <c r="R416" t="s">
        <v>2460</v>
      </c>
      <c r="S416" t="s">
        <v>988</v>
      </c>
    </row>
    <row r="417" spans="1:19" hidden="1" x14ac:dyDescent="0.3">
      <c r="A417">
        <v>1110</v>
      </c>
      <c r="B417" t="s">
        <v>1571</v>
      </c>
      <c r="C417" t="s">
        <v>2877</v>
      </c>
      <c r="D417" t="s">
        <v>1203</v>
      </c>
      <c r="E417" t="s">
        <v>1204</v>
      </c>
      <c r="F417">
        <v>7139</v>
      </c>
      <c r="G417" t="s">
        <v>2681</v>
      </c>
      <c r="H417" t="s">
        <v>3286</v>
      </c>
      <c r="I417">
        <v>500</v>
      </c>
      <c r="J417" t="s">
        <v>2460</v>
      </c>
      <c r="K417">
        <v>500</v>
      </c>
      <c r="L417" t="s">
        <v>2460</v>
      </c>
      <c r="M417">
        <v>500</v>
      </c>
      <c r="N417" t="s">
        <v>2460</v>
      </c>
      <c r="O417">
        <v>550</v>
      </c>
      <c r="P417" t="s">
        <v>2460</v>
      </c>
      <c r="Q417">
        <v>600</v>
      </c>
      <c r="R417" t="s">
        <v>2460</v>
      </c>
      <c r="S417" t="s">
        <v>988</v>
      </c>
    </row>
    <row r="418" spans="1:19" hidden="1" x14ac:dyDescent="0.3">
      <c r="A418">
        <v>1125</v>
      </c>
      <c r="B418" t="s">
        <v>1572</v>
      </c>
      <c r="C418" t="s">
        <v>2877</v>
      </c>
      <c r="D418" t="s">
        <v>1203</v>
      </c>
      <c r="E418" t="s">
        <v>1204</v>
      </c>
      <c r="F418">
        <v>6188</v>
      </c>
      <c r="G418" t="s">
        <v>2681</v>
      </c>
      <c r="H418" t="s">
        <v>2460</v>
      </c>
      <c r="I418">
        <v>10033</v>
      </c>
      <c r="J418" t="s">
        <v>2460</v>
      </c>
      <c r="K418">
        <v>10033</v>
      </c>
      <c r="L418" t="s">
        <v>2460</v>
      </c>
      <c r="M418">
        <v>10033</v>
      </c>
      <c r="N418" t="s">
        <v>2460</v>
      </c>
      <c r="O418">
        <v>10033</v>
      </c>
      <c r="P418" t="s">
        <v>2460</v>
      </c>
      <c r="Q418">
        <v>10033</v>
      </c>
      <c r="R418" t="s">
        <v>2460</v>
      </c>
      <c r="S418" t="s">
        <v>988</v>
      </c>
    </row>
    <row r="419" spans="1:19" hidden="1" x14ac:dyDescent="0.3">
      <c r="A419">
        <v>1125</v>
      </c>
      <c r="B419" t="s">
        <v>1572</v>
      </c>
      <c r="C419" t="s">
        <v>2877</v>
      </c>
      <c r="D419" t="s">
        <v>1203</v>
      </c>
      <c r="E419" t="s">
        <v>1204</v>
      </c>
      <c r="F419">
        <v>6188</v>
      </c>
      <c r="G419" t="s">
        <v>2679</v>
      </c>
      <c r="H419" t="s">
        <v>2460</v>
      </c>
      <c r="I419">
        <v>5077</v>
      </c>
      <c r="J419" t="s">
        <v>2460</v>
      </c>
      <c r="K419">
        <v>5318</v>
      </c>
      <c r="L419" t="s">
        <v>2460</v>
      </c>
      <c r="M419">
        <v>5569</v>
      </c>
      <c r="N419" t="s">
        <v>2460</v>
      </c>
      <c r="O419">
        <v>5833</v>
      </c>
      <c r="P419" t="s">
        <v>2460</v>
      </c>
      <c r="Q419">
        <v>6109</v>
      </c>
      <c r="R419" t="s">
        <v>2460</v>
      </c>
      <c r="S419" t="s">
        <v>988</v>
      </c>
    </row>
    <row r="420" spans="1:19" hidden="1" x14ac:dyDescent="0.3">
      <c r="A420">
        <v>1142</v>
      </c>
      <c r="B420" t="s">
        <v>1574</v>
      </c>
      <c r="C420" t="s">
        <v>2877</v>
      </c>
      <c r="D420" t="s">
        <v>1203</v>
      </c>
      <c r="E420" t="s">
        <v>1204</v>
      </c>
      <c r="F420">
        <v>7556</v>
      </c>
      <c r="G420" t="s">
        <v>2679</v>
      </c>
      <c r="H420" t="s">
        <v>3287</v>
      </c>
      <c r="I420">
        <v>95</v>
      </c>
      <c r="J420" t="s">
        <v>2460</v>
      </c>
      <c r="K420">
        <v>95</v>
      </c>
      <c r="L420" t="s">
        <v>2460</v>
      </c>
      <c r="M420">
        <v>95</v>
      </c>
      <c r="N420" t="s">
        <v>2460</v>
      </c>
      <c r="O420">
        <v>95</v>
      </c>
      <c r="P420" t="s">
        <v>2460</v>
      </c>
      <c r="Q420">
        <v>95</v>
      </c>
      <c r="R420" t="s">
        <v>2460</v>
      </c>
      <c r="S420" t="s">
        <v>988</v>
      </c>
    </row>
    <row r="421" spans="1:19" hidden="1" x14ac:dyDescent="0.3">
      <c r="A421">
        <v>1142</v>
      </c>
      <c r="B421" t="s">
        <v>1574</v>
      </c>
      <c r="C421" t="s">
        <v>2877</v>
      </c>
      <c r="D421" t="s">
        <v>1203</v>
      </c>
      <c r="E421" t="s">
        <v>1204</v>
      </c>
      <c r="F421">
        <v>7556</v>
      </c>
      <c r="G421" t="s">
        <v>2681</v>
      </c>
      <c r="H421" t="s">
        <v>3071</v>
      </c>
      <c r="I421">
        <v>850</v>
      </c>
      <c r="J421" t="s">
        <v>2460</v>
      </c>
      <c r="K421">
        <v>2580</v>
      </c>
      <c r="L421" t="s">
        <v>2460</v>
      </c>
      <c r="M421">
        <v>2580</v>
      </c>
      <c r="N421" t="s">
        <v>2460</v>
      </c>
      <c r="O421">
        <v>2580</v>
      </c>
      <c r="P421" t="s">
        <v>2460</v>
      </c>
      <c r="Q421">
        <v>2580</v>
      </c>
      <c r="R421" t="s">
        <v>2460</v>
      </c>
      <c r="S421" t="s">
        <v>988</v>
      </c>
    </row>
    <row r="422" spans="1:19" hidden="1" x14ac:dyDescent="0.3">
      <c r="A422">
        <v>1142</v>
      </c>
      <c r="B422" t="s">
        <v>1574</v>
      </c>
      <c r="C422" t="s">
        <v>2877</v>
      </c>
      <c r="D422" t="s">
        <v>1203</v>
      </c>
      <c r="E422" t="s">
        <v>1204</v>
      </c>
      <c r="F422">
        <v>7556</v>
      </c>
      <c r="G422" t="s">
        <v>2683</v>
      </c>
      <c r="H422" t="s">
        <v>3066</v>
      </c>
      <c r="I422">
        <v>2980</v>
      </c>
      <c r="J422" t="s">
        <v>2460</v>
      </c>
      <c r="K422">
        <v>1231</v>
      </c>
      <c r="L422" t="s">
        <v>2460</v>
      </c>
      <c r="M422">
        <v>1237</v>
      </c>
      <c r="N422" t="s">
        <v>2460</v>
      </c>
      <c r="O422">
        <v>1248</v>
      </c>
      <c r="P422" t="s">
        <v>2460</v>
      </c>
      <c r="Q422">
        <v>1283</v>
      </c>
      <c r="R422" t="s">
        <v>2460</v>
      </c>
      <c r="S422" t="s">
        <v>988</v>
      </c>
    </row>
    <row r="423" spans="1:19" hidden="1" x14ac:dyDescent="0.3">
      <c r="A423">
        <v>1143</v>
      </c>
      <c r="B423" t="s">
        <v>1575</v>
      </c>
      <c r="C423" t="s">
        <v>2877</v>
      </c>
      <c r="D423" t="s">
        <v>1203</v>
      </c>
      <c r="E423" t="s">
        <v>1204</v>
      </c>
      <c r="F423">
        <v>5903</v>
      </c>
      <c r="G423" t="s">
        <v>2679</v>
      </c>
      <c r="H423" t="s">
        <v>2460</v>
      </c>
      <c r="I423">
        <v>224.02881305</v>
      </c>
      <c r="J423" t="s">
        <v>2460</v>
      </c>
      <c r="K423">
        <v>224.02881305</v>
      </c>
      <c r="L423" t="s">
        <v>2460</v>
      </c>
      <c r="M423">
        <v>224.02881305</v>
      </c>
      <c r="N423" t="s">
        <v>2460</v>
      </c>
      <c r="O423">
        <v>337.57766350000003</v>
      </c>
      <c r="P423" t="s">
        <v>2460</v>
      </c>
      <c r="R423" t="s">
        <v>2460</v>
      </c>
      <c r="S423" t="s">
        <v>988</v>
      </c>
    </row>
    <row r="424" spans="1:19" hidden="1" x14ac:dyDescent="0.3">
      <c r="A424">
        <v>1143</v>
      </c>
      <c r="B424" t="s">
        <v>1575</v>
      </c>
      <c r="C424" t="s">
        <v>2877</v>
      </c>
      <c r="D424" t="s">
        <v>1203</v>
      </c>
      <c r="E424" t="s">
        <v>1204</v>
      </c>
      <c r="F424">
        <v>5903</v>
      </c>
      <c r="G424" t="s">
        <v>2683</v>
      </c>
      <c r="H424" t="s">
        <v>3288</v>
      </c>
      <c r="I424">
        <v>19917.082146500001</v>
      </c>
      <c r="J424" t="s">
        <v>2460</v>
      </c>
      <c r="K424">
        <v>20834.679613650002</v>
      </c>
      <c r="L424" t="s">
        <v>2460</v>
      </c>
      <c r="M424">
        <v>22016.201435899999</v>
      </c>
      <c r="N424" t="s">
        <v>2460</v>
      </c>
      <c r="O424">
        <v>23203.86103385</v>
      </c>
      <c r="P424" t="s">
        <v>2460</v>
      </c>
      <c r="R424" t="s">
        <v>2460</v>
      </c>
      <c r="S424" t="s">
        <v>988</v>
      </c>
    </row>
    <row r="425" spans="1:19" hidden="1" x14ac:dyDescent="0.3">
      <c r="A425">
        <v>1144</v>
      </c>
      <c r="B425" t="s">
        <v>1581</v>
      </c>
      <c r="C425" t="s">
        <v>2877</v>
      </c>
      <c r="D425" t="s">
        <v>1203</v>
      </c>
      <c r="E425" t="s">
        <v>1204</v>
      </c>
      <c r="F425">
        <v>6619</v>
      </c>
      <c r="G425" t="s">
        <v>2691</v>
      </c>
      <c r="H425" t="s">
        <v>3289</v>
      </c>
      <c r="I425">
        <v>2893.96124255</v>
      </c>
      <c r="J425" t="s">
        <v>3290</v>
      </c>
      <c r="K425">
        <v>2893.96124255</v>
      </c>
      <c r="L425" t="s">
        <v>3290</v>
      </c>
      <c r="M425">
        <v>2893.96124255</v>
      </c>
      <c r="N425" t="s">
        <v>3290</v>
      </c>
      <c r="O425">
        <v>2893.96124255</v>
      </c>
      <c r="P425" t="s">
        <v>3290</v>
      </c>
      <c r="Q425">
        <v>2893.96124255</v>
      </c>
      <c r="R425" t="s">
        <v>3290</v>
      </c>
      <c r="S425" t="s">
        <v>988</v>
      </c>
    </row>
    <row r="426" spans="1:19" hidden="1" x14ac:dyDescent="0.3">
      <c r="A426">
        <v>1144</v>
      </c>
      <c r="B426" t="s">
        <v>1581</v>
      </c>
      <c r="C426" t="s">
        <v>2877</v>
      </c>
      <c r="D426" t="s">
        <v>1203</v>
      </c>
      <c r="E426" t="s">
        <v>1204</v>
      </c>
      <c r="F426">
        <v>6619</v>
      </c>
      <c r="G426" t="s">
        <v>2691</v>
      </c>
      <c r="H426" t="s">
        <v>3291</v>
      </c>
      <c r="I426">
        <v>1273.5884577500001</v>
      </c>
      <c r="J426" t="s">
        <v>3292</v>
      </c>
      <c r="K426">
        <v>1273.5884577500001</v>
      </c>
      <c r="L426" t="s">
        <v>3292</v>
      </c>
      <c r="M426">
        <v>1273.5884577500001</v>
      </c>
      <c r="N426" t="s">
        <v>3292</v>
      </c>
      <c r="O426">
        <v>2172.7725977999999</v>
      </c>
      <c r="P426" t="s">
        <v>3293</v>
      </c>
      <c r="Q426">
        <v>2172.7725977999999</v>
      </c>
      <c r="R426" t="s">
        <v>3293</v>
      </c>
      <c r="S426" t="s">
        <v>988</v>
      </c>
    </row>
    <row r="427" spans="1:19" hidden="1" x14ac:dyDescent="0.3">
      <c r="A427">
        <v>1144</v>
      </c>
      <c r="B427" t="s">
        <v>1581</v>
      </c>
      <c r="C427" t="s">
        <v>2877</v>
      </c>
      <c r="D427" t="s">
        <v>1203</v>
      </c>
      <c r="E427" t="s">
        <v>1204</v>
      </c>
      <c r="F427">
        <v>6619</v>
      </c>
      <c r="G427" t="s">
        <v>2691</v>
      </c>
      <c r="H427" t="s">
        <v>3294</v>
      </c>
      <c r="I427">
        <v>589.2264672</v>
      </c>
      <c r="J427" t="s">
        <v>3295</v>
      </c>
      <c r="K427">
        <v>589.2264672</v>
      </c>
      <c r="L427" t="s">
        <v>3295</v>
      </c>
      <c r="M427">
        <v>589.2264672</v>
      </c>
      <c r="N427" t="s">
        <v>3295</v>
      </c>
      <c r="O427">
        <v>589.2264672</v>
      </c>
      <c r="P427" t="s">
        <v>3295</v>
      </c>
      <c r="Q427">
        <v>589.2264672</v>
      </c>
      <c r="R427" t="s">
        <v>3295</v>
      </c>
      <c r="S427" t="s">
        <v>988</v>
      </c>
    </row>
    <row r="428" spans="1:19" hidden="1" x14ac:dyDescent="0.3">
      <c r="A428">
        <v>1144</v>
      </c>
      <c r="B428" t="s">
        <v>1581</v>
      </c>
      <c r="C428" t="s">
        <v>2877</v>
      </c>
      <c r="D428" t="s">
        <v>1203</v>
      </c>
      <c r="E428" t="s">
        <v>1204</v>
      </c>
      <c r="F428">
        <v>6619</v>
      </c>
      <c r="G428" t="s">
        <v>2683</v>
      </c>
      <c r="H428" t="s">
        <v>3296</v>
      </c>
      <c r="I428">
        <v>423.50652330000003</v>
      </c>
      <c r="J428" t="s">
        <v>3297</v>
      </c>
      <c r="K428">
        <v>423.50652330000003</v>
      </c>
      <c r="L428" t="s">
        <v>3297</v>
      </c>
      <c r="M428">
        <v>423.50652330000003</v>
      </c>
      <c r="N428" t="s">
        <v>3297</v>
      </c>
      <c r="O428">
        <v>423.50652330000003</v>
      </c>
      <c r="P428" t="s">
        <v>3297</v>
      </c>
      <c r="Q428">
        <v>423.50652330000003</v>
      </c>
      <c r="R428" t="s">
        <v>3297</v>
      </c>
      <c r="S428" t="s">
        <v>988</v>
      </c>
    </row>
    <row r="429" spans="1:19" hidden="1" x14ac:dyDescent="0.3">
      <c r="A429">
        <v>1144</v>
      </c>
      <c r="B429" t="s">
        <v>1581</v>
      </c>
      <c r="C429" t="s">
        <v>2877</v>
      </c>
      <c r="D429" t="s">
        <v>1203</v>
      </c>
      <c r="E429" t="s">
        <v>1204</v>
      </c>
      <c r="F429">
        <v>6619</v>
      </c>
      <c r="G429" t="s">
        <v>2681</v>
      </c>
      <c r="H429" t="s">
        <v>3298</v>
      </c>
      <c r="J429" t="s">
        <v>2460</v>
      </c>
      <c r="K429">
        <v>724.25753259999999</v>
      </c>
      <c r="L429" t="s">
        <v>3299</v>
      </c>
      <c r="M429">
        <v>724.25753259999999</v>
      </c>
      <c r="N429" t="s">
        <v>3299</v>
      </c>
      <c r="O429">
        <v>724.25753259999999</v>
      </c>
      <c r="P429" t="s">
        <v>3299</v>
      </c>
      <c r="Q429">
        <v>724.25753259999999</v>
      </c>
      <c r="R429" t="s">
        <v>3299</v>
      </c>
      <c r="S429" t="s">
        <v>988</v>
      </c>
    </row>
    <row r="430" spans="1:19" hidden="1" x14ac:dyDescent="0.3">
      <c r="A430">
        <v>1144</v>
      </c>
      <c r="B430" t="s">
        <v>1581</v>
      </c>
      <c r="C430" t="s">
        <v>2877</v>
      </c>
      <c r="D430" t="s">
        <v>1203</v>
      </c>
      <c r="E430" t="s">
        <v>1204</v>
      </c>
      <c r="F430">
        <v>6619</v>
      </c>
      <c r="G430" t="s">
        <v>2691</v>
      </c>
      <c r="H430" t="s">
        <v>3300</v>
      </c>
      <c r="I430">
        <v>423.50652330000003</v>
      </c>
      <c r="J430" t="s">
        <v>3297</v>
      </c>
      <c r="K430">
        <v>423.50652330000003</v>
      </c>
      <c r="L430" t="s">
        <v>3297</v>
      </c>
      <c r="M430">
        <v>423.50652330000003</v>
      </c>
      <c r="N430" t="s">
        <v>3297</v>
      </c>
      <c r="O430">
        <v>423.50652330000003</v>
      </c>
      <c r="P430" t="s">
        <v>3297</v>
      </c>
      <c r="Q430">
        <v>423.50652330000003</v>
      </c>
      <c r="R430" t="s">
        <v>3297</v>
      </c>
      <c r="S430" t="s">
        <v>988</v>
      </c>
    </row>
    <row r="431" spans="1:19" hidden="1" x14ac:dyDescent="0.3">
      <c r="A431">
        <v>1154</v>
      </c>
      <c r="B431" t="s">
        <v>1586</v>
      </c>
      <c r="C431" t="s">
        <v>2877</v>
      </c>
      <c r="D431" t="s">
        <v>159</v>
      </c>
      <c r="E431" t="s">
        <v>159</v>
      </c>
      <c r="F431">
        <v>7784</v>
      </c>
      <c r="G431" t="s">
        <v>2679</v>
      </c>
      <c r="H431" t="s">
        <v>3301</v>
      </c>
      <c r="I431">
        <v>8882</v>
      </c>
      <c r="J431" t="s">
        <v>2460</v>
      </c>
      <c r="K431">
        <v>8882</v>
      </c>
      <c r="L431" t="s">
        <v>2460</v>
      </c>
      <c r="M431">
        <v>8882</v>
      </c>
      <c r="N431" t="s">
        <v>2460</v>
      </c>
      <c r="O431">
        <v>8882</v>
      </c>
      <c r="P431" t="s">
        <v>2460</v>
      </c>
      <c r="Q431">
        <v>8882</v>
      </c>
      <c r="R431" t="s">
        <v>2460</v>
      </c>
      <c r="S431" t="s">
        <v>988</v>
      </c>
    </row>
    <row r="432" spans="1:19" hidden="1" x14ac:dyDescent="0.3">
      <c r="A432">
        <v>1154</v>
      </c>
      <c r="B432" t="s">
        <v>1586</v>
      </c>
      <c r="C432" t="s">
        <v>2877</v>
      </c>
      <c r="D432" t="s">
        <v>159</v>
      </c>
      <c r="E432" t="s">
        <v>159</v>
      </c>
      <c r="F432">
        <v>7784</v>
      </c>
      <c r="G432" t="s">
        <v>2691</v>
      </c>
      <c r="H432" t="s">
        <v>3302</v>
      </c>
      <c r="I432">
        <v>1542</v>
      </c>
      <c r="J432" t="s">
        <v>2460</v>
      </c>
      <c r="K432">
        <v>1542</v>
      </c>
      <c r="L432" t="s">
        <v>2460</v>
      </c>
      <c r="M432">
        <v>1542</v>
      </c>
      <c r="N432" t="s">
        <v>2460</v>
      </c>
      <c r="O432">
        <v>1542</v>
      </c>
      <c r="P432" t="s">
        <v>2460</v>
      </c>
      <c r="Q432">
        <v>1542</v>
      </c>
      <c r="R432" t="s">
        <v>2460</v>
      </c>
      <c r="S432" t="s">
        <v>988</v>
      </c>
    </row>
    <row r="433" spans="1:19" hidden="1" x14ac:dyDescent="0.3">
      <c r="A433">
        <v>1154</v>
      </c>
      <c r="B433" t="s">
        <v>1586</v>
      </c>
      <c r="C433" t="s">
        <v>2877</v>
      </c>
      <c r="D433" t="s">
        <v>159</v>
      </c>
      <c r="E433" t="s">
        <v>159</v>
      </c>
      <c r="F433">
        <v>7784</v>
      </c>
      <c r="G433" t="s">
        <v>2683</v>
      </c>
      <c r="H433" t="s">
        <v>2205</v>
      </c>
      <c r="I433">
        <v>20509</v>
      </c>
      <c r="J433" t="s">
        <v>2460</v>
      </c>
      <c r="K433">
        <v>21440</v>
      </c>
      <c r="L433" t="s">
        <v>2460</v>
      </c>
      <c r="M433">
        <v>22150</v>
      </c>
      <c r="N433" t="s">
        <v>2460</v>
      </c>
      <c r="O433">
        <v>22590</v>
      </c>
      <c r="P433" t="s">
        <v>2460</v>
      </c>
      <c r="Q433">
        <v>22944</v>
      </c>
      <c r="R433" t="s">
        <v>2460</v>
      </c>
      <c r="S433" t="s">
        <v>988</v>
      </c>
    </row>
    <row r="434" spans="1:19" hidden="1" x14ac:dyDescent="0.3">
      <c r="A434">
        <v>1154</v>
      </c>
      <c r="B434" t="s">
        <v>1586</v>
      </c>
      <c r="C434" t="s">
        <v>2877</v>
      </c>
      <c r="D434" t="s">
        <v>159</v>
      </c>
      <c r="E434" t="s">
        <v>159</v>
      </c>
      <c r="F434">
        <v>7784</v>
      </c>
      <c r="G434" t="s">
        <v>2681</v>
      </c>
      <c r="H434" t="s">
        <v>3303</v>
      </c>
      <c r="I434">
        <v>100</v>
      </c>
      <c r="J434" t="s">
        <v>2460</v>
      </c>
      <c r="K434">
        <v>100</v>
      </c>
      <c r="L434" t="s">
        <v>2460</v>
      </c>
      <c r="M434">
        <v>100</v>
      </c>
      <c r="N434" t="s">
        <v>2460</v>
      </c>
      <c r="O434">
        <v>100</v>
      </c>
      <c r="P434" t="s">
        <v>2460</v>
      </c>
      <c r="Q434">
        <v>100</v>
      </c>
      <c r="R434" t="s">
        <v>2460</v>
      </c>
      <c r="S434" t="s">
        <v>988</v>
      </c>
    </row>
    <row r="435" spans="1:19" hidden="1" x14ac:dyDescent="0.3">
      <c r="A435">
        <v>1157</v>
      </c>
      <c r="B435" t="s">
        <v>1587</v>
      </c>
      <c r="C435" t="s">
        <v>2877</v>
      </c>
      <c r="D435" t="s">
        <v>1203</v>
      </c>
      <c r="E435" t="s">
        <v>1204</v>
      </c>
      <c r="F435">
        <v>5829</v>
      </c>
      <c r="G435" t="s">
        <v>2683</v>
      </c>
      <c r="H435" t="s">
        <v>1483</v>
      </c>
      <c r="I435">
        <v>0</v>
      </c>
      <c r="J435" t="s">
        <v>2460</v>
      </c>
      <c r="K435">
        <v>0</v>
      </c>
      <c r="L435" t="s">
        <v>2460</v>
      </c>
      <c r="M435">
        <v>0</v>
      </c>
      <c r="N435" t="s">
        <v>2460</v>
      </c>
      <c r="O435">
        <v>0</v>
      </c>
      <c r="P435" t="s">
        <v>2460</v>
      </c>
      <c r="Q435">
        <v>0</v>
      </c>
      <c r="R435" t="s">
        <v>2460</v>
      </c>
      <c r="S435" t="s">
        <v>988</v>
      </c>
    </row>
    <row r="436" spans="1:19" hidden="1" x14ac:dyDescent="0.3">
      <c r="A436">
        <v>1157</v>
      </c>
      <c r="B436" t="s">
        <v>1587</v>
      </c>
      <c r="C436" t="s">
        <v>2877</v>
      </c>
      <c r="D436" t="s">
        <v>1203</v>
      </c>
      <c r="E436" t="s">
        <v>1204</v>
      </c>
      <c r="F436">
        <v>5829</v>
      </c>
      <c r="G436" t="s">
        <v>2681</v>
      </c>
      <c r="H436" t="s">
        <v>3304</v>
      </c>
      <c r="I436">
        <v>4167</v>
      </c>
      <c r="J436" t="s">
        <v>2460</v>
      </c>
      <c r="K436">
        <v>4245</v>
      </c>
      <c r="L436" t="s">
        <v>2460</v>
      </c>
      <c r="M436">
        <v>4324</v>
      </c>
      <c r="N436" t="s">
        <v>2460</v>
      </c>
      <c r="O436">
        <v>4405</v>
      </c>
      <c r="P436" t="s">
        <v>2460</v>
      </c>
      <c r="Q436">
        <v>4488</v>
      </c>
      <c r="R436" t="s">
        <v>2460</v>
      </c>
      <c r="S436" t="s">
        <v>988</v>
      </c>
    </row>
    <row r="437" spans="1:19" hidden="1" x14ac:dyDescent="0.3">
      <c r="A437">
        <v>1166</v>
      </c>
      <c r="B437" t="s">
        <v>1589</v>
      </c>
      <c r="C437" t="s">
        <v>2877</v>
      </c>
      <c r="D437" t="s">
        <v>1203</v>
      </c>
      <c r="E437" t="s">
        <v>1204</v>
      </c>
      <c r="F437">
        <v>5919</v>
      </c>
      <c r="G437" t="s">
        <v>2681</v>
      </c>
      <c r="H437" t="s">
        <v>2460</v>
      </c>
      <c r="I437">
        <v>15250</v>
      </c>
      <c r="J437" t="s">
        <v>2460</v>
      </c>
      <c r="K437">
        <v>16290</v>
      </c>
      <c r="L437" t="s">
        <v>2460</v>
      </c>
      <c r="M437">
        <v>16990</v>
      </c>
      <c r="N437" t="s">
        <v>2460</v>
      </c>
      <c r="O437">
        <v>17740</v>
      </c>
      <c r="P437" t="s">
        <v>2460</v>
      </c>
      <c r="Q437">
        <v>18420</v>
      </c>
      <c r="R437" t="s">
        <v>2460</v>
      </c>
      <c r="S437" t="s">
        <v>988</v>
      </c>
    </row>
    <row r="438" spans="1:19" hidden="1" x14ac:dyDescent="0.3">
      <c r="A438">
        <v>1166</v>
      </c>
      <c r="B438" t="s">
        <v>1589</v>
      </c>
      <c r="C438" t="s">
        <v>2877</v>
      </c>
      <c r="D438" t="s">
        <v>1203</v>
      </c>
      <c r="E438" t="s">
        <v>1204</v>
      </c>
      <c r="F438">
        <v>5919</v>
      </c>
      <c r="G438" t="s">
        <v>2679</v>
      </c>
      <c r="H438" t="s">
        <v>2460</v>
      </c>
      <c r="I438">
        <v>500</v>
      </c>
      <c r="J438" t="s">
        <v>2460</v>
      </c>
      <c r="K438">
        <v>1000</v>
      </c>
      <c r="L438" t="s">
        <v>2460</v>
      </c>
      <c r="M438">
        <v>1500</v>
      </c>
      <c r="N438" t="s">
        <v>2460</v>
      </c>
      <c r="O438">
        <v>2000</v>
      </c>
      <c r="P438" t="s">
        <v>2460</v>
      </c>
      <c r="Q438">
        <v>2500</v>
      </c>
      <c r="R438" t="s">
        <v>2460</v>
      </c>
      <c r="S438" t="s">
        <v>988</v>
      </c>
    </row>
    <row r="439" spans="1:19" hidden="1" x14ac:dyDescent="0.3">
      <c r="A439">
        <v>1167</v>
      </c>
      <c r="B439" t="s">
        <v>1590</v>
      </c>
      <c r="C439" t="s">
        <v>2877</v>
      </c>
      <c r="D439" t="s">
        <v>1203</v>
      </c>
      <c r="E439" t="s">
        <v>1204</v>
      </c>
      <c r="F439">
        <v>5831</v>
      </c>
      <c r="G439" t="s">
        <v>2681</v>
      </c>
      <c r="H439" t="s">
        <v>2460</v>
      </c>
      <c r="I439">
        <v>3056</v>
      </c>
      <c r="J439" t="s">
        <v>2460</v>
      </c>
      <c r="K439">
        <v>3149</v>
      </c>
      <c r="L439" t="s">
        <v>2460</v>
      </c>
      <c r="M439">
        <v>3222</v>
      </c>
      <c r="N439" t="s">
        <v>2460</v>
      </c>
      <c r="O439">
        <v>3292</v>
      </c>
      <c r="P439" t="s">
        <v>2460</v>
      </c>
      <c r="Q439">
        <v>3354</v>
      </c>
      <c r="R439" t="s">
        <v>2460</v>
      </c>
      <c r="S439" t="s">
        <v>988</v>
      </c>
    </row>
    <row r="440" spans="1:19" hidden="1" x14ac:dyDescent="0.3">
      <c r="A440">
        <v>1181</v>
      </c>
      <c r="B440" t="s">
        <v>1592</v>
      </c>
      <c r="C440" t="s">
        <v>2877</v>
      </c>
      <c r="D440" t="s">
        <v>1203</v>
      </c>
      <c r="E440" t="s">
        <v>1204</v>
      </c>
      <c r="F440">
        <v>5959</v>
      </c>
      <c r="G440" t="s">
        <v>2683</v>
      </c>
      <c r="H440" t="s">
        <v>2460</v>
      </c>
      <c r="I440">
        <v>4585</v>
      </c>
      <c r="J440" t="s">
        <v>2460</v>
      </c>
      <c r="K440">
        <v>4585</v>
      </c>
      <c r="L440" t="s">
        <v>2460</v>
      </c>
      <c r="M440">
        <v>4585</v>
      </c>
      <c r="N440" t="s">
        <v>2460</v>
      </c>
      <c r="O440">
        <v>4585</v>
      </c>
      <c r="P440" t="s">
        <v>2460</v>
      </c>
      <c r="Q440">
        <v>4585</v>
      </c>
      <c r="R440" t="s">
        <v>2460</v>
      </c>
      <c r="S440" t="s">
        <v>988</v>
      </c>
    </row>
    <row r="441" spans="1:19" hidden="1" x14ac:dyDescent="0.3">
      <c r="A441">
        <v>1188</v>
      </c>
      <c r="B441" t="s">
        <v>1593</v>
      </c>
      <c r="C441" t="s">
        <v>2877</v>
      </c>
      <c r="D441" t="s">
        <v>1203</v>
      </c>
      <c r="E441" t="s">
        <v>1204</v>
      </c>
      <c r="F441">
        <v>7794</v>
      </c>
      <c r="G441" t="s">
        <v>2683</v>
      </c>
      <c r="H441" t="s">
        <v>861</v>
      </c>
      <c r="I441">
        <v>2694</v>
      </c>
      <c r="J441" t="s">
        <v>2460</v>
      </c>
      <c r="K441">
        <v>2694</v>
      </c>
      <c r="L441" t="s">
        <v>2460</v>
      </c>
      <c r="M441">
        <v>2694</v>
      </c>
      <c r="N441" t="s">
        <v>2460</v>
      </c>
      <c r="O441">
        <v>2694</v>
      </c>
      <c r="P441" t="s">
        <v>2460</v>
      </c>
      <c r="R441" t="s">
        <v>2460</v>
      </c>
      <c r="S441" t="s">
        <v>988</v>
      </c>
    </row>
    <row r="442" spans="1:19" hidden="1" x14ac:dyDescent="0.3">
      <c r="A442">
        <v>1188</v>
      </c>
      <c r="B442" t="s">
        <v>1593</v>
      </c>
      <c r="C442" t="s">
        <v>2877</v>
      </c>
      <c r="D442" t="s">
        <v>1203</v>
      </c>
      <c r="E442" t="s">
        <v>1204</v>
      </c>
      <c r="F442">
        <v>7794</v>
      </c>
      <c r="G442" t="s">
        <v>2681</v>
      </c>
      <c r="H442" t="s">
        <v>2460</v>
      </c>
      <c r="I442">
        <v>992</v>
      </c>
      <c r="J442" t="s">
        <v>2460</v>
      </c>
      <c r="K442">
        <v>1429</v>
      </c>
      <c r="L442" t="s">
        <v>2460</v>
      </c>
      <c r="M442">
        <v>2168</v>
      </c>
      <c r="N442" t="s">
        <v>2460</v>
      </c>
      <c r="O442">
        <v>2832</v>
      </c>
      <c r="P442" t="s">
        <v>2460</v>
      </c>
      <c r="R442" t="s">
        <v>2460</v>
      </c>
      <c r="S442" t="s">
        <v>988</v>
      </c>
    </row>
    <row r="443" spans="1:19" hidden="1" x14ac:dyDescent="0.3">
      <c r="A443">
        <v>1188</v>
      </c>
      <c r="B443" t="s">
        <v>1593</v>
      </c>
      <c r="C443" t="s">
        <v>2877</v>
      </c>
      <c r="D443" t="s">
        <v>1203</v>
      </c>
      <c r="E443" t="s">
        <v>1204</v>
      </c>
      <c r="F443">
        <v>7794</v>
      </c>
      <c r="G443" t="s">
        <v>2679</v>
      </c>
      <c r="H443" t="s">
        <v>2460</v>
      </c>
      <c r="I443">
        <v>100</v>
      </c>
      <c r="J443" t="s">
        <v>2460</v>
      </c>
      <c r="K443">
        <v>100</v>
      </c>
      <c r="L443" t="s">
        <v>2460</v>
      </c>
      <c r="M443">
        <v>100</v>
      </c>
      <c r="N443" t="s">
        <v>2460</v>
      </c>
      <c r="O443">
        <v>100</v>
      </c>
      <c r="P443" t="s">
        <v>2460</v>
      </c>
      <c r="R443" t="s">
        <v>2460</v>
      </c>
      <c r="S443" t="s">
        <v>988</v>
      </c>
    </row>
    <row r="444" spans="1:19" hidden="1" x14ac:dyDescent="0.3">
      <c r="A444">
        <v>1210</v>
      </c>
      <c r="B444" t="s">
        <v>1595</v>
      </c>
      <c r="C444" t="s">
        <v>2877</v>
      </c>
      <c r="D444" t="s">
        <v>159</v>
      </c>
      <c r="E444" t="s">
        <v>159</v>
      </c>
      <c r="F444">
        <v>7824</v>
      </c>
      <c r="G444" t="s">
        <v>2683</v>
      </c>
      <c r="H444" t="s">
        <v>2460</v>
      </c>
      <c r="I444">
        <v>3249.9522331500002</v>
      </c>
      <c r="J444" t="s">
        <v>2460</v>
      </c>
      <c r="K444">
        <v>3249.9522331500002</v>
      </c>
      <c r="L444" t="s">
        <v>2460</v>
      </c>
      <c r="M444">
        <v>3249.9522331500002</v>
      </c>
      <c r="N444" t="s">
        <v>2460</v>
      </c>
      <c r="O444">
        <v>3249.9522331500002</v>
      </c>
      <c r="P444" t="s">
        <v>2460</v>
      </c>
      <c r="Q444">
        <v>3249.9522331500002</v>
      </c>
      <c r="R444" t="s">
        <v>2460</v>
      </c>
      <c r="S444" t="s">
        <v>988</v>
      </c>
    </row>
    <row r="445" spans="1:19" hidden="1" x14ac:dyDescent="0.3">
      <c r="A445">
        <v>1210</v>
      </c>
      <c r="B445" t="s">
        <v>1595</v>
      </c>
      <c r="C445" t="s">
        <v>2877</v>
      </c>
      <c r="D445" t="s">
        <v>159</v>
      </c>
      <c r="E445" t="s">
        <v>159</v>
      </c>
      <c r="F445">
        <v>7824</v>
      </c>
      <c r="G445" t="s">
        <v>2681</v>
      </c>
      <c r="H445" t="s">
        <v>2460</v>
      </c>
      <c r="I445">
        <v>540.12426159999995</v>
      </c>
      <c r="J445" t="s">
        <v>2460</v>
      </c>
      <c r="K445">
        <v>540.12426159999995</v>
      </c>
      <c r="L445" t="s">
        <v>2460</v>
      </c>
      <c r="M445">
        <v>540.12426159999995</v>
      </c>
      <c r="N445" t="s">
        <v>2460</v>
      </c>
      <c r="O445">
        <v>540.12426159999995</v>
      </c>
      <c r="P445" t="s">
        <v>2460</v>
      </c>
      <c r="Q445">
        <v>540.12426159999995</v>
      </c>
      <c r="R445" t="s">
        <v>2460</v>
      </c>
      <c r="S445" t="s">
        <v>988</v>
      </c>
    </row>
    <row r="446" spans="1:19" hidden="1" x14ac:dyDescent="0.3">
      <c r="A446">
        <v>1215</v>
      </c>
      <c r="B446" t="s">
        <v>1596</v>
      </c>
      <c r="C446" t="s">
        <v>2877</v>
      </c>
      <c r="D446" t="s">
        <v>1203</v>
      </c>
      <c r="E446" t="s">
        <v>1204</v>
      </c>
      <c r="F446">
        <v>5592</v>
      </c>
      <c r="G446" t="s">
        <v>2683</v>
      </c>
      <c r="H446" t="s">
        <v>2965</v>
      </c>
      <c r="I446">
        <v>3960</v>
      </c>
      <c r="J446" t="s">
        <v>2460</v>
      </c>
      <c r="K446">
        <v>3979</v>
      </c>
      <c r="L446" t="s">
        <v>2460</v>
      </c>
      <c r="M446">
        <v>3951</v>
      </c>
      <c r="N446" t="s">
        <v>2460</v>
      </c>
      <c r="O446">
        <v>3914</v>
      </c>
      <c r="P446" t="s">
        <v>2460</v>
      </c>
      <c r="Q446">
        <v>3908</v>
      </c>
      <c r="R446" t="s">
        <v>2460</v>
      </c>
      <c r="S446" t="s">
        <v>988</v>
      </c>
    </row>
    <row r="447" spans="1:19" hidden="1" x14ac:dyDescent="0.3">
      <c r="A447">
        <v>1215</v>
      </c>
      <c r="B447" t="s">
        <v>1596</v>
      </c>
      <c r="C447" t="s">
        <v>2877</v>
      </c>
      <c r="D447" t="s">
        <v>1203</v>
      </c>
      <c r="E447" t="s">
        <v>1204</v>
      </c>
      <c r="F447">
        <v>5592</v>
      </c>
      <c r="G447" t="s">
        <v>2681</v>
      </c>
      <c r="H447" t="s">
        <v>2893</v>
      </c>
      <c r="I447">
        <v>22439</v>
      </c>
      <c r="J447" t="s">
        <v>2460</v>
      </c>
      <c r="K447">
        <v>22545</v>
      </c>
      <c r="L447" t="s">
        <v>2460</v>
      </c>
      <c r="M447">
        <v>22388</v>
      </c>
      <c r="N447" t="s">
        <v>2460</v>
      </c>
      <c r="O447">
        <v>22179</v>
      </c>
      <c r="P447" t="s">
        <v>2460</v>
      </c>
      <c r="Q447">
        <v>22146</v>
      </c>
      <c r="R447" t="s">
        <v>2460</v>
      </c>
      <c r="S447" t="s">
        <v>988</v>
      </c>
    </row>
    <row r="448" spans="1:19" hidden="1" x14ac:dyDescent="0.3">
      <c r="A448">
        <v>1217</v>
      </c>
      <c r="B448" t="s">
        <v>1598</v>
      </c>
      <c r="C448" t="s">
        <v>2877</v>
      </c>
      <c r="D448" t="s">
        <v>1203</v>
      </c>
      <c r="E448" t="s">
        <v>1204</v>
      </c>
      <c r="F448">
        <v>5609</v>
      </c>
      <c r="G448" t="s">
        <v>2679</v>
      </c>
      <c r="H448" t="s">
        <v>2127</v>
      </c>
      <c r="I448">
        <v>52</v>
      </c>
      <c r="J448" t="s">
        <v>3305</v>
      </c>
      <c r="K448">
        <v>52</v>
      </c>
      <c r="L448" t="s">
        <v>3305</v>
      </c>
      <c r="M448">
        <v>52</v>
      </c>
      <c r="N448" t="s">
        <v>3305</v>
      </c>
      <c r="O448">
        <v>52</v>
      </c>
      <c r="P448" t="s">
        <v>3305</v>
      </c>
      <c r="Q448">
        <v>52</v>
      </c>
      <c r="R448" t="s">
        <v>3305</v>
      </c>
      <c r="S448" t="s">
        <v>988</v>
      </c>
    </row>
    <row r="449" spans="1:19" hidden="1" x14ac:dyDescent="0.3">
      <c r="A449">
        <v>1217</v>
      </c>
      <c r="B449" t="s">
        <v>1598</v>
      </c>
      <c r="C449" t="s">
        <v>2877</v>
      </c>
      <c r="D449" t="s">
        <v>1203</v>
      </c>
      <c r="E449" t="s">
        <v>1204</v>
      </c>
      <c r="F449">
        <v>5609</v>
      </c>
      <c r="G449" t="s">
        <v>2683</v>
      </c>
      <c r="H449" t="s">
        <v>2127</v>
      </c>
      <c r="I449">
        <v>1247</v>
      </c>
      <c r="J449" t="s">
        <v>3306</v>
      </c>
      <c r="K449">
        <v>1247</v>
      </c>
      <c r="L449" t="s">
        <v>3306</v>
      </c>
      <c r="M449">
        <v>1247</v>
      </c>
      <c r="N449" t="s">
        <v>3306</v>
      </c>
      <c r="O449">
        <v>1247</v>
      </c>
      <c r="P449" t="s">
        <v>3306</v>
      </c>
      <c r="Q449">
        <v>1247</v>
      </c>
      <c r="R449" t="s">
        <v>3306</v>
      </c>
      <c r="S449" t="s">
        <v>988</v>
      </c>
    </row>
    <row r="450" spans="1:19" hidden="1" x14ac:dyDescent="0.3">
      <c r="A450">
        <v>1217</v>
      </c>
      <c r="B450" t="s">
        <v>1598</v>
      </c>
      <c r="C450" t="s">
        <v>2877</v>
      </c>
      <c r="D450" t="s">
        <v>1203</v>
      </c>
      <c r="E450" t="s">
        <v>1204</v>
      </c>
      <c r="F450">
        <v>5609</v>
      </c>
      <c r="G450" t="s">
        <v>2681</v>
      </c>
      <c r="H450" t="s">
        <v>3307</v>
      </c>
      <c r="I450">
        <v>3853</v>
      </c>
      <c r="J450" t="s">
        <v>3308</v>
      </c>
      <c r="K450">
        <v>3853</v>
      </c>
      <c r="L450" t="s">
        <v>3308</v>
      </c>
      <c r="M450">
        <v>3853</v>
      </c>
      <c r="N450" t="s">
        <v>3308</v>
      </c>
      <c r="O450">
        <v>3853</v>
      </c>
      <c r="P450" t="s">
        <v>3308</v>
      </c>
      <c r="Q450">
        <v>3853</v>
      </c>
      <c r="R450" t="s">
        <v>3308</v>
      </c>
      <c r="S450" t="s">
        <v>988</v>
      </c>
    </row>
    <row r="451" spans="1:19" hidden="1" x14ac:dyDescent="0.3">
      <c r="A451">
        <v>1225</v>
      </c>
      <c r="B451" t="s">
        <v>1599</v>
      </c>
      <c r="C451" t="s">
        <v>2877</v>
      </c>
      <c r="D451" t="s">
        <v>1203</v>
      </c>
      <c r="E451" t="s">
        <v>1204</v>
      </c>
      <c r="F451">
        <v>7664</v>
      </c>
      <c r="G451" t="s">
        <v>2683</v>
      </c>
      <c r="H451" t="s">
        <v>2983</v>
      </c>
      <c r="I451">
        <v>7825.6640175000002</v>
      </c>
      <c r="J451" t="s">
        <v>2460</v>
      </c>
      <c r="K451">
        <v>7825.6640175000002</v>
      </c>
      <c r="L451" t="s">
        <v>2460</v>
      </c>
      <c r="M451">
        <v>7825.6640175000002</v>
      </c>
      <c r="N451" t="s">
        <v>2460</v>
      </c>
      <c r="O451">
        <v>7825.6640175000002</v>
      </c>
      <c r="P451" t="s">
        <v>2460</v>
      </c>
      <c r="Q451">
        <v>7825.6640175000002</v>
      </c>
      <c r="R451" t="s">
        <v>2460</v>
      </c>
      <c r="S451" t="s">
        <v>988</v>
      </c>
    </row>
    <row r="452" spans="1:19" hidden="1" x14ac:dyDescent="0.3">
      <c r="A452">
        <v>1234</v>
      </c>
      <c r="B452" t="s">
        <v>1600</v>
      </c>
      <c r="C452" t="s">
        <v>2877</v>
      </c>
      <c r="D452" t="s">
        <v>1203</v>
      </c>
      <c r="E452" t="s">
        <v>1204</v>
      </c>
      <c r="F452">
        <v>5993</v>
      </c>
      <c r="G452" t="s">
        <v>2681</v>
      </c>
      <c r="H452" t="s">
        <v>3309</v>
      </c>
      <c r="I452">
        <v>20000</v>
      </c>
      <c r="J452" t="s">
        <v>2460</v>
      </c>
      <c r="K452">
        <v>20000</v>
      </c>
      <c r="L452" t="s">
        <v>2460</v>
      </c>
      <c r="M452">
        <v>20000</v>
      </c>
      <c r="N452" t="s">
        <v>2460</v>
      </c>
      <c r="O452">
        <v>20000</v>
      </c>
      <c r="P452" t="s">
        <v>2460</v>
      </c>
      <c r="Q452">
        <v>20000</v>
      </c>
      <c r="R452" t="s">
        <v>2460</v>
      </c>
      <c r="S452" t="s">
        <v>988</v>
      </c>
    </row>
    <row r="453" spans="1:19" hidden="1" x14ac:dyDescent="0.3">
      <c r="A453">
        <v>1236</v>
      </c>
      <c r="B453" t="s">
        <v>1603</v>
      </c>
      <c r="C453" t="s">
        <v>2877</v>
      </c>
      <c r="D453" t="s">
        <v>1203</v>
      </c>
      <c r="E453" t="s">
        <v>1204</v>
      </c>
      <c r="F453">
        <v>5698</v>
      </c>
      <c r="G453" t="s">
        <v>2681</v>
      </c>
      <c r="H453" t="s">
        <v>3147</v>
      </c>
      <c r="I453">
        <v>24792</v>
      </c>
      <c r="J453" t="s">
        <v>2460</v>
      </c>
      <c r="K453">
        <v>26592</v>
      </c>
      <c r="L453" t="s">
        <v>2460</v>
      </c>
      <c r="M453">
        <v>28384</v>
      </c>
      <c r="N453" t="s">
        <v>2460</v>
      </c>
      <c r="O453">
        <v>29738</v>
      </c>
      <c r="P453" t="s">
        <v>2460</v>
      </c>
      <c r="Q453">
        <v>30997</v>
      </c>
      <c r="R453" t="s">
        <v>2460</v>
      </c>
      <c r="S453" t="s">
        <v>988</v>
      </c>
    </row>
    <row r="454" spans="1:19" hidden="1" x14ac:dyDescent="0.3">
      <c r="A454">
        <v>1236</v>
      </c>
      <c r="B454" t="s">
        <v>1603</v>
      </c>
      <c r="C454" t="s">
        <v>2877</v>
      </c>
      <c r="D454" t="s">
        <v>1203</v>
      </c>
      <c r="E454" t="s">
        <v>1204</v>
      </c>
      <c r="F454">
        <v>5698</v>
      </c>
      <c r="G454" t="s">
        <v>2679</v>
      </c>
      <c r="H454" t="s">
        <v>3310</v>
      </c>
      <c r="I454">
        <v>0</v>
      </c>
      <c r="J454" t="s">
        <v>2460</v>
      </c>
      <c r="K454">
        <v>5000</v>
      </c>
      <c r="L454" t="s">
        <v>2460</v>
      </c>
      <c r="M454">
        <v>5000</v>
      </c>
      <c r="N454" t="s">
        <v>2460</v>
      </c>
      <c r="O454">
        <v>5000</v>
      </c>
      <c r="P454" t="s">
        <v>2460</v>
      </c>
      <c r="Q454">
        <v>5000</v>
      </c>
      <c r="R454" t="s">
        <v>2460</v>
      </c>
      <c r="S454" t="s">
        <v>988</v>
      </c>
    </row>
    <row r="455" spans="1:19" hidden="1" x14ac:dyDescent="0.3">
      <c r="A455">
        <v>1238</v>
      </c>
      <c r="B455" t="s">
        <v>1604</v>
      </c>
      <c r="C455" t="s">
        <v>2877</v>
      </c>
      <c r="D455" t="s">
        <v>1203</v>
      </c>
      <c r="E455" t="s">
        <v>1204</v>
      </c>
      <c r="F455">
        <v>5920</v>
      </c>
      <c r="G455" t="s">
        <v>2683</v>
      </c>
      <c r="H455" t="s">
        <v>3066</v>
      </c>
      <c r="I455">
        <v>9000</v>
      </c>
      <c r="J455" t="s">
        <v>2460</v>
      </c>
      <c r="K455">
        <v>9000</v>
      </c>
      <c r="L455" t="s">
        <v>2460</v>
      </c>
      <c r="M455">
        <v>9000</v>
      </c>
      <c r="N455" t="s">
        <v>2460</v>
      </c>
      <c r="O455">
        <v>9000</v>
      </c>
      <c r="P455" t="s">
        <v>2460</v>
      </c>
      <c r="Q455">
        <v>9000</v>
      </c>
      <c r="R455" t="s">
        <v>2460</v>
      </c>
      <c r="S455" t="s">
        <v>988</v>
      </c>
    </row>
    <row r="456" spans="1:19" hidden="1" x14ac:dyDescent="0.3">
      <c r="A456">
        <v>1238</v>
      </c>
      <c r="B456" t="s">
        <v>1604</v>
      </c>
      <c r="C456" t="s">
        <v>2877</v>
      </c>
      <c r="D456" t="s">
        <v>1203</v>
      </c>
      <c r="E456" t="s">
        <v>1204</v>
      </c>
      <c r="F456">
        <v>5920</v>
      </c>
      <c r="G456" t="s">
        <v>2679</v>
      </c>
      <c r="H456" t="s">
        <v>3066</v>
      </c>
      <c r="I456">
        <v>800</v>
      </c>
      <c r="J456" t="s">
        <v>2460</v>
      </c>
      <c r="K456">
        <v>800</v>
      </c>
      <c r="L456" t="s">
        <v>2460</v>
      </c>
      <c r="M456">
        <v>800</v>
      </c>
      <c r="N456" t="s">
        <v>2460</v>
      </c>
      <c r="O456">
        <v>800</v>
      </c>
      <c r="P456" t="s">
        <v>2460</v>
      </c>
      <c r="Q456">
        <v>800</v>
      </c>
      <c r="R456" t="s">
        <v>2460</v>
      </c>
      <c r="S456" t="s">
        <v>988</v>
      </c>
    </row>
    <row r="457" spans="1:19" hidden="1" x14ac:dyDescent="0.3">
      <c r="A457">
        <v>1238</v>
      </c>
      <c r="B457" t="s">
        <v>1604</v>
      </c>
      <c r="C457" t="s">
        <v>2877</v>
      </c>
      <c r="D457" t="s">
        <v>1203</v>
      </c>
      <c r="E457" t="s">
        <v>1204</v>
      </c>
      <c r="F457">
        <v>5920</v>
      </c>
      <c r="G457" t="s">
        <v>2681</v>
      </c>
      <c r="H457" t="s">
        <v>3311</v>
      </c>
      <c r="I457">
        <v>2200</v>
      </c>
      <c r="J457" t="s">
        <v>2460</v>
      </c>
      <c r="K457">
        <v>2200</v>
      </c>
      <c r="L457" t="s">
        <v>2460</v>
      </c>
      <c r="M457">
        <v>2200</v>
      </c>
      <c r="N457" t="s">
        <v>2460</v>
      </c>
      <c r="O457">
        <v>2200</v>
      </c>
      <c r="P457" t="s">
        <v>2460</v>
      </c>
      <c r="Q457">
        <v>2200</v>
      </c>
      <c r="R457" t="s">
        <v>2460</v>
      </c>
      <c r="S457" t="s">
        <v>988</v>
      </c>
    </row>
    <row r="458" spans="1:19" hidden="1" x14ac:dyDescent="0.3">
      <c r="A458">
        <v>1245</v>
      </c>
      <c r="B458" t="s">
        <v>1606</v>
      </c>
      <c r="C458" t="s">
        <v>2877</v>
      </c>
      <c r="D458" t="s">
        <v>1203</v>
      </c>
      <c r="E458" t="s">
        <v>1204</v>
      </c>
      <c r="F458">
        <v>5723</v>
      </c>
      <c r="G458" t="s">
        <v>2679</v>
      </c>
      <c r="H458" t="s">
        <v>2460</v>
      </c>
      <c r="I458">
        <v>42012</v>
      </c>
      <c r="J458" t="s">
        <v>2460</v>
      </c>
      <c r="K458">
        <v>42012</v>
      </c>
      <c r="L458" t="s">
        <v>2460</v>
      </c>
      <c r="M458">
        <v>42012</v>
      </c>
      <c r="N458" t="s">
        <v>2460</v>
      </c>
      <c r="O458">
        <v>42012</v>
      </c>
      <c r="P458" t="s">
        <v>2460</v>
      </c>
      <c r="R458" t="s">
        <v>2460</v>
      </c>
      <c r="S458" t="s">
        <v>988</v>
      </c>
    </row>
    <row r="459" spans="1:19" hidden="1" x14ac:dyDescent="0.3">
      <c r="A459">
        <v>1245</v>
      </c>
      <c r="B459" t="s">
        <v>1606</v>
      </c>
      <c r="C459" t="s">
        <v>2877</v>
      </c>
      <c r="D459" t="s">
        <v>1203</v>
      </c>
      <c r="E459" t="s">
        <v>1204</v>
      </c>
      <c r="F459">
        <v>5723</v>
      </c>
      <c r="G459" t="s">
        <v>2681</v>
      </c>
      <c r="H459" t="s">
        <v>754</v>
      </c>
      <c r="I459">
        <v>3461</v>
      </c>
      <c r="J459" t="s">
        <v>2460</v>
      </c>
      <c r="K459">
        <v>3461</v>
      </c>
      <c r="L459" t="s">
        <v>2460</v>
      </c>
      <c r="M459">
        <v>3461</v>
      </c>
      <c r="N459" t="s">
        <v>2460</v>
      </c>
      <c r="O459">
        <v>3461</v>
      </c>
      <c r="P459" t="s">
        <v>2460</v>
      </c>
      <c r="R459" t="s">
        <v>2460</v>
      </c>
      <c r="S459" t="s">
        <v>988</v>
      </c>
    </row>
    <row r="460" spans="1:19" hidden="1" x14ac:dyDescent="0.3">
      <c r="A460">
        <v>1245</v>
      </c>
      <c r="B460" t="s">
        <v>1606</v>
      </c>
      <c r="C460" t="s">
        <v>2877</v>
      </c>
      <c r="D460" t="s">
        <v>1203</v>
      </c>
      <c r="E460" t="s">
        <v>1204</v>
      </c>
      <c r="F460">
        <v>5723</v>
      </c>
      <c r="G460" t="s">
        <v>2681</v>
      </c>
      <c r="H460" t="s">
        <v>3312</v>
      </c>
      <c r="I460">
        <v>12352</v>
      </c>
      <c r="J460" t="s">
        <v>2460</v>
      </c>
      <c r="K460">
        <v>12352</v>
      </c>
      <c r="L460" t="s">
        <v>2460</v>
      </c>
      <c r="M460">
        <v>12352</v>
      </c>
      <c r="N460" t="s">
        <v>2460</v>
      </c>
      <c r="O460">
        <v>12352</v>
      </c>
      <c r="P460" t="s">
        <v>2460</v>
      </c>
      <c r="R460" t="s">
        <v>2460</v>
      </c>
      <c r="S460" t="s">
        <v>988</v>
      </c>
    </row>
    <row r="461" spans="1:19" hidden="1" x14ac:dyDescent="0.3">
      <c r="A461">
        <v>1245</v>
      </c>
      <c r="B461" t="s">
        <v>1606</v>
      </c>
      <c r="C461" t="s">
        <v>2877</v>
      </c>
      <c r="D461" t="s">
        <v>1203</v>
      </c>
      <c r="E461" t="s">
        <v>1204</v>
      </c>
      <c r="F461">
        <v>5723</v>
      </c>
      <c r="G461" t="s">
        <v>2683</v>
      </c>
      <c r="H461" t="s">
        <v>1873</v>
      </c>
      <c r="I461">
        <v>51027</v>
      </c>
      <c r="J461" t="s">
        <v>2460</v>
      </c>
      <c r="K461">
        <v>51027</v>
      </c>
      <c r="L461" t="s">
        <v>2460</v>
      </c>
      <c r="M461">
        <v>51027</v>
      </c>
      <c r="N461" t="s">
        <v>2460</v>
      </c>
      <c r="O461">
        <v>51027</v>
      </c>
      <c r="P461" t="s">
        <v>2460</v>
      </c>
      <c r="R461" t="s">
        <v>2460</v>
      </c>
      <c r="S461" t="s">
        <v>988</v>
      </c>
    </row>
    <row r="462" spans="1:19" hidden="1" x14ac:dyDescent="0.3">
      <c r="A462">
        <v>1245</v>
      </c>
      <c r="B462" t="s">
        <v>1606</v>
      </c>
      <c r="C462" t="s">
        <v>2877</v>
      </c>
      <c r="D462" t="s">
        <v>1203</v>
      </c>
      <c r="E462" t="s">
        <v>1204</v>
      </c>
      <c r="F462">
        <v>5723</v>
      </c>
      <c r="G462" t="s">
        <v>2691</v>
      </c>
      <c r="H462" t="s">
        <v>3313</v>
      </c>
      <c r="I462">
        <v>3048</v>
      </c>
      <c r="J462" t="s">
        <v>2460</v>
      </c>
      <c r="K462">
        <v>3048</v>
      </c>
      <c r="L462" t="s">
        <v>2460</v>
      </c>
      <c r="M462">
        <v>3048</v>
      </c>
      <c r="N462" t="s">
        <v>2460</v>
      </c>
      <c r="O462">
        <v>3048</v>
      </c>
      <c r="P462" t="s">
        <v>2460</v>
      </c>
      <c r="R462" t="s">
        <v>2460</v>
      </c>
      <c r="S462" t="s">
        <v>988</v>
      </c>
    </row>
    <row r="463" spans="1:19" hidden="1" x14ac:dyDescent="0.3">
      <c r="A463">
        <v>1245</v>
      </c>
      <c r="B463" t="s">
        <v>1606</v>
      </c>
      <c r="C463" t="s">
        <v>2877</v>
      </c>
      <c r="D463" t="s">
        <v>1203</v>
      </c>
      <c r="E463" t="s">
        <v>1204</v>
      </c>
      <c r="F463">
        <v>5723</v>
      </c>
      <c r="G463" t="s">
        <v>2681</v>
      </c>
      <c r="H463" t="s">
        <v>1873</v>
      </c>
      <c r="I463">
        <v>49480</v>
      </c>
      <c r="J463" t="s">
        <v>2460</v>
      </c>
      <c r="K463">
        <v>49480</v>
      </c>
      <c r="L463" t="s">
        <v>2460</v>
      </c>
      <c r="M463">
        <v>49480</v>
      </c>
      <c r="N463" t="s">
        <v>2460</v>
      </c>
      <c r="O463">
        <v>49480</v>
      </c>
      <c r="P463" t="s">
        <v>2460</v>
      </c>
      <c r="R463" t="s">
        <v>2460</v>
      </c>
      <c r="S463" t="s">
        <v>988</v>
      </c>
    </row>
    <row r="464" spans="1:19" hidden="1" x14ac:dyDescent="0.3">
      <c r="A464">
        <v>1245</v>
      </c>
      <c r="B464" t="s">
        <v>1606</v>
      </c>
      <c r="C464" t="s">
        <v>2877</v>
      </c>
      <c r="D464" t="s">
        <v>1203</v>
      </c>
      <c r="E464" t="s">
        <v>1204</v>
      </c>
      <c r="F464">
        <v>5723</v>
      </c>
      <c r="G464" t="s">
        <v>2683</v>
      </c>
      <c r="H464" t="s">
        <v>3314</v>
      </c>
      <c r="I464">
        <v>17347</v>
      </c>
      <c r="J464" t="s">
        <v>2460</v>
      </c>
      <c r="K464">
        <v>17347</v>
      </c>
      <c r="L464" t="s">
        <v>2460</v>
      </c>
      <c r="M464">
        <v>17347</v>
      </c>
      <c r="N464" t="s">
        <v>2460</v>
      </c>
      <c r="O464">
        <v>17347</v>
      </c>
      <c r="P464" t="s">
        <v>2460</v>
      </c>
      <c r="R464" t="s">
        <v>2460</v>
      </c>
      <c r="S464" t="s">
        <v>988</v>
      </c>
    </row>
    <row r="465" spans="1:19" hidden="1" x14ac:dyDescent="0.3">
      <c r="A465">
        <v>1273</v>
      </c>
      <c r="B465" t="s">
        <v>1609</v>
      </c>
      <c r="C465" t="s">
        <v>2877</v>
      </c>
      <c r="D465" t="s">
        <v>1203</v>
      </c>
      <c r="E465" t="s">
        <v>1204</v>
      </c>
      <c r="F465">
        <v>5684</v>
      </c>
      <c r="G465" t="s">
        <v>687</v>
      </c>
      <c r="H465" t="s">
        <v>3315</v>
      </c>
      <c r="I465">
        <v>500</v>
      </c>
      <c r="J465" t="s">
        <v>2460</v>
      </c>
      <c r="K465">
        <v>500</v>
      </c>
      <c r="L465" t="s">
        <v>2460</v>
      </c>
      <c r="M465">
        <v>500</v>
      </c>
      <c r="N465" t="s">
        <v>2460</v>
      </c>
      <c r="O465">
        <v>500</v>
      </c>
      <c r="P465" t="s">
        <v>2460</v>
      </c>
      <c r="Q465">
        <v>500</v>
      </c>
      <c r="R465" t="s">
        <v>2460</v>
      </c>
      <c r="S465" t="s">
        <v>988</v>
      </c>
    </row>
    <row r="466" spans="1:19" hidden="1" x14ac:dyDescent="0.3">
      <c r="A466">
        <v>1273</v>
      </c>
      <c r="B466" t="s">
        <v>1609</v>
      </c>
      <c r="C466" t="s">
        <v>2877</v>
      </c>
      <c r="D466" t="s">
        <v>1203</v>
      </c>
      <c r="E466" t="s">
        <v>1204</v>
      </c>
      <c r="F466">
        <v>5684</v>
      </c>
      <c r="G466" t="s">
        <v>2679</v>
      </c>
      <c r="H466" t="s">
        <v>3316</v>
      </c>
      <c r="I466">
        <v>660</v>
      </c>
      <c r="J466" t="s">
        <v>2460</v>
      </c>
      <c r="K466">
        <v>660</v>
      </c>
      <c r="L466" t="s">
        <v>2460</v>
      </c>
      <c r="M466">
        <v>660</v>
      </c>
      <c r="N466" t="s">
        <v>2460</v>
      </c>
      <c r="O466">
        <v>660</v>
      </c>
      <c r="P466" t="s">
        <v>2460</v>
      </c>
      <c r="Q466">
        <v>660</v>
      </c>
      <c r="R466" t="s">
        <v>2460</v>
      </c>
      <c r="S466" t="s">
        <v>988</v>
      </c>
    </row>
    <row r="467" spans="1:19" hidden="1" x14ac:dyDescent="0.3">
      <c r="A467">
        <v>1273</v>
      </c>
      <c r="B467" t="s">
        <v>1609</v>
      </c>
      <c r="C467" t="s">
        <v>2877</v>
      </c>
      <c r="D467" t="s">
        <v>1203</v>
      </c>
      <c r="E467" t="s">
        <v>1204</v>
      </c>
      <c r="F467">
        <v>5684</v>
      </c>
      <c r="G467" t="s">
        <v>784</v>
      </c>
      <c r="H467" t="s">
        <v>3317</v>
      </c>
      <c r="I467">
        <v>1200</v>
      </c>
      <c r="J467" t="s">
        <v>2460</v>
      </c>
      <c r="K467">
        <v>1200</v>
      </c>
      <c r="L467" t="s">
        <v>2460</v>
      </c>
      <c r="M467">
        <v>1200</v>
      </c>
      <c r="N467" t="s">
        <v>2460</v>
      </c>
      <c r="O467">
        <v>1200</v>
      </c>
      <c r="P467" t="s">
        <v>2460</v>
      </c>
      <c r="Q467">
        <v>1200</v>
      </c>
      <c r="R467" t="s">
        <v>2460</v>
      </c>
      <c r="S467" t="s">
        <v>988</v>
      </c>
    </row>
    <row r="468" spans="1:19" hidden="1" x14ac:dyDescent="0.3">
      <c r="A468">
        <v>1273</v>
      </c>
      <c r="B468" t="s">
        <v>1609</v>
      </c>
      <c r="C468" t="s">
        <v>2877</v>
      </c>
      <c r="D468" t="s">
        <v>1203</v>
      </c>
      <c r="E468" t="s">
        <v>1204</v>
      </c>
      <c r="F468">
        <v>5684</v>
      </c>
      <c r="G468" t="s">
        <v>2687</v>
      </c>
      <c r="H468" t="s">
        <v>3318</v>
      </c>
      <c r="I468">
        <v>2000</v>
      </c>
      <c r="J468" t="s">
        <v>2460</v>
      </c>
      <c r="K468">
        <v>0</v>
      </c>
      <c r="L468" t="s">
        <v>2460</v>
      </c>
      <c r="M468">
        <v>0</v>
      </c>
      <c r="N468" t="s">
        <v>2460</v>
      </c>
      <c r="O468">
        <v>0</v>
      </c>
      <c r="P468" t="s">
        <v>2460</v>
      </c>
      <c r="Q468">
        <v>0</v>
      </c>
      <c r="R468" t="s">
        <v>2460</v>
      </c>
      <c r="S468" t="s">
        <v>988</v>
      </c>
    </row>
    <row r="469" spans="1:19" hidden="1" x14ac:dyDescent="0.3">
      <c r="A469">
        <v>1273</v>
      </c>
      <c r="B469" t="s">
        <v>1609</v>
      </c>
      <c r="C469" t="s">
        <v>2877</v>
      </c>
      <c r="D469" t="s">
        <v>1203</v>
      </c>
      <c r="E469" t="s">
        <v>1204</v>
      </c>
      <c r="F469">
        <v>5684</v>
      </c>
      <c r="G469" t="s">
        <v>2681</v>
      </c>
      <c r="H469" t="s">
        <v>3319</v>
      </c>
      <c r="I469">
        <v>14000</v>
      </c>
      <c r="J469" t="s">
        <v>2460</v>
      </c>
      <c r="K469">
        <v>18000</v>
      </c>
      <c r="L469" t="s">
        <v>2460</v>
      </c>
      <c r="M469">
        <v>18000</v>
      </c>
      <c r="N469" t="s">
        <v>2460</v>
      </c>
      <c r="O469">
        <v>18000</v>
      </c>
      <c r="P469" t="s">
        <v>2460</v>
      </c>
      <c r="Q469">
        <v>18000</v>
      </c>
      <c r="R469" t="s">
        <v>2460</v>
      </c>
      <c r="S469" t="s">
        <v>988</v>
      </c>
    </row>
    <row r="470" spans="1:19" hidden="1" x14ac:dyDescent="0.3">
      <c r="A470">
        <v>1273</v>
      </c>
      <c r="B470" t="s">
        <v>1609</v>
      </c>
      <c r="C470" t="s">
        <v>2877</v>
      </c>
      <c r="D470" t="s">
        <v>1203</v>
      </c>
      <c r="E470" t="s">
        <v>1204</v>
      </c>
      <c r="F470">
        <v>5684</v>
      </c>
      <c r="G470" t="s">
        <v>2683</v>
      </c>
      <c r="H470" t="s">
        <v>1441</v>
      </c>
      <c r="I470">
        <v>6000</v>
      </c>
      <c r="J470" t="s">
        <v>2460</v>
      </c>
      <c r="K470">
        <v>6000</v>
      </c>
      <c r="L470" t="s">
        <v>2460</v>
      </c>
      <c r="M470">
        <v>6000</v>
      </c>
      <c r="N470" t="s">
        <v>2460</v>
      </c>
      <c r="O470">
        <v>6000</v>
      </c>
      <c r="P470" t="s">
        <v>2460</v>
      </c>
      <c r="Q470">
        <v>6000</v>
      </c>
      <c r="R470" t="s">
        <v>2460</v>
      </c>
      <c r="S470" t="s">
        <v>988</v>
      </c>
    </row>
    <row r="471" spans="1:19" hidden="1" x14ac:dyDescent="0.3">
      <c r="A471">
        <v>1273</v>
      </c>
      <c r="B471" t="s">
        <v>1609</v>
      </c>
      <c r="C471" t="s">
        <v>2877</v>
      </c>
      <c r="D471" t="s">
        <v>1203</v>
      </c>
      <c r="E471" t="s">
        <v>1204</v>
      </c>
      <c r="F471">
        <v>5684</v>
      </c>
      <c r="G471" t="s">
        <v>2683</v>
      </c>
      <c r="H471" t="s">
        <v>3320</v>
      </c>
      <c r="I471">
        <v>4000</v>
      </c>
      <c r="J471" t="s">
        <v>2460</v>
      </c>
      <c r="K471">
        <v>4000</v>
      </c>
      <c r="L471" t="s">
        <v>2460</v>
      </c>
      <c r="M471">
        <v>4000</v>
      </c>
      <c r="N471" t="s">
        <v>2460</v>
      </c>
      <c r="O471">
        <v>4000</v>
      </c>
      <c r="P471" t="s">
        <v>2460</v>
      </c>
      <c r="Q471">
        <v>4000</v>
      </c>
      <c r="R471" t="s">
        <v>2460</v>
      </c>
      <c r="S471" t="s">
        <v>988</v>
      </c>
    </row>
    <row r="472" spans="1:19" hidden="1" x14ac:dyDescent="0.3">
      <c r="A472">
        <v>1273</v>
      </c>
      <c r="B472" t="s">
        <v>1609</v>
      </c>
      <c r="C472" t="s">
        <v>2877</v>
      </c>
      <c r="D472" t="s">
        <v>1203</v>
      </c>
      <c r="E472" t="s">
        <v>1204</v>
      </c>
      <c r="F472">
        <v>5684</v>
      </c>
      <c r="G472" t="s">
        <v>2683</v>
      </c>
      <c r="H472" t="s">
        <v>3321</v>
      </c>
      <c r="I472">
        <v>11733</v>
      </c>
      <c r="J472" t="s">
        <v>2460</v>
      </c>
      <c r="K472">
        <v>11733</v>
      </c>
      <c r="L472" t="s">
        <v>2460</v>
      </c>
      <c r="M472">
        <v>11733</v>
      </c>
      <c r="N472" t="s">
        <v>2460</v>
      </c>
      <c r="O472">
        <v>11733</v>
      </c>
      <c r="P472" t="s">
        <v>2460</v>
      </c>
      <c r="Q472">
        <v>11733</v>
      </c>
      <c r="R472" t="s">
        <v>2460</v>
      </c>
      <c r="S472" t="s">
        <v>988</v>
      </c>
    </row>
    <row r="473" spans="1:19" hidden="1" x14ac:dyDescent="0.3">
      <c r="A473">
        <v>1273</v>
      </c>
      <c r="B473" t="s">
        <v>1609</v>
      </c>
      <c r="C473" t="s">
        <v>2877</v>
      </c>
      <c r="D473" t="s">
        <v>1203</v>
      </c>
      <c r="E473" t="s">
        <v>1204</v>
      </c>
      <c r="F473">
        <v>5684</v>
      </c>
      <c r="G473" t="s">
        <v>2683</v>
      </c>
      <c r="H473" t="s">
        <v>3322</v>
      </c>
      <c r="I473">
        <v>2000</v>
      </c>
      <c r="J473" t="s">
        <v>2460</v>
      </c>
      <c r="K473">
        <v>2000</v>
      </c>
      <c r="L473" t="s">
        <v>2460</v>
      </c>
      <c r="M473">
        <v>2000</v>
      </c>
      <c r="N473" t="s">
        <v>2460</v>
      </c>
      <c r="O473">
        <v>2000</v>
      </c>
      <c r="P473" t="s">
        <v>2460</v>
      </c>
      <c r="Q473">
        <v>2000</v>
      </c>
      <c r="R473" t="s">
        <v>2460</v>
      </c>
      <c r="S473" t="s">
        <v>988</v>
      </c>
    </row>
    <row r="474" spans="1:19" hidden="1" x14ac:dyDescent="0.3">
      <c r="A474">
        <v>1324</v>
      </c>
      <c r="B474" t="s">
        <v>1619</v>
      </c>
      <c r="C474" t="s">
        <v>2877</v>
      </c>
      <c r="D474" t="s">
        <v>159</v>
      </c>
      <c r="E474" t="s">
        <v>159</v>
      </c>
      <c r="F474">
        <v>5633</v>
      </c>
      <c r="G474" t="s">
        <v>2683</v>
      </c>
      <c r="H474" t="s">
        <v>2965</v>
      </c>
      <c r="I474">
        <v>151</v>
      </c>
      <c r="J474" t="s">
        <v>2460</v>
      </c>
      <c r="K474">
        <v>110</v>
      </c>
      <c r="L474" t="s">
        <v>2460</v>
      </c>
      <c r="M474">
        <v>125</v>
      </c>
      <c r="N474" t="s">
        <v>2460</v>
      </c>
      <c r="O474">
        <v>140</v>
      </c>
      <c r="P474" t="s">
        <v>2460</v>
      </c>
      <c r="Q474">
        <v>165</v>
      </c>
      <c r="R474" t="s">
        <v>2460</v>
      </c>
      <c r="S474" t="s">
        <v>988</v>
      </c>
    </row>
    <row r="475" spans="1:19" hidden="1" x14ac:dyDescent="0.3">
      <c r="A475">
        <v>1324</v>
      </c>
      <c r="B475" t="s">
        <v>1619</v>
      </c>
      <c r="C475" t="s">
        <v>2877</v>
      </c>
      <c r="D475" t="s">
        <v>159</v>
      </c>
      <c r="E475" t="s">
        <v>159</v>
      </c>
      <c r="F475">
        <v>5633</v>
      </c>
      <c r="G475" t="s">
        <v>2681</v>
      </c>
      <c r="H475" t="s">
        <v>2967</v>
      </c>
      <c r="I475">
        <v>2400</v>
      </c>
      <c r="J475" t="s">
        <v>2460</v>
      </c>
      <c r="K475">
        <v>2400</v>
      </c>
      <c r="L475" t="s">
        <v>2460</v>
      </c>
      <c r="M475">
        <v>2400</v>
      </c>
      <c r="N475" t="s">
        <v>2460</v>
      </c>
      <c r="O475">
        <v>2400</v>
      </c>
      <c r="P475" t="s">
        <v>2460</v>
      </c>
      <c r="Q475">
        <v>2400</v>
      </c>
      <c r="R475" t="s">
        <v>2460</v>
      </c>
      <c r="S475" t="s">
        <v>988</v>
      </c>
    </row>
    <row r="476" spans="1:19" hidden="1" x14ac:dyDescent="0.3">
      <c r="A476">
        <v>1324</v>
      </c>
      <c r="B476" t="s">
        <v>1619</v>
      </c>
      <c r="C476" t="s">
        <v>2877</v>
      </c>
      <c r="D476" t="s">
        <v>159</v>
      </c>
      <c r="E476" t="s">
        <v>159</v>
      </c>
      <c r="F476">
        <v>5633</v>
      </c>
      <c r="G476" t="s">
        <v>2683</v>
      </c>
      <c r="H476" t="s">
        <v>2966</v>
      </c>
      <c r="I476">
        <v>6300</v>
      </c>
      <c r="J476" t="s">
        <v>2460</v>
      </c>
      <c r="K476">
        <v>6300</v>
      </c>
      <c r="L476" t="s">
        <v>2460</v>
      </c>
      <c r="M476">
        <v>6300</v>
      </c>
      <c r="N476" t="s">
        <v>2460</v>
      </c>
      <c r="O476">
        <v>6300</v>
      </c>
      <c r="P476" t="s">
        <v>2460</v>
      </c>
      <c r="Q476">
        <v>6300</v>
      </c>
      <c r="R476" t="s">
        <v>2460</v>
      </c>
      <c r="S476" t="s">
        <v>988</v>
      </c>
    </row>
    <row r="477" spans="1:19" hidden="1" x14ac:dyDescent="0.3">
      <c r="A477">
        <v>1327</v>
      </c>
      <c r="B477" t="s">
        <v>1620</v>
      </c>
      <c r="C477" t="s">
        <v>2877</v>
      </c>
      <c r="D477" t="s">
        <v>1203</v>
      </c>
      <c r="E477" t="s">
        <v>1204</v>
      </c>
      <c r="F477">
        <v>5572</v>
      </c>
      <c r="G477" t="s">
        <v>2683</v>
      </c>
      <c r="H477" t="s">
        <v>2965</v>
      </c>
      <c r="I477">
        <v>281</v>
      </c>
      <c r="J477" t="s">
        <v>2460</v>
      </c>
      <c r="K477">
        <v>284</v>
      </c>
      <c r="L477" t="s">
        <v>2460</v>
      </c>
      <c r="M477">
        <v>280</v>
      </c>
      <c r="N477" t="s">
        <v>2460</v>
      </c>
      <c r="O477">
        <v>276</v>
      </c>
      <c r="P477" t="s">
        <v>2460</v>
      </c>
      <c r="Q477">
        <v>275</v>
      </c>
      <c r="R477" t="s">
        <v>2460</v>
      </c>
      <c r="S477" t="s">
        <v>988</v>
      </c>
    </row>
    <row r="478" spans="1:19" hidden="1" x14ac:dyDescent="0.3">
      <c r="A478">
        <v>1327</v>
      </c>
      <c r="B478" t="s">
        <v>1620</v>
      </c>
      <c r="C478" t="s">
        <v>2877</v>
      </c>
      <c r="D478" t="s">
        <v>1203</v>
      </c>
      <c r="E478" t="s">
        <v>1204</v>
      </c>
      <c r="F478">
        <v>5572</v>
      </c>
      <c r="G478" t="s">
        <v>2681</v>
      </c>
      <c r="H478" t="s">
        <v>2893</v>
      </c>
      <c r="I478">
        <v>1591</v>
      </c>
      <c r="J478" t="s">
        <v>2460</v>
      </c>
      <c r="K478">
        <v>1609</v>
      </c>
      <c r="L478" t="s">
        <v>2460</v>
      </c>
      <c r="M478">
        <v>1587</v>
      </c>
      <c r="N478" t="s">
        <v>2460</v>
      </c>
      <c r="O478">
        <v>1563</v>
      </c>
      <c r="P478" t="s">
        <v>2460</v>
      </c>
      <c r="Q478">
        <v>1557</v>
      </c>
      <c r="R478" t="s">
        <v>2460</v>
      </c>
      <c r="S478" t="s">
        <v>988</v>
      </c>
    </row>
    <row r="479" spans="1:19" hidden="1" x14ac:dyDescent="0.3">
      <c r="A479">
        <v>1333</v>
      </c>
      <c r="B479" t="s">
        <v>1623</v>
      </c>
      <c r="C479" t="s">
        <v>2877</v>
      </c>
      <c r="D479" t="s">
        <v>1203</v>
      </c>
      <c r="E479" t="s">
        <v>1204</v>
      </c>
      <c r="F479">
        <v>5662</v>
      </c>
      <c r="G479" t="s">
        <v>2683</v>
      </c>
      <c r="H479" t="s">
        <v>3323</v>
      </c>
      <c r="I479">
        <v>10890</v>
      </c>
      <c r="J479" t="s">
        <v>2460</v>
      </c>
      <c r="K479">
        <v>10890</v>
      </c>
      <c r="L479" t="s">
        <v>2460</v>
      </c>
      <c r="M479">
        <v>10890</v>
      </c>
      <c r="N479" t="s">
        <v>2460</v>
      </c>
      <c r="O479">
        <v>10890</v>
      </c>
      <c r="P479" t="s">
        <v>2460</v>
      </c>
      <c r="R479" t="s">
        <v>2460</v>
      </c>
      <c r="S479" t="s">
        <v>988</v>
      </c>
    </row>
    <row r="480" spans="1:19" hidden="1" x14ac:dyDescent="0.3">
      <c r="A480">
        <v>1333</v>
      </c>
      <c r="B480" t="s">
        <v>1623</v>
      </c>
      <c r="C480" t="s">
        <v>2877</v>
      </c>
      <c r="D480" t="s">
        <v>1203</v>
      </c>
      <c r="E480" t="s">
        <v>1204</v>
      </c>
      <c r="F480">
        <v>5662</v>
      </c>
      <c r="G480" t="s">
        <v>2681</v>
      </c>
      <c r="H480" t="s">
        <v>3324</v>
      </c>
      <c r="I480">
        <v>2895</v>
      </c>
      <c r="J480" t="s">
        <v>2460</v>
      </c>
      <c r="K480">
        <v>2895</v>
      </c>
      <c r="L480" t="s">
        <v>2460</v>
      </c>
      <c r="M480">
        <v>2895</v>
      </c>
      <c r="N480" t="s">
        <v>2460</v>
      </c>
      <c r="O480">
        <v>2895</v>
      </c>
      <c r="P480" t="s">
        <v>2460</v>
      </c>
      <c r="R480" t="s">
        <v>2460</v>
      </c>
      <c r="S480" t="s">
        <v>988</v>
      </c>
    </row>
    <row r="481" spans="1:19" hidden="1" x14ac:dyDescent="0.3">
      <c r="A481">
        <v>1335</v>
      </c>
      <c r="B481" t="s">
        <v>1625</v>
      </c>
      <c r="C481" t="s">
        <v>2877</v>
      </c>
      <c r="D481" t="s">
        <v>1203</v>
      </c>
      <c r="E481" t="s">
        <v>1204</v>
      </c>
      <c r="F481">
        <v>5719</v>
      </c>
      <c r="G481" t="s">
        <v>2683</v>
      </c>
      <c r="H481" t="s">
        <v>3325</v>
      </c>
      <c r="I481">
        <v>2920</v>
      </c>
      <c r="J481" t="s">
        <v>2460</v>
      </c>
      <c r="K481">
        <v>2920</v>
      </c>
      <c r="L481" t="s">
        <v>2460</v>
      </c>
      <c r="M481">
        <v>2920</v>
      </c>
      <c r="N481" t="s">
        <v>2460</v>
      </c>
      <c r="O481">
        <v>2920</v>
      </c>
      <c r="P481" t="s">
        <v>2460</v>
      </c>
      <c r="Q481">
        <v>2920</v>
      </c>
      <c r="R481" t="s">
        <v>2460</v>
      </c>
      <c r="S481" t="s">
        <v>988</v>
      </c>
    </row>
    <row r="482" spans="1:19" hidden="1" x14ac:dyDescent="0.3">
      <c r="A482">
        <v>1335</v>
      </c>
      <c r="B482" t="s">
        <v>1625</v>
      </c>
      <c r="C482" t="s">
        <v>2877</v>
      </c>
      <c r="D482" t="s">
        <v>1203</v>
      </c>
      <c r="E482" t="s">
        <v>1204</v>
      </c>
      <c r="F482">
        <v>5719</v>
      </c>
      <c r="G482" t="s">
        <v>2679</v>
      </c>
      <c r="H482" t="s">
        <v>3326</v>
      </c>
      <c r="I482">
        <v>70</v>
      </c>
      <c r="J482" t="s">
        <v>2460</v>
      </c>
      <c r="K482">
        <v>70</v>
      </c>
      <c r="L482" t="s">
        <v>2460</v>
      </c>
      <c r="M482">
        <v>70</v>
      </c>
      <c r="N482" t="s">
        <v>2460</v>
      </c>
      <c r="O482">
        <v>70</v>
      </c>
      <c r="P482" t="s">
        <v>2460</v>
      </c>
      <c r="Q482">
        <v>70</v>
      </c>
      <c r="R482" t="s">
        <v>2460</v>
      </c>
      <c r="S482" t="s">
        <v>988</v>
      </c>
    </row>
    <row r="483" spans="1:19" hidden="1" x14ac:dyDescent="0.3">
      <c r="A483">
        <v>1335</v>
      </c>
      <c r="B483" t="s">
        <v>1625</v>
      </c>
      <c r="C483" t="s">
        <v>2877</v>
      </c>
      <c r="D483" t="s">
        <v>1203</v>
      </c>
      <c r="E483" t="s">
        <v>1204</v>
      </c>
      <c r="F483">
        <v>5719</v>
      </c>
      <c r="G483" t="s">
        <v>2681</v>
      </c>
      <c r="H483" t="s">
        <v>3327</v>
      </c>
      <c r="I483">
        <v>2025</v>
      </c>
      <c r="J483" t="s">
        <v>2460</v>
      </c>
      <c r="K483">
        <v>2025</v>
      </c>
      <c r="L483" t="s">
        <v>2460</v>
      </c>
      <c r="M483">
        <v>2025</v>
      </c>
      <c r="N483" t="s">
        <v>2460</v>
      </c>
      <c r="O483">
        <v>2025</v>
      </c>
      <c r="P483" t="s">
        <v>2460</v>
      </c>
      <c r="Q483">
        <v>2025</v>
      </c>
      <c r="R483" t="s">
        <v>2460</v>
      </c>
      <c r="S483" t="s">
        <v>988</v>
      </c>
    </row>
    <row r="484" spans="1:19" hidden="1" x14ac:dyDescent="0.3">
      <c r="A484">
        <v>1335</v>
      </c>
      <c r="B484" t="s">
        <v>1625</v>
      </c>
      <c r="C484" t="s">
        <v>2877</v>
      </c>
      <c r="D484" t="s">
        <v>1203</v>
      </c>
      <c r="E484" t="s">
        <v>1204</v>
      </c>
      <c r="F484">
        <v>5719</v>
      </c>
      <c r="G484" t="s">
        <v>2689</v>
      </c>
      <c r="H484" t="s">
        <v>3328</v>
      </c>
      <c r="I484">
        <v>0</v>
      </c>
      <c r="J484" t="s">
        <v>2460</v>
      </c>
      <c r="K484">
        <v>1000</v>
      </c>
      <c r="L484" t="s">
        <v>2460</v>
      </c>
      <c r="M484">
        <v>1000</v>
      </c>
      <c r="N484" t="s">
        <v>2460</v>
      </c>
      <c r="O484">
        <v>1000</v>
      </c>
      <c r="P484" t="s">
        <v>2460</v>
      </c>
      <c r="Q484">
        <v>1000</v>
      </c>
      <c r="R484" t="s">
        <v>2460</v>
      </c>
      <c r="S484" t="s">
        <v>988</v>
      </c>
    </row>
    <row r="485" spans="1:19" hidden="1" x14ac:dyDescent="0.3">
      <c r="A485">
        <v>1343</v>
      </c>
      <c r="B485" t="s">
        <v>1626</v>
      </c>
      <c r="C485" t="s">
        <v>2877</v>
      </c>
      <c r="D485" t="s">
        <v>1203</v>
      </c>
      <c r="E485" t="s">
        <v>1204</v>
      </c>
      <c r="F485">
        <v>5845</v>
      </c>
      <c r="G485" t="s">
        <v>2683</v>
      </c>
      <c r="H485" t="s">
        <v>3329</v>
      </c>
      <c r="I485">
        <v>50</v>
      </c>
      <c r="J485" t="s">
        <v>3330</v>
      </c>
      <c r="K485">
        <v>50</v>
      </c>
      <c r="L485" t="s">
        <v>3330</v>
      </c>
      <c r="M485">
        <v>50</v>
      </c>
      <c r="N485" t="s">
        <v>3330</v>
      </c>
      <c r="O485">
        <v>50</v>
      </c>
      <c r="P485" t="s">
        <v>3330</v>
      </c>
      <c r="Q485">
        <v>50</v>
      </c>
      <c r="R485" t="s">
        <v>3330</v>
      </c>
      <c r="S485" t="s">
        <v>988</v>
      </c>
    </row>
    <row r="486" spans="1:19" hidden="1" x14ac:dyDescent="0.3">
      <c r="A486">
        <v>1343</v>
      </c>
      <c r="B486" t="s">
        <v>1626</v>
      </c>
      <c r="C486" t="s">
        <v>2877</v>
      </c>
      <c r="D486" t="s">
        <v>1203</v>
      </c>
      <c r="E486" t="s">
        <v>1204</v>
      </c>
      <c r="F486">
        <v>5845</v>
      </c>
      <c r="G486" t="s">
        <v>2679</v>
      </c>
      <c r="H486" t="s">
        <v>3331</v>
      </c>
      <c r="I486">
        <v>1123</v>
      </c>
      <c r="J486" t="s">
        <v>3332</v>
      </c>
      <c r="K486">
        <v>1123</v>
      </c>
      <c r="L486" t="s">
        <v>3332</v>
      </c>
      <c r="M486">
        <v>1123</v>
      </c>
      <c r="N486" t="s">
        <v>3332</v>
      </c>
      <c r="O486">
        <v>1123</v>
      </c>
      <c r="P486" t="s">
        <v>3332</v>
      </c>
      <c r="Q486">
        <v>1123</v>
      </c>
      <c r="R486" t="s">
        <v>3332</v>
      </c>
      <c r="S486" t="s">
        <v>988</v>
      </c>
    </row>
    <row r="487" spans="1:19" hidden="1" x14ac:dyDescent="0.3">
      <c r="A487">
        <v>1343</v>
      </c>
      <c r="B487" t="s">
        <v>1626</v>
      </c>
      <c r="C487" t="s">
        <v>2877</v>
      </c>
      <c r="D487" t="s">
        <v>1203</v>
      </c>
      <c r="E487" t="s">
        <v>1204</v>
      </c>
      <c r="F487">
        <v>5845</v>
      </c>
      <c r="G487" t="s">
        <v>2681</v>
      </c>
      <c r="H487" t="s">
        <v>3333</v>
      </c>
      <c r="I487">
        <v>285</v>
      </c>
      <c r="J487" t="s">
        <v>3334</v>
      </c>
      <c r="K487">
        <v>315</v>
      </c>
      <c r="L487" t="s">
        <v>3335</v>
      </c>
      <c r="M487">
        <v>375</v>
      </c>
      <c r="N487" t="s">
        <v>3336</v>
      </c>
      <c r="O487">
        <v>405</v>
      </c>
      <c r="P487" t="s">
        <v>3337</v>
      </c>
      <c r="Q487">
        <v>435</v>
      </c>
      <c r="R487" t="s">
        <v>3338</v>
      </c>
      <c r="S487" t="s">
        <v>988</v>
      </c>
    </row>
    <row r="488" spans="1:19" hidden="1" x14ac:dyDescent="0.3">
      <c r="A488">
        <v>1343</v>
      </c>
      <c r="B488" t="s">
        <v>1626</v>
      </c>
      <c r="C488" t="s">
        <v>2877</v>
      </c>
      <c r="D488" t="s">
        <v>1203</v>
      </c>
      <c r="E488" t="s">
        <v>1204</v>
      </c>
      <c r="F488">
        <v>5845</v>
      </c>
      <c r="G488" t="s">
        <v>2691</v>
      </c>
      <c r="H488" t="s">
        <v>3339</v>
      </c>
      <c r="I488">
        <v>1566</v>
      </c>
      <c r="J488" t="s">
        <v>3340</v>
      </c>
      <c r="K488">
        <v>1566</v>
      </c>
      <c r="L488" t="s">
        <v>3340</v>
      </c>
      <c r="M488">
        <v>1566</v>
      </c>
      <c r="N488" t="s">
        <v>3340</v>
      </c>
      <c r="O488">
        <v>1566</v>
      </c>
      <c r="P488" t="s">
        <v>3340</v>
      </c>
      <c r="Q488">
        <v>1566</v>
      </c>
      <c r="R488" t="s">
        <v>3340</v>
      </c>
      <c r="S488" t="s">
        <v>988</v>
      </c>
    </row>
    <row r="489" spans="1:19" hidden="1" x14ac:dyDescent="0.3">
      <c r="A489">
        <v>1352</v>
      </c>
      <c r="B489" t="s">
        <v>1631</v>
      </c>
      <c r="C489" t="s">
        <v>2877</v>
      </c>
      <c r="D489" t="s">
        <v>1203</v>
      </c>
      <c r="E489" t="s">
        <v>1204</v>
      </c>
      <c r="F489">
        <v>6941</v>
      </c>
      <c r="G489" t="s">
        <v>2679</v>
      </c>
      <c r="H489" t="s">
        <v>2460</v>
      </c>
      <c r="I489">
        <v>800</v>
      </c>
      <c r="J489" t="s">
        <v>2460</v>
      </c>
      <c r="K489">
        <v>800</v>
      </c>
      <c r="L489" t="s">
        <v>2460</v>
      </c>
      <c r="M489">
        <v>800</v>
      </c>
      <c r="N489" t="s">
        <v>2460</v>
      </c>
      <c r="O489">
        <v>800</v>
      </c>
      <c r="P489" t="s">
        <v>2460</v>
      </c>
      <c r="R489" t="s">
        <v>2460</v>
      </c>
      <c r="S489" t="s">
        <v>988</v>
      </c>
    </row>
    <row r="490" spans="1:19" hidden="1" x14ac:dyDescent="0.3">
      <c r="A490">
        <v>1352</v>
      </c>
      <c r="B490" t="s">
        <v>1631</v>
      </c>
      <c r="C490" t="s">
        <v>2877</v>
      </c>
      <c r="D490" t="s">
        <v>1203</v>
      </c>
      <c r="E490" t="s">
        <v>1204</v>
      </c>
      <c r="F490">
        <v>6941</v>
      </c>
      <c r="G490" t="s">
        <v>2691</v>
      </c>
      <c r="H490" t="s">
        <v>3341</v>
      </c>
      <c r="I490">
        <v>4500</v>
      </c>
      <c r="J490" t="s">
        <v>2460</v>
      </c>
      <c r="K490">
        <v>4500</v>
      </c>
      <c r="L490" t="s">
        <v>2460</v>
      </c>
      <c r="M490">
        <v>4500</v>
      </c>
      <c r="N490" t="s">
        <v>2460</v>
      </c>
      <c r="O490">
        <v>4500</v>
      </c>
      <c r="P490" t="s">
        <v>2460</v>
      </c>
      <c r="R490" t="s">
        <v>2460</v>
      </c>
      <c r="S490" t="s">
        <v>988</v>
      </c>
    </row>
    <row r="491" spans="1:19" hidden="1" x14ac:dyDescent="0.3">
      <c r="A491">
        <v>1352</v>
      </c>
      <c r="B491" t="s">
        <v>1631</v>
      </c>
      <c r="C491" t="s">
        <v>2877</v>
      </c>
      <c r="D491" t="s">
        <v>1203</v>
      </c>
      <c r="E491" t="s">
        <v>1204</v>
      </c>
      <c r="F491">
        <v>6941</v>
      </c>
      <c r="G491" t="s">
        <v>2685</v>
      </c>
      <c r="H491" t="s">
        <v>3342</v>
      </c>
      <c r="I491">
        <v>1000</v>
      </c>
      <c r="J491" t="s">
        <v>2460</v>
      </c>
      <c r="K491">
        <v>1000</v>
      </c>
      <c r="L491" t="s">
        <v>2460</v>
      </c>
      <c r="M491">
        <v>1000</v>
      </c>
      <c r="N491" t="s">
        <v>2460</v>
      </c>
      <c r="O491">
        <v>1000</v>
      </c>
      <c r="P491" t="s">
        <v>2460</v>
      </c>
      <c r="R491" t="s">
        <v>2460</v>
      </c>
      <c r="S491" t="s">
        <v>988</v>
      </c>
    </row>
    <row r="492" spans="1:19" hidden="1" x14ac:dyDescent="0.3">
      <c r="A492">
        <v>1352</v>
      </c>
      <c r="B492" t="s">
        <v>1631</v>
      </c>
      <c r="C492" t="s">
        <v>2877</v>
      </c>
      <c r="D492" t="s">
        <v>1203</v>
      </c>
      <c r="E492" t="s">
        <v>1204</v>
      </c>
      <c r="F492">
        <v>6941</v>
      </c>
      <c r="G492" t="s">
        <v>2683</v>
      </c>
      <c r="H492" t="s">
        <v>3343</v>
      </c>
      <c r="I492">
        <v>1000</v>
      </c>
      <c r="J492" t="s">
        <v>2460</v>
      </c>
      <c r="K492">
        <v>1000</v>
      </c>
      <c r="L492" t="s">
        <v>2460</v>
      </c>
      <c r="M492">
        <v>1000</v>
      </c>
      <c r="N492" t="s">
        <v>2460</v>
      </c>
      <c r="O492">
        <v>1000</v>
      </c>
      <c r="P492" t="s">
        <v>2460</v>
      </c>
      <c r="R492" t="s">
        <v>2460</v>
      </c>
      <c r="S492" t="s">
        <v>988</v>
      </c>
    </row>
    <row r="493" spans="1:19" hidden="1" x14ac:dyDescent="0.3">
      <c r="A493">
        <v>1352</v>
      </c>
      <c r="B493" t="s">
        <v>1631</v>
      </c>
      <c r="C493" t="s">
        <v>2877</v>
      </c>
      <c r="D493" t="s">
        <v>1203</v>
      </c>
      <c r="E493" t="s">
        <v>1204</v>
      </c>
      <c r="F493">
        <v>6941</v>
      </c>
      <c r="G493" t="s">
        <v>2681</v>
      </c>
      <c r="H493" t="s">
        <v>1873</v>
      </c>
      <c r="I493">
        <v>9970</v>
      </c>
      <c r="J493" t="s">
        <v>2460</v>
      </c>
      <c r="K493">
        <v>10530</v>
      </c>
      <c r="L493" t="s">
        <v>2460</v>
      </c>
      <c r="M493">
        <v>11060</v>
      </c>
      <c r="N493" t="s">
        <v>2460</v>
      </c>
      <c r="O493">
        <v>11560</v>
      </c>
      <c r="P493" t="s">
        <v>2460</v>
      </c>
      <c r="R493" t="s">
        <v>2460</v>
      </c>
      <c r="S493" t="s">
        <v>988</v>
      </c>
    </row>
    <row r="494" spans="1:19" hidden="1" x14ac:dyDescent="0.3">
      <c r="A494">
        <v>1352</v>
      </c>
      <c r="B494" t="s">
        <v>1631</v>
      </c>
      <c r="C494" t="s">
        <v>2877</v>
      </c>
      <c r="D494" t="s">
        <v>1203</v>
      </c>
      <c r="E494" t="s">
        <v>1204</v>
      </c>
      <c r="F494">
        <v>6941</v>
      </c>
      <c r="G494" t="s">
        <v>2683</v>
      </c>
      <c r="H494" t="s">
        <v>1873</v>
      </c>
      <c r="I494">
        <v>300</v>
      </c>
      <c r="J494" t="s">
        <v>2460</v>
      </c>
      <c r="K494">
        <v>300</v>
      </c>
      <c r="L494" t="s">
        <v>2460</v>
      </c>
      <c r="M494">
        <v>300</v>
      </c>
      <c r="N494" t="s">
        <v>2460</v>
      </c>
      <c r="O494">
        <v>300</v>
      </c>
      <c r="P494" t="s">
        <v>2460</v>
      </c>
      <c r="R494" t="s">
        <v>2460</v>
      </c>
      <c r="S494" t="s">
        <v>988</v>
      </c>
    </row>
    <row r="495" spans="1:19" hidden="1" x14ac:dyDescent="0.3">
      <c r="A495">
        <v>1352</v>
      </c>
      <c r="B495" t="s">
        <v>1631</v>
      </c>
      <c r="C495" t="s">
        <v>2877</v>
      </c>
      <c r="D495" t="s">
        <v>1203</v>
      </c>
      <c r="E495" t="s">
        <v>1204</v>
      </c>
      <c r="F495">
        <v>6941</v>
      </c>
      <c r="G495" t="s">
        <v>2681</v>
      </c>
      <c r="H495" t="s">
        <v>3344</v>
      </c>
      <c r="I495">
        <v>750</v>
      </c>
      <c r="J495" t="s">
        <v>2460</v>
      </c>
      <c r="K495">
        <v>750</v>
      </c>
      <c r="L495" t="s">
        <v>2460</v>
      </c>
      <c r="M495">
        <v>750</v>
      </c>
      <c r="N495" t="s">
        <v>2460</v>
      </c>
      <c r="O495">
        <v>750</v>
      </c>
      <c r="P495" t="s">
        <v>2460</v>
      </c>
      <c r="R495" t="s">
        <v>2460</v>
      </c>
      <c r="S495" t="s">
        <v>988</v>
      </c>
    </row>
    <row r="496" spans="1:19" hidden="1" x14ac:dyDescent="0.3">
      <c r="A496">
        <v>1368</v>
      </c>
      <c r="B496" t="s">
        <v>1632</v>
      </c>
      <c r="C496" t="s">
        <v>2877</v>
      </c>
      <c r="D496" t="s">
        <v>1203</v>
      </c>
      <c r="E496" t="s">
        <v>1204</v>
      </c>
      <c r="F496">
        <v>5455</v>
      </c>
      <c r="G496" t="s">
        <v>2681</v>
      </c>
      <c r="H496" t="s">
        <v>2460</v>
      </c>
      <c r="I496">
        <v>700</v>
      </c>
      <c r="J496" t="s">
        <v>2460</v>
      </c>
      <c r="K496">
        <v>900</v>
      </c>
      <c r="L496" t="s">
        <v>2460</v>
      </c>
      <c r="M496">
        <v>900</v>
      </c>
      <c r="N496" t="s">
        <v>2460</v>
      </c>
      <c r="O496">
        <v>900</v>
      </c>
      <c r="P496" t="s">
        <v>2460</v>
      </c>
      <c r="R496" t="s">
        <v>2460</v>
      </c>
      <c r="S496" t="s">
        <v>988</v>
      </c>
    </row>
    <row r="497" spans="1:19" hidden="1" x14ac:dyDescent="0.3">
      <c r="A497">
        <v>1368</v>
      </c>
      <c r="B497" t="s">
        <v>1632</v>
      </c>
      <c r="C497" t="s">
        <v>2877</v>
      </c>
      <c r="D497" t="s">
        <v>1203</v>
      </c>
      <c r="E497" t="s">
        <v>1204</v>
      </c>
      <c r="F497">
        <v>5455</v>
      </c>
      <c r="G497" t="s">
        <v>2683</v>
      </c>
      <c r="H497" t="s">
        <v>2460</v>
      </c>
      <c r="I497">
        <v>3436</v>
      </c>
      <c r="J497" t="s">
        <v>2460</v>
      </c>
      <c r="K497">
        <v>3376</v>
      </c>
      <c r="L497" t="s">
        <v>2460</v>
      </c>
      <c r="M497">
        <v>3364</v>
      </c>
      <c r="N497" t="s">
        <v>2460</v>
      </c>
      <c r="O497">
        <v>3417</v>
      </c>
      <c r="P497" t="s">
        <v>2460</v>
      </c>
      <c r="R497" t="s">
        <v>2460</v>
      </c>
      <c r="S497" t="s">
        <v>988</v>
      </c>
    </row>
    <row r="498" spans="1:19" hidden="1" x14ac:dyDescent="0.3">
      <c r="A498">
        <v>1370</v>
      </c>
      <c r="B498" t="s">
        <v>1633</v>
      </c>
      <c r="C498" t="s">
        <v>2877</v>
      </c>
      <c r="D498" t="s">
        <v>1203</v>
      </c>
      <c r="E498" t="s">
        <v>1204</v>
      </c>
      <c r="F498">
        <v>5811</v>
      </c>
      <c r="G498" t="s">
        <v>2681</v>
      </c>
      <c r="H498" t="s">
        <v>2460</v>
      </c>
      <c r="I498">
        <v>9432</v>
      </c>
      <c r="J498" t="s">
        <v>2460</v>
      </c>
      <c r="K498">
        <v>9432</v>
      </c>
      <c r="L498" t="s">
        <v>2460</v>
      </c>
      <c r="M498">
        <v>9432</v>
      </c>
      <c r="N498" t="s">
        <v>2460</v>
      </c>
      <c r="O498">
        <v>9432</v>
      </c>
      <c r="P498" t="s">
        <v>2460</v>
      </c>
      <c r="R498" t="s">
        <v>2460</v>
      </c>
      <c r="S498" t="s">
        <v>988</v>
      </c>
    </row>
    <row r="499" spans="1:19" hidden="1" x14ac:dyDescent="0.3">
      <c r="A499">
        <v>1370</v>
      </c>
      <c r="B499" t="s">
        <v>1633</v>
      </c>
      <c r="C499" t="s">
        <v>2877</v>
      </c>
      <c r="D499" t="s">
        <v>1203</v>
      </c>
      <c r="E499" t="s">
        <v>1204</v>
      </c>
      <c r="F499">
        <v>5811</v>
      </c>
      <c r="G499" t="s">
        <v>2679</v>
      </c>
      <c r="H499" t="s">
        <v>2460</v>
      </c>
      <c r="I499">
        <v>450</v>
      </c>
      <c r="J499" t="s">
        <v>2460</v>
      </c>
      <c r="K499">
        <v>450</v>
      </c>
      <c r="L499" t="s">
        <v>2460</v>
      </c>
      <c r="M499">
        <v>450</v>
      </c>
      <c r="N499" t="s">
        <v>2460</v>
      </c>
      <c r="O499">
        <v>450</v>
      </c>
      <c r="P499" t="s">
        <v>2460</v>
      </c>
      <c r="R499" t="s">
        <v>2460</v>
      </c>
      <c r="S499" t="s">
        <v>988</v>
      </c>
    </row>
    <row r="500" spans="1:19" hidden="1" x14ac:dyDescent="0.3">
      <c r="A500">
        <v>1371</v>
      </c>
      <c r="B500" t="s">
        <v>1635</v>
      </c>
      <c r="C500" t="s">
        <v>2877</v>
      </c>
      <c r="D500" t="s">
        <v>1203</v>
      </c>
      <c r="E500" t="s">
        <v>1204</v>
      </c>
      <c r="F500">
        <v>7512</v>
      </c>
      <c r="G500" t="s">
        <v>2681</v>
      </c>
      <c r="H500" t="s">
        <v>3345</v>
      </c>
      <c r="I500">
        <v>8025.1417277500004</v>
      </c>
      <c r="J500" t="s">
        <v>2460</v>
      </c>
      <c r="K500">
        <v>8025.1417277500004</v>
      </c>
      <c r="L500" t="s">
        <v>2460</v>
      </c>
      <c r="M500">
        <v>8025.1417277500004</v>
      </c>
      <c r="N500" t="s">
        <v>2460</v>
      </c>
      <c r="O500">
        <v>8025.1417277500004</v>
      </c>
      <c r="P500" t="s">
        <v>2460</v>
      </c>
      <c r="R500" t="s">
        <v>2460</v>
      </c>
      <c r="S500" t="s">
        <v>988</v>
      </c>
    </row>
    <row r="501" spans="1:19" hidden="1" x14ac:dyDescent="0.3">
      <c r="A501">
        <v>1384</v>
      </c>
      <c r="B501" t="s">
        <v>1637</v>
      </c>
      <c r="C501" t="s">
        <v>2877</v>
      </c>
      <c r="D501" t="s">
        <v>1203</v>
      </c>
      <c r="E501" t="s">
        <v>1204</v>
      </c>
      <c r="F501">
        <v>5709</v>
      </c>
      <c r="G501" t="s">
        <v>2683</v>
      </c>
      <c r="H501" t="s">
        <v>2460</v>
      </c>
      <c r="I501">
        <v>19190</v>
      </c>
      <c r="J501" t="s">
        <v>2460</v>
      </c>
      <c r="K501">
        <v>17146</v>
      </c>
      <c r="L501" t="s">
        <v>2460</v>
      </c>
      <c r="M501">
        <v>18263</v>
      </c>
      <c r="N501" t="s">
        <v>2460</v>
      </c>
      <c r="O501">
        <v>19444</v>
      </c>
      <c r="P501" t="s">
        <v>2460</v>
      </c>
      <c r="Q501">
        <v>20692</v>
      </c>
      <c r="R501" t="s">
        <v>2460</v>
      </c>
      <c r="S501" t="s">
        <v>988</v>
      </c>
    </row>
    <row r="502" spans="1:19" hidden="1" x14ac:dyDescent="0.3">
      <c r="A502">
        <v>1384</v>
      </c>
      <c r="B502" t="s">
        <v>1637</v>
      </c>
      <c r="C502" t="s">
        <v>2877</v>
      </c>
      <c r="D502" t="s">
        <v>1203</v>
      </c>
      <c r="E502" t="s">
        <v>1204</v>
      </c>
      <c r="F502">
        <v>5709</v>
      </c>
      <c r="G502" t="s">
        <v>2679</v>
      </c>
      <c r="H502" t="s">
        <v>2460</v>
      </c>
      <c r="I502">
        <v>3995</v>
      </c>
      <c r="J502" t="s">
        <v>2460</v>
      </c>
      <c r="K502">
        <v>3995</v>
      </c>
      <c r="L502" t="s">
        <v>2460</v>
      </c>
      <c r="M502">
        <v>3995</v>
      </c>
      <c r="N502" t="s">
        <v>2460</v>
      </c>
      <c r="O502">
        <v>3995</v>
      </c>
      <c r="P502" t="s">
        <v>2460</v>
      </c>
      <c r="Q502">
        <v>3995</v>
      </c>
      <c r="R502" t="s">
        <v>2460</v>
      </c>
      <c r="S502" t="s">
        <v>988</v>
      </c>
    </row>
    <row r="503" spans="1:19" hidden="1" x14ac:dyDescent="0.3">
      <c r="A503">
        <v>1384</v>
      </c>
      <c r="B503" t="s">
        <v>1637</v>
      </c>
      <c r="C503" t="s">
        <v>2877</v>
      </c>
      <c r="D503" t="s">
        <v>1203</v>
      </c>
      <c r="E503" t="s">
        <v>1204</v>
      </c>
      <c r="F503">
        <v>5709</v>
      </c>
      <c r="G503" t="s">
        <v>2685</v>
      </c>
      <c r="H503" t="s">
        <v>3346</v>
      </c>
      <c r="I503">
        <v>0</v>
      </c>
      <c r="J503" t="s">
        <v>2460</v>
      </c>
      <c r="K503">
        <v>3100</v>
      </c>
      <c r="L503" t="s">
        <v>2460</v>
      </c>
      <c r="M503">
        <v>3100</v>
      </c>
      <c r="N503" t="s">
        <v>2460</v>
      </c>
      <c r="O503">
        <v>3100</v>
      </c>
      <c r="P503" t="s">
        <v>2460</v>
      </c>
      <c r="Q503">
        <v>3100</v>
      </c>
      <c r="R503" t="s">
        <v>2460</v>
      </c>
      <c r="S503" t="s">
        <v>988</v>
      </c>
    </row>
    <row r="504" spans="1:19" hidden="1" x14ac:dyDescent="0.3">
      <c r="A504">
        <v>1388</v>
      </c>
      <c r="B504" t="s">
        <v>1640</v>
      </c>
      <c r="C504" t="s">
        <v>2877</v>
      </c>
      <c r="D504" t="s">
        <v>159</v>
      </c>
      <c r="E504" t="s">
        <v>159</v>
      </c>
      <c r="F504">
        <v>5503</v>
      </c>
      <c r="G504" t="s">
        <v>2683</v>
      </c>
      <c r="H504" t="s">
        <v>3347</v>
      </c>
      <c r="I504">
        <v>0</v>
      </c>
      <c r="J504" t="s">
        <v>2460</v>
      </c>
      <c r="K504">
        <v>0</v>
      </c>
      <c r="L504" t="s">
        <v>2460</v>
      </c>
      <c r="M504">
        <v>0</v>
      </c>
      <c r="N504" t="s">
        <v>2460</v>
      </c>
      <c r="O504">
        <v>3784</v>
      </c>
      <c r="P504" t="s">
        <v>2460</v>
      </c>
      <c r="Q504">
        <v>3784</v>
      </c>
      <c r="R504" t="s">
        <v>2460</v>
      </c>
      <c r="S504" t="s">
        <v>988</v>
      </c>
    </row>
    <row r="505" spans="1:19" hidden="1" x14ac:dyDescent="0.3">
      <c r="A505">
        <v>1388</v>
      </c>
      <c r="B505" t="s">
        <v>1640</v>
      </c>
      <c r="C505" t="s">
        <v>2877</v>
      </c>
      <c r="D505" t="s">
        <v>159</v>
      </c>
      <c r="E505" t="s">
        <v>159</v>
      </c>
      <c r="F505">
        <v>5503</v>
      </c>
      <c r="G505" t="s">
        <v>2679</v>
      </c>
      <c r="H505" t="s">
        <v>1346</v>
      </c>
      <c r="I505">
        <v>996.56</v>
      </c>
      <c r="J505" t="s">
        <v>2460</v>
      </c>
      <c r="K505">
        <v>1543.16</v>
      </c>
      <c r="L505" t="s">
        <v>2460</v>
      </c>
      <c r="M505">
        <v>2009.56</v>
      </c>
      <c r="N505" t="s">
        <v>2460</v>
      </c>
      <c r="O505">
        <v>2471.6999999999998</v>
      </c>
      <c r="P505" t="s">
        <v>2460</v>
      </c>
      <c r="Q505">
        <v>2610.21</v>
      </c>
      <c r="R505" t="s">
        <v>2460</v>
      </c>
      <c r="S505" t="s">
        <v>988</v>
      </c>
    </row>
    <row r="506" spans="1:19" hidden="1" x14ac:dyDescent="0.3">
      <c r="A506">
        <v>1388</v>
      </c>
      <c r="B506" t="s">
        <v>1640</v>
      </c>
      <c r="C506" t="s">
        <v>2877</v>
      </c>
      <c r="D506" t="s">
        <v>159</v>
      </c>
      <c r="E506" t="s">
        <v>159</v>
      </c>
      <c r="F506">
        <v>5503</v>
      </c>
      <c r="G506" t="s">
        <v>2681</v>
      </c>
      <c r="H506" t="s">
        <v>1344</v>
      </c>
      <c r="I506">
        <v>4720</v>
      </c>
      <c r="J506" t="s">
        <v>2460</v>
      </c>
      <c r="K506">
        <v>4720</v>
      </c>
      <c r="L506" t="s">
        <v>2460</v>
      </c>
      <c r="M506">
        <v>4720</v>
      </c>
      <c r="N506" t="s">
        <v>2460</v>
      </c>
      <c r="O506">
        <v>4720</v>
      </c>
      <c r="P506" t="s">
        <v>2460</v>
      </c>
      <c r="Q506">
        <v>4720</v>
      </c>
      <c r="R506" t="s">
        <v>2460</v>
      </c>
      <c r="S506" t="s">
        <v>988</v>
      </c>
    </row>
    <row r="507" spans="1:19" hidden="1" x14ac:dyDescent="0.3">
      <c r="A507">
        <v>1388</v>
      </c>
      <c r="B507" t="s">
        <v>1640</v>
      </c>
      <c r="C507" t="s">
        <v>2877</v>
      </c>
      <c r="D507" t="s">
        <v>159</v>
      </c>
      <c r="E507" t="s">
        <v>159</v>
      </c>
      <c r="F507">
        <v>5503</v>
      </c>
      <c r="G507" t="s">
        <v>2683</v>
      </c>
      <c r="H507" t="s">
        <v>3348</v>
      </c>
      <c r="I507">
        <v>6887</v>
      </c>
      <c r="J507" t="s">
        <v>2460</v>
      </c>
      <c r="K507">
        <v>6887</v>
      </c>
      <c r="L507" t="s">
        <v>2460</v>
      </c>
      <c r="M507">
        <v>6887</v>
      </c>
      <c r="N507" t="s">
        <v>2460</v>
      </c>
      <c r="O507">
        <v>6887</v>
      </c>
      <c r="P507" t="s">
        <v>2460</v>
      </c>
      <c r="Q507">
        <v>6887</v>
      </c>
      <c r="R507" t="s">
        <v>2460</v>
      </c>
      <c r="S507" t="s">
        <v>988</v>
      </c>
    </row>
    <row r="508" spans="1:19" hidden="1" x14ac:dyDescent="0.3">
      <c r="A508">
        <v>1869</v>
      </c>
      <c r="B508" t="s">
        <v>1643</v>
      </c>
      <c r="C508" t="s">
        <v>2877</v>
      </c>
      <c r="D508" t="s">
        <v>1203</v>
      </c>
      <c r="E508" t="s">
        <v>1204</v>
      </c>
      <c r="F508">
        <v>5551</v>
      </c>
      <c r="G508" t="s">
        <v>2679</v>
      </c>
      <c r="H508" t="s">
        <v>2127</v>
      </c>
      <c r="I508">
        <v>260</v>
      </c>
      <c r="J508" t="s">
        <v>2460</v>
      </c>
      <c r="K508">
        <v>260</v>
      </c>
      <c r="L508" t="s">
        <v>2460</v>
      </c>
      <c r="M508">
        <v>260</v>
      </c>
      <c r="N508" t="s">
        <v>2460</v>
      </c>
      <c r="O508">
        <v>260</v>
      </c>
      <c r="P508" t="s">
        <v>2460</v>
      </c>
      <c r="Q508">
        <v>260</v>
      </c>
      <c r="R508" t="s">
        <v>2460</v>
      </c>
      <c r="S508" t="s">
        <v>988</v>
      </c>
    </row>
    <row r="509" spans="1:19" hidden="1" x14ac:dyDescent="0.3">
      <c r="A509">
        <v>1869</v>
      </c>
      <c r="B509" t="s">
        <v>1643</v>
      </c>
      <c r="C509" t="s">
        <v>2877</v>
      </c>
      <c r="D509" t="s">
        <v>1203</v>
      </c>
      <c r="E509" t="s">
        <v>1204</v>
      </c>
      <c r="F509">
        <v>5551</v>
      </c>
      <c r="G509" t="s">
        <v>2683</v>
      </c>
      <c r="H509" t="s">
        <v>2127</v>
      </c>
      <c r="I509">
        <v>5208</v>
      </c>
      <c r="J509" t="s">
        <v>2460</v>
      </c>
      <c r="K509">
        <v>5016</v>
      </c>
      <c r="L509" t="s">
        <v>2460</v>
      </c>
      <c r="M509">
        <v>4825</v>
      </c>
      <c r="N509" t="s">
        <v>2460</v>
      </c>
      <c r="O509">
        <v>4636</v>
      </c>
      <c r="P509" t="s">
        <v>2460</v>
      </c>
      <c r="Q509">
        <v>4446</v>
      </c>
      <c r="R509" t="s">
        <v>2460</v>
      </c>
      <c r="S509" t="s">
        <v>988</v>
      </c>
    </row>
    <row r="510" spans="1:19" hidden="1" x14ac:dyDescent="0.3">
      <c r="A510">
        <v>1869</v>
      </c>
      <c r="B510" t="s">
        <v>1643</v>
      </c>
      <c r="C510" t="s">
        <v>2877</v>
      </c>
      <c r="D510" t="s">
        <v>1203</v>
      </c>
      <c r="E510" t="s">
        <v>1204</v>
      </c>
      <c r="F510">
        <v>5551</v>
      </c>
      <c r="G510" t="s">
        <v>2681</v>
      </c>
      <c r="H510" t="s">
        <v>3136</v>
      </c>
      <c r="I510">
        <v>6000</v>
      </c>
      <c r="J510" t="s">
        <v>2460</v>
      </c>
      <c r="K510">
        <v>6250</v>
      </c>
      <c r="L510" t="s">
        <v>2460</v>
      </c>
      <c r="M510">
        <v>6500</v>
      </c>
      <c r="N510" t="s">
        <v>2460</v>
      </c>
      <c r="O510">
        <v>6750</v>
      </c>
      <c r="P510" t="s">
        <v>2460</v>
      </c>
      <c r="Q510">
        <v>7000</v>
      </c>
      <c r="R510" t="s">
        <v>2460</v>
      </c>
      <c r="S510" t="s">
        <v>988</v>
      </c>
    </row>
    <row r="511" spans="1:19" hidden="1" x14ac:dyDescent="0.3">
      <c r="A511">
        <v>1424</v>
      </c>
      <c r="B511" t="s">
        <v>1644</v>
      </c>
      <c r="C511" t="s">
        <v>2877</v>
      </c>
      <c r="D511" t="s">
        <v>159</v>
      </c>
      <c r="E511" t="s">
        <v>159</v>
      </c>
      <c r="F511">
        <v>5558</v>
      </c>
      <c r="G511" t="s">
        <v>2679</v>
      </c>
      <c r="H511" t="s">
        <v>3349</v>
      </c>
      <c r="I511">
        <v>3050</v>
      </c>
      <c r="J511" t="s">
        <v>2460</v>
      </c>
      <c r="K511">
        <v>3090</v>
      </c>
      <c r="L511" t="s">
        <v>2460</v>
      </c>
      <c r="M511">
        <v>3140</v>
      </c>
      <c r="N511" t="s">
        <v>2460</v>
      </c>
      <c r="O511">
        <v>3180</v>
      </c>
      <c r="P511" t="s">
        <v>2460</v>
      </c>
      <c r="Q511">
        <v>3510</v>
      </c>
      <c r="R511" t="s">
        <v>2460</v>
      </c>
      <c r="S511" t="s">
        <v>988</v>
      </c>
    </row>
    <row r="512" spans="1:19" hidden="1" x14ac:dyDescent="0.3">
      <c r="A512">
        <v>1424</v>
      </c>
      <c r="B512" t="s">
        <v>1644</v>
      </c>
      <c r="C512" t="s">
        <v>2877</v>
      </c>
      <c r="D512" t="s">
        <v>159</v>
      </c>
      <c r="E512" t="s">
        <v>159</v>
      </c>
      <c r="F512">
        <v>5558</v>
      </c>
      <c r="G512" t="s">
        <v>2681</v>
      </c>
      <c r="H512" t="s">
        <v>3350</v>
      </c>
      <c r="I512">
        <v>1180</v>
      </c>
      <c r="J512" t="s">
        <v>2460</v>
      </c>
      <c r="K512">
        <v>1290</v>
      </c>
      <c r="L512" t="s">
        <v>2460</v>
      </c>
      <c r="M512">
        <v>1480</v>
      </c>
      <c r="N512" t="s">
        <v>2460</v>
      </c>
      <c r="O512">
        <v>1660</v>
      </c>
      <c r="P512" t="s">
        <v>2460</v>
      </c>
      <c r="Q512">
        <v>1820</v>
      </c>
      <c r="R512" t="s">
        <v>2460</v>
      </c>
      <c r="S512" t="s">
        <v>988</v>
      </c>
    </row>
    <row r="513" spans="1:19" hidden="1" x14ac:dyDescent="0.3">
      <c r="A513">
        <v>1424</v>
      </c>
      <c r="B513" t="s">
        <v>1644</v>
      </c>
      <c r="C513" t="s">
        <v>2877</v>
      </c>
      <c r="D513" t="s">
        <v>159</v>
      </c>
      <c r="E513" t="s">
        <v>159</v>
      </c>
      <c r="F513">
        <v>5558</v>
      </c>
      <c r="G513" t="s">
        <v>2683</v>
      </c>
      <c r="H513" t="s">
        <v>3351</v>
      </c>
      <c r="I513">
        <v>0</v>
      </c>
      <c r="J513" t="s">
        <v>2460</v>
      </c>
      <c r="K513">
        <v>0</v>
      </c>
      <c r="L513" t="s">
        <v>2460</v>
      </c>
      <c r="M513">
        <v>0</v>
      </c>
      <c r="N513" t="s">
        <v>2460</v>
      </c>
      <c r="O513">
        <v>0</v>
      </c>
      <c r="P513" t="s">
        <v>2460</v>
      </c>
      <c r="Q513">
        <v>0</v>
      </c>
      <c r="R513" t="s">
        <v>2460</v>
      </c>
      <c r="S513" t="s">
        <v>988</v>
      </c>
    </row>
    <row r="514" spans="1:19" hidden="1" x14ac:dyDescent="0.3">
      <c r="A514">
        <v>1424</v>
      </c>
      <c r="B514" t="s">
        <v>1644</v>
      </c>
      <c r="C514" t="s">
        <v>2877</v>
      </c>
      <c r="D514" t="s">
        <v>159</v>
      </c>
      <c r="E514" t="s">
        <v>159</v>
      </c>
      <c r="F514">
        <v>5558</v>
      </c>
      <c r="G514" t="s">
        <v>2683</v>
      </c>
      <c r="H514" t="s">
        <v>3352</v>
      </c>
      <c r="I514">
        <v>10640</v>
      </c>
      <c r="J514" t="s">
        <v>2460</v>
      </c>
      <c r="K514">
        <v>11600</v>
      </c>
      <c r="L514" t="s">
        <v>2460</v>
      </c>
      <c r="M514">
        <v>13310</v>
      </c>
      <c r="N514" t="s">
        <v>2460</v>
      </c>
      <c r="O514">
        <v>15020</v>
      </c>
      <c r="P514" t="s">
        <v>2460</v>
      </c>
      <c r="Q514">
        <v>16480</v>
      </c>
      <c r="R514" t="s">
        <v>2460</v>
      </c>
      <c r="S514" t="s">
        <v>988</v>
      </c>
    </row>
    <row r="515" spans="1:19" hidden="1" x14ac:dyDescent="0.3">
      <c r="A515">
        <v>1425</v>
      </c>
      <c r="B515" t="s">
        <v>1647</v>
      </c>
      <c r="C515" t="s">
        <v>2877</v>
      </c>
      <c r="D515" t="s">
        <v>159</v>
      </c>
      <c r="E515" t="s">
        <v>159</v>
      </c>
      <c r="F515">
        <v>7826</v>
      </c>
      <c r="G515" t="s">
        <v>2681</v>
      </c>
      <c r="H515" t="s">
        <v>2460</v>
      </c>
      <c r="I515">
        <v>2000</v>
      </c>
      <c r="J515" t="s">
        <v>2460</v>
      </c>
      <c r="K515">
        <v>2000</v>
      </c>
      <c r="L515" t="s">
        <v>2460</v>
      </c>
      <c r="M515">
        <v>2000</v>
      </c>
      <c r="N515" t="s">
        <v>2460</v>
      </c>
      <c r="O515">
        <v>2000</v>
      </c>
      <c r="P515" t="s">
        <v>2460</v>
      </c>
      <c r="Q515">
        <v>2000</v>
      </c>
      <c r="R515" t="s">
        <v>2460</v>
      </c>
      <c r="S515" t="s">
        <v>988</v>
      </c>
    </row>
    <row r="516" spans="1:19" hidden="1" x14ac:dyDescent="0.3">
      <c r="A516">
        <v>1425</v>
      </c>
      <c r="B516" t="s">
        <v>1647</v>
      </c>
      <c r="C516" t="s">
        <v>2877</v>
      </c>
      <c r="D516" t="s">
        <v>159</v>
      </c>
      <c r="E516" t="s">
        <v>159</v>
      </c>
      <c r="F516">
        <v>7826</v>
      </c>
      <c r="G516" t="s">
        <v>2691</v>
      </c>
      <c r="H516" t="s">
        <v>2460</v>
      </c>
      <c r="I516">
        <v>100</v>
      </c>
      <c r="J516" t="s">
        <v>2460</v>
      </c>
      <c r="K516">
        <v>100</v>
      </c>
      <c r="L516" t="s">
        <v>2460</v>
      </c>
      <c r="M516">
        <v>100</v>
      </c>
      <c r="N516" t="s">
        <v>2460</v>
      </c>
      <c r="O516">
        <v>100</v>
      </c>
      <c r="P516" t="s">
        <v>2460</v>
      </c>
      <c r="Q516">
        <v>100</v>
      </c>
      <c r="R516" t="s">
        <v>2460</v>
      </c>
      <c r="S516" t="s">
        <v>988</v>
      </c>
    </row>
    <row r="517" spans="1:19" hidden="1" x14ac:dyDescent="0.3">
      <c r="A517">
        <v>1425</v>
      </c>
      <c r="B517" t="s">
        <v>1647</v>
      </c>
      <c r="C517" t="s">
        <v>2877</v>
      </c>
      <c r="D517" t="s">
        <v>159</v>
      </c>
      <c r="E517" t="s">
        <v>159</v>
      </c>
      <c r="F517">
        <v>7826</v>
      </c>
      <c r="G517" t="s">
        <v>2683</v>
      </c>
      <c r="H517" t="s">
        <v>2460</v>
      </c>
      <c r="I517">
        <v>1633</v>
      </c>
      <c r="J517" t="s">
        <v>2460</v>
      </c>
      <c r="K517">
        <v>1633</v>
      </c>
      <c r="L517" t="s">
        <v>2460</v>
      </c>
      <c r="M517">
        <v>1633</v>
      </c>
      <c r="N517" t="s">
        <v>2460</v>
      </c>
      <c r="O517">
        <v>1633</v>
      </c>
      <c r="P517" t="s">
        <v>2460</v>
      </c>
      <c r="Q517">
        <v>1633</v>
      </c>
      <c r="R517" t="s">
        <v>2460</v>
      </c>
      <c r="S517" t="s">
        <v>988</v>
      </c>
    </row>
    <row r="518" spans="1:19" hidden="1" x14ac:dyDescent="0.3">
      <c r="A518">
        <v>1427</v>
      </c>
      <c r="B518" t="s">
        <v>1650</v>
      </c>
      <c r="C518" t="s">
        <v>2877</v>
      </c>
      <c r="D518" t="s">
        <v>159</v>
      </c>
      <c r="E518" t="s">
        <v>159</v>
      </c>
      <c r="F518">
        <v>6005</v>
      </c>
      <c r="G518" t="s">
        <v>2681</v>
      </c>
      <c r="H518" t="s">
        <v>3353</v>
      </c>
      <c r="I518">
        <v>4653</v>
      </c>
      <c r="J518" t="s">
        <v>2460</v>
      </c>
      <c r="K518">
        <v>5131</v>
      </c>
      <c r="L518" t="s">
        <v>2460</v>
      </c>
      <c r="M518">
        <v>5610</v>
      </c>
      <c r="N518" t="s">
        <v>2460</v>
      </c>
      <c r="O518">
        <v>6088</v>
      </c>
      <c r="P518" t="s">
        <v>2460</v>
      </c>
      <c r="Q518">
        <v>6566</v>
      </c>
      <c r="R518" t="s">
        <v>2460</v>
      </c>
      <c r="S518" t="s">
        <v>988</v>
      </c>
    </row>
    <row r="519" spans="1:19" hidden="1" x14ac:dyDescent="0.3">
      <c r="A519">
        <v>1443</v>
      </c>
      <c r="B519" t="s">
        <v>1651</v>
      </c>
      <c r="C519" t="s">
        <v>2877</v>
      </c>
      <c r="D519" t="s">
        <v>1203</v>
      </c>
      <c r="E519" t="s">
        <v>1204</v>
      </c>
      <c r="F519">
        <v>5580</v>
      </c>
      <c r="G519" t="s">
        <v>2679</v>
      </c>
      <c r="H519" t="s">
        <v>3354</v>
      </c>
      <c r="I519">
        <v>1890.4349156000001</v>
      </c>
      <c r="J519" t="s">
        <v>2460</v>
      </c>
      <c r="K519">
        <v>1948.74378475</v>
      </c>
      <c r="L519" t="s">
        <v>2460</v>
      </c>
      <c r="M519">
        <v>2003.98376605</v>
      </c>
      <c r="N519" t="s">
        <v>2460</v>
      </c>
      <c r="O519">
        <v>2059.2237473499999</v>
      </c>
      <c r="P519" t="s">
        <v>2460</v>
      </c>
      <c r="Q519">
        <v>2059.2237473499999</v>
      </c>
      <c r="R519" t="s">
        <v>2460</v>
      </c>
      <c r="S519" t="s">
        <v>988</v>
      </c>
    </row>
    <row r="520" spans="1:19" hidden="1" x14ac:dyDescent="0.3">
      <c r="A520">
        <v>1443</v>
      </c>
      <c r="B520" t="s">
        <v>1651</v>
      </c>
      <c r="C520" t="s">
        <v>2877</v>
      </c>
      <c r="D520" t="s">
        <v>1203</v>
      </c>
      <c r="E520" t="s">
        <v>1204</v>
      </c>
      <c r="F520">
        <v>5580</v>
      </c>
      <c r="G520" t="s">
        <v>2683</v>
      </c>
      <c r="H520" t="s">
        <v>3355</v>
      </c>
      <c r="I520">
        <v>6444.6644850000002</v>
      </c>
      <c r="J520" t="s">
        <v>2460</v>
      </c>
      <c r="K520">
        <v>6613.4533167500003</v>
      </c>
      <c r="L520" t="s">
        <v>2460</v>
      </c>
      <c r="M520">
        <v>6779.17326065</v>
      </c>
      <c r="N520" t="s">
        <v>2460</v>
      </c>
      <c r="O520">
        <v>6944.8932045499996</v>
      </c>
      <c r="P520" t="s">
        <v>2460</v>
      </c>
      <c r="Q520">
        <v>6944.8932045499996</v>
      </c>
      <c r="R520" t="s">
        <v>2460</v>
      </c>
      <c r="S520" t="s">
        <v>988</v>
      </c>
    </row>
    <row r="521" spans="1:19" hidden="1" x14ac:dyDescent="0.3">
      <c r="A521">
        <v>1450</v>
      </c>
      <c r="B521" t="s">
        <v>1660</v>
      </c>
      <c r="C521" t="s">
        <v>2877</v>
      </c>
      <c r="D521" t="s">
        <v>1203</v>
      </c>
      <c r="E521" t="s">
        <v>1204</v>
      </c>
      <c r="F521">
        <v>5914</v>
      </c>
      <c r="G521" t="s">
        <v>2679</v>
      </c>
      <c r="H521" t="s">
        <v>2460</v>
      </c>
      <c r="I521">
        <v>5844</v>
      </c>
      <c r="J521" t="s">
        <v>2460</v>
      </c>
      <c r="K521">
        <v>5912</v>
      </c>
      <c r="L521" t="s">
        <v>2460</v>
      </c>
      <c r="M521">
        <v>5980</v>
      </c>
      <c r="N521" t="s">
        <v>2460</v>
      </c>
      <c r="O521">
        <v>6049</v>
      </c>
      <c r="P521" t="s">
        <v>2460</v>
      </c>
      <c r="Q521">
        <v>6119</v>
      </c>
      <c r="R521" t="s">
        <v>2460</v>
      </c>
      <c r="S521" t="s">
        <v>988</v>
      </c>
    </row>
    <row r="522" spans="1:19" hidden="1" x14ac:dyDescent="0.3">
      <c r="A522">
        <v>1450</v>
      </c>
      <c r="B522" t="s">
        <v>1660</v>
      </c>
      <c r="C522" t="s">
        <v>2877</v>
      </c>
      <c r="D522" t="s">
        <v>1203</v>
      </c>
      <c r="E522" t="s">
        <v>1204</v>
      </c>
      <c r="F522">
        <v>5914</v>
      </c>
      <c r="G522" t="s">
        <v>2683</v>
      </c>
      <c r="H522" t="s">
        <v>3356</v>
      </c>
      <c r="I522">
        <v>6000</v>
      </c>
      <c r="J522" t="s">
        <v>3357</v>
      </c>
      <c r="K522">
        <v>6000</v>
      </c>
      <c r="L522" t="s">
        <v>3357</v>
      </c>
      <c r="M522">
        <v>6000</v>
      </c>
      <c r="N522" t="s">
        <v>3357</v>
      </c>
      <c r="O522">
        <v>6000</v>
      </c>
      <c r="P522" t="s">
        <v>3357</v>
      </c>
      <c r="Q522">
        <v>6000</v>
      </c>
      <c r="R522" t="s">
        <v>3357</v>
      </c>
      <c r="S522" t="s">
        <v>988</v>
      </c>
    </row>
    <row r="523" spans="1:19" hidden="1" x14ac:dyDescent="0.3">
      <c r="A523">
        <v>1450</v>
      </c>
      <c r="B523" t="s">
        <v>1660</v>
      </c>
      <c r="C523" t="s">
        <v>2877</v>
      </c>
      <c r="D523" t="s">
        <v>1203</v>
      </c>
      <c r="E523" t="s">
        <v>1204</v>
      </c>
      <c r="F523">
        <v>5914</v>
      </c>
      <c r="G523" t="s">
        <v>2681</v>
      </c>
      <c r="H523" t="s">
        <v>3358</v>
      </c>
      <c r="I523">
        <v>15000</v>
      </c>
      <c r="J523" t="s">
        <v>3238</v>
      </c>
      <c r="K523">
        <v>15000</v>
      </c>
      <c r="L523" t="s">
        <v>3238</v>
      </c>
      <c r="M523">
        <v>15000</v>
      </c>
      <c r="N523" t="s">
        <v>3238</v>
      </c>
      <c r="O523">
        <v>15000</v>
      </c>
      <c r="P523" t="s">
        <v>3238</v>
      </c>
      <c r="Q523">
        <v>15000</v>
      </c>
      <c r="R523" t="s">
        <v>3238</v>
      </c>
      <c r="S523" t="s">
        <v>988</v>
      </c>
    </row>
    <row r="524" spans="1:19" hidden="1" x14ac:dyDescent="0.3">
      <c r="A524">
        <v>1452</v>
      </c>
      <c r="B524" t="s">
        <v>1661</v>
      </c>
      <c r="C524" t="s">
        <v>2877</v>
      </c>
      <c r="D524" t="s">
        <v>1203</v>
      </c>
      <c r="E524" t="s">
        <v>1204</v>
      </c>
      <c r="F524">
        <v>5740</v>
      </c>
      <c r="G524" t="s">
        <v>2681</v>
      </c>
      <c r="H524" t="s">
        <v>3198</v>
      </c>
      <c r="I524">
        <v>6472</v>
      </c>
      <c r="J524" t="s">
        <v>2460</v>
      </c>
      <c r="K524">
        <v>6668</v>
      </c>
      <c r="L524" t="s">
        <v>2460</v>
      </c>
      <c r="M524">
        <v>6863</v>
      </c>
      <c r="N524" t="s">
        <v>2460</v>
      </c>
      <c r="O524">
        <v>7049</v>
      </c>
      <c r="P524" t="s">
        <v>2460</v>
      </c>
      <c r="Q524">
        <v>7236</v>
      </c>
      <c r="R524" t="s">
        <v>2460</v>
      </c>
      <c r="S524" t="s">
        <v>988</v>
      </c>
    </row>
    <row r="525" spans="1:19" hidden="1" x14ac:dyDescent="0.3">
      <c r="A525">
        <v>1456</v>
      </c>
      <c r="B525" t="s">
        <v>1664</v>
      </c>
      <c r="C525" t="s">
        <v>2877</v>
      </c>
      <c r="D525" t="s">
        <v>159</v>
      </c>
      <c r="E525" t="s">
        <v>159</v>
      </c>
      <c r="F525">
        <v>7786</v>
      </c>
      <c r="G525" t="s">
        <v>2681</v>
      </c>
      <c r="H525" t="s">
        <v>3359</v>
      </c>
      <c r="I525">
        <v>1352</v>
      </c>
      <c r="J525" t="s">
        <v>3360</v>
      </c>
      <c r="K525">
        <v>1352</v>
      </c>
      <c r="L525" t="s">
        <v>3360</v>
      </c>
      <c r="M525">
        <v>1352</v>
      </c>
      <c r="N525" t="s">
        <v>3360</v>
      </c>
      <c r="O525">
        <v>1352</v>
      </c>
      <c r="P525" t="s">
        <v>3360</v>
      </c>
      <c r="Q525">
        <v>1352</v>
      </c>
      <c r="R525" t="s">
        <v>3360</v>
      </c>
      <c r="S525" t="s">
        <v>988</v>
      </c>
    </row>
    <row r="526" spans="1:19" hidden="1" x14ac:dyDescent="0.3">
      <c r="A526">
        <v>1456</v>
      </c>
      <c r="B526" t="s">
        <v>1664</v>
      </c>
      <c r="C526" t="s">
        <v>2877</v>
      </c>
      <c r="D526" t="s">
        <v>159</v>
      </c>
      <c r="E526" t="s">
        <v>159</v>
      </c>
      <c r="F526">
        <v>7786</v>
      </c>
      <c r="G526" t="s">
        <v>2683</v>
      </c>
      <c r="H526" t="s">
        <v>3361</v>
      </c>
      <c r="I526">
        <v>2648</v>
      </c>
      <c r="J526" t="s">
        <v>3362</v>
      </c>
      <c r="K526">
        <v>2648</v>
      </c>
      <c r="L526" t="s">
        <v>3362</v>
      </c>
      <c r="M526">
        <v>2648</v>
      </c>
      <c r="N526" t="s">
        <v>3362</v>
      </c>
      <c r="O526">
        <v>2648</v>
      </c>
      <c r="P526" t="s">
        <v>3362</v>
      </c>
      <c r="Q526">
        <v>2648</v>
      </c>
      <c r="R526" t="s">
        <v>3362</v>
      </c>
      <c r="S526" t="s">
        <v>988</v>
      </c>
    </row>
    <row r="527" spans="1:19" hidden="1" x14ac:dyDescent="0.3">
      <c r="A527">
        <v>1459</v>
      </c>
      <c r="B527" t="s">
        <v>1665</v>
      </c>
      <c r="C527" t="s">
        <v>2877</v>
      </c>
      <c r="D527" t="s">
        <v>1203</v>
      </c>
      <c r="E527" t="s">
        <v>1204</v>
      </c>
      <c r="F527">
        <v>5681</v>
      </c>
      <c r="G527" t="s">
        <v>2679</v>
      </c>
      <c r="H527" t="s">
        <v>2460</v>
      </c>
      <c r="I527">
        <v>0.06</v>
      </c>
      <c r="J527" t="s">
        <v>2460</v>
      </c>
      <c r="K527">
        <v>0.06</v>
      </c>
      <c r="L527" t="s">
        <v>2460</v>
      </c>
      <c r="M527">
        <v>0.06</v>
      </c>
      <c r="N527" t="s">
        <v>2460</v>
      </c>
      <c r="O527">
        <v>0.06</v>
      </c>
      <c r="P527" t="s">
        <v>2460</v>
      </c>
      <c r="Q527">
        <v>0.06</v>
      </c>
      <c r="R527" t="s">
        <v>2460</v>
      </c>
      <c r="S527" t="s">
        <v>988</v>
      </c>
    </row>
    <row r="528" spans="1:19" hidden="1" x14ac:dyDescent="0.3">
      <c r="A528">
        <v>1459</v>
      </c>
      <c r="B528" t="s">
        <v>1665</v>
      </c>
      <c r="C528" t="s">
        <v>2877</v>
      </c>
      <c r="D528" t="s">
        <v>1203</v>
      </c>
      <c r="E528" t="s">
        <v>1204</v>
      </c>
      <c r="F528">
        <v>5681</v>
      </c>
      <c r="G528" t="s">
        <v>2681</v>
      </c>
      <c r="H528" t="s">
        <v>3363</v>
      </c>
      <c r="I528">
        <v>5589</v>
      </c>
      <c r="J528" t="s">
        <v>2460</v>
      </c>
      <c r="K528">
        <v>5639</v>
      </c>
      <c r="L528" t="s">
        <v>2460</v>
      </c>
      <c r="M528">
        <v>5689</v>
      </c>
      <c r="N528" t="s">
        <v>2460</v>
      </c>
      <c r="O528">
        <v>5740</v>
      </c>
      <c r="P528" t="s">
        <v>2460</v>
      </c>
      <c r="Q528">
        <v>5792</v>
      </c>
      <c r="R528" t="s">
        <v>2460</v>
      </c>
      <c r="S528" t="s">
        <v>988</v>
      </c>
    </row>
    <row r="529" spans="1:19" hidden="1" x14ac:dyDescent="0.3">
      <c r="A529">
        <v>1464</v>
      </c>
      <c r="B529" t="s">
        <v>1667</v>
      </c>
      <c r="C529" t="s">
        <v>2877</v>
      </c>
      <c r="D529" t="s">
        <v>1203</v>
      </c>
      <c r="E529" t="s">
        <v>1204</v>
      </c>
      <c r="F529">
        <v>7899</v>
      </c>
      <c r="G529" t="s">
        <v>2681</v>
      </c>
      <c r="H529" t="s">
        <v>3136</v>
      </c>
      <c r="I529">
        <v>37126</v>
      </c>
      <c r="J529" t="s">
        <v>3364</v>
      </c>
      <c r="K529">
        <v>37126</v>
      </c>
      <c r="L529" t="s">
        <v>3364</v>
      </c>
      <c r="M529">
        <v>41126</v>
      </c>
      <c r="N529" t="s">
        <v>3365</v>
      </c>
      <c r="O529">
        <v>41126</v>
      </c>
      <c r="P529" t="s">
        <v>3365</v>
      </c>
      <c r="Q529">
        <v>41126</v>
      </c>
      <c r="R529" t="s">
        <v>3365</v>
      </c>
      <c r="S529" t="s">
        <v>988</v>
      </c>
    </row>
    <row r="530" spans="1:19" hidden="1" x14ac:dyDescent="0.3">
      <c r="A530">
        <v>1464</v>
      </c>
      <c r="B530" t="s">
        <v>1667</v>
      </c>
      <c r="C530" t="s">
        <v>2877</v>
      </c>
      <c r="D530" t="s">
        <v>1203</v>
      </c>
      <c r="E530" t="s">
        <v>1204</v>
      </c>
      <c r="F530">
        <v>7899</v>
      </c>
      <c r="G530" t="s">
        <v>2681</v>
      </c>
      <c r="H530" t="s">
        <v>3359</v>
      </c>
      <c r="I530">
        <v>3226</v>
      </c>
      <c r="J530" t="s">
        <v>3366</v>
      </c>
      <c r="K530">
        <v>3226</v>
      </c>
      <c r="L530" t="s">
        <v>3366</v>
      </c>
      <c r="M530">
        <v>3226</v>
      </c>
      <c r="N530" t="s">
        <v>3366</v>
      </c>
      <c r="O530">
        <v>3226</v>
      </c>
      <c r="P530" t="s">
        <v>3366</v>
      </c>
      <c r="Q530">
        <v>3226</v>
      </c>
      <c r="R530" t="s">
        <v>3366</v>
      </c>
      <c r="S530" t="s">
        <v>988</v>
      </c>
    </row>
    <row r="531" spans="1:19" hidden="1" x14ac:dyDescent="0.3">
      <c r="A531">
        <v>1464</v>
      </c>
      <c r="B531" t="s">
        <v>1667</v>
      </c>
      <c r="C531" t="s">
        <v>2877</v>
      </c>
      <c r="D531" t="s">
        <v>1203</v>
      </c>
      <c r="E531" t="s">
        <v>1204</v>
      </c>
      <c r="F531">
        <v>7899</v>
      </c>
      <c r="G531" t="s">
        <v>2679</v>
      </c>
      <c r="H531" t="s">
        <v>3367</v>
      </c>
      <c r="I531">
        <v>13500</v>
      </c>
      <c r="J531" t="s">
        <v>2460</v>
      </c>
      <c r="K531">
        <v>13500</v>
      </c>
      <c r="L531" t="s">
        <v>2460</v>
      </c>
      <c r="M531">
        <v>13500</v>
      </c>
      <c r="N531" t="s">
        <v>2460</v>
      </c>
      <c r="O531">
        <v>13500</v>
      </c>
      <c r="P531" t="s">
        <v>2460</v>
      </c>
      <c r="Q531">
        <v>13500</v>
      </c>
      <c r="R531" t="s">
        <v>2460</v>
      </c>
      <c r="S531" t="s">
        <v>988</v>
      </c>
    </row>
    <row r="532" spans="1:19" hidden="1" x14ac:dyDescent="0.3">
      <c r="A532">
        <v>1464</v>
      </c>
      <c r="B532" t="s">
        <v>1667</v>
      </c>
      <c r="C532" t="s">
        <v>2877</v>
      </c>
      <c r="D532" t="s">
        <v>1203</v>
      </c>
      <c r="E532" t="s">
        <v>1204</v>
      </c>
      <c r="F532">
        <v>7899</v>
      </c>
      <c r="G532" t="s">
        <v>2683</v>
      </c>
      <c r="H532" t="s">
        <v>3368</v>
      </c>
      <c r="I532">
        <v>30900</v>
      </c>
      <c r="J532" t="s">
        <v>2460</v>
      </c>
      <c r="K532">
        <v>30900</v>
      </c>
      <c r="L532" t="s">
        <v>2460</v>
      </c>
      <c r="M532">
        <v>30900</v>
      </c>
      <c r="N532" t="s">
        <v>2460</v>
      </c>
      <c r="O532">
        <v>30900</v>
      </c>
      <c r="P532" t="s">
        <v>2460</v>
      </c>
      <c r="Q532">
        <v>30900</v>
      </c>
      <c r="R532" t="s">
        <v>2460</v>
      </c>
      <c r="S532" t="s">
        <v>988</v>
      </c>
    </row>
    <row r="533" spans="1:19" hidden="1" x14ac:dyDescent="0.3">
      <c r="A533">
        <v>1473</v>
      </c>
      <c r="B533" t="s">
        <v>1669</v>
      </c>
      <c r="C533" t="s">
        <v>2877</v>
      </c>
      <c r="D533" t="s">
        <v>159</v>
      </c>
      <c r="E533" t="s">
        <v>159</v>
      </c>
      <c r="F533">
        <v>6646</v>
      </c>
      <c r="G533" t="s">
        <v>2679</v>
      </c>
      <c r="H533" t="s">
        <v>3369</v>
      </c>
      <c r="I533">
        <v>26600</v>
      </c>
      <c r="J533" t="s">
        <v>2460</v>
      </c>
      <c r="K533">
        <v>26600</v>
      </c>
      <c r="L533" t="s">
        <v>2460</v>
      </c>
      <c r="M533">
        <v>26600</v>
      </c>
      <c r="N533" t="s">
        <v>2460</v>
      </c>
      <c r="O533">
        <v>26600</v>
      </c>
      <c r="P533" t="s">
        <v>2460</v>
      </c>
      <c r="Q533">
        <v>26600</v>
      </c>
      <c r="R533" t="s">
        <v>2460</v>
      </c>
      <c r="S533" t="s">
        <v>988</v>
      </c>
    </row>
    <row r="534" spans="1:19" hidden="1" x14ac:dyDescent="0.3">
      <c r="A534">
        <v>1473</v>
      </c>
      <c r="B534" t="s">
        <v>1669</v>
      </c>
      <c r="C534" t="s">
        <v>2877</v>
      </c>
      <c r="D534" t="s">
        <v>159</v>
      </c>
      <c r="E534" t="s">
        <v>159</v>
      </c>
      <c r="F534">
        <v>6646</v>
      </c>
      <c r="G534" t="s">
        <v>2679</v>
      </c>
      <c r="H534" t="s">
        <v>3370</v>
      </c>
      <c r="I534">
        <v>17300</v>
      </c>
      <c r="J534" t="s">
        <v>2460</v>
      </c>
      <c r="K534">
        <v>29200</v>
      </c>
      <c r="L534" t="s">
        <v>2460</v>
      </c>
      <c r="M534">
        <v>29700</v>
      </c>
      <c r="N534" t="s">
        <v>2460</v>
      </c>
      <c r="O534">
        <v>29800</v>
      </c>
      <c r="P534" t="s">
        <v>2460</v>
      </c>
      <c r="Q534">
        <v>30000</v>
      </c>
      <c r="R534" t="s">
        <v>2460</v>
      </c>
      <c r="S534" t="s">
        <v>988</v>
      </c>
    </row>
    <row r="535" spans="1:19" x14ac:dyDescent="0.3">
      <c r="A535">
        <v>1473</v>
      </c>
      <c r="B535" t="s">
        <v>1669</v>
      </c>
      <c r="C535" t="s">
        <v>2877</v>
      </c>
      <c r="D535" t="s">
        <v>159</v>
      </c>
      <c r="E535" t="s">
        <v>159</v>
      </c>
      <c r="F535">
        <v>6646</v>
      </c>
      <c r="G535" t="s">
        <v>2695</v>
      </c>
      <c r="H535" t="s">
        <v>3371</v>
      </c>
      <c r="I535">
        <v>4000</v>
      </c>
      <c r="J535" t="s">
        <v>2460</v>
      </c>
      <c r="K535">
        <v>8000</v>
      </c>
      <c r="L535" t="s">
        <v>2460</v>
      </c>
      <c r="M535">
        <v>15000</v>
      </c>
      <c r="N535" t="s">
        <v>2460</v>
      </c>
      <c r="O535">
        <v>15000</v>
      </c>
      <c r="P535" t="s">
        <v>2460</v>
      </c>
      <c r="Q535">
        <v>15000</v>
      </c>
      <c r="R535" t="s">
        <v>2460</v>
      </c>
      <c r="S535" t="s">
        <v>988</v>
      </c>
    </row>
    <row r="536" spans="1:19" hidden="1" x14ac:dyDescent="0.3">
      <c r="A536">
        <v>1473</v>
      </c>
      <c r="B536" t="s">
        <v>1669</v>
      </c>
      <c r="C536" t="s">
        <v>2877</v>
      </c>
      <c r="D536" t="s">
        <v>159</v>
      </c>
      <c r="E536" t="s">
        <v>159</v>
      </c>
      <c r="F536">
        <v>6646</v>
      </c>
      <c r="G536" t="s">
        <v>2683</v>
      </c>
      <c r="H536" t="s">
        <v>827</v>
      </c>
      <c r="I536">
        <v>181400</v>
      </c>
      <c r="J536" t="s">
        <v>2460</v>
      </c>
      <c r="K536">
        <v>180200</v>
      </c>
      <c r="L536" t="s">
        <v>2460</v>
      </c>
      <c r="M536">
        <v>183700</v>
      </c>
      <c r="N536" t="s">
        <v>2460</v>
      </c>
      <c r="O536">
        <v>204100</v>
      </c>
      <c r="P536" t="s">
        <v>2460</v>
      </c>
      <c r="Q536">
        <v>216800</v>
      </c>
      <c r="R536" t="s">
        <v>2460</v>
      </c>
      <c r="S536" t="s">
        <v>988</v>
      </c>
    </row>
    <row r="537" spans="1:19" hidden="1" x14ac:dyDescent="0.3">
      <c r="A537">
        <v>1473</v>
      </c>
      <c r="B537" t="s">
        <v>1669</v>
      </c>
      <c r="C537" t="s">
        <v>2877</v>
      </c>
      <c r="D537" t="s">
        <v>159</v>
      </c>
      <c r="E537" t="s">
        <v>159</v>
      </c>
      <c r="F537">
        <v>6646</v>
      </c>
      <c r="G537" t="s">
        <v>2683</v>
      </c>
      <c r="H537" t="s">
        <v>3372</v>
      </c>
      <c r="I537">
        <v>190400</v>
      </c>
      <c r="J537" t="s">
        <v>2460</v>
      </c>
      <c r="K537">
        <v>188900</v>
      </c>
      <c r="L537" t="s">
        <v>2460</v>
      </c>
      <c r="M537">
        <v>187300</v>
      </c>
      <c r="N537" t="s">
        <v>2460</v>
      </c>
      <c r="O537">
        <v>185800</v>
      </c>
      <c r="P537" t="s">
        <v>2460</v>
      </c>
      <c r="Q537">
        <v>184200</v>
      </c>
      <c r="R537" t="s">
        <v>2460</v>
      </c>
      <c r="S537" t="s">
        <v>988</v>
      </c>
    </row>
    <row r="538" spans="1:19" hidden="1" x14ac:dyDescent="0.3">
      <c r="A538">
        <v>1473</v>
      </c>
      <c r="B538" t="s">
        <v>1669</v>
      </c>
      <c r="C538" t="s">
        <v>2877</v>
      </c>
      <c r="D538" t="s">
        <v>159</v>
      </c>
      <c r="E538" t="s">
        <v>159</v>
      </c>
      <c r="F538">
        <v>6646</v>
      </c>
      <c r="G538" t="s">
        <v>2681</v>
      </c>
      <c r="H538" t="s">
        <v>3373</v>
      </c>
      <c r="I538">
        <v>109400</v>
      </c>
      <c r="J538" t="s">
        <v>2460</v>
      </c>
      <c r="K538">
        <v>109400</v>
      </c>
      <c r="L538" t="s">
        <v>2460</v>
      </c>
      <c r="M538">
        <v>109400</v>
      </c>
      <c r="N538" t="s">
        <v>2460</v>
      </c>
      <c r="O538">
        <v>108800</v>
      </c>
      <c r="P538" t="s">
        <v>2460</v>
      </c>
      <c r="Q538">
        <v>108800</v>
      </c>
      <c r="R538" t="s">
        <v>2460</v>
      </c>
      <c r="S538" t="s">
        <v>988</v>
      </c>
    </row>
    <row r="539" spans="1:19" hidden="1" x14ac:dyDescent="0.3">
      <c r="A539">
        <v>1473</v>
      </c>
      <c r="B539" t="s">
        <v>1669</v>
      </c>
      <c r="C539" t="s">
        <v>2877</v>
      </c>
      <c r="D539" t="s">
        <v>159</v>
      </c>
      <c r="E539" t="s">
        <v>159</v>
      </c>
      <c r="F539">
        <v>6646</v>
      </c>
      <c r="G539" t="s">
        <v>687</v>
      </c>
      <c r="H539" t="s">
        <v>3374</v>
      </c>
      <c r="I539">
        <v>133100</v>
      </c>
      <c r="J539" t="s">
        <v>2460</v>
      </c>
      <c r="K539">
        <v>133500</v>
      </c>
      <c r="L539" t="s">
        <v>2460</v>
      </c>
      <c r="M539">
        <v>142700</v>
      </c>
      <c r="N539" t="s">
        <v>2460</v>
      </c>
      <c r="O539">
        <v>143300</v>
      </c>
      <c r="P539" t="s">
        <v>2460</v>
      </c>
      <c r="Q539">
        <v>144700</v>
      </c>
      <c r="R539" t="s">
        <v>2460</v>
      </c>
      <c r="S539" t="s">
        <v>988</v>
      </c>
    </row>
    <row r="540" spans="1:19" hidden="1" x14ac:dyDescent="0.3">
      <c r="A540">
        <v>1473</v>
      </c>
      <c r="B540" t="s">
        <v>1669</v>
      </c>
      <c r="C540" t="s">
        <v>2877</v>
      </c>
      <c r="D540" t="s">
        <v>159</v>
      </c>
      <c r="E540" t="s">
        <v>159</v>
      </c>
      <c r="F540">
        <v>6646</v>
      </c>
      <c r="G540" t="s">
        <v>2679</v>
      </c>
      <c r="H540" t="s">
        <v>3369</v>
      </c>
      <c r="I540">
        <v>7000</v>
      </c>
      <c r="J540" t="s">
        <v>2460</v>
      </c>
      <c r="K540">
        <v>11000</v>
      </c>
      <c r="L540" t="s">
        <v>2460</v>
      </c>
      <c r="M540">
        <v>11000</v>
      </c>
      <c r="N540" t="s">
        <v>2460</v>
      </c>
      <c r="O540">
        <v>11000</v>
      </c>
      <c r="P540" t="s">
        <v>2460</v>
      </c>
      <c r="Q540">
        <v>11000</v>
      </c>
      <c r="R540" t="s">
        <v>2460</v>
      </c>
      <c r="S540" t="s">
        <v>988</v>
      </c>
    </row>
    <row r="541" spans="1:19" hidden="1" x14ac:dyDescent="0.3">
      <c r="A541">
        <v>1481</v>
      </c>
      <c r="B541" t="s">
        <v>1670</v>
      </c>
      <c r="C541" t="s">
        <v>2877</v>
      </c>
      <c r="D541" t="s">
        <v>1203</v>
      </c>
      <c r="E541" t="s">
        <v>1204</v>
      </c>
      <c r="F541">
        <v>6739</v>
      </c>
      <c r="G541" t="s">
        <v>2679</v>
      </c>
      <c r="H541" t="s">
        <v>3375</v>
      </c>
      <c r="I541">
        <v>529</v>
      </c>
      <c r="J541" t="s">
        <v>2460</v>
      </c>
      <c r="K541">
        <v>593</v>
      </c>
      <c r="L541" t="s">
        <v>2460</v>
      </c>
      <c r="M541">
        <v>593</v>
      </c>
      <c r="N541" t="s">
        <v>2460</v>
      </c>
      <c r="O541">
        <v>593</v>
      </c>
      <c r="P541" t="s">
        <v>2460</v>
      </c>
      <c r="R541" t="s">
        <v>2460</v>
      </c>
      <c r="S541" t="s">
        <v>988</v>
      </c>
    </row>
    <row r="542" spans="1:19" hidden="1" x14ac:dyDescent="0.3">
      <c r="A542">
        <v>1481</v>
      </c>
      <c r="B542" t="s">
        <v>1670</v>
      </c>
      <c r="C542" t="s">
        <v>2877</v>
      </c>
      <c r="D542" t="s">
        <v>1203</v>
      </c>
      <c r="E542" t="s">
        <v>1204</v>
      </c>
      <c r="F542">
        <v>6739</v>
      </c>
      <c r="G542" t="s">
        <v>2683</v>
      </c>
      <c r="H542" t="s">
        <v>3376</v>
      </c>
      <c r="I542">
        <v>8490</v>
      </c>
      <c r="J542" t="s">
        <v>2460</v>
      </c>
      <c r="K542">
        <v>8661</v>
      </c>
      <c r="L542" t="s">
        <v>2460</v>
      </c>
      <c r="M542">
        <v>8836</v>
      </c>
      <c r="N542" t="s">
        <v>2460</v>
      </c>
      <c r="O542">
        <v>9014</v>
      </c>
      <c r="P542" t="s">
        <v>2460</v>
      </c>
      <c r="R542" t="s">
        <v>2460</v>
      </c>
      <c r="S542" t="s">
        <v>988</v>
      </c>
    </row>
    <row r="543" spans="1:19" hidden="1" x14ac:dyDescent="0.3">
      <c r="A543">
        <v>1484</v>
      </c>
      <c r="B543" t="s">
        <v>1674</v>
      </c>
      <c r="C543" t="s">
        <v>2877</v>
      </c>
      <c r="D543" t="s">
        <v>1203</v>
      </c>
      <c r="E543" t="s">
        <v>1204</v>
      </c>
      <c r="F543">
        <v>6741</v>
      </c>
      <c r="G543" t="s">
        <v>2681</v>
      </c>
      <c r="H543" t="s">
        <v>2460</v>
      </c>
      <c r="I543">
        <v>23298</v>
      </c>
      <c r="J543" t="s">
        <v>2460</v>
      </c>
      <c r="K543">
        <v>23298</v>
      </c>
      <c r="L543" t="s">
        <v>2460</v>
      </c>
      <c r="M543">
        <v>23298</v>
      </c>
      <c r="N543" t="s">
        <v>2460</v>
      </c>
      <c r="O543">
        <v>23298</v>
      </c>
      <c r="P543" t="s">
        <v>2460</v>
      </c>
      <c r="Q543">
        <v>23298</v>
      </c>
      <c r="R543" t="s">
        <v>2460</v>
      </c>
      <c r="S543" t="s">
        <v>988</v>
      </c>
    </row>
    <row r="544" spans="1:19" hidden="1" x14ac:dyDescent="0.3">
      <c r="A544">
        <v>1484</v>
      </c>
      <c r="B544" t="s">
        <v>1674</v>
      </c>
      <c r="C544" t="s">
        <v>2877</v>
      </c>
      <c r="D544" t="s">
        <v>1203</v>
      </c>
      <c r="E544" t="s">
        <v>1204</v>
      </c>
      <c r="F544">
        <v>6741</v>
      </c>
      <c r="G544" t="s">
        <v>2683</v>
      </c>
      <c r="H544" t="s">
        <v>3377</v>
      </c>
      <c r="I544">
        <v>1733</v>
      </c>
      <c r="J544" t="s">
        <v>2460</v>
      </c>
      <c r="K544">
        <v>1733</v>
      </c>
      <c r="L544" t="s">
        <v>2460</v>
      </c>
      <c r="M544">
        <v>1733</v>
      </c>
      <c r="N544" t="s">
        <v>2460</v>
      </c>
      <c r="O544">
        <v>1733</v>
      </c>
      <c r="P544" t="s">
        <v>2460</v>
      </c>
      <c r="Q544">
        <v>1733</v>
      </c>
      <c r="R544" t="s">
        <v>2460</v>
      </c>
      <c r="S544" t="s">
        <v>988</v>
      </c>
    </row>
    <row r="545" spans="1:19" hidden="1" x14ac:dyDescent="0.3">
      <c r="A545">
        <v>1484</v>
      </c>
      <c r="B545" t="s">
        <v>1674</v>
      </c>
      <c r="C545" t="s">
        <v>2877</v>
      </c>
      <c r="D545" t="s">
        <v>1203</v>
      </c>
      <c r="E545" t="s">
        <v>1204</v>
      </c>
      <c r="F545">
        <v>6741</v>
      </c>
      <c r="G545" t="s">
        <v>2679</v>
      </c>
      <c r="H545" t="s">
        <v>2460</v>
      </c>
      <c r="I545">
        <v>764</v>
      </c>
      <c r="J545" t="s">
        <v>2460</v>
      </c>
      <c r="K545">
        <v>902</v>
      </c>
      <c r="L545" t="s">
        <v>2460</v>
      </c>
      <c r="M545">
        <v>1102</v>
      </c>
      <c r="N545" t="s">
        <v>2460</v>
      </c>
      <c r="O545">
        <v>1302</v>
      </c>
      <c r="P545" t="s">
        <v>2460</v>
      </c>
      <c r="Q545">
        <v>1302</v>
      </c>
      <c r="R545" t="s">
        <v>2460</v>
      </c>
      <c r="S545" t="s">
        <v>988</v>
      </c>
    </row>
    <row r="546" spans="1:19" hidden="1" x14ac:dyDescent="0.3">
      <c r="A546">
        <v>1484</v>
      </c>
      <c r="B546" t="s">
        <v>1674</v>
      </c>
      <c r="C546" t="s">
        <v>2877</v>
      </c>
      <c r="D546" t="s">
        <v>1203</v>
      </c>
      <c r="E546" t="s">
        <v>1204</v>
      </c>
      <c r="F546">
        <v>6741</v>
      </c>
      <c r="G546" t="s">
        <v>2683</v>
      </c>
      <c r="H546" t="s">
        <v>2460</v>
      </c>
      <c r="I546">
        <v>57300</v>
      </c>
      <c r="J546" t="s">
        <v>2460</v>
      </c>
      <c r="K546">
        <v>55800</v>
      </c>
      <c r="L546" t="s">
        <v>2460</v>
      </c>
      <c r="M546">
        <v>54200</v>
      </c>
      <c r="N546" t="s">
        <v>2460</v>
      </c>
      <c r="O546">
        <v>52700</v>
      </c>
      <c r="P546" t="s">
        <v>2460</v>
      </c>
      <c r="Q546">
        <v>52700</v>
      </c>
      <c r="R546" t="s">
        <v>2460</v>
      </c>
      <c r="S546" t="s">
        <v>988</v>
      </c>
    </row>
    <row r="547" spans="1:19" hidden="1" x14ac:dyDescent="0.3">
      <c r="A547">
        <v>1487</v>
      </c>
      <c r="B547" t="s">
        <v>1677</v>
      </c>
      <c r="C547" t="s">
        <v>2877</v>
      </c>
      <c r="D547" t="s">
        <v>1203</v>
      </c>
      <c r="E547" t="s">
        <v>1204</v>
      </c>
      <c r="F547">
        <v>5663</v>
      </c>
      <c r="G547" t="s">
        <v>2681</v>
      </c>
      <c r="H547" t="s">
        <v>3378</v>
      </c>
      <c r="I547">
        <v>8340</v>
      </c>
      <c r="J547" t="s">
        <v>2460</v>
      </c>
      <c r="K547">
        <v>8985</v>
      </c>
      <c r="L547" t="s">
        <v>2460</v>
      </c>
      <c r="M547">
        <v>9679</v>
      </c>
      <c r="N547" t="s">
        <v>2460</v>
      </c>
      <c r="O547">
        <v>10427</v>
      </c>
      <c r="P547" t="s">
        <v>2460</v>
      </c>
      <c r="Q547">
        <v>11233</v>
      </c>
      <c r="R547" t="s">
        <v>2460</v>
      </c>
      <c r="S547" t="s">
        <v>988</v>
      </c>
    </row>
    <row r="548" spans="1:19" hidden="1" x14ac:dyDescent="0.3">
      <c r="A548">
        <v>1506</v>
      </c>
      <c r="B548" t="s">
        <v>1678</v>
      </c>
      <c r="C548" t="s">
        <v>2877</v>
      </c>
      <c r="D548" t="s">
        <v>159</v>
      </c>
      <c r="E548" t="s">
        <v>159</v>
      </c>
      <c r="F548">
        <v>7862</v>
      </c>
      <c r="G548" t="s">
        <v>2681</v>
      </c>
      <c r="H548" t="s">
        <v>2460</v>
      </c>
      <c r="I548">
        <v>5337</v>
      </c>
      <c r="J548" t="s">
        <v>2460</v>
      </c>
      <c r="K548">
        <v>5337</v>
      </c>
      <c r="L548" t="s">
        <v>2460</v>
      </c>
      <c r="M548">
        <v>5337</v>
      </c>
      <c r="N548" t="s">
        <v>2460</v>
      </c>
      <c r="O548">
        <v>5337</v>
      </c>
      <c r="P548" t="s">
        <v>2460</v>
      </c>
      <c r="Q548">
        <v>5337</v>
      </c>
      <c r="R548" t="s">
        <v>2460</v>
      </c>
      <c r="S548" t="s">
        <v>988</v>
      </c>
    </row>
    <row r="549" spans="1:19" hidden="1" x14ac:dyDescent="0.3">
      <c r="A549">
        <v>1506</v>
      </c>
      <c r="B549" t="s">
        <v>1678</v>
      </c>
      <c r="C549" t="s">
        <v>2877</v>
      </c>
      <c r="D549" t="s">
        <v>159</v>
      </c>
      <c r="E549" t="s">
        <v>159</v>
      </c>
      <c r="F549">
        <v>7862</v>
      </c>
      <c r="G549" t="s">
        <v>2679</v>
      </c>
      <c r="H549" t="s">
        <v>2460</v>
      </c>
      <c r="I549">
        <v>34</v>
      </c>
      <c r="J549" t="s">
        <v>2460</v>
      </c>
      <c r="K549">
        <v>35</v>
      </c>
      <c r="L549" t="s">
        <v>2460</v>
      </c>
      <c r="M549">
        <v>36</v>
      </c>
      <c r="N549" t="s">
        <v>2460</v>
      </c>
      <c r="O549">
        <v>37</v>
      </c>
      <c r="P549" t="s">
        <v>2460</v>
      </c>
      <c r="Q549">
        <v>38</v>
      </c>
      <c r="R549" t="s">
        <v>2460</v>
      </c>
      <c r="S549" t="s">
        <v>988</v>
      </c>
    </row>
    <row r="550" spans="1:19" hidden="1" x14ac:dyDescent="0.3">
      <c r="A550">
        <v>1506</v>
      </c>
      <c r="B550" t="s">
        <v>1678</v>
      </c>
      <c r="C550" t="s">
        <v>2877</v>
      </c>
      <c r="D550" t="s">
        <v>159</v>
      </c>
      <c r="E550" t="s">
        <v>159</v>
      </c>
      <c r="F550">
        <v>7862</v>
      </c>
      <c r="G550" t="s">
        <v>2683</v>
      </c>
      <c r="H550" t="s">
        <v>2460</v>
      </c>
      <c r="I550">
        <v>436</v>
      </c>
      <c r="J550" t="s">
        <v>2460</v>
      </c>
      <c r="K550">
        <v>436</v>
      </c>
      <c r="L550" t="s">
        <v>2460</v>
      </c>
      <c r="M550">
        <v>436</v>
      </c>
      <c r="N550" t="s">
        <v>2460</v>
      </c>
      <c r="O550">
        <v>436</v>
      </c>
      <c r="P550" t="s">
        <v>2460</v>
      </c>
      <c r="Q550">
        <v>436</v>
      </c>
      <c r="R550" t="s">
        <v>2460</v>
      </c>
      <c r="S550" t="s">
        <v>988</v>
      </c>
    </row>
    <row r="551" spans="1:19" hidden="1" x14ac:dyDescent="0.3">
      <c r="A551">
        <v>1506</v>
      </c>
      <c r="B551" t="s">
        <v>1678</v>
      </c>
      <c r="C551" t="s">
        <v>2877</v>
      </c>
      <c r="D551" t="s">
        <v>159</v>
      </c>
      <c r="E551" t="s">
        <v>159</v>
      </c>
      <c r="F551">
        <v>7862</v>
      </c>
      <c r="G551" t="s">
        <v>2681</v>
      </c>
      <c r="H551" t="s">
        <v>2460</v>
      </c>
      <c r="I551">
        <v>2135</v>
      </c>
      <c r="J551" t="s">
        <v>2460</v>
      </c>
      <c r="K551">
        <v>2135</v>
      </c>
      <c r="L551" t="s">
        <v>2460</v>
      </c>
      <c r="M551">
        <v>2135</v>
      </c>
      <c r="N551" t="s">
        <v>2460</v>
      </c>
      <c r="O551">
        <v>2135</v>
      </c>
      <c r="P551" t="s">
        <v>2460</v>
      </c>
      <c r="Q551">
        <v>2135</v>
      </c>
      <c r="R551" t="s">
        <v>2460</v>
      </c>
      <c r="S551" t="s">
        <v>988</v>
      </c>
    </row>
    <row r="552" spans="1:19" hidden="1" x14ac:dyDescent="0.3">
      <c r="A552">
        <v>1533</v>
      </c>
      <c r="B552" t="s">
        <v>1679</v>
      </c>
      <c r="C552" t="s">
        <v>2877</v>
      </c>
      <c r="D552" t="s">
        <v>1203</v>
      </c>
      <c r="E552" t="s">
        <v>1204</v>
      </c>
      <c r="F552">
        <v>5528</v>
      </c>
      <c r="G552" t="s">
        <v>2679</v>
      </c>
      <c r="H552" t="s">
        <v>2460</v>
      </c>
      <c r="I552">
        <v>198</v>
      </c>
      <c r="J552" t="s">
        <v>2460</v>
      </c>
      <c r="K552">
        <v>448</v>
      </c>
      <c r="L552" t="s">
        <v>2460</v>
      </c>
      <c r="M552">
        <v>448</v>
      </c>
      <c r="N552" t="s">
        <v>2460</v>
      </c>
      <c r="O552">
        <v>448</v>
      </c>
      <c r="P552" t="s">
        <v>2460</v>
      </c>
      <c r="R552" t="s">
        <v>2460</v>
      </c>
      <c r="S552" t="s">
        <v>988</v>
      </c>
    </row>
    <row r="553" spans="1:19" hidden="1" x14ac:dyDescent="0.3">
      <c r="A553">
        <v>1533</v>
      </c>
      <c r="B553" t="s">
        <v>1679</v>
      </c>
      <c r="C553" t="s">
        <v>2877</v>
      </c>
      <c r="D553" t="s">
        <v>1203</v>
      </c>
      <c r="E553" t="s">
        <v>1204</v>
      </c>
      <c r="F553">
        <v>5528</v>
      </c>
      <c r="G553" t="s">
        <v>687</v>
      </c>
      <c r="H553" t="s">
        <v>1210</v>
      </c>
      <c r="I553">
        <v>76</v>
      </c>
      <c r="J553" t="s">
        <v>2460</v>
      </c>
      <c r="K553">
        <v>220</v>
      </c>
      <c r="L553" t="s">
        <v>2460</v>
      </c>
      <c r="M553">
        <v>220</v>
      </c>
      <c r="N553" t="s">
        <v>2460</v>
      </c>
      <c r="O553">
        <v>220</v>
      </c>
      <c r="P553" t="s">
        <v>2460</v>
      </c>
      <c r="R553" t="s">
        <v>2460</v>
      </c>
      <c r="S553" t="s">
        <v>988</v>
      </c>
    </row>
    <row r="554" spans="1:19" hidden="1" x14ac:dyDescent="0.3">
      <c r="A554">
        <v>1533</v>
      </c>
      <c r="B554" t="s">
        <v>1679</v>
      </c>
      <c r="C554" t="s">
        <v>2877</v>
      </c>
      <c r="D554" t="s">
        <v>1203</v>
      </c>
      <c r="E554" t="s">
        <v>1204</v>
      </c>
      <c r="F554">
        <v>5528</v>
      </c>
      <c r="G554" t="s">
        <v>2681</v>
      </c>
      <c r="H554" t="s">
        <v>2460</v>
      </c>
      <c r="I554">
        <v>885</v>
      </c>
      <c r="J554" t="s">
        <v>2460</v>
      </c>
      <c r="K554">
        <v>1041</v>
      </c>
      <c r="L554" t="s">
        <v>2460</v>
      </c>
      <c r="M554">
        <v>1197</v>
      </c>
      <c r="N554" t="s">
        <v>2460</v>
      </c>
      <c r="O554">
        <v>1353</v>
      </c>
      <c r="P554" t="s">
        <v>2460</v>
      </c>
      <c r="R554" t="s">
        <v>2460</v>
      </c>
      <c r="S554" t="s">
        <v>988</v>
      </c>
    </row>
    <row r="555" spans="1:19" hidden="1" x14ac:dyDescent="0.3">
      <c r="A555">
        <v>1533</v>
      </c>
      <c r="B555" t="s">
        <v>1679</v>
      </c>
      <c r="C555" t="s">
        <v>2877</v>
      </c>
      <c r="D555" t="s">
        <v>1203</v>
      </c>
      <c r="E555" t="s">
        <v>1204</v>
      </c>
      <c r="F555">
        <v>5528</v>
      </c>
      <c r="G555" t="s">
        <v>2691</v>
      </c>
      <c r="H555" t="s">
        <v>2460</v>
      </c>
      <c r="I555">
        <v>1404</v>
      </c>
      <c r="J555" t="s">
        <v>2460</v>
      </c>
      <c r="K555">
        <v>1571</v>
      </c>
      <c r="L555" t="s">
        <v>2460</v>
      </c>
      <c r="M555">
        <v>1630</v>
      </c>
      <c r="N555" t="s">
        <v>2460</v>
      </c>
      <c r="O555">
        <v>1743</v>
      </c>
      <c r="P555" t="s">
        <v>2460</v>
      </c>
      <c r="R555" t="s">
        <v>2460</v>
      </c>
      <c r="S555" t="s">
        <v>988</v>
      </c>
    </row>
    <row r="556" spans="1:19" hidden="1" x14ac:dyDescent="0.3">
      <c r="A556">
        <v>1536</v>
      </c>
      <c r="B556" t="s">
        <v>1684</v>
      </c>
      <c r="C556" t="s">
        <v>2877</v>
      </c>
      <c r="D556" t="s">
        <v>1203</v>
      </c>
      <c r="E556" t="s">
        <v>1204</v>
      </c>
      <c r="F556">
        <v>5518</v>
      </c>
      <c r="G556" t="s">
        <v>2681</v>
      </c>
      <c r="H556" t="s">
        <v>3359</v>
      </c>
      <c r="I556">
        <v>1000</v>
      </c>
      <c r="J556" t="s">
        <v>2460</v>
      </c>
      <c r="K556">
        <v>1100</v>
      </c>
      <c r="L556" t="s">
        <v>2460</v>
      </c>
      <c r="M556">
        <v>1100</v>
      </c>
      <c r="N556" t="s">
        <v>2460</v>
      </c>
      <c r="O556">
        <v>1100</v>
      </c>
      <c r="P556" t="s">
        <v>2460</v>
      </c>
      <c r="Q556">
        <v>1100</v>
      </c>
      <c r="R556" t="s">
        <v>2460</v>
      </c>
      <c r="S556" t="s">
        <v>988</v>
      </c>
    </row>
    <row r="557" spans="1:19" hidden="1" x14ac:dyDescent="0.3">
      <c r="A557">
        <v>1536</v>
      </c>
      <c r="B557" t="s">
        <v>1684</v>
      </c>
      <c r="C557" t="s">
        <v>2877</v>
      </c>
      <c r="D557" t="s">
        <v>1203</v>
      </c>
      <c r="E557" t="s">
        <v>1204</v>
      </c>
      <c r="F557">
        <v>5518</v>
      </c>
      <c r="G557" t="s">
        <v>2683</v>
      </c>
      <c r="H557" t="s">
        <v>2241</v>
      </c>
      <c r="I557">
        <v>4175</v>
      </c>
      <c r="J557" t="s">
        <v>2460</v>
      </c>
      <c r="K557">
        <v>4150</v>
      </c>
      <c r="L557" t="s">
        <v>2460</v>
      </c>
      <c r="M557">
        <v>4226</v>
      </c>
      <c r="N557" t="s">
        <v>2460</v>
      </c>
      <c r="O557">
        <v>4302</v>
      </c>
      <c r="P557" t="s">
        <v>2460</v>
      </c>
      <c r="Q557">
        <v>4365</v>
      </c>
      <c r="R557" t="s">
        <v>2460</v>
      </c>
      <c r="S557" t="s">
        <v>988</v>
      </c>
    </row>
    <row r="558" spans="1:19" hidden="1" x14ac:dyDescent="0.3">
      <c r="A558">
        <v>1536</v>
      </c>
      <c r="B558" t="s">
        <v>1684</v>
      </c>
      <c r="C558" t="s">
        <v>2877</v>
      </c>
      <c r="D558" t="s">
        <v>1203</v>
      </c>
      <c r="E558" t="s">
        <v>1204</v>
      </c>
      <c r="F558">
        <v>5518</v>
      </c>
      <c r="G558" t="s">
        <v>2679</v>
      </c>
      <c r="H558" t="s">
        <v>2460</v>
      </c>
      <c r="I558">
        <v>275</v>
      </c>
      <c r="J558" t="s">
        <v>2460</v>
      </c>
      <c r="K558">
        <v>275</v>
      </c>
      <c r="L558" t="s">
        <v>2460</v>
      </c>
      <c r="M558">
        <v>275</v>
      </c>
      <c r="N558" t="s">
        <v>2460</v>
      </c>
      <c r="O558">
        <v>275</v>
      </c>
      <c r="P558" t="s">
        <v>2460</v>
      </c>
      <c r="Q558">
        <v>275</v>
      </c>
      <c r="R558" t="s">
        <v>2460</v>
      </c>
      <c r="S558" t="s">
        <v>988</v>
      </c>
    </row>
    <row r="559" spans="1:19" hidden="1" x14ac:dyDescent="0.3">
      <c r="A559">
        <v>1546</v>
      </c>
      <c r="B559" t="s">
        <v>1686</v>
      </c>
      <c r="C559" t="s">
        <v>2877</v>
      </c>
      <c r="D559" t="s">
        <v>1203</v>
      </c>
      <c r="E559" t="s">
        <v>1204</v>
      </c>
      <c r="F559">
        <v>5724</v>
      </c>
      <c r="G559" t="s">
        <v>2683</v>
      </c>
      <c r="H559" t="s">
        <v>3379</v>
      </c>
      <c r="I559">
        <v>5300</v>
      </c>
      <c r="J559" t="s">
        <v>2460</v>
      </c>
      <c r="K559">
        <v>5300</v>
      </c>
      <c r="L559" t="s">
        <v>2460</v>
      </c>
      <c r="M559">
        <v>5300</v>
      </c>
      <c r="N559" t="s">
        <v>2460</v>
      </c>
      <c r="O559">
        <v>5300</v>
      </c>
      <c r="P559" t="s">
        <v>2460</v>
      </c>
      <c r="Q559">
        <v>5300</v>
      </c>
      <c r="R559" t="s">
        <v>2460</v>
      </c>
      <c r="S559" t="s">
        <v>988</v>
      </c>
    </row>
    <row r="560" spans="1:19" hidden="1" x14ac:dyDescent="0.3">
      <c r="A560">
        <v>1546</v>
      </c>
      <c r="B560" t="s">
        <v>1686</v>
      </c>
      <c r="C560" t="s">
        <v>2877</v>
      </c>
      <c r="D560" t="s">
        <v>1203</v>
      </c>
      <c r="E560" t="s">
        <v>1204</v>
      </c>
      <c r="F560">
        <v>5724</v>
      </c>
      <c r="G560" t="s">
        <v>2691</v>
      </c>
      <c r="H560" t="s">
        <v>2460</v>
      </c>
      <c r="I560">
        <v>78540</v>
      </c>
      <c r="J560" t="s">
        <v>2460</v>
      </c>
      <c r="K560">
        <v>78793</v>
      </c>
      <c r="L560" t="s">
        <v>2460</v>
      </c>
      <c r="M560">
        <v>78525</v>
      </c>
      <c r="N560" t="s">
        <v>2460</v>
      </c>
      <c r="O560">
        <v>78558</v>
      </c>
      <c r="P560" t="s">
        <v>2460</v>
      </c>
      <c r="Q560">
        <v>78626</v>
      </c>
      <c r="R560" t="s">
        <v>2460</v>
      </c>
      <c r="S560" t="s">
        <v>988</v>
      </c>
    </row>
    <row r="561" spans="1:19" hidden="1" x14ac:dyDescent="0.3">
      <c r="A561">
        <v>1546</v>
      </c>
      <c r="B561" t="s">
        <v>1686</v>
      </c>
      <c r="C561" t="s">
        <v>2877</v>
      </c>
      <c r="D561" t="s">
        <v>1203</v>
      </c>
      <c r="E561" t="s">
        <v>1204</v>
      </c>
      <c r="F561">
        <v>5724</v>
      </c>
      <c r="G561" t="s">
        <v>687</v>
      </c>
      <c r="H561" t="s">
        <v>1210</v>
      </c>
      <c r="I561">
        <v>171.49</v>
      </c>
      <c r="J561" t="s">
        <v>2460</v>
      </c>
      <c r="K561">
        <v>174.32</v>
      </c>
      <c r="L561" t="s">
        <v>2460</v>
      </c>
      <c r="M561">
        <v>175.7</v>
      </c>
      <c r="N561" t="s">
        <v>2460</v>
      </c>
      <c r="O561">
        <v>176.09</v>
      </c>
      <c r="P561" t="s">
        <v>2460</v>
      </c>
      <c r="Q561">
        <v>176.49</v>
      </c>
      <c r="R561" t="s">
        <v>2460</v>
      </c>
      <c r="S561" t="s">
        <v>988</v>
      </c>
    </row>
    <row r="562" spans="1:19" hidden="1" x14ac:dyDescent="0.3">
      <c r="A562">
        <v>1546</v>
      </c>
      <c r="B562" t="s">
        <v>1686</v>
      </c>
      <c r="C562" t="s">
        <v>2877</v>
      </c>
      <c r="D562" t="s">
        <v>1203</v>
      </c>
      <c r="E562" t="s">
        <v>1204</v>
      </c>
      <c r="F562">
        <v>5724</v>
      </c>
      <c r="G562" t="s">
        <v>2679</v>
      </c>
      <c r="H562" t="s">
        <v>2460</v>
      </c>
      <c r="I562">
        <v>749.57</v>
      </c>
      <c r="J562" t="s">
        <v>2460</v>
      </c>
      <c r="K562">
        <v>750</v>
      </c>
      <c r="L562" t="s">
        <v>2460</v>
      </c>
      <c r="M562">
        <v>750</v>
      </c>
      <c r="N562" t="s">
        <v>2460</v>
      </c>
      <c r="O562">
        <v>750</v>
      </c>
      <c r="P562" t="s">
        <v>2460</v>
      </c>
      <c r="Q562">
        <v>750</v>
      </c>
      <c r="R562" t="s">
        <v>2460</v>
      </c>
      <c r="S562" t="s">
        <v>988</v>
      </c>
    </row>
    <row r="563" spans="1:19" hidden="1" x14ac:dyDescent="0.3">
      <c r="A563">
        <v>1547</v>
      </c>
      <c r="B563" t="s">
        <v>1693</v>
      </c>
      <c r="C563" t="s">
        <v>2877</v>
      </c>
      <c r="D563" t="s">
        <v>1203</v>
      </c>
      <c r="E563" t="s">
        <v>1204</v>
      </c>
      <c r="F563">
        <v>5782</v>
      </c>
      <c r="G563" t="s">
        <v>2681</v>
      </c>
      <c r="H563" t="s">
        <v>3380</v>
      </c>
      <c r="I563">
        <v>6600</v>
      </c>
      <c r="J563" t="s">
        <v>3381</v>
      </c>
      <c r="K563">
        <v>6600</v>
      </c>
      <c r="L563" t="s">
        <v>3381</v>
      </c>
      <c r="M563">
        <v>6600</v>
      </c>
      <c r="N563" t="s">
        <v>3381</v>
      </c>
      <c r="O563">
        <v>6600</v>
      </c>
      <c r="P563" t="s">
        <v>3381</v>
      </c>
      <c r="R563" t="s">
        <v>2460</v>
      </c>
      <c r="S563" t="s">
        <v>988</v>
      </c>
    </row>
    <row r="564" spans="1:19" hidden="1" x14ac:dyDescent="0.3">
      <c r="A564">
        <v>1547</v>
      </c>
      <c r="B564" t="s">
        <v>1693</v>
      </c>
      <c r="C564" t="s">
        <v>2877</v>
      </c>
      <c r="D564" t="s">
        <v>1203</v>
      </c>
      <c r="E564" t="s">
        <v>1204</v>
      </c>
      <c r="F564">
        <v>5782</v>
      </c>
      <c r="G564" t="s">
        <v>2687</v>
      </c>
      <c r="H564" t="s">
        <v>3382</v>
      </c>
      <c r="I564">
        <v>0</v>
      </c>
      <c r="J564" t="s">
        <v>2982</v>
      </c>
      <c r="K564">
        <v>0</v>
      </c>
      <c r="L564" t="s">
        <v>2982</v>
      </c>
      <c r="M564">
        <v>394</v>
      </c>
      <c r="N564" t="s">
        <v>3383</v>
      </c>
      <c r="O564">
        <v>483</v>
      </c>
      <c r="P564" t="s">
        <v>3383</v>
      </c>
      <c r="R564" t="s">
        <v>2460</v>
      </c>
      <c r="S564" t="s">
        <v>988</v>
      </c>
    </row>
    <row r="565" spans="1:19" hidden="1" x14ac:dyDescent="0.3">
      <c r="A565">
        <v>1547</v>
      </c>
      <c r="B565" t="s">
        <v>1693</v>
      </c>
      <c r="C565" t="s">
        <v>2877</v>
      </c>
      <c r="D565" t="s">
        <v>1203</v>
      </c>
      <c r="E565" t="s">
        <v>1204</v>
      </c>
      <c r="F565">
        <v>5782</v>
      </c>
      <c r="G565" t="s">
        <v>2681</v>
      </c>
      <c r="H565" t="s">
        <v>3384</v>
      </c>
      <c r="I565">
        <v>3020</v>
      </c>
      <c r="J565" t="s">
        <v>3385</v>
      </c>
      <c r="K565">
        <v>3020</v>
      </c>
      <c r="L565" t="s">
        <v>3385</v>
      </c>
      <c r="M565">
        <v>3020</v>
      </c>
      <c r="N565" t="s">
        <v>3385</v>
      </c>
      <c r="O565">
        <v>3020</v>
      </c>
      <c r="P565" t="s">
        <v>3385</v>
      </c>
      <c r="R565" t="s">
        <v>2460</v>
      </c>
      <c r="S565" t="s">
        <v>988</v>
      </c>
    </row>
    <row r="566" spans="1:19" hidden="1" x14ac:dyDescent="0.3">
      <c r="A566">
        <v>1547</v>
      </c>
      <c r="B566" t="s">
        <v>1693</v>
      </c>
      <c r="C566" t="s">
        <v>2877</v>
      </c>
      <c r="D566" t="s">
        <v>1203</v>
      </c>
      <c r="E566" t="s">
        <v>1204</v>
      </c>
      <c r="F566">
        <v>5782</v>
      </c>
      <c r="G566" t="s">
        <v>2698</v>
      </c>
      <c r="H566" t="s">
        <v>3386</v>
      </c>
      <c r="I566">
        <v>450</v>
      </c>
      <c r="J566" t="s">
        <v>3387</v>
      </c>
      <c r="K566">
        <v>450</v>
      </c>
      <c r="L566" t="s">
        <v>3387</v>
      </c>
      <c r="M566">
        <v>450</v>
      </c>
      <c r="N566" t="s">
        <v>3387</v>
      </c>
      <c r="O566">
        <v>450</v>
      </c>
      <c r="P566" t="s">
        <v>3387</v>
      </c>
      <c r="R566" t="s">
        <v>2460</v>
      </c>
      <c r="S566" t="s">
        <v>988</v>
      </c>
    </row>
    <row r="567" spans="1:19" hidden="1" x14ac:dyDescent="0.3">
      <c r="A567">
        <v>1547</v>
      </c>
      <c r="B567" t="s">
        <v>1693</v>
      </c>
      <c r="C567" t="s">
        <v>2877</v>
      </c>
      <c r="D567" t="s">
        <v>1203</v>
      </c>
      <c r="E567" t="s">
        <v>1204</v>
      </c>
      <c r="F567">
        <v>5782</v>
      </c>
      <c r="G567" t="s">
        <v>2681</v>
      </c>
      <c r="H567" t="s">
        <v>3388</v>
      </c>
      <c r="I567">
        <v>680</v>
      </c>
      <c r="J567" t="s">
        <v>3010</v>
      </c>
      <c r="K567">
        <v>680</v>
      </c>
      <c r="L567" t="s">
        <v>3010</v>
      </c>
      <c r="M567">
        <v>680</v>
      </c>
      <c r="N567" t="s">
        <v>3010</v>
      </c>
      <c r="O567">
        <v>680</v>
      </c>
      <c r="P567" t="s">
        <v>3010</v>
      </c>
      <c r="R567" t="s">
        <v>2460</v>
      </c>
      <c r="S567" t="s">
        <v>988</v>
      </c>
    </row>
    <row r="568" spans="1:19" hidden="1" x14ac:dyDescent="0.3">
      <c r="A568">
        <v>1547</v>
      </c>
      <c r="B568" t="s">
        <v>1693</v>
      </c>
      <c r="C568" t="s">
        <v>2877</v>
      </c>
      <c r="D568" t="s">
        <v>1203</v>
      </c>
      <c r="E568" t="s">
        <v>1204</v>
      </c>
      <c r="F568">
        <v>5782</v>
      </c>
      <c r="G568" t="s">
        <v>2681</v>
      </c>
      <c r="H568" t="s">
        <v>3389</v>
      </c>
      <c r="I568">
        <v>500</v>
      </c>
      <c r="J568" t="s">
        <v>3390</v>
      </c>
      <c r="K568">
        <v>500</v>
      </c>
      <c r="L568" t="s">
        <v>3390</v>
      </c>
      <c r="M568">
        <v>500</v>
      </c>
      <c r="N568" t="s">
        <v>3390</v>
      </c>
      <c r="O568">
        <v>500</v>
      </c>
      <c r="P568" t="s">
        <v>3390</v>
      </c>
      <c r="R568" t="s">
        <v>2460</v>
      </c>
      <c r="S568" t="s">
        <v>988</v>
      </c>
    </row>
    <row r="569" spans="1:19" hidden="1" x14ac:dyDescent="0.3">
      <c r="A569">
        <v>1547</v>
      </c>
      <c r="B569" t="s">
        <v>1693</v>
      </c>
      <c r="C569" t="s">
        <v>2877</v>
      </c>
      <c r="D569" t="s">
        <v>1203</v>
      </c>
      <c r="E569" t="s">
        <v>1204</v>
      </c>
      <c r="F569">
        <v>5782</v>
      </c>
      <c r="G569" t="s">
        <v>2679</v>
      </c>
      <c r="H569" t="s">
        <v>3391</v>
      </c>
      <c r="I569">
        <v>600</v>
      </c>
      <c r="J569" t="s">
        <v>3392</v>
      </c>
      <c r="K569">
        <v>953</v>
      </c>
      <c r="L569" t="s">
        <v>3393</v>
      </c>
      <c r="M569">
        <v>1140</v>
      </c>
      <c r="N569" t="s">
        <v>3393</v>
      </c>
      <c r="O569">
        <v>1270</v>
      </c>
      <c r="P569" t="s">
        <v>3393</v>
      </c>
      <c r="R569" t="s">
        <v>2460</v>
      </c>
      <c r="S569" t="s">
        <v>988</v>
      </c>
    </row>
    <row r="570" spans="1:19" hidden="1" x14ac:dyDescent="0.3">
      <c r="A570">
        <v>1554</v>
      </c>
      <c r="B570" t="s">
        <v>1694</v>
      </c>
      <c r="C570" t="s">
        <v>2877</v>
      </c>
      <c r="D570" t="s">
        <v>1203</v>
      </c>
      <c r="E570" t="s">
        <v>1204</v>
      </c>
      <c r="F570">
        <v>5469</v>
      </c>
      <c r="G570" t="s">
        <v>2683</v>
      </c>
      <c r="H570" t="s">
        <v>3394</v>
      </c>
      <c r="I570">
        <v>4460</v>
      </c>
      <c r="J570" t="s">
        <v>2460</v>
      </c>
      <c r="K570">
        <v>4266</v>
      </c>
      <c r="L570" t="s">
        <v>2460</v>
      </c>
      <c r="M570">
        <v>4070</v>
      </c>
      <c r="N570" t="s">
        <v>2460</v>
      </c>
      <c r="O570">
        <v>3918</v>
      </c>
      <c r="P570" t="s">
        <v>2460</v>
      </c>
      <c r="Q570">
        <v>3984</v>
      </c>
      <c r="R570" t="s">
        <v>2460</v>
      </c>
      <c r="S570" t="s">
        <v>988</v>
      </c>
    </row>
    <row r="571" spans="1:19" hidden="1" x14ac:dyDescent="0.3">
      <c r="A571">
        <v>1570</v>
      </c>
      <c r="B571" t="s">
        <v>1697</v>
      </c>
      <c r="C571" t="s">
        <v>2877</v>
      </c>
      <c r="D571" t="s">
        <v>159</v>
      </c>
      <c r="E571" t="s">
        <v>159</v>
      </c>
      <c r="F571">
        <v>6877</v>
      </c>
      <c r="G571" t="s">
        <v>2683</v>
      </c>
      <c r="H571" t="s">
        <v>2460</v>
      </c>
      <c r="I571">
        <v>2912.37456965</v>
      </c>
      <c r="J571" t="s">
        <v>2460</v>
      </c>
      <c r="K571">
        <v>2912.37456965</v>
      </c>
      <c r="L571" t="s">
        <v>2460</v>
      </c>
      <c r="M571">
        <v>2912.37456965</v>
      </c>
      <c r="N571" t="s">
        <v>2460</v>
      </c>
      <c r="O571">
        <v>2912.37456965</v>
      </c>
      <c r="P571" t="s">
        <v>2460</v>
      </c>
      <c r="R571" t="s">
        <v>2460</v>
      </c>
      <c r="S571" t="s">
        <v>988</v>
      </c>
    </row>
    <row r="572" spans="1:19" hidden="1" x14ac:dyDescent="0.3">
      <c r="A572">
        <v>1587</v>
      </c>
      <c r="B572" t="s">
        <v>1699</v>
      </c>
      <c r="C572" t="s">
        <v>2877</v>
      </c>
      <c r="D572" t="s">
        <v>159</v>
      </c>
      <c r="E572" t="s">
        <v>159</v>
      </c>
      <c r="F572">
        <v>7799</v>
      </c>
      <c r="G572" t="s">
        <v>2679</v>
      </c>
      <c r="H572" t="s">
        <v>3395</v>
      </c>
      <c r="I572">
        <v>147.3066168</v>
      </c>
      <c r="J572" t="s">
        <v>2460</v>
      </c>
      <c r="K572">
        <v>147.3066168</v>
      </c>
      <c r="L572" t="s">
        <v>2460</v>
      </c>
      <c r="M572">
        <v>147.3066168</v>
      </c>
      <c r="N572" t="s">
        <v>2460</v>
      </c>
      <c r="O572">
        <v>147.3066168</v>
      </c>
      <c r="P572" t="s">
        <v>2460</v>
      </c>
      <c r="Q572">
        <v>147.3066168</v>
      </c>
      <c r="R572" t="s">
        <v>2460</v>
      </c>
      <c r="S572" t="s">
        <v>988</v>
      </c>
    </row>
    <row r="573" spans="1:19" hidden="1" x14ac:dyDescent="0.3">
      <c r="A573">
        <v>1587</v>
      </c>
      <c r="B573" t="s">
        <v>1699</v>
      </c>
      <c r="C573" t="s">
        <v>2877</v>
      </c>
      <c r="D573" t="s">
        <v>159</v>
      </c>
      <c r="E573" t="s">
        <v>159</v>
      </c>
      <c r="F573">
        <v>7799</v>
      </c>
      <c r="G573" t="s">
        <v>2683</v>
      </c>
      <c r="H573" t="s">
        <v>3396</v>
      </c>
      <c r="I573">
        <v>5002.2871955000001</v>
      </c>
      <c r="J573" t="s">
        <v>2460</v>
      </c>
      <c r="K573">
        <v>5002.2871955000001</v>
      </c>
      <c r="L573" t="s">
        <v>2460</v>
      </c>
      <c r="M573">
        <v>5002.2871955000001</v>
      </c>
      <c r="N573" t="s">
        <v>2460</v>
      </c>
      <c r="O573">
        <v>5002.2871955000001</v>
      </c>
      <c r="P573" t="s">
        <v>2460</v>
      </c>
      <c r="Q573">
        <v>5002.2871955000001</v>
      </c>
      <c r="R573" t="s">
        <v>2460</v>
      </c>
      <c r="S573" t="s">
        <v>988</v>
      </c>
    </row>
    <row r="574" spans="1:19" hidden="1" x14ac:dyDescent="0.3">
      <c r="A574">
        <v>1587</v>
      </c>
      <c r="B574" t="s">
        <v>1699</v>
      </c>
      <c r="C574" t="s">
        <v>2877</v>
      </c>
      <c r="D574" t="s">
        <v>159</v>
      </c>
      <c r="E574" t="s">
        <v>159</v>
      </c>
      <c r="F574">
        <v>7799</v>
      </c>
      <c r="G574" t="s">
        <v>2679</v>
      </c>
      <c r="H574" t="s">
        <v>3397</v>
      </c>
      <c r="I574">
        <v>0</v>
      </c>
      <c r="J574" t="s">
        <v>2460</v>
      </c>
      <c r="K574">
        <v>220.95992519999999</v>
      </c>
      <c r="L574" t="s">
        <v>2460</v>
      </c>
      <c r="M574">
        <v>220.95992519999999</v>
      </c>
      <c r="N574" t="s">
        <v>2460</v>
      </c>
      <c r="O574">
        <v>220.95992519999999</v>
      </c>
      <c r="P574" t="s">
        <v>2460</v>
      </c>
      <c r="Q574">
        <v>220.95992519999999</v>
      </c>
      <c r="R574" t="s">
        <v>2460</v>
      </c>
      <c r="S574" t="s">
        <v>988</v>
      </c>
    </row>
    <row r="575" spans="1:19" hidden="1" x14ac:dyDescent="0.3">
      <c r="A575">
        <v>1589</v>
      </c>
      <c r="B575" t="s">
        <v>1703</v>
      </c>
      <c r="C575" t="s">
        <v>2877</v>
      </c>
      <c r="D575" t="s">
        <v>1203</v>
      </c>
      <c r="E575" t="s">
        <v>1204</v>
      </c>
      <c r="F575">
        <v>5456</v>
      </c>
      <c r="G575" t="s">
        <v>2681</v>
      </c>
      <c r="H575" t="s">
        <v>3398</v>
      </c>
      <c r="I575">
        <v>24418</v>
      </c>
      <c r="J575" t="s">
        <v>2460</v>
      </c>
      <c r="K575">
        <v>26691</v>
      </c>
      <c r="L575" t="s">
        <v>2460</v>
      </c>
      <c r="M575">
        <v>24935</v>
      </c>
      <c r="N575" t="s">
        <v>2460</v>
      </c>
      <c r="O575">
        <v>27765</v>
      </c>
      <c r="P575" t="s">
        <v>2460</v>
      </c>
      <c r="R575" t="s">
        <v>2460</v>
      </c>
      <c r="S575" t="s">
        <v>988</v>
      </c>
    </row>
    <row r="576" spans="1:19" hidden="1" x14ac:dyDescent="0.3">
      <c r="A576">
        <v>1589</v>
      </c>
      <c r="B576" t="s">
        <v>1703</v>
      </c>
      <c r="C576" t="s">
        <v>2877</v>
      </c>
      <c r="D576" t="s">
        <v>1203</v>
      </c>
      <c r="E576" t="s">
        <v>1204</v>
      </c>
      <c r="F576">
        <v>5456</v>
      </c>
      <c r="G576" t="s">
        <v>784</v>
      </c>
      <c r="H576" t="s">
        <v>3399</v>
      </c>
      <c r="I576">
        <v>0</v>
      </c>
      <c r="J576" t="s">
        <v>2460</v>
      </c>
      <c r="K576">
        <v>0</v>
      </c>
      <c r="L576" t="s">
        <v>2460</v>
      </c>
      <c r="M576">
        <v>4000</v>
      </c>
      <c r="N576" t="s">
        <v>2460</v>
      </c>
      <c r="O576">
        <v>4000</v>
      </c>
      <c r="P576" t="s">
        <v>2460</v>
      </c>
      <c r="R576" t="s">
        <v>2460</v>
      </c>
      <c r="S576" t="s">
        <v>988</v>
      </c>
    </row>
    <row r="577" spans="1:19" hidden="1" x14ac:dyDescent="0.3">
      <c r="A577">
        <v>1589</v>
      </c>
      <c r="B577" t="s">
        <v>1703</v>
      </c>
      <c r="C577" t="s">
        <v>2877</v>
      </c>
      <c r="D577" t="s">
        <v>1203</v>
      </c>
      <c r="E577" t="s">
        <v>1204</v>
      </c>
      <c r="F577">
        <v>5456</v>
      </c>
      <c r="G577" t="s">
        <v>2698</v>
      </c>
      <c r="H577" t="s">
        <v>3400</v>
      </c>
      <c r="I577">
        <v>0</v>
      </c>
      <c r="J577" t="s">
        <v>2460</v>
      </c>
      <c r="K577">
        <v>60</v>
      </c>
      <c r="L577" t="s">
        <v>2460</v>
      </c>
      <c r="M577">
        <v>60</v>
      </c>
      <c r="N577" t="s">
        <v>2460</v>
      </c>
      <c r="O577">
        <v>60</v>
      </c>
      <c r="P577" t="s">
        <v>2460</v>
      </c>
      <c r="R577" t="s">
        <v>2460</v>
      </c>
      <c r="S577" t="s">
        <v>988</v>
      </c>
    </row>
    <row r="578" spans="1:19" hidden="1" x14ac:dyDescent="0.3">
      <c r="A578">
        <v>1596</v>
      </c>
      <c r="B578" t="s">
        <v>1704</v>
      </c>
      <c r="C578" t="s">
        <v>2877</v>
      </c>
      <c r="D578" t="s">
        <v>1203</v>
      </c>
      <c r="E578" t="s">
        <v>1204</v>
      </c>
      <c r="F578">
        <v>5615</v>
      </c>
      <c r="G578" t="s">
        <v>2679</v>
      </c>
      <c r="H578" t="s">
        <v>3256</v>
      </c>
      <c r="I578">
        <v>1100</v>
      </c>
      <c r="J578" t="s">
        <v>2460</v>
      </c>
      <c r="K578">
        <v>1100</v>
      </c>
      <c r="L578" t="s">
        <v>2460</v>
      </c>
      <c r="M578">
        <v>1100</v>
      </c>
      <c r="N578" t="s">
        <v>2460</v>
      </c>
      <c r="O578">
        <v>1100</v>
      </c>
      <c r="P578" t="s">
        <v>2460</v>
      </c>
      <c r="Q578">
        <v>1100</v>
      </c>
      <c r="R578" t="s">
        <v>2460</v>
      </c>
      <c r="S578" t="s">
        <v>988</v>
      </c>
    </row>
    <row r="579" spans="1:19" hidden="1" x14ac:dyDescent="0.3">
      <c r="A579">
        <v>1596</v>
      </c>
      <c r="B579" t="s">
        <v>1704</v>
      </c>
      <c r="C579" t="s">
        <v>2877</v>
      </c>
      <c r="D579" t="s">
        <v>1203</v>
      </c>
      <c r="E579" t="s">
        <v>1204</v>
      </c>
      <c r="F579">
        <v>5615</v>
      </c>
      <c r="G579" t="s">
        <v>2681</v>
      </c>
      <c r="H579" t="s">
        <v>2893</v>
      </c>
      <c r="I579">
        <v>16354</v>
      </c>
      <c r="J579" t="s">
        <v>2460</v>
      </c>
      <c r="K579">
        <v>18009</v>
      </c>
      <c r="L579" t="s">
        <v>2460</v>
      </c>
      <c r="M579">
        <v>19001</v>
      </c>
      <c r="N579" t="s">
        <v>2460</v>
      </c>
      <c r="O579">
        <v>19376</v>
      </c>
      <c r="P579" t="s">
        <v>2460</v>
      </c>
      <c r="Q579">
        <v>19751</v>
      </c>
      <c r="R579" t="s">
        <v>2460</v>
      </c>
      <c r="S579" t="s">
        <v>988</v>
      </c>
    </row>
    <row r="580" spans="1:19" hidden="1" x14ac:dyDescent="0.3">
      <c r="A580">
        <v>1605</v>
      </c>
      <c r="B580" t="s">
        <v>1706</v>
      </c>
      <c r="C580" t="s">
        <v>2877</v>
      </c>
      <c r="D580" t="s">
        <v>1203</v>
      </c>
      <c r="E580" t="s">
        <v>1204</v>
      </c>
      <c r="F580">
        <v>6395</v>
      </c>
      <c r="G580" t="s">
        <v>2683</v>
      </c>
      <c r="H580" t="s">
        <v>3401</v>
      </c>
      <c r="I580">
        <v>3203.9189154000001</v>
      </c>
      <c r="J580" t="s">
        <v>3402</v>
      </c>
      <c r="K580">
        <v>3182.43670045</v>
      </c>
      <c r="L580" t="s">
        <v>3402</v>
      </c>
      <c r="M580">
        <v>3225.4011303500001</v>
      </c>
      <c r="N580" t="s">
        <v>3402</v>
      </c>
      <c r="O580">
        <v>3237.6766817500002</v>
      </c>
      <c r="P580" t="s">
        <v>3402</v>
      </c>
      <c r="Q580">
        <v>3280.6411116499999</v>
      </c>
      <c r="R580" t="s">
        <v>3402</v>
      </c>
      <c r="S580" t="s">
        <v>988</v>
      </c>
    </row>
    <row r="581" spans="1:19" hidden="1" x14ac:dyDescent="0.3">
      <c r="A581">
        <v>1613</v>
      </c>
      <c r="B581" t="s">
        <v>1707</v>
      </c>
      <c r="C581" t="s">
        <v>2877</v>
      </c>
      <c r="D581" t="s">
        <v>1203</v>
      </c>
      <c r="E581" t="s">
        <v>1204</v>
      </c>
      <c r="F581">
        <v>5704</v>
      </c>
      <c r="G581" t="s">
        <v>2683</v>
      </c>
      <c r="H581" t="s">
        <v>3403</v>
      </c>
      <c r="I581">
        <v>3529.2210275000002</v>
      </c>
      <c r="J581" t="s">
        <v>2460</v>
      </c>
      <c r="K581">
        <v>3529.2210275000002</v>
      </c>
      <c r="L581" t="s">
        <v>2460</v>
      </c>
      <c r="M581">
        <v>3529.2210275000002</v>
      </c>
      <c r="N581" t="s">
        <v>2460</v>
      </c>
      <c r="O581">
        <v>3529.2210275000002</v>
      </c>
      <c r="P581" t="s">
        <v>2460</v>
      </c>
      <c r="Q581">
        <v>3529.2210275000002</v>
      </c>
      <c r="R581" t="s">
        <v>2460</v>
      </c>
      <c r="S581" t="s">
        <v>988</v>
      </c>
    </row>
    <row r="582" spans="1:19" hidden="1" x14ac:dyDescent="0.3">
      <c r="A582">
        <v>1619</v>
      </c>
      <c r="B582" t="s">
        <v>1713</v>
      </c>
      <c r="C582" t="s">
        <v>2877</v>
      </c>
      <c r="D582" t="s">
        <v>1203</v>
      </c>
      <c r="E582" t="s">
        <v>1204</v>
      </c>
      <c r="F582">
        <v>5467</v>
      </c>
      <c r="G582" t="s">
        <v>687</v>
      </c>
      <c r="H582" t="s">
        <v>3404</v>
      </c>
      <c r="I582">
        <v>214.82214949999999</v>
      </c>
      <c r="J582" t="s">
        <v>2460</v>
      </c>
      <c r="K582">
        <v>306.88878499999998</v>
      </c>
      <c r="L582" t="s">
        <v>2460</v>
      </c>
      <c r="M582">
        <v>368.26654200000002</v>
      </c>
      <c r="N582" t="s">
        <v>2460</v>
      </c>
      <c r="O582">
        <v>398.9554205</v>
      </c>
      <c r="P582" t="s">
        <v>2460</v>
      </c>
      <c r="Q582">
        <v>398.9554205</v>
      </c>
      <c r="R582" t="s">
        <v>2460</v>
      </c>
      <c r="S582" t="s">
        <v>988</v>
      </c>
    </row>
    <row r="583" spans="1:19" hidden="1" x14ac:dyDescent="0.3">
      <c r="A583">
        <v>1619</v>
      </c>
      <c r="B583" t="s">
        <v>1713</v>
      </c>
      <c r="C583" t="s">
        <v>2877</v>
      </c>
      <c r="D583" t="s">
        <v>1203</v>
      </c>
      <c r="E583" t="s">
        <v>1204</v>
      </c>
      <c r="F583">
        <v>5467</v>
      </c>
      <c r="G583" t="s">
        <v>2679</v>
      </c>
      <c r="H583" t="s">
        <v>3405</v>
      </c>
      <c r="I583">
        <v>1227.5551399999999</v>
      </c>
      <c r="J583" t="s">
        <v>2460</v>
      </c>
      <c r="K583">
        <v>1227.5551399999999</v>
      </c>
      <c r="L583" t="s">
        <v>2460</v>
      </c>
      <c r="M583">
        <v>1227.5551399999999</v>
      </c>
      <c r="N583" t="s">
        <v>2460</v>
      </c>
      <c r="O583">
        <v>1227.5551399999999</v>
      </c>
      <c r="P583" t="s">
        <v>2460</v>
      </c>
      <c r="Q583">
        <v>1227.5551399999999</v>
      </c>
      <c r="R583" t="s">
        <v>2460</v>
      </c>
      <c r="S583" t="s">
        <v>988</v>
      </c>
    </row>
    <row r="584" spans="1:19" hidden="1" x14ac:dyDescent="0.3">
      <c r="A584">
        <v>1619</v>
      </c>
      <c r="B584" t="s">
        <v>1713</v>
      </c>
      <c r="C584" t="s">
        <v>2877</v>
      </c>
      <c r="D584" t="s">
        <v>1203</v>
      </c>
      <c r="E584" t="s">
        <v>1204</v>
      </c>
      <c r="F584">
        <v>5467</v>
      </c>
      <c r="G584" t="s">
        <v>2683</v>
      </c>
      <c r="H584" t="s">
        <v>3078</v>
      </c>
      <c r="I584">
        <v>4434.5429432499996</v>
      </c>
      <c r="J584" t="s">
        <v>2460</v>
      </c>
      <c r="K584">
        <v>4618.6762142500002</v>
      </c>
      <c r="L584" t="s">
        <v>2460</v>
      </c>
      <c r="M584">
        <v>4713.8117376</v>
      </c>
      <c r="N584" t="s">
        <v>2460</v>
      </c>
      <c r="O584">
        <v>4867.2561300999996</v>
      </c>
      <c r="P584" t="s">
        <v>2460</v>
      </c>
      <c r="Q584">
        <v>5023.7694104499997</v>
      </c>
      <c r="R584" t="s">
        <v>2460</v>
      </c>
      <c r="S584" t="s">
        <v>988</v>
      </c>
    </row>
    <row r="585" spans="1:19" hidden="1" x14ac:dyDescent="0.3">
      <c r="A585">
        <v>1619</v>
      </c>
      <c r="B585" t="s">
        <v>1713</v>
      </c>
      <c r="C585" t="s">
        <v>2877</v>
      </c>
      <c r="D585" t="s">
        <v>1203</v>
      </c>
      <c r="E585" t="s">
        <v>1204</v>
      </c>
      <c r="F585">
        <v>5467</v>
      </c>
      <c r="G585" t="s">
        <v>2683</v>
      </c>
      <c r="H585" t="s">
        <v>1909</v>
      </c>
      <c r="I585">
        <v>7396.0197184999997</v>
      </c>
      <c r="J585" t="s">
        <v>2460</v>
      </c>
      <c r="K585">
        <v>7580.1529895000003</v>
      </c>
      <c r="L585" t="s">
        <v>2460</v>
      </c>
      <c r="M585">
        <v>7887.0417745000004</v>
      </c>
      <c r="N585" t="s">
        <v>2460</v>
      </c>
      <c r="O585">
        <v>8163.2416810000004</v>
      </c>
      <c r="P585" t="s">
        <v>2460</v>
      </c>
      <c r="Q585">
        <v>8439.4415874999995</v>
      </c>
      <c r="R585" t="s">
        <v>2460</v>
      </c>
      <c r="S585" t="s">
        <v>988</v>
      </c>
    </row>
    <row r="586" spans="1:19" hidden="1" x14ac:dyDescent="0.3">
      <c r="A586">
        <v>1626</v>
      </c>
      <c r="B586" t="s">
        <v>1716</v>
      </c>
      <c r="C586" t="s">
        <v>2877</v>
      </c>
      <c r="D586" t="s">
        <v>1203</v>
      </c>
      <c r="E586" t="s">
        <v>1204</v>
      </c>
      <c r="F586">
        <v>5700</v>
      </c>
      <c r="G586" t="s">
        <v>2681</v>
      </c>
      <c r="H586" t="s">
        <v>3406</v>
      </c>
      <c r="I586">
        <v>8996</v>
      </c>
      <c r="J586" t="s">
        <v>2460</v>
      </c>
      <c r="K586">
        <v>9754</v>
      </c>
      <c r="L586" t="s">
        <v>2460</v>
      </c>
      <c r="M586">
        <v>10513</v>
      </c>
      <c r="N586" t="s">
        <v>2460</v>
      </c>
      <c r="O586">
        <v>11504</v>
      </c>
      <c r="P586" t="s">
        <v>2460</v>
      </c>
      <c r="Q586">
        <v>12494</v>
      </c>
      <c r="R586" t="s">
        <v>2460</v>
      </c>
      <c r="S586" t="s">
        <v>988</v>
      </c>
    </row>
    <row r="587" spans="1:19" hidden="1" x14ac:dyDescent="0.3">
      <c r="A587">
        <v>1626</v>
      </c>
      <c r="B587" t="s">
        <v>1716</v>
      </c>
      <c r="C587" t="s">
        <v>2877</v>
      </c>
      <c r="D587" t="s">
        <v>1203</v>
      </c>
      <c r="E587" t="s">
        <v>1204</v>
      </c>
      <c r="F587">
        <v>5700</v>
      </c>
      <c r="G587" t="s">
        <v>2679</v>
      </c>
      <c r="H587" t="s">
        <v>2460</v>
      </c>
      <c r="I587">
        <v>0</v>
      </c>
      <c r="J587" t="s">
        <v>2460</v>
      </c>
      <c r="K587">
        <v>1120</v>
      </c>
      <c r="L587" t="s">
        <v>2460</v>
      </c>
      <c r="M587">
        <v>2200</v>
      </c>
      <c r="N587" t="s">
        <v>2460</v>
      </c>
      <c r="O587">
        <v>3600</v>
      </c>
      <c r="P587" t="s">
        <v>2460</v>
      </c>
      <c r="Q587">
        <v>5000</v>
      </c>
      <c r="R587" t="s">
        <v>2460</v>
      </c>
      <c r="S587" t="s">
        <v>988</v>
      </c>
    </row>
    <row r="588" spans="1:19" hidden="1" x14ac:dyDescent="0.3">
      <c r="A588">
        <v>1631</v>
      </c>
      <c r="B588" t="s">
        <v>1717</v>
      </c>
      <c r="C588" t="s">
        <v>2877</v>
      </c>
      <c r="D588" t="s">
        <v>159</v>
      </c>
      <c r="E588" t="s">
        <v>159</v>
      </c>
      <c r="F588">
        <v>6740</v>
      </c>
      <c r="G588" t="s">
        <v>2681</v>
      </c>
      <c r="H588" t="s">
        <v>2460</v>
      </c>
      <c r="I588">
        <v>24466</v>
      </c>
      <c r="J588" t="s">
        <v>3407</v>
      </c>
      <c r="K588">
        <v>23489</v>
      </c>
      <c r="L588" t="s">
        <v>3407</v>
      </c>
      <c r="M588">
        <v>22511</v>
      </c>
      <c r="N588" t="s">
        <v>3407</v>
      </c>
      <c r="O588">
        <v>21533</v>
      </c>
      <c r="P588" t="s">
        <v>3407</v>
      </c>
      <c r="Q588">
        <v>20556</v>
      </c>
      <c r="R588" t="s">
        <v>3407</v>
      </c>
      <c r="S588" t="s">
        <v>988</v>
      </c>
    </row>
    <row r="589" spans="1:19" hidden="1" x14ac:dyDescent="0.3">
      <c r="A589">
        <v>1631</v>
      </c>
      <c r="B589" t="s">
        <v>1717</v>
      </c>
      <c r="C589" t="s">
        <v>2877</v>
      </c>
      <c r="D589" t="s">
        <v>159</v>
      </c>
      <c r="E589" t="s">
        <v>159</v>
      </c>
      <c r="F589">
        <v>6740</v>
      </c>
      <c r="G589" t="s">
        <v>2683</v>
      </c>
      <c r="H589" t="s">
        <v>3408</v>
      </c>
      <c r="I589">
        <v>39200</v>
      </c>
      <c r="J589" t="s">
        <v>2460</v>
      </c>
      <c r="K589">
        <v>44800</v>
      </c>
      <c r="L589" t="s">
        <v>2460</v>
      </c>
      <c r="M589">
        <v>50400</v>
      </c>
      <c r="N589" t="s">
        <v>2460</v>
      </c>
      <c r="O589">
        <v>56000</v>
      </c>
      <c r="P589" t="s">
        <v>2460</v>
      </c>
      <c r="Q589">
        <v>61600</v>
      </c>
      <c r="R589" t="s">
        <v>2460</v>
      </c>
      <c r="S589" t="s">
        <v>988</v>
      </c>
    </row>
    <row r="590" spans="1:19" hidden="1" x14ac:dyDescent="0.3">
      <c r="A590">
        <v>1639</v>
      </c>
      <c r="B590" t="s">
        <v>1719</v>
      </c>
      <c r="C590" t="s">
        <v>2877</v>
      </c>
      <c r="D590" t="s">
        <v>1203</v>
      </c>
      <c r="E590" t="s">
        <v>1204</v>
      </c>
      <c r="F590">
        <v>5507</v>
      </c>
      <c r="G590" t="s">
        <v>2681</v>
      </c>
      <c r="H590" t="s">
        <v>2888</v>
      </c>
      <c r="I590">
        <v>7469</v>
      </c>
      <c r="J590" t="s">
        <v>2460</v>
      </c>
      <c r="K590">
        <v>7855</v>
      </c>
      <c r="L590" t="s">
        <v>2460</v>
      </c>
      <c r="M590">
        <v>7995</v>
      </c>
      <c r="N590" t="s">
        <v>2460</v>
      </c>
      <c r="O590">
        <v>8137</v>
      </c>
      <c r="P590" t="s">
        <v>2460</v>
      </c>
      <c r="Q590">
        <v>8282</v>
      </c>
      <c r="R590" t="s">
        <v>2460</v>
      </c>
      <c r="S590" t="s">
        <v>988</v>
      </c>
    </row>
    <row r="591" spans="1:19" hidden="1" x14ac:dyDescent="0.3">
      <c r="A591">
        <v>1642</v>
      </c>
      <c r="B591" t="s">
        <v>1720</v>
      </c>
      <c r="C591" t="s">
        <v>2877</v>
      </c>
      <c r="D591" t="s">
        <v>1203</v>
      </c>
      <c r="E591" t="s">
        <v>1204</v>
      </c>
      <c r="F591">
        <v>5531</v>
      </c>
      <c r="G591" t="s">
        <v>2681</v>
      </c>
      <c r="H591" t="s">
        <v>3137</v>
      </c>
      <c r="I591">
        <v>7461</v>
      </c>
      <c r="J591" t="s">
        <v>2460</v>
      </c>
      <c r="K591">
        <v>7793</v>
      </c>
      <c r="L591" t="s">
        <v>2460</v>
      </c>
      <c r="M591">
        <v>8404</v>
      </c>
      <c r="N591" t="s">
        <v>2460</v>
      </c>
      <c r="O591">
        <v>8666</v>
      </c>
      <c r="P591" t="s">
        <v>2460</v>
      </c>
      <c r="Q591">
        <v>8935</v>
      </c>
      <c r="R591" t="s">
        <v>2460</v>
      </c>
      <c r="S591" t="s">
        <v>988</v>
      </c>
    </row>
    <row r="592" spans="1:19" hidden="1" x14ac:dyDescent="0.3">
      <c r="A592">
        <v>1642</v>
      </c>
      <c r="B592" t="s">
        <v>1720</v>
      </c>
      <c r="C592" t="s">
        <v>2877</v>
      </c>
      <c r="D592" t="s">
        <v>1203</v>
      </c>
      <c r="E592" t="s">
        <v>1204</v>
      </c>
      <c r="F592">
        <v>5531</v>
      </c>
      <c r="G592" t="s">
        <v>2679</v>
      </c>
      <c r="H592" t="s">
        <v>2460</v>
      </c>
      <c r="I592">
        <v>1100</v>
      </c>
      <c r="J592" t="s">
        <v>2460</v>
      </c>
      <c r="K592">
        <v>1100</v>
      </c>
      <c r="L592" t="s">
        <v>2460</v>
      </c>
      <c r="M592">
        <v>1100</v>
      </c>
      <c r="N592" t="s">
        <v>2460</v>
      </c>
      <c r="O592">
        <v>1100</v>
      </c>
      <c r="P592" t="s">
        <v>2460</v>
      </c>
      <c r="Q592">
        <v>1100</v>
      </c>
      <c r="R592" t="s">
        <v>2460</v>
      </c>
      <c r="S592" t="s">
        <v>988</v>
      </c>
    </row>
    <row r="593" spans="1:19" hidden="1" x14ac:dyDescent="0.3">
      <c r="A593">
        <v>1642</v>
      </c>
      <c r="B593" t="s">
        <v>1720</v>
      </c>
      <c r="C593" t="s">
        <v>2877</v>
      </c>
      <c r="D593" t="s">
        <v>1203</v>
      </c>
      <c r="E593" t="s">
        <v>1204</v>
      </c>
      <c r="F593">
        <v>5531</v>
      </c>
      <c r="G593" t="s">
        <v>2683</v>
      </c>
      <c r="H593" t="s">
        <v>3409</v>
      </c>
      <c r="I593">
        <v>2000</v>
      </c>
      <c r="J593" t="s">
        <v>2460</v>
      </c>
      <c r="K593">
        <v>2000</v>
      </c>
      <c r="L593" t="s">
        <v>2460</v>
      </c>
      <c r="M593">
        <v>2000</v>
      </c>
      <c r="N593" t="s">
        <v>2460</v>
      </c>
      <c r="O593">
        <v>2000</v>
      </c>
      <c r="P593" t="s">
        <v>2460</v>
      </c>
      <c r="Q593">
        <v>2000</v>
      </c>
      <c r="R593" t="s">
        <v>2460</v>
      </c>
      <c r="S593" t="s">
        <v>988</v>
      </c>
    </row>
    <row r="594" spans="1:19" hidden="1" x14ac:dyDescent="0.3">
      <c r="A594">
        <v>1642</v>
      </c>
      <c r="B594" t="s">
        <v>1720</v>
      </c>
      <c r="C594" t="s">
        <v>2877</v>
      </c>
      <c r="D594" t="s">
        <v>1203</v>
      </c>
      <c r="E594" t="s">
        <v>1204</v>
      </c>
      <c r="F594">
        <v>5531</v>
      </c>
      <c r="G594" t="s">
        <v>2683</v>
      </c>
      <c r="H594" t="s">
        <v>2194</v>
      </c>
      <c r="I594">
        <v>671</v>
      </c>
      <c r="J594" t="s">
        <v>2460</v>
      </c>
      <c r="K594">
        <v>671</v>
      </c>
      <c r="L594" t="s">
        <v>2460</v>
      </c>
      <c r="M594">
        <v>671</v>
      </c>
      <c r="N594" t="s">
        <v>2460</v>
      </c>
      <c r="O594">
        <v>671</v>
      </c>
      <c r="P594" t="s">
        <v>2460</v>
      </c>
      <c r="Q594">
        <v>671</v>
      </c>
      <c r="R594" t="s">
        <v>2460</v>
      </c>
      <c r="S594" t="s">
        <v>988</v>
      </c>
    </row>
    <row r="595" spans="1:19" hidden="1" x14ac:dyDescent="0.3">
      <c r="A595">
        <v>1642</v>
      </c>
      <c r="B595" t="s">
        <v>1720</v>
      </c>
      <c r="C595" t="s">
        <v>2877</v>
      </c>
      <c r="D595" t="s">
        <v>1203</v>
      </c>
      <c r="E595" t="s">
        <v>1204</v>
      </c>
      <c r="F595">
        <v>5531</v>
      </c>
      <c r="G595" t="s">
        <v>2683</v>
      </c>
      <c r="H595" t="s">
        <v>3410</v>
      </c>
      <c r="I595">
        <v>3000</v>
      </c>
      <c r="J595" t="s">
        <v>2460</v>
      </c>
      <c r="K595">
        <v>3000</v>
      </c>
      <c r="L595" t="s">
        <v>2460</v>
      </c>
      <c r="M595">
        <v>3000</v>
      </c>
      <c r="N595" t="s">
        <v>2460</v>
      </c>
      <c r="O595">
        <v>3000</v>
      </c>
      <c r="P595" t="s">
        <v>2460</v>
      </c>
      <c r="Q595">
        <v>3000</v>
      </c>
      <c r="R595" t="s">
        <v>2460</v>
      </c>
      <c r="S595" t="s">
        <v>988</v>
      </c>
    </row>
    <row r="596" spans="1:19" hidden="1" x14ac:dyDescent="0.3">
      <c r="A596">
        <v>1644</v>
      </c>
      <c r="B596" t="s">
        <v>1721</v>
      </c>
      <c r="C596" t="s">
        <v>2877</v>
      </c>
      <c r="D596" t="s">
        <v>1203</v>
      </c>
      <c r="E596" t="s">
        <v>1204</v>
      </c>
      <c r="F596">
        <v>5943</v>
      </c>
      <c r="G596" t="s">
        <v>2681</v>
      </c>
      <c r="H596" t="s">
        <v>2956</v>
      </c>
      <c r="I596">
        <v>4379</v>
      </c>
      <c r="J596" t="s">
        <v>3411</v>
      </c>
      <c r="K596">
        <v>4379</v>
      </c>
      <c r="L596" t="s">
        <v>3411</v>
      </c>
      <c r="M596">
        <v>4379</v>
      </c>
      <c r="N596" t="s">
        <v>3411</v>
      </c>
      <c r="O596">
        <v>4379</v>
      </c>
      <c r="P596" t="s">
        <v>3411</v>
      </c>
      <c r="Q596">
        <v>4379</v>
      </c>
      <c r="R596" t="s">
        <v>3411</v>
      </c>
      <c r="S596" t="s">
        <v>988</v>
      </c>
    </row>
    <row r="597" spans="1:19" hidden="1" x14ac:dyDescent="0.3">
      <c r="A597">
        <v>1645</v>
      </c>
      <c r="B597" t="s">
        <v>1722</v>
      </c>
      <c r="C597" t="s">
        <v>2877</v>
      </c>
      <c r="D597" t="s">
        <v>159</v>
      </c>
      <c r="E597" t="s">
        <v>159</v>
      </c>
      <c r="F597">
        <v>7917</v>
      </c>
      <c r="G597" t="s">
        <v>2683</v>
      </c>
      <c r="H597" t="s">
        <v>3412</v>
      </c>
      <c r="I597">
        <v>1925.66</v>
      </c>
      <c r="J597" t="s">
        <v>2460</v>
      </c>
      <c r="K597">
        <v>1908</v>
      </c>
      <c r="L597" t="s">
        <v>2460</v>
      </c>
      <c r="M597">
        <v>1891</v>
      </c>
      <c r="N597" t="s">
        <v>2460</v>
      </c>
      <c r="O597">
        <v>1873.76</v>
      </c>
      <c r="P597" t="s">
        <v>2460</v>
      </c>
      <c r="R597" t="s">
        <v>2460</v>
      </c>
      <c r="S597" t="s">
        <v>988</v>
      </c>
    </row>
    <row r="598" spans="1:19" hidden="1" x14ac:dyDescent="0.3">
      <c r="A598">
        <v>1645</v>
      </c>
      <c r="B598" t="s">
        <v>1722</v>
      </c>
      <c r="C598" t="s">
        <v>2877</v>
      </c>
      <c r="D598" t="s">
        <v>159</v>
      </c>
      <c r="E598" t="s">
        <v>159</v>
      </c>
      <c r="F598">
        <v>7917</v>
      </c>
      <c r="G598" t="s">
        <v>2681</v>
      </c>
      <c r="H598" t="s">
        <v>3413</v>
      </c>
      <c r="I598">
        <v>278</v>
      </c>
      <c r="J598" t="s">
        <v>2460</v>
      </c>
      <c r="K598">
        <v>278</v>
      </c>
      <c r="L598" t="s">
        <v>2460</v>
      </c>
      <c r="M598">
        <v>278</v>
      </c>
      <c r="N598" t="s">
        <v>2460</v>
      </c>
      <c r="O598">
        <v>278</v>
      </c>
      <c r="P598" t="s">
        <v>2460</v>
      </c>
      <c r="R598" t="s">
        <v>2460</v>
      </c>
      <c r="S598" t="s">
        <v>988</v>
      </c>
    </row>
    <row r="599" spans="1:19" hidden="1" x14ac:dyDescent="0.3">
      <c r="A599">
        <v>1645</v>
      </c>
      <c r="B599" t="s">
        <v>1722</v>
      </c>
      <c r="C599" t="s">
        <v>2877</v>
      </c>
      <c r="D599" t="s">
        <v>159</v>
      </c>
      <c r="E599" t="s">
        <v>159</v>
      </c>
      <c r="F599">
        <v>7917</v>
      </c>
      <c r="G599" t="s">
        <v>2691</v>
      </c>
      <c r="H599" t="s">
        <v>3414</v>
      </c>
      <c r="I599">
        <v>1073</v>
      </c>
      <c r="J599" t="s">
        <v>2460</v>
      </c>
      <c r="K599">
        <v>1073</v>
      </c>
      <c r="L599" t="s">
        <v>2460</v>
      </c>
      <c r="M599">
        <v>1073</v>
      </c>
      <c r="N599" t="s">
        <v>2460</v>
      </c>
      <c r="O599">
        <v>1073</v>
      </c>
      <c r="P599" t="s">
        <v>2460</v>
      </c>
      <c r="R599" t="s">
        <v>2460</v>
      </c>
      <c r="S599" t="s">
        <v>988</v>
      </c>
    </row>
    <row r="600" spans="1:19" hidden="1" x14ac:dyDescent="0.3">
      <c r="A600">
        <v>1645</v>
      </c>
      <c r="B600" t="s">
        <v>1722</v>
      </c>
      <c r="C600" t="s">
        <v>2877</v>
      </c>
      <c r="D600" t="s">
        <v>159</v>
      </c>
      <c r="E600" t="s">
        <v>159</v>
      </c>
      <c r="F600">
        <v>7917</v>
      </c>
      <c r="G600" t="s">
        <v>2691</v>
      </c>
      <c r="H600" t="s">
        <v>3415</v>
      </c>
      <c r="I600">
        <v>400</v>
      </c>
      <c r="J600" t="s">
        <v>2460</v>
      </c>
      <c r="K600">
        <v>400</v>
      </c>
      <c r="L600" t="s">
        <v>2460</v>
      </c>
      <c r="M600">
        <v>400</v>
      </c>
      <c r="N600" t="s">
        <v>2460</v>
      </c>
      <c r="O600">
        <v>400</v>
      </c>
      <c r="P600" t="s">
        <v>2460</v>
      </c>
      <c r="R600" t="s">
        <v>2460</v>
      </c>
      <c r="S600" t="s">
        <v>988</v>
      </c>
    </row>
    <row r="601" spans="1:19" hidden="1" x14ac:dyDescent="0.3">
      <c r="A601">
        <v>1645</v>
      </c>
      <c r="B601" t="s">
        <v>1722</v>
      </c>
      <c r="C601" t="s">
        <v>2877</v>
      </c>
      <c r="D601" t="s">
        <v>159</v>
      </c>
      <c r="E601" t="s">
        <v>159</v>
      </c>
      <c r="F601">
        <v>7917</v>
      </c>
      <c r="G601" t="s">
        <v>2681</v>
      </c>
      <c r="H601" t="s">
        <v>3276</v>
      </c>
      <c r="I601">
        <v>250</v>
      </c>
      <c r="J601" t="s">
        <v>2460</v>
      </c>
      <c r="K601">
        <v>250</v>
      </c>
      <c r="L601" t="s">
        <v>2460</v>
      </c>
      <c r="M601">
        <v>250</v>
      </c>
      <c r="N601" t="s">
        <v>2460</v>
      </c>
      <c r="O601">
        <v>250</v>
      </c>
      <c r="P601" t="s">
        <v>2460</v>
      </c>
      <c r="R601" t="s">
        <v>2460</v>
      </c>
      <c r="S601" t="s">
        <v>988</v>
      </c>
    </row>
    <row r="602" spans="1:19" hidden="1" x14ac:dyDescent="0.3">
      <c r="A602">
        <v>1645</v>
      </c>
      <c r="B602" t="s">
        <v>1722</v>
      </c>
      <c r="C602" t="s">
        <v>2877</v>
      </c>
      <c r="D602" t="s">
        <v>159</v>
      </c>
      <c r="E602" t="s">
        <v>159</v>
      </c>
      <c r="F602">
        <v>7917</v>
      </c>
      <c r="G602" t="s">
        <v>2691</v>
      </c>
      <c r="H602" t="s">
        <v>3416</v>
      </c>
      <c r="I602">
        <v>1590.6</v>
      </c>
      <c r="J602" t="s">
        <v>2460</v>
      </c>
      <c r="K602">
        <v>1591</v>
      </c>
      <c r="L602" t="s">
        <v>2460</v>
      </c>
      <c r="M602">
        <v>1591</v>
      </c>
      <c r="N602" t="s">
        <v>2460</v>
      </c>
      <c r="O602">
        <v>1590.6</v>
      </c>
      <c r="P602" t="s">
        <v>2460</v>
      </c>
      <c r="R602" t="s">
        <v>2460</v>
      </c>
      <c r="S602" t="s">
        <v>988</v>
      </c>
    </row>
    <row r="603" spans="1:19" hidden="1" x14ac:dyDescent="0.3">
      <c r="A603">
        <v>1645</v>
      </c>
      <c r="B603" t="s">
        <v>1722</v>
      </c>
      <c r="C603" t="s">
        <v>2877</v>
      </c>
      <c r="D603" t="s">
        <v>159</v>
      </c>
      <c r="E603" t="s">
        <v>159</v>
      </c>
      <c r="F603">
        <v>7917</v>
      </c>
      <c r="G603" t="s">
        <v>2683</v>
      </c>
      <c r="H603" t="s">
        <v>3417</v>
      </c>
      <c r="I603">
        <v>1430</v>
      </c>
      <c r="J603" t="s">
        <v>2460</v>
      </c>
      <c r="K603">
        <v>1430</v>
      </c>
      <c r="L603" t="s">
        <v>2460</v>
      </c>
      <c r="M603">
        <v>1430</v>
      </c>
      <c r="N603" t="s">
        <v>2460</v>
      </c>
      <c r="O603">
        <v>1430</v>
      </c>
      <c r="P603" t="s">
        <v>2460</v>
      </c>
      <c r="R603" t="s">
        <v>2460</v>
      </c>
      <c r="S603" t="s">
        <v>988</v>
      </c>
    </row>
    <row r="604" spans="1:19" hidden="1" x14ac:dyDescent="0.3">
      <c r="A604">
        <v>1645</v>
      </c>
      <c r="B604" t="s">
        <v>1722</v>
      </c>
      <c r="C604" t="s">
        <v>2877</v>
      </c>
      <c r="D604" t="s">
        <v>159</v>
      </c>
      <c r="E604" t="s">
        <v>159</v>
      </c>
      <c r="F604">
        <v>7917</v>
      </c>
      <c r="G604" t="s">
        <v>2685</v>
      </c>
      <c r="H604" t="s">
        <v>3418</v>
      </c>
      <c r="I604">
        <v>1500</v>
      </c>
      <c r="J604" t="s">
        <v>2460</v>
      </c>
      <c r="K604">
        <v>1500</v>
      </c>
      <c r="L604" t="s">
        <v>2460</v>
      </c>
      <c r="M604">
        <v>1500</v>
      </c>
      <c r="N604" t="s">
        <v>2460</v>
      </c>
      <c r="O604">
        <v>1500</v>
      </c>
      <c r="P604" t="s">
        <v>2460</v>
      </c>
      <c r="R604" t="s">
        <v>2460</v>
      </c>
      <c r="S604" t="s">
        <v>988</v>
      </c>
    </row>
    <row r="605" spans="1:19" hidden="1" x14ac:dyDescent="0.3">
      <c r="A605">
        <v>1645</v>
      </c>
      <c r="B605" t="s">
        <v>1722</v>
      </c>
      <c r="C605" t="s">
        <v>2877</v>
      </c>
      <c r="D605" t="s">
        <v>159</v>
      </c>
      <c r="E605" t="s">
        <v>159</v>
      </c>
      <c r="F605">
        <v>7917</v>
      </c>
      <c r="G605" t="s">
        <v>2679</v>
      </c>
      <c r="H605" t="s">
        <v>3419</v>
      </c>
      <c r="I605">
        <v>0</v>
      </c>
      <c r="J605" t="s">
        <v>2460</v>
      </c>
      <c r="K605">
        <v>500</v>
      </c>
      <c r="L605" t="s">
        <v>2460</v>
      </c>
      <c r="M605">
        <v>500</v>
      </c>
      <c r="N605" t="s">
        <v>2460</v>
      </c>
      <c r="O605">
        <v>500</v>
      </c>
      <c r="P605" t="s">
        <v>2460</v>
      </c>
      <c r="R605" t="s">
        <v>2460</v>
      </c>
      <c r="S605" t="s">
        <v>988</v>
      </c>
    </row>
    <row r="606" spans="1:19" hidden="1" x14ac:dyDescent="0.3">
      <c r="A606">
        <v>1650</v>
      </c>
      <c r="B606" t="s">
        <v>1724</v>
      </c>
      <c r="C606" t="s">
        <v>2877</v>
      </c>
      <c r="D606" t="s">
        <v>1203</v>
      </c>
      <c r="E606" t="s">
        <v>1204</v>
      </c>
      <c r="F606">
        <v>5505</v>
      </c>
      <c r="G606" t="s">
        <v>2681</v>
      </c>
      <c r="H606" t="s">
        <v>2888</v>
      </c>
      <c r="I606">
        <v>8306</v>
      </c>
      <c r="J606" t="s">
        <v>2460</v>
      </c>
      <c r="K606">
        <v>8399</v>
      </c>
      <c r="L606" t="s">
        <v>2460</v>
      </c>
      <c r="M606">
        <v>8496</v>
      </c>
      <c r="N606" t="s">
        <v>2460</v>
      </c>
      <c r="O606">
        <v>8591</v>
      </c>
      <c r="P606" t="s">
        <v>2460</v>
      </c>
      <c r="Q606">
        <v>8689</v>
      </c>
      <c r="R606" t="s">
        <v>2460</v>
      </c>
      <c r="S606" t="s">
        <v>988</v>
      </c>
    </row>
    <row r="607" spans="1:19" hidden="1" x14ac:dyDescent="0.3">
      <c r="A607">
        <v>1650</v>
      </c>
      <c r="B607" t="s">
        <v>1724</v>
      </c>
      <c r="C607" t="s">
        <v>2877</v>
      </c>
      <c r="D607" t="s">
        <v>1203</v>
      </c>
      <c r="E607" t="s">
        <v>1204</v>
      </c>
      <c r="F607">
        <v>5505</v>
      </c>
      <c r="G607" t="s">
        <v>2683</v>
      </c>
      <c r="H607" t="s">
        <v>1914</v>
      </c>
      <c r="I607">
        <v>115</v>
      </c>
      <c r="J607" t="s">
        <v>2460</v>
      </c>
      <c r="K607">
        <v>115</v>
      </c>
      <c r="L607" t="s">
        <v>2460</v>
      </c>
      <c r="M607">
        <v>115</v>
      </c>
      <c r="N607" t="s">
        <v>2460</v>
      </c>
      <c r="O607">
        <v>115</v>
      </c>
      <c r="P607" t="s">
        <v>2460</v>
      </c>
      <c r="Q607">
        <v>115</v>
      </c>
      <c r="R607" t="s">
        <v>2460</v>
      </c>
      <c r="S607" t="s">
        <v>988</v>
      </c>
    </row>
    <row r="608" spans="1:19" hidden="1" x14ac:dyDescent="0.3">
      <c r="A608">
        <v>1656</v>
      </c>
      <c r="B608" t="s">
        <v>1725</v>
      </c>
      <c r="C608" t="s">
        <v>2877</v>
      </c>
      <c r="D608" t="s">
        <v>1203</v>
      </c>
      <c r="E608" t="s">
        <v>1204</v>
      </c>
      <c r="F608">
        <v>6765</v>
      </c>
      <c r="G608" t="s">
        <v>2681</v>
      </c>
      <c r="H608" t="s">
        <v>3420</v>
      </c>
      <c r="I608">
        <v>22500</v>
      </c>
      <c r="J608" t="s">
        <v>2460</v>
      </c>
      <c r="K608">
        <v>22500</v>
      </c>
      <c r="L608" t="s">
        <v>2460</v>
      </c>
      <c r="M608">
        <v>22500</v>
      </c>
      <c r="N608" t="s">
        <v>2460</v>
      </c>
      <c r="O608">
        <v>22500</v>
      </c>
      <c r="P608" t="s">
        <v>2460</v>
      </c>
      <c r="Q608">
        <v>22500</v>
      </c>
      <c r="R608" t="s">
        <v>2460</v>
      </c>
      <c r="S608" t="s">
        <v>988</v>
      </c>
    </row>
    <row r="609" spans="1:19" hidden="1" x14ac:dyDescent="0.3">
      <c r="A609">
        <v>1656</v>
      </c>
      <c r="B609" t="s">
        <v>1725</v>
      </c>
      <c r="C609" t="s">
        <v>2877</v>
      </c>
      <c r="D609" t="s">
        <v>1203</v>
      </c>
      <c r="E609" t="s">
        <v>1204</v>
      </c>
      <c r="F609">
        <v>6765</v>
      </c>
      <c r="G609" t="s">
        <v>2679</v>
      </c>
      <c r="H609" t="s">
        <v>3405</v>
      </c>
      <c r="I609">
        <v>0</v>
      </c>
      <c r="J609" t="s">
        <v>2460</v>
      </c>
      <c r="K609">
        <v>700</v>
      </c>
      <c r="L609" t="s">
        <v>2460</v>
      </c>
      <c r="M609">
        <v>1500</v>
      </c>
      <c r="N609" t="s">
        <v>2460</v>
      </c>
      <c r="O609">
        <v>2200</v>
      </c>
      <c r="P609" t="s">
        <v>2460</v>
      </c>
      <c r="Q609">
        <v>2900</v>
      </c>
      <c r="R609" t="s">
        <v>2460</v>
      </c>
      <c r="S609" t="s">
        <v>988</v>
      </c>
    </row>
    <row r="610" spans="1:19" hidden="1" x14ac:dyDescent="0.3">
      <c r="A610">
        <v>1656</v>
      </c>
      <c r="B610" t="s">
        <v>1725</v>
      </c>
      <c r="C610" t="s">
        <v>2877</v>
      </c>
      <c r="D610" t="s">
        <v>1203</v>
      </c>
      <c r="E610" t="s">
        <v>1204</v>
      </c>
      <c r="F610">
        <v>6765</v>
      </c>
      <c r="G610" t="s">
        <v>2681</v>
      </c>
      <c r="H610" t="s">
        <v>3421</v>
      </c>
      <c r="I610">
        <v>2300</v>
      </c>
      <c r="J610" t="s">
        <v>2460</v>
      </c>
      <c r="K610">
        <v>2300</v>
      </c>
      <c r="L610" t="s">
        <v>2460</v>
      </c>
      <c r="M610">
        <v>2300</v>
      </c>
      <c r="N610" t="s">
        <v>2460</v>
      </c>
      <c r="O610">
        <v>2300</v>
      </c>
      <c r="P610" t="s">
        <v>2460</v>
      </c>
      <c r="Q610">
        <v>2300</v>
      </c>
      <c r="R610" t="s">
        <v>2460</v>
      </c>
      <c r="S610" t="s">
        <v>988</v>
      </c>
    </row>
    <row r="611" spans="1:19" hidden="1" x14ac:dyDescent="0.3">
      <c r="A611">
        <v>1660</v>
      </c>
      <c r="B611" t="s">
        <v>1727</v>
      </c>
      <c r="C611" t="s">
        <v>2877</v>
      </c>
      <c r="D611" t="s">
        <v>1203</v>
      </c>
      <c r="E611" t="s">
        <v>1204</v>
      </c>
      <c r="F611">
        <v>5935</v>
      </c>
      <c r="G611" t="s">
        <v>2687</v>
      </c>
      <c r="H611" t="s">
        <v>3422</v>
      </c>
      <c r="I611">
        <v>407</v>
      </c>
      <c r="J611" t="s">
        <v>2460</v>
      </c>
      <c r="K611">
        <v>407</v>
      </c>
      <c r="L611" t="s">
        <v>2460</v>
      </c>
      <c r="M611">
        <v>407</v>
      </c>
      <c r="N611" t="s">
        <v>2460</v>
      </c>
      <c r="O611">
        <v>407</v>
      </c>
      <c r="P611" t="s">
        <v>2460</v>
      </c>
      <c r="Q611">
        <v>407</v>
      </c>
      <c r="R611" t="s">
        <v>2460</v>
      </c>
      <c r="S611" t="s">
        <v>988</v>
      </c>
    </row>
    <row r="612" spans="1:19" hidden="1" x14ac:dyDescent="0.3">
      <c r="A612">
        <v>1660</v>
      </c>
      <c r="B612" t="s">
        <v>1727</v>
      </c>
      <c r="C612" t="s">
        <v>2877</v>
      </c>
      <c r="D612" t="s">
        <v>1203</v>
      </c>
      <c r="E612" t="s">
        <v>1204</v>
      </c>
      <c r="F612">
        <v>5935</v>
      </c>
      <c r="G612" t="s">
        <v>2683</v>
      </c>
      <c r="H612" t="s">
        <v>3423</v>
      </c>
      <c r="I612">
        <v>1313</v>
      </c>
      <c r="J612" t="s">
        <v>2460</v>
      </c>
      <c r="K612">
        <v>1313</v>
      </c>
      <c r="L612" t="s">
        <v>2460</v>
      </c>
      <c r="M612">
        <v>1313</v>
      </c>
      <c r="N612" t="s">
        <v>2460</v>
      </c>
      <c r="O612">
        <v>1313</v>
      </c>
      <c r="P612" t="s">
        <v>2460</v>
      </c>
      <c r="Q612">
        <v>1313</v>
      </c>
      <c r="R612" t="s">
        <v>2460</v>
      </c>
      <c r="S612" t="s">
        <v>988</v>
      </c>
    </row>
    <row r="613" spans="1:19" hidden="1" x14ac:dyDescent="0.3">
      <c r="A613">
        <v>1663</v>
      </c>
      <c r="B613" t="s">
        <v>1728</v>
      </c>
      <c r="C613" t="s">
        <v>2877</v>
      </c>
      <c r="D613" t="s">
        <v>159</v>
      </c>
      <c r="E613" t="s">
        <v>159</v>
      </c>
      <c r="F613">
        <v>7831</v>
      </c>
      <c r="G613" t="s">
        <v>2683</v>
      </c>
      <c r="H613" t="s">
        <v>2460</v>
      </c>
      <c r="I613">
        <v>25695</v>
      </c>
      <c r="J613" t="s">
        <v>2460</v>
      </c>
      <c r="K613">
        <v>25436</v>
      </c>
      <c r="L613" t="s">
        <v>2460</v>
      </c>
      <c r="M613">
        <v>25286</v>
      </c>
      <c r="N613" t="s">
        <v>2460</v>
      </c>
      <c r="O613">
        <v>25161</v>
      </c>
      <c r="P613" t="s">
        <v>2460</v>
      </c>
      <c r="Q613">
        <v>24992</v>
      </c>
      <c r="R613" t="s">
        <v>2460</v>
      </c>
      <c r="S613" t="s">
        <v>988</v>
      </c>
    </row>
    <row r="614" spans="1:19" hidden="1" x14ac:dyDescent="0.3">
      <c r="A614">
        <v>1663</v>
      </c>
      <c r="B614" t="s">
        <v>1728</v>
      </c>
      <c r="C614" t="s">
        <v>2877</v>
      </c>
      <c r="D614" t="s">
        <v>159</v>
      </c>
      <c r="E614" t="s">
        <v>159</v>
      </c>
      <c r="F614">
        <v>7831</v>
      </c>
      <c r="G614" t="s">
        <v>2679</v>
      </c>
      <c r="H614" t="s">
        <v>2460</v>
      </c>
      <c r="I614">
        <v>6398</v>
      </c>
      <c r="J614" t="s">
        <v>2460</v>
      </c>
      <c r="K614">
        <v>6346</v>
      </c>
      <c r="L614" t="s">
        <v>2460</v>
      </c>
      <c r="M614">
        <v>6326</v>
      </c>
      <c r="N614" t="s">
        <v>2460</v>
      </c>
      <c r="O614">
        <v>6312</v>
      </c>
      <c r="P614" t="s">
        <v>2460</v>
      </c>
      <c r="Q614">
        <v>6288</v>
      </c>
      <c r="R614" t="s">
        <v>2460</v>
      </c>
      <c r="S614" t="s">
        <v>988</v>
      </c>
    </row>
    <row r="615" spans="1:19" hidden="1" x14ac:dyDescent="0.3">
      <c r="A615">
        <v>1671</v>
      </c>
      <c r="B615" t="s">
        <v>1736</v>
      </c>
      <c r="C615" t="s">
        <v>2877</v>
      </c>
      <c r="D615" t="s">
        <v>1203</v>
      </c>
      <c r="E615" t="s">
        <v>1204</v>
      </c>
      <c r="F615">
        <v>5775</v>
      </c>
      <c r="G615" t="s">
        <v>2683</v>
      </c>
      <c r="H615" t="s">
        <v>1909</v>
      </c>
      <c r="I615">
        <v>10154</v>
      </c>
      <c r="J615" t="s">
        <v>2460</v>
      </c>
      <c r="K615">
        <v>10644</v>
      </c>
      <c r="L615" t="s">
        <v>2460</v>
      </c>
      <c r="M615">
        <v>11160</v>
      </c>
      <c r="N615" t="s">
        <v>2460</v>
      </c>
      <c r="O615">
        <v>11703</v>
      </c>
      <c r="P615" t="s">
        <v>2460</v>
      </c>
      <c r="Q615">
        <v>12259</v>
      </c>
      <c r="R615" t="s">
        <v>2460</v>
      </c>
      <c r="S615" t="s">
        <v>988</v>
      </c>
    </row>
    <row r="616" spans="1:19" hidden="1" x14ac:dyDescent="0.3">
      <c r="A616">
        <v>1671</v>
      </c>
      <c r="B616" t="s">
        <v>1736</v>
      </c>
      <c r="C616" t="s">
        <v>2877</v>
      </c>
      <c r="D616" t="s">
        <v>1203</v>
      </c>
      <c r="E616" t="s">
        <v>1204</v>
      </c>
      <c r="F616">
        <v>5775</v>
      </c>
      <c r="G616" t="s">
        <v>2683</v>
      </c>
      <c r="H616" t="s">
        <v>811</v>
      </c>
      <c r="I616">
        <v>1176</v>
      </c>
      <c r="J616" t="s">
        <v>2460</v>
      </c>
      <c r="K616">
        <v>1176</v>
      </c>
      <c r="L616" t="s">
        <v>2460</v>
      </c>
      <c r="M616">
        <v>1176</v>
      </c>
      <c r="N616" t="s">
        <v>2460</v>
      </c>
      <c r="O616">
        <v>1176</v>
      </c>
      <c r="P616" t="s">
        <v>2460</v>
      </c>
      <c r="Q616">
        <v>1176</v>
      </c>
      <c r="R616" t="s">
        <v>2460</v>
      </c>
      <c r="S616" t="s">
        <v>988</v>
      </c>
    </row>
    <row r="617" spans="1:19" hidden="1" x14ac:dyDescent="0.3">
      <c r="A617">
        <v>1671</v>
      </c>
      <c r="B617" t="s">
        <v>1736</v>
      </c>
      <c r="C617" t="s">
        <v>2877</v>
      </c>
      <c r="D617" t="s">
        <v>1203</v>
      </c>
      <c r="E617" t="s">
        <v>1204</v>
      </c>
      <c r="F617">
        <v>5775</v>
      </c>
      <c r="G617" t="s">
        <v>2679</v>
      </c>
      <c r="H617" t="s">
        <v>3424</v>
      </c>
      <c r="I617">
        <v>448</v>
      </c>
      <c r="J617" t="s">
        <v>2460</v>
      </c>
      <c r="K617">
        <v>448</v>
      </c>
      <c r="L617" t="s">
        <v>2460</v>
      </c>
      <c r="M617">
        <v>448</v>
      </c>
      <c r="N617" t="s">
        <v>2460</v>
      </c>
      <c r="O617">
        <v>448</v>
      </c>
      <c r="P617" t="s">
        <v>2460</v>
      </c>
      <c r="Q617">
        <v>448</v>
      </c>
      <c r="R617" t="s">
        <v>2460</v>
      </c>
      <c r="S617" t="s">
        <v>988</v>
      </c>
    </row>
    <row r="618" spans="1:19" hidden="1" x14ac:dyDescent="0.3">
      <c r="A618">
        <v>1671</v>
      </c>
      <c r="B618" t="s">
        <v>1736</v>
      </c>
      <c r="C618" t="s">
        <v>2877</v>
      </c>
      <c r="D618" t="s">
        <v>1203</v>
      </c>
      <c r="E618" t="s">
        <v>1204</v>
      </c>
      <c r="F618">
        <v>5775</v>
      </c>
      <c r="G618" t="s">
        <v>2681</v>
      </c>
      <c r="H618" t="s">
        <v>3425</v>
      </c>
      <c r="I618">
        <v>280</v>
      </c>
      <c r="J618" t="s">
        <v>2460</v>
      </c>
      <c r="K618">
        <v>280</v>
      </c>
      <c r="L618" t="s">
        <v>2460</v>
      </c>
      <c r="M618">
        <v>280</v>
      </c>
      <c r="N618" t="s">
        <v>2460</v>
      </c>
      <c r="O618">
        <v>280</v>
      </c>
      <c r="P618" t="s">
        <v>2460</v>
      </c>
      <c r="Q618">
        <v>280</v>
      </c>
      <c r="R618" t="s">
        <v>2460</v>
      </c>
      <c r="S618" t="s">
        <v>988</v>
      </c>
    </row>
    <row r="619" spans="1:19" hidden="1" x14ac:dyDescent="0.3">
      <c r="A619">
        <v>1697</v>
      </c>
      <c r="B619" t="s">
        <v>1737</v>
      </c>
      <c r="C619" t="s">
        <v>2877</v>
      </c>
      <c r="D619" t="s">
        <v>1203</v>
      </c>
      <c r="E619" t="s">
        <v>1204</v>
      </c>
      <c r="F619">
        <v>5833</v>
      </c>
      <c r="G619" t="s">
        <v>2681</v>
      </c>
      <c r="H619" t="s">
        <v>3147</v>
      </c>
      <c r="I619">
        <v>4376</v>
      </c>
      <c r="J619" t="s">
        <v>2460</v>
      </c>
      <c r="K619">
        <v>4540</v>
      </c>
      <c r="L619" t="s">
        <v>2460</v>
      </c>
      <c r="M619">
        <v>4703</v>
      </c>
      <c r="N619" t="s">
        <v>2460</v>
      </c>
      <c r="O619">
        <v>4736</v>
      </c>
      <c r="P619" t="s">
        <v>2460</v>
      </c>
      <c r="Q619">
        <v>4771</v>
      </c>
      <c r="R619" t="s">
        <v>2460</v>
      </c>
      <c r="S619" t="s">
        <v>988</v>
      </c>
    </row>
    <row r="620" spans="1:19" hidden="1" x14ac:dyDescent="0.3">
      <c r="A620">
        <v>1701</v>
      </c>
      <c r="B620" t="s">
        <v>1739</v>
      </c>
      <c r="C620" t="s">
        <v>2877</v>
      </c>
      <c r="D620" t="s">
        <v>1203</v>
      </c>
      <c r="E620" t="s">
        <v>1204</v>
      </c>
      <c r="F620">
        <v>5884</v>
      </c>
      <c r="G620" t="s">
        <v>2679</v>
      </c>
      <c r="H620" t="s">
        <v>3426</v>
      </c>
      <c r="I620">
        <v>835</v>
      </c>
      <c r="J620" t="s">
        <v>2460</v>
      </c>
      <c r="K620">
        <v>1095</v>
      </c>
      <c r="L620" t="s">
        <v>2460</v>
      </c>
      <c r="M620">
        <v>1095</v>
      </c>
      <c r="N620" t="s">
        <v>2460</v>
      </c>
      <c r="O620">
        <v>1095</v>
      </c>
      <c r="P620" t="s">
        <v>2460</v>
      </c>
      <c r="Q620">
        <v>1095</v>
      </c>
      <c r="R620" t="s">
        <v>2460</v>
      </c>
      <c r="S620" t="s">
        <v>988</v>
      </c>
    </row>
    <row r="621" spans="1:19" hidden="1" x14ac:dyDescent="0.3">
      <c r="A621">
        <v>1701</v>
      </c>
      <c r="B621" t="s">
        <v>1739</v>
      </c>
      <c r="C621" t="s">
        <v>2877</v>
      </c>
      <c r="D621" t="s">
        <v>1203</v>
      </c>
      <c r="E621" t="s">
        <v>1204</v>
      </c>
      <c r="F621">
        <v>5884</v>
      </c>
      <c r="G621" t="s">
        <v>2685</v>
      </c>
      <c r="H621" t="s">
        <v>3427</v>
      </c>
      <c r="I621">
        <v>700</v>
      </c>
      <c r="J621" t="s">
        <v>2460</v>
      </c>
      <c r="K621">
        <v>700</v>
      </c>
      <c r="L621" t="s">
        <v>2460</v>
      </c>
      <c r="M621">
        <v>630</v>
      </c>
      <c r="N621" t="s">
        <v>2460</v>
      </c>
      <c r="O621">
        <v>630</v>
      </c>
      <c r="P621" t="s">
        <v>2460</v>
      </c>
      <c r="Q621">
        <v>630</v>
      </c>
      <c r="R621" t="s">
        <v>2460</v>
      </c>
      <c r="S621" t="s">
        <v>988</v>
      </c>
    </row>
    <row r="622" spans="1:19" hidden="1" x14ac:dyDescent="0.3">
      <c r="A622">
        <v>1701</v>
      </c>
      <c r="B622" t="s">
        <v>1739</v>
      </c>
      <c r="C622" t="s">
        <v>2877</v>
      </c>
      <c r="D622" t="s">
        <v>1203</v>
      </c>
      <c r="E622" t="s">
        <v>1204</v>
      </c>
      <c r="F622">
        <v>5884</v>
      </c>
      <c r="G622" t="s">
        <v>2685</v>
      </c>
      <c r="H622" t="s">
        <v>3428</v>
      </c>
      <c r="I622">
        <v>17500</v>
      </c>
      <c r="J622" t="s">
        <v>2460</v>
      </c>
      <c r="K622">
        <v>17500</v>
      </c>
      <c r="L622" t="s">
        <v>2460</v>
      </c>
      <c r="M622">
        <v>15750</v>
      </c>
      <c r="N622" t="s">
        <v>2460</v>
      </c>
      <c r="O622">
        <v>15750</v>
      </c>
      <c r="P622" t="s">
        <v>2460</v>
      </c>
      <c r="Q622">
        <v>15750</v>
      </c>
      <c r="R622" t="s">
        <v>2460</v>
      </c>
      <c r="S622" t="s">
        <v>988</v>
      </c>
    </row>
    <row r="623" spans="1:19" hidden="1" x14ac:dyDescent="0.3">
      <c r="A623">
        <v>1701</v>
      </c>
      <c r="B623" t="s">
        <v>1739</v>
      </c>
      <c r="C623" t="s">
        <v>2877</v>
      </c>
      <c r="D623" t="s">
        <v>1203</v>
      </c>
      <c r="E623" t="s">
        <v>1204</v>
      </c>
      <c r="F623">
        <v>5884</v>
      </c>
      <c r="G623" t="s">
        <v>2683</v>
      </c>
      <c r="H623" t="s">
        <v>3128</v>
      </c>
      <c r="I623">
        <v>12702</v>
      </c>
      <c r="J623" t="s">
        <v>2460</v>
      </c>
      <c r="K623">
        <v>12702</v>
      </c>
      <c r="L623" t="s">
        <v>2460</v>
      </c>
      <c r="M623">
        <v>11432</v>
      </c>
      <c r="N623" t="s">
        <v>2460</v>
      </c>
      <c r="O623">
        <v>11432</v>
      </c>
      <c r="P623" t="s">
        <v>2460</v>
      </c>
      <c r="Q623">
        <v>11432</v>
      </c>
      <c r="R623" t="s">
        <v>2460</v>
      </c>
      <c r="S623" t="s">
        <v>988</v>
      </c>
    </row>
    <row r="624" spans="1:19" hidden="1" x14ac:dyDescent="0.3">
      <c r="A624">
        <v>1718</v>
      </c>
      <c r="B624" t="s">
        <v>1747</v>
      </c>
      <c r="C624" t="s">
        <v>2877</v>
      </c>
      <c r="D624" t="s">
        <v>1203</v>
      </c>
      <c r="E624" t="s">
        <v>1204</v>
      </c>
      <c r="F624">
        <v>5882</v>
      </c>
      <c r="G624" t="s">
        <v>2679</v>
      </c>
      <c r="H624" t="s">
        <v>2460</v>
      </c>
      <c r="I624">
        <v>1408</v>
      </c>
      <c r="J624" t="s">
        <v>2460</v>
      </c>
      <c r="K624">
        <v>1408</v>
      </c>
      <c r="L624" t="s">
        <v>2460</v>
      </c>
      <c r="M624">
        <v>1408</v>
      </c>
      <c r="N624" t="s">
        <v>2460</v>
      </c>
      <c r="O624">
        <v>1408</v>
      </c>
      <c r="P624" t="s">
        <v>2460</v>
      </c>
      <c r="R624" t="s">
        <v>2460</v>
      </c>
      <c r="S624" t="s">
        <v>988</v>
      </c>
    </row>
    <row r="625" spans="1:19" hidden="1" x14ac:dyDescent="0.3">
      <c r="A625">
        <v>1718</v>
      </c>
      <c r="B625" t="s">
        <v>1747</v>
      </c>
      <c r="C625" t="s">
        <v>2877</v>
      </c>
      <c r="D625" t="s">
        <v>1203</v>
      </c>
      <c r="E625" t="s">
        <v>1204</v>
      </c>
      <c r="F625">
        <v>5882</v>
      </c>
      <c r="G625" t="s">
        <v>2683</v>
      </c>
      <c r="H625" t="s">
        <v>3429</v>
      </c>
      <c r="I625">
        <v>7500</v>
      </c>
      <c r="J625" t="s">
        <v>2460</v>
      </c>
      <c r="K625">
        <v>7500</v>
      </c>
      <c r="L625" t="s">
        <v>2460</v>
      </c>
      <c r="M625">
        <v>7500</v>
      </c>
      <c r="N625" t="s">
        <v>2460</v>
      </c>
      <c r="O625">
        <v>7500</v>
      </c>
      <c r="P625" t="s">
        <v>2460</v>
      </c>
      <c r="R625" t="s">
        <v>2460</v>
      </c>
      <c r="S625" t="s">
        <v>988</v>
      </c>
    </row>
    <row r="626" spans="1:19" hidden="1" x14ac:dyDescent="0.3">
      <c r="A626">
        <v>1718</v>
      </c>
      <c r="B626" t="s">
        <v>1747</v>
      </c>
      <c r="C626" t="s">
        <v>2877</v>
      </c>
      <c r="D626" t="s">
        <v>1203</v>
      </c>
      <c r="E626" t="s">
        <v>1204</v>
      </c>
      <c r="F626">
        <v>5882</v>
      </c>
      <c r="G626" t="s">
        <v>2691</v>
      </c>
      <c r="H626" t="s">
        <v>711</v>
      </c>
      <c r="I626">
        <v>143968</v>
      </c>
      <c r="J626" t="s">
        <v>2460</v>
      </c>
      <c r="K626">
        <v>143968</v>
      </c>
      <c r="L626" t="s">
        <v>2460</v>
      </c>
      <c r="M626">
        <v>143968</v>
      </c>
      <c r="N626" t="s">
        <v>2460</v>
      </c>
      <c r="O626">
        <v>143968</v>
      </c>
      <c r="P626" t="s">
        <v>2460</v>
      </c>
      <c r="R626" t="s">
        <v>2460</v>
      </c>
      <c r="S626" t="s">
        <v>988</v>
      </c>
    </row>
    <row r="627" spans="1:19" hidden="1" x14ac:dyDescent="0.3">
      <c r="A627">
        <v>1718</v>
      </c>
      <c r="B627" t="s">
        <v>1747</v>
      </c>
      <c r="C627" t="s">
        <v>2877</v>
      </c>
      <c r="D627" t="s">
        <v>1203</v>
      </c>
      <c r="E627" t="s">
        <v>1204</v>
      </c>
      <c r="F627">
        <v>5882</v>
      </c>
      <c r="G627" t="s">
        <v>2691</v>
      </c>
      <c r="H627" t="s">
        <v>3430</v>
      </c>
      <c r="I627">
        <v>233066</v>
      </c>
      <c r="J627" t="s">
        <v>2460</v>
      </c>
      <c r="K627">
        <v>233066</v>
      </c>
      <c r="L627" t="s">
        <v>2460</v>
      </c>
      <c r="M627">
        <v>233066</v>
      </c>
      <c r="N627" t="s">
        <v>2460</v>
      </c>
      <c r="O627">
        <v>233066</v>
      </c>
      <c r="P627" t="s">
        <v>2460</v>
      </c>
      <c r="R627" t="s">
        <v>2460</v>
      </c>
      <c r="S627" t="s">
        <v>988</v>
      </c>
    </row>
    <row r="628" spans="1:19" hidden="1" x14ac:dyDescent="0.3">
      <c r="A628">
        <v>1729</v>
      </c>
      <c r="B628" t="s">
        <v>1751</v>
      </c>
      <c r="C628" t="s">
        <v>2877</v>
      </c>
      <c r="D628" t="s">
        <v>1203</v>
      </c>
      <c r="E628" t="s">
        <v>1204</v>
      </c>
      <c r="F628">
        <v>6758</v>
      </c>
      <c r="G628" t="s">
        <v>2679</v>
      </c>
      <c r="H628" t="s">
        <v>3431</v>
      </c>
      <c r="I628">
        <v>616.84645784999998</v>
      </c>
      <c r="J628" t="s">
        <v>3432</v>
      </c>
      <c r="K628">
        <v>616.84645784999998</v>
      </c>
      <c r="L628" t="s">
        <v>3432</v>
      </c>
      <c r="M628">
        <v>616.84645784999998</v>
      </c>
      <c r="N628" t="s">
        <v>3432</v>
      </c>
      <c r="O628">
        <v>616.84645784999998</v>
      </c>
      <c r="P628" t="s">
        <v>3432</v>
      </c>
      <c r="Q628">
        <v>616.84645784999998</v>
      </c>
      <c r="R628" t="s">
        <v>3432</v>
      </c>
      <c r="S628" t="s">
        <v>988</v>
      </c>
    </row>
    <row r="629" spans="1:19" hidden="1" x14ac:dyDescent="0.3">
      <c r="A629">
        <v>1729</v>
      </c>
      <c r="B629" t="s">
        <v>1751</v>
      </c>
      <c r="C629" t="s">
        <v>2877</v>
      </c>
      <c r="D629" t="s">
        <v>1203</v>
      </c>
      <c r="E629" t="s">
        <v>1204</v>
      </c>
      <c r="F629">
        <v>6758</v>
      </c>
      <c r="G629" t="s">
        <v>2681</v>
      </c>
      <c r="H629" t="s">
        <v>2460</v>
      </c>
      <c r="I629">
        <v>2574.7969061499998</v>
      </c>
      <c r="J629" t="s">
        <v>3433</v>
      </c>
      <c r="K629">
        <v>2804.9634949000001</v>
      </c>
      <c r="L629" t="s">
        <v>3433</v>
      </c>
      <c r="M629">
        <v>3056.6122986</v>
      </c>
      <c r="N629" t="s">
        <v>3433</v>
      </c>
      <c r="O629">
        <v>3335.88109295</v>
      </c>
      <c r="P629" t="s">
        <v>3433</v>
      </c>
      <c r="Q629">
        <v>3642.7698779500001</v>
      </c>
      <c r="R629" t="s">
        <v>3433</v>
      </c>
      <c r="S629" t="s">
        <v>988</v>
      </c>
    </row>
    <row r="630" spans="1:19" hidden="1" x14ac:dyDescent="0.3">
      <c r="A630">
        <v>1730</v>
      </c>
      <c r="B630" t="s">
        <v>1757</v>
      </c>
      <c r="C630" t="s">
        <v>2877</v>
      </c>
      <c r="D630" t="s">
        <v>159</v>
      </c>
      <c r="E630" t="s">
        <v>159</v>
      </c>
      <c r="F630">
        <v>7710</v>
      </c>
      <c r="G630" t="s">
        <v>2679</v>
      </c>
      <c r="H630" t="s">
        <v>3256</v>
      </c>
      <c r="I630">
        <v>542</v>
      </c>
      <c r="J630" t="s">
        <v>2460</v>
      </c>
      <c r="K630">
        <v>542</v>
      </c>
      <c r="L630" t="s">
        <v>2460</v>
      </c>
      <c r="M630">
        <v>542</v>
      </c>
      <c r="N630" t="s">
        <v>2460</v>
      </c>
      <c r="O630">
        <v>542</v>
      </c>
      <c r="P630" t="s">
        <v>2460</v>
      </c>
      <c r="Q630">
        <v>542</v>
      </c>
      <c r="R630" t="s">
        <v>2460</v>
      </c>
      <c r="S630" t="s">
        <v>988</v>
      </c>
    </row>
    <row r="631" spans="1:19" hidden="1" x14ac:dyDescent="0.3">
      <c r="A631">
        <v>1730</v>
      </c>
      <c r="B631" t="s">
        <v>1757</v>
      </c>
      <c r="C631" t="s">
        <v>2877</v>
      </c>
      <c r="D631" t="s">
        <v>159</v>
      </c>
      <c r="E631" t="s">
        <v>159</v>
      </c>
      <c r="F631">
        <v>7710</v>
      </c>
      <c r="G631" t="s">
        <v>2683</v>
      </c>
      <c r="H631" t="s">
        <v>2965</v>
      </c>
      <c r="I631">
        <v>2149</v>
      </c>
      <c r="J631" t="s">
        <v>2460</v>
      </c>
      <c r="K631">
        <v>2224</v>
      </c>
      <c r="L631" t="s">
        <v>2460</v>
      </c>
      <c r="M631">
        <v>2246</v>
      </c>
      <c r="N631" t="s">
        <v>2460</v>
      </c>
      <c r="O631">
        <v>2271</v>
      </c>
      <c r="P631" t="s">
        <v>2460</v>
      </c>
      <c r="Q631">
        <v>2265</v>
      </c>
      <c r="R631" t="s">
        <v>2460</v>
      </c>
      <c r="S631" t="s">
        <v>988</v>
      </c>
    </row>
    <row r="632" spans="1:19" hidden="1" x14ac:dyDescent="0.3">
      <c r="A632">
        <v>1730</v>
      </c>
      <c r="B632" t="s">
        <v>1757</v>
      </c>
      <c r="C632" t="s">
        <v>2877</v>
      </c>
      <c r="D632" t="s">
        <v>159</v>
      </c>
      <c r="E632" t="s">
        <v>159</v>
      </c>
      <c r="F632">
        <v>7710</v>
      </c>
      <c r="G632" t="s">
        <v>2681</v>
      </c>
      <c r="H632" t="s">
        <v>2893</v>
      </c>
      <c r="I632">
        <v>12175</v>
      </c>
      <c r="J632" t="s">
        <v>2460</v>
      </c>
      <c r="K632">
        <v>12605</v>
      </c>
      <c r="L632" t="s">
        <v>2460</v>
      </c>
      <c r="M632">
        <v>12729</v>
      </c>
      <c r="N632" t="s">
        <v>2460</v>
      </c>
      <c r="O632">
        <v>12869</v>
      </c>
      <c r="P632" t="s">
        <v>2460</v>
      </c>
      <c r="Q632">
        <v>12838</v>
      </c>
      <c r="R632" t="s">
        <v>2460</v>
      </c>
      <c r="S632" t="s">
        <v>988</v>
      </c>
    </row>
    <row r="633" spans="1:19" hidden="1" x14ac:dyDescent="0.3">
      <c r="A633">
        <v>1731</v>
      </c>
      <c r="B633" t="s">
        <v>1758</v>
      </c>
      <c r="C633" t="s">
        <v>2877</v>
      </c>
      <c r="D633" t="s">
        <v>1203</v>
      </c>
      <c r="E633" t="s">
        <v>1204</v>
      </c>
      <c r="F633">
        <v>6882</v>
      </c>
      <c r="G633" t="s">
        <v>2681</v>
      </c>
      <c r="H633" t="s">
        <v>2460</v>
      </c>
      <c r="I633">
        <v>2533</v>
      </c>
      <c r="J633" t="s">
        <v>2460</v>
      </c>
      <c r="K633">
        <v>2533</v>
      </c>
      <c r="L633" t="s">
        <v>2460</v>
      </c>
      <c r="M633">
        <v>2533</v>
      </c>
      <c r="N633" t="s">
        <v>2460</v>
      </c>
      <c r="O633">
        <v>2533</v>
      </c>
      <c r="P633" t="s">
        <v>2460</v>
      </c>
      <c r="Q633">
        <v>2533</v>
      </c>
      <c r="R633" t="s">
        <v>2460</v>
      </c>
      <c r="S633" t="s">
        <v>988</v>
      </c>
    </row>
    <row r="634" spans="1:19" hidden="1" x14ac:dyDescent="0.3">
      <c r="A634">
        <v>1731</v>
      </c>
      <c r="B634" t="s">
        <v>1758</v>
      </c>
      <c r="C634" t="s">
        <v>2877</v>
      </c>
      <c r="D634" t="s">
        <v>1203</v>
      </c>
      <c r="E634" t="s">
        <v>1204</v>
      </c>
      <c r="F634">
        <v>6882</v>
      </c>
      <c r="G634" t="s">
        <v>2683</v>
      </c>
      <c r="H634" t="s">
        <v>2460</v>
      </c>
      <c r="I634">
        <v>833</v>
      </c>
      <c r="J634" t="s">
        <v>2460</v>
      </c>
      <c r="K634">
        <v>833</v>
      </c>
      <c r="L634" t="s">
        <v>2460</v>
      </c>
      <c r="M634">
        <v>833</v>
      </c>
      <c r="N634" t="s">
        <v>2460</v>
      </c>
      <c r="O634">
        <v>833</v>
      </c>
      <c r="P634" t="s">
        <v>2460</v>
      </c>
      <c r="Q634">
        <v>833</v>
      </c>
      <c r="R634" t="s">
        <v>2460</v>
      </c>
      <c r="S634" t="s">
        <v>988</v>
      </c>
    </row>
    <row r="635" spans="1:19" hidden="1" x14ac:dyDescent="0.3">
      <c r="A635">
        <v>1731</v>
      </c>
      <c r="B635" t="s">
        <v>1758</v>
      </c>
      <c r="C635" t="s">
        <v>2877</v>
      </c>
      <c r="D635" t="s">
        <v>1203</v>
      </c>
      <c r="E635" t="s">
        <v>1204</v>
      </c>
      <c r="F635">
        <v>6882</v>
      </c>
      <c r="G635" t="s">
        <v>2683</v>
      </c>
      <c r="H635" t="s">
        <v>2460</v>
      </c>
      <c r="I635">
        <v>2167</v>
      </c>
      <c r="J635" t="s">
        <v>2460</v>
      </c>
      <c r="K635">
        <v>2167</v>
      </c>
      <c r="L635" t="s">
        <v>2460</v>
      </c>
      <c r="M635">
        <v>2167</v>
      </c>
      <c r="N635" t="s">
        <v>2460</v>
      </c>
      <c r="O635">
        <v>2167</v>
      </c>
      <c r="P635" t="s">
        <v>2460</v>
      </c>
      <c r="Q635">
        <v>2167</v>
      </c>
      <c r="R635" t="s">
        <v>2460</v>
      </c>
      <c r="S635" t="s">
        <v>988</v>
      </c>
    </row>
    <row r="636" spans="1:19" hidden="1" x14ac:dyDescent="0.3">
      <c r="A636">
        <v>1732</v>
      </c>
      <c r="B636" t="s">
        <v>1759</v>
      </c>
      <c r="C636" t="s">
        <v>2877</v>
      </c>
      <c r="D636" t="s">
        <v>1203</v>
      </c>
      <c r="E636" t="s">
        <v>1204</v>
      </c>
      <c r="F636">
        <v>5722</v>
      </c>
      <c r="G636" t="s">
        <v>2681</v>
      </c>
      <c r="H636" t="s">
        <v>2460</v>
      </c>
      <c r="I636">
        <v>4500</v>
      </c>
      <c r="J636" t="s">
        <v>2460</v>
      </c>
      <c r="K636">
        <v>4500</v>
      </c>
      <c r="L636" t="s">
        <v>2460</v>
      </c>
      <c r="M636">
        <v>4500</v>
      </c>
      <c r="N636" t="s">
        <v>2460</v>
      </c>
      <c r="O636">
        <v>4500</v>
      </c>
      <c r="P636" t="s">
        <v>2460</v>
      </c>
      <c r="Q636">
        <v>4500</v>
      </c>
      <c r="R636" t="s">
        <v>2460</v>
      </c>
      <c r="S636" t="s">
        <v>988</v>
      </c>
    </row>
    <row r="637" spans="1:19" hidden="1" x14ac:dyDescent="0.3">
      <c r="A637">
        <v>1732</v>
      </c>
      <c r="B637" t="s">
        <v>1759</v>
      </c>
      <c r="C637" t="s">
        <v>2877</v>
      </c>
      <c r="D637" t="s">
        <v>1203</v>
      </c>
      <c r="E637" t="s">
        <v>1204</v>
      </c>
      <c r="F637">
        <v>5722</v>
      </c>
      <c r="G637" t="s">
        <v>2683</v>
      </c>
      <c r="H637" t="s">
        <v>2460</v>
      </c>
      <c r="I637">
        <v>9900</v>
      </c>
      <c r="J637" t="s">
        <v>2460</v>
      </c>
      <c r="K637">
        <v>9900</v>
      </c>
      <c r="L637" t="s">
        <v>2460</v>
      </c>
      <c r="M637">
        <v>9900</v>
      </c>
      <c r="N637" t="s">
        <v>2460</v>
      </c>
      <c r="O637">
        <v>9900</v>
      </c>
      <c r="P637" t="s">
        <v>2460</v>
      </c>
      <c r="Q637">
        <v>9900</v>
      </c>
      <c r="R637" t="s">
        <v>2460</v>
      </c>
      <c r="S637" t="s">
        <v>988</v>
      </c>
    </row>
    <row r="638" spans="1:19" hidden="1" x14ac:dyDescent="0.3">
      <c r="A638">
        <v>1739</v>
      </c>
      <c r="B638" t="s">
        <v>1760</v>
      </c>
      <c r="C638" t="s">
        <v>2877</v>
      </c>
      <c r="D638" t="s">
        <v>1203</v>
      </c>
      <c r="E638" t="s">
        <v>1204</v>
      </c>
      <c r="F638">
        <v>5806</v>
      </c>
      <c r="G638" t="s">
        <v>2679</v>
      </c>
      <c r="H638" t="s">
        <v>3434</v>
      </c>
      <c r="I638">
        <v>26.300368874499998</v>
      </c>
      <c r="J638" t="s">
        <v>2460</v>
      </c>
      <c r="K638">
        <v>26.300368874499998</v>
      </c>
      <c r="L638" t="s">
        <v>2460</v>
      </c>
      <c r="M638">
        <v>26.300368874499998</v>
      </c>
      <c r="N638" t="s">
        <v>2460</v>
      </c>
      <c r="O638">
        <v>26.300368874499998</v>
      </c>
      <c r="P638" t="s">
        <v>2460</v>
      </c>
      <c r="Q638">
        <v>26.300368874499998</v>
      </c>
      <c r="R638" t="s">
        <v>2460</v>
      </c>
      <c r="S638" t="s">
        <v>988</v>
      </c>
    </row>
    <row r="639" spans="1:19" hidden="1" x14ac:dyDescent="0.3">
      <c r="A639">
        <v>1739</v>
      </c>
      <c r="B639" t="s">
        <v>1760</v>
      </c>
      <c r="C639" t="s">
        <v>2877</v>
      </c>
      <c r="D639" t="s">
        <v>1203</v>
      </c>
      <c r="E639" t="s">
        <v>1204</v>
      </c>
      <c r="F639">
        <v>5806</v>
      </c>
      <c r="G639" t="s">
        <v>2683</v>
      </c>
      <c r="H639" t="s">
        <v>3396</v>
      </c>
      <c r="I639">
        <v>4302.5807656999996</v>
      </c>
      <c r="J639" t="s">
        <v>2460</v>
      </c>
      <c r="K639">
        <v>4302.5807656999996</v>
      </c>
      <c r="L639" t="s">
        <v>2460</v>
      </c>
      <c r="M639">
        <v>4302.5807656999996</v>
      </c>
      <c r="N639" t="s">
        <v>2460</v>
      </c>
      <c r="O639">
        <v>4302.5807656999996</v>
      </c>
      <c r="P639" t="s">
        <v>2460</v>
      </c>
      <c r="Q639">
        <v>4302.5807656999996</v>
      </c>
      <c r="R639" t="s">
        <v>2460</v>
      </c>
      <c r="S639" t="s">
        <v>988</v>
      </c>
    </row>
    <row r="640" spans="1:19" hidden="1" x14ac:dyDescent="0.3">
      <c r="A640">
        <v>1748</v>
      </c>
      <c r="B640" t="s">
        <v>1764</v>
      </c>
      <c r="C640" t="s">
        <v>2877</v>
      </c>
      <c r="D640" t="s">
        <v>1203</v>
      </c>
      <c r="E640" t="s">
        <v>1204</v>
      </c>
      <c r="F640">
        <v>5739</v>
      </c>
      <c r="G640" t="s">
        <v>2683</v>
      </c>
      <c r="H640" t="s">
        <v>3379</v>
      </c>
      <c r="I640">
        <v>14100</v>
      </c>
      <c r="J640" t="s">
        <v>2460</v>
      </c>
      <c r="K640">
        <v>14100</v>
      </c>
      <c r="L640" t="s">
        <v>2460</v>
      </c>
      <c r="M640">
        <v>14100</v>
      </c>
      <c r="N640" t="s">
        <v>2460</v>
      </c>
      <c r="O640">
        <v>14100</v>
      </c>
      <c r="P640" t="s">
        <v>2460</v>
      </c>
      <c r="Q640">
        <v>14100</v>
      </c>
      <c r="R640" t="s">
        <v>2460</v>
      </c>
      <c r="S640" t="s">
        <v>988</v>
      </c>
    </row>
    <row r="641" spans="1:19" hidden="1" x14ac:dyDescent="0.3">
      <c r="A641">
        <v>1748</v>
      </c>
      <c r="B641" t="s">
        <v>1764</v>
      </c>
      <c r="C641" t="s">
        <v>2877</v>
      </c>
      <c r="D641" t="s">
        <v>1203</v>
      </c>
      <c r="E641" t="s">
        <v>1204</v>
      </c>
      <c r="F641">
        <v>5739</v>
      </c>
      <c r="G641" t="s">
        <v>2691</v>
      </c>
      <c r="H641" t="s">
        <v>3435</v>
      </c>
      <c r="I641">
        <v>1000</v>
      </c>
      <c r="J641" t="s">
        <v>2460</v>
      </c>
      <c r="K641">
        <v>1000</v>
      </c>
      <c r="L641" t="s">
        <v>2460</v>
      </c>
      <c r="M641">
        <v>1000</v>
      </c>
      <c r="N641" t="s">
        <v>2460</v>
      </c>
      <c r="O641">
        <v>1000</v>
      </c>
      <c r="P641" t="s">
        <v>2460</v>
      </c>
      <c r="Q641">
        <v>1000</v>
      </c>
      <c r="R641" t="s">
        <v>2460</v>
      </c>
      <c r="S641" t="s">
        <v>988</v>
      </c>
    </row>
    <row r="642" spans="1:19" hidden="1" x14ac:dyDescent="0.3">
      <c r="A642">
        <v>1748</v>
      </c>
      <c r="B642" t="s">
        <v>1764</v>
      </c>
      <c r="C642" t="s">
        <v>2877</v>
      </c>
      <c r="D642" t="s">
        <v>1203</v>
      </c>
      <c r="E642" t="s">
        <v>1204</v>
      </c>
      <c r="F642">
        <v>5739</v>
      </c>
      <c r="G642" t="s">
        <v>2679</v>
      </c>
      <c r="H642" t="s">
        <v>2460</v>
      </c>
      <c r="I642">
        <v>595</v>
      </c>
      <c r="J642" t="s">
        <v>2460</v>
      </c>
      <c r="K642">
        <v>608</v>
      </c>
      <c r="L642" t="s">
        <v>2460</v>
      </c>
      <c r="M642">
        <v>622</v>
      </c>
      <c r="N642" t="s">
        <v>2460</v>
      </c>
      <c r="O642">
        <v>636</v>
      </c>
      <c r="P642" t="s">
        <v>2460</v>
      </c>
      <c r="Q642">
        <v>650</v>
      </c>
      <c r="R642" t="s">
        <v>2460</v>
      </c>
      <c r="S642" t="s">
        <v>988</v>
      </c>
    </row>
    <row r="643" spans="1:19" hidden="1" x14ac:dyDescent="0.3">
      <c r="A643">
        <v>1748</v>
      </c>
      <c r="B643" t="s">
        <v>1764</v>
      </c>
      <c r="C643" t="s">
        <v>2877</v>
      </c>
      <c r="D643" t="s">
        <v>1203</v>
      </c>
      <c r="E643" t="s">
        <v>1204</v>
      </c>
      <c r="F643">
        <v>5739</v>
      </c>
      <c r="G643" t="s">
        <v>687</v>
      </c>
      <c r="H643" t="s">
        <v>1210</v>
      </c>
      <c r="I643">
        <v>218</v>
      </c>
      <c r="J643" t="s">
        <v>2460</v>
      </c>
      <c r="K643">
        <v>218</v>
      </c>
      <c r="L643" t="s">
        <v>2460</v>
      </c>
      <c r="M643">
        <v>218</v>
      </c>
      <c r="N643" t="s">
        <v>2460</v>
      </c>
      <c r="O643">
        <v>218</v>
      </c>
      <c r="P643" t="s">
        <v>2460</v>
      </c>
      <c r="Q643">
        <v>218</v>
      </c>
      <c r="R643" t="s">
        <v>2460</v>
      </c>
      <c r="S643" t="s">
        <v>988</v>
      </c>
    </row>
    <row r="644" spans="1:19" hidden="1" x14ac:dyDescent="0.3">
      <c r="A644">
        <v>1752</v>
      </c>
      <c r="B644" t="s">
        <v>1769</v>
      </c>
      <c r="C644" t="s">
        <v>2877</v>
      </c>
      <c r="D644" t="s">
        <v>1203</v>
      </c>
      <c r="E644" t="s">
        <v>1204</v>
      </c>
      <c r="F644">
        <v>5545</v>
      </c>
      <c r="G644" t="s">
        <v>2681</v>
      </c>
      <c r="H644" t="s">
        <v>3436</v>
      </c>
      <c r="I644">
        <v>61.377757000000003</v>
      </c>
      <c r="J644" t="s">
        <v>2460</v>
      </c>
      <c r="K644">
        <v>61.377757000000003</v>
      </c>
      <c r="L644" t="s">
        <v>2460</v>
      </c>
      <c r="M644">
        <v>64.446644849999998</v>
      </c>
      <c r="N644" t="s">
        <v>2460</v>
      </c>
      <c r="O644">
        <v>64.446644849999998</v>
      </c>
      <c r="P644" t="s">
        <v>2460</v>
      </c>
      <c r="Q644">
        <v>67.515532699999994</v>
      </c>
      <c r="R644" t="s">
        <v>2460</v>
      </c>
      <c r="S644" t="s">
        <v>988</v>
      </c>
    </row>
    <row r="645" spans="1:19" hidden="1" x14ac:dyDescent="0.3">
      <c r="A645">
        <v>1752</v>
      </c>
      <c r="B645" t="s">
        <v>1769</v>
      </c>
      <c r="C645" t="s">
        <v>2877</v>
      </c>
      <c r="D645" t="s">
        <v>1203</v>
      </c>
      <c r="E645" t="s">
        <v>1204</v>
      </c>
      <c r="F645">
        <v>5545</v>
      </c>
      <c r="G645" t="s">
        <v>2683</v>
      </c>
      <c r="H645" t="s">
        <v>3437</v>
      </c>
      <c r="I645">
        <v>76.722196249999996</v>
      </c>
      <c r="J645" t="s">
        <v>2460</v>
      </c>
      <c r="K645">
        <v>79.791084100000006</v>
      </c>
      <c r="L645" t="s">
        <v>2460</v>
      </c>
      <c r="M645">
        <v>79.791084100000006</v>
      </c>
      <c r="N645" t="s">
        <v>2460</v>
      </c>
      <c r="O645">
        <v>82.859971950000002</v>
      </c>
      <c r="P645" t="s">
        <v>2460</v>
      </c>
      <c r="Q645">
        <v>85.928859799999998</v>
      </c>
      <c r="R645" t="s">
        <v>2460</v>
      </c>
      <c r="S645" t="s">
        <v>988</v>
      </c>
    </row>
    <row r="646" spans="1:19" hidden="1" x14ac:dyDescent="0.3">
      <c r="A646">
        <v>1752</v>
      </c>
      <c r="B646" t="s">
        <v>1769</v>
      </c>
      <c r="C646" t="s">
        <v>2877</v>
      </c>
      <c r="D646" t="s">
        <v>1203</v>
      </c>
      <c r="E646" t="s">
        <v>1204</v>
      </c>
      <c r="F646">
        <v>5545</v>
      </c>
      <c r="G646" t="s">
        <v>2691</v>
      </c>
      <c r="H646" t="s">
        <v>3438</v>
      </c>
      <c r="I646">
        <v>954.42412134999995</v>
      </c>
      <c r="J646" t="s">
        <v>2460</v>
      </c>
      <c r="K646">
        <v>969.7685606</v>
      </c>
      <c r="L646" t="s">
        <v>2460</v>
      </c>
      <c r="M646">
        <v>988.18188769999995</v>
      </c>
      <c r="N646" t="s">
        <v>2460</v>
      </c>
      <c r="O646">
        <v>1006.5952148</v>
      </c>
      <c r="P646" t="s">
        <v>2460</v>
      </c>
      <c r="Q646">
        <v>1028.07742975</v>
      </c>
      <c r="R646" t="s">
        <v>2460</v>
      </c>
      <c r="S646" t="s">
        <v>988</v>
      </c>
    </row>
    <row r="647" spans="1:19" hidden="1" x14ac:dyDescent="0.3">
      <c r="A647">
        <v>1752</v>
      </c>
      <c r="B647" t="s">
        <v>1769</v>
      </c>
      <c r="C647" t="s">
        <v>2877</v>
      </c>
      <c r="D647" t="s">
        <v>1203</v>
      </c>
      <c r="E647" t="s">
        <v>1204</v>
      </c>
      <c r="F647">
        <v>5545</v>
      </c>
      <c r="G647" t="s">
        <v>2681</v>
      </c>
      <c r="H647" t="s">
        <v>3439</v>
      </c>
      <c r="I647">
        <v>70.584420550000004</v>
      </c>
      <c r="J647" t="s">
        <v>2460</v>
      </c>
      <c r="K647">
        <v>73.6533084</v>
      </c>
      <c r="L647" t="s">
        <v>2460</v>
      </c>
      <c r="M647">
        <v>73.6533084</v>
      </c>
      <c r="N647" t="s">
        <v>2460</v>
      </c>
      <c r="O647">
        <v>73.6533084</v>
      </c>
      <c r="P647" t="s">
        <v>2460</v>
      </c>
      <c r="Q647">
        <v>76.722196249999996</v>
      </c>
      <c r="R647" t="s">
        <v>2460</v>
      </c>
      <c r="S647" t="s">
        <v>988</v>
      </c>
    </row>
    <row r="648" spans="1:19" hidden="1" x14ac:dyDescent="0.3">
      <c r="A648">
        <v>1756</v>
      </c>
      <c r="B648" t="s">
        <v>1771</v>
      </c>
      <c r="C648" t="s">
        <v>2877</v>
      </c>
      <c r="D648" t="s">
        <v>1203</v>
      </c>
      <c r="E648" t="s">
        <v>1204</v>
      </c>
      <c r="F648">
        <v>5685</v>
      </c>
      <c r="G648" t="s">
        <v>2683</v>
      </c>
      <c r="H648" t="s">
        <v>3440</v>
      </c>
      <c r="I648">
        <v>200</v>
      </c>
      <c r="J648" t="s">
        <v>2460</v>
      </c>
      <c r="K648">
        <v>200</v>
      </c>
      <c r="L648" t="s">
        <v>2460</v>
      </c>
      <c r="M648">
        <v>200</v>
      </c>
      <c r="N648" t="s">
        <v>2460</v>
      </c>
      <c r="O648">
        <v>200</v>
      </c>
      <c r="P648" t="s">
        <v>2460</v>
      </c>
      <c r="Q648">
        <v>200</v>
      </c>
      <c r="R648" t="s">
        <v>2460</v>
      </c>
      <c r="S648" t="s">
        <v>988</v>
      </c>
    </row>
    <row r="649" spans="1:19" hidden="1" x14ac:dyDescent="0.3">
      <c r="A649">
        <v>1756</v>
      </c>
      <c r="B649" t="s">
        <v>1771</v>
      </c>
      <c r="C649" t="s">
        <v>2877</v>
      </c>
      <c r="D649" t="s">
        <v>1203</v>
      </c>
      <c r="E649" t="s">
        <v>1204</v>
      </c>
      <c r="F649">
        <v>5685</v>
      </c>
      <c r="G649" t="s">
        <v>2683</v>
      </c>
      <c r="H649" t="s">
        <v>3441</v>
      </c>
      <c r="I649">
        <v>850</v>
      </c>
      <c r="J649" t="s">
        <v>2460</v>
      </c>
      <c r="K649">
        <v>850</v>
      </c>
      <c r="L649" t="s">
        <v>2460</v>
      </c>
      <c r="M649">
        <v>850</v>
      </c>
      <c r="N649" t="s">
        <v>2460</v>
      </c>
      <c r="O649">
        <v>850</v>
      </c>
      <c r="P649" t="s">
        <v>2460</v>
      </c>
      <c r="Q649">
        <v>850</v>
      </c>
      <c r="R649" t="s">
        <v>2460</v>
      </c>
      <c r="S649" t="s">
        <v>988</v>
      </c>
    </row>
    <row r="650" spans="1:19" hidden="1" x14ac:dyDescent="0.3">
      <c r="A650">
        <v>1756</v>
      </c>
      <c r="B650" t="s">
        <v>1771</v>
      </c>
      <c r="C650" t="s">
        <v>2877</v>
      </c>
      <c r="D650" t="s">
        <v>1203</v>
      </c>
      <c r="E650" t="s">
        <v>1204</v>
      </c>
      <c r="F650">
        <v>5685</v>
      </c>
      <c r="G650" t="s">
        <v>2681</v>
      </c>
      <c r="H650" t="s">
        <v>3307</v>
      </c>
      <c r="I650">
        <v>2273</v>
      </c>
      <c r="J650" t="s">
        <v>2460</v>
      </c>
      <c r="K650">
        <v>2273</v>
      </c>
      <c r="L650" t="s">
        <v>2460</v>
      </c>
      <c r="M650">
        <v>2273</v>
      </c>
      <c r="N650" t="s">
        <v>2460</v>
      </c>
      <c r="O650">
        <v>2273</v>
      </c>
      <c r="P650" t="s">
        <v>2460</v>
      </c>
      <c r="Q650">
        <v>2273</v>
      </c>
      <c r="R650" t="s">
        <v>2460</v>
      </c>
      <c r="S650" t="s">
        <v>988</v>
      </c>
    </row>
    <row r="651" spans="1:19" hidden="1" x14ac:dyDescent="0.3">
      <c r="A651">
        <v>1756</v>
      </c>
      <c r="B651" t="s">
        <v>1771</v>
      </c>
      <c r="C651" t="s">
        <v>2877</v>
      </c>
      <c r="D651" t="s">
        <v>1203</v>
      </c>
      <c r="E651" t="s">
        <v>1204</v>
      </c>
      <c r="F651">
        <v>5685</v>
      </c>
      <c r="G651" t="s">
        <v>2683</v>
      </c>
      <c r="H651" t="s">
        <v>2958</v>
      </c>
      <c r="I651">
        <v>281</v>
      </c>
      <c r="J651" t="s">
        <v>2460</v>
      </c>
      <c r="K651">
        <v>281</v>
      </c>
      <c r="L651" t="s">
        <v>2460</v>
      </c>
      <c r="M651">
        <v>281</v>
      </c>
      <c r="N651" t="s">
        <v>2460</v>
      </c>
      <c r="O651">
        <v>281</v>
      </c>
      <c r="P651" t="s">
        <v>2460</v>
      </c>
      <c r="Q651">
        <v>281</v>
      </c>
      <c r="R651" t="s">
        <v>2460</v>
      </c>
      <c r="S651" t="s">
        <v>988</v>
      </c>
    </row>
    <row r="652" spans="1:19" hidden="1" x14ac:dyDescent="0.3">
      <c r="A652">
        <v>1756</v>
      </c>
      <c r="B652" t="s">
        <v>1771</v>
      </c>
      <c r="C652" t="s">
        <v>2877</v>
      </c>
      <c r="D652" t="s">
        <v>1203</v>
      </c>
      <c r="E652" t="s">
        <v>1204</v>
      </c>
      <c r="F652">
        <v>5685</v>
      </c>
      <c r="G652" t="s">
        <v>2679</v>
      </c>
      <c r="H652" t="s">
        <v>2958</v>
      </c>
      <c r="I652">
        <v>90</v>
      </c>
      <c r="J652" t="s">
        <v>2460</v>
      </c>
      <c r="K652">
        <v>90</v>
      </c>
      <c r="L652" t="s">
        <v>2460</v>
      </c>
      <c r="M652">
        <v>90</v>
      </c>
      <c r="N652" t="s">
        <v>2460</v>
      </c>
      <c r="O652">
        <v>90</v>
      </c>
      <c r="P652" t="s">
        <v>2460</v>
      </c>
      <c r="Q652">
        <v>90</v>
      </c>
      <c r="R652" t="s">
        <v>2460</v>
      </c>
      <c r="S652" t="s">
        <v>988</v>
      </c>
    </row>
    <row r="653" spans="1:19" hidden="1" x14ac:dyDescent="0.3">
      <c r="A653">
        <v>1765</v>
      </c>
      <c r="B653" t="s">
        <v>1772</v>
      </c>
      <c r="C653" t="s">
        <v>2877</v>
      </c>
      <c r="D653" t="s">
        <v>1203</v>
      </c>
      <c r="E653" t="s">
        <v>1204</v>
      </c>
      <c r="F653">
        <v>7136</v>
      </c>
      <c r="G653" t="s">
        <v>2681</v>
      </c>
      <c r="H653" t="s">
        <v>2460</v>
      </c>
      <c r="I653">
        <v>4910.9799999999996</v>
      </c>
      <c r="J653" t="s">
        <v>2460</v>
      </c>
      <c r="K653">
        <v>0</v>
      </c>
      <c r="L653" t="s">
        <v>2460</v>
      </c>
      <c r="M653">
        <v>0</v>
      </c>
      <c r="N653" t="s">
        <v>2460</v>
      </c>
      <c r="O653">
        <v>110.49</v>
      </c>
      <c r="P653" t="s">
        <v>2460</v>
      </c>
      <c r="R653" t="s">
        <v>2460</v>
      </c>
      <c r="S653" t="s">
        <v>988</v>
      </c>
    </row>
    <row r="654" spans="1:19" hidden="1" x14ac:dyDescent="0.3">
      <c r="A654">
        <v>1765</v>
      </c>
      <c r="B654" t="s">
        <v>1772</v>
      </c>
      <c r="C654" t="s">
        <v>2877</v>
      </c>
      <c r="D654" t="s">
        <v>1203</v>
      </c>
      <c r="E654" t="s">
        <v>1204</v>
      </c>
      <c r="F654">
        <v>7136</v>
      </c>
      <c r="G654" t="s">
        <v>2691</v>
      </c>
      <c r="H654" t="s">
        <v>2460</v>
      </c>
      <c r="I654">
        <v>0</v>
      </c>
      <c r="J654" t="s">
        <v>2460</v>
      </c>
      <c r="K654">
        <v>5601.1</v>
      </c>
      <c r="L654" t="s">
        <v>2460</v>
      </c>
      <c r="M654">
        <v>5601.1</v>
      </c>
      <c r="N654" t="s">
        <v>2460</v>
      </c>
      <c r="O654">
        <v>5601.1</v>
      </c>
      <c r="P654" t="s">
        <v>2460</v>
      </c>
      <c r="R654" t="s">
        <v>2460</v>
      </c>
      <c r="S654" t="s">
        <v>988</v>
      </c>
    </row>
    <row r="655" spans="1:19" hidden="1" x14ac:dyDescent="0.3">
      <c r="A655">
        <v>1777</v>
      </c>
      <c r="B655" t="s">
        <v>1773</v>
      </c>
      <c r="C655" t="s">
        <v>2877</v>
      </c>
      <c r="D655" t="s">
        <v>1203</v>
      </c>
      <c r="E655" t="s">
        <v>1204</v>
      </c>
      <c r="F655">
        <v>5661</v>
      </c>
      <c r="G655" t="s">
        <v>2679</v>
      </c>
      <c r="H655" t="s">
        <v>3442</v>
      </c>
      <c r="I655">
        <v>3360</v>
      </c>
      <c r="J655" t="s">
        <v>2982</v>
      </c>
      <c r="K655">
        <v>6720</v>
      </c>
      <c r="L655" t="s">
        <v>2982</v>
      </c>
      <c r="M655">
        <v>6720</v>
      </c>
      <c r="N655" t="s">
        <v>2982</v>
      </c>
      <c r="O655">
        <v>6720</v>
      </c>
      <c r="P655" t="s">
        <v>2982</v>
      </c>
      <c r="Q655">
        <v>6720</v>
      </c>
      <c r="R655" t="s">
        <v>2982</v>
      </c>
      <c r="S655" t="s">
        <v>988</v>
      </c>
    </row>
    <row r="656" spans="1:19" hidden="1" x14ac:dyDescent="0.3">
      <c r="A656">
        <v>1777</v>
      </c>
      <c r="B656" t="s">
        <v>1773</v>
      </c>
      <c r="C656" t="s">
        <v>2877</v>
      </c>
      <c r="D656" t="s">
        <v>1203</v>
      </c>
      <c r="E656" t="s">
        <v>1204</v>
      </c>
      <c r="F656">
        <v>5661</v>
      </c>
      <c r="G656" t="s">
        <v>2679</v>
      </c>
      <c r="H656" t="s">
        <v>3443</v>
      </c>
      <c r="I656">
        <v>3000</v>
      </c>
      <c r="J656" t="s">
        <v>2982</v>
      </c>
      <c r="K656">
        <v>5040</v>
      </c>
      <c r="L656" t="s">
        <v>2982</v>
      </c>
      <c r="M656">
        <v>5040</v>
      </c>
      <c r="N656" t="s">
        <v>2982</v>
      </c>
      <c r="O656">
        <v>5040</v>
      </c>
      <c r="P656" t="s">
        <v>2982</v>
      </c>
      <c r="Q656">
        <v>5040</v>
      </c>
      <c r="R656" t="s">
        <v>2982</v>
      </c>
      <c r="S656" t="s">
        <v>988</v>
      </c>
    </row>
    <row r="657" spans="1:19" hidden="1" x14ac:dyDescent="0.3">
      <c r="A657">
        <v>1777</v>
      </c>
      <c r="B657" t="s">
        <v>1773</v>
      </c>
      <c r="C657" t="s">
        <v>2877</v>
      </c>
      <c r="D657" t="s">
        <v>1203</v>
      </c>
      <c r="E657" t="s">
        <v>1204</v>
      </c>
      <c r="F657">
        <v>5661</v>
      </c>
      <c r="G657" t="s">
        <v>2687</v>
      </c>
      <c r="H657" t="s">
        <v>3444</v>
      </c>
      <c r="I657">
        <v>2800</v>
      </c>
      <c r="J657" t="s">
        <v>3445</v>
      </c>
      <c r="K657">
        <v>2800</v>
      </c>
      <c r="L657" t="s">
        <v>3445</v>
      </c>
      <c r="M657">
        <v>2800</v>
      </c>
      <c r="N657" t="s">
        <v>3445</v>
      </c>
      <c r="O657">
        <v>2800</v>
      </c>
      <c r="P657" t="s">
        <v>3445</v>
      </c>
      <c r="Q657">
        <v>2800</v>
      </c>
      <c r="R657" t="s">
        <v>3445</v>
      </c>
      <c r="S657" t="s">
        <v>988</v>
      </c>
    </row>
    <row r="658" spans="1:19" hidden="1" x14ac:dyDescent="0.3">
      <c r="A658">
        <v>1777</v>
      </c>
      <c r="B658" t="s">
        <v>1773</v>
      </c>
      <c r="C658" t="s">
        <v>2877</v>
      </c>
      <c r="D658" t="s">
        <v>1203</v>
      </c>
      <c r="E658" t="s">
        <v>1204</v>
      </c>
      <c r="F658">
        <v>5661</v>
      </c>
      <c r="G658" t="s">
        <v>2683</v>
      </c>
      <c r="H658" t="s">
        <v>3120</v>
      </c>
      <c r="I658">
        <v>14881</v>
      </c>
      <c r="J658" t="s">
        <v>2982</v>
      </c>
      <c r="K658">
        <v>9578</v>
      </c>
      <c r="L658" t="s">
        <v>2982</v>
      </c>
      <c r="M658">
        <v>9750</v>
      </c>
      <c r="N658" t="s">
        <v>2982</v>
      </c>
      <c r="O658">
        <v>9808</v>
      </c>
      <c r="P658" t="s">
        <v>2982</v>
      </c>
      <c r="Q658">
        <v>9980</v>
      </c>
      <c r="R658" t="s">
        <v>2982</v>
      </c>
      <c r="S658" t="s">
        <v>988</v>
      </c>
    </row>
    <row r="659" spans="1:19" hidden="1" x14ac:dyDescent="0.3">
      <c r="A659">
        <v>1792</v>
      </c>
      <c r="B659" t="s">
        <v>1781</v>
      </c>
      <c r="C659" t="s">
        <v>2877</v>
      </c>
      <c r="D659" t="s">
        <v>1203</v>
      </c>
      <c r="E659" t="s">
        <v>1204</v>
      </c>
      <c r="F659">
        <v>6604</v>
      </c>
      <c r="G659" t="s">
        <v>2681</v>
      </c>
      <c r="H659" t="s">
        <v>3446</v>
      </c>
      <c r="I659">
        <v>20082.8020904</v>
      </c>
      <c r="J659" t="s">
        <v>2460</v>
      </c>
      <c r="K659">
        <v>20082.8020904</v>
      </c>
      <c r="L659" t="s">
        <v>2460</v>
      </c>
      <c r="M659">
        <v>20082.8020904</v>
      </c>
      <c r="N659" t="s">
        <v>2460</v>
      </c>
      <c r="O659">
        <v>20082.8020904</v>
      </c>
      <c r="P659" t="s">
        <v>2460</v>
      </c>
      <c r="Q659">
        <v>20082.8020904</v>
      </c>
      <c r="R659" t="s">
        <v>2460</v>
      </c>
      <c r="S659" t="s">
        <v>988</v>
      </c>
    </row>
    <row r="660" spans="1:19" hidden="1" x14ac:dyDescent="0.3">
      <c r="A660">
        <v>1793</v>
      </c>
      <c r="B660" t="s">
        <v>1785</v>
      </c>
      <c r="C660" t="s">
        <v>2877</v>
      </c>
      <c r="D660" t="s">
        <v>1203</v>
      </c>
      <c r="E660" t="s">
        <v>1204</v>
      </c>
      <c r="F660">
        <v>5763</v>
      </c>
      <c r="G660" t="s">
        <v>2681</v>
      </c>
      <c r="H660" t="s">
        <v>3447</v>
      </c>
      <c r="I660">
        <v>0</v>
      </c>
      <c r="J660" t="s">
        <v>2460</v>
      </c>
      <c r="K660">
        <v>0</v>
      </c>
      <c r="L660" t="s">
        <v>2460</v>
      </c>
      <c r="M660">
        <v>0</v>
      </c>
      <c r="N660" t="s">
        <v>2460</v>
      </c>
      <c r="O660">
        <v>0</v>
      </c>
      <c r="P660" t="s">
        <v>2460</v>
      </c>
      <c r="R660" t="s">
        <v>2460</v>
      </c>
      <c r="S660" t="s">
        <v>988</v>
      </c>
    </row>
    <row r="661" spans="1:19" hidden="1" x14ac:dyDescent="0.3">
      <c r="A661">
        <v>1793</v>
      </c>
      <c r="B661" t="s">
        <v>1785</v>
      </c>
      <c r="C661" t="s">
        <v>2877</v>
      </c>
      <c r="D661" t="s">
        <v>1203</v>
      </c>
      <c r="E661" t="s">
        <v>1204</v>
      </c>
      <c r="F661">
        <v>5763</v>
      </c>
      <c r="G661" t="s">
        <v>2679</v>
      </c>
      <c r="H661" t="s">
        <v>2460</v>
      </c>
      <c r="I661">
        <v>2693</v>
      </c>
      <c r="J661" t="s">
        <v>2460</v>
      </c>
      <c r="K661">
        <v>2819</v>
      </c>
      <c r="L661" t="s">
        <v>2460</v>
      </c>
      <c r="M661">
        <v>2834</v>
      </c>
      <c r="N661" t="s">
        <v>2460</v>
      </c>
      <c r="O661">
        <v>2855</v>
      </c>
      <c r="P661" t="s">
        <v>2460</v>
      </c>
      <c r="R661" t="s">
        <v>2460</v>
      </c>
      <c r="S661" t="s">
        <v>988</v>
      </c>
    </row>
    <row r="662" spans="1:19" hidden="1" x14ac:dyDescent="0.3">
      <c r="A662">
        <v>1793</v>
      </c>
      <c r="B662" t="s">
        <v>1785</v>
      </c>
      <c r="C662" t="s">
        <v>2877</v>
      </c>
      <c r="D662" t="s">
        <v>1203</v>
      </c>
      <c r="E662" t="s">
        <v>1204</v>
      </c>
      <c r="F662">
        <v>5763</v>
      </c>
      <c r="G662" t="s">
        <v>2683</v>
      </c>
      <c r="H662" t="s">
        <v>3120</v>
      </c>
      <c r="I662">
        <v>17410</v>
      </c>
      <c r="J662" t="s">
        <v>2460</v>
      </c>
      <c r="K662">
        <v>16960</v>
      </c>
      <c r="L662" t="s">
        <v>2460</v>
      </c>
      <c r="M662">
        <v>16640</v>
      </c>
      <c r="N662" t="s">
        <v>2460</v>
      </c>
      <c r="O662">
        <v>16310</v>
      </c>
      <c r="P662" t="s">
        <v>2460</v>
      </c>
      <c r="R662" t="s">
        <v>2460</v>
      </c>
      <c r="S662" t="s">
        <v>988</v>
      </c>
    </row>
    <row r="663" spans="1:19" hidden="1" x14ac:dyDescent="0.3">
      <c r="A663">
        <v>1795</v>
      </c>
      <c r="B663" t="s">
        <v>1787</v>
      </c>
      <c r="C663" t="s">
        <v>2877</v>
      </c>
      <c r="D663" t="s">
        <v>1203</v>
      </c>
      <c r="E663" t="s">
        <v>1204</v>
      </c>
      <c r="F663">
        <v>5536</v>
      </c>
      <c r="G663" t="s">
        <v>2683</v>
      </c>
      <c r="H663" t="s">
        <v>2133</v>
      </c>
      <c r="I663">
        <v>8533</v>
      </c>
      <c r="J663" t="s">
        <v>2460</v>
      </c>
      <c r="K663">
        <v>8533</v>
      </c>
      <c r="L663" t="s">
        <v>2460</v>
      </c>
      <c r="M663">
        <v>8533</v>
      </c>
      <c r="N663" t="s">
        <v>2460</v>
      </c>
      <c r="O663">
        <v>8533</v>
      </c>
      <c r="P663" t="s">
        <v>2460</v>
      </c>
      <c r="Q663">
        <v>8533</v>
      </c>
      <c r="R663" t="s">
        <v>2460</v>
      </c>
      <c r="S663" t="s">
        <v>988</v>
      </c>
    </row>
    <row r="664" spans="1:19" hidden="1" x14ac:dyDescent="0.3">
      <c r="A664">
        <v>1795</v>
      </c>
      <c r="B664" t="s">
        <v>1787</v>
      </c>
      <c r="C664" t="s">
        <v>2877</v>
      </c>
      <c r="D664" t="s">
        <v>1203</v>
      </c>
      <c r="E664" t="s">
        <v>1204</v>
      </c>
      <c r="F664">
        <v>5536</v>
      </c>
      <c r="G664" t="s">
        <v>2683</v>
      </c>
      <c r="H664" t="s">
        <v>2194</v>
      </c>
      <c r="I664">
        <v>600</v>
      </c>
      <c r="J664" t="s">
        <v>2460</v>
      </c>
      <c r="K664">
        <v>600</v>
      </c>
      <c r="L664" t="s">
        <v>2460</v>
      </c>
      <c r="M664">
        <v>600</v>
      </c>
      <c r="N664" t="s">
        <v>2460</v>
      </c>
      <c r="O664">
        <v>600</v>
      </c>
      <c r="P664" t="s">
        <v>2460</v>
      </c>
      <c r="Q664">
        <v>600</v>
      </c>
      <c r="R664" t="s">
        <v>2460</v>
      </c>
      <c r="S664" t="s">
        <v>988</v>
      </c>
    </row>
    <row r="665" spans="1:19" hidden="1" x14ac:dyDescent="0.3">
      <c r="A665">
        <v>1795</v>
      </c>
      <c r="B665" t="s">
        <v>1787</v>
      </c>
      <c r="C665" t="s">
        <v>2877</v>
      </c>
      <c r="D665" t="s">
        <v>1203</v>
      </c>
      <c r="E665" t="s">
        <v>1204</v>
      </c>
      <c r="F665">
        <v>5536</v>
      </c>
      <c r="G665" t="s">
        <v>2683</v>
      </c>
      <c r="H665" t="s">
        <v>2237</v>
      </c>
      <c r="I665">
        <v>11000</v>
      </c>
      <c r="J665" t="s">
        <v>2460</v>
      </c>
      <c r="K665">
        <v>13000</v>
      </c>
      <c r="L665" t="s">
        <v>2460</v>
      </c>
      <c r="M665">
        <v>15000</v>
      </c>
      <c r="N665" t="s">
        <v>2460</v>
      </c>
      <c r="O665">
        <v>17000</v>
      </c>
      <c r="P665" t="s">
        <v>2460</v>
      </c>
      <c r="Q665">
        <v>17000</v>
      </c>
      <c r="R665" t="s">
        <v>2460</v>
      </c>
      <c r="S665" t="s">
        <v>988</v>
      </c>
    </row>
    <row r="666" spans="1:19" hidden="1" x14ac:dyDescent="0.3">
      <c r="A666">
        <v>1795</v>
      </c>
      <c r="B666" t="s">
        <v>1787</v>
      </c>
      <c r="C666" t="s">
        <v>2877</v>
      </c>
      <c r="D666" t="s">
        <v>1203</v>
      </c>
      <c r="E666" t="s">
        <v>1204</v>
      </c>
      <c r="F666">
        <v>5536</v>
      </c>
      <c r="G666" t="s">
        <v>2681</v>
      </c>
      <c r="H666" t="s">
        <v>3137</v>
      </c>
      <c r="I666">
        <v>20249</v>
      </c>
      <c r="J666" t="s">
        <v>2460</v>
      </c>
      <c r="K666">
        <v>22915</v>
      </c>
      <c r="L666" t="s">
        <v>2460</v>
      </c>
      <c r="M666">
        <v>24943</v>
      </c>
      <c r="N666" t="s">
        <v>2460</v>
      </c>
      <c r="O666">
        <v>31476</v>
      </c>
      <c r="P666" t="s">
        <v>2460</v>
      </c>
      <c r="Q666">
        <v>31476</v>
      </c>
      <c r="R666" t="s">
        <v>2460</v>
      </c>
      <c r="S666" t="s">
        <v>988</v>
      </c>
    </row>
    <row r="667" spans="1:19" hidden="1" x14ac:dyDescent="0.3">
      <c r="A667">
        <v>1795</v>
      </c>
      <c r="B667" t="s">
        <v>1787</v>
      </c>
      <c r="C667" t="s">
        <v>2877</v>
      </c>
      <c r="D667" t="s">
        <v>1203</v>
      </c>
      <c r="E667" t="s">
        <v>1204</v>
      </c>
      <c r="F667">
        <v>5536</v>
      </c>
      <c r="G667" t="s">
        <v>2679</v>
      </c>
      <c r="H667" t="s">
        <v>2169</v>
      </c>
      <c r="I667">
        <v>12168</v>
      </c>
      <c r="J667" t="s">
        <v>2460</v>
      </c>
      <c r="K667">
        <v>13465</v>
      </c>
      <c r="L667" t="s">
        <v>2460</v>
      </c>
      <c r="M667">
        <v>14762</v>
      </c>
      <c r="N667" t="s">
        <v>2460</v>
      </c>
      <c r="O667">
        <v>16059</v>
      </c>
      <c r="P667" t="s">
        <v>2460</v>
      </c>
      <c r="Q667">
        <v>16059</v>
      </c>
      <c r="R667" t="s">
        <v>2460</v>
      </c>
      <c r="S667" t="s">
        <v>988</v>
      </c>
    </row>
    <row r="668" spans="1:19" hidden="1" x14ac:dyDescent="0.3">
      <c r="A668">
        <v>1797</v>
      </c>
      <c r="B668" t="s">
        <v>1788</v>
      </c>
      <c r="C668" t="s">
        <v>2877</v>
      </c>
      <c r="D668" t="s">
        <v>1203</v>
      </c>
      <c r="E668" t="s">
        <v>1204</v>
      </c>
      <c r="F668">
        <v>6744</v>
      </c>
      <c r="G668" t="s">
        <v>2691</v>
      </c>
      <c r="H668" t="s">
        <v>3448</v>
      </c>
      <c r="I668">
        <v>1200</v>
      </c>
      <c r="J668" t="s">
        <v>2460</v>
      </c>
      <c r="K668">
        <v>1200</v>
      </c>
      <c r="L668" t="s">
        <v>2460</v>
      </c>
      <c r="M668">
        <v>1200</v>
      </c>
      <c r="N668" t="s">
        <v>2460</v>
      </c>
      <c r="O668">
        <v>1200.4000000000001</v>
      </c>
      <c r="P668" t="s">
        <v>2460</v>
      </c>
      <c r="Q668">
        <v>1200</v>
      </c>
      <c r="R668" t="s">
        <v>2460</v>
      </c>
      <c r="S668" t="s">
        <v>988</v>
      </c>
    </row>
    <row r="669" spans="1:19" hidden="1" x14ac:dyDescent="0.3">
      <c r="A669">
        <v>1797</v>
      </c>
      <c r="B669" t="s">
        <v>1788</v>
      </c>
      <c r="C669" t="s">
        <v>2877</v>
      </c>
      <c r="D669" t="s">
        <v>1203</v>
      </c>
      <c r="E669" t="s">
        <v>1204</v>
      </c>
      <c r="F669">
        <v>6744</v>
      </c>
      <c r="G669" t="s">
        <v>2683</v>
      </c>
      <c r="H669" t="s">
        <v>2965</v>
      </c>
      <c r="I669">
        <v>2885</v>
      </c>
      <c r="J669" t="s">
        <v>2460</v>
      </c>
      <c r="K669">
        <v>3020</v>
      </c>
      <c r="L669" t="s">
        <v>2460</v>
      </c>
      <c r="M669">
        <v>3023</v>
      </c>
      <c r="N669" t="s">
        <v>2460</v>
      </c>
      <c r="O669">
        <v>3019.4889675153399</v>
      </c>
      <c r="P669" t="s">
        <v>2460</v>
      </c>
      <c r="Q669">
        <v>3012</v>
      </c>
      <c r="R669" t="s">
        <v>2460</v>
      </c>
      <c r="S669" t="s">
        <v>988</v>
      </c>
    </row>
    <row r="670" spans="1:19" hidden="1" x14ac:dyDescent="0.3">
      <c r="A670">
        <v>1797</v>
      </c>
      <c r="B670" t="s">
        <v>1788</v>
      </c>
      <c r="C670" t="s">
        <v>2877</v>
      </c>
      <c r="D670" t="s">
        <v>1203</v>
      </c>
      <c r="E670" t="s">
        <v>1204</v>
      </c>
      <c r="F670">
        <v>6744</v>
      </c>
      <c r="G670" t="s">
        <v>2681</v>
      </c>
      <c r="H670" t="s">
        <v>2893</v>
      </c>
      <c r="I670">
        <v>23148</v>
      </c>
      <c r="J670" t="s">
        <v>2460</v>
      </c>
      <c r="K670">
        <v>23913</v>
      </c>
      <c r="L670" t="s">
        <v>2460</v>
      </c>
      <c r="M670">
        <v>23928</v>
      </c>
      <c r="N670" t="s">
        <v>2460</v>
      </c>
      <c r="O670">
        <v>23910</v>
      </c>
      <c r="P670" t="s">
        <v>2460</v>
      </c>
      <c r="Q670">
        <v>23865</v>
      </c>
      <c r="R670" t="s">
        <v>2460</v>
      </c>
      <c r="S670" t="s">
        <v>988</v>
      </c>
    </row>
    <row r="671" spans="1:19" hidden="1" x14ac:dyDescent="0.3">
      <c r="A671">
        <v>1803</v>
      </c>
      <c r="B671" t="s">
        <v>1789</v>
      </c>
      <c r="C671" t="s">
        <v>2877</v>
      </c>
      <c r="D671" t="s">
        <v>1203</v>
      </c>
      <c r="E671" t="s">
        <v>1204</v>
      </c>
      <c r="F671">
        <v>5880</v>
      </c>
      <c r="G671" t="s">
        <v>2683</v>
      </c>
      <c r="H671" t="s">
        <v>3449</v>
      </c>
      <c r="I671">
        <v>3723</v>
      </c>
      <c r="J671" t="s">
        <v>2460</v>
      </c>
      <c r="K671">
        <v>3778</v>
      </c>
      <c r="L671" t="s">
        <v>2460</v>
      </c>
      <c r="M671">
        <v>3771</v>
      </c>
      <c r="N671" t="s">
        <v>2460</v>
      </c>
      <c r="O671">
        <v>3852</v>
      </c>
      <c r="P671" t="s">
        <v>2460</v>
      </c>
      <c r="R671" t="s">
        <v>2460</v>
      </c>
      <c r="S671" t="s">
        <v>988</v>
      </c>
    </row>
    <row r="672" spans="1:19" hidden="1" x14ac:dyDescent="0.3">
      <c r="A672">
        <v>1804</v>
      </c>
      <c r="B672" t="s">
        <v>1791</v>
      </c>
      <c r="C672" t="s">
        <v>2877</v>
      </c>
      <c r="D672" t="s">
        <v>159</v>
      </c>
      <c r="E672" t="s">
        <v>159</v>
      </c>
      <c r="F672">
        <v>7865</v>
      </c>
      <c r="G672" t="s">
        <v>2687</v>
      </c>
      <c r="H672" t="s">
        <v>3450</v>
      </c>
      <c r="I672">
        <v>1993</v>
      </c>
      <c r="J672" t="s">
        <v>2460</v>
      </c>
      <c r="K672">
        <v>2017</v>
      </c>
      <c r="L672" t="s">
        <v>2460</v>
      </c>
      <c r="M672">
        <v>2042</v>
      </c>
      <c r="N672" t="s">
        <v>2460</v>
      </c>
      <c r="O672">
        <v>2067</v>
      </c>
      <c r="P672" t="s">
        <v>2460</v>
      </c>
      <c r="R672" t="s">
        <v>2460</v>
      </c>
      <c r="S672" t="s">
        <v>988</v>
      </c>
    </row>
    <row r="673" spans="1:19" hidden="1" x14ac:dyDescent="0.3">
      <c r="A673">
        <v>1821</v>
      </c>
      <c r="B673" t="s">
        <v>1792</v>
      </c>
      <c r="C673" t="s">
        <v>2877</v>
      </c>
      <c r="D673" t="s">
        <v>1203</v>
      </c>
      <c r="E673" t="s">
        <v>1204</v>
      </c>
      <c r="F673">
        <v>5457</v>
      </c>
      <c r="G673" t="s">
        <v>2681</v>
      </c>
      <c r="H673" t="s">
        <v>3451</v>
      </c>
      <c r="I673">
        <v>0</v>
      </c>
      <c r="J673" t="s">
        <v>2460</v>
      </c>
      <c r="K673">
        <v>0</v>
      </c>
      <c r="L673" t="s">
        <v>2460</v>
      </c>
      <c r="M673">
        <v>400</v>
      </c>
      <c r="N673" t="s">
        <v>2460</v>
      </c>
      <c r="O673">
        <v>400</v>
      </c>
      <c r="P673" t="s">
        <v>2460</v>
      </c>
      <c r="Q673">
        <v>400</v>
      </c>
      <c r="R673" t="s">
        <v>2460</v>
      </c>
      <c r="S673" t="s">
        <v>988</v>
      </c>
    </row>
    <row r="674" spans="1:19" hidden="1" x14ac:dyDescent="0.3">
      <c r="A674">
        <v>1821</v>
      </c>
      <c r="B674" t="s">
        <v>1792</v>
      </c>
      <c r="C674" t="s">
        <v>2877</v>
      </c>
      <c r="D674" t="s">
        <v>1203</v>
      </c>
      <c r="E674" t="s">
        <v>1204</v>
      </c>
      <c r="F674">
        <v>5457</v>
      </c>
      <c r="G674" t="s">
        <v>687</v>
      </c>
      <c r="H674" t="s">
        <v>3452</v>
      </c>
      <c r="I674">
        <v>0</v>
      </c>
      <c r="J674" t="s">
        <v>2460</v>
      </c>
      <c r="K674">
        <v>0</v>
      </c>
      <c r="L674" t="s">
        <v>2460</v>
      </c>
      <c r="M674">
        <v>4400</v>
      </c>
      <c r="N674" t="s">
        <v>2460</v>
      </c>
      <c r="O674">
        <v>4400</v>
      </c>
      <c r="P674" t="s">
        <v>2460</v>
      </c>
      <c r="Q674">
        <v>4400</v>
      </c>
      <c r="R674" t="s">
        <v>2460</v>
      </c>
      <c r="S674" t="s">
        <v>988</v>
      </c>
    </row>
    <row r="675" spans="1:19" hidden="1" x14ac:dyDescent="0.3">
      <c r="A675">
        <v>1821</v>
      </c>
      <c r="B675" t="s">
        <v>1792</v>
      </c>
      <c r="C675" t="s">
        <v>2877</v>
      </c>
      <c r="D675" t="s">
        <v>1203</v>
      </c>
      <c r="E675" t="s">
        <v>1204</v>
      </c>
      <c r="F675">
        <v>5457</v>
      </c>
      <c r="G675" t="s">
        <v>2689</v>
      </c>
      <c r="H675" t="s">
        <v>3453</v>
      </c>
      <c r="I675">
        <v>0</v>
      </c>
      <c r="J675" t="s">
        <v>2460</v>
      </c>
      <c r="K675">
        <v>6700</v>
      </c>
      <c r="L675" t="s">
        <v>2460</v>
      </c>
      <c r="M675">
        <v>6700</v>
      </c>
      <c r="N675" t="s">
        <v>2460</v>
      </c>
      <c r="O675">
        <v>6700</v>
      </c>
      <c r="P675" t="s">
        <v>2460</v>
      </c>
      <c r="Q675">
        <v>6700</v>
      </c>
      <c r="R675" t="s">
        <v>2460</v>
      </c>
      <c r="S675" t="s">
        <v>988</v>
      </c>
    </row>
    <row r="676" spans="1:19" hidden="1" x14ac:dyDescent="0.3">
      <c r="A676">
        <v>1821</v>
      </c>
      <c r="B676" t="s">
        <v>1792</v>
      </c>
      <c r="C676" t="s">
        <v>2877</v>
      </c>
      <c r="D676" t="s">
        <v>1203</v>
      </c>
      <c r="E676" t="s">
        <v>1204</v>
      </c>
      <c r="F676">
        <v>5457</v>
      </c>
      <c r="G676" t="s">
        <v>2681</v>
      </c>
      <c r="H676" t="s">
        <v>3454</v>
      </c>
      <c r="I676">
        <v>0</v>
      </c>
      <c r="J676" t="s">
        <v>2460</v>
      </c>
      <c r="K676">
        <v>0</v>
      </c>
      <c r="L676" t="s">
        <v>2460</v>
      </c>
      <c r="M676">
        <v>1000</v>
      </c>
      <c r="N676" t="s">
        <v>2460</v>
      </c>
      <c r="O676">
        <v>1000</v>
      </c>
      <c r="P676" t="s">
        <v>2460</v>
      </c>
      <c r="Q676">
        <v>1000</v>
      </c>
      <c r="R676" t="s">
        <v>2460</v>
      </c>
      <c r="S676" t="s">
        <v>988</v>
      </c>
    </row>
    <row r="677" spans="1:19" hidden="1" x14ac:dyDescent="0.3">
      <c r="A677">
        <v>1821</v>
      </c>
      <c r="B677" t="s">
        <v>1792</v>
      </c>
      <c r="C677" t="s">
        <v>2877</v>
      </c>
      <c r="D677" t="s">
        <v>1203</v>
      </c>
      <c r="E677" t="s">
        <v>1204</v>
      </c>
      <c r="F677">
        <v>5457</v>
      </c>
      <c r="G677" t="s">
        <v>2683</v>
      </c>
      <c r="H677" t="s">
        <v>3455</v>
      </c>
      <c r="I677">
        <v>10000</v>
      </c>
      <c r="J677" t="s">
        <v>2460</v>
      </c>
      <c r="K677">
        <v>10000</v>
      </c>
      <c r="L677" t="s">
        <v>2460</v>
      </c>
      <c r="M677">
        <v>10000</v>
      </c>
      <c r="N677" t="s">
        <v>2460</v>
      </c>
      <c r="O677">
        <v>10000</v>
      </c>
      <c r="P677" t="s">
        <v>2460</v>
      </c>
      <c r="Q677">
        <v>10000</v>
      </c>
      <c r="R677" t="s">
        <v>2460</v>
      </c>
      <c r="S677" t="s">
        <v>988</v>
      </c>
    </row>
    <row r="678" spans="1:19" hidden="1" x14ac:dyDescent="0.3">
      <c r="A678">
        <v>1821</v>
      </c>
      <c r="B678" t="s">
        <v>1792</v>
      </c>
      <c r="C678" t="s">
        <v>2877</v>
      </c>
      <c r="D678" t="s">
        <v>1203</v>
      </c>
      <c r="E678" t="s">
        <v>1204</v>
      </c>
      <c r="F678">
        <v>5457</v>
      </c>
      <c r="G678" t="s">
        <v>2679</v>
      </c>
      <c r="H678" t="s">
        <v>2460</v>
      </c>
      <c r="I678">
        <v>4500</v>
      </c>
      <c r="J678" t="s">
        <v>2460</v>
      </c>
      <c r="K678">
        <v>5000</v>
      </c>
      <c r="L678" t="s">
        <v>2460</v>
      </c>
      <c r="M678">
        <v>5100</v>
      </c>
      <c r="N678" t="s">
        <v>2460</v>
      </c>
      <c r="O678">
        <v>5200</v>
      </c>
      <c r="P678" t="s">
        <v>2460</v>
      </c>
      <c r="Q678">
        <v>5300</v>
      </c>
      <c r="R678" t="s">
        <v>2460</v>
      </c>
      <c r="S678" t="s">
        <v>988</v>
      </c>
    </row>
    <row r="679" spans="1:19" hidden="1" x14ac:dyDescent="0.3">
      <c r="A679">
        <v>1821</v>
      </c>
      <c r="B679" t="s">
        <v>1792</v>
      </c>
      <c r="C679" t="s">
        <v>2877</v>
      </c>
      <c r="D679" t="s">
        <v>1203</v>
      </c>
      <c r="E679" t="s">
        <v>1204</v>
      </c>
      <c r="F679">
        <v>5457</v>
      </c>
      <c r="G679" t="s">
        <v>2681</v>
      </c>
      <c r="H679" t="s">
        <v>3456</v>
      </c>
      <c r="I679">
        <v>0</v>
      </c>
      <c r="J679" t="s">
        <v>2460</v>
      </c>
      <c r="K679">
        <v>0</v>
      </c>
      <c r="L679" t="s">
        <v>2460</v>
      </c>
      <c r="M679">
        <v>500</v>
      </c>
      <c r="N679" t="s">
        <v>2460</v>
      </c>
      <c r="O679">
        <v>500</v>
      </c>
      <c r="P679" t="s">
        <v>2460</v>
      </c>
      <c r="Q679">
        <v>500</v>
      </c>
      <c r="R679" t="s">
        <v>2460</v>
      </c>
      <c r="S679" t="s">
        <v>988</v>
      </c>
    </row>
    <row r="680" spans="1:19" hidden="1" x14ac:dyDescent="0.3">
      <c r="A680">
        <v>1821</v>
      </c>
      <c r="B680" t="s">
        <v>1792</v>
      </c>
      <c r="C680" t="s">
        <v>2877</v>
      </c>
      <c r="D680" t="s">
        <v>1203</v>
      </c>
      <c r="E680" t="s">
        <v>1204</v>
      </c>
      <c r="F680">
        <v>5457</v>
      </c>
      <c r="G680" t="s">
        <v>2683</v>
      </c>
      <c r="H680" t="s">
        <v>3457</v>
      </c>
      <c r="I680">
        <v>33465</v>
      </c>
      <c r="J680" t="s">
        <v>2460</v>
      </c>
      <c r="K680">
        <v>35736</v>
      </c>
      <c r="L680" t="s">
        <v>2460</v>
      </c>
      <c r="M680">
        <v>38536</v>
      </c>
      <c r="N680" t="s">
        <v>2460</v>
      </c>
      <c r="O680">
        <v>41767</v>
      </c>
      <c r="P680" t="s">
        <v>2460</v>
      </c>
      <c r="Q680">
        <v>45265</v>
      </c>
      <c r="R680" t="s">
        <v>2460</v>
      </c>
      <c r="S680" t="s">
        <v>988</v>
      </c>
    </row>
    <row r="681" spans="1:19" hidden="1" x14ac:dyDescent="0.3">
      <c r="A681">
        <v>1827</v>
      </c>
      <c r="B681" t="s">
        <v>1794</v>
      </c>
      <c r="C681" t="s">
        <v>2877</v>
      </c>
      <c r="D681" t="s">
        <v>1203</v>
      </c>
      <c r="E681" t="s">
        <v>1204</v>
      </c>
      <c r="F681">
        <v>5837</v>
      </c>
      <c r="G681" t="s">
        <v>687</v>
      </c>
      <c r="H681" t="s">
        <v>3458</v>
      </c>
      <c r="I681">
        <v>917</v>
      </c>
      <c r="J681" t="s">
        <v>2982</v>
      </c>
      <c r="K681">
        <v>1857</v>
      </c>
      <c r="L681" t="s">
        <v>2982</v>
      </c>
      <c r="M681">
        <v>2704</v>
      </c>
      <c r="N681" t="s">
        <v>2982</v>
      </c>
      <c r="O681">
        <v>3581</v>
      </c>
      <c r="P681" t="s">
        <v>2982</v>
      </c>
      <c r="Q681">
        <v>3581</v>
      </c>
      <c r="R681" t="s">
        <v>2982</v>
      </c>
      <c r="S681" t="s">
        <v>988</v>
      </c>
    </row>
    <row r="682" spans="1:19" hidden="1" x14ac:dyDescent="0.3">
      <c r="A682">
        <v>1827</v>
      </c>
      <c r="B682" t="s">
        <v>1794</v>
      </c>
      <c r="C682" t="s">
        <v>2877</v>
      </c>
      <c r="D682" t="s">
        <v>1203</v>
      </c>
      <c r="E682" t="s">
        <v>1204</v>
      </c>
      <c r="F682">
        <v>5837</v>
      </c>
      <c r="G682" t="s">
        <v>2683</v>
      </c>
      <c r="H682" t="s">
        <v>3459</v>
      </c>
      <c r="I682">
        <v>9630</v>
      </c>
      <c r="J682" t="s">
        <v>2982</v>
      </c>
      <c r="K682">
        <v>7364</v>
      </c>
      <c r="L682" t="s">
        <v>2982</v>
      </c>
      <c r="M682">
        <v>6987</v>
      </c>
      <c r="N682" t="s">
        <v>2982</v>
      </c>
      <c r="O682">
        <v>7387</v>
      </c>
      <c r="P682" t="s">
        <v>2982</v>
      </c>
      <c r="Q682">
        <v>6169</v>
      </c>
      <c r="R682" t="s">
        <v>2982</v>
      </c>
      <c r="S682" t="s">
        <v>988</v>
      </c>
    </row>
    <row r="683" spans="1:19" hidden="1" x14ac:dyDescent="0.3">
      <c r="A683">
        <v>1827</v>
      </c>
      <c r="B683" t="s">
        <v>1794</v>
      </c>
      <c r="C683" t="s">
        <v>2877</v>
      </c>
      <c r="D683" t="s">
        <v>1203</v>
      </c>
      <c r="E683" t="s">
        <v>1204</v>
      </c>
      <c r="F683">
        <v>5837</v>
      </c>
      <c r="G683" t="s">
        <v>2683</v>
      </c>
      <c r="H683" t="s">
        <v>3460</v>
      </c>
      <c r="I683">
        <v>8332</v>
      </c>
      <c r="J683" t="s">
        <v>2982</v>
      </c>
      <c r="K683">
        <v>7268</v>
      </c>
      <c r="L683" t="s">
        <v>2982</v>
      </c>
      <c r="M683">
        <v>6204</v>
      </c>
      <c r="N683" t="s">
        <v>2982</v>
      </c>
      <c r="O683">
        <v>5140</v>
      </c>
      <c r="P683" t="s">
        <v>2982</v>
      </c>
      <c r="Q683">
        <v>5241</v>
      </c>
      <c r="R683" t="s">
        <v>2982</v>
      </c>
      <c r="S683" t="s">
        <v>988</v>
      </c>
    </row>
    <row r="684" spans="1:19" hidden="1" x14ac:dyDescent="0.3">
      <c r="A684">
        <v>1827</v>
      </c>
      <c r="B684" t="s">
        <v>1794</v>
      </c>
      <c r="C684" t="s">
        <v>2877</v>
      </c>
      <c r="D684" t="s">
        <v>1203</v>
      </c>
      <c r="E684" t="s">
        <v>1204</v>
      </c>
      <c r="F684">
        <v>5837</v>
      </c>
      <c r="G684" t="s">
        <v>2681</v>
      </c>
      <c r="H684" t="s">
        <v>3461</v>
      </c>
      <c r="I684">
        <v>6754</v>
      </c>
      <c r="J684" t="s">
        <v>2982</v>
      </c>
      <c r="K684">
        <v>5892</v>
      </c>
      <c r="L684" t="s">
        <v>2982</v>
      </c>
      <c r="M684">
        <v>5029</v>
      </c>
      <c r="N684" t="s">
        <v>2982</v>
      </c>
      <c r="O684">
        <v>4166</v>
      </c>
      <c r="P684" t="s">
        <v>2982</v>
      </c>
      <c r="Q684">
        <v>4258</v>
      </c>
      <c r="R684" t="s">
        <v>2982</v>
      </c>
      <c r="S684" t="s">
        <v>988</v>
      </c>
    </row>
    <row r="685" spans="1:19" hidden="1" x14ac:dyDescent="0.3">
      <c r="A685">
        <v>1827</v>
      </c>
      <c r="B685" t="s">
        <v>1794</v>
      </c>
      <c r="C685" t="s">
        <v>2877</v>
      </c>
      <c r="D685" t="s">
        <v>1203</v>
      </c>
      <c r="E685" t="s">
        <v>1204</v>
      </c>
      <c r="F685">
        <v>5837</v>
      </c>
      <c r="G685" t="s">
        <v>2679</v>
      </c>
      <c r="H685" t="s">
        <v>3462</v>
      </c>
      <c r="I685">
        <v>6000</v>
      </c>
      <c r="J685" t="s">
        <v>2982</v>
      </c>
      <c r="K685">
        <v>11904</v>
      </c>
      <c r="L685" t="s">
        <v>2982</v>
      </c>
      <c r="M685">
        <v>11904</v>
      </c>
      <c r="N685" t="s">
        <v>2982</v>
      </c>
      <c r="O685">
        <v>11904</v>
      </c>
      <c r="P685" t="s">
        <v>2982</v>
      </c>
      <c r="Q685">
        <v>11904</v>
      </c>
      <c r="R685" t="s">
        <v>2982</v>
      </c>
      <c r="S685" t="s">
        <v>988</v>
      </c>
    </row>
    <row r="686" spans="1:19" hidden="1" x14ac:dyDescent="0.3">
      <c r="A686">
        <v>1827</v>
      </c>
      <c r="B686" t="s">
        <v>1794</v>
      </c>
      <c r="C686" t="s">
        <v>2877</v>
      </c>
      <c r="D686" t="s">
        <v>1203</v>
      </c>
      <c r="E686" t="s">
        <v>1204</v>
      </c>
      <c r="F686">
        <v>5837</v>
      </c>
      <c r="G686" t="s">
        <v>687</v>
      </c>
      <c r="H686" t="s">
        <v>3463</v>
      </c>
      <c r="I686">
        <v>1500</v>
      </c>
      <c r="J686" t="s">
        <v>2982</v>
      </c>
      <c r="K686">
        <v>4800</v>
      </c>
      <c r="L686" t="s">
        <v>2982</v>
      </c>
      <c r="M686">
        <v>6600</v>
      </c>
      <c r="N686" t="s">
        <v>2982</v>
      </c>
      <c r="O686">
        <v>7600</v>
      </c>
      <c r="P686" t="s">
        <v>2982</v>
      </c>
      <c r="Q686">
        <v>9100</v>
      </c>
      <c r="R686" t="s">
        <v>2982</v>
      </c>
      <c r="S686" t="s">
        <v>988</v>
      </c>
    </row>
    <row r="687" spans="1:19" hidden="1" x14ac:dyDescent="0.3">
      <c r="A687">
        <v>1827</v>
      </c>
      <c r="B687" t="s">
        <v>1794</v>
      </c>
      <c r="C687" t="s">
        <v>2877</v>
      </c>
      <c r="D687" t="s">
        <v>1203</v>
      </c>
      <c r="E687" t="s">
        <v>1204</v>
      </c>
      <c r="F687">
        <v>5837</v>
      </c>
      <c r="G687" t="s">
        <v>687</v>
      </c>
      <c r="H687" t="s">
        <v>3464</v>
      </c>
      <c r="I687">
        <v>1500</v>
      </c>
      <c r="J687" t="s">
        <v>2982</v>
      </c>
      <c r="K687">
        <v>3000</v>
      </c>
      <c r="L687" t="s">
        <v>2982</v>
      </c>
      <c r="M687">
        <v>4000</v>
      </c>
      <c r="N687" t="s">
        <v>2982</v>
      </c>
      <c r="O687">
        <v>5000</v>
      </c>
      <c r="P687" t="s">
        <v>2982</v>
      </c>
      <c r="Q687">
        <v>5000</v>
      </c>
      <c r="R687" t="s">
        <v>2982</v>
      </c>
      <c r="S687" t="s">
        <v>988</v>
      </c>
    </row>
    <row r="688" spans="1:19" hidden="1" x14ac:dyDescent="0.3">
      <c r="A688">
        <v>1827</v>
      </c>
      <c r="B688" t="s">
        <v>1794</v>
      </c>
      <c r="C688" t="s">
        <v>2877</v>
      </c>
      <c r="D688" t="s">
        <v>1203</v>
      </c>
      <c r="E688" t="s">
        <v>1204</v>
      </c>
      <c r="F688">
        <v>5837</v>
      </c>
      <c r="G688" t="s">
        <v>687</v>
      </c>
      <c r="H688" t="s">
        <v>3465</v>
      </c>
      <c r="I688">
        <v>186</v>
      </c>
      <c r="J688" t="s">
        <v>2982</v>
      </c>
      <c r="K688">
        <v>0</v>
      </c>
      <c r="L688" t="s">
        <v>2982</v>
      </c>
      <c r="M688">
        <v>0</v>
      </c>
      <c r="N688" t="s">
        <v>2982</v>
      </c>
      <c r="O688">
        <v>0</v>
      </c>
      <c r="P688" t="s">
        <v>2982</v>
      </c>
      <c r="Q688">
        <v>0</v>
      </c>
      <c r="R688" t="s">
        <v>2982</v>
      </c>
      <c r="S688" t="s">
        <v>988</v>
      </c>
    </row>
    <row r="689" spans="1:19" hidden="1" x14ac:dyDescent="0.3">
      <c r="A689">
        <v>1838</v>
      </c>
      <c r="B689" t="s">
        <v>1797</v>
      </c>
      <c r="C689" t="s">
        <v>2877</v>
      </c>
      <c r="D689" t="s">
        <v>1203</v>
      </c>
      <c r="E689" t="s">
        <v>1204</v>
      </c>
      <c r="F689">
        <v>5805</v>
      </c>
      <c r="G689" t="s">
        <v>2683</v>
      </c>
      <c r="H689" t="s">
        <v>3466</v>
      </c>
      <c r="I689">
        <v>6054</v>
      </c>
      <c r="J689" t="s">
        <v>2460</v>
      </c>
      <c r="K689">
        <v>7198</v>
      </c>
      <c r="L689" t="s">
        <v>2460</v>
      </c>
      <c r="M689">
        <v>8235</v>
      </c>
      <c r="N689" t="s">
        <v>2460</v>
      </c>
      <c r="O689">
        <v>9085</v>
      </c>
      <c r="P689" t="s">
        <v>2460</v>
      </c>
      <c r="Q689">
        <v>9556</v>
      </c>
      <c r="R689" t="s">
        <v>2460</v>
      </c>
      <c r="S689" t="s">
        <v>988</v>
      </c>
    </row>
    <row r="690" spans="1:19" hidden="1" x14ac:dyDescent="0.3">
      <c r="A690">
        <v>1838</v>
      </c>
      <c r="B690" t="s">
        <v>1797</v>
      </c>
      <c r="C690" t="s">
        <v>2877</v>
      </c>
      <c r="D690" t="s">
        <v>1203</v>
      </c>
      <c r="E690" t="s">
        <v>1204</v>
      </c>
      <c r="F690">
        <v>5805</v>
      </c>
      <c r="G690" t="s">
        <v>2683</v>
      </c>
      <c r="H690" t="s">
        <v>2387</v>
      </c>
      <c r="I690">
        <v>2388</v>
      </c>
      <c r="J690" t="s">
        <v>2460</v>
      </c>
      <c r="K690">
        <v>2388</v>
      </c>
      <c r="L690" t="s">
        <v>2460</v>
      </c>
      <c r="M690">
        <v>2388</v>
      </c>
      <c r="N690" t="s">
        <v>2460</v>
      </c>
      <c r="O690">
        <v>2388</v>
      </c>
      <c r="P690" t="s">
        <v>2460</v>
      </c>
      <c r="Q690">
        <v>2388</v>
      </c>
      <c r="R690" t="s">
        <v>2460</v>
      </c>
      <c r="S690" t="s">
        <v>988</v>
      </c>
    </row>
    <row r="691" spans="1:19" hidden="1" x14ac:dyDescent="0.3">
      <c r="A691">
        <v>1838</v>
      </c>
      <c r="B691" t="s">
        <v>1797</v>
      </c>
      <c r="C691" t="s">
        <v>2877</v>
      </c>
      <c r="D691" t="s">
        <v>1203</v>
      </c>
      <c r="E691" t="s">
        <v>1204</v>
      </c>
      <c r="F691">
        <v>5805</v>
      </c>
      <c r="G691" t="s">
        <v>2679</v>
      </c>
      <c r="H691" t="s">
        <v>2460</v>
      </c>
      <c r="I691">
        <v>1232</v>
      </c>
      <c r="J691" t="s">
        <v>2460</v>
      </c>
      <c r="K691">
        <v>1232</v>
      </c>
      <c r="L691" t="s">
        <v>2460</v>
      </c>
      <c r="M691">
        <v>1232</v>
      </c>
      <c r="N691" t="s">
        <v>2460</v>
      </c>
      <c r="O691">
        <v>1232</v>
      </c>
      <c r="P691" t="s">
        <v>2460</v>
      </c>
      <c r="Q691">
        <v>1232</v>
      </c>
      <c r="R691" t="s">
        <v>2460</v>
      </c>
      <c r="S691" t="s">
        <v>988</v>
      </c>
    </row>
    <row r="692" spans="1:19" hidden="1" x14ac:dyDescent="0.3">
      <c r="A692">
        <v>1838</v>
      </c>
      <c r="B692" t="s">
        <v>1797</v>
      </c>
      <c r="C692" t="s">
        <v>2877</v>
      </c>
      <c r="D692" t="s">
        <v>1203</v>
      </c>
      <c r="E692" t="s">
        <v>1204</v>
      </c>
      <c r="F692">
        <v>5805</v>
      </c>
      <c r="G692" t="s">
        <v>687</v>
      </c>
      <c r="H692" t="s">
        <v>3467</v>
      </c>
      <c r="I692">
        <v>4000</v>
      </c>
      <c r="J692" t="s">
        <v>2460</v>
      </c>
      <c r="K692">
        <v>4000</v>
      </c>
      <c r="L692" t="s">
        <v>2460</v>
      </c>
      <c r="M692">
        <v>4000</v>
      </c>
      <c r="N692" t="s">
        <v>2460</v>
      </c>
      <c r="O692">
        <v>4000</v>
      </c>
      <c r="P692" t="s">
        <v>2460</v>
      </c>
      <c r="Q692">
        <v>4000</v>
      </c>
      <c r="R692" t="s">
        <v>2460</v>
      </c>
      <c r="S692" t="s">
        <v>988</v>
      </c>
    </row>
    <row r="693" spans="1:19" hidden="1" x14ac:dyDescent="0.3">
      <c r="A693">
        <v>1849</v>
      </c>
      <c r="B693" t="s">
        <v>960</v>
      </c>
      <c r="C693" t="s">
        <v>2877</v>
      </c>
      <c r="D693" t="s">
        <v>1203</v>
      </c>
      <c r="E693" t="s">
        <v>1204</v>
      </c>
      <c r="F693">
        <v>5733</v>
      </c>
      <c r="G693" t="s">
        <v>2683</v>
      </c>
      <c r="H693" t="s">
        <v>3468</v>
      </c>
      <c r="I693">
        <v>5650</v>
      </c>
      <c r="J693" t="s">
        <v>2460</v>
      </c>
      <c r="K693">
        <v>5500</v>
      </c>
      <c r="L693" t="s">
        <v>2460</v>
      </c>
      <c r="M693">
        <v>5350</v>
      </c>
      <c r="N693" t="s">
        <v>2460</v>
      </c>
      <c r="O693">
        <v>5200</v>
      </c>
      <c r="P693" t="s">
        <v>2460</v>
      </c>
      <c r="Q693">
        <v>5200</v>
      </c>
      <c r="R693" t="s">
        <v>2460</v>
      </c>
      <c r="S693" t="s">
        <v>988</v>
      </c>
    </row>
    <row r="694" spans="1:19" hidden="1" x14ac:dyDescent="0.3">
      <c r="A694">
        <v>1849</v>
      </c>
      <c r="B694" t="s">
        <v>960</v>
      </c>
      <c r="C694" t="s">
        <v>2877</v>
      </c>
      <c r="D694" t="s">
        <v>1203</v>
      </c>
      <c r="E694" t="s">
        <v>1204</v>
      </c>
      <c r="F694">
        <v>5733</v>
      </c>
      <c r="G694" t="s">
        <v>2679</v>
      </c>
      <c r="H694" t="s">
        <v>3469</v>
      </c>
      <c r="I694">
        <v>500</v>
      </c>
      <c r="J694" t="s">
        <v>2460</v>
      </c>
      <c r="K694">
        <v>1000</v>
      </c>
      <c r="L694" t="s">
        <v>2460</v>
      </c>
      <c r="M694">
        <v>1500</v>
      </c>
      <c r="N694" t="s">
        <v>2460</v>
      </c>
      <c r="O694">
        <v>2000</v>
      </c>
      <c r="P694" t="s">
        <v>2460</v>
      </c>
      <c r="Q694">
        <v>2000</v>
      </c>
      <c r="R694" t="s">
        <v>2460</v>
      </c>
      <c r="S694" t="s">
        <v>988</v>
      </c>
    </row>
    <row r="695" spans="1:19" hidden="1" x14ac:dyDescent="0.3">
      <c r="A695">
        <v>1849</v>
      </c>
      <c r="B695" t="s">
        <v>960</v>
      </c>
      <c r="C695" t="s">
        <v>2877</v>
      </c>
      <c r="D695" t="s">
        <v>1203</v>
      </c>
      <c r="E695" t="s">
        <v>1204</v>
      </c>
      <c r="F695">
        <v>5733</v>
      </c>
      <c r="G695" t="s">
        <v>2681</v>
      </c>
      <c r="H695" t="s">
        <v>3470</v>
      </c>
      <c r="I695">
        <v>5325</v>
      </c>
      <c r="J695" t="s">
        <v>2460</v>
      </c>
      <c r="K695">
        <v>5325</v>
      </c>
      <c r="L695" t="s">
        <v>2460</v>
      </c>
      <c r="M695">
        <v>5325</v>
      </c>
      <c r="N695" t="s">
        <v>2460</v>
      </c>
      <c r="O695">
        <v>5325</v>
      </c>
      <c r="P695" t="s">
        <v>2460</v>
      </c>
      <c r="Q695">
        <v>5325</v>
      </c>
      <c r="R695" t="s">
        <v>2460</v>
      </c>
      <c r="S695" t="s">
        <v>988</v>
      </c>
    </row>
    <row r="696" spans="1:19" hidden="1" x14ac:dyDescent="0.3">
      <c r="A696">
        <v>1849</v>
      </c>
      <c r="B696" t="s">
        <v>960</v>
      </c>
      <c r="C696" t="s">
        <v>2877</v>
      </c>
      <c r="D696" t="s">
        <v>1203</v>
      </c>
      <c r="E696" t="s">
        <v>1204</v>
      </c>
      <c r="F696">
        <v>5733</v>
      </c>
      <c r="G696" t="s">
        <v>2681</v>
      </c>
      <c r="H696" t="s">
        <v>3471</v>
      </c>
      <c r="I696">
        <v>5000</v>
      </c>
      <c r="J696" t="s">
        <v>2460</v>
      </c>
      <c r="K696">
        <v>5000</v>
      </c>
      <c r="L696" t="s">
        <v>2460</v>
      </c>
      <c r="M696">
        <v>5000</v>
      </c>
      <c r="N696" t="s">
        <v>2460</v>
      </c>
      <c r="O696">
        <v>5000</v>
      </c>
      <c r="P696" t="s">
        <v>2460</v>
      </c>
      <c r="Q696">
        <v>5000</v>
      </c>
      <c r="R696" t="s">
        <v>2460</v>
      </c>
      <c r="S696" t="s">
        <v>988</v>
      </c>
    </row>
    <row r="697" spans="1:19" hidden="1" x14ac:dyDescent="0.3">
      <c r="A697">
        <v>1849</v>
      </c>
      <c r="B697" t="s">
        <v>960</v>
      </c>
      <c r="C697" t="s">
        <v>2877</v>
      </c>
      <c r="D697" t="s">
        <v>1203</v>
      </c>
      <c r="E697" t="s">
        <v>1204</v>
      </c>
      <c r="F697">
        <v>5733</v>
      </c>
      <c r="G697" t="s">
        <v>2681</v>
      </c>
      <c r="H697" t="s">
        <v>3472</v>
      </c>
      <c r="I697">
        <v>4220</v>
      </c>
      <c r="J697" t="s">
        <v>2460</v>
      </c>
      <c r="K697">
        <v>2770</v>
      </c>
      <c r="L697" t="s">
        <v>2460</v>
      </c>
      <c r="M697">
        <v>2770</v>
      </c>
      <c r="N697" t="s">
        <v>2460</v>
      </c>
      <c r="O697">
        <v>2770</v>
      </c>
      <c r="P697" t="s">
        <v>2460</v>
      </c>
      <c r="Q697">
        <v>2770</v>
      </c>
      <c r="R697" t="s">
        <v>2460</v>
      </c>
      <c r="S697" t="s">
        <v>988</v>
      </c>
    </row>
    <row r="698" spans="1:19" hidden="1" x14ac:dyDescent="0.3">
      <c r="A698">
        <v>1849</v>
      </c>
      <c r="B698" t="s">
        <v>960</v>
      </c>
      <c r="C698" t="s">
        <v>2877</v>
      </c>
      <c r="D698" t="s">
        <v>1203</v>
      </c>
      <c r="E698" t="s">
        <v>1204</v>
      </c>
      <c r="F698">
        <v>5733</v>
      </c>
      <c r="G698" t="s">
        <v>2683</v>
      </c>
      <c r="H698" t="s">
        <v>3473</v>
      </c>
      <c r="I698">
        <v>12030</v>
      </c>
      <c r="J698" t="s">
        <v>2460</v>
      </c>
      <c r="K698">
        <v>11720</v>
      </c>
      <c r="L698" t="s">
        <v>2460</v>
      </c>
      <c r="M698">
        <v>11400</v>
      </c>
      <c r="N698" t="s">
        <v>2460</v>
      </c>
      <c r="O698">
        <v>11080</v>
      </c>
      <c r="P698" t="s">
        <v>2460</v>
      </c>
      <c r="Q698">
        <v>11080</v>
      </c>
      <c r="R698" t="s">
        <v>2460</v>
      </c>
      <c r="S698" t="s">
        <v>988</v>
      </c>
    </row>
    <row r="699" spans="1:19" hidden="1" x14ac:dyDescent="0.3">
      <c r="A699">
        <v>1849</v>
      </c>
      <c r="B699" t="s">
        <v>960</v>
      </c>
      <c r="C699" t="s">
        <v>2877</v>
      </c>
      <c r="D699" t="s">
        <v>1203</v>
      </c>
      <c r="E699" t="s">
        <v>1204</v>
      </c>
      <c r="F699">
        <v>5733</v>
      </c>
      <c r="G699" t="s">
        <v>2691</v>
      </c>
      <c r="H699" t="s">
        <v>3474</v>
      </c>
      <c r="I699">
        <v>4000</v>
      </c>
      <c r="J699" t="s">
        <v>2460</v>
      </c>
      <c r="K699">
        <v>4000</v>
      </c>
      <c r="L699" t="s">
        <v>2460</v>
      </c>
      <c r="M699">
        <v>4000</v>
      </c>
      <c r="N699" t="s">
        <v>2460</v>
      </c>
      <c r="O699">
        <v>4000</v>
      </c>
      <c r="P699" t="s">
        <v>2460</v>
      </c>
      <c r="Q699">
        <v>4000</v>
      </c>
      <c r="R699" t="s">
        <v>2460</v>
      </c>
      <c r="S699" t="s">
        <v>988</v>
      </c>
    </row>
    <row r="700" spans="1:19" hidden="1" x14ac:dyDescent="0.3">
      <c r="A700">
        <v>1851</v>
      </c>
      <c r="B700" t="s">
        <v>1800</v>
      </c>
      <c r="C700" t="s">
        <v>2877</v>
      </c>
      <c r="D700" t="s">
        <v>159</v>
      </c>
      <c r="E700" t="s">
        <v>159</v>
      </c>
      <c r="F700">
        <v>7787</v>
      </c>
      <c r="G700" t="s">
        <v>2683</v>
      </c>
      <c r="H700" t="s">
        <v>3475</v>
      </c>
      <c r="I700">
        <v>16334</v>
      </c>
      <c r="J700" t="s">
        <v>2460</v>
      </c>
      <c r="K700">
        <v>16334</v>
      </c>
      <c r="L700" t="s">
        <v>2460</v>
      </c>
      <c r="M700">
        <v>16334</v>
      </c>
      <c r="N700" t="s">
        <v>2460</v>
      </c>
      <c r="O700">
        <v>16334</v>
      </c>
      <c r="P700" t="s">
        <v>2460</v>
      </c>
      <c r="Q700">
        <v>16334</v>
      </c>
      <c r="R700" t="s">
        <v>2460</v>
      </c>
      <c r="S700" t="s">
        <v>988</v>
      </c>
    </row>
    <row r="701" spans="1:19" hidden="1" x14ac:dyDescent="0.3">
      <c r="A701">
        <v>1851</v>
      </c>
      <c r="B701" t="s">
        <v>1800</v>
      </c>
      <c r="C701" t="s">
        <v>2877</v>
      </c>
      <c r="D701" t="s">
        <v>159</v>
      </c>
      <c r="E701" t="s">
        <v>159</v>
      </c>
      <c r="F701">
        <v>7787</v>
      </c>
      <c r="G701" t="s">
        <v>2679</v>
      </c>
      <c r="H701" t="s">
        <v>3476</v>
      </c>
      <c r="I701">
        <v>316</v>
      </c>
      <c r="J701" t="s">
        <v>2460</v>
      </c>
      <c r="K701">
        <v>316</v>
      </c>
      <c r="L701" t="s">
        <v>2460</v>
      </c>
      <c r="M701">
        <v>316</v>
      </c>
      <c r="N701" t="s">
        <v>2460</v>
      </c>
      <c r="O701">
        <v>316</v>
      </c>
      <c r="P701" t="s">
        <v>2460</v>
      </c>
      <c r="Q701">
        <v>316</v>
      </c>
      <c r="R701" t="s">
        <v>2460</v>
      </c>
      <c r="S701" t="s">
        <v>988</v>
      </c>
    </row>
    <row r="702" spans="1:19" hidden="1" x14ac:dyDescent="0.3">
      <c r="A702">
        <v>1859</v>
      </c>
      <c r="B702" t="s">
        <v>1801</v>
      </c>
      <c r="C702" t="s">
        <v>2877</v>
      </c>
      <c r="D702" t="s">
        <v>1203</v>
      </c>
      <c r="E702" t="s">
        <v>1204</v>
      </c>
      <c r="F702">
        <v>5801</v>
      </c>
      <c r="G702" t="s">
        <v>2691</v>
      </c>
      <c r="H702" t="s">
        <v>3477</v>
      </c>
      <c r="I702">
        <v>4800</v>
      </c>
      <c r="J702" t="s">
        <v>3478</v>
      </c>
      <c r="K702">
        <v>4800</v>
      </c>
      <c r="L702" t="s">
        <v>3478</v>
      </c>
      <c r="M702">
        <v>4800</v>
      </c>
      <c r="N702" t="s">
        <v>3478</v>
      </c>
      <c r="O702">
        <v>4800</v>
      </c>
      <c r="P702" t="s">
        <v>3478</v>
      </c>
      <c r="Q702">
        <v>4800</v>
      </c>
      <c r="R702" t="s">
        <v>3478</v>
      </c>
      <c r="S702" t="s">
        <v>988</v>
      </c>
    </row>
    <row r="703" spans="1:19" hidden="1" x14ac:dyDescent="0.3">
      <c r="A703">
        <v>1859</v>
      </c>
      <c r="B703" t="s">
        <v>1801</v>
      </c>
      <c r="C703" t="s">
        <v>2877</v>
      </c>
      <c r="D703" t="s">
        <v>1203</v>
      </c>
      <c r="E703" t="s">
        <v>1204</v>
      </c>
      <c r="F703">
        <v>5801</v>
      </c>
      <c r="G703" t="s">
        <v>2691</v>
      </c>
      <c r="H703" t="s">
        <v>3479</v>
      </c>
      <c r="I703">
        <v>3330</v>
      </c>
      <c r="J703" t="s">
        <v>3480</v>
      </c>
      <c r="K703">
        <v>3330</v>
      </c>
      <c r="L703" t="s">
        <v>3480</v>
      </c>
      <c r="M703">
        <v>3330</v>
      </c>
      <c r="N703" t="s">
        <v>3480</v>
      </c>
      <c r="O703">
        <v>3330</v>
      </c>
      <c r="P703" t="s">
        <v>3480</v>
      </c>
      <c r="Q703">
        <v>3330</v>
      </c>
      <c r="R703" t="s">
        <v>3480</v>
      </c>
      <c r="S703" t="s">
        <v>988</v>
      </c>
    </row>
    <row r="704" spans="1:19" hidden="1" x14ac:dyDescent="0.3">
      <c r="A704">
        <v>1859</v>
      </c>
      <c r="B704" t="s">
        <v>1801</v>
      </c>
      <c r="C704" t="s">
        <v>2877</v>
      </c>
      <c r="D704" t="s">
        <v>1203</v>
      </c>
      <c r="E704" t="s">
        <v>1204</v>
      </c>
      <c r="F704">
        <v>5801</v>
      </c>
      <c r="G704" t="s">
        <v>2681</v>
      </c>
      <c r="H704" t="s">
        <v>3481</v>
      </c>
      <c r="I704">
        <v>0</v>
      </c>
      <c r="J704" t="s">
        <v>2982</v>
      </c>
      <c r="K704">
        <v>45</v>
      </c>
      <c r="L704" t="s">
        <v>3482</v>
      </c>
      <c r="M704">
        <v>45</v>
      </c>
      <c r="N704" t="s">
        <v>3482</v>
      </c>
      <c r="O704">
        <v>45</v>
      </c>
      <c r="P704" t="s">
        <v>3482</v>
      </c>
      <c r="Q704">
        <v>45</v>
      </c>
      <c r="R704" t="s">
        <v>3482</v>
      </c>
      <c r="S704" t="s">
        <v>988</v>
      </c>
    </row>
    <row r="705" spans="1:19" hidden="1" x14ac:dyDescent="0.3">
      <c r="A705">
        <v>1859</v>
      </c>
      <c r="B705" t="s">
        <v>1801</v>
      </c>
      <c r="C705" t="s">
        <v>2877</v>
      </c>
      <c r="D705" t="s">
        <v>1203</v>
      </c>
      <c r="E705" t="s">
        <v>1204</v>
      </c>
      <c r="F705">
        <v>5801</v>
      </c>
      <c r="G705" t="s">
        <v>2691</v>
      </c>
      <c r="H705" t="s">
        <v>3483</v>
      </c>
      <c r="I705">
        <v>7291</v>
      </c>
      <c r="J705" t="s">
        <v>3484</v>
      </c>
      <c r="K705">
        <v>7291</v>
      </c>
      <c r="L705" t="s">
        <v>3484</v>
      </c>
      <c r="M705">
        <v>7291</v>
      </c>
      <c r="N705" t="s">
        <v>3484</v>
      </c>
      <c r="O705">
        <v>7291</v>
      </c>
      <c r="P705" t="s">
        <v>3484</v>
      </c>
      <c r="Q705">
        <v>7291</v>
      </c>
      <c r="R705" t="s">
        <v>3484</v>
      </c>
      <c r="S705" t="s">
        <v>988</v>
      </c>
    </row>
    <row r="706" spans="1:19" hidden="1" x14ac:dyDescent="0.3">
      <c r="A706">
        <v>1866</v>
      </c>
      <c r="B706" t="s">
        <v>1805</v>
      </c>
      <c r="C706" t="s">
        <v>2877</v>
      </c>
      <c r="D706" t="s">
        <v>1203</v>
      </c>
      <c r="E706" t="s">
        <v>1204</v>
      </c>
      <c r="F706">
        <v>5596</v>
      </c>
      <c r="G706" t="s">
        <v>2681</v>
      </c>
      <c r="H706" t="s">
        <v>3136</v>
      </c>
      <c r="I706">
        <v>5883</v>
      </c>
      <c r="J706" t="s">
        <v>2460</v>
      </c>
      <c r="K706">
        <v>5883</v>
      </c>
      <c r="L706" t="s">
        <v>2460</v>
      </c>
      <c r="M706">
        <v>5883</v>
      </c>
      <c r="N706" t="s">
        <v>2460</v>
      </c>
      <c r="O706">
        <v>5883</v>
      </c>
      <c r="P706" t="s">
        <v>2460</v>
      </c>
      <c r="Q706">
        <v>5883</v>
      </c>
      <c r="R706" t="s">
        <v>2460</v>
      </c>
      <c r="S706" t="s">
        <v>988</v>
      </c>
    </row>
    <row r="707" spans="1:19" hidden="1" x14ac:dyDescent="0.3">
      <c r="A707">
        <v>1866</v>
      </c>
      <c r="B707" t="s">
        <v>1805</v>
      </c>
      <c r="C707" t="s">
        <v>2877</v>
      </c>
      <c r="D707" t="s">
        <v>1203</v>
      </c>
      <c r="E707" t="s">
        <v>1204</v>
      </c>
      <c r="F707">
        <v>5596</v>
      </c>
      <c r="G707" t="s">
        <v>2683</v>
      </c>
      <c r="H707" t="s">
        <v>2958</v>
      </c>
      <c r="I707">
        <v>1681</v>
      </c>
      <c r="J707" t="s">
        <v>2460</v>
      </c>
      <c r="K707">
        <v>1681</v>
      </c>
      <c r="L707" t="s">
        <v>2460</v>
      </c>
      <c r="M707">
        <v>1681</v>
      </c>
      <c r="N707" t="s">
        <v>2460</v>
      </c>
      <c r="O707">
        <v>1681</v>
      </c>
      <c r="P707" t="s">
        <v>2460</v>
      </c>
      <c r="Q707">
        <v>1681</v>
      </c>
      <c r="R707" t="s">
        <v>2460</v>
      </c>
      <c r="S707" t="s">
        <v>988</v>
      </c>
    </row>
    <row r="708" spans="1:19" hidden="1" x14ac:dyDescent="0.3">
      <c r="A708">
        <v>1866</v>
      </c>
      <c r="B708" t="s">
        <v>1805</v>
      </c>
      <c r="C708" t="s">
        <v>2877</v>
      </c>
      <c r="D708" t="s">
        <v>1203</v>
      </c>
      <c r="E708" t="s">
        <v>1204</v>
      </c>
      <c r="F708">
        <v>5596</v>
      </c>
      <c r="G708" t="s">
        <v>2679</v>
      </c>
      <c r="H708" t="s">
        <v>3485</v>
      </c>
      <c r="I708">
        <v>312</v>
      </c>
      <c r="J708" t="s">
        <v>2460</v>
      </c>
      <c r="K708">
        <v>338</v>
      </c>
      <c r="L708" t="s">
        <v>2460</v>
      </c>
      <c r="M708">
        <v>338</v>
      </c>
      <c r="N708" t="s">
        <v>2460</v>
      </c>
      <c r="O708">
        <v>338</v>
      </c>
      <c r="P708" t="s">
        <v>2460</v>
      </c>
      <c r="Q708">
        <v>338</v>
      </c>
      <c r="R708" t="s">
        <v>2460</v>
      </c>
      <c r="S708" t="s">
        <v>988</v>
      </c>
    </row>
    <row r="709" spans="1:19" hidden="1" x14ac:dyDescent="0.3">
      <c r="A709">
        <v>1873</v>
      </c>
      <c r="B709" t="s">
        <v>1806</v>
      </c>
      <c r="C709" t="s">
        <v>2877</v>
      </c>
      <c r="D709" t="s">
        <v>159</v>
      </c>
      <c r="E709" t="s">
        <v>159</v>
      </c>
      <c r="F709">
        <v>7209</v>
      </c>
      <c r="G709" t="s">
        <v>2681</v>
      </c>
      <c r="H709" t="s">
        <v>2225</v>
      </c>
      <c r="I709">
        <v>19248</v>
      </c>
      <c r="J709" t="s">
        <v>2460</v>
      </c>
      <c r="K709">
        <v>19362</v>
      </c>
      <c r="L709" t="s">
        <v>2460</v>
      </c>
      <c r="M709">
        <v>19454</v>
      </c>
      <c r="N709" t="s">
        <v>2460</v>
      </c>
      <c r="O709">
        <v>19527</v>
      </c>
      <c r="P709" t="s">
        <v>2460</v>
      </c>
      <c r="R709" t="s">
        <v>2460</v>
      </c>
      <c r="S709" t="s">
        <v>988</v>
      </c>
    </row>
    <row r="710" spans="1:19" hidden="1" x14ac:dyDescent="0.3">
      <c r="A710">
        <v>1873</v>
      </c>
      <c r="B710" t="s">
        <v>1806</v>
      </c>
      <c r="C710" t="s">
        <v>2877</v>
      </c>
      <c r="D710" t="s">
        <v>159</v>
      </c>
      <c r="E710" t="s">
        <v>159</v>
      </c>
      <c r="F710">
        <v>7209</v>
      </c>
      <c r="G710" t="s">
        <v>2683</v>
      </c>
      <c r="H710" t="s">
        <v>2225</v>
      </c>
      <c r="I710">
        <v>11830</v>
      </c>
      <c r="J710" t="s">
        <v>2460</v>
      </c>
      <c r="K710">
        <v>11830</v>
      </c>
      <c r="L710" t="s">
        <v>2460</v>
      </c>
      <c r="M710">
        <v>11830</v>
      </c>
      <c r="N710" t="s">
        <v>2460</v>
      </c>
      <c r="O710">
        <v>11830</v>
      </c>
      <c r="P710" t="s">
        <v>2460</v>
      </c>
      <c r="R710" t="s">
        <v>2460</v>
      </c>
      <c r="S710" t="s">
        <v>988</v>
      </c>
    </row>
    <row r="711" spans="1:19" hidden="1" x14ac:dyDescent="0.3">
      <c r="A711">
        <v>1875</v>
      </c>
      <c r="B711" t="s">
        <v>1811</v>
      </c>
      <c r="C711" t="s">
        <v>2877</v>
      </c>
      <c r="D711" t="s">
        <v>1203</v>
      </c>
      <c r="E711" t="s">
        <v>1204</v>
      </c>
      <c r="F711">
        <v>5876</v>
      </c>
      <c r="G711" t="s">
        <v>2681</v>
      </c>
      <c r="H711" t="s">
        <v>3486</v>
      </c>
      <c r="I711">
        <v>2126</v>
      </c>
      <c r="J711" t="s">
        <v>3487</v>
      </c>
      <c r="K711">
        <v>2333</v>
      </c>
      <c r="L711" t="s">
        <v>3487</v>
      </c>
      <c r="M711">
        <v>2550</v>
      </c>
      <c r="N711" t="s">
        <v>3487</v>
      </c>
      <c r="O711">
        <v>2378</v>
      </c>
      <c r="P711" t="s">
        <v>3487</v>
      </c>
      <c r="Q711">
        <v>1797</v>
      </c>
      <c r="R711" t="s">
        <v>3487</v>
      </c>
      <c r="S711" t="s">
        <v>988</v>
      </c>
    </row>
    <row r="712" spans="1:19" hidden="1" x14ac:dyDescent="0.3">
      <c r="A712">
        <v>1875</v>
      </c>
      <c r="B712" t="s">
        <v>1811</v>
      </c>
      <c r="C712" t="s">
        <v>2877</v>
      </c>
      <c r="D712" t="s">
        <v>1203</v>
      </c>
      <c r="E712" t="s">
        <v>1204</v>
      </c>
      <c r="F712">
        <v>5876</v>
      </c>
      <c r="G712" t="s">
        <v>2691</v>
      </c>
      <c r="H712" t="s">
        <v>3488</v>
      </c>
      <c r="I712">
        <v>3000</v>
      </c>
      <c r="J712" t="s">
        <v>3489</v>
      </c>
      <c r="K712">
        <v>3200</v>
      </c>
      <c r="L712" t="s">
        <v>3489</v>
      </c>
      <c r="M712">
        <v>3500</v>
      </c>
      <c r="N712" t="s">
        <v>3489</v>
      </c>
      <c r="O712">
        <v>4200</v>
      </c>
      <c r="P712" t="s">
        <v>3489</v>
      </c>
      <c r="Q712">
        <v>4400</v>
      </c>
      <c r="R712" t="s">
        <v>3489</v>
      </c>
      <c r="S712" t="s">
        <v>988</v>
      </c>
    </row>
    <row r="713" spans="1:19" hidden="1" x14ac:dyDescent="0.3">
      <c r="A713">
        <v>1875</v>
      </c>
      <c r="B713" t="s">
        <v>1811</v>
      </c>
      <c r="C713" t="s">
        <v>2877</v>
      </c>
      <c r="D713" t="s">
        <v>1203</v>
      </c>
      <c r="E713" t="s">
        <v>1204</v>
      </c>
      <c r="F713">
        <v>5876</v>
      </c>
      <c r="G713" t="s">
        <v>2683</v>
      </c>
      <c r="H713" t="s">
        <v>3490</v>
      </c>
      <c r="I713">
        <v>1389</v>
      </c>
      <c r="J713" t="s">
        <v>3491</v>
      </c>
      <c r="K713">
        <v>1389</v>
      </c>
      <c r="L713" t="s">
        <v>3491</v>
      </c>
      <c r="M713">
        <v>1389</v>
      </c>
      <c r="N713" t="s">
        <v>3491</v>
      </c>
      <c r="O713">
        <v>1389</v>
      </c>
      <c r="P713" t="s">
        <v>3491</v>
      </c>
      <c r="Q713">
        <v>2286</v>
      </c>
      <c r="R713" t="s">
        <v>3491</v>
      </c>
      <c r="S713" t="s">
        <v>988</v>
      </c>
    </row>
    <row r="714" spans="1:19" hidden="1" x14ac:dyDescent="0.3">
      <c r="A714">
        <v>1875</v>
      </c>
      <c r="B714" t="s">
        <v>1811</v>
      </c>
      <c r="C714" t="s">
        <v>2877</v>
      </c>
      <c r="D714" t="s">
        <v>1203</v>
      </c>
      <c r="E714" t="s">
        <v>1204</v>
      </c>
      <c r="F714">
        <v>5876</v>
      </c>
      <c r="G714" t="s">
        <v>2679</v>
      </c>
      <c r="H714" t="s">
        <v>3492</v>
      </c>
      <c r="I714">
        <v>0</v>
      </c>
      <c r="J714" t="s">
        <v>2460</v>
      </c>
      <c r="K714">
        <v>180</v>
      </c>
      <c r="L714" t="s">
        <v>2460</v>
      </c>
      <c r="M714">
        <v>250</v>
      </c>
      <c r="N714" t="s">
        <v>2460</v>
      </c>
      <c r="O714">
        <v>310</v>
      </c>
      <c r="P714" t="s">
        <v>2460</v>
      </c>
      <c r="Q714">
        <v>380</v>
      </c>
      <c r="R714" t="s">
        <v>2460</v>
      </c>
      <c r="S714" t="s">
        <v>988</v>
      </c>
    </row>
    <row r="715" spans="1:19" hidden="1" x14ac:dyDescent="0.3">
      <c r="A715">
        <v>1877</v>
      </c>
      <c r="B715" t="s">
        <v>1812</v>
      </c>
      <c r="C715" t="s">
        <v>2877</v>
      </c>
      <c r="D715" t="s">
        <v>1203</v>
      </c>
      <c r="E715" t="s">
        <v>1204</v>
      </c>
      <c r="F715">
        <v>5751</v>
      </c>
      <c r="G715" t="s">
        <v>2681</v>
      </c>
      <c r="H715" t="s">
        <v>3493</v>
      </c>
      <c r="I715">
        <v>5582</v>
      </c>
      <c r="J715" t="s">
        <v>3494</v>
      </c>
      <c r="K715">
        <v>5782</v>
      </c>
      <c r="L715" t="s">
        <v>3494</v>
      </c>
      <c r="M715">
        <v>6389</v>
      </c>
      <c r="N715" t="s">
        <v>3494</v>
      </c>
      <c r="O715">
        <v>7396</v>
      </c>
      <c r="P715" t="s">
        <v>3494</v>
      </c>
      <c r="Q715">
        <v>8403</v>
      </c>
      <c r="R715" t="s">
        <v>3494</v>
      </c>
      <c r="S715" t="s">
        <v>988</v>
      </c>
    </row>
    <row r="716" spans="1:19" hidden="1" x14ac:dyDescent="0.3">
      <c r="A716">
        <v>1894</v>
      </c>
      <c r="B716" t="s">
        <v>1814</v>
      </c>
      <c r="C716" t="s">
        <v>2877</v>
      </c>
      <c r="D716" t="s">
        <v>1203</v>
      </c>
      <c r="E716" t="s">
        <v>1204</v>
      </c>
      <c r="F716">
        <v>5679</v>
      </c>
      <c r="G716" t="s">
        <v>2679</v>
      </c>
      <c r="H716" t="s">
        <v>2460</v>
      </c>
      <c r="I716">
        <v>2000</v>
      </c>
      <c r="J716" t="s">
        <v>2460</v>
      </c>
      <c r="K716">
        <v>2540</v>
      </c>
      <c r="L716" t="s">
        <v>2460</v>
      </c>
      <c r="M716">
        <v>2540</v>
      </c>
      <c r="N716" t="s">
        <v>2460</v>
      </c>
      <c r="O716">
        <v>2540</v>
      </c>
      <c r="P716" t="s">
        <v>2460</v>
      </c>
      <c r="Q716">
        <v>2540</v>
      </c>
      <c r="R716" t="s">
        <v>2460</v>
      </c>
      <c r="S716" t="s">
        <v>988</v>
      </c>
    </row>
    <row r="717" spans="1:19" hidden="1" x14ac:dyDescent="0.3">
      <c r="A717">
        <v>1894</v>
      </c>
      <c r="B717" t="s">
        <v>1814</v>
      </c>
      <c r="C717" t="s">
        <v>2877</v>
      </c>
      <c r="D717" t="s">
        <v>1203</v>
      </c>
      <c r="E717" t="s">
        <v>1204</v>
      </c>
      <c r="F717">
        <v>5679</v>
      </c>
      <c r="G717" t="s">
        <v>2683</v>
      </c>
      <c r="H717" t="s">
        <v>2460</v>
      </c>
      <c r="I717">
        <v>8705</v>
      </c>
      <c r="J717" t="s">
        <v>3495</v>
      </c>
      <c r="K717">
        <v>8870</v>
      </c>
      <c r="L717" t="s">
        <v>3495</v>
      </c>
      <c r="M717">
        <v>8974</v>
      </c>
      <c r="N717" t="s">
        <v>3495</v>
      </c>
      <c r="O717">
        <v>9255</v>
      </c>
      <c r="P717" t="s">
        <v>3495</v>
      </c>
      <c r="Q717">
        <v>9577</v>
      </c>
      <c r="R717" t="s">
        <v>3495</v>
      </c>
      <c r="S717" t="s">
        <v>988</v>
      </c>
    </row>
    <row r="718" spans="1:19" hidden="1" x14ac:dyDescent="0.3">
      <c r="A718">
        <v>1896</v>
      </c>
      <c r="B718" t="s">
        <v>1816</v>
      </c>
      <c r="C718" t="s">
        <v>2877</v>
      </c>
      <c r="D718" t="s">
        <v>1203</v>
      </c>
      <c r="E718" t="s">
        <v>1204</v>
      </c>
      <c r="F718">
        <v>6011</v>
      </c>
      <c r="G718" t="s">
        <v>2681</v>
      </c>
      <c r="H718" t="s">
        <v>3496</v>
      </c>
      <c r="I718">
        <v>882</v>
      </c>
      <c r="J718" t="s">
        <v>2460</v>
      </c>
      <c r="K718">
        <v>888</v>
      </c>
      <c r="L718" t="s">
        <v>2460</v>
      </c>
      <c r="M718">
        <v>891</v>
      </c>
      <c r="N718" t="s">
        <v>2460</v>
      </c>
      <c r="O718">
        <v>893</v>
      </c>
      <c r="P718" t="s">
        <v>2460</v>
      </c>
      <c r="Q718">
        <v>902</v>
      </c>
      <c r="R718" t="s">
        <v>2460</v>
      </c>
      <c r="S718" t="s">
        <v>988</v>
      </c>
    </row>
    <row r="719" spans="1:19" hidden="1" x14ac:dyDescent="0.3">
      <c r="A719">
        <v>1896</v>
      </c>
      <c r="B719" t="s">
        <v>1816</v>
      </c>
      <c r="C719" t="s">
        <v>2877</v>
      </c>
      <c r="D719" t="s">
        <v>1203</v>
      </c>
      <c r="E719" t="s">
        <v>1204</v>
      </c>
      <c r="F719">
        <v>6011</v>
      </c>
      <c r="G719" t="s">
        <v>2681</v>
      </c>
      <c r="H719" t="s">
        <v>3497</v>
      </c>
      <c r="I719">
        <v>2083</v>
      </c>
      <c r="J719" t="s">
        <v>2460</v>
      </c>
      <c r="K719">
        <v>2098</v>
      </c>
      <c r="L719" t="s">
        <v>2460</v>
      </c>
      <c r="M719">
        <v>2104</v>
      </c>
      <c r="N719" t="s">
        <v>2460</v>
      </c>
      <c r="O719">
        <v>2112</v>
      </c>
      <c r="P719" t="s">
        <v>2460</v>
      </c>
      <c r="Q719">
        <v>2133</v>
      </c>
      <c r="R719" t="s">
        <v>2460</v>
      </c>
      <c r="S719" t="s">
        <v>988</v>
      </c>
    </row>
    <row r="720" spans="1:19" hidden="1" x14ac:dyDescent="0.3">
      <c r="A720">
        <v>1899</v>
      </c>
      <c r="B720" t="s">
        <v>1818</v>
      </c>
      <c r="C720" t="s">
        <v>2877</v>
      </c>
      <c r="D720" t="s">
        <v>1203</v>
      </c>
      <c r="E720" t="s">
        <v>1204</v>
      </c>
      <c r="F720">
        <v>5877</v>
      </c>
      <c r="G720" t="s">
        <v>2679</v>
      </c>
      <c r="H720" t="s">
        <v>3498</v>
      </c>
      <c r="I720">
        <v>80</v>
      </c>
      <c r="J720" t="s">
        <v>2460</v>
      </c>
      <c r="K720">
        <v>85</v>
      </c>
      <c r="L720" t="s">
        <v>2460</v>
      </c>
      <c r="M720">
        <v>90</v>
      </c>
      <c r="N720" t="s">
        <v>2460</v>
      </c>
      <c r="O720">
        <v>95</v>
      </c>
      <c r="P720" t="s">
        <v>2460</v>
      </c>
      <c r="R720" t="s">
        <v>2460</v>
      </c>
      <c r="S720" t="s">
        <v>988</v>
      </c>
    </row>
    <row r="721" spans="1:19" hidden="1" x14ac:dyDescent="0.3">
      <c r="A721">
        <v>1899</v>
      </c>
      <c r="B721" t="s">
        <v>1818</v>
      </c>
      <c r="C721" t="s">
        <v>2877</v>
      </c>
      <c r="D721" t="s">
        <v>1203</v>
      </c>
      <c r="E721" t="s">
        <v>1204</v>
      </c>
      <c r="F721">
        <v>5877</v>
      </c>
      <c r="G721" t="s">
        <v>2681</v>
      </c>
      <c r="H721" t="s">
        <v>3499</v>
      </c>
      <c r="I721">
        <v>5579</v>
      </c>
      <c r="J721" t="s">
        <v>2460</v>
      </c>
      <c r="K721">
        <v>5579</v>
      </c>
      <c r="L721" t="s">
        <v>2460</v>
      </c>
      <c r="M721">
        <v>5579</v>
      </c>
      <c r="N721" t="s">
        <v>2460</v>
      </c>
      <c r="O721">
        <v>5579</v>
      </c>
      <c r="P721" t="s">
        <v>2460</v>
      </c>
      <c r="R721" t="s">
        <v>2460</v>
      </c>
      <c r="S721" t="s">
        <v>988</v>
      </c>
    </row>
    <row r="722" spans="1:19" hidden="1" x14ac:dyDescent="0.3">
      <c r="A722">
        <v>1900</v>
      </c>
      <c r="B722" t="s">
        <v>1822</v>
      </c>
      <c r="C722" t="s">
        <v>2877</v>
      </c>
      <c r="D722" t="s">
        <v>1203</v>
      </c>
      <c r="E722" t="s">
        <v>1204</v>
      </c>
      <c r="F722">
        <v>5519</v>
      </c>
      <c r="G722" t="s">
        <v>2679</v>
      </c>
      <c r="H722" t="s">
        <v>2127</v>
      </c>
      <c r="I722">
        <v>61</v>
      </c>
      <c r="J722" t="s">
        <v>2460</v>
      </c>
      <c r="K722">
        <v>61</v>
      </c>
      <c r="L722" t="s">
        <v>2460</v>
      </c>
      <c r="M722">
        <v>61</v>
      </c>
      <c r="N722" t="s">
        <v>2460</v>
      </c>
      <c r="O722">
        <v>61</v>
      </c>
      <c r="P722" t="s">
        <v>2460</v>
      </c>
      <c r="Q722">
        <v>61</v>
      </c>
      <c r="R722" t="s">
        <v>2460</v>
      </c>
      <c r="S722" t="s">
        <v>988</v>
      </c>
    </row>
    <row r="723" spans="1:19" hidden="1" x14ac:dyDescent="0.3">
      <c r="A723">
        <v>1900</v>
      </c>
      <c r="B723" t="s">
        <v>1822</v>
      </c>
      <c r="C723" t="s">
        <v>2877</v>
      </c>
      <c r="D723" t="s">
        <v>1203</v>
      </c>
      <c r="E723" t="s">
        <v>1204</v>
      </c>
      <c r="F723">
        <v>5519</v>
      </c>
      <c r="G723" t="s">
        <v>2681</v>
      </c>
      <c r="H723" t="s">
        <v>3136</v>
      </c>
      <c r="I723">
        <v>2870</v>
      </c>
      <c r="J723" t="s">
        <v>2460</v>
      </c>
      <c r="K723">
        <v>2900</v>
      </c>
      <c r="L723" t="s">
        <v>2460</v>
      </c>
      <c r="M723">
        <v>2929</v>
      </c>
      <c r="N723" t="s">
        <v>2460</v>
      </c>
      <c r="O723">
        <v>2960</v>
      </c>
      <c r="P723" t="s">
        <v>2460</v>
      </c>
      <c r="Q723">
        <v>2990</v>
      </c>
      <c r="R723" t="s">
        <v>2460</v>
      </c>
      <c r="S723" t="s">
        <v>988</v>
      </c>
    </row>
    <row r="724" spans="1:19" hidden="1" x14ac:dyDescent="0.3">
      <c r="A724">
        <v>1923</v>
      </c>
      <c r="B724" t="s">
        <v>1823</v>
      </c>
      <c r="C724" t="s">
        <v>2877</v>
      </c>
      <c r="D724" t="s">
        <v>1203</v>
      </c>
      <c r="E724" t="s">
        <v>1204</v>
      </c>
      <c r="F724">
        <v>5777</v>
      </c>
      <c r="G724" t="s">
        <v>2683</v>
      </c>
      <c r="H724" t="s">
        <v>3500</v>
      </c>
      <c r="I724">
        <v>1140</v>
      </c>
      <c r="J724" t="s">
        <v>3501</v>
      </c>
      <c r="K724">
        <v>1140</v>
      </c>
      <c r="L724" t="s">
        <v>3501</v>
      </c>
      <c r="M724">
        <v>1140</v>
      </c>
      <c r="N724" t="s">
        <v>3501</v>
      </c>
      <c r="O724">
        <v>1140</v>
      </c>
      <c r="P724" t="s">
        <v>3501</v>
      </c>
      <c r="Q724">
        <v>1140</v>
      </c>
      <c r="R724" t="s">
        <v>3501</v>
      </c>
      <c r="S724" t="s">
        <v>988</v>
      </c>
    </row>
    <row r="725" spans="1:19" hidden="1" x14ac:dyDescent="0.3">
      <c r="A725">
        <v>1923</v>
      </c>
      <c r="B725" t="s">
        <v>1823</v>
      </c>
      <c r="C725" t="s">
        <v>2877</v>
      </c>
      <c r="D725" t="s">
        <v>1203</v>
      </c>
      <c r="E725" t="s">
        <v>1204</v>
      </c>
      <c r="F725">
        <v>5777</v>
      </c>
      <c r="G725" t="s">
        <v>2681</v>
      </c>
      <c r="H725" t="s">
        <v>3286</v>
      </c>
      <c r="I725">
        <v>189</v>
      </c>
      <c r="J725" t="s">
        <v>3502</v>
      </c>
      <c r="K725">
        <v>189</v>
      </c>
      <c r="L725" t="s">
        <v>3502</v>
      </c>
      <c r="M725">
        <v>189</v>
      </c>
      <c r="N725" t="s">
        <v>3502</v>
      </c>
      <c r="O725">
        <v>189</v>
      </c>
      <c r="P725" t="s">
        <v>3502</v>
      </c>
      <c r="Q725">
        <v>189</v>
      </c>
      <c r="R725" t="s">
        <v>3502</v>
      </c>
      <c r="S725" t="s">
        <v>988</v>
      </c>
    </row>
    <row r="726" spans="1:19" hidden="1" x14ac:dyDescent="0.3">
      <c r="A726">
        <v>1923</v>
      </c>
      <c r="B726" t="s">
        <v>1823</v>
      </c>
      <c r="C726" t="s">
        <v>2877</v>
      </c>
      <c r="D726" t="s">
        <v>1203</v>
      </c>
      <c r="E726" t="s">
        <v>1204</v>
      </c>
      <c r="F726">
        <v>5777</v>
      </c>
      <c r="G726" t="s">
        <v>2683</v>
      </c>
      <c r="H726" t="s">
        <v>3503</v>
      </c>
      <c r="I726">
        <v>892</v>
      </c>
      <c r="J726" t="s">
        <v>3504</v>
      </c>
      <c r="K726">
        <v>892</v>
      </c>
      <c r="L726" t="s">
        <v>3504</v>
      </c>
      <c r="M726">
        <v>892</v>
      </c>
      <c r="N726" t="s">
        <v>3504</v>
      </c>
      <c r="O726">
        <v>892</v>
      </c>
      <c r="P726" t="s">
        <v>3504</v>
      </c>
      <c r="Q726">
        <v>892</v>
      </c>
      <c r="R726" t="s">
        <v>3504</v>
      </c>
      <c r="S726" t="s">
        <v>988</v>
      </c>
    </row>
    <row r="727" spans="1:19" hidden="1" x14ac:dyDescent="0.3">
      <c r="A727">
        <v>1923</v>
      </c>
      <c r="B727" t="s">
        <v>1823</v>
      </c>
      <c r="C727" t="s">
        <v>2877</v>
      </c>
      <c r="D727" t="s">
        <v>1203</v>
      </c>
      <c r="E727" t="s">
        <v>1204</v>
      </c>
      <c r="F727">
        <v>5777</v>
      </c>
      <c r="G727" t="s">
        <v>2679</v>
      </c>
      <c r="H727" t="s">
        <v>3505</v>
      </c>
      <c r="I727">
        <v>339</v>
      </c>
      <c r="J727" t="s">
        <v>2460</v>
      </c>
      <c r="K727">
        <v>339</v>
      </c>
      <c r="L727" t="s">
        <v>2460</v>
      </c>
      <c r="M727">
        <v>339</v>
      </c>
      <c r="N727" t="s">
        <v>2460</v>
      </c>
      <c r="O727">
        <v>339</v>
      </c>
      <c r="P727" t="s">
        <v>2460</v>
      </c>
      <c r="Q727">
        <v>339</v>
      </c>
      <c r="R727" t="s">
        <v>2460</v>
      </c>
      <c r="S727" t="s">
        <v>988</v>
      </c>
    </row>
    <row r="728" spans="1:19" hidden="1" x14ac:dyDescent="0.3">
      <c r="A728">
        <v>1925</v>
      </c>
      <c r="B728" t="s">
        <v>1824</v>
      </c>
      <c r="C728" t="s">
        <v>2877</v>
      </c>
      <c r="D728" t="s">
        <v>1203</v>
      </c>
      <c r="E728" t="s">
        <v>1204</v>
      </c>
      <c r="F728">
        <v>6160</v>
      </c>
      <c r="G728" t="s">
        <v>2681</v>
      </c>
      <c r="H728" t="s">
        <v>2460</v>
      </c>
      <c r="I728">
        <v>1349</v>
      </c>
      <c r="J728" t="s">
        <v>2460</v>
      </c>
      <c r="K728">
        <v>1349</v>
      </c>
      <c r="L728" t="s">
        <v>2460</v>
      </c>
      <c r="M728">
        <v>1349</v>
      </c>
      <c r="N728" t="s">
        <v>2460</v>
      </c>
      <c r="O728">
        <v>1349</v>
      </c>
      <c r="P728" t="s">
        <v>2460</v>
      </c>
      <c r="Q728">
        <v>1349</v>
      </c>
      <c r="R728" t="s">
        <v>2460</v>
      </c>
      <c r="S728" t="s">
        <v>988</v>
      </c>
    </row>
    <row r="729" spans="1:19" hidden="1" x14ac:dyDescent="0.3">
      <c r="A729">
        <v>1925</v>
      </c>
      <c r="B729" t="s">
        <v>1824</v>
      </c>
      <c r="C729" t="s">
        <v>2877</v>
      </c>
      <c r="D729" t="s">
        <v>1203</v>
      </c>
      <c r="E729" t="s">
        <v>1204</v>
      </c>
      <c r="F729">
        <v>6160</v>
      </c>
      <c r="G729" t="s">
        <v>2679</v>
      </c>
      <c r="H729" t="s">
        <v>2460</v>
      </c>
      <c r="I729">
        <v>311</v>
      </c>
      <c r="J729" t="s">
        <v>2460</v>
      </c>
      <c r="K729">
        <v>311</v>
      </c>
      <c r="L729" t="s">
        <v>2460</v>
      </c>
      <c r="M729">
        <v>311</v>
      </c>
      <c r="N729" t="s">
        <v>2460</v>
      </c>
      <c r="O729">
        <v>311</v>
      </c>
      <c r="P729" t="s">
        <v>2460</v>
      </c>
      <c r="Q729">
        <v>311</v>
      </c>
      <c r="R729" t="s">
        <v>2460</v>
      </c>
      <c r="S729" t="s">
        <v>988</v>
      </c>
    </row>
    <row r="730" spans="1:19" hidden="1" x14ac:dyDescent="0.3">
      <c r="A730">
        <v>1925</v>
      </c>
      <c r="B730" t="s">
        <v>1824</v>
      </c>
      <c r="C730" t="s">
        <v>2877</v>
      </c>
      <c r="D730" t="s">
        <v>1203</v>
      </c>
      <c r="E730" t="s">
        <v>1204</v>
      </c>
      <c r="F730">
        <v>6160</v>
      </c>
      <c r="G730" t="s">
        <v>2683</v>
      </c>
      <c r="H730" t="s">
        <v>2460</v>
      </c>
      <c r="I730">
        <v>11031</v>
      </c>
      <c r="J730" t="s">
        <v>2460</v>
      </c>
      <c r="K730">
        <v>12030</v>
      </c>
      <c r="L730" t="s">
        <v>2460</v>
      </c>
      <c r="M730">
        <v>12960</v>
      </c>
      <c r="N730" t="s">
        <v>2460</v>
      </c>
      <c r="O730">
        <v>13824</v>
      </c>
      <c r="P730" t="s">
        <v>2460</v>
      </c>
      <c r="Q730">
        <v>14745</v>
      </c>
      <c r="R730" t="s">
        <v>2460</v>
      </c>
      <c r="S730" t="s">
        <v>988</v>
      </c>
    </row>
    <row r="731" spans="1:19" hidden="1" x14ac:dyDescent="0.3">
      <c r="A731">
        <v>1927</v>
      </c>
      <c r="B731" t="s">
        <v>771</v>
      </c>
      <c r="C731" t="s">
        <v>2877</v>
      </c>
      <c r="D731" t="s">
        <v>1203</v>
      </c>
      <c r="E731" t="s">
        <v>1204</v>
      </c>
      <c r="F731">
        <v>6885</v>
      </c>
      <c r="G731" t="s">
        <v>2681</v>
      </c>
      <c r="H731" t="s">
        <v>2460</v>
      </c>
      <c r="I731">
        <v>2000</v>
      </c>
      <c r="J731" t="s">
        <v>2460</v>
      </c>
      <c r="K731">
        <v>4000</v>
      </c>
      <c r="L731" t="s">
        <v>2460</v>
      </c>
      <c r="M731">
        <v>4000</v>
      </c>
      <c r="N731" t="s">
        <v>2460</v>
      </c>
      <c r="O731">
        <v>5000</v>
      </c>
      <c r="P731" t="s">
        <v>2460</v>
      </c>
      <c r="R731" t="s">
        <v>2460</v>
      </c>
      <c r="S731" t="s">
        <v>988</v>
      </c>
    </row>
    <row r="732" spans="1:19" hidden="1" x14ac:dyDescent="0.3">
      <c r="A732">
        <v>1927</v>
      </c>
      <c r="B732" t="s">
        <v>771</v>
      </c>
      <c r="C732" t="s">
        <v>2877</v>
      </c>
      <c r="D732" t="s">
        <v>1203</v>
      </c>
      <c r="E732" t="s">
        <v>1204</v>
      </c>
      <c r="F732">
        <v>6885</v>
      </c>
      <c r="G732" t="s">
        <v>2679</v>
      </c>
      <c r="H732" t="s">
        <v>3506</v>
      </c>
      <c r="I732">
        <v>0</v>
      </c>
      <c r="J732" t="s">
        <v>2460</v>
      </c>
      <c r="K732">
        <v>2500</v>
      </c>
      <c r="L732" t="s">
        <v>2460</v>
      </c>
      <c r="M732">
        <v>5000</v>
      </c>
      <c r="N732" t="s">
        <v>2460</v>
      </c>
      <c r="O732">
        <v>7000</v>
      </c>
      <c r="P732" t="s">
        <v>2460</v>
      </c>
      <c r="R732" t="s">
        <v>2460</v>
      </c>
      <c r="S732" t="s">
        <v>988</v>
      </c>
    </row>
    <row r="733" spans="1:19" hidden="1" x14ac:dyDescent="0.3">
      <c r="A733">
        <v>1927</v>
      </c>
      <c r="B733" t="s">
        <v>771</v>
      </c>
      <c r="C733" t="s">
        <v>2877</v>
      </c>
      <c r="D733" t="s">
        <v>1203</v>
      </c>
      <c r="E733" t="s">
        <v>1204</v>
      </c>
      <c r="F733">
        <v>6885</v>
      </c>
      <c r="G733" t="s">
        <v>2691</v>
      </c>
      <c r="H733" t="s">
        <v>3507</v>
      </c>
      <c r="I733">
        <v>120000</v>
      </c>
      <c r="J733" t="s">
        <v>2460</v>
      </c>
      <c r="K733">
        <v>120000</v>
      </c>
      <c r="L733" t="s">
        <v>2460</v>
      </c>
      <c r="M733">
        <v>120000</v>
      </c>
      <c r="N733" t="s">
        <v>2460</v>
      </c>
      <c r="O733">
        <v>120000</v>
      </c>
      <c r="P733" t="s">
        <v>2460</v>
      </c>
      <c r="R733" t="s">
        <v>2460</v>
      </c>
      <c r="S733" t="s">
        <v>988</v>
      </c>
    </row>
    <row r="734" spans="1:19" hidden="1" x14ac:dyDescent="0.3">
      <c r="A734">
        <v>1927</v>
      </c>
      <c r="B734" t="s">
        <v>771</v>
      </c>
      <c r="C734" t="s">
        <v>2877</v>
      </c>
      <c r="D734" t="s">
        <v>1203</v>
      </c>
      <c r="E734" t="s">
        <v>1204</v>
      </c>
      <c r="F734">
        <v>6885</v>
      </c>
      <c r="G734" t="s">
        <v>2683</v>
      </c>
      <c r="H734" t="s">
        <v>3508</v>
      </c>
      <c r="I734">
        <v>125400</v>
      </c>
      <c r="J734" t="s">
        <v>2460</v>
      </c>
      <c r="K734">
        <v>125400</v>
      </c>
      <c r="L734" t="s">
        <v>2460</v>
      </c>
      <c r="M734">
        <v>125400</v>
      </c>
      <c r="N734" t="s">
        <v>2460</v>
      </c>
      <c r="O734">
        <v>125400</v>
      </c>
      <c r="P734" t="s">
        <v>2460</v>
      </c>
      <c r="R734" t="s">
        <v>2460</v>
      </c>
      <c r="S734" t="s">
        <v>988</v>
      </c>
    </row>
    <row r="735" spans="1:19" hidden="1" x14ac:dyDescent="0.3">
      <c r="A735">
        <v>1927</v>
      </c>
      <c r="B735" t="s">
        <v>771</v>
      </c>
      <c r="C735" t="s">
        <v>2877</v>
      </c>
      <c r="D735" t="s">
        <v>1203</v>
      </c>
      <c r="E735" t="s">
        <v>1204</v>
      </c>
      <c r="F735">
        <v>6885</v>
      </c>
      <c r="G735" t="s">
        <v>2691</v>
      </c>
      <c r="H735" t="s">
        <v>3509</v>
      </c>
      <c r="I735">
        <v>3400</v>
      </c>
      <c r="J735" t="s">
        <v>2460</v>
      </c>
      <c r="K735">
        <v>3400</v>
      </c>
      <c r="L735" t="s">
        <v>2460</v>
      </c>
      <c r="M735">
        <v>3400</v>
      </c>
      <c r="N735" t="s">
        <v>2460</v>
      </c>
      <c r="O735">
        <v>3400</v>
      </c>
      <c r="P735" t="s">
        <v>2460</v>
      </c>
      <c r="R735" t="s">
        <v>2460</v>
      </c>
      <c r="S735" t="s">
        <v>988</v>
      </c>
    </row>
    <row r="736" spans="1:19" hidden="1" x14ac:dyDescent="0.3">
      <c r="A736">
        <v>1927</v>
      </c>
      <c r="B736" t="s">
        <v>771</v>
      </c>
      <c r="C736" t="s">
        <v>2877</v>
      </c>
      <c r="D736" t="s">
        <v>1203</v>
      </c>
      <c r="E736" t="s">
        <v>1204</v>
      </c>
      <c r="F736">
        <v>6885</v>
      </c>
      <c r="G736" t="s">
        <v>2683</v>
      </c>
      <c r="H736" t="s">
        <v>3510</v>
      </c>
      <c r="I736">
        <v>0</v>
      </c>
      <c r="J736" t="s">
        <v>2460</v>
      </c>
      <c r="K736">
        <v>35000</v>
      </c>
      <c r="L736" t="s">
        <v>2460</v>
      </c>
      <c r="M736">
        <v>35000</v>
      </c>
      <c r="N736" t="s">
        <v>2460</v>
      </c>
      <c r="O736">
        <v>35000</v>
      </c>
      <c r="P736" t="s">
        <v>2460</v>
      </c>
      <c r="R736" t="s">
        <v>2460</v>
      </c>
      <c r="S736" t="s">
        <v>988</v>
      </c>
    </row>
    <row r="737" spans="1:19" hidden="1" x14ac:dyDescent="0.3">
      <c r="A737">
        <v>1940</v>
      </c>
      <c r="B737" t="s">
        <v>1828</v>
      </c>
      <c r="C737" t="s">
        <v>2877</v>
      </c>
      <c r="D737" t="s">
        <v>159</v>
      </c>
      <c r="E737" t="s">
        <v>159</v>
      </c>
      <c r="F737">
        <v>7213</v>
      </c>
      <c r="G737" t="s">
        <v>2681</v>
      </c>
      <c r="H737" t="s">
        <v>3076</v>
      </c>
      <c r="I737">
        <v>3500</v>
      </c>
      <c r="J737" t="s">
        <v>2460</v>
      </c>
      <c r="K737">
        <v>3500</v>
      </c>
      <c r="L737" t="s">
        <v>2460</v>
      </c>
      <c r="M737">
        <v>3500</v>
      </c>
      <c r="N737" t="s">
        <v>2460</v>
      </c>
      <c r="O737">
        <v>3500</v>
      </c>
      <c r="P737" t="s">
        <v>2460</v>
      </c>
      <c r="Q737">
        <v>3500</v>
      </c>
      <c r="R737" t="s">
        <v>2460</v>
      </c>
      <c r="S737" t="s">
        <v>988</v>
      </c>
    </row>
    <row r="738" spans="1:19" hidden="1" x14ac:dyDescent="0.3">
      <c r="A738">
        <v>1940</v>
      </c>
      <c r="B738" t="s">
        <v>1828</v>
      </c>
      <c r="C738" t="s">
        <v>2877</v>
      </c>
      <c r="D738" t="s">
        <v>159</v>
      </c>
      <c r="E738" t="s">
        <v>159</v>
      </c>
      <c r="F738">
        <v>7213</v>
      </c>
      <c r="G738" t="s">
        <v>2679</v>
      </c>
      <c r="H738" t="s">
        <v>3511</v>
      </c>
      <c r="I738">
        <v>1500</v>
      </c>
      <c r="J738" t="s">
        <v>2460</v>
      </c>
      <c r="K738">
        <v>1650</v>
      </c>
      <c r="L738" t="s">
        <v>2460</v>
      </c>
      <c r="M738">
        <v>1650</v>
      </c>
      <c r="N738" t="s">
        <v>2460</v>
      </c>
      <c r="O738">
        <v>1800</v>
      </c>
      <c r="P738" t="s">
        <v>2460</v>
      </c>
      <c r="Q738">
        <v>1800</v>
      </c>
      <c r="R738" t="s">
        <v>2460</v>
      </c>
      <c r="S738" t="s">
        <v>988</v>
      </c>
    </row>
    <row r="739" spans="1:19" hidden="1" x14ac:dyDescent="0.3">
      <c r="A739">
        <v>1940</v>
      </c>
      <c r="B739" t="s">
        <v>1828</v>
      </c>
      <c r="C739" t="s">
        <v>2877</v>
      </c>
      <c r="D739" t="s">
        <v>159</v>
      </c>
      <c r="E739" t="s">
        <v>159</v>
      </c>
      <c r="F739">
        <v>7213</v>
      </c>
      <c r="G739" t="s">
        <v>2683</v>
      </c>
      <c r="H739" t="s">
        <v>3191</v>
      </c>
      <c r="I739">
        <v>13240</v>
      </c>
      <c r="J739" t="s">
        <v>2460</v>
      </c>
      <c r="K739">
        <v>13739</v>
      </c>
      <c r="L739" t="s">
        <v>2460</v>
      </c>
      <c r="M739">
        <v>14237</v>
      </c>
      <c r="N739" t="s">
        <v>2460</v>
      </c>
      <c r="O739">
        <v>14736</v>
      </c>
      <c r="P739" t="s">
        <v>2460</v>
      </c>
      <c r="Q739">
        <v>14736</v>
      </c>
      <c r="R739" t="s">
        <v>2460</v>
      </c>
      <c r="S739" t="s">
        <v>988</v>
      </c>
    </row>
    <row r="740" spans="1:19" hidden="1" x14ac:dyDescent="0.3">
      <c r="A740">
        <v>1945</v>
      </c>
      <c r="B740" t="s">
        <v>1829</v>
      </c>
      <c r="C740" t="s">
        <v>2877</v>
      </c>
      <c r="D740" t="s">
        <v>1203</v>
      </c>
      <c r="E740" t="s">
        <v>1204</v>
      </c>
      <c r="F740">
        <v>5546</v>
      </c>
      <c r="G740" t="s">
        <v>2681</v>
      </c>
      <c r="H740" t="s">
        <v>3137</v>
      </c>
      <c r="I740">
        <v>10858</v>
      </c>
      <c r="J740" t="s">
        <v>2460</v>
      </c>
      <c r="K740">
        <v>11685</v>
      </c>
      <c r="L740" t="s">
        <v>2460</v>
      </c>
      <c r="M740">
        <v>12543</v>
      </c>
      <c r="N740" t="s">
        <v>2460</v>
      </c>
      <c r="O740">
        <v>13376</v>
      </c>
      <c r="P740" t="s">
        <v>2460</v>
      </c>
      <c r="Q740">
        <v>14238</v>
      </c>
      <c r="R740" t="s">
        <v>2460</v>
      </c>
      <c r="S740" t="s">
        <v>988</v>
      </c>
    </row>
    <row r="741" spans="1:19" hidden="1" x14ac:dyDescent="0.3">
      <c r="A741">
        <v>1945</v>
      </c>
      <c r="B741" t="s">
        <v>1829</v>
      </c>
      <c r="C741" t="s">
        <v>2877</v>
      </c>
      <c r="D741" t="s">
        <v>1203</v>
      </c>
      <c r="E741" t="s">
        <v>1204</v>
      </c>
      <c r="F741">
        <v>5546</v>
      </c>
      <c r="G741" t="s">
        <v>2679</v>
      </c>
      <c r="H741" t="s">
        <v>3512</v>
      </c>
      <c r="I741">
        <v>2350</v>
      </c>
      <c r="J741" t="s">
        <v>2460</v>
      </c>
      <c r="K741">
        <v>2350</v>
      </c>
      <c r="L741" t="s">
        <v>2460</v>
      </c>
      <c r="M741">
        <v>2350</v>
      </c>
      <c r="N741" t="s">
        <v>2460</v>
      </c>
      <c r="O741">
        <v>2350</v>
      </c>
      <c r="P741" t="s">
        <v>2460</v>
      </c>
      <c r="Q741">
        <v>2350</v>
      </c>
      <c r="R741" t="s">
        <v>2460</v>
      </c>
      <c r="S741" t="s">
        <v>988</v>
      </c>
    </row>
    <row r="742" spans="1:19" hidden="1" x14ac:dyDescent="0.3">
      <c r="A742">
        <v>1945</v>
      </c>
      <c r="B742" t="s">
        <v>1829</v>
      </c>
      <c r="C742" t="s">
        <v>2877</v>
      </c>
      <c r="D742" t="s">
        <v>1203</v>
      </c>
      <c r="E742" t="s">
        <v>1204</v>
      </c>
      <c r="F742">
        <v>5546</v>
      </c>
      <c r="G742" t="s">
        <v>2681</v>
      </c>
      <c r="H742" t="s">
        <v>3275</v>
      </c>
      <c r="I742">
        <v>3350</v>
      </c>
      <c r="J742" t="s">
        <v>2460</v>
      </c>
      <c r="K742">
        <v>3350</v>
      </c>
      <c r="L742" t="s">
        <v>2460</v>
      </c>
      <c r="M742">
        <v>3350</v>
      </c>
      <c r="N742" t="s">
        <v>2460</v>
      </c>
      <c r="O742">
        <v>3350</v>
      </c>
      <c r="P742" t="s">
        <v>2460</v>
      </c>
      <c r="Q742">
        <v>3350</v>
      </c>
      <c r="R742" t="s">
        <v>2460</v>
      </c>
      <c r="S742" t="s">
        <v>988</v>
      </c>
    </row>
    <row r="743" spans="1:19" hidden="1" x14ac:dyDescent="0.3">
      <c r="A743">
        <v>1945</v>
      </c>
      <c r="B743" t="s">
        <v>1829</v>
      </c>
      <c r="C743" t="s">
        <v>2877</v>
      </c>
      <c r="D743" t="s">
        <v>1203</v>
      </c>
      <c r="E743" t="s">
        <v>1204</v>
      </c>
      <c r="F743">
        <v>5546</v>
      </c>
      <c r="G743" t="s">
        <v>2681</v>
      </c>
      <c r="H743" t="s">
        <v>3513</v>
      </c>
      <c r="I743">
        <v>150</v>
      </c>
      <c r="J743" t="s">
        <v>2460</v>
      </c>
      <c r="K743">
        <v>150</v>
      </c>
      <c r="L743" t="s">
        <v>2460</v>
      </c>
      <c r="M743">
        <v>150</v>
      </c>
      <c r="N743" t="s">
        <v>2460</v>
      </c>
      <c r="O743">
        <v>150</v>
      </c>
      <c r="P743" t="s">
        <v>2460</v>
      </c>
      <c r="Q743">
        <v>150</v>
      </c>
      <c r="R743" t="s">
        <v>2460</v>
      </c>
      <c r="S743" t="s">
        <v>988</v>
      </c>
    </row>
    <row r="744" spans="1:19" hidden="1" x14ac:dyDescent="0.3">
      <c r="A744">
        <v>1945</v>
      </c>
      <c r="B744" t="s">
        <v>1829</v>
      </c>
      <c r="C744" t="s">
        <v>2877</v>
      </c>
      <c r="D744" t="s">
        <v>1203</v>
      </c>
      <c r="E744" t="s">
        <v>1204</v>
      </c>
      <c r="F744">
        <v>5546</v>
      </c>
      <c r="G744" t="s">
        <v>2691</v>
      </c>
      <c r="H744" t="s">
        <v>3514</v>
      </c>
      <c r="I744">
        <v>2000</v>
      </c>
      <c r="J744" t="s">
        <v>2460</v>
      </c>
      <c r="K744">
        <v>2000</v>
      </c>
      <c r="L744" t="s">
        <v>2460</v>
      </c>
      <c r="M744">
        <v>2000</v>
      </c>
      <c r="N744" t="s">
        <v>2460</v>
      </c>
      <c r="O744">
        <v>2000</v>
      </c>
      <c r="P744" t="s">
        <v>2460</v>
      </c>
      <c r="Q744">
        <v>2000</v>
      </c>
      <c r="R744" t="s">
        <v>2460</v>
      </c>
      <c r="S744" t="s">
        <v>988</v>
      </c>
    </row>
    <row r="745" spans="1:19" hidden="1" x14ac:dyDescent="0.3">
      <c r="A745">
        <v>1945</v>
      </c>
      <c r="B745" t="s">
        <v>1829</v>
      </c>
      <c r="C745" t="s">
        <v>2877</v>
      </c>
      <c r="D745" t="s">
        <v>1203</v>
      </c>
      <c r="E745" t="s">
        <v>1204</v>
      </c>
      <c r="F745">
        <v>5546</v>
      </c>
      <c r="G745" t="s">
        <v>2683</v>
      </c>
      <c r="H745" t="s">
        <v>2889</v>
      </c>
      <c r="I745">
        <v>6000</v>
      </c>
      <c r="J745" t="s">
        <v>2460</v>
      </c>
      <c r="K745">
        <v>6000</v>
      </c>
      <c r="L745" t="s">
        <v>2460</v>
      </c>
      <c r="M745">
        <v>6000</v>
      </c>
      <c r="N745" t="s">
        <v>2460</v>
      </c>
      <c r="O745">
        <v>6000</v>
      </c>
      <c r="P745" t="s">
        <v>2460</v>
      </c>
      <c r="Q745">
        <v>6000</v>
      </c>
      <c r="R745" t="s">
        <v>2460</v>
      </c>
      <c r="S745" t="s">
        <v>988</v>
      </c>
    </row>
    <row r="746" spans="1:19" hidden="1" x14ac:dyDescent="0.3">
      <c r="A746">
        <v>1953</v>
      </c>
      <c r="B746" t="s">
        <v>1830</v>
      </c>
      <c r="C746" t="s">
        <v>2877</v>
      </c>
      <c r="D746" t="s">
        <v>1203</v>
      </c>
      <c r="E746" t="s">
        <v>1204</v>
      </c>
      <c r="F746">
        <v>5730</v>
      </c>
      <c r="G746" t="s">
        <v>2683</v>
      </c>
      <c r="H746" t="s">
        <v>3515</v>
      </c>
      <c r="I746">
        <v>3701</v>
      </c>
      <c r="J746" t="s">
        <v>2460</v>
      </c>
      <c r="K746">
        <v>3420</v>
      </c>
      <c r="L746" t="s">
        <v>2460</v>
      </c>
      <c r="M746">
        <v>3140</v>
      </c>
      <c r="N746" t="s">
        <v>2460</v>
      </c>
      <c r="O746">
        <v>2859</v>
      </c>
      <c r="P746" t="s">
        <v>2460</v>
      </c>
      <c r="Q746">
        <v>2616</v>
      </c>
      <c r="R746" t="s">
        <v>2460</v>
      </c>
      <c r="S746" t="s">
        <v>988</v>
      </c>
    </row>
    <row r="747" spans="1:19" hidden="1" x14ac:dyDescent="0.3">
      <c r="A747">
        <v>1964</v>
      </c>
      <c r="B747" t="s">
        <v>1832</v>
      </c>
      <c r="C747" t="s">
        <v>2877</v>
      </c>
      <c r="D747" t="s">
        <v>1203</v>
      </c>
      <c r="E747" t="s">
        <v>1204</v>
      </c>
      <c r="F747">
        <v>5509</v>
      </c>
      <c r="G747" t="s">
        <v>2679</v>
      </c>
      <c r="H747" t="s">
        <v>3516</v>
      </c>
      <c r="I747">
        <v>450</v>
      </c>
      <c r="J747" t="s">
        <v>2460</v>
      </c>
      <c r="K747">
        <v>450</v>
      </c>
      <c r="L747" t="s">
        <v>2460</v>
      </c>
      <c r="M747">
        <v>450</v>
      </c>
      <c r="N747" t="s">
        <v>2460</v>
      </c>
      <c r="O747">
        <v>450</v>
      </c>
      <c r="P747" t="s">
        <v>2460</v>
      </c>
      <c r="Q747">
        <v>450</v>
      </c>
      <c r="R747" t="s">
        <v>2460</v>
      </c>
      <c r="S747" t="s">
        <v>988</v>
      </c>
    </row>
    <row r="748" spans="1:19" hidden="1" x14ac:dyDescent="0.3">
      <c r="A748">
        <v>1964</v>
      </c>
      <c r="B748" t="s">
        <v>1832</v>
      </c>
      <c r="C748" t="s">
        <v>2877</v>
      </c>
      <c r="D748" t="s">
        <v>1203</v>
      </c>
      <c r="E748" t="s">
        <v>1204</v>
      </c>
      <c r="F748">
        <v>5509</v>
      </c>
      <c r="G748" t="s">
        <v>2683</v>
      </c>
      <c r="H748" t="s">
        <v>3517</v>
      </c>
      <c r="I748">
        <v>10087</v>
      </c>
      <c r="J748" t="s">
        <v>2460</v>
      </c>
      <c r="K748">
        <v>10344</v>
      </c>
      <c r="L748" t="s">
        <v>2460</v>
      </c>
      <c r="M748">
        <v>10589</v>
      </c>
      <c r="N748" t="s">
        <v>2460</v>
      </c>
      <c r="O748">
        <v>10717</v>
      </c>
      <c r="P748" t="s">
        <v>2460</v>
      </c>
      <c r="Q748">
        <v>11046</v>
      </c>
      <c r="R748" t="s">
        <v>2460</v>
      </c>
      <c r="S748" t="s">
        <v>988</v>
      </c>
    </row>
    <row r="749" spans="1:19" hidden="1" x14ac:dyDescent="0.3">
      <c r="A749">
        <v>1983</v>
      </c>
      <c r="B749" t="s">
        <v>1835</v>
      </c>
      <c r="C749" t="s">
        <v>2877</v>
      </c>
      <c r="D749" t="s">
        <v>1203</v>
      </c>
      <c r="E749" t="s">
        <v>1204</v>
      </c>
      <c r="F749">
        <v>5745</v>
      </c>
      <c r="G749" t="s">
        <v>2683</v>
      </c>
      <c r="H749" t="s">
        <v>3058</v>
      </c>
      <c r="I749">
        <v>3678</v>
      </c>
      <c r="J749" t="s">
        <v>2460</v>
      </c>
      <c r="K749">
        <v>3810</v>
      </c>
      <c r="L749" t="s">
        <v>2460</v>
      </c>
      <c r="M749">
        <v>3944</v>
      </c>
      <c r="N749" t="s">
        <v>2460</v>
      </c>
      <c r="O749">
        <v>4083</v>
      </c>
      <c r="P749" t="s">
        <v>2460</v>
      </c>
      <c r="Q749">
        <v>4226</v>
      </c>
      <c r="R749" t="s">
        <v>2460</v>
      </c>
      <c r="S749" t="s">
        <v>988</v>
      </c>
    </row>
    <row r="750" spans="1:19" hidden="1" x14ac:dyDescent="0.3">
      <c r="A750">
        <v>1983</v>
      </c>
      <c r="B750" t="s">
        <v>1835</v>
      </c>
      <c r="C750" t="s">
        <v>2877</v>
      </c>
      <c r="D750" t="s">
        <v>1203</v>
      </c>
      <c r="E750" t="s">
        <v>1204</v>
      </c>
      <c r="F750">
        <v>5745</v>
      </c>
      <c r="G750" t="s">
        <v>2681</v>
      </c>
      <c r="H750" t="s">
        <v>3518</v>
      </c>
      <c r="I750">
        <v>564</v>
      </c>
      <c r="J750" t="s">
        <v>2460</v>
      </c>
      <c r="K750">
        <v>564</v>
      </c>
      <c r="L750" t="s">
        <v>2460</v>
      </c>
      <c r="M750">
        <v>564</v>
      </c>
      <c r="N750" t="s">
        <v>2460</v>
      </c>
      <c r="O750">
        <v>564</v>
      </c>
      <c r="P750" t="s">
        <v>2460</v>
      </c>
      <c r="Q750">
        <v>564</v>
      </c>
      <c r="R750" t="s">
        <v>2460</v>
      </c>
      <c r="S750" t="s">
        <v>988</v>
      </c>
    </row>
    <row r="751" spans="1:19" hidden="1" x14ac:dyDescent="0.3">
      <c r="A751">
        <v>1990</v>
      </c>
      <c r="B751" t="s">
        <v>1836</v>
      </c>
      <c r="C751" t="s">
        <v>2877</v>
      </c>
      <c r="D751" t="s">
        <v>159</v>
      </c>
      <c r="E751" t="s">
        <v>159</v>
      </c>
      <c r="F751">
        <v>7651</v>
      </c>
      <c r="G751" t="s">
        <v>2683</v>
      </c>
      <c r="H751" t="s">
        <v>2460</v>
      </c>
      <c r="I751">
        <v>13750</v>
      </c>
      <c r="J751" t="s">
        <v>2460</v>
      </c>
      <c r="K751">
        <v>13200</v>
      </c>
      <c r="L751" t="s">
        <v>2460</v>
      </c>
      <c r="M751">
        <v>12672</v>
      </c>
      <c r="N751" t="s">
        <v>2460</v>
      </c>
      <c r="O751">
        <v>12165</v>
      </c>
      <c r="P751" t="s">
        <v>2460</v>
      </c>
      <c r="Q751">
        <v>11679</v>
      </c>
      <c r="R751" t="s">
        <v>2460</v>
      </c>
      <c r="S751" t="s">
        <v>988</v>
      </c>
    </row>
    <row r="752" spans="1:19" hidden="1" x14ac:dyDescent="0.3">
      <c r="A752">
        <v>1990</v>
      </c>
      <c r="B752" t="s">
        <v>1836</v>
      </c>
      <c r="C752" t="s">
        <v>2877</v>
      </c>
      <c r="D752" t="s">
        <v>159</v>
      </c>
      <c r="E752" t="s">
        <v>159</v>
      </c>
      <c r="F752">
        <v>7651</v>
      </c>
      <c r="G752" t="s">
        <v>2687</v>
      </c>
      <c r="H752" t="s">
        <v>2460</v>
      </c>
      <c r="I752">
        <v>0</v>
      </c>
      <c r="J752" t="s">
        <v>2460</v>
      </c>
      <c r="K752">
        <v>2000</v>
      </c>
      <c r="L752" t="s">
        <v>2460</v>
      </c>
      <c r="M752">
        <v>2000</v>
      </c>
      <c r="N752" t="s">
        <v>2460</v>
      </c>
      <c r="O752">
        <v>2000</v>
      </c>
      <c r="P752" t="s">
        <v>2460</v>
      </c>
      <c r="Q752">
        <v>2000</v>
      </c>
      <c r="R752" t="s">
        <v>2460</v>
      </c>
      <c r="S752" t="s">
        <v>988</v>
      </c>
    </row>
    <row r="753" spans="1:19" hidden="1" x14ac:dyDescent="0.3">
      <c r="A753">
        <v>1996</v>
      </c>
      <c r="B753" t="s">
        <v>1838</v>
      </c>
      <c r="C753" t="s">
        <v>2877</v>
      </c>
      <c r="D753" t="s">
        <v>1203</v>
      </c>
      <c r="E753" t="s">
        <v>1204</v>
      </c>
      <c r="F753">
        <v>5798</v>
      </c>
      <c r="G753" t="s">
        <v>2679</v>
      </c>
      <c r="H753" t="s">
        <v>2460</v>
      </c>
      <c r="I753">
        <v>520</v>
      </c>
      <c r="J753" t="s">
        <v>2460</v>
      </c>
      <c r="K753">
        <v>520</v>
      </c>
      <c r="L753" t="s">
        <v>2460</v>
      </c>
      <c r="M753">
        <v>520</v>
      </c>
      <c r="N753" t="s">
        <v>2460</v>
      </c>
      <c r="O753">
        <v>520</v>
      </c>
      <c r="P753" t="s">
        <v>2460</v>
      </c>
      <c r="R753" t="s">
        <v>2460</v>
      </c>
      <c r="S753" t="s">
        <v>988</v>
      </c>
    </row>
    <row r="754" spans="1:19" hidden="1" x14ac:dyDescent="0.3">
      <c r="A754">
        <v>1996</v>
      </c>
      <c r="B754" t="s">
        <v>1838</v>
      </c>
      <c r="C754" t="s">
        <v>2877</v>
      </c>
      <c r="D754" t="s">
        <v>1203</v>
      </c>
      <c r="E754" t="s">
        <v>1204</v>
      </c>
      <c r="F754">
        <v>5798</v>
      </c>
      <c r="G754" t="s">
        <v>2683</v>
      </c>
      <c r="H754" t="s">
        <v>3519</v>
      </c>
      <c r="I754">
        <v>4839</v>
      </c>
      <c r="J754" t="s">
        <v>2460</v>
      </c>
      <c r="K754">
        <v>4977</v>
      </c>
      <c r="L754" t="s">
        <v>2460</v>
      </c>
      <c r="M754">
        <v>5121</v>
      </c>
      <c r="N754" t="s">
        <v>2460</v>
      </c>
      <c r="O754">
        <v>5268</v>
      </c>
      <c r="P754" t="s">
        <v>2460</v>
      </c>
      <c r="R754" t="s">
        <v>2460</v>
      </c>
      <c r="S754" t="s">
        <v>988</v>
      </c>
    </row>
    <row r="755" spans="1:19" hidden="1" x14ac:dyDescent="0.3">
      <c r="A755">
        <v>1996</v>
      </c>
      <c r="B755" t="s">
        <v>1838</v>
      </c>
      <c r="C755" t="s">
        <v>2877</v>
      </c>
      <c r="D755" t="s">
        <v>1203</v>
      </c>
      <c r="E755" t="s">
        <v>1204</v>
      </c>
      <c r="F755">
        <v>5798</v>
      </c>
      <c r="G755" t="s">
        <v>2683</v>
      </c>
      <c r="H755" t="s">
        <v>3520</v>
      </c>
      <c r="I755">
        <v>0</v>
      </c>
      <c r="J755" t="s">
        <v>2460</v>
      </c>
      <c r="K755">
        <v>0</v>
      </c>
      <c r="L755" t="s">
        <v>2460</v>
      </c>
      <c r="M755">
        <v>0</v>
      </c>
      <c r="N755" t="s">
        <v>2460</v>
      </c>
      <c r="O755">
        <v>0</v>
      </c>
      <c r="P755" t="s">
        <v>2460</v>
      </c>
      <c r="R755" t="s">
        <v>2460</v>
      </c>
      <c r="S755" t="s">
        <v>988</v>
      </c>
    </row>
    <row r="756" spans="1:19" hidden="1" x14ac:dyDescent="0.3">
      <c r="A756">
        <v>2000</v>
      </c>
      <c r="B756" t="s">
        <v>1839</v>
      </c>
      <c r="C756" t="s">
        <v>2877</v>
      </c>
      <c r="D756" t="s">
        <v>159</v>
      </c>
      <c r="E756" t="s">
        <v>159</v>
      </c>
      <c r="F756">
        <v>7709</v>
      </c>
      <c r="G756" t="s">
        <v>2681</v>
      </c>
      <c r="H756" t="s">
        <v>2460</v>
      </c>
      <c r="I756">
        <v>22000</v>
      </c>
      <c r="J756" t="s">
        <v>2460</v>
      </c>
      <c r="K756">
        <v>22000</v>
      </c>
      <c r="L756" t="s">
        <v>2460</v>
      </c>
      <c r="M756">
        <v>22000</v>
      </c>
      <c r="N756" t="s">
        <v>2460</v>
      </c>
      <c r="O756">
        <v>22000</v>
      </c>
      <c r="P756" t="s">
        <v>2460</v>
      </c>
      <c r="Q756">
        <v>22000</v>
      </c>
      <c r="R756" t="s">
        <v>2460</v>
      </c>
      <c r="S756" t="s">
        <v>988</v>
      </c>
    </row>
    <row r="757" spans="1:19" hidden="1" x14ac:dyDescent="0.3">
      <c r="A757">
        <v>2000</v>
      </c>
      <c r="B757" t="s">
        <v>1839</v>
      </c>
      <c r="C757" t="s">
        <v>2877</v>
      </c>
      <c r="D757" t="s">
        <v>159</v>
      </c>
      <c r="E757" t="s">
        <v>159</v>
      </c>
      <c r="F757">
        <v>7709</v>
      </c>
      <c r="G757" t="s">
        <v>2683</v>
      </c>
      <c r="H757" t="s">
        <v>2460</v>
      </c>
      <c r="I757">
        <v>54100</v>
      </c>
      <c r="J757" t="s">
        <v>2460</v>
      </c>
      <c r="K757">
        <v>56650</v>
      </c>
      <c r="L757" t="s">
        <v>2460</v>
      </c>
      <c r="M757">
        <v>58250</v>
      </c>
      <c r="N757" t="s">
        <v>2460</v>
      </c>
      <c r="O757">
        <v>60300</v>
      </c>
      <c r="P757" t="s">
        <v>2460</v>
      </c>
      <c r="Q757">
        <v>62400</v>
      </c>
      <c r="R757" t="s">
        <v>2460</v>
      </c>
      <c r="S757" t="s">
        <v>988</v>
      </c>
    </row>
    <row r="758" spans="1:19" hidden="1" x14ac:dyDescent="0.3">
      <c r="A758">
        <v>2000</v>
      </c>
      <c r="B758" t="s">
        <v>1839</v>
      </c>
      <c r="C758" t="s">
        <v>2877</v>
      </c>
      <c r="D758" t="s">
        <v>159</v>
      </c>
      <c r="E758" t="s">
        <v>159</v>
      </c>
      <c r="F758">
        <v>7709</v>
      </c>
      <c r="G758" t="s">
        <v>687</v>
      </c>
      <c r="H758" t="s">
        <v>3521</v>
      </c>
      <c r="J758" t="s">
        <v>2460</v>
      </c>
      <c r="K758">
        <v>550</v>
      </c>
      <c r="L758" t="s">
        <v>2460</v>
      </c>
      <c r="M758">
        <v>550</v>
      </c>
      <c r="N758" t="s">
        <v>2460</v>
      </c>
      <c r="O758">
        <v>550</v>
      </c>
      <c r="P758" t="s">
        <v>2460</v>
      </c>
      <c r="Q758">
        <v>550</v>
      </c>
      <c r="R758" t="s">
        <v>2460</v>
      </c>
      <c r="S758" t="s">
        <v>988</v>
      </c>
    </row>
    <row r="759" spans="1:19" hidden="1" x14ac:dyDescent="0.3">
      <c r="A759">
        <v>2000</v>
      </c>
      <c r="B759" t="s">
        <v>1839</v>
      </c>
      <c r="C759" t="s">
        <v>2877</v>
      </c>
      <c r="D759" t="s">
        <v>159</v>
      </c>
      <c r="E759" t="s">
        <v>159</v>
      </c>
      <c r="F759">
        <v>7709</v>
      </c>
      <c r="G759" t="s">
        <v>2679</v>
      </c>
      <c r="H759" t="s">
        <v>2460</v>
      </c>
      <c r="I759">
        <v>4175</v>
      </c>
      <c r="J759" t="s">
        <v>2460</v>
      </c>
      <c r="K759">
        <v>4354</v>
      </c>
      <c r="L759" t="s">
        <v>2460</v>
      </c>
      <c r="M759">
        <v>4528</v>
      </c>
      <c r="N759" t="s">
        <v>2460</v>
      </c>
      <c r="O759">
        <v>4702</v>
      </c>
      <c r="P759" t="s">
        <v>2460</v>
      </c>
      <c r="Q759">
        <v>4874</v>
      </c>
      <c r="R759" t="s">
        <v>2460</v>
      </c>
      <c r="S759" t="s">
        <v>988</v>
      </c>
    </row>
    <row r="760" spans="1:19" hidden="1" x14ac:dyDescent="0.3">
      <c r="A760">
        <v>2033</v>
      </c>
      <c r="B760" t="s">
        <v>865</v>
      </c>
      <c r="C760" t="s">
        <v>2877</v>
      </c>
      <c r="D760" t="s">
        <v>1203</v>
      </c>
      <c r="E760" t="s">
        <v>1204</v>
      </c>
      <c r="F760">
        <v>5479</v>
      </c>
      <c r="G760" t="s">
        <v>784</v>
      </c>
      <c r="H760" t="s">
        <v>3522</v>
      </c>
      <c r="I760">
        <v>3998.7608685499999</v>
      </c>
      <c r="J760" t="s">
        <v>2460</v>
      </c>
      <c r="K760">
        <v>3998.7608685499999</v>
      </c>
      <c r="L760" t="s">
        <v>2460</v>
      </c>
      <c r="M760">
        <v>3998.7608685499999</v>
      </c>
      <c r="N760" t="s">
        <v>2460</v>
      </c>
      <c r="O760">
        <v>3998.7608685499999</v>
      </c>
      <c r="P760" t="s">
        <v>2460</v>
      </c>
      <c r="Q760">
        <v>3998.7608685499999</v>
      </c>
      <c r="R760" t="s">
        <v>2460</v>
      </c>
      <c r="S760" t="s">
        <v>988</v>
      </c>
    </row>
    <row r="761" spans="1:19" hidden="1" x14ac:dyDescent="0.3">
      <c r="A761">
        <v>2033</v>
      </c>
      <c r="B761" t="s">
        <v>865</v>
      </c>
      <c r="C761" t="s">
        <v>2877</v>
      </c>
      <c r="D761" t="s">
        <v>1203</v>
      </c>
      <c r="E761" t="s">
        <v>1204</v>
      </c>
      <c r="F761">
        <v>5479</v>
      </c>
      <c r="G761" t="s">
        <v>2679</v>
      </c>
      <c r="H761" t="s">
        <v>2460</v>
      </c>
      <c r="I761">
        <v>58.30886915</v>
      </c>
      <c r="J761" t="s">
        <v>2460</v>
      </c>
      <c r="K761">
        <v>58.30886915</v>
      </c>
      <c r="L761" t="s">
        <v>2460</v>
      </c>
      <c r="M761">
        <v>58.30886915</v>
      </c>
      <c r="N761" t="s">
        <v>2460</v>
      </c>
      <c r="O761">
        <v>58.30886915</v>
      </c>
      <c r="P761" t="s">
        <v>2460</v>
      </c>
      <c r="Q761">
        <v>58.30886915</v>
      </c>
      <c r="R761" t="s">
        <v>2460</v>
      </c>
      <c r="S761" t="s">
        <v>988</v>
      </c>
    </row>
    <row r="762" spans="1:19" hidden="1" x14ac:dyDescent="0.3">
      <c r="A762">
        <v>2033</v>
      </c>
      <c r="B762" t="s">
        <v>865</v>
      </c>
      <c r="C762" t="s">
        <v>2877</v>
      </c>
      <c r="D762" t="s">
        <v>1203</v>
      </c>
      <c r="E762" t="s">
        <v>1204</v>
      </c>
      <c r="F762">
        <v>5479</v>
      </c>
      <c r="G762" t="s">
        <v>2683</v>
      </c>
      <c r="H762" t="s">
        <v>3523</v>
      </c>
      <c r="I762">
        <v>27141.2441454</v>
      </c>
      <c r="J762" t="s">
        <v>2460</v>
      </c>
      <c r="K762">
        <v>27141.2441454</v>
      </c>
      <c r="L762" t="s">
        <v>2460</v>
      </c>
      <c r="M762">
        <v>27141.2441454</v>
      </c>
      <c r="N762" t="s">
        <v>2460</v>
      </c>
      <c r="O762">
        <v>27141.2441454</v>
      </c>
      <c r="P762" t="s">
        <v>2460</v>
      </c>
      <c r="Q762">
        <v>27141.2441454</v>
      </c>
      <c r="R762" t="s">
        <v>2460</v>
      </c>
      <c r="S762" t="s">
        <v>988</v>
      </c>
    </row>
    <row r="763" spans="1:19" hidden="1" x14ac:dyDescent="0.3">
      <c r="A763">
        <v>2033</v>
      </c>
      <c r="B763" t="s">
        <v>865</v>
      </c>
      <c r="C763" t="s">
        <v>2877</v>
      </c>
      <c r="D763" t="s">
        <v>1203</v>
      </c>
      <c r="E763" t="s">
        <v>1204</v>
      </c>
      <c r="F763">
        <v>5479</v>
      </c>
      <c r="G763" t="s">
        <v>2681</v>
      </c>
      <c r="H763" t="s">
        <v>2460</v>
      </c>
      <c r="I763">
        <v>12999.808932600001</v>
      </c>
      <c r="J763" t="s">
        <v>2460</v>
      </c>
      <c r="K763">
        <v>13300.559941899999</v>
      </c>
      <c r="L763" t="s">
        <v>2460</v>
      </c>
      <c r="M763">
        <v>13300.559941899999</v>
      </c>
      <c r="N763" t="s">
        <v>2460</v>
      </c>
      <c r="O763">
        <v>13300.559941899999</v>
      </c>
      <c r="P763" t="s">
        <v>2460</v>
      </c>
      <c r="Q763">
        <v>13300.559941899999</v>
      </c>
      <c r="R763" t="s">
        <v>2460</v>
      </c>
      <c r="S763" t="s">
        <v>988</v>
      </c>
    </row>
    <row r="764" spans="1:19" hidden="1" x14ac:dyDescent="0.3">
      <c r="A764">
        <v>2035</v>
      </c>
      <c r="B764" t="s">
        <v>1843</v>
      </c>
      <c r="C764" t="s">
        <v>2877</v>
      </c>
      <c r="D764" t="s">
        <v>1203</v>
      </c>
      <c r="E764" t="s">
        <v>1204</v>
      </c>
      <c r="F764">
        <v>5747</v>
      </c>
      <c r="G764" t="s">
        <v>2681</v>
      </c>
      <c r="H764" t="s">
        <v>3524</v>
      </c>
      <c r="I764">
        <v>1000</v>
      </c>
      <c r="J764" t="s">
        <v>2460</v>
      </c>
      <c r="K764">
        <v>1000</v>
      </c>
      <c r="L764" t="s">
        <v>2460</v>
      </c>
      <c r="M764">
        <v>1000</v>
      </c>
      <c r="N764" t="s">
        <v>2460</v>
      </c>
      <c r="O764">
        <v>1000</v>
      </c>
      <c r="P764" t="s">
        <v>2460</v>
      </c>
      <c r="Q764">
        <v>1000</v>
      </c>
      <c r="R764" t="s">
        <v>2460</v>
      </c>
      <c r="S764" t="s">
        <v>988</v>
      </c>
    </row>
    <row r="765" spans="1:19" hidden="1" x14ac:dyDescent="0.3">
      <c r="A765">
        <v>2035</v>
      </c>
      <c r="B765" t="s">
        <v>1843</v>
      </c>
      <c r="C765" t="s">
        <v>2877</v>
      </c>
      <c r="D765" t="s">
        <v>1203</v>
      </c>
      <c r="E765" t="s">
        <v>1204</v>
      </c>
      <c r="F765">
        <v>5747</v>
      </c>
      <c r="G765" t="s">
        <v>2679</v>
      </c>
      <c r="H765" t="s">
        <v>3525</v>
      </c>
      <c r="I765">
        <v>3766</v>
      </c>
      <c r="J765" t="s">
        <v>2460</v>
      </c>
      <c r="K765">
        <v>4015</v>
      </c>
      <c r="L765" t="s">
        <v>2460</v>
      </c>
      <c r="M765">
        <v>4275</v>
      </c>
      <c r="N765" t="s">
        <v>2460</v>
      </c>
      <c r="O765">
        <v>4513</v>
      </c>
      <c r="P765" t="s">
        <v>2460</v>
      </c>
      <c r="Q765">
        <v>4760</v>
      </c>
      <c r="R765" t="s">
        <v>2460</v>
      </c>
      <c r="S765" t="s">
        <v>988</v>
      </c>
    </row>
    <row r="766" spans="1:19" hidden="1" x14ac:dyDescent="0.3">
      <c r="A766">
        <v>2035</v>
      </c>
      <c r="B766" t="s">
        <v>1843</v>
      </c>
      <c r="C766" t="s">
        <v>2877</v>
      </c>
      <c r="D766" t="s">
        <v>1203</v>
      </c>
      <c r="E766" t="s">
        <v>1204</v>
      </c>
      <c r="F766">
        <v>5747</v>
      </c>
      <c r="G766" t="s">
        <v>2691</v>
      </c>
      <c r="H766" t="s">
        <v>3526</v>
      </c>
      <c r="I766">
        <v>5000</v>
      </c>
      <c r="J766" t="s">
        <v>2460</v>
      </c>
      <c r="K766">
        <v>5000</v>
      </c>
      <c r="L766" t="s">
        <v>2460</v>
      </c>
      <c r="M766">
        <v>5000</v>
      </c>
      <c r="N766" t="s">
        <v>2460</v>
      </c>
      <c r="O766">
        <v>5000</v>
      </c>
      <c r="P766" t="s">
        <v>2460</v>
      </c>
      <c r="Q766">
        <v>5000</v>
      </c>
      <c r="R766" t="s">
        <v>2460</v>
      </c>
      <c r="S766" t="s">
        <v>988</v>
      </c>
    </row>
    <row r="767" spans="1:19" hidden="1" x14ac:dyDescent="0.3">
      <c r="A767">
        <v>2035</v>
      </c>
      <c r="B767" t="s">
        <v>1843</v>
      </c>
      <c r="C767" t="s">
        <v>2877</v>
      </c>
      <c r="D767" t="s">
        <v>1203</v>
      </c>
      <c r="E767" t="s">
        <v>1204</v>
      </c>
      <c r="F767">
        <v>5747</v>
      </c>
      <c r="G767" t="s">
        <v>2691</v>
      </c>
      <c r="H767" t="s">
        <v>3527</v>
      </c>
      <c r="I767">
        <v>5500</v>
      </c>
      <c r="J767" t="s">
        <v>2460</v>
      </c>
      <c r="K767">
        <v>5500</v>
      </c>
      <c r="L767" t="s">
        <v>2460</v>
      </c>
      <c r="M767">
        <v>5500</v>
      </c>
      <c r="N767" t="s">
        <v>2460</v>
      </c>
      <c r="O767">
        <v>5500</v>
      </c>
      <c r="P767" t="s">
        <v>2460</v>
      </c>
      <c r="Q767">
        <v>5500</v>
      </c>
      <c r="R767" t="s">
        <v>2460</v>
      </c>
      <c r="S767" t="s">
        <v>988</v>
      </c>
    </row>
    <row r="768" spans="1:19" hidden="1" x14ac:dyDescent="0.3">
      <c r="A768">
        <v>2035</v>
      </c>
      <c r="B768" t="s">
        <v>1843</v>
      </c>
      <c r="C768" t="s">
        <v>2877</v>
      </c>
      <c r="D768" t="s">
        <v>1203</v>
      </c>
      <c r="E768" t="s">
        <v>1204</v>
      </c>
      <c r="F768">
        <v>5747</v>
      </c>
      <c r="G768" t="s">
        <v>2683</v>
      </c>
      <c r="H768" t="s">
        <v>3196</v>
      </c>
      <c r="I768">
        <v>700</v>
      </c>
      <c r="J768" t="s">
        <v>2460</v>
      </c>
      <c r="K768">
        <v>700</v>
      </c>
      <c r="L768" t="s">
        <v>2460</v>
      </c>
      <c r="M768">
        <v>700</v>
      </c>
      <c r="N768" t="s">
        <v>2460</v>
      </c>
      <c r="O768">
        <v>700</v>
      </c>
      <c r="P768" t="s">
        <v>2460</v>
      </c>
      <c r="Q768">
        <v>700</v>
      </c>
      <c r="R768" t="s">
        <v>2460</v>
      </c>
      <c r="S768" t="s">
        <v>988</v>
      </c>
    </row>
    <row r="769" spans="1:19" hidden="1" x14ac:dyDescent="0.3">
      <c r="A769">
        <v>2035</v>
      </c>
      <c r="B769" t="s">
        <v>1843</v>
      </c>
      <c r="C769" t="s">
        <v>2877</v>
      </c>
      <c r="D769" t="s">
        <v>1203</v>
      </c>
      <c r="E769" t="s">
        <v>1204</v>
      </c>
      <c r="F769">
        <v>5747</v>
      </c>
      <c r="G769" t="s">
        <v>2679</v>
      </c>
      <c r="H769" t="s">
        <v>3528</v>
      </c>
      <c r="I769">
        <v>2100</v>
      </c>
      <c r="J769" t="s">
        <v>2460</v>
      </c>
      <c r="K769">
        <v>2100</v>
      </c>
      <c r="L769" t="s">
        <v>2460</v>
      </c>
      <c r="M769">
        <v>2100</v>
      </c>
      <c r="N769" t="s">
        <v>2460</v>
      </c>
      <c r="O769">
        <v>2100</v>
      </c>
      <c r="P769" t="s">
        <v>2460</v>
      </c>
      <c r="Q769">
        <v>2100</v>
      </c>
      <c r="R769" t="s">
        <v>2460</v>
      </c>
      <c r="S769" t="s">
        <v>988</v>
      </c>
    </row>
    <row r="770" spans="1:19" hidden="1" x14ac:dyDescent="0.3">
      <c r="A770">
        <v>2035</v>
      </c>
      <c r="B770" t="s">
        <v>1843</v>
      </c>
      <c r="C770" t="s">
        <v>2877</v>
      </c>
      <c r="D770" t="s">
        <v>1203</v>
      </c>
      <c r="E770" t="s">
        <v>1204</v>
      </c>
      <c r="F770">
        <v>5747</v>
      </c>
      <c r="G770" t="s">
        <v>2681</v>
      </c>
      <c r="H770" t="s">
        <v>3198</v>
      </c>
      <c r="I770">
        <v>12973</v>
      </c>
      <c r="J770" t="s">
        <v>2460</v>
      </c>
      <c r="K770">
        <v>13922</v>
      </c>
      <c r="L770" t="s">
        <v>2460</v>
      </c>
      <c r="M770">
        <v>14861</v>
      </c>
      <c r="N770" t="s">
        <v>2460</v>
      </c>
      <c r="O770">
        <v>15677</v>
      </c>
      <c r="P770" t="s">
        <v>2460</v>
      </c>
      <c r="Q770">
        <v>16484</v>
      </c>
      <c r="R770" t="s">
        <v>2460</v>
      </c>
      <c r="S770" t="s">
        <v>988</v>
      </c>
    </row>
    <row r="771" spans="1:19" hidden="1" x14ac:dyDescent="0.3">
      <c r="A771">
        <v>2037</v>
      </c>
      <c r="B771" t="s">
        <v>1845</v>
      </c>
      <c r="C771" t="s">
        <v>2877</v>
      </c>
      <c r="D771" t="s">
        <v>1203</v>
      </c>
      <c r="E771" t="s">
        <v>1204</v>
      </c>
      <c r="F771">
        <v>5619</v>
      </c>
      <c r="G771" t="s">
        <v>2683</v>
      </c>
      <c r="H771" t="s">
        <v>3529</v>
      </c>
      <c r="I771">
        <v>12243</v>
      </c>
      <c r="J771" t="s">
        <v>3530</v>
      </c>
      <c r="K771">
        <v>12243</v>
      </c>
      <c r="L771" t="s">
        <v>3530</v>
      </c>
      <c r="M771">
        <v>12243</v>
      </c>
      <c r="N771" t="s">
        <v>3530</v>
      </c>
      <c r="O771">
        <v>12243</v>
      </c>
      <c r="P771" t="s">
        <v>3530</v>
      </c>
      <c r="Q771">
        <v>12243</v>
      </c>
      <c r="R771" t="s">
        <v>3530</v>
      </c>
      <c r="S771" t="s">
        <v>988</v>
      </c>
    </row>
    <row r="772" spans="1:19" hidden="1" x14ac:dyDescent="0.3">
      <c r="A772">
        <v>2037</v>
      </c>
      <c r="B772" t="s">
        <v>1845</v>
      </c>
      <c r="C772" t="s">
        <v>2877</v>
      </c>
      <c r="D772" t="s">
        <v>1203</v>
      </c>
      <c r="E772" t="s">
        <v>1204</v>
      </c>
      <c r="F772">
        <v>5619</v>
      </c>
      <c r="G772" t="s">
        <v>2679</v>
      </c>
      <c r="H772" t="s">
        <v>2460</v>
      </c>
      <c r="I772">
        <v>1286</v>
      </c>
      <c r="J772" t="s">
        <v>3531</v>
      </c>
      <c r="K772">
        <v>1426</v>
      </c>
      <c r="L772" t="s">
        <v>3531</v>
      </c>
      <c r="M772">
        <v>1686</v>
      </c>
      <c r="N772" t="s">
        <v>3531</v>
      </c>
      <c r="O772">
        <v>1701</v>
      </c>
      <c r="P772" t="s">
        <v>3531</v>
      </c>
      <c r="Q772">
        <v>1716</v>
      </c>
      <c r="R772" t="s">
        <v>3531</v>
      </c>
      <c r="S772" t="s">
        <v>988</v>
      </c>
    </row>
    <row r="773" spans="1:19" hidden="1" x14ac:dyDescent="0.3">
      <c r="A773">
        <v>2042</v>
      </c>
      <c r="B773" t="s">
        <v>1848</v>
      </c>
      <c r="C773" t="s">
        <v>2877</v>
      </c>
      <c r="D773" t="s">
        <v>1203</v>
      </c>
      <c r="E773" t="s">
        <v>1204</v>
      </c>
      <c r="F773">
        <v>7759</v>
      </c>
      <c r="G773" t="s">
        <v>2681</v>
      </c>
      <c r="H773" t="s">
        <v>3093</v>
      </c>
      <c r="I773">
        <v>5508.6536907500004</v>
      </c>
      <c r="J773" t="s">
        <v>2460</v>
      </c>
      <c r="K773">
        <v>6297.3578681999998</v>
      </c>
      <c r="L773" t="s">
        <v>2460</v>
      </c>
      <c r="M773">
        <v>7076.8553820999996</v>
      </c>
      <c r="N773" t="s">
        <v>2460</v>
      </c>
      <c r="O773">
        <v>7862.4906717000003</v>
      </c>
      <c r="P773" t="s">
        <v>2460</v>
      </c>
      <c r="Q773">
        <v>8645.0570734499997</v>
      </c>
      <c r="R773" t="s">
        <v>2460</v>
      </c>
      <c r="S773" t="s">
        <v>988</v>
      </c>
    </row>
    <row r="774" spans="1:19" hidden="1" x14ac:dyDescent="0.3">
      <c r="A774">
        <v>2049</v>
      </c>
      <c r="B774" t="s">
        <v>1849</v>
      </c>
      <c r="C774" t="s">
        <v>2877</v>
      </c>
      <c r="D774" t="s">
        <v>1203</v>
      </c>
      <c r="E774" t="s">
        <v>1204</v>
      </c>
      <c r="F774">
        <v>5727</v>
      </c>
      <c r="G774" t="s">
        <v>2679</v>
      </c>
      <c r="H774" t="s">
        <v>3532</v>
      </c>
      <c r="I774">
        <v>10</v>
      </c>
      <c r="J774" t="s">
        <v>2460</v>
      </c>
      <c r="K774">
        <v>10</v>
      </c>
      <c r="L774" t="s">
        <v>2460</v>
      </c>
      <c r="M774">
        <v>10</v>
      </c>
      <c r="N774" t="s">
        <v>2460</v>
      </c>
      <c r="O774">
        <v>10</v>
      </c>
      <c r="P774" t="s">
        <v>2460</v>
      </c>
      <c r="Q774">
        <v>10</v>
      </c>
      <c r="R774" t="s">
        <v>2460</v>
      </c>
      <c r="S774" t="s">
        <v>988</v>
      </c>
    </row>
    <row r="775" spans="1:19" hidden="1" x14ac:dyDescent="0.3">
      <c r="A775">
        <v>2049</v>
      </c>
      <c r="B775" t="s">
        <v>1849</v>
      </c>
      <c r="C775" t="s">
        <v>2877</v>
      </c>
      <c r="D775" t="s">
        <v>1203</v>
      </c>
      <c r="E775" t="s">
        <v>1204</v>
      </c>
      <c r="F775">
        <v>5727</v>
      </c>
      <c r="G775" t="s">
        <v>2691</v>
      </c>
      <c r="H775" t="s">
        <v>3533</v>
      </c>
      <c r="I775">
        <v>1241</v>
      </c>
      <c r="J775" t="s">
        <v>2460</v>
      </c>
      <c r="K775">
        <v>1241</v>
      </c>
      <c r="L775" t="s">
        <v>2460</v>
      </c>
      <c r="M775">
        <v>1241</v>
      </c>
      <c r="N775" t="s">
        <v>2460</v>
      </c>
      <c r="O775">
        <v>1241</v>
      </c>
      <c r="P775" t="s">
        <v>2460</v>
      </c>
      <c r="Q775">
        <v>1241</v>
      </c>
      <c r="R775" t="s">
        <v>2460</v>
      </c>
      <c r="S775" t="s">
        <v>988</v>
      </c>
    </row>
    <row r="776" spans="1:19" hidden="1" x14ac:dyDescent="0.3">
      <c r="A776">
        <v>2049</v>
      </c>
      <c r="B776" t="s">
        <v>1849</v>
      </c>
      <c r="C776" t="s">
        <v>2877</v>
      </c>
      <c r="D776" t="s">
        <v>1203</v>
      </c>
      <c r="E776" t="s">
        <v>1204</v>
      </c>
      <c r="F776">
        <v>5727</v>
      </c>
      <c r="G776" t="s">
        <v>2681</v>
      </c>
      <c r="H776" t="s">
        <v>3534</v>
      </c>
      <c r="I776">
        <v>1200</v>
      </c>
      <c r="J776" t="s">
        <v>2460</v>
      </c>
      <c r="K776">
        <v>1200</v>
      </c>
      <c r="L776" t="s">
        <v>2460</v>
      </c>
      <c r="M776">
        <v>1200</v>
      </c>
      <c r="N776" t="s">
        <v>2460</v>
      </c>
      <c r="O776">
        <v>1200</v>
      </c>
      <c r="P776" t="s">
        <v>2460</v>
      </c>
      <c r="Q776">
        <v>1200</v>
      </c>
      <c r="R776" t="s">
        <v>2460</v>
      </c>
      <c r="S776" t="s">
        <v>988</v>
      </c>
    </row>
    <row r="777" spans="1:19" hidden="1" x14ac:dyDescent="0.3">
      <c r="A777">
        <v>2049</v>
      </c>
      <c r="B777" t="s">
        <v>1849</v>
      </c>
      <c r="C777" t="s">
        <v>2877</v>
      </c>
      <c r="D777" t="s">
        <v>1203</v>
      </c>
      <c r="E777" t="s">
        <v>1204</v>
      </c>
      <c r="F777">
        <v>5727</v>
      </c>
      <c r="G777" t="s">
        <v>2683</v>
      </c>
      <c r="H777" t="s">
        <v>3155</v>
      </c>
      <c r="I777">
        <v>384</v>
      </c>
      <c r="J777" t="s">
        <v>2460</v>
      </c>
      <c r="K777">
        <v>412</v>
      </c>
      <c r="L777" t="s">
        <v>2460</v>
      </c>
      <c r="M777">
        <v>440</v>
      </c>
      <c r="N777" t="s">
        <v>2460</v>
      </c>
      <c r="O777">
        <v>469</v>
      </c>
      <c r="P777" t="s">
        <v>2460</v>
      </c>
      <c r="Q777">
        <v>498</v>
      </c>
      <c r="R777" t="s">
        <v>2460</v>
      </c>
      <c r="S777" t="s">
        <v>988</v>
      </c>
    </row>
    <row r="778" spans="1:19" hidden="1" x14ac:dyDescent="0.3">
      <c r="A778">
        <v>2049</v>
      </c>
      <c r="B778" t="s">
        <v>1849</v>
      </c>
      <c r="C778" t="s">
        <v>2877</v>
      </c>
      <c r="D778" t="s">
        <v>1203</v>
      </c>
      <c r="E778" t="s">
        <v>1204</v>
      </c>
      <c r="F778">
        <v>5727</v>
      </c>
      <c r="G778" t="s">
        <v>2681</v>
      </c>
      <c r="H778" t="s">
        <v>3156</v>
      </c>
      <c r="I778">
        <v>1528</v>
      </c>
      <c r="J778" t="s">
        <v>2460</v>
      </c>
      <c r="K778">
        <v>1557</v>
      </c>
      <c r="L778" t="s">
        <v>2460</v>
      </c>
      <c r="M778">
        <v>1586</v>
      </c>
      <c r="N778" t="s">
        <v>2460</v>
      </c>
      <c r="O778">
        <v>1614</v>
      </c>
      <c r="P778" t="s">
        <v>2460</v>
      </c>
      <c r="Q778">
        <v>1642</v>
      </c>
      <c r="R778" t="s">
        <v>2460</v>
      </c>
      <c r="S778" t="s">
        <v>988</v>
      </c>
    </row>
    <row r="779" spans="1:19" hidden="1" x14ac:dyDescent="0.3">
      <c r="A779">
        <v>2049</v>
      </c>
      <c r="B779" t="s">
        <v>1849</v>
      </c>
      <c r="C779" t="s">
        <v>2877</v>
      </c>
      <c r="D779" t="s">
        <v>1203</v>
      </c>
      <c r="E779" t="s">
        <v>1204</v>
      </c>
      <c r="F779">
        <v>5727</v>
      </c>
      <c r="G779" t="s">
        <v>2681</v>
      </c>
      <c r="H779" t="s">
        <v>3535</v>
      </c>
      <c r="I779">
        <v>1600</v>
      </c>
      <c r="J779" t="s">
        <v>2460</v>
      </c>
      <c r="K779">
        <v>1600</v>
      </c>
      <c r="L779" t="s">
        <v>2460</v>
      </c>
      <c r="M779">
        <v>1600</v>
      </c>
      <c r="N779" t="s">
        <v>2460</v>
      </c>
      <c r="O779">
        <v>1600</v>
      </c>
      <c r="P779" t="s">
        <v>2460</v>
      </c>
      <c r="Q779">
        <v>1600</v>
      </c>
      <c r="R779" t="s">
        <v>2460</v>
      </c>
      <c r="S779" t="s">
        <v>988</v>
      </c>
    </row>
    <row r="780" spans="1:19" hidden="1" x14ac:dyDescent="0.3">
      <c r="A780">
        <v>2049</v>
      </c>
      <c r="B780" t="s">
        <v>1849</v>
      </c>
      <c r="C780" t="s">
        <v>2877</v>
      </c>
      <c r="D780" t="s">
        <v>1203</v>
      </c>
      <c r="E780" t="s">
        <v>1204</v>
      </c>
      <c r="F780">
        <v>5727</v>
      </c>
      <c r="G780" t="s">
        <v>2681</v>
      </c>
      <c r="H780" t="s">
        <v>3536</v>
      </c>
      <c r="I780">
        <v>2500</v>
      </c>
      <c r="J780" t="s">
        <v>2460</v>
      </c>
      <c r="K780">
        <v>2500</v>
      </c>
      <c r="L780" t="s">
        <v>2460</v>
      </c>
      <c r="M780">
        <v>2500</v>
      </c>
      <c r="N780" t="s">
        <v>2460</v>
      </c>
      <c r="O780">
        <v>2500</v>
      </c>
      <c r="P780" t="s">
        <v>2460</v>
      </c>
      <c r="Q780">
        <v>2500</v>
      </c>
      <c r="R780" t="s">
        <v>2460</v>
      </c>
      <c r="S780" t="s">
        <v>988</v>
      </c>
    </row>
    <row r="781" spans="1:19" hidden="1" x14ac:dyDescent="0.3">
      <c r="A781">
        <v>2049</v>
      </c>
      <c r="B781" t="s">
        <v>1849</v>
      </c>
      <c r="C781" t="s">
        <v>2877</v>
      </c>
      <c r="D781" t="s">
        <v>1203</v>
      </c>
      <c r="E781" t="s">
        <v>1204</v>
      </c>
      <c r="F781">
        <v>5727</v>
      </c>
      <c r="G781" t="s">
        <v>2681</v>
      </c>
      <c r="H781" t="s">
        <v>3198</v>
      </c>
      <c r="I781">
        <v>2580</v>
      </c>
      <c r="J781" t="s">
        <v>2460</v>
      </c>
      <c r="K781">
        <v>3227</v>
      </c>
      <c r="L781" t="s">
        <v>2460</v>
      </c>
      <c r="M781">
        <v>3875</v>
      </c>
      <c r="N781" t="s">
        <v>2460</v>
      </c>
      <c r="O781">
        <v>4270</v>
      </c>
      <c r="P781" t="s">
        <v>2460</v>
      </c>
      <c r="Q781">
        <v>4665</v>
      </c>
      <c r="R781" t="s">
        <v>2460</v>
      </c>
      <c r="S781" t="s">
        <v>988</v>
      </c>
    </row>
    <row r="782" spans="1:19" hidden="1" x14ac:dyDescent="0.3">
      <c r="A782">
        <v>2057</v>
      </c>
      <c r="B782" t="s">
        <v>1851</v>
      </c>
      <c r="C782" t="s">
        <v>2877</v>
      </c>
      <c r="D782" t="s">
        <v>159</v>
      </c>
      <c r="E782" t="s">
        <v>159</v>
      </c>
      <c r="F782">
        <v>5680</v>
      </c>
      <c r="G782" t="s">
        <v>2679</v>
      </c>
      <c r="H782" t="s">
        <v>3537</v>
      </c>
      <c r="I782">
        <v>1800</v>
      </c>
      <c r="J782" t="s">
        <v>3538</v>
      </c>
      <c r="K782">
        <v>1800</v>
      </c>
      <c r="L782" t="s">
        <v>3538</v>
      </c>
      <c r="M782">
        <v>1800</v>
      </c>
      <c r="N782" t="s">
        <v>3538</v>
      </c>
      <c r="O782">
        <v>1800</v>
      </c>
      <c r="P782" t="s">
        <v>3538</v>
      </c>
      <c r="Q782">
        <v>1800</v>
      </c>
      <c r="R782" t="s">
        <v>3538</v>
      </c>
      <c r="S782" t="s">
        <v>988</v>
      </c>
    </row>
    <row r="783" spans="1:19" hidden="1" x14ac:dyDescent="0.3">
      <c r="A783">
        <v>2057</v>
      </c>
      <c r="B783" t="s">
        <v>1851</v>
      </c>
      <c r="C783" t="s">
        <v>2877</v>
      </c>
      <c r="D783" t="s">
        <v>159</v>
      </c>
      <c r="E783" t="s">
        <v>159</v>
      </c>
      <c r="F783">
        <v>5680</v>
      </c>
      <c r="G783" t="s">
        <v>2679</v>
      </c>
      <c r="H783" t="s">
        <v>3539</v>
      </c>
      <c r="I783">
        <v>180</v>
      </c>
      <c r="J783" t="s">
        <v>3540</v>
      </c>
      <c r="K783">
        <v>180</v>
      </c>
      <c r="L783" t="s">
        <v>3540</v>
      </c>
      <c r="M783">
        <v>180</v>
      </c>
      <c r="N783" t="s">
        <v>3540</v>
      </c>
      <c r="O783">
        <v>180</v>
      </c>
      <c r="P783" t="s">
        <v>3540</v>
      </c>
      <c r="Q783">
        <v>180</v>
      </c>
      <c r="R783" t="s">
        <v>3540</v>
      </c>
      <c r="S783" t="s">
        <v>988</v>
      </c>
    </row>
    <row r="784" spans="1:19" hidden="1" x14ac:dyDescent="0.3">
      <c r="A784">
        <v>2057</v>
      </c>
      <c r="B784" t="s">
        <v>1851</v>
      </c>
      <c r="C784" t="s">
        <v>2877</v>
      </c>
      <c r="D784" t="s">
        <v>159</v>
      </c>
      <c r="E784" t="s">
        <v>159</v>
      </c>
      <c r="F784">
        <v>5680</v>
      </c>
      <c r="G784" t="s">
        <v>2679</v>
      </c>
      <c r="H784" t="s">
        <v>3541</v>
      </c>
      <c r="I784">
        <v>220</v>
      </c>
      <c r="J784" t="s">
        <v>3542</v>
      </c>
      <c r="K784">
        <v>220</v>
      </c>
      <c r="L784" t="s">
        <v>3542</v>
      </c>
      <c r="M784">
        <v>220</v>
      </c>
      <c r="N784" t="s">
        <v>3542</v>
      </c>
      <c r="O784">
        <v>220</v>
      </c>
      <c r="P784" t="s">
        <v>3542</v>
      </c>
      <c r="Q784">
        <v>220</v>
      </c>
      <c r="R784" t="s">
        <v>3542</v>
      </c>
      <c r="S784" t="s">
        <v>988</v>
      </c>
    </row>
    <row r="785" spans="1:19" hidden="1" x14ac:dyDescent="0.3">
      <c r="A785">
        <v>2057</v>
      </c>
      <c r="B785" t="s">
        <v>1851</v>
      </c>
      <c r="C785" t="s">
        <v>2877</v>
      </c>
      <c r="D785" t="s">
        <v>159</v>
      </c>
      <c r="E785" t="s">
        <v>159</v>
      </c>
      <c r="F785">
        <v>5680</v>
      </c>
      <c r="G785" t="s">
        <v>2683</v>
      </c>
      <c r="H785" t="s">
        <v>3543</v>
      </c>
      <c r="I785">
        <v>6672</v>
      </c>
      <c r="J785" t="s">
        <v>3544</v>
      </c>
      <c r="K785">
        <v>7153</v>
      </c>
      <c r="L785" t="s">
        <v>3545</v>
      </c>
      <c r="M785">
        <v>7300</v>
      </c>
      <c r="N785" t="s">
        <v>3546</v>
      </c>
      <c r="O785">
        <v>7379</v>
      </c>
      <c r="P785" t="s">
        <v>3547</v>
      </c>
      <c r="Q785">
        <v>7527</v>
      </c>
      <c r="R785" t="s">
        <v>3548</v>
      </c>
      <c r="S785" t="s">
        <v>988</v>
      </c>
    </row>
    <row r="786" spans="1:19" hidden="1" x14ac:dyDescent="0.3">
      <c r="A786">
        <v>2063</v>
      </c>
      <c r="B786" t="s">
        <v>1852</v>
      </c>
      <c r="C786" t="s">
        <v>2877</v>
      </c>
      <c r="D786" t="s">
        <v>1203</v>
      </c>
      <c r="E786" t="s">
        <v>1204</v>
      </c>
      <c r="F786">
        <v>5732</v>
      </c>
      <c r="G786" t="s">
        <v>2681</v>
      </c>
      <c r="H786" t="s">
        <v>2460</v>
      </c>
      <c r="I786">
        <v>3052</v>
      </c>
      <c r="J786" t="s">
        <v>3549</v>
      </c>
      <c r="K786">
        <v>3358</v>
      </c>
      <c r="L786" t="s">
        <v>3550</v>
      </c>
      <c r="M786">
        <v>3694</v>
      </c>
      <c r="N786" t="s">
        <v>3551</v>
      </c>
      <c r="O786">
        <v>4064</v>
      </c>
      <c r="P786" t="s">
        <v>3552</v>
      </c>
      <c r="Q786">
        <v>4120</v>
      </c>
      <c r="R786" t="s">
        <v>3553</v>
      </c>
      <c r="S786" t="s">
        <v>988</v>
      </c>
    </row>
    <row r="787" spans="1:19" hidden="1" x14ac:dyDescent="0.3">
      <c r="A787">
        <v>2063</v>
      </c>
      <c r="B787" t="s">
        <v>1852</v>
      </c>
      <c r="C787" t="s">
        <v>2877</v>
      </c>
      <c r="D787" t="s">
        <v>1203</v>
      </c>
      <c r="E787" t="s">
        <v>1204</v>
      </c>
      <c r="F787">
        <v>5732</v>
      </c>
      <c r="G787" t="s">
        <v>2679</v>
      </c>
      <c r="H787" t="s">
        <v>2460</v>
      </c>
      <c r="I787">
        <v>62</v>
      </c>
      <c r="J787" t="s">
        <v>3554</v>
      </c>
      <c r="K787">
        <v>142</v>
      </c>
      <c r="L787" t="s">
        <v>3555</v>
      </c>
      <c r="M787">
        <v>236</v>
      </c>
      <c r="N787" t="s">
        <v>3556</v>
      </c>
      <c r="O787">
        <v>330</v>
      </c>
      <c r="P787" t="s">
        <v>3557</v>
      </c>
      <c r="Q787">
        <v>424</v>
      </c>
      <c r="R787" t="s">
        <v>3558</v>
      </c>
      <c r="S787" t="s">
        <v>988</v>
      </c>
    </row>
    <row r="788" spans="1:19" hidden="1" x14ac:dyDescent="0.3">
      <c r="A788">
        <v>2074</v>
      </c>
      <c r="B788" t="s">
        <v>1853</v>
      </c>
      <c r="C788" t="s">
        <v>2877</v>
      </c>
      <c r="D788" t="s">
        <v>1203</v>
      </c>
      <c r="E788" t="s">
        <v>1204</v>
      </c>
      <c r="F788">
        <v>6341</v>
      </c>
      <c r="G788" t="s">
        <v>2681</v>
      </c>
      <c r="H788" t="s">
        <v>2460</v>
      </c>
      <c r="I788">
        <v>4646</v>
      </c>
      <c r="J788" t="s">
        <v>2460</v>
      </c>
      <c r="K788">
        <v>4867</v>
      </c>
      <c r="L788" t="s">
        <v>2460</v>
      </c>
      <c r="M788">
        <v>5088</v>
      </c>
      <c r="N788" t="s">
        <v>2460</v>
      </c>
      <c r="O788">
        <v>5309</v>
      </c>
      <c r="P788" t="s">
        <v>2460</v>
      </c>
      <c r="R788" t="s">
        <v>2460</v>
      </c>
      <c r="S788" t="s">
        <v>988</v>
      </c>
    </row>
    <row r="789" spans="1:19" hidden="1" x14ac:dyDescent="0.3">
      <c r="A789">
        <v>2083</v>
      </c>
      <c r="B789" t="s">
        <v>1854</v>
      </c>
      <c r="C789" t="s">
        <v>2877</v>
      </c>
      <c r="D789" t="s">
        <v>1203</v>
      </c>
      <c r="E789" t="s">
        <v>1204</v>
      </c>
      <c r="F789">
        <v>5706</v>
      </c>
      <c r="G789" t="s">
        <v>2681</v>
      </c>
      <c r="H789" t="s">
        <v>3156</v>
      </c>
      <c r="I789">
        <v>2728</v>
      </c>
      <c r="J789" t="s">
        <v>2460</v>
      </c>
      <c r="K789">
        <v>2728</v>
      </c>
      <c r="L789" t="s">
        <v>2460</v>
      </c>
      <c r="M789">
        <v>2728</v>
      </c>
      <c r="N789" t="s">
        <v>2460</v>
      </c>
      <c r="O789">
        <v>2728</v>
      </c>
      <c r="P789" t="s">
        <v>2460</v>
      </c>
      <c r="Q789">
        <v>2728</v>
      </c>
      <c r="R789" t="s">
        <v>2460</v>
      </c>
      <c r="S789" t="s">
        <v>988</v>
      </c>
    </row>
    <row r="790" spans="1:19" hidden="1" x14ac:dyDescent="0.3">
      <c r="A790">
        <v>2083</v>
      </c>
      <c r="B790" t="s">
        <v>1854</v>
      </c>
      <c r="C790" t="s">
        <v>2877</v>
      </c>
      <c r="D790" t="s">
        <v>1203</v>
      </c>
      <c r="E790" t="s">
        <v>1204</v>
      </c>
      <c r="F790">
        <v>5706</v>
      </c>
      <c r="G790" t="s">
        <v>2679</v>
      </c>
      <c r="H790" t="s">
        <v>3559</v>
      </c>
      <c r="I790">
        <v>5700</v>
      </c>
      <c r="J790" t="s">
        <v>2460</v>
      </c>
      <c r="K790">
        <v>13420</v>
      </c>
      <c r="L790" t="s">
        <v>2460</v>
      </c>
      <c r="M790">
        <v>13420</v>
      </c>
      <c r="N790" t="s">
        <v>2460</v>
      </c>
      <c r="O790">
        <v>13420</v>
      </c>
      <c r="P790" t="s">
        <v>2460</v>
      </c>
      <c r="Q790">
        <v>13420</v>
      </c>
      <c r="R790" t="s">
        <v>2460</v>
      </c>
      <c r="S790" t="s">
        <v>988</v>
      </c>
    </row>
    <row r="791" spans="1:19" hidden="1" x14ac:dyDescent="0.3">
      <c r="A791">
        <v>2083</v>
      </c>
      <c r="B791" t="s">
        <v>1854</v>
      </c>
      <c r="C791" t="s">
        <v>2877</v>
      </c>
      <c r="D791" t="s">
        <v>1203</v>
      </c>
      <c r="E791" t="s">
        <v>1204</v>
      </c>
      <c r="F791">
        <v>5706</v>
      </c>
      <c r="G791" t="s">
        <v>2683</v>
      </c>
      <c r="H791" t="s">
        <v>3560</v>
      </c>
      <c r="I791">
        <v>21700</v>
      </c>
      <c r="J791" t="s">
        <v>2460</v>
      </c>
      <c r="K791">
        <v>21700</v>
      </c>
      <c r="L791" t="s">
        <v>2460</v>
      </c>
      <c r="M791">
        <v>21700</v>
      </c>
      <c r="N791" t="s">
        <v>2460</v>
      </c>
      <c r="O791">
        <v>21700</v>
      </c>
      <c r="P791" t="s">
        <v>2460</v>
      </c>
      <c r="Q791">
        <v>21700</v>
      </c>
      <c r="R791" t="s">
        <v>2460</v>
      </c>
      <c r="S791" t="s">
        <v>988</v>
      </c>
    </row>
    <row r="792" spans="1:19" hidden="1" x14ac:dyDescent="0.3">
      <c r="A792">
        <v>2083</v>
      </c>
      <c r="B792" t="s">
        <v>1854</v>
      </c>
      <c r="C792" t="s">
        <v>2877</v>
      </c>
      <c r="D792" t="s">
        <v>1203</v>
      </c>
      <c r="E792" t="s">
        <v>1204</v>
      </c>
      <c r="F792">
        <v>5706</v>
      </c>
      <c r="G792" t="s">
        <v>2681</v>
      </c>
      <c r="H792" t="s">
        <v>3561</v>
      </c>
      <c r="I792">
        <v>0</v>
      </c>
      <c r="J792" t="s">
        <v>2460</v>
      </c>
      <c r="K792">
        <v>0</v>
      </c>
      <c r="L792" t="s">
        <v>2460</v>
      </c>
      <c r="M792">
        <v>0</v>
      </c>
      <c r="N792" t="s">
        <v>2460</v>
      </c>
      <c r="O792">
        <v>1500</v>
      </c>
      <c r="P792" t="s">
        <v>2460</v>
      </c>
      <c r="Q792">
        <v>1500</v>
      </c>
      <c r="R792" t="s">
        <v>2460</v>
      </c>
      <c r="S792" t="s">
        <v>988</v>
      </c>
    </row>
    <row r="793" spans="1:19" hidden="1" x14ac:dyDescent="0.3">
      <c r="A793">
        <v>2083</v>
      </c>
      <c r="B793" t="s">
        <v>1854</v>
      </c>
      <c r="C793" t="s">
        <v>2877</v>
      </c>
      <c r="D793" t="s">
        <v>1203</v>
      </c>
      <c r="E793" t="s">
        <v>1204</v>
      </c>
      <c r="F793">
        <v>5706</v>
      </c>
      <c r="G793" t="s">
        <v>2681</v>
      </c>
      <c r="H793" t="s">
        <v>3562</v>
      </c>
      <c r="I793">
        <v>0</v>
      </c>
      <c r="J793" t="s">
        <v>2460</v>
      </c>
      <c r="K793">
        <v>0</v>
      </c>
      <c r="L793" t="s">
        <v>2460</v>
      </c>
      <c r="M793">
        <v>2800</v>
      </c>
      <c r="N793" t="s">
        <v>2460</v>
      </c>
      <c r="O793">
        <v>2800</v>
      </c>
      <c r="P793" t="s">
        <v>2460</v>
      </c>
      <c r="Q793">
        <v>2800</v>
      </c>
      <c r="R793" t="s">
        <v>2460</v>
      </c>
      <c r="S793" t="s">
        <v>988</v>
      </c>
    </row>
    <row r="794" spans="1:19" hidden="1" x14ac:dyDescent="0.3">
      <c r="A794">
        <v>2083</v>
      </c>
      <c r="B794" t="s">
        <v>1854</v>
      </c>
      <c r="C794" t="s">
        <v>2877</v>
      </c>
      <c r="D794" t="s">
        <v>1203</v>
      </c>
      <c r="E794" t="s">
        <v>1204</v>
      </c>
      <c r="F794">
        <v>5706</v>
      </c>
      <c r="G794" t="s">
        <v>2681</v>
      </c>
      <c r="H794" t="s">
        <v>3563</v>
      </c>
      <c r="I794">
        <v>16880</v>
      </c>
      <c r="J794" t="s">
        <v>2460</v>
      </c>
      <c r="K794">
        <v>16880</v>
      </c>
      <c r="L794" t="s">
        <v>2460</v>
      </c>
      <c r="M794">
        <v>16880</v>
      </c>
      <c r="N794" t="s">
        <v>2460</v>
      </c>
      <c r="O794">
        <v>16880</v>
      </c>
      <c r="P794" t="s">
        <v>2460</v>
      </c>
      <c r="Q794">
        <v>16880</v>
      </c>
      <c r="R794" t="s">
        <v>2460</v>
      </c>
      <c r="S794" t="s">
        <v>988</v>
      </c>
    </row>
    <row r="795" spans="1:19" hidden="1" x14ac:dyDescent="0.3">
      <c r="A795">
        <v>2083</v>
      </c>
      <c r="B795" t="s">
        <v>1854</v>
      </c>
      <c r="C795" t="s">
        <v>2877</v>
      </c>
      <c r="D795" t="s">
        <v>1203</v>
      </c>
      <c r="E795" t="s">
        <v>1204</v>
      </c>
      <c r="F795">
        <v>5706</v>
      </c>
      <c r="G795" t="s">
        <v>2681</v>
      </c>
      <c r="H795" t="s">
        <v>3564</v>
      </c>
      <c r="I795">
        <v>0</v>
      </c>
      <c r="J795" t="s">
        <v>2460</v>
      </c>
      <c r="K795">
        <v>2000</v>
      </c>
      <c r="L795" t="s">
        <v>2460</v>
      </c>
      <c r="M795">
        <v>2000</v>
      </c>
      <c r="N795" t="s">
        <v>2460</v>
      </c>
      <c r="O795">
        <v>2000</v>
      </c>
      <c r="P795" t="s">
        <v>2460</v>
      </c>
      <c r="Q795">
        <v>2000</v>
      </c>
      <c r="R795" t="s">
        <v>2460</v>
      </c>
      <c r="S795" t="s">
        <v>988</v>
      </c>
    </row>
    <row r="796" spans="1:19" hidden="1" x14ac:dyDescent="0.3">
      <c r="A796">
        <v>2083</v>
      </c>
      <c r="B796" t="s">
        <v>1854</v>
      </c>
      <c r="C796" t="s">
        <v>2877</v>
      </c>
      <c r="D796" t="s">
        <v>1203</v>
      </c>
      <c r="E796" t="s">
        <v>1204</v>
      </c>
      <c r="F796">
        <v>5706</v>
      </c>
      <c r="G796" t="s">
        <v>2681</v>
      </c>
      <c r="H796" t="s">
        <v>3565</v>
      </c>
      <c r="I796">
        <v>10902</v>
      </c>
      <c r="J796" t="s">
        <v>2460</v>
      </c>
      <c r="K796">
        <v>10902</v>
      </c>
      <c r="L796" t="s">
        <v>2460</v>
      </c>
      <c r="M796">
        <v>10902</v>
      </c>
      <c r="N796" t="s">
        <v>2460</v>
      </c>
      <c r="O796">
        <v>10902</v>
      </c>
      <c r="P796" t="s">
        <v>2460</v>
      </c>
      <c r="Q796">
        <v>10902</v>
      </c>
      <c r="R796" t="s">
        <v>2460</v>
      </c>
      <c r="S796" t="s">
        <v>988</v>
      </c>
    </row>
    <row r="797" spans="1:19" hidden="1" x14ac:dyDescent="0.3">
      <c r="A797">
        <v>2083</v>
      </c>
      <c r="B797" t="s">
        <v>1854</v>
      </c>
      <c r="C797" t="s">
        <v>2877</v>
      </c>
      <c r="D797" t="s">
        <v>1203</v>
      </c>
      <c r="E797" t="s">
        <v>1204</v>
      </c>
      <c r="F797">
        <v>5706</v>
      </c>
      <c r="G797" t="s">
        <v>2681</v>
      </c>
      <c r="H797" t="s">
        <v>3566</v>
      </c>
      <c r="I797">
        <v>750</v>
      </c>
      <c r="J797" t="s">
        <v>2460</v>
      </c>
      <c r="K797">
        <v>1000</v>
      </c>
      <c r="L797" t="s">
        <v>2460</v>
      </c>
      <c r="M797">
        <v>1500</v>
      </c>
      <c r="N797" t="s">
        <v>2460</v>
      </c>
      <c r="O797">
        <v>1500</v>
      </c>
      <c r="P797" t="s">
        <v>2460</v>
      </c>
      <c r="Q797">
        <v>1500</v>
      </c>
      <c r="R797" t="s">
        <v>2460</v>
      </c>
      <c r="S797" t="s">
        <v>988</v>
      </c>
    </row>
    <row r="798" spans="1:19" hidden="1" x14ac:dyDescent="0.3">
      <c r="A798">
        <v>2083</v>
      </c>
      <c r="B798" t="s">
        <v>1854</v>
      </c>
      <c r="C798" t="s">
        <v>2877</v>
      </c>
      <c r="D798" t="s">
        <v>1203</v>
      </c>
      <c r="E798" t="s">
        <v>1204</v>
      </c>
      <c r="F798">
        <v>5706</v>
      </c>
      <c r="G798" t="s">
        <v>2681</v>
      </c>
      <c r="H798" t="s">
        <v>3567</v>
      </c>
      <c r="I798">
        <v>1000</v>
      </c>
      <c r="J798" t="s">
        <v>2460</v>
      </c>
      <c r="K798">
        <v>1000</v>
      </c>
      <c r="L798" t="s">
        <v>2460</v>
      </c>
      <c r="M798">
        <v>1000</v>
      </c>
      <c r="N798" t="s">
        <v>2460</v>
      </c>
      <c r="O798">
        <v>1000</v>
      </c>
      <c r="P798" t="s">
        <v>2460</v>
      </c>
      <c r="Q798">
        <v>1000</v>
      </c>
      <c r="R798" t="s">
        <v>2460</v>
      </c>
      <c r="S798" t="s">
        <v>988</v>
      </c>
    </row>
    <row r="799" spans="1:19" hidden="1" x14ac:dyDescent="0.3">
      <c r="A799">
        <v>2083</v>
      </c>
      <c r="B799" t="s">
        <v>1854</v>
      </c>
      <c r="C799" t="s">
        <v>2877</v>
      </c>
      <c r="D799" t="s">
        <v>1203</v>
      </c>
      <c r="E799" t="s">
        <v>1204</v>
      </c>
      <c r="F799">
        <v>5706</v>
      </c>
      <c r="G799" t="s">
        <v>2681</v>
      </c>
      <c r="H799" t="s">
        <v>3153</v>
      </c>
      <c r="I799">
        <v>52263</v>
      </c>
      <c r="J799" t="s">
        <v>2460</v>
      </c>
      <c r="K799">
        <v>52263</v>
      </c>
      <c r="L799" t="s">
        <v>2460</v>
      </c>
      <c r="M799">
        <v>52263</v>
      </c>
      <c r="N799" t="s">
        <v>2460</v>
      </c>
      <c r="O799">
        <v>52263</v>
      </c>
      <c r="P799" t="s">
        <v>2460</v>
      </c>
      <c r="Q799">
        <v>52263</v>
      </c>
      <c r="R799" t="s">
        <v>2460</v>
      </c>
      <c r="S799" t="s">
        <v>988</v>
      </c>
    </row>
    <row r="800" spans="1:19" hidden="1" x14ac:dyDescent="0.3">
      <c r="A800">
        <v>2087</v>
      </c>
      <c r="B800" t="s">
        <v>1860</v>
      </c>
      <c r="C800" t="s">
        <v>2877</v>
      </c>
      <c r="D800" t="s">
        <v>1203</v>
      </c>
      <c r="E800" t="s">
        <v>1204</v>
      </c>
      <c r="F800">
        <v>5755</v>
      </c>
      <c r="G800" t="s">
        <v>2681</v>
      </c>
      <c r="H800" t="s">
        <v>3563</v>
      </c>
      <c r="I800">
        <v>250</v>
      </c>
      <c r="J800" t="s">
        <v>2460</v>
      </c>
      <c r="K800">
        <v>250</v>
      </c>
      <c r="L800" t="s">
        <v>2460</v>
      </c>
      <c r="M800">
        <v>250</v>
      </c>
      <c r="N800" t="s">
        <v>2460</v>
      </c>
      <c r="O800">
        <v>250</v>
      </c>
      <c r="P800" t="s">
        <v>2460</v>
      </c>
      <c r="Q800">
        <v>250</v>
      </c>
      <c r="R800" t="s">
        <v>2460</v>
      </c>
      <c r="S800" t="s">
        <v>988</v>
      </c>
    </row>
    <row r="801" spans="1:19" hidden="1" x14ac:dyDescent="0.3">
      <c r="A801">
        <v>2087</v>
      </c>
      <c r="B801" t="s">
        <v>1860</v>
      </c>
      <c r="C801" t="s">
        <v>2877</v>
      </c>
      <c r="D801" t="s">
        <v>1203</v>
      </c>
      <c r="E801" t="s">
        <v>1204</v>
      </c>
      <c r="F801">
        <v>5755</v>
      </c>
      <c r="G801" t="s">
        <v>2681</v>
      </c>
      <c r="H801" t="s">
        <v>3568</v>
      </c>
      <c r="I801">
        <v>3176</v>
      </c>
      <c r="J801" t="s">
        <v>2460</v>
      </c>
      <c r="K801">
        <v>3399</v>
      </c>
      <c r="L801" t="s">
        <v>2460</v>
      </c>
      <c r="M801">
        <v>3622</v>
      </c>
      <c r="N801" t="s">
        <v>2460</v>
      </c>
      <c r="O801">
        <v>3736</v>
      </c>
      <c r="P801" t="s">
        <v>2460</v>
      </c>
      <c r="Q801">
        <v>3850</v>
      </c>
      <c r="R801" t="s">
        <v>2460</v>
      </c>
      <c r="S801" t="s">
        <v>988</v>
      </c>
    </row>
    <row r="802" spans="1:19" hidden="1" x14ac:dyDescent="0.3">
      <c r="A802">
        <v>2087</v>
      </c>
      <c r="B802" t="s">
        <v>1860</v>
      </c>
      <c r="C802" t="s">
        <v>2877</v>
      </c>
      <c r="D802" t="s">
        <v>1203</v>
      </c>
      <c r="E802" t="s">
        <v>1204</v>
      </c>
      <c r="F802">
        <v>5755</v>
      </c>
      <c r="G802" t="s">
        <v>2681</v>
      </c>
      <c r="H802" t="s">
        <v>3198</v>
      </c>
      <c r="I802">
        <v>0</v>
      </c>
      <c r="J802" t="s">
        <v>2460</v>
      </c>
      <c r="K802">
        <v>0</v>
      </c>
      <c r="L802" t="s">
        <v>2460</v>
      </c>
      <c r="M802">
        <v>0</v>
      </c>
      <c r="N802" t="s">
        <v>2460</v>
      </c>
      <c r="O802">
        <v>0</v>
      </c>
      <c r="P802" t="s">
        <v>2460</v>
      </c>
      <c r="Q802">
        <v>0</v>
      </c>
      <c r="R802" t="s">
        <v>2460</v>
      </c>
      <c r="S802" t="s">
        <v>988</v>
      </c>
    </row>
    <row r="803" spans="1:19" hidden="1" x14ac:dyDescent="0.3">
      <c r="A803">
        <v>2087</v>
      </c>
      <c r="B803" t="s">
        <v>1860</v>
      </c>
      <c r="C803" t="s">
        <v>2877</v>
      </c>
      <c r="D803" t="s">
        <v>1203</v>
      </c>
      <c r="E803" t="s">
        <v>1204</v>
      </c>
      <c r="F803">
        <v>5755</v>
      </c>
      <c r="G803" t="s">
        <v>2681</v>
      </c>
      <c r="H803" t="s">
        <v>3535</v>
      </c>
      <c r="I803">
        <v>1800</v>
      </c>
      <c r="J803" t="s">
        <v>2460</v>
      </c>
      <c r="K803">
        <v>1800</v>
      </c>
      <c r="L803" t="s">
        <v>2460</v>
      </c>
      <c r="M803">
        <v>1800</v>
      </c>
      <c r="N803" t="s">
        <v>2460</v>
      </c>
      <c r="O803">
        <v>1800</v>
      </c>
      <c r="P803" t="s">
        <v>2460</v>
      </c>
      <c r="Q803">
        <v>1800</v>
      </c>
      <c r="R803" t="s">
        <v>2460</v>
      </c>
      <c r="S803" t="s">
        <v>988</v>
      </c>
    </row>
    <row r="804" spans="1:19" hidden="1" x14ac:dyDescent="0.3">
      <c r="A804">
        <v>2103</v>
      </c>
      <c r="B804" t="s">
        <v>1862</v>
      </c>
      <c r="C804" t="s">
        <v>2877</v>
      </c>
      <c r="D804" t="s">
        <v>1203</v>
      </c>
      <c r="E804" t="s">
        <v>1204</v>
      </c>
      <c r="F804">
        <v>6641</v>
      </c>
      <c r="G804" t="s">
        <v>2681</v>
      </c>
      <c r="H804" t="s">
        <v>3569</v>
      </c>
      <c r="I804">
        <v>2577</v>
      </c>
      <c r="J804" t="s">
        <v>3570</v>
      </c>
      <c r="K804">
        <v>2577</v>
      </c>
      <c r="L804" t="s">
        <v>3570</v>
      </c>
      <c r="M804">
        <v>2577</v>
      </c>
      <c r="N804" t="s">
        <v>3570</v>
      </c>
      <c r="O804">
        <v>2577</v>
      </c>
      <c r="P804" t="s">
        <v>3570</v>
      </c>
      <c r="Q804">
        <v>2577</v>
      </c>
      <c r="R804" t="s">
        <v>3570</v>
      </c>
      <c r="S804" t="s">
        <v>988</v>
      </c>
    </row>
    <row r="805" spans="1:19" hidden="1" x14ac:dyDescent="0.3">
      <c r="A805">
        <v>2103</v>
      </c>
      <c r="B805" t="s">
        <v>1862</v>
      </c>
      <c r="C805" t="s">
        <v>2877</v>
      </c>
      <c r="D805" t="s">
        <v>1203</v>
      </c>
      <c r="E805" t="s">
        <v>1204</v>
      </c>
      <c r="F805">
        <v>6641</v>
      </c>
      <c r="G805" t="s">
        <v>2679</v>
      </c>
      <c r="H805" t="s">
        <v>3571</v>
      </c>
      <c r="I805">
        <v>1350</v>
      </c>
      <c r="J805" t="s">
        <v>3572</v>
      </c>
      <c r="K805">
        <v>1350</v>
      </c>
      <c r="L805" t="s">
        <v>3572</v>
      </c>
      <c r="M805">
        <v>1350</v>
      </c>
      <c r="N805" t="s">
        <v>3572</v>
      </c>
      <c r="O805">
        <v>1350</v>
      </c>
      <c r="P805" t="s">
        <v>3572</v>
      </c>
      <c r="Q805">
        <v>1350</v>
      </c>
      <c r="R805" t="s">
        <v>3572</v>
      </c>
      <c r="S805" t="s">
        <v>988</v>
      </c>
    </row>
    <row r="806" spans="1:19" hidden="1" x14ac:dyDescent="0.3">
      <c r="A806">
        <v>2103</v>
      </c>
      <c r="B806" t="s">
        <v>1862</v>
      </c>
      <c r="C806" t="s">
        <v>2877</v>
      </c>
      <c r="D806" t="s">
        <v>1203</v>
      </c>
      <c r="E806" t="s">
        <v>1204</v>
      </c>
      <c r="F806">
        <v>6641</v>
      </c>
      <c r="G806" t="s">
        <v>2683</v>
      </c>
      <c r="H806" t="s">
        <v>3573</v>
      </c>
      <c r="I806">
        <v>6250</v>
      </c>
      <c r="J806" t="s">
        <v>3574</v>
      </c>
      <c r="K806">
        <v>6250</v>
      </c>
      <c r="L806" t="s">
        <v>3574</v>
      </c>
      <c r="M806">
        <v>6250</v>
      </c>
      <c r="N806" t="s">
        <v>3574</v>
      </c>
      <c r="O806">
        <v>6250</v>
      </c>
      <c r="P806" t="s">
        <v>3574</v>
      </c>
      <c r="Q806">
        <v>6250</v>
      </c>
      <c r="R806" t="s">
        <v>3574</v>
      </c>
      <c r="S806" t="s">
        <v>988</v>
      </c>
    </row>
    <row r="807" spans="1:19" hidden="1" x14ac:dyDescent="0.3">
      <c r="A807">
        <v>2111</v>
      </c>
      <c r="B807" t="s">
        <v>868</v>
      </c>
      <c r="C807" t="s">
        <v>2877</v>
      </c>
      <c r="D807" t="s">
        <v>1203</v>
      </c>
      <c r="E807" t="s">
        <v>1204</v>
      </c>
      <c r="F807">
        <v>5659</v>
      </c>
      <c r="G807" t="s">
        <v>2683</v>
      </c>
      <c r="H807" t="s">
        <v>3575</v>
      </c>
      <c r="I807">
        <v>30000</v>
      </c>
      <c r="J807" t="s">
        <v>3576</v>
      </c>
      <c r="K807">
        <v>30000</v>
      </c>
      <c r="L807" t="s">
        <v>3576</v>
      </c>
      <c r="M807">
        <v>30000</v>
      </c>
      <c r="N807" t="s">
        <v>3576</v>
      </c>
      <c r="O807">
        <v>30000</v>
      </c>
      <c r="P807" t="s">
        <v>3576</v>
      </c>
      <c r="Q807">
        <v>30000</v>
      </c>
      <c r="R807" t="s">
        <v>3576</v>
      </c>
      <c r="S807" t="s">
        <v>988</v>
      </c>
    </row>
    <row r="808" spans="1:19" hidden="1" x14ac:dyDescent="0.3">
      <c r="A808">
        <v>2111</v>
      </c>
      <c r="B808" t="s">
        <v>868</v>
      </c>
      <c r="C808" t="s">
        <v>2877</v>
      </c>
      <c r="D808" t="s">
        <v>1203</v>
      </c>
      <c r="E808" t="s">
        <v>1204</v>
      </c>
      <c r="F808">
        <v>5659</v>
      </c>
      <c r="G808" t="s">
        <v>2683</v>
      </c>
      <c r="H808" t="s">
        <v>3577</v>
      </c>
      <c r="I808">
        <v>24900</v>
      </c>
      <c r="J808" t="s">
        <v>3578</v>
      </c>
      <c r="K808">
        <v>24900</v>
      </c>
      <c r="L808" t="s">
        <v>3578</v>
      </c>
      <c r="M808">
        <v>24900</v>
      </c>
      <c r="N808" t="s">
        <v>3578</v>
      </c>
      <c r="O808">
        <v>24900</v>
      </c>
      <c r="P808" t="s">
        <v>3578</v>
      </c>
      <c r="Q808">
        <v>24900</v>
      </c>
      <c r="R808" t="s">
        <v>3578</v>
      </c>
      <c r="S808" t="s">
        <v>988</v>
      </c>
    </row>
    <row r="809" spans="1:19" hidden="1" x14ac:dyDescent="0.3">
      <c r="A809">
        <v>2111</v>
      </c>
      <c r="B809" t="s">
        <v>868</v>
      </c>
      <c r="C809" t="s">
        <v>2877</v>
      </c>
      <c r="D809" t="s">
        <v>1203</v>
      </c>
      <c r="E809" t="s">
        <v>1204</v>
      </c>
      <c r="F809">
        <v>5659</v>
      </c>
      <c r="G809" t="s">
        <v>2683</v>
      </c>
      <c r="H809" t="s">
        <v>3579</v>
      </c>
      <c r="I809">
        <v>4000</v>
      </c>
      <c r="J809" t="s">
        <v>2910</v>
      </c>
      <c r="K809">
        <v>4000</v>
      </c>
      <c r="L809" t="s">
        <v>2910</v>
      </c>
      <c r="M809">
        <v>4000</v>
      </c>
      <c r="N809" t="s">
        <v>2910</v>
      </c>
      <c r="O809">
        <v>4000</v>
      </c>
      <c r="P809" t="s">
        <v>2910</v>
      </c>
      <c r="Q809">
        <v>4000</v>
      </c>
      <c r="R809" t="s">
        <v>2910</v>
      </c>
      <c r="S809" t="s">
        <v>988</v>
      </c>
    </row>
    <row r="810" spans="1:19" hidden="1" x14ac:dyDescent="0.3">
      <c r="A810">
        <v>2111</v>
      </c>
      <c r="B810" t="s">
        <v>868</v>
      </c>
      <c r="C810" t="s">
        <v>2877</v>
      </c>
      <c r="D810" t="s">
        <v>1203</v>
      </c>
      <c r="E810" t="s">
        <v>1204</v>
      </c>
      <c r="F810">
        <v>5659</v>
      </c>
      <c r="G810" t="s">
        <v>2683</v>
      </c>
      <c r="H810" t="s">
        <v>3580</v>
      </c>
      <c r="I810">
        <v>0</v>
      </c>
      <c r="J810" t="s">
        <v>2982</v>
      </c>
      <c r="K810">
        <v>0</v>
      </c>
      <c r="L810" t="s">
        <v>2982</v>
      </c>
      <c r="M810">
        <v>3360</v>
      </c>
      <c r="N810" t="s">
        <v>3581</v>
      </c>
      <c r="O810">
        <v>3360</v>
      </c>
      <c r="P810" t="s">
        <v>3581</v>
      </c>
      <c r="Q810">
        <v>3360</v>
      </c>
      <c r="R810" t="s">
        <v>3581</v>
      </c>
      <c r="S810" t="s">
        <v>988</v>
      </c>
    </row>
    <row r="811" spans="1:19" hidden="1" x14ac:dyDescent="0.3">
      <c r="A811">
        <v>2111</v>
      </c>
      <c r="B811" t="s">
        <v>868</v>
      </c>
      <c r="C811" t="s">
        <v>2877</v>
      </c>
      <c r="D811" t="s">
        <v>1203</v>
      </c>
      <c r="E811" t="s">
        <v>1204</v>
      </c>
      <c r="F811">
        <v>5659</v>
      </c>
      <c r="G811" t="s">
        <v>2681</v>
      </c>
      <c r="H811" t="s">
        <v>3276</v>
      </c>
      <c r="I811">
        <v>1560</v>
      </c>
      <c r="J811" t="s">
        <v>3582</v>
      </c>
      <c r="K811">
        <v>2720</v>
      </c>
      <c r="L811" t="s">
        <v>3583</v>
      </c>
      <c r="M811">
        <v>3350</v>
      </c>
      <c r="N811" t="s">
        <v>3584</v>
      </c>
      <c r="O811">
        <v>3350</v>
      </c>
      <c r="P811" t="s">
        <v>3584</v>
      </c>
      <c r="Q811">
        <v>3350</v>
      </c>
      <c r="R811" t="s">
        <v>3584</v>
      </c>
      <c r="S811" t="s">
        <v>988</v>
      </c>
    </row>
    <row r="812" spans="1:19" hidden="1" x14ac:dyDescent="0.3">
      <c r="A812">
        <v>2111</v>
      </c>
      <c r="B812" t="s">
        <v>868</v>
      </c>
      <c r="C812" t="s">
        <v>2877</v>
      </c>
      <c r="D812" t="s">
        <v>1203</v>
      </c>
      <c r="E812" t="s">
        <v>1204</v>
      </c>
      <c r="F812">
        <v>5659</v>
      </c>
      <c r="G812" t="s">
        <v>2679</v>
      </c>
      <c r="H812" t="s">
        <v>3585</v>
      </c>
      <c r="I812">
        <v>4022</v>
      </c>
      <c r="J812" t="s">
        <v>3586</v>
      </c>
      <c r="K812">
        <v>4435</v>
      </c>
      <c r="L812" t="s">
        <v>3587</v>
      </c>
      <c r="M812">
        <v>4933</v>
      </c>
      <c r="N812" t="s">
        <v>3588</v>
      </c>
      <c r="O812">
        <v>4933</v>
      </c>
      <c r="P812" t="s">
        <v>3588</v>
      </c>
      <c r="Q812">
        <v>4933</v>
      </c>
      <c r="R812" t="s">
        <v>3588</v>
      </c>
      <c r="S812" t="s">
        <v>988</v>
      </c>
    </row>
    <row r="813" spans="1:19" hidden="1" x14ac:dyDescent="0.3">
      <c r="A813">
        <v>2115</v>
      </c>
      <c r="B813" t="s">
        <v>1867</v>
      </c>
      <c r="C813" t="s">
        <v>2877</v>
      </c>
      <c r="D813" t="s">
        <v>159</v>
      </c>
      <c r="E813" t="s">
        <v>159</v>
      </c>
      <c r="F813">
        <v>5512</v>
      </c>
      <c r="G813" t="s">
        <v>2683</v>
      </c>
      <c r="H813" t="s">
        <v>2889</v>
      </c>
      <c r="I813">
        <v>7514</v>
      </c>
      <c r="J813" t="s">
        <v>2460</v>
      </c>
      <c r="K813">
        <v>7530</v>
      </c>
      <c r="L813" t="s">
        <v>2460</v>
      </c>
      <c r="M813">
        <v>7547</v>
      </c>
      <c r="N813" t="s">
        <v>2460</v>
      </c>
      <c r="O813">
        <v>7556</v>
      </c>
      <c r="P813" t="s">
        <v>2460</v>
      </c>
      <c r="Q813">
        <v>7564</v>
      </c>
      <c r="R813" t="s">
        <v>2460</v>
      </c>
      <c r="S813" t="s">
        <v>988</v>
      </c>
    </row>
    <row r="814" spans="1:19" hidden="1" x14ac:dyDescent="0.3">
      <c r="A814">
        <v>2115</v>
      </c>
      <c r="B814" t="s">
        <v>1867</v>
      </c>
      <c r="C814" t="s">
        <v>2877</v>
      </c>
      <c r="D814" t="s">
        <v>159</v>
      </c>
      <c r="E814" t="s">
        <v>159</v>
      </c>
      <c r="F814">
        <v>5512</v>
      </c>
      <c r="G814" t="s">
        <v>2681</v>
      </c>
      <c r="H814" t="s">
        <v>3589</v>
      </c>
      <c r="I814">
        <v>550</v>
      </c>
      <c r="J814" t="s">
        <v>2460</v>
      </c>
      <c r="K814">
        <v>550</v>
      </c>
      <c r="L814" t="s">
        <v>2460</v>
      </c>
      <c r="M814">
        <v>550</v>
      </c>
      <c r="N814" t="s">
        <v>2460</v>
      </c>
      <c r="O814">
        <v>550</v>
      </c>
      <c r="P814" t="s">
        <v>2460</v>
      </c>
      <c r="Q814">
        <v>550</v>
      </c>
      <c r="R814" t="s">
        <v>2460</v>
      </c>
      <c r="S814" t="s">
        <v>988</v>
      </c>
    </row>
    <row r="815" spans="1:19" hidden="1" x14ac:dyDescent="0.3">
      <c r="A815">
        <v>2115</v>
      </c>
      <c r="B815" t="s">
        <v>1867</v>
      </c>
      <c r="C815" t="s">
        <v>2877</v>
      </c>
      <c r="D815" t="s">
        <v>159</v>
      </c>
      <c r="E815" t="s">
        <v>159</v>
      </c>
      <c r="F815">
        <v>5512</v>
      </c>
      <c r="G815" t="s">
        <v>2681</v>
      </c>
      <c r="H815" t="s">
        <v>3275</v>
      </c>
      <c r="I815">
        <v>625</v>
      </c>
      <c r="J815" t="s">
        <v>2460</v>
      </c>
      <c r="K815">
        <v>625</v>
      </c>
      <c r="L815" t="s">
        <v>2460</v>
      </c>
      <c r="M815">
        <v>625</v>
      </c>
      <c r="N815" t="s">
        <v>2460</v>
      </c>
      <c r="O815">
        <v>625</v>
      </c>
      <c r="P815" t="s">
        <v>2460</v>
      </c>
      <c r="Q815">
        <v>625</v>
      </c>
      <c r="R815" t="s">
        <v>2460</v>
      </c>
      <c r="S815" t="s">
        <v>988</v>
      </c>
    </row>
    <row r="816" spans="1:19" hidden="1" x14ac:dyDescent="0.3">
      <c r="A816">
        <v>2115</v>
      </c>
      <c r="B816" t="s">
        <v>1867</v>
      </c>
      <c r="C816" t="s">
        <v>2877</v>
      </c>
      <c r="D816" t="s">
        <v>159</v>
      </c>
      <c r="E816" t="s">
        <v>159</v>
      </c>
      <c r="F816">
        <v>5512</v>
      </c>
      <c r="G816" t="s">
        <v>2681</v>
      </c>
      <c r="H816" t="s">
        <v>3136</v>
      </c>
      <c r="I816">
        <v>1000</v>
      </c>
      <c r="J816" t="s">
        <v>2460</v>
      </c>
      <c r="K816">
        <v>1000</v>
      </c>
      <c r="L816" t="s">
        <v>2460</v>
      </c>
      <c r="M816">
        <v>1000</v>
      </c>
      <c r="N816" t="s">
        <v>2460</v>
      </c>
      <c r="O816">
        <v>1000</v>
      </c>
      <c r="P816" t="s">
        <v>2460</v>
      </c>
      <c r="Q816">
        <v>1000</v>
      </c>
      <c r="R816" t="s">
        <v>2460</v>
      </c>
      <c r="S816" t="s">
        <v>988</v>
      </c>
    </row>
    <row r="817" spans="1:19" hidden="1" x14ac:dyDescent="0.3">
      <c r="A817">
        <v>2115</v>
      </c>
      <c r="B817" t="s">
        <v>1867</v>
      </c>
      <c r="C817" t="s">
        <v>2877</v>
      </c>
      <c r="D817" t="s">
        <v>159</v>
      </c>
      <c r="E817" t="s">
        <v>159</v>
      </c>
      <c r="F817">
        <v>5512</v>
      </c>
      <c r="G817" t="s">
        <v>2679</v>
      </c>
      <c r="H817" t="s">
        <v>3590</v>
      </c>
      <c r="I817">
        <v>725</v>
      </c>
      <c r="J817" t="s">
        <v>2460</v>
      </c>
      <c r="K817">
        <v>825</v>
      </c>
      <c r="L817" t="s">
        <v>2460</v>
      </c>
      <c r="M817">
        <v>925</v>
      </c>
      <c r="N817" t="s">
        <v>2460</v>
      </c>
      <c r="O817">
        <v>1025</v>
      </c>
      <c r="P817" t="s">
        <v>2460</v>
      </c>
      <c r="Q817">
        <v>1125</v>
      </c>
      <c r="R817" t="s">
        <v>2460</v>
      </c>
      <c r="S817" t="s">
        <v>988</v>
      </c>
    </row>
    <row r="818" spans="1:19" hidden="1" x14ac:dyDescent="0.3">
      <c r="A818">
        <v>2115</v>
      </c>
      <c r="B818" t="s">
        <v>1867</v>
      </c>
      <c r="C818" t="s">
        <v>2877</v>
      </c>
      <c r="D818" t="s">
        <v>159</v>
      </c>
      <c r="E818" t="s">
        <v>159</v>
      </c>
      <c r="F818">
        <v>5512</v>
      </c>
      <c r="G818" t="s">
        <v>2683</v>
      </c>
      <c r="H818" t="s">
        <v>2084</v>
      </c>
      <c r="I818">
        <v>0</v>
      </c>
      <c r="J818" t="s">
        <v>2460</v>
      </c>
      <c r="K818">
        <v>0</v>
      </c>
      <c r="L818" t="s">
        <v>2460</v>
      </c>
      <c r="M818">
        <v>0</v>
      </c>
      <c r="N818" t="s">
        <v>2460</v>
      </c>
      <c r="O818">
        <v>0</v>
      </c>
      <c r="P818" t="s">
        <v>2460</v>
      </c>
      <c r="Q818">
        <v>0</v>
      </c>
      <c r="R818" t="s">
        <v>2460</v>
      </c>
      <c r="S818" t="s">
        <v>988</v>
      </c>
    </row>
    <row r="819" spans="1:19" hidden="1" x14ac:dyDescent="0.3">
      <c r="A819">
        <v>2115</v>
      </c>
      <c r="B819" t="s">
        <v>1867</v>
      </c>
      <c r="C819" t="s">
        <v>2877</v>
      </c>
      <c r="D819" t="s">
        <v>159</v>
      </c>
      <c r="E819" t="s">
        <v>159</v>
      </c>
      <c r="F819">
        <v>5512</v>
      </c>
      <c r="G819" t="s">
        <v>2683</v>
      </c>
      <c r="H819" t="s">
        <v>2888</v>
      </c>
      <c r="I819">
        <v>2525</v>
      </c>
      <c r="J819" t="s">
        <v>2460</v>
      </c>
      <c r="K819">
        <v>2525</v>
      </c>
      <c r="L819" t="s">
        <v>2460</v>
      </c>
      <c r="M819">
        <v>2525</v>
      </c>
      <c r="N819" t="s">
        <v>2460</v>
      </c>
      <c r="O819">
        <v>2525</v>
      </c>
      <c r="P819" t="s">
        <v>2460</v>
      </c>
      <c r="Q819">
        <v>2525</v>
      </c>
      <c r="R819" t="s">
        <v>2460</v>
      </c>
      <c r="S819" t="s">
        <v>988</v>
      </c>
    </row>
    <row r="820" spans="1:19" hidden="1" x14ac:dyDescent="0.3">
      <c r="A820">
        <v>2118</v>
      </c>
      <c r="B820" t="s">
        <v>1869</v>
      </c>
      <c r="C820" t="s">
        <v>2877</v>
      </c>
      <c r="D820" t="s">
        <v>159</v>
      </c>
      <c r="E820" t="s">
        <v>159</v>
      </c>
      <c r="F820">
        <v>5476</v>
      </c>
      <c r="G820" t="s">
        <v>2683</v>
      </c>
      <c r="H820" t="s">
        <v>3591</v>
      </c>
      <c r="I820">
        <v>1200</v>
      </c>
      <c r="J820" t="s">
        <v>2460</v>
      </c>
      <c r="K820">
        <v>2000</v>
      </c>
      <c r="L820" t="s">
        <v>2460</v>
      </c>
      <c r="M820">
        <v>2000</v>
      </c>
      <c r="N820" t="s">
        <v>2460</v>
      </c>
      <c r="O820">
        <v>2000</v>
      </c>
      <c r="P820" t="s">
        <v>2460</v>
      </c>
      <c r="Q820">
        <v>2000</v>
      </c>
      <c r="R820" t="s">
        <v>2460</v>
      </c>
      <c r="S820" t="s">
        <v>988</v>
      </c>
    </row>
    <row r="821" spans="1:19" hidden="1" x14ac:dyDescent="0.3">
      <c r="A821">
        <v>2118</v>
      </c>
      <c r="B821" t="s">
        <v>1869</v>
      </c>
      <c r="C821" t="s">
        <v>2877</v>
      </c>
      <c r="D821" t="s">
        <v>159</v>
      </c>
      <c r="E821" t="s">
        <v>159</v>
      </c>
      <c r="F821">
        <v>5476</v>
      </c>
      <c r="G821" t="s">
        <v>2681</v>
      </c>
      <c r="H821" t="s">
        <v>3592</v>
      </c>
      <c r="I821">
        <v>0</v>
      </c>
      <c r="J821" t="s">
        <v>2460</v>
      </c>
      <c r="K821">
        <v>0</v>
      </c>
      <c r="L821" t="s">
        <v>2460</v>
      </c>
      <c r="M821">
        <v>0</v>
      </c>
      <c r="N821" t="s">
        <v>2460</v>
      </c>
      <c r="O821">
        <v>1210</v>
      </c>
      <c r="P821" t="s">
        <v>2460</v>
      </c>
      <c r="Q821">
        <v>1210</v>
      </c>
      <c r="R821" t="s">
        <v>2460</v>
      </c>
      <c r="S821" t="s">
        <v>988</v>
      </c>
    </row>
    <row r="822" spans="1:19" hidden="1" x14ac:dyDescent="0.3">
      <c r="A822">
        <v>2118</v>
      </c>
      <c r="B822" t="s">
        <v>1869</v>
      </c>
      <c r="C822" t="s">
        <v>2877</v>
      </c>
      <c r="D822" t="s">
        <v>159</v>
      </c>
      <c r="E822" t="s">
        <v>159</v>
      </c>
      <c r="F822">
        <v>5476</v>
      </c>
      <c r="G822" t="s">
        <v>2681</v>
      </c>
      <c r="H822" t="s">
        <v>3593</v>
      </c>
      <c r="I822">
        <v>0</v>
      </c>
      <c r="J822" t="s">
        <v>2460</v>
      </c>
      <c r="K822">
        <v>1210</v>
      </c>
      <c r="L822" t="s">
        <v>2460</v>
      </c>
      <c r="M822">
        <v>1210</v>
      </c>
      <c r="N822" t="s">
        <v>2460</v>
      </c>
      <c r="O822">
        <v>1210</v>
      </c>
      <c r="P822" t="s">
        <v>2460</v>
      </c>
      <c r="Q822">
        <v>1210</v>
      </c>
      <c r="R822" t="s">
        <v>2460</v>
      </c>
      <c r="S822" t="s">
        <v>988</v>
      </c>
    </row>
    <row r="823" spans="1:19" hidden="1" x14ac:dyDescent="0.3">
      <c r="A823">
        <v>2118</v>
      </c>
      <c r="B823" t="s">
        <v>1869</v>
      </c>
      <c r="C823" t="s">
        <v>2877</v>
      </c>
      <c r="D823" t="s">
        <v>159</v>
      </c>
      <c r="E823" t="s">
        <v>159</v>
      </c>
      <c r="F823">
        <v>5476</v>
      </c>
      <c r="G823" t="s">
        <v>2681</v>
      </c>
      <c r="H823" t="s">
        <v>3594</v>
      </c>
      <c r="I823">
        <v>0</v>
      </c>
      <c r="J823" t="s">
        <v>2460</v>
      </c>
      <c r="K823">
        <v>4840</v>
      </c>
      <c r="L823" t="s">
        <v>2460</v>
      </c>
      <c r="M823">
        <v>4840</v>
      </c>
      <c r="N823" t="s">
        <v>2460</v>
      </c>
      <c r="O823">
        <v>4840</v>
      </c>
      <c r="P823" t="s">
        <v>2460</v>
      </c>
      <c r="Q823">
        <v>4840</v>
      </c>
      <c r="R823" t="s">
        <v>2460</v>
      </c>
      <c r="S823" t="s">
        <v>988</v>
      </c>
    </row>
    <row r="824" spans="1:19" hidden="1" x14ac:dyDescent="0.3">
      <c r="A824">
        <v>2118</v>
      </c>
      <c r="B824" t="s">
        <v>1869</v>
      </c>
      <c r="C824" t="s">
        <v>2877</v>
      </c>
      <c r="D824" t="s">
        <v>159</v>
      </c>
      <c r="E824" t="s">
        <v>159</v>
      </c>
      <c r="F824">
        <v>5476</v>
      </c>
      <c r="G824" t="s">
        <v>2681</v>
      </c>
      <c r="H824" t="s">
        <v>3595</v>
      </c>
      <c r="I824">
        <v>6306</v>
      </c>
      <c r="J824" t="s">
        <v>2460</v>
      </c>
      <c r="K824">
        <v>6306</v>
      </c>
      <c r="L824" t="s">
        <v>2460</v>
      </c>
      <c r="M824">
        <v>6306</v>
      </c>
      <c r="N824" t="s">
        <v>2460</v>
      </c>
      <c r="O824">
        <v>6306</v>
      </c>
      <c r="P824" t="s">
        <v>2460</v>
      </c>
      <c r="Q824">
        <v>6306</v>
      </c>
      <c r="R824" t="s">
        <v>2460</v>
      </c>
      <c r="S824" t="s">
        <v>988</v>
      </c>
    </row>
    <row r="825" spans="1:19" hidden="1" x14ac:dyDescent="0.3">
      <c r="A825">
        <v>2118</v>
      </c>
      <c r="B825" t="s">
        <v>1869</v>
      </c>
      <c r="C825" t="s">
        <v>2877</v>
      </c>
      <c r="D825" t="s">
        <v>159</v>
      </c>
      <c r="E825" t="s">
        <v>159</v>
      </c>
      <c r="F825">
        <v>5476</v>
      </c>
      <c r="G825" t="s">
        <v>2681</v>
      </c>
      <c r="H825" t="s">
        <v>3596</v>
      </c>
      <c r="I825">
        <v>454</v>
      </c>
      <c r="J825" t="s">
        <v>2460</v>
      </c>
      <c r="K825">
        <v>494</v>
      </c>
      <c r="L825" t="s">
        <v>2460</v>
      </c>
      <c r="M825">
        <v>537</v>
      </c>
      <c r="N825" t="s">
        <v>2460</v>
      </c>
      <c r="O825">
        <v>584</v>
      </c>
      <c r="P825" t="s">
        <v>2460</v>
      </c>
      <c r="Q825">
        <v>635</v>
      </c>
      <c r="R825" t="s">
        <v>2460</v>
      </c>
      <c r="S825" t="s">
        <v>988</v>
      </c>
    </row>
    <row r="826" spans="1:19" hidden="1" x14ac:dyDescent="0.3">
      <c r="A826">
        <v>2119</v>
      </c>
      <c r="B826" t="s">
        <v>1877</v>
      </c>
      <c r="C826" t="s">
        <v>2877</v>
      </c>
      <c r="D826" t="s">
        <v>1203</v>
      </c>
      <c r="E826" t="s">
        <v>1204</v>
      </c>
      <c r="F826">
        <v>5809</v>
      </c>
      <c r="G826" t="s">
        <v>2681</v>
      </c>
      <c r="H826" t="s">
        <v>2899</v>
      </c>
      <c r="I826">
        <v>1821</v>
      </c>
      <c r="J826" t="s">
        <v>2460</v>
      </c>
      <c r="K826">
        <v>1821</v>
      </c>
      <c r="L826" t="s">
        <v>2460</v>
      </c>
      <c r="M826">
        <v>1821</v>
      </c>
      <c r="N826" t="s">
        <v>2460</v>
      </c>
      <c r="O826">
        <v>1821</v>
      </c>
      <c r="P826" t="s">
        <v>2460</v>
      </c>
      <c r="Q826">
        <v>1821</v>
      </c>
      <c r="R826" t="s">
        <v>2460</v>
      </c>
      <c r="S826" t="s">
        <v>988</v>
      </c>
    </row>
    <row r="827" spans="1:19" hidden="1" x14ac:dyDescent="0.3">
      <c r="A827">
        <v>2119</v>
      </c>
      <c r="B827" t="s">
        <v>1877</v>
      </c>
      <c r="C827" t="s">
        <v>2877</v>
      </c>
      <c r="D827" t="s">
        <v>1203</v>
      </c>
      <c r="E827" t="s">
        <v>1204</v>
      </c>
      <c r="F827">
        <v>5809</v>
      </c>
      <c r="G827" t="s">
        <v>2683</v>
      </c>
      <c r="H827" t="s">
        <v>3597</v>
      </c>
      <c r="I827">
        <v>500</v>
      </c>
      <c r="J827" t="s">
        <v>2460</v>
      </c>
      <c r="K827">
        <v>500</v>
      </c>
      <c r="L827" t="s">
        <v>2460</v>
      </c>
      <c r="M827">
        <v>500</v>
      </c>
      <c r="N827" t="s">
        <v>2460</v>
      </c>
      <c r="O827">
        <v>500</v>
      </c>
      <c r="P827" t="s">
        <v>2460</v>
      </c>
      <c r="Q827">
        <v>500</v>
      </c>
      <c r="R827" t="s">
        <v>2460</v>
      </c>
      <c r="S827" t="s">
        <v>988</v>
      </c>
    </row>
    <row r="828" spans="1:19" hidden="1" x14ac:dyDescent="0.3">
      <c r="A828">
        <v>2119</v>
      </c>
      <c r="B828" t="s">
        <v>1877</v>
      </c>
      <c r="C828" t="s">
        <v>2877</v>
      </c>
      <c r="D828" t="s">
        <v>1203</v>
      </c>
      <c r="E828" t="s">
        <v>1204</v>
      </c>
      <c r="F828">
        <v>5809</v>
      </c>
      <c r="G828" t="s">
        <v>2691</v>
      </c>
      <c r="H828" t="s">
        <v>3598</v>
      </c>
      <c r="I828">
        <v>118</v>
      </c>
      <c r="J828" t="s">
        <v>2460</v>
      </c>
      <c r="K828">
        <v>118</v>
      </c>
      <c r="L828" t="s">
        <v>2460</v>
      </c>
      <c r="M828">
        <v>118</v>
      </c>
      <c r="N828" t="s">
        <v>2460</v>
      </c>
      <c r="O828">
        <v>118</v>
      </c>
      <c r="P828" t="s">
        <v>2460</v>
      </c>
      <c r="Q828">
        <v>118</v>
      </c>
      <c r="R828" t="s">
        <v>2460</v>
      </c>
      <c r="S828" t="s">
        <v>988</v>
      </c>
    </row>
    <row r="829" spans="1:19" hidden="1" x14ac:dyDescent="0.3">
      <c r="A829">
        <v>2122</v>
      </c>
      <c r="B829" t="s">
        <v>1878</v>
      </c>
      <c r="C829" t="s">
        <v>2877</v>
      </c>
      <c r="D829" t="s">
        <v>1203</v>
      </c>
      <c r="E829" t="s">
        <v>1204</v>
      </c>
      <c r="F829">
        <v>7711</v>
      </c>
      <c r="G829" t="s">
        <v>2683</v>
      </c>
      <c r="H829" t="s">
        <v>3599</v>
      </c>
      <c r="I829">
        <v>50</v>
      </c>
      <c r="J829" t="s">
        <v>2460</v>
      </c>
      <c r="K829">
        <v>50</v>
      </c>
      <c r="L829" t="s">
        <v>2460</v>
      </c>
      <c r="M829">
        <v>50</v>
      </c>
      <c r="N829" t="s">
        <v>2460</v>
      </c>
      <c r="O829">
        <v>50</v>
      </c>
      <c r="P829" t="s">
        <v>2460</v>
      </c>
      <c r="Q829">
        <v>50</v>
      </c>
      <c r="R829" t="s">
        <v>2460</v>
      </c>
      <c r="S829" t="s">
        <v>988</v>
      </c>
    </row>
    <row r="830" spans="1:19" hidden="1" x14ac:dyDescent="0.3">
      <c r="A830">
        <v>2122</v>
      </c>
      <c r="B830" t="s">
        <v>1878</v>
      </c>
      <c r="C830" t="s">
        <v>2877</v>
      </c>
      <c r="D830" t="s">
        <v>1203</v>
      </c>
      <c r="E830" t="s">
        <v>1204</v>
      </c>
      <c r="F830">
        <v>7711</v>
      </c>
      <c r="G830" t="s">
        <v>2683</v>
      </c>
      <c r="H830" t="s">
        <v>3329</v>
      </c>
      <c r="I830">
        <v>106</v>
      </c>
      <c r="J830" t="s">
        <v>2460</v>
      </c>
      <c r="K830">
        <v>106</v>
      </c>
      <c r="L830" t="s">
        <v>2460</v>
      </c>
      <c r="M830">
        <v>106</v>
      </c>
      <c r="N830" t="s">
        <v>2460</v>
      </c>
      <c r="O830">
        <v>106</v>
      </c>
      <c r="P830" t="s">
        <v>2460</v>
      </c>
      <c r="Q830">
        <v>106</v>
      </c>
      <c r="R830" t="s">
        <v>2460</v>
      </c>
      <c r="S830" t="s">
        <v>988</v>
      </c>
    </row>
    <row r="831" spans="1:19" hidden="1" x14ac:dyDescent="0.3">
      <c r="A831">
        <v>2122</v>
      </c>
      <c r="B831" t="s">
        <v>1878</v>
      </c>
      <c r="C831" t="s">
        <v>2877</v>
      </c>
      <c r="D831" t="s">
        <v>1203</v>
      </c>
      <c r="E831" t="s">
        <v>1204</v>
      </c>
      <c r="F831">
        <v>7711</v>
      </c>
      <c r="G831" t="s">
        <v>2681</v>
      </c>
      <c r="H831" t="s">
        <v>1204</v>
      </c>
      <c r="I831">
        <v>268</v>
      </c>
      <c r="J831" t="s">
        <v>2460</v>
      </c>
      <c r="K831">
        <v>268</v>
      </c>
      <c r="L831" t="s">
        <v>2460</v>
      </c>
      <c r="M831">
        <v>268</v>
      </c>
      <c r="N831" t="s">
        <v>2460</v>
      </c>
      <c r="O831">
        <v>268</v>
      </c>
      <c r="P831" t="s">
        <v>2460</v>
      </c>
      <c r="Q831">
        <v>268</v>
      </c>
      <c r="R831" t="s">
        <v>2460</v>
      </c>
      <c r="S831" t="s">
        <v>988</v>
      </c>
    </row>
    <row r="832" spans="1:19" hidden="1" x14ac:dyDescent="0.3">
      <c r="A832">
        <v>2130</v>
      </c>
      <c r="B832" t="s">
        <v>1879</v>
      </c>
      <c r="C832" t="s">
        <v>2877</v>
      </c>
      <c r="D832" t="s">
        <v>159</v>
      </c>
      <c r="E832" t="s">
        <v>159</v>
      </c>
      <c r="F832">
        <v>6776</v>
      </c>
      <c r="G832" t="s">
        <v>2679</v>
      </c>
      <c r="H832" t="s">
        <v>3600</v>
      </c>
      <c r="I832">
        <v>1000</v>
      </c>
      <c r="J832" t="s">
        <v>2460</v>
      </c>
      <c r="K832">
        <v>1000</v>
      </c>
      <c r="L832" t="s">
        <v>2460</v>
      </c>
      <c r="M832">
        <v>1000</v>
      </c>
      <c r="N832" t="s">
        <v>2460</v>
      </c>
      <c r="O832">
        <v>1000</v>
      </c>
      <c r="P832" t="s">
        <v>2460</v>
      </c>
      <c r="Q832">
        <v>1000</v>
      </c>
      <c r="R832" t="s">
        <v>2460</v>
      </c>
      <c r="S832" t="s">
        <v>988</v>
      </c>
    </row>
    <row r="833" spans="1:19" hidden="1" x14ac:dyDescent="0.3">
      <c r="A833">
        <v>2130</v>
      </c>
      <c r="B833" t="s">
        <v>1879</v>
      </c>
      <c r="C833" t="s">
        <v>2877</v>
      </c>
      <c r="D833" t="s">
        <v>159</v>
      </c>
      <c r="E833" t="s">
        <v>159</v>
      </c>
      <c r="F833">
        <v>6776</v>
      </c>
      <c r="G833" t="s">
        <v>2681</v>
      </c>
      <c r="H833" t="s">
        <v>3601</v>
      </c>
      <c r="I833">
        <v>22400</v>
      </c>
      <c r="J833" t="s">
        <v>3602</v>
      </c>
      <c r="K833">
        <v>22400</v>
      </c>
      <c r="L833" t="s">
        <v>3602</v>
      </c>
      <c r="M833">
        <v>22400</v>
      </c>
      <c r="N833" t="s">
        <v>3602</v>
      </c>
      <c r="O833">
        <v>22400</v>
      </c>
      <c r="P833" t="s">
        <v>3602</v>
      </c>
      <c r="Q833">
        <v>22400</v>
      </c>
      <c r="R833" t="s">
        <v>3602</v>
      </c>
      <c r="S833" t="s">
        <v>988</v>
      </c>
    </row>
    <row r="834" spans="1:19" hidden="1" x14ac:dyDescent="0.3">
      <c r="A834">
        <v>2130</v>
      </c>
      <c r="B834" t="s">
        <v>1879</v>
      </c>
      <c r="C834" t="s">
        <v>2877</v>
      </c>
      <c r="D834" t="s">
        <v>159</v>
      </c>
      <c r="E834" t="s">
        <v>159</v>
      </c>
      <c r="F834">
        <v>6776</v>
      </c>
      <c r="G834" t="s">
        <v>2691</v>
      </c>
      <c r="H834" t="s">
        <v>3603</v>
      </c>
      <c r="I834">
        <v>81800</v>
      </c>
      <c r="J834" t="s">
        <v>3604</v>
      </c>
      <c r="K834">
        <v>81800</v>
      </c>
      <c r="L834" t="s">
        <v>3604</v>
      </c>
      <c r="M834">
        <v>81800</v>
      </c>
      <c r="N834" t="s">
        <v>3604</v>
      </c>
      <c r="O834">
        <v>81800</v>
      </c>
      <c r="P834" t="s">
        <v>3604</v>
      </c>
      <c r="Q834">
        <v>81800</v>
      </c>
      <c r="R834" t="s">
        <v>3604</v>
      </c>
      <c r="S834" t="s">
        <v>988</v>
      </c>
    </row>
    <row r="835" spans="1:19" hidden="1" x14ac:dyDescent="0.3">
      <c r="A835">
        <v>2130</v>
      </c>
      <c r="B835" t="s">
        <v>1879</v>
      </c>
      <c r="C835" t="s">
        <v>2877</v>
      </c>
      <c r="D835" t="s">
        <v>159</v>
      </c>
      <c r="E835" t="s">
        <v>159</v>
      </c>
      <c r="F835">
        <v>6776</v>
      </c>
      <c r="G835" t="s">
        <v>2691</v>
      </c>
      <c r="H835" t="s">
        <v>3605</v>
      </c>
      <c r="I835">
        <v>228000</v>
      </c>
      <c r="J835" t="s">
        <v>3606</v>
      </c>
      <c r="K835">
        <v>245000</v>
      </c>
      <c r="L835" t="s">
        <v>3607</v>
      </c>
      <c r="M835">
        <v>245000</v>
      </c>
      <c r="N835" t="s">
        <v>3607</v>
      </c>
      <c r="O835">
        <v>245000</v>
      </c>
      <c r="P835" t="s">
        <v>3607</v>
      </c>
      <c r="Q835">
        <v>245000</v>
      </c>
      <c r="R835" t="s">
        <v>3607</v>
      </c>
      <c r="S835" t="s">
        <v>988</v>
      </c>
    </row>
    <row r="836" spans="1:19" hidden="1" x14ac:dyDescent="0.3">
      <c r="A836">
        <v>2132</v>
      </c>
      <c r="B836" t="s">
        <v>772</v>
      </c>
      <c r="C836" t="s">
        <v>2877</v>
      </c>
      <c r="D836" t="s">
        <v>1203</v>
      </c>
      <c r="E836" t="s">
        <v>1204</v>
      </c>
      <c r="F836">
        <v>5606</v>
      </c>
      <c r="G836" t="s">
        <v>2681</v>
      </c>
      <c r="H836" t="s">
        <v>3608</v>
      </c>
      <c r="I836">
        <v>5958</v>
      </c>
      <c r="J836" t="s">
        <v>2460</v>
      </c>
      <c r="K836">
        <v>6988</v>
      </c>
      <c r="L836" t="s">
        <v>2460</v>
      </c>
      <c r="M836">
        <v>8012</v>
      </c>
      <c r="N836" t="s">
        <v>2460</v>
      </c>
      <c r="O836">
        <v>9042</v>
      </c>
      <c r="P836" t="s">
        <v>2460</v>
      </c>
      <c r="Q836">
        <v>10095</v>
      </c>
      <c r="R836" t="s">
        <v>2460</v>
      </c>
      <c r="S836" t="s">
        <v>988</v>
      </c>
    </row>
    <row r="837" spans="1:19" hidden="1" x14ac:dyDescent="0.3">
      <c r="A837">
        <v>2132</v>
      </c>
      <c r="B837" t="s">
        <v>772</v>
      </c>
      <c r="C837" t="s">
        <v>2877</v>
      </c>
      <c r="D837" t="s">
        <v>1203</v>
      </c>
      <c r="E837" t="s">
        <v>1204</v>
      </c>
      <c r="F837">
        <v>5606</v>
      </c>
      <c r="G837" t="s">
        <v>2681</v>
      </c>
      <c r="H837" t="s">
        <v>3609</v>
      </c>
      <c r="I837">
        <v>80</v>
      </c>
      <c r="J837" t="s">
        <v>2460</v>
      </c>
      <c r="K837">
        <v>80</v>
      </c>
      <c r="L837" t="s">
        <v>2460</v>
      </c>
      <c r="M837">
        <v>80</v>
      </c>
      <c r="N837" t="s">
        <v>2460</v>
      </c>
      <c r="O837">
        <v>80</v>
      </c>
      <c r="P837" t="s">
        <v>2460</v>
      </c>
      <c r="Q837">
        <v>80</v>
      </c>
      <c r="R837" t="s">
        <v>2460</v>
      </c>
      <c r="S837" t="s">
        <v>988</v>
      </c>
    </row>
    <row r="838" spans="1:19" hidden="1" x14ac:dyDescent="0.3">
      <c r="A838">
        <v>2132</v>
      </c>
      <c r="B838" t="s">
        <v>772</v>
      </c>
      <c r="C838" t="s">
        <v>2877</v>
      </c>
      <c r="D838" t="s">
        <v>1203</v>
      </c>
      <c r="E838" t="s">
        <v>1204</v>
      </c>
      <c r="F838">
        <v>5606</v>
      </c>
      <c r="G838" t="s">
        <v>2681</v>
      </c>
      <c r="H838" t="s">
        <v>3610</v>
      </c>
      <c r="I838">
        <v>41000</v>
      </c>
      <c r="J838" t="s">
        <v>2460</v>
      </c>
      <c r="K838">
        <v>46000</v>
      </c>
      <c r="L838" t="s">
        <v>2460</v>
      </c>
      <c r="M838">
        <v>56000</v>
      </c>
      <c r="N838" t="s">
        <v>2460</v>
      </c>
      <c r="O838">
        <v>56000</v>
      </c>
      <c r="P838" t="s">
        <v>2460</v>
      </c>
      <c r="Q838">
        <v>56000</v>
      </c>
      <c r="R838" t="s">
        <v>2460</v>
      </c>
      <c r="S838" t="s">
        <v>988</v>
      </c>
    </row>
    <row r="839" spans="1:19" hidden="1" x14ac:dyDescent="0.3">
      <c r="A839">
        <v>2132</v>
      </c>
      <c r="B839" t="s">
        <v>772</v>
      </c>
      <c r="C839" t="s">
        <v>2877</v>
      </c>
      <c r="D839" t="s">
        <v>1203</v>
      </c>
      <c r="E839" t="s">
        <v>1204</v>
      </c>
      <c r="F839">
        <v>5606</v>
      </c>
      <c r="G839" t="s">
        <v>687</v>
      </c>
      <c r="H839" t="s">
        <v>3611</v>
      </c>
      <c r="I839">
        <v>118096</v>
      </c>
      <c r="J839" t="s">
        <v>2460</v>
      </c>
      <c r="K839">
        <v>118096</v>
      </c>
      <c r="L839" t="s">
        <v>2460</v>
      </c>
      <c r="M839">
        <v>118096</v>
      </c>
      <c r="N839" t="s">
        <v>2460</v>
      </c>
      <c r="O839">
        <v>118096</v>
      </c>
      <c r="P839" t="s">
        <v>2460</v>
      </c>
      <c r="Q839">
        <v>118096</v>
      </c>
      <c r="R839" t="s">
        <v>2460</v>
      </c>
      <c r="S839" t="s">
        <v>988</v>
      </c>
    </row>
    <row r="840" spans="1:19" hidden="1" x14ac:dyDescent="0.3">
      <c r="A840">
        <v>2132</v>
      </c>
      <c r="B840" t="s">
        <v>772</v>
      </c>
      <c r="C840" t="s">
        <v>2877</v>
      </c>
      <c r="D840" t="s">
        <v>1203</v>
      </c>
      <c r="E840" t="s">
        <v>1204</v>
      </c>
      <c r="F840">
        <v>5606</v>
      </c>
      <c r="G840" t="s">
        <v>2679</v>
      </c>
      <c r="H840" t="s">
        <v>2460</v>
      </c>
      <c r="I840">
        <v>1420</v>
      </c>
      <c r="J840" t="s">
        <v>3612</v>
      </c>
      <c r="K840">
        <v>1890</v>
      </c>
      <c r="L840" t="s">
        <v>3612</v>
      </c>
      <c r="M840">
        <v>2360</v>
      </c>
      <c r="N840" t="s">
        <v>3612</v>
      </c>
      <c r="O840">
        <v>2830</v>
      </c>
      <c r="P840" t="s">
        <v>3612</v>
      </c>
      <c r="Q840">
        <v>3300</v>
      </c>
      <c r="R840" t="s">
        <v>3612</v>
      </c>
      <c r="S840" t="s">
        <v>988</v>
      </c>
    </row>
    <row r="841" spans="1:19" hidden="1" x14ac:dyDescent="0.3">
      <c r="A841">
        <v>2140</v>
      </c>
      <c r="B841" t="s">
        <v>1885</v>
      </c>
      <c r="C841" t="s">
        <v>2877</v>
      </c>
      <c r="D841" t="s">
        <v>159</v>
      </c>
      <c r="E841" t="s">
        <v>159</v>
      </c>
      <c r="F841">
        <v>7526</v>
      </c>
      <c r="G841" t="s">
        <v>2683</v>
      </c>
      <c r="H841" t="s">
        <v>3352</v>
      </c>
      <c r="I841">
        <v>29000</v>
      </c>
      <c r="J841" t="s">
        <v>3613</v>
      </c>
      <c r="K841">
        <v>29000</v>
      </c>
      <c r="L841" t="s">
        <v>3613</v>
      </c>
      <c r="M841">
        <v>29000</v>
      </c>
      <c r="N841" t="s">
        <v>3613</v>
      </c>
      <c r="O841">
        <v>29000</v>
      </c>
      <c r="P841" t="s">
        <v>3613</v>
      </c>
      <c r="Q841">
        <v>29000</v>
      </c>
      <c r="R841" t="s">
        <v>3613</v>
      </c>
      <c r="S841" t="s">
        <v>988</v>
      </c>
    </row>
    <row r="842" spans="1:19" hidden="1" x14ac:dyDescent="0.3">
      <c r="A842">
        <v>2140</v>
      </c>
      <c r="B842" t="s">
        <v>1885</v>
      </c>
      <c r="C842" t="s">
        <v>2877</v>
      </c>
      <c r="D842" t="s">
        <v>159</v>
      </c>
      <c r="E842" t="s">
        <v>159</v>
      </c>
      <c r="F842">
        <v>7526</v>
      </c>
      <c r="G842" t="s">
        <v>2683</v>
      </c>
      <c r="H842" t="s">
        <v>3523</v>
      </c>
      <c r="I842">
        <v>0</v>
      </c>
      <c r="J842" t="s">
        <v>2982</v>
      </c>
      <c r="K842">
        <v>0</v>
      </c>
      <c r="L842" t="s">
        <v>2982</v>
      </c>
      <c r="M842">
        <v>0</v>
      </c>
      <c r="N842" t="s">
        <v>2982</v>
      </c>
      <c r="O842">
        <v>0</v>
      </c>
      <c r="P842" t="s">
        <v>2982</v>
      </c>
      <c r="Q842">
        <v>0</v>
      </c>
      <c r="R842" t="s">
        <v>2982</v>
      </c>
      <c r="S842" t="s">
        <v>988</v>
      </c>
    </row>
    <row r="843" spans="1:19" hidden="1" x14ac:dyDescent="0.3">
      <c r="A843">
        <v>2140</v>
      </c>
      <c r="B843" t="s">
        <v>1885</v>
      </c>
      <c r="C843" t="s">
        <v>2877</v>
      </c>
      <c r="D843" t="s">
        <v>159</v>
      </c>
      <c r="E843" t="s">
        <v>159</v>
      </c>
      <c r="F843">
        <v>7526</v>
      </c>
      <c r="G843" t="s">
        <v>2683</v>
      </c>
      <c r="H843" t="s">
        <v>3614</v>
      </c>
      <c r="I843">
        <v>26064</v>
      </c>
      <c r="J843" t="s">
        <v>3615</v>
      </c>
      <c r="K843">
        <v>26064</v>
      </c>
      <c r="L843" t="s">
        <v>3615</v>
      </c>
      <c r="M843">
        <v>26064</v>
      </c>
      <c r="N843" t="s">
        <v>3615</v>
      </c>
      <c r="O843">
        <v>26064</v>
      </c>
      <c r="P843" t="s">
        <v>3615</v>
      </c>
      <c r="Q843">
        <v>26064</v>
      </c>
      <c r="R843" t="s">
        <v>3615</v>
      </c>
      <c r="S843" t="s">
        <v>988</v>
      </c>
    </row>
    <row r="844" spans="1:19" hidden="1" x14ac:dyDescent="0.3">
      <c r="A844">
        <v>2140</v>
      </c>
      <c r="B844" t="s">
        <v>1885</v>
      </c>
      <c r="C844" t="s">
        <v>2877</v>
      </c>
      <c r="D844" t="s">
        <v>159</v>
      </c>
      <c r="E844" t="s">
        <v>159</v>
      </c>
      <c r="F844">
        <v>7526</v>
      </c>
      <c r="G844" t="s">
        <v>2683</v>
      </c>
      <c r="H844" t="s">
        <v>3579</v>
      </c>
      <c r="I844">
        <v>4000</v>
      </c>
      <c r="J844" t="s">
        <v>3357</v>
      </c>
      <c r="K844">
        <v>4000</v>
      </c>
      <c r="L844" t="s">
        <v>3357</v>
      </c>
      <c r="M844">
        <v>4000</v>
      </c>
      <c r="N844" t="s">
        <v>3357</v>
      </c>
      <c r="O844">
        <v>4000</v>
      </c>
      <c r="P844" t="s">
        <v>3357</v>
      </c>
      <c r="Q844">
        <v>4000</v>
      </c>
      <c r="R844" t="s">
        <v>3357</v>
      </c>
      <c r="S844" t="s">
        <v>988</v>
      </c>
    </row>
    <row r="845" spans="1:19" hidden="1" x14ac:dyDescent="0.3">
      <c r="A845">
        <v>2140</v>
      </c>
      <c r="B845" t="s">
        <v>1885</v>
      </c>
      <c r="C845" t="s">
        <v>2877</v>
      </c>
      <c r="D845" t="s">
        <v>159</v>
      </c>
      <c r="E845" t="s">
        <v>159</v>
      </c>
      <c r="F845">
        <v>7526</v>
      </c>
      <c r="G845" t="s">
        <v>2681</v>
      </c>
      <c r="H845" t="s">
        <v>3616</v>
      </c>
      <c r="I845">
        <v>30000</v>
      </c>
      <c r="J845" t="s">
        <v>3617</v>
      </c>
      <c r="K845">
        <v>30000</v>
      </c>
      <c r="L845" t="s">
        <v>3617</v>
      </c>
      <c r="M845">
        <v>30000</v>
      </c>
      <c r="N845" t="s">
        <v>3617</v>
      </c>
      <c r="O845">
        <v>30000</v>
      </c>
      <c r="P845" t="s">
        <v>3617</v>
      </c>
      <c r="Q845">
        <v>30000</v>
      </c>
      <c r="R845" t="s">
        <v>3617</v>
      </c>
      <c r="S845" t="s">
        <v>988</v>
      </c>
    </row>
    <row r="846" spans="1:19" hidden="1" x14ac:dyDescent="0.3">
      <c r="A846">
        <v>2140</v>
      </c>
      <c r="B846" t="s">
        <v>1885</v>
      </c>
      <c r="C846" t="s">
        <v>2877</v>
      </c>
      <c r="D846" t="s">
        <v>159</v>
      </c>
      <c r="E846" t="s">
        <v>159</v>
      </c>
      <c r="F846">
        <v>7526</v>
      </c>
      <c r="G846" t="s">
        <v>2698</v>
      </c>
      <c r="H846" t="s">
        <v>3618</v>
      </c>
      <c r="I846">
        <v>4000</v>
      </c>
      <c r="J846" t="s">
        <v>2910</v>
      </c>
      <c r="K846">
        <v>4000</v>
      </c>
      <c r="L846" t="s">
        <v>2910</v>
      </c>
      <c r="M846">
        <v>4000</v>
      </c>
      <c r="N846" t="s">
        <v>2910</v>
      </c>
      <c r="O846">
        <v>4000</v>
      </c>
      <c r="P846" t="s">
        <v>2910</v>
      </c>
      <c r="Q846">
        <v>4000</v>
      </c>
      <c r="R846" t="s">
        <v>2910</v>
      </c>
      <c r="S846" t="s">
        <v>988</v>
      </c>
    </row>
    <row r="847" spans="1:19" hidden="1" x14ac:dyDescent="0.3">
      <c r="A847">
        <v>2150</v>
      </c>
      <c r="B847" t="s">
        <v>1889</v>
      </c>
      <c r="C847" t="s">
        <v>2877</v>
      </c>
      <c r="D847" t="s">
        <v>1203</v>
      </c>
      <c r="E847" t="s">
        <v>1204</v>
      </c>
      <c r="F847">
        <v>5758</v>
      </c>
      <c r="G847" t="s">
        <v>2681</v>
      </c>
      <c r="H847" t="s">
        <v>3198</v>
      </c>
      <c r="I847">
        <v>42980</v>
      </c>
      <c r="J847" t="s">
        <v>2460</v>
      </c>
      <c r="K847">
        <v>44371</v>
      </c>
      <c r="L847" t="s">
        <v>2460</v>
      </c>
      <c r="M847">
        <v>43521</v>
      </c>
      <c r="N847" t="s">
        <v>2460</v>
      </c>
      <c r="O847">
        <v>42396</v>
      </c>
      <c r="P847" t="s">
        <v>2460</v>
      </c>
      <c r="Q847">
        <v>43514</v>
      </c>
      <c r="R847" t="s">
        <v>2460</v>
      </c>
      <c r="S847" t="s">
        <v>988</v>
      </c>
    </row>
    <row r="848" spans="1:19" hidden="1" x14ac:dyDescent="0.3">
      <c r="A848">
        <v>2150</v>
      </c>
      <c r="B848" t="s">
        <v>1889</v>
      </c>
      <c r="C848" t="s">
        <v>2877</v>
      </c>
      <c r="D848" t="s">
        <v>1203</v>
      </c>
      <c r="E848" t="s">
        <v>1204</v>
      </c>
      <c r="F848">
        <v>5758</v>
      </c>
      <c r="G848" t="s">
        <v>2679</v>
      </c>
      <c r="H848" t="s">
        <v>3528</v>
      </c>
      <c r="I848">
        <v>1133</v>
      </c>
      <c r="J848" t="s">
        <v>2460</v>
      </c>
      <c r="K848">
        <v>1133</v>
      </c>
      <c r="L848" t="s">
        <v>2460</v>
      </c>
      <c r="M848">
        <v>1133</v>
      </c>
      <c r="N848" t="s">
        <v>2460</v>
      </c>
      <c r="O848">
        <v>1133</v>
      </c>
      <c r="P848" t="s">
        <v>2460</v>
      </c>
      <c r="Q848">
        <v>1133</v>
      </c>
      <c r="R848" t="s">
        <v>2460</v>
      </c>
      <c r="S848" t="s">
        <v>988</v>
      </c>
    </row>
    <row r="849" spans="1:19" hidden="1" x14ac:dyDescent="0.3">
      <c r="A849">
        <v>2150</v>
      </c>
      <c r="B849" t="s">
        <v>1889</v>
      </c>
      <c r="C849" t="s">
        <v>2877</v>
      </c>
      <c r="D849" t="s">
        <v>1203</v>
      </c>
      <c r="E849" t="s">
        <v>1204</v>
      </c>
      <c r="F849">
        <v>5758</v>
      </c>
      <c r="G849" t="s">
        <v>2681</v>
      </c>
      <c r="H849" t="s">
        <v>3195</v>
      </c>
      <c r="I849">
        <v>4472</v>
      </c>
      <c r="J849" t="s">
        <v>2460</v>
      </c>
      <c r="K849">
        <v>4472</v>
      </c>
      <c r="L849" t="s">
        <v>2460</v>
      </c>
      <c r="M849">
        <v>6714</v>
      </c>
      <c r="N849" t="s">
        <v>2460</v>
      </c>
      <c r="O849">
        <v>8956</v>
      </c>
      <c r="P849" t="s">
        <v>2460</v>
      </c>
      <c r="Q849">
        <v>8956</v>
      </c>
      <c r="R849" t="s">
        <v>2460</v>
      </c>
      <c r="S849" t="s">
        <v>988</v>
      </c>
    </row>
    <row r="850" spans="1:19" hidden="1" x14ac:dyDescent="0.3">
      <c r="A850">
        <v>2154</v>
      </c>
      <c r="B850" t="s">
        <v>1894</v>
      </c>
      <c r="C850" t="s">
        <v>2877</v>
      </c>
      <c r="D850" t="s">
        <v>1203</v>
      </c>
      <c r="E850" t="s">
        <v>1204</v>
      </c>
      <c r="F850">
        <v>5791</v>
      </c>
      <c r="G850" t="s">
        <v>2681</v>
      </c>
      <c r="H850" t="s">
        <v>2460</v>
      </c>
      <c r="I850">
        <v>2770</v>
      </c>
      <c r="J850" t="s">
        <v>2460</v>
      </c>
      <c r="K850">
        <v>2810</v>
      </c>
      <c r="L850" t="s">
        <v>2460</v>
      </c>
      <c r="M850">
        <v>2840</v>
      </c>
      <c r="N850" t="s">
        <v>2460</v>
      </c>
      <c r="O850">
        <v>2850</v>
      </c>
      <c r="P850" t="s">
        <v>2460</v>
      </c>
      <c r="Q850">
        <v>2900</v>
      </c>
      <c r="R850" t="s">
        <v>2460</v>
      </c>
      <c r="S850" t="s">
        <v>988</v>
      </c>
    </row>
    <row r="851" spans="1:19" hidden="1" x14ac:dyDescent="0.3">
      <c r="A851">
        <v>2891</v>
      </c>
      <c r="B851" t="s">
        <v>1896</v>
      </c>
      <c r="C851" t="s">
        <v>2877</v>
      </c>
      <c r="D851" t="s">
        <v>1203</v>
      </c>
      <c r="E851" t="s">
        <v>1204</v>
      </c>
      <c r="F851">
        <v>5799</v>
      </c>
      <c r="G851" t="s">
        <v>2681</v>
      </c>
      <c r="H851" t="s">
        <v>2460</v>
      </c>
      <c r="I851">
        <v>1630</v>
      </c>
      <c r="J851" t="s">
        <v>2460</v>
      </c>
      <c r="K851">
        <v>1640</v>
      </c>
      <c r="L851" t="s">
        <v>2460</v>
      </c>
      <c r="M851">
        <v>1650</v>
      </c>
      <c r="N851" t="s">
        <v>2460</v>
      </c>
      <c r="O851">
        <v>1650</v>
      </c>
      <c r="P851" t="s">
        <v>2460</v>
      </c>
      <c r="Q851">
        <v>1680</v>
      </c>
      <c r="R851" t="s">
        <v>2460</v>
      </c>
      <c r="S851" t="s">
        <v>988</v>
      </c>
    </row>
    <row r="852" spans="1:19" hidden="1" x14ac:dyDescent="0.3">
      <c r="A852">
        <v>2157</v>
      </c>
      <c r="B852" t="s">
        <v>1897</v>
      </c>
      <c r="C852" t="s">
        <v>2877</v>
      </c>
      <c r="D852" t="s">
        <v>1203</v>
      </c>
      <c r="E852" t="s">
        <v>1204</v>
      </c>
      <c r="F852">
        <v>6643</v>
      </c>
      <c r="G852" t="s">
        <v>2683</v>
      </c>
      <c r="H852" t="s">
        <v>2508</v>
      </c>
      <c r="I852">
        <v>3629.5132780101399</v>
      </c>
      <c r="J852" t="s">
        <v>2460</v>
      </c>
      <c r="K852">
        <v>3607.1096969710502</v>
      </c>
      <c r="L852" t="s">
        <v>2460</v>
      </c>
      <c r="M852">
        <v>3584.7038202478602</v>
      </c>
      <c r="N852" t="s">
        <v>2460</v>
      </c>
      <c r="O852">
        <v>3584.7038202478602</v>
      </c>
      <c r="P852" t="s">
        <v>2460</v>
      </c>
      <c r="Q852">
        <v>3595.9067586094502</v>
      </c>
      <c r="R852" t="s">
        <v>2460</v>
      </c>
      <c r="S852" t="s">
        <v>988</v>
      </c>
    </row>
    <row r="853" spans="1:19" hidden="1" x14ac:dyDescent="0.3">
      <c r="A853">
        <v>2157</v>
      </c>
      <c r="B853" t="s">
        <v>1897</v>
      </c>
      <c r="C853" t="s">
        <v>2877</v>
      </c>
      <c r="D853" t="s">
        <v>1203</v>
      </c>
      <c r="E853" t="s">
        <v>1204</v>
      </c>
      <c r="F853">
        <v>6643</v>
      </c>
      <c r="G853" t="s">
        <v>2681</v>
      </c>
      <c r="H853" t="s">
        <v>3619</v>
      </c>
      <c r="I853">
        <v>2352.4632451000898</v>
      </c>
      <c r="J853" t="s">
        <v>2460</v>
      </c>
      <c r="K853">
        <v>2352.4632451000898</v>
      </c>
      <c r="L853" t="s">
        <v>2460</v>
      </c>
      <c r="M853">
        <v>2352.4632451000898</v>
      </c>
      <c r="N853" t="s">
        <v>2460</v>
      </c>
      <c r="O853">
        <v>2352.4632451000898</v>
      </c>
      <c r="P853" t="s">
        <v>2460</v>
      </c>
      <c r="Q853">
        <v>2352.4632451000898</v>
      </c>
      <c r="R853" t="s">
        <v>2460</v>
      </c>
      <c r="S853" t="s">
        <v>988</v>
      </c>
    </row>
    <row r="854" spans="1:19" hidden="1" x14ac:dyDescent="0.3">
      <c r="A854">
        <v>2157</v>
      </c>
      <c r="B854" t="s">
        <v>1897</v>
      </c>
      <c r="C854" t="s">
        <v>2877</v>
      </c>
      <c r="D854" t="s">
        <v>1203</v>
      </c>
      <c r="E854" t="s">
        <v>1204</v>
      </c>
      <c r="F854">
        <v>6643</v>
      </c>
      <c r="G854" t="s">
        <v>2683</v>
      </c>
      <c r="H854" t="s">
        <v>3620</v>
      </c>
      <c r="I854">
        <v>56.010100439775002</v>
      </c>
      <c r="J854" t="s">
        <v>2460</v>
      </c>
      <c r="K854">
        <v>56.010100439775002</v>
      </c>
      <c r="L854" t="s">
        <v>2460</v>
      </c>
      <c r="M854">
        <v>56.010100439775002</v>
      </c>
      <c r="N854" t="s">
        <v>2460</v>
      </c>
      <c r="O854">
        <v>56.010100439775002</v>
      </c>
      <c r="P854" t="s">
        <v>2460</v>
      </c>
      <c r="Q854">
        <v>56.010100439775002</v>
      </c>
      <c r="R854" t="s">
        <v>2460</v>
      </c>
      <c r="S854" t="s">
        <v>988</v>
      </c>
    </row>
    <row r="855" spans="1:19" hidden="1" x14ac:dyDescent="0.3">
      <c r="A855">
        <v>2158</v>
      </c>
      <c r="B855" t="s">
        <v>1900</v>
      </c>
      <c r="C855" t="s">
        <v>2877</v>
      </c>
      <c r="D855" t="s">
        <v>1203</v>
      </c>
      <c r="E855" t="s">
        <v>1204</v>
      </c>
      <c r="F855">
        <v>5792</v>
      </c>
      <c r="G855" t="s">
        <v>2681</v>
      </c>
      <c r="H855" t="s">
        <v>3621</v>
      </c>
      <c r="I855">
        <v>4000</v>
      </c>
      <c r="J855" t="s">
        <v>2460</v>
      </c>
      <c r="K855">
        <v>4000</v>
      </c>
      <c r="L855" t="s">
        <v>2460</v>
      </c>
      <c r="M855">
        <v>4000</v>
      </c>
      <c r="N855" t="s">
        <v>2460</v>
      </c>
      <c r="O855">
        <v>4000</v>
      </c>
      <c r="P855" t="s">
        <v>2460</v>
      </c>
      <c r="Q855">
        <v>4000</v>
      </c>
      <c r="R855" t="s">
        <v>2460</v>
      </c>
      <c r="S855" t="s">
        <v>988</v>
      </c>
    </row>
    <row r="856" spans="1:19" hidden="1" x14ac:dyDescent="0.3">
      <c r="A856">
        <v>2158</v>
      </c>
      <c r="B856" t="s">
        <v>1900</v>
      </c>
      <c r="C856" t="s">
        <v>2877</v>
      </c>
      <c r="D856" t="s">
        <v>1203</v>
      </c>
      <c r="E856" t="s">
        <v>1204</v>
      </c>
      <c r="F856">
        <v>5792</v>
      </c>
      <c r="G856" t="s">
        <v>2681</v>
      </c>
      <c r="H856" t="s">
        <v>3622</v>
      </c>
      <c r="I856">
        <v>3126</v>
      </c>
      <c r="J856" t="s">
        <v>2460</v>
      </c>
      <c r="K856">
        <v>3126</v>
      </c>
      <c r="L856" t="s">
        <v>2460</v>
      </c>
      <c r="M856">
        <v>3126</v>
      </c>
      <c r="N856" t="s">
        <v>2460</v>
      </c>
      <c r="O856">
        <v>3126</v>
      </c>
      <c r="P856" t="s">
        <v>2460</v>
      </c>
      <c r="Q856">
        <v>3126</v>
      </c>
      <c r="R856" t="s">
        <v>2460</v>
      </c>
      <c r="S856" t="s">
        <v>988</v>
      </c>
    </row>
    <row r="857" spans="1:19" hidden="1" x14ac:dyDescent="0.3">
      <c r="A857">
        <v>2158</v>
      </c>
      <c r="B857" t="s">
        <v>1900</v>
      </c>
      <c r="C857" t="s">
        <v>2877</v>
      </c>
      <c r="D857" t="s">
        <v>1203</v>
      </c>
      <c r="E857" t="s">
        <v>1204</v>
      </c>
      <c r="F857">
        <v>5792</v>
      </c>
      <c r="G857" t="s">
        <v>2683</v>
      </c>
      <c r="H857" t="s">
        <v>1382</v>
      </c>
      <c r="I857">
        <v>5805</v>
      </c>
      <c r="J857" t="s">
        <v>2460</v>
      </c>
      <c r="K857">
        <v>5963</v>
      </c>
      <c r="L857" t="s">
        <v>2460</v>
      </c>
      <c r="M857">
        <v>6126</v>
      </c>
      <c r="N857" t="s">
        <v>2460</v>
      </c>
      <c r="O857">
        <v>6293</v>
      </c>
      <c r="P857" t="s">
        <v>2460</v>
      </c>
      <c r="Q857">
        <v>6465</v>
      </c>
      <c r="R857" t="s">
        <v>2460</v>
      </c>
      <c r="S857" t="s">
        <v>988</v>
      </c>
    </row>
    <row r="858" spans="1:19" hidden="1" x14ac:dyDescent="0.3">
      <c r="A858">
        <v>2158</v>
      </c>
      <c r="B858" t="s">
        <v>1900</v>
      </c>
      <c r="C858" t="s">
        <v>2877</v>
      </c>
      <c r="D858" t="s">
        <v>1203</v>
      </c>
      <c r="E858" t="s">
        <v>1204</v>
      </c>
      <c r="F858">
        <v>5792</v>
      </c>
      <c r="G858" t="s">
        <v>2679</v>
      </c>
      <c r="H858" t="s">
        <v>3623</v>
      </c>
      <c r="I858">
        <v>0</v>
      </c>
      <c r="J858" t="s">
        <v>2460</v>
      </c>
      <c r="K858">
        <v>2800</v>
      </c>
      <c r="L858" t="s">
        <v>2460</v>
      </c>
      <c r="M858">
        <v>4000</v>
      </c>
      <c r="N858" t="s">
        <v>2460</v>
      </c>
      <c r="O858">
        <v>4000</v>
      </c>
      <c r="P858" t="s">
        <v>2460</v>
      </c>
      <c r="Q858">
        <v>4000</v>
      </c>
      <c r="R858" t="s">
        <v>2460</v>
      </c>
      <c r="S858" t="s">
        <v>988</v>
      </c>
    </row>
    <row r="859" spans="1:19" hidden="1" x14ac:dyDescent="0.3">
      <c r="A859">
        <v>2158</v>
      </c>
      <c r="B859" t="s">
        <v>1900</v>
      </c>
      <c r="C859" t="s">
        <v>2877</v>
      </c>
      <c r="D859" t="s">
        <v>1203</v>
      </c>
      <c r="E859" t="s">
        <v>1204</v>
      </c>
      <c r="F859">
        <v>5792</v>
      </c>
      <c r="G859" t="s">
        <v>687</v>
      </c>
      <c r="H859" t="s">
        <v>3128</v>
      </c>
      <c r="I859">
        <v>1300</v>
      </c>
      <c r="J859" t="s">
        <v>2460</v>
      </c>
      <c r="K859">
        <v>1300</v>
      </c>
      <c r="L859" t="s">
        <v>2460</v>
      </c>
      <c r="M859">
        <v>1300</v>
      </c>
      <c r="N859" t="s">
        <v>2460</v>
      </c>
      <c r="O859">
        <v>1300</v>
      </c>
      <c r="P859" t="s">
        <v>2460</v>
      </c>
      <c r="Q859">
        <v>1300</v>
      </c>
      <c r="R859" t="s">
        <v>2460</v>
      </c>
      <c r="S859" t="s">
        <v>988</v>
      </c>
    </row>
    <row r="860" spans="1:19" hidden="1" x14ac:dyDescent="0.3">
      <c r="A860">
        <v>2158</v>
      </c>
      <c r="B860" t="s">
        <v>1900</v>
      </c>
      <c r="C860" t="s">
        <v>2877</v>
      </c>
      <c r="D860" t="s">
        <v>1203</v>
      </c>
      <c r="E860" t="s">
        <v>1204</v>
      </c>
      <c r="F860">
        <v>5792</v>
      </c>
      <c r="G860" t="s">
        <v>2691</v>
      </c>
      <c r="H860" t="s">
        <v>3624</v>
      </c>
      <c r="I860">
        <v>4200</v>
      </c>
      <c r="J860" t="s">
        <v>2460</v>
      </c>
      <c r="K860">
        <v>4200</v>
      </c>
      <c r="L860" t="s">
        <v>2460</v>
      </c>
      <c r="M860">
        <v>4200</v>
      </c>
      <c r="N860" t="s">
        <v>2460</v>
      </c>
      <c r="O860">
        <v>4200</v>
      </c>
      <c r="P860" t="s">
        <v>2460</v>
      </c>
      <c r="Q860">
        <v>4200</v>
      </c>
      <c r="R860" t="s">
        <v>2460</v>
      </c>
      <c r="S860" t="s">
        <v>988</v>
      </c>
    </row>
    <row r="861" spans="1:19" hidden="1" x14ac:dyDescent="0.3">
      <c r="A861">
        <v>2158</v>
      </c>
      <c r="B861" t="s">
        <v>1900</v>
      </c>
      <c r="C861" t="s">
        <v>2877</v>
      </c>
      <c r="D861" t="s">
        <v>1203</v>
      </c>
      <c r="E861" t="s">
        <v>1204</v>
      </c>
      <c r="F861">
        <v>5792</v>
      </c>
      <c r="G861" t="s">
        <v>2681</v>
      </c>
      <c r="H861" t="s">
        <v>3625</v>
      </c>
      <c r="I861">
        <v>4813</v>
      </c>
      <c r="J861" t="s">
        <v>2460</v>
      </c>
      <c r="K861">
        <v>4199</v>
      </c>
      <c r="L861" t="s">
        <v>2460</v>
      </c>
      <c r="M861">
        <v>3584</v>
      </c>
      <c r="N861" t="s">
        <v>2460</v>
      </c>
      <c r="O861">
        <v>2970</v>
      </c>
      <c r="P861" t="s">
        <v>2460</v>
      </c>
      <c r="Q861">
        <v>2970</v>
      </c>
      <c r="R861" t="s">
        <v>2460</v>
      </c>
      <c r="S861" t="s">
        <v>988</v>
      </c>
    </row>
    <row r="862" spans="1:19" hidden="1" x14ac:dyDescent="0.3">
      <c r="A862">
        <v>2158</v>
      </c>
      <c r="B862" t="s">
        <v>1900</v>
      </c>
      <c r="C862" t="s">
        <v>2877</v>
      </c>
      <c r="D862" t="s">
        <v>1203</v>
      </c>
      <c r="E862" t="s">
        <v>1204</v>
      </c>
      <c r="F862">
        <v>5792</v>
      </c>
      <c r="G862" t="s">
        <v>2679</v>
      </c>
      <c r="H862" t="s">
        <v>2460</v>
      </c>
      <c r="I862">
        <v>576</v>
      </c>
      <c r="J862" t="s">
        <v>2460</v>
      </c>
      <c r="K862">
        <v>576</v>
      </c>
      <c r="L862" t="s">
        <v>2460</v>
      </c>
      <c r="M862">
        <v>576</v>
      </c>
      <c r="N862" t="s">
        <v>2460</v>
      </c>
      <c r="O862">
        <v>576</v>
      </c>
      <c r="P862" t="s">
        <v>2460</v>
      </c>
      <c r="Q862">
        <v>576</v>
      </c>
      <c r="R862" t="s">
        <v>2460</v>
      </c>
      <c r="S862" t="s">
        <v>988</v>
      </c>
    </row>
    <row r="863" spans="1:19" hidden="1" x14ac:dyDescent="0.3">
      <c r="A863">
        <v>2159</v>
      </c>
      <c r="B863" t="s">
        <v>1902</v>
      </c>
      <c r="C863" t="s">
        <v>2877</v>
      </c>
      <c r="D863" t="s">
        <v>1203</v>
      </c>
      <c r="E863" t="s">
        <v>1204</v>
      </c>
      <c r="F863">
        <v>5472</v>
      </c>
      <c r="G863" t="s">
        <v>2681</v>
      </c>
      <c r="H863" t="s">
        <v>3626</v>
      </c>
      <c r="I863">
        <v>500</v>
      </c>
      <c r="J863" t="s">
        <v>2460</v>
      </c>
      <c r="K863">
        <v>500</v>
      </c>
      <c r="L863" t="s">
        <v>2460</v>
      </c>
      <c r="M863">
        <v>500</v>
      </c>
      <c r="N863" t="s">
        <v>2460</v>
      </c>
      <c r="O863">
        <v>500</v>
      </c>
      <c r="P863" t="s">
        <v>2460</v>
      </c>
      <c r="Q863">
        <v>500</v>
      </c>
      <c r="R863" t="s">
        <v>2460</v>
      </c>
      <c r="S863" t="s">
        <v>988</v>
      </c>
    </row>
    <row r="864" spans="1:19" hidden="1" x14ac:dyDescent="0.3">
      <c r="A864">
        <v>2159</v>
      </c>
      <c r="B864" t="s">
        <v>1902</v>
      </c>
      <c r="C864" t="s">
        <v>2877</v>
      </c>
      <c r="D864" t="s">
        <v>1203</v>
      </c>
      <c r="E864" t="s">
        <v>1204</v>
      </c>
      <c r="F864">
        <v>5472</v>
      </c>
      <c r="G864" t="s">
        <v>2683</v>
      </c>
      <c r="H864" t="s">
        <v>3627</v>
      </c>
      <c r="I864">
        <v>1200</v>
      </c>
      <c r="J864" t="s">
        <v>2460</v>
      </c>
      <c r="K864">
        <v>1200</v>
      </c>
      <c r="L864" t="s">
        <v>2460</v>
      </c>
      <c r="M864">
        <v>1200</v>
      </c>
      <c r="N864" t="s">
        <v>2460</v>
      </c>
      <c r="O864">
        <v>1200</v>
      </c>
      <c r="P864" t="s">
        <v>2460</v>
      </c>
      <c r="Q864">
        <v>1200</v>
      </c>
      <c r="R864" t="s">
        <v>2460</v>
      </c>
      <c r="S864" t="s">
        <v>988</v>
      </c>
    </row>
    <row r="865" spans="1:19" hidden="1" x14ac:dyDescent="0.3">
      <c r="A865">
        <v>2159</v>
      </c>
      <c r="B865" t="s">
        <v>1902</v>
      </c>
      <c r="C865" t="s">
        <v>2877</v>
      </c>
      <c r="D865" t="s">
        <v>1203</v>
      </c>
      <c r="E865" t="s">
        <v>1204</v>
      </c>
      <c r="F865">
        <v>5472</v>
      </c>
      <c r="G865" t="s">
        <v>2683</v>
      </c>
      <c r="H865" t="s">
        <v>2965</v>
      </c>
      <c r="I865">
        <v>5953</v>
      </c>
      <c r="J865" t="s">
        <v>2460</v>
      </c>
      <c r="K865">
        <v>5888</v>
      </c>
      <c r="L865" t="s">
        <v>2460</v>
      </c>
      <c r="M865">
        <v>5824</v>
      </c>
      <c r="N865" t="s">
        <v>2460</v>
      </c>
      <c r="O865">
        <v>5755</v>
      </c>
      <c r="P865" t="s">
        <v>2460</v>
      </c>
      <c r="Q865">
        <v>5748</v>
      </c>
      <c r="R865" t="s">
        <v>2460</v>
      </c>
      <c r="S865" t="s">
        <v>988</v>
      </c>
    </row>
    <row r="866" spans="1:19" hidden="1" x14ac:dyDescent="0.3">
      <c r="A866">
        <v>2159</v>
      </c>
      <c r="B866" t="s">
        <v>1902</v>
      </c>
      <c r="C866" t="s">
        <v>2877</v>
      </c>
      <c r="D866" t="s">
        <v>1203</v>
      </c>
      <c r="E866" t="s">
        <v>1204</v>
      </c>
      <c r="F866">
        <v>5472</v>
      </c>
      <c r="G866" t="s">
        <v>2679</v>
      </c>
      <c r="H866" t="s">
        <v>3628</v>
      </c>
      <c r="I866">
        <v>1200</v>
      </c>
      <c r="J866" t="s">
        <v>2460</v>
      </c>
      <c r="K866">
        <v>1320</v>
      </c>
      <c r="L866" t="s">
        <v>2460</v>
      </c>
      <c r="M866">
        <v>1320</v>
      </c>
      <c r="N866" t="s">
        <v>2460</v>
      </c>
      <c r="O866">
        <v>1320</v>
      </c>
      <c r="P866" t="s">
        <v>2460</v>
      </c>
      <c r="Q866">
        <v>1320</v>
      </c>
      <c r="R866" t="s">
        <v>2460</v>
      </c>
      <c r="S866" t="s">
        <v>988</v>
      </c>
    </row>
    <row r="867" spans="1:19" hidden="1" x14ac:dyDescent="0.3">
      <c r="A867">
        <v>2160</v>
      </c>
      <c r="B867" t="s">
        <v>1904</v>
      </c>
      <c r="C867" t="s">
        <v>2877</v>
      </c>
      <c r="D867" t="s">
        <v>1203</v>
      </c>
      <c r="E867" t="s">
        <v>1204</v>
      </c>
      <c r="F867">
        <v>5474</v>
      </c>
      <c r="G867" t="s">
        <v>2681</v>
      </c>
      <c r="H867" t="s">
        <v>3629</v>
      </c>
      <c r="I867">
        <v>100</v>
      </c>
      <c r="J867" t="s">
        <v>3630</v>
      </c>
      <c r="K867">
        <v>100</v>
      </c>
      <c r="L867" t="s">
        <v>3630</v>
      </c>
      <c r="M867">
        <v>100</v>
      </c>
      <c r="N867" t="s">
        <v>3630</v>
      </c>
      <c r="O867">
        <v>100</v>
      </c>
      <c r="P867" t="s">
        <v>3630</v>
      </c>
      <c r="Q867">
        <v>100</v>
      </c>
      <c r="R867" t="s">
        <v>3630</v>
      </c>
      <c r="S867" t="s">
        <v>988</v>
      </c>
    </row>
    <row r="868" spans="1:19" hidden="1" x14ac:dyDescent="0.3">
      <c r="A868">
        <v>2160</v>
      </c>
      <c r="B868" t="s">
        <v>1904</v>
      </c>
      <c r="C868" t="s">
        <v>2877</v>
      </c>
      <c r="D868" t="s">
        <v>1203</v>
      </c>
      <c r="E868" t="s">
        <v>1204</v>
      </c>
      <c r="F868">
        <v>5474</v>
      </c>
      <c r="G868" t="s">
        <v>2691</v>
      </c>
      <c r="H868" t="s">
        <v>2460</v>
      </c>
      <c r="I868">
        <v>22415</v>
      </c>
      <c r="J868" t="s">
        <v>3631</v>
      </c>
      <c r="K868">
        <v>22415</v>
      </c>
      <c r="L868" t="s">
        <v>3631</v>
      </c>
      <c r="M868">
        <v>22415</v>
      </c>
      <c r="N868" t="s">
        <v>3631</v>
      </c>
      <c r="O868">
        <v>22415</v>
      </c>
      <c r="P868" t="s">
        <v>3631</v>
      </c>
      <c r="Q868">
        <v>22415</v>
      </c>
      <c r="R868" t="s">
        <v>3631</v>
      </c>
      <c r="S868" t="s">
        <v>988</v>
      </c>
    </row>
    <row r="869" spans="1:19" hidden="1" x14ac:dyDescent="0.3">
      <c r="A869">
        <v>2160</v>
      </c>
      <c r="B869" t="s">
        <v>1904</v>
      </c>
      <c r="C869" t="s">
        <v>2877</v>
      </c>
      <c r="D869" t="s">
        <v>1203</v>
      </c>
      <c r="E869" t="s">
        <v>1204</v>
      </c>
      <c r="F869">
        <v>5474</v>
      </c>
      <c r="G869" t="s">
        <v>2679</v>
      </c>
      <c r="H869" t="s">
        <v>2460</v>
      </c>
      <c r="I869">
        <v>13773</v>
      </c>
      <c r="J869" t="s">
        <v>3632</v>
      </c>
      <c r="K869">
        <v>13773</v>
      </c>
      <c r="L869" t="s">
        <v>3632</v>
      </c>
      <c r="M869">
        <v>13773</v>
      </c>
      <c r="N869" t="s">
        <v>3632</v>
      </c>
      <c r="O869">
        <v>13773</v>
      </c>
      <c r="P869" t="s">
        <v>3632</v>
      </c>
      <c r="Q869">
        <v>13773</v>
      </c>
      <c r="R869" t="s">
        <v>3632</v>
      </c>
      <c r="S869" t="s">
        <v>988</v>
      </c>
    </row>
    <row r="870" spans="1:19" hidden="1" x14ac:dyDescent="0.3">
      <c r="A870">
        <v>2160</v>
      </c>
      <c r="B870" t="s">
        <v>1904</v>
      </c>
      <c r="C870" t="s">
        <v>2877</v>
      </c>
      <c r="D870" t="s">
        <v>1203</v>
      </c>
      <c r="E870" t="s">
        <v>1204</v>
      </c>
      <c r="F870">
        <v>5474</v>
      </c>
      <c r="G870" t="s">
        <v>2679</v>
      </c>
      <c r="H870" t="s">
        <v>3633</v>
      </c>
      <c r="I870">
        <v>16800</v>
      </c>
      <c r="J870" t="s">
        <v>3634</v>
      </c>
      <c r="K870">
        <v>33600</v>
      </c>
      <c r="L870" t="s">
        <v>3635</v>
      </c>
      <c r="M870">
        <v>33600</v>
      </c>
      <c r="N870" t="s">
        <v>3635</v>
      </c>
      <c r="O870">
        <v>33600</v>
      </c>
      <c r="P870" t="s">
        <v>3635</v>
      </c>
      <c r="Q870">
        <v>33600</v>
      </c>
      <c r="R870" t="s">
        <v>3635</v>
      </c>
      <c r="S870" t="s">
        <v>988</v>
      </c>
    </row>
    <row r="871" spans="1:19" hidden="1" x14ac:dyDescent="0.3">
      <c r="A871">
        <v>2160</v>
      </c>
      <c r="B871" t="s">
        <v>1904</v>
      </c>
      <c r="C871" t="s">
        <v>2877</v>
      </c>
      <c r="D871" t="s">
        <v>1203</v>
      </c>
      <c r="E871" t="s">
        <v>1204</v>
      </c>
      <c r="F871">
        <v>5474</v>
      </c>
      <c r="G871" t="s">
        <v>2679</v>
      </c>
      <c r="H871" t="s">
        <v>3636</v>
      </c>
      <c r="I871">
        <v>0</v>
      </c>
      <c r="J871" t="s">
        <v>2982</v>
      </c>
      <c r="K871">
        <v>0</v>
      </c>
      <c r="L871" t="s">
        <v>2982</v>
      </c>
      <c r="M871">
        <v>59360</v>
      </c>
      <c r="N871" t="s">
        <v>3637</v>
      </c>
      <c r="O871">
        <v>59360</v>
      </c>
      <c r="P871" t="s">
        <v>3637</v>
      </c>
      <c r="Q871">
        <v>59360</v>
      </c>
      <c r="R871" t="s">
        <v>3637</v>
      </c>
      <c r="S871" t="s">
        <v>988</v>
      </c>
    </row>
    <row r="872" spans="1:19" hidden="1" x14ac:dyDescent="0.3">
      <c r="A872">
        <v>2160</v>
      </c>
      <c r="B872" t="s">
        <v>1904</v>
      </c>
      <c r="C872" t="s">
        <v>2877</v>
      </c>
      <c r="D872" t="s">
        <v>1203</v>
      </c>
      <c r="E872" t="s">
        <v>1204</v>
      </c>
      <c r="F872">
        <v>5474</v>
      </c>
      <c r="G872" t="s">
        <v>2683</v>
      </c>
      <c r="H872" t="s">
        <v>3638</v>
      </c>
      <c r="I872">
        <v>137069</v>
      </c>
      <c r="J872" t="s">
        <v>3639</v>
      </c>
      <c r="K872">
        <v>127902</v>
      </c>
      <c r="L872" t="s">
        <v>3640</v>
      </c>
      <c r="M872">
        <v>75108</v>
      </c>
      <c r="N872" t="s">
        <v>3641</v>
      </c>
      <c r="O872">
        <v>81510</v>
      </c>
      <c r="P872" t="s">
        <v>3642</v>
      </c>
      <c r="Q872">
        <v>85948</v>
      </c>
      <c r="R872" t="s">
        <v>3643</v>
      </c>
      <c r="S872" t="s">
        <v>988</v>
      </c>
    </row>
    <row r="873" spans="1:19" hidden="1" x14ac:dyDescent="0.3">
      <c r="A873">
        <v>2162</v>
      </c>
      <c r="B873" t="s">
        <v>1907</v>
      </c>
      <c r="C873" t="s">
        <v>2877</v>
      </c>
      <c r="D873" t="s">
        <v>159</v>
      </c>
      <c r="E873" t="s">
        <v>159</v>
      </c>
      <c r="F873">
        <v>7208</v>
      </c>
      <c r="G873" t="s">
        <v>2679</v>
      </c>
      <c r="H873" t="s">
        <v>3644</v>
      </c>
      <c r="I873">
        <v>700</v>
      </c>
      <c r="J873" t="s">
        <v>2460</v>
      </c>
      <c r="K873">
        <v>700</v>
      </c>
      <c r="L873" t="s">
        <v>2460</v>
      </c>
      <c r="M873">
        <v>700</v>
      </c>
      <c r="N873" t="s">
        <v>2460</v>
      </c>
      <c r="O873">
        <v>700</v>
      </c>
      <c r="P873" t="s">
        <v>2460</v>
      </c>
      <c r="Q873">
        <v>700</v>
      </c>
      <c r="R873" t="s">
        <v>2460</v>
      </c>
      <c r="S873" t="s">
        <v>988</v>
      </c>
    </row>
    <row r="874" spans="1:19" hidden="1" x14ac:dyDescent="0.3">
      <c r="A874">
        <v>2162</v>
      </c>
      <c r="B874" t="s">
        <v>1907</v>
      </c>
      <c r="C874" t="s">
        <v>2877</v>
      </c>
      <c r="D874" t="s">
        <v>159</v>
      </c>
      <c r="E874" t="s">
        <v>159</v>
      </c>
      <c r="F874">
        <v>7208</v>
      </c>
      <c r="G874" t="s">
        <v>2685</v>
      </c>
      <c r="H874" t="s">
        <v>3645</v>
      </c>
      <c r="I874">
        <v>2135</v>
      </c>
      <c r="J874" t="s">
        <v>2460</v>
      </c>
      <c r="K874">
        <v>2135</v>
      </c>
      <c r="L874" t="s">
        <v>2460</v>
      </c>
      <c r="M874">
        <v>2434</v>
      </c>
      <c r="N874" t="s">
        <v>2460</v>
      </c>
      <c r="O874">
        <v>2434</v>
      </c>
      <c r="P874" t="s">
        <v>2460</v>
      </c>
      <c r="Q874">
        <v>2434</v>
      </c>
      <c r="R874" t="s">
        <v>2460</v>
      </c>
      <c r="S874" t="s">
        <v>988</v>
      </c>
    </row>
    <row r="875" spans="1:19" hidden="1" x14ac:dyDescent="0.3">
      <c r="A875">
        <v>2162</v>
      </c>
      <c r="B875" t="s">
        <v>1907</v>
      </c>
      <c r="C875" t="s">
        <v>2877</v>
      </c>
      <c r="D875" t="s">
        <v>159</v>
      </c>
      <c r="E875" t="s">
        <v>159</v>
      </c>
      <c r="F875">
        <v>7208</v>
      </c>
      <c r="G875" t="s">
        <v>2683</v>
      </c>
      <c r="H875" t="s">
        <v>3646</v>
      </c>
      <c r="I875">
        <v>3661</v>
      </c>
      <c r="J875" t="s">
        <v>2460</v>
      </c>
      <c r="K875">
        <v>4021</v>
      </c>
      <c r="L875" t="s">
        <v>2460</v>
      </c>
      <c r="M875">
        <v>3809</v>
      </c>
      <c r="N875" t="s">
        <v>2460</v>
      </c>
      <c r="O875">
        <v>3970</v>
      </c>
      <c r="P875" t="s">
        <v>2460</v>
      </c>
      <c r="Q875">
        <v>4177</v>
      </c>
      <c r="R875" t="s">
        <v>2460</v>
      </c>
      <c r="S875" t="s">
        <v>988</v>
      </c>
    </row>
    <row r="876" spans="1:19" hidden="1" x14ac:dyDescent="0.3">
      <c r="A876">
        <v>2163</v>
      </c>
      <c r="B876" t="s">
        <v>1908</v>
      </c>
      <c r="C876" t="s">
        <v>2877</v>
      </c>
      <c r="D876" t="s">
        <v>159</v>
      </c>
      <c r="E876" t="s">
        <v>159</v>
      </c>
      <c r="F876">
        <v>6759</v>
      </c>
      <c r="G876" t="s">
        <v>2681</v>
      </c>
      <c r="H876" t="s">
        <v>3647</v>
      </c>
      <c r="I876">
        <v>3570</v>
      </c>
      <c r="J876" t="s">
        <v>2460</v>
      </c>
      <c r="K876">
        <v>3570</v>
      </c>
      <c r="L876" t="s">
        <v>2460</v>
      </c>
      <c r="M876">
        <v>3570</v>
      </c>
      <c r="N876" t="s">
        <v>2460</v>
      </c>
      <c r="O876">
        <v>3570</v>
      </c>
      <c r="P876" t="s">
        <v>2460</v>
      </c>
      <c r="Q876">
        <v>3570</v>
      </c>
      <c r="R876" t="s">
        <v>2460</v>
      </c>
      <c r="S876" t="s">
        <v>988</v>
      </c>
    </row>
    <row r="877" spans="1:19" hidden="1" x14ac:dyDescent="0.3">
      <c r="A877">
        <v>2163</v>
      </c>
      <c r="B877" t="s">
        <v>1908</v>
      </c>
      <c r="C877" t="s">
        <v>2877</v>
      </c>
      <c r="D877" t="s">
        <v>159</v>
      </c>
      <c r="E877" t="s">
        <v>159</v>
      </c>
      <c r="F877">
        <v>6759</v>
      </c>
      <c r="G877" t="s">
        <v>2683</v>
      </c>
      <c r="H877" t="s">
        <v>2889</v>
      </c>
      <c r="I877">
        <v>629</v>
      </c>
      <c r="J877" t="s">
        <v>2460</v>
      </c>
      <c r="K877">
        <v>629</v>
      </c>
      <c r="L877" t="s">
        <v>2460</v>
      </c>
      <c r="M877">
        <v>629</v>
      </c>
      <c r="N877" t="s">
        <v>2460</v>
      </c>
      <c r="O877">
        <v>629</v>
      </c>
      <c r="P877" t="s">
        <v>2460</v>
      </c>
      <c r="Q877">
        <v>629</v>
      </c>
      <c r="R877" t="s">
        <v>2460</v>
      </c>
      <c r="S877" t="s">
        <v>988</v>
      </c>
    </row>
    <row r="878" spans="1:19" hidden="1" x14ac:dyDescent="0.3">
      <c r="A878">
        <v>2164</v>
      </c>
      <c r="B878" t="s">
        <v>1909</v>
      </c>
      <c r="C878" t="s">
        <v>2877</v>
      </c>
      <c r="D878" t="s">
        <v>159</v>
      </c>
      <c r="E878" t="s">
        <v>159</v>
      </c>
      <c r="F878">
        <v>6833</v>
      </c>
      <c r="G878" t="s">
        <v>2691</v>
      </c>
      <c r="H878" t="s">
        <v>2460</v>
      </c>
      <c r="I878">
        <v>74940</v>
      </c>
      <c r="J878" t="s">
        <v>2460</v>
      </c>
      <c r="K878">
        <v>75280</v>
      </c>
      <c r="L878" t="s">
        <v>2460</v>
      </c>
      <c r="M878">
        <v>76510</v>
      </c>
      <c r="N878" t="s">
        <v>2460</v>
      </c>
      <c r="O878">
        <v>78640</v>
      </c>
      <c r="P878" t="s">
        <v>2460</v>
      </c>
      <c r="Q878">
        <v>82220</v>
      </c>
      <c r="R878" t="s">
        <v>2460</v>
      </c>
      <c r="S878" t="s">
        <v>988</v>
      </c>
    </row>
    <row r="879" spans="1:19" hidden="1" x14ac:dyDescent="0.3">
      <c r="A879">
        <v>2164</v>
      </c>
      <c r="B879" t="s">
        <v>1909</v>
      </c>
      <c r="C879" t="s">
        <v>2877</v>
      </c>
      <c r="D879" t="s">
        <v>159</v>
      </c>
      <c r="E879" t="s">
        <v>159</v>
      </c>
      <c r="F879">
        <v>6833</v>
      </c>
      <c r="G879" t="s">
        <v>2679</v>
      </c>
      <c r="H879" t="s">
        <v>3648</v>
      </c>
      <c r="I879">
        <v>2350</v>
      </c>
      <c r="J879" t="s">
        <v>2460</v>
      </c>
      <c r="K879">
        <v>2800</v>
      </c>
      <c r="L879" t="s">
        <v>2460</v>
      </c>
      <c r="M879">
        <v>2800</v>
      </c>
      <c r="N879" t="s">
        <v>2460</v>
      </c>
      <c r="O879">
        <v>2800</v>
      </c>
      <c r="P879" t="s">
        <v>2460</v>
      </c>
      <c r="Q879">
        <v>2800</v>
      </c>
      <c r="R879" t="s">
        <v>2460</v>
      </c>
      <c r="S879" t="s">
        <v>988</v>
      </c>
    </row>
    <row r="880" spans="1:19" hidden="1" x14ac:dyDescent="0.3">
      <c r="A880">
        <v>2164</v>
      </c>
      <c r="B880" t="s">
        <v>1909</v>
      </c>
      <c r="C880" t="s">
        <v>2877</v>
      </c>
      <c r="D880" t="s">
        <v>159</v>
      </c>
      <c r="E880" t="s">
        <v>159</v>
      </c>
      <c r="F880">
        <v>6833</v>
      </c>
      <c r="G880" t="s">
        <v>2681</v>
      </c>
      <c r="H880" t="s">
        <v>2460</v>
      </c>
      <c r="I880">
        <v>1570</v>
      </c>
      <c r="J880" t="s">
        <v>2460</v>
      </c>
      <c r="K880">
        <v>2690</v>
      </c>
      <c r="L880" t="s">
        <v>2460</v>
      </c>
      <c r="M880">
        <v>3810</v>
      </c>
      <c r="N880" t="s">
        <v>2460</v>
      </c>
      <c r="O880">
        <v>4930</v>
      </c>
      <c r="P880" t="s">
        <v>2460</v>
      </c>
      <c r="Q880">
        <v>4930</v>
      </c>
      <c r="R880" t="s">
        <v>2460</v>
      </c>
      <c r="S880" t="s">
        <v>988</v>
      </c>
    </row>
    <row r="881" spans="1:19" hidden="1" x14ac:dyDescent="0.3">
      <c r="A881">
        <v>2165</v>
      </c>
      <c r="B881" t="s">
        <v>1912</v>
      </c>
      <c r="C881" t="s">
        <v>2877</v>
      </c>
      <c r="D881" t="s">
        <v>1203</v>
      </c>
      <c r="E881" t="s">
        <v>1204</v>
      </c>
      <c r="F881">
        <v>5523</v>
      </c>
      <c r="G881" t="s">
        <v>2681</v>
      </c>
      <c r="H881" t="s">
        <v>2899</v>
      </c>
      <c r="I881">
        <v>764</v>
      </c>
      <c r="J881" t="s">
        <v>2460</v>
      </c>
      <c r="K881">
        <v>764</v>
      </c>
      <c r="L881" t="s">
        <v>2460</v>
      </c>
      <c r="M881">
        <v>764</v>
      </c>
      <c r="N881" t="s">
        <v>2460</v>
      </c>
      <c r="O881">
        <v>764</v>
      </c>
      <c r="P881" t="s">
        <v>2460</v>
      </c>
      <c r="Q881">
        <v>764</v>
      </c>
      <c r="R881" t="s">
        <v>2460</v>
      </c>
      <c r="S881" t="s">
        <v>988</v>
      </c>
    </row>
    <row r="882" spans="1:19" hidden="1" x14ac:dyDescent="0.3">
      <c r="A882">
        <v>2165</v>
      </c>
      <c r="B882" t="s">
        <v>1912</v>
      </c>
      <c r="C882" t="s">
        <v>2877</v>
      </c>
      <c r="D882" t="s">
        <v>1203</v>
      </c>
      <c r="E882" t="s">
        <v>1204</v>
      </c>
      <c r="F882">
        <v>5523</v>
      </c>
      <c r="G882" t="s">
        <v>2681</v>
      </c>
      <c r="H882" t="s">
        <v>2888</v>
      </c>
      <c r="I882">
        <v>5308</v>
      </c>
      <c r="J882" t="s">
        <v>2460</v>
      </c>
      <c r="K882">
        <v>5433</v>
      </c>
      <c r="L882" t="s">
        <v>2460</v>
      </c>
      <c r="M882">
        <v>5559</v>
      </c>
      <c r="N882" t="s">
        <v>2460</v>
      </c>
      <c r="O882">
        <v>5689</v>
      </c>
      <c r="P882" t="s">
        <v>2460</v>
      </c>
      <c r="Q882">
        <v>5822</v>
      </c>
      <c r="R882" t="s">
        <v>2460</v>
      </c>
      <c r="S882" t="s">
        <v>988</v>
      </c>
    </row>
    <row r="883" spans="1:19" hidden="1" x14ac:dyDescent="0.3">
      <c r="A883">
        <v>2167</v>
      </c>
      <c r="B883" t="s">
        <v>1914</v>
      </c>
      <c r="C883" t="s">
        <v>2877</v>
      </c>
      <c r="D883" t="s">
        <v>159</v>
      </c>
      <c r="E883" t="s">
        <v>159</v>
      </c>
      <c r="F883">
        <v>5516</v>
      </c>
      <c r="G883" t="s">
        <v>2681</v>
      </c>
      <c r="H883" t="s">
        <v>3136</v>
      </c>
      <c r="I883">
        <v>1750</v>
      </c>
      <c r="J883" t="s">
        <v>2460</v>
      </c>
      <c r="K883">
        <v>1950</v>
      </c>
      <c r="L883" t="s">
        <v>2460</v>
      </c>
      <c r="M883">
        <v>2150</v>
      </c>
      <c r="N883" t="s">
        <v>2460</v>
      </c>
      <c r="O883">
        <v>2350</v>
      </c>
      <c r="P883" t="s">
        <v>2460</v>
      </c>
      <c r="Q883">
        <v>2500</v>
      </c>
      <c r="R883" t="s">
        <v>2460</v>
      </c>
      <c r="S883" t="s">
        <v>988</v>
      </c>
    </row>
    <row r="884" spans="1:19" hidden="1" x14ac:dyDescent="0.3">
      <c r="A884">
        <v>2167</v>
      </c>
      <c r="B884" t="s">
        <v>1914</v>
      </c>
      <c r="C884" t="s">
        <v>2877</v>
      </c>
      <c r="D884" t="s">
        <v>159</v>
      </c>
      <c r="E884" t="s">
        <v>159</v>
      </c>
      <c r="F884">
        <v>5516</v>
      </c>
      <c r="G884" t="s">
        <v>2681</v>
      </c>
      <c r="H884" t="s">
        <v>2888</v>
      </c>
      <c r="I884">
        <v>33385</v>
      </c>
      <c r="J884" t="s">
        <v>2460</v>
      </c>
      <c r="K884">
        <v>33371</v>
      </c>
      <c r="L884" t="s">
        <v>2460</v>
      </c>
      <c r="M884">
        <v>33361</v>
      </c>
      <c r="N884" t="s">
        <v>2460</v>
      </c>
      <c r="O884">
        <v>33254</v>
      </c>
      <c r="P884" t="s">
        <v>2460</v>
      </c>
      <c r="Q884">
        <v>33200</v>
      </c>
      <c r="R884" t="s">
        <v>2460</v>
      </c>
      <c r="S884" t="s">
        <v>988</v>
      </c>
    </row>
    <row r="885" spans="1:19" hidden="1" x14ac:dyDescent="0.3">
      <c r="A885">
        <v>2167</v>
      </c>
      <c r="B885" t="s">
        <v>1914</v>
      </c>
      <c r="C885" t="s">
        <v>2877</v>
      </c>
      <c r="D885" t="s">
        <v>159</v>
      </c>
      <c r="E885" t="s">
        <v>159</v>
      </c>
      <c r="F885">
        <v>5516</v>
      </c>
      <c r="G885" t="s">
        <v>2683</v>
      </c>
      <c r="H885" t="s">
        <v>2127</v>
      </c>
      <c r="I885">
        <v>0</v>
      </c>
      <c r="J885" t="s">
        <v>2460</v>
      </c>
      <c r="K885">
        <v>0</v>
      </c>
      <c r="L885" t="s">
        <v>2460</v>
      </c>
      <c r="M885">
        <v>0</v>
      </c>
      <c r="N885" t="s">
        <v>2460</v>
      </c>
      <c r="O885">
        <v>0</v>
      </c>
      <c r="P885" t="s">
        <v>2460</v>
      </c>
      <c r="Q885">
        <v>0</v>
      </c>
      <c r="R885" t="s">
        <v>2460</v>
      </c>
      <c r="S885" t="s">
        <v>988</v>
      </c>
    </row>
    <row r="886" spans="1:19" hidden="1" x14ac:dyDescent="0.3">
      <c r="A886">
        <v>2167</v>
      </c>
      <c r="B886" t="s">
        <v>1914</v>
      </c>
      <c r="C886" t="s">
        <v>2877</v>
      </c>
      <c r="D886" t="s">
        <v>159</v>
      </c>
      <c r="E886" t="s">
        <v>159</v>
      </c>
      <c r="F886">
        <v>5516</v>
      </c>
      <c r="G886" t="s">
        <v>2679</v>
      </c>
      <c r="H886" t="s">
        <v>2460</v>
      </c>
      <c r="I886">
        <v>1800</v>
      </c>
      <c r="J886" t="s">
        <v>2460</v>
      </c>
      <c r="K886">
        <v>2100</v>
      </c>
      <c r="L886" t="s">
        <v>2460</v>
      </c>
      <c r="M886">
        <v>2400</v>
      </c>
      <c r="N886" t="s">
        <v>2460</v>
      </c>
      <c r="O886">
        <v>2700</v>
      </c>
      <c r="P886" t="s">
        <v>2460</v>
      </c>
      <c r="Q886">
        <v>3000</v>
      </c>
      <c r="R886" t="s">
        <v>2460</v>
      </c>
      <c r="S886" t="s">
        <v>988</v>
      </c>
    </row>
    <row r="887" spans="1:19" hidden="1" x14ac:dyDescent="0.3">
      <c r="A887">
        <v>2166</v>
      </c>
      <c r="B887" t="s">
        <v>1915</v>
      </c>
      <c r="C887" t="s">
        <v>2877</v>
      </c>
      <c r="D887" t="s">
        <v>159</v>
      </c>
      <c r="E887" t="s">
        <v>159</v>
      </c>
      <c r="F887">
        <v>6634</v>
      </c>
      <c r="G887" t="s">
        <v>2679</v>
      </c>
      <c r="H887" t="s">
        <v>3649</v>
      </c>
      <c r="I887">
        <v>1000</v>
      </c>
      <c r="J887" t="s">
        <v>2460</v>
      </c>
      <c r="K887">
        <v>1500</v>
      </c>
      <c r="L887" t="s">
        <v>2460</v>
      </c>
      <c r="M887">
        <v>2000</v>
      </c>
      <c r="N887" t="s">
        <v>2460</v>
      </c>
      <c r="O887">
        <v>2500</v>
      </c>
      <c r="P887" t="s">
        <v>2460</v>
      </c>
      <c r="Q887">
        <v>3000</v>
      </c>
      <c r="R887" t="s">
        <v>2460</v>
      </c>
      <c r="S887" t="s">
        <v>988</v>
      </c>
    </row>
    <row r="888" spans="1:19" hidden="1" x14ac:dyDescent="0.3">
      <c r="A888">
        <v>2166</v>
      </c>
      <c r="B888" t="s">
        <v>1915</v>
      </c>
      <c r="C888" t="s">
        <v>2877</v>
      </c>
      <c r="D888" t="s">
        <v>159</v>
      </c>
      <c r="E888" t="s">
        <v>159</v>
      </c>
      <c r="F888">
        <v>6634</v>
      </c>
      <c r="G888" t="s">
        <v>2691</v>
      </c>
      <c r="H888" t="s">
        <v>3533</v>
      </c>
      <c r="I888">
        <v>4860</v>
      </c>
      <c r="J888" t="s">
        <v>2460</v>
      </c>
      <c r="K888">
        <v>4860</v>
      </c>
      <c r="L888" t="s">
        <v>2460</v>
      </c>
      <c r="M888">
        <v>4860</v>
      </c>
      <c r="N888" t="s">
        <v>2460</v>
      </c>
      <c r="O888">
        <v>4860</v>
      </c>
      <c r="P888" t="s">
        <v>2460</v>
      </c>
      <c r="Q888">
        <v>4860</v>
      </c>
      <c r="R888" t="s">
        <v>2460</v>
      </c>
      <c r="S888" t="s">
        <v>988</v>
      </c>
    </row>
    <row r="889" spans="1:19" hidden="1" x14ac:dyDescent="0.3">
      <c r="A889">
        <v>2166</v>
      </c>
      <c r="B889" t="s">
        <v>1915</v>
      </c>
      <c r="C889" t="s">
        <v>2877</v>
      </c>
      <c r="D889" t="s">
        <v>159</v>
      </c>
      <c r="E889" t="s">
        <v>159</v>
      </c>
      <c r="F889">
        <v>6634</v>
      </c>
      <c r="G889" t="s">
        <v>2681</v>
      </c>
      <c r="H889" t="s">
        <v>3650</v>
      </c>
      <c r="I889">
        <v>6390</v>
      </c>
      <c r="J889" t="s">
        <v>2460</v>
      </c>
      <c r="K889">
        <v>6390</v>
      </c>
      <c r="L889" t="s">
        <v>2460</v>
      </c>
      <c r="M889">
        <v>6390</v>
      </c>
      <c r="N889" t="s">
        <v>2460</v>
      </c>
      <c r="O889">
        <v>6390</v>
      </c>
      <c r="P889" t="s">
        <v>2460</v>
      </c>
      <c r="Q889">
        <v>6390</v>
      </c>
      <c r="R889" t="s">
        <v>2460</v>
      </c>
      <c r="S889" t="s">
        <v>988</v>
      </c>
    </row>
    <row r="890" spans="1:19" hidden="1" x14ac:dyDescent="0.3">
      <c r="A890">
        <v>2166</v>
      </c>
      <c r="B890" t="s">
        <v>1915</v>
      </c>
      <c r="C890" t="s">
        <v>2877</v>
      </c>
      <c r="D890" t="s">
        <v>159</v>
      </c>
      <c r="E890" t="s">
        <v>159</v>
      </c>
      <c r="F890">
        <v>6634</v>
      </c>
      <c r="G890" t="s">
        <v>2681</v>
      </c>
      <c r="H890" t="s">
        <v>3651</v>
      </c>
      <c r="I890">
        <v>5865</v>
      </c>
      <c r="J890" t="s">
        <v>2460</v>
      </c>
      <c r="K890">
        <v>5976</v>
      </c>
      <c r="L890" t="s">
        <v>2460</v>
      </c>
      <c r="M890">
        <v>6087</v>
      </c>
      <c r="N890" t="s">
        <v>2460</v>
      </c>
      <c r="O890">
        <v>6199</v>
      </c>
      <c r="P890" t="s">
        <v>2460</v>
      </c>
      <c r="Q890">
        <v>6310</v>
      </c>
      <c r="R890" t="s">
        <v>2460</v>
      </c>
      <c r="S890" t="s">
        <v>988</v>
      </c>
    </row>
    <row r="891" spans="1:19" hidden="1" x14ac:dyDescent="0.3">
      <c r="A891">
        <v>2166</v>
      </c>
      <c r="B891" t="s">
        <v>1915</v>
      </c>
      <c r="C891" t="s">
        <v>2877</v>
      </c>
      <c r="D891" t="s">
        <v>159</v>
      </c>
      <c r="E891" t="s">
        <v>159</v>
      </c>
      <c r="F891">
        <v>6634</v>
      </c>
      <c r="G891" t="s">
        <v>2681</v>
      </c>
      <c r="H891" t="s">
        <v>3137</v>
      </c>
      <c r="I891">
        <v>9278</v>
      </c>
      <c r="J891" t="s">
        <v>2460</v>
      </c>
      <c r="K891">
        <v>9983</v>
      </c>
      <c r="L891" t="s">
        <v>2460</v>
      </c>
      <c r="M891">
        <v>11128</v>
      </c>
      <c r="N891" t="s">
        <v>2460</v>
      </c>
      <c r="O891">
        <v>12293</v>
      </c>
      <c r="P891" t="s">
        <v>2460</v>
      </c>
      <c r="Q891">
        <v>13183</v>
      </c>
      <c r="R891" t="s">
        <v>2460</v>
      </c>
      <c r="S891" t="s">
        <v>988</v>
      </c>
    </row>
    <row r="892" spans="1:19" hidden="1" x14ac:dyDescent="0.3">
      <c r="A892">
        <v>2166</v>
      </c>
      <c r="B892" t="s">
        <v>1915</v>
      </c>
      <c r="C892" t="s">
        <v>2877</v>
      </c>
      <c r="D892" t="s">
        <v>159</v>
      </c>
      <c r="E892" t="s">
        <v>159</v>
      </c>
      <c r="F892">
        <v>6634</v>
      </c>
      <c r="G892" t="s">
        <v>2683</v>
      </c>
      <c r="H892" t="s">
        <v>3652</v>
      </c>
      <c r="I892">
        <v>3200</v>
      </c>
      <c r="J892" t="s">
        <v>2460</v>
      </c>
      <c r="K892">
        <v>3200</v>
      </c>
      <c r="L892" t="s">
        <v>2460</v>
      </c>
      <c r="M892">
        <v>3200</v>
      </c>
      <c r="N892" t="s">
        <v>2460</v>
      </c>
      <c r="O892">
        <v>3200</v>
      </c>
      <c r="P892" t="s">
        <v>2460</v>
      </c>
      <c r="Q892">
        <v>3200</v>
      </c>
      <c r="R892" t="s">
        <v>2460</v>
      </c>
      <c r="S892" t="s">
        <v>988</v>
      </c>
    </row>
    <row r="893" spans="1:19" hidden="1" x14ac:dyDescent="0.3">
      <c r="A893">
        <v>2166</v>
      </c>
      <c r="B893" t="s">
        <v>1915</v>
      </c>
      <c r="C893" t="s">
        <v>2877</v>
      </c>
      <c r="D893" t="s">
        <v>159</v>
      </c>
      <c r="E893" t="s">
        <v>159</v>
      </c>
      <c r="F893">
        <v>6634</v>
      </c>
      <c r="G893" t="s">
        <v>2683</v>
      </c>
      <c r="H893" t="s">
        <v>3649</v>
      </c>
      <c r="I893">
        <v>15000</v>
      </c>
      <c r="J893" t="s">
        <v>2460</v>
      </c>
      <c r="K893">
        <v>15000</v>
      </c>
      <c r="L893" t="s">
        <v>2460</v>
      </c>
      <c r="M893">
        <v>15000</v>
      </c>
      <c r="N893" t="s">
        <v>2460</v>
      </c>
      <c r="O893">
        <v>15000</v>
      </c>
      <c r="P893" t="s">
        <v>2460</v>
      </c>
      <c r="Q893">
        <v>15000</v>
      </c>
      <c r="R893" t="s">
        <v>2460</v>
      </c>
      <c r="S893" t="s">
        <v>988</v>
      </c>
    </row>
    <row r="894" spans="1:19" hidden="1" x14ac:dyDescent="0.3">
      <c r="A894">
        <v>2169</v>
      </c>
      <c r="B894" t="s">
        <v>1919</v>
      </c>
      <c r="C894" t="s">
        <v>2877</v>
      </c>
      <c r="D894" t="s">
        <v>159</v>
      </c>
      <c r="E894" t="s">
        <v>159</v>
      </c>
      <c r="F894">
        <v>5514</v>
      </c>
      <c r="G894" t="s">
        <v>2681</v>
      </c>
      <c r="H894" t="s">
        <v>3304</v>
      </c>
      <c r="I894">
        <v>3047</v>
      </c>
      <c r="J894" t="s">
        <v>2460</v>
      </c>
      <c r="K894">
        <v>3290</v>
      </c>
      <c r="L894" t="s">
        <v>2460</v>
      </c>
      <c r="M894">
        <v>3551</v>
      </c>
      <c r="N894" t="s">
        <v>2460</v>
      </c>
      <c r="O894">
        <v>3836</v>
      </c>
      <c r="P894" t="s">
        <v>2460</v>
      </c>
      <c r="Q894">
        <v>4140</v>
      </c>
      <c r="R894" t="s">
        <v>2460</v>
      </c>
      <c r="S894" t="s">
        <v>988</v>
      </c>
    </row>
    <row r="895" spans="1:19" hidden="1" x14ac:dyDescent="0.3">
      <c r="A895">
        <v>2169</v>
      </c>
      <c r="B895" t="s">
        <v>1919</v>
      </c>
      <c r="C895" t="s">
        <v>2877</v>
      </c>
      <c r="D895" t="s">
        <v>159</v>
      </c>
      <c r="E895" t="s">
        <v>159</v>
      </c>
      <c r="F895">
        <v>5514</v>
      </c>
      <c r="G895" t="s">
        <v>2683</v>
      </c>
      <c r="H895" t="s">
        <v>1483</v>
      </c>
      <c r="I895">
        <v>0</v>
      </c>
      <c r="J895" t="s">
        <v>2460</v>
      </c>
      <c r="K895">
        <v>0</v>
      </c>
      <c r="L895" t="s">
        <v>2460</v>
      </c>
      <c r="M895">
        <v>0</v>
      </c>
      <c r="N895" t="s">
        <v>2460</v>
      </c>
      <c r="O895">
        <v>0</v>
      </c>
      <c r="P895" t="s">
        <v>2460</v>
      </c>
      <c r="Q895">
        <v>0</v>
      </c>
      <c r="R895" t="s">
        <v>2460</v>
      </c>
      <c r="S895" t="s">
        <v>988</v>
      </c>
    </row>
    <row r="896" spans="1:19" hidden="1" x14ac:dyDescent="0.3">
      <c r="A896">
        <v>2174</v>
      </c>
      <c r="B896" t="s">
        <v>1920</v>
      </c>
      <c r="C896" t="s">
        <v>2877</v>
      </c>
      <c r="D896" t="s">
        <v>159</v>
      </c>
      <c r="E896" t="s">
        <v>159</v>
      </c>
      <c r="F896">
        <v>7800</v>
      </c>
      <c r="G896" t="s">
        <v>2683</v>
      </c>
      <c r="H896" t="s">
        <v>3653</v>
      </c>
      <c r="I896">
        <v>18975</v>
      </c>
      <c r="J896" t="s">
        <v>2460</v>
      </c>
      <c r="K896">
        <v>21043</v>
      </c>
      <c r="L896" t="s">
        <v>2460</v>
      </c>
      <c r="M896">
        <v>22420</v>
      </c>
      <c r="N896" t="s">
        <v>2460</v>
      </c>
      <c r="O896">
        <v>24757</v>
      </c>
      <c r="P896" t="s">
        <v>2460</v>
      </c>
      <c r="Q896">
        <v>25213</v>
      </c>
      <c r="R896" t="s">
        <v>2460</v>
      </c>
      <c r="S896" t="s">
        <v>988</v>
      </c>
    </row>
    <row r="897" spans="1:19" hidden="1" x14ac:dyDescent="0.3">
      <c r="A897">
        <v>2174</v>
      </c>
      <c r="B897" t="s">
        <v>1920</v>
      </c>
      <c r="C897" t="s">
        <v>2877</v>
      </c>
      <c r="D897" t="s">
        <v>159</v>
      </c>
      <c r="E897" t="s">
        <v>159</v>
      </c>
      <c r="F897">
        <v>7800</v>
      </c>
      <c r="G897" t="s">
        <v>2679</v>
      </c>
      <c r="H897" t="s">
        <v>3654</v>
      </c>
      <c r="I897">
        <v>4776</v>
      </c>
      <c r="J897" t="s">
        <v>2460</v>
      </c>
      <c r="K897">
        <v>5456</v>
      </c>
      <c r="L897" t="s">
        <v>2460</v>
      </c>
      <c r="M897">
        <v>6279</v>
      </c>
      <c r="N897" t="s">
        <v>2460</v>
      </c>
      <c r="O897">
        <v>7368</v>
      </c>
      <c r="P897" t="s">
        <v>2460</v>
      </c>
      <c r="Q897">
        <v>7413</v>
      </c>
      <c r="R897" t="s">
        <v>2460</v>
      </c>
      <c r="S897" t="s">
        <v>988</v>
      </c>
    </row>
    <row r="898" spans="1:19" hidden="1" x14ac:dyDescent="0.3">
      <c r="A898">
        <v>2174</v>
      </c>
      <c r="B898" t="s">
        <v>1920</v>
      </c>
      <c r="C898" t="s">
        <v>2877</v>
      </c>
      <c r="D898" t="s">
        <v>159</v>
      </c>
      <c r="E898" t="s">
        <v>159</v>
      </c>
      <c r="F898">
        <v>7800</v>
      </c>
      <c r="G898" t="s">
        <v>2681</v>
      </c>
      <c r="H898" t="s">
        <v>2460</v>
      </c>
      <c r="I898">
        <v>2105</v>
      </c>
      <c r="J898" t="s">
        <v>2460</v>
      </c>
      <c r="K898">
        <v>3113</v>
      </c>
      <c r="L898" t="s">
        <v>2460</v>
      </c>
      <c r="M898">
        <v>4923</v>
      </c>
      <c r="N898" t="s">
        <v>2460</v>
      </c>
      <c r="O898">
        <v>8058</v>
      </c>
      <c r="P898" t="s">
        <v>2460</v>
      </c>
      <c r="Q898">
        <v>8339</v>
      </c>
      <c r="R898" t="s">
        <v>2460</v>
      </c>
      <c r="S898" t="s">
        <v>988</v>
      </c>
    </row>
    <row r="899" spans="1:19" hidden="1" x14ac:dyDescent="0.3">
      <c r="A899">
        <v>2175</v>
      </c>
      <c r="B899" t="s">
        <v>1921</v>
      </c>
      <c r="C899" t="s">
        <v>2877</v>
      </c>
      <c r="D899" t="s">
        <v>159</v>
      </c>
      <c r="E899" t="s">
        <v>159</v>
      </c>
      <c r="F899">
        <v>5725</v>
      </c>
      <c r="G899" t="s">
        <v>2683</v>
      </c>
      <c r="H899" t="s">
        <v>2460</v>
      </c>
      <c r="I899">
        <v>76798.918446249998</v>
      </c>
      <c r="J899" t="s">
        <v>2460</v>
      </c>
      <c r="K899">
        <v>76712.989586449999</v>
      </c>
      <c r="L899" t="s">
        <v>2460</v>
      </c>
      <c r="M899">
        <v>77041.360586399998</v>
      </c>
      <c r="N899" t="s">
        <v>2460</v>
      </c>
      <c r="O899">
        <v>78023.404698400002</v>
      </c>
      <c r="P899" t="s">
        <v>2460</v>
      </c>
      <c r="Q899">
        <v>78876.5555207</v>
      </c>
      <c r="R899" t="s">
        <v>2460</v>
      </c>
      <c r="S899" t="s">
        <v>988</v>
      </c>
    </row>
    <row r="900" spans="1:19" hidden="1" x14ac:dyDescent="0.3">
      <c r="A900">
        <v>2175</v>
      </c>
      <c r="B900" t="s">
        <v>1921</v>
      </c>
      <c r="C900" t="s">
        <v>2877</v>
      </c>
      <c r="D900" t="s">
        <v>159</v>
      </c>
      <c r="E900" t="s">
        <v>159</v>
      </c>
      <c r="F900">
        <v>5725</v>
      </c>
      <c r="G900" t="s">
        <v>2679</v>
      </c>
      <c r="H900" t="s">
        <v>2460</v>
      </c>
      <c r="I900">
        <v>2731.3101864999999</v>
      </c>
      <c r="J900" t="s">
        <v>2460</v>
      </c>
      <c r="K900">
        <v>3099.5767285000002</v>
      </c>
      <c r="L900" t="s">
        <v>2460</v>
      </c>
      <c r="M900">
        <v>3648.9076536500002</v>
      </c>
      <c r="N900" t="s">
        <v>2460</v>
      </c>
      <c r="O900">
        <v>3661.1832050500002</v>
      </c>
      <c r="P900" t="s">
        <v>2460</v>
      </c>
      <c r="Q900">
        <v>3648.9076536500002</v>
      </c>
      <c r="R900" t="s">
        <v>2460</v>
      </c>
      <c r="S900" t="s">
        <v>988</v>
      </c>
    </row>
    <row r="901" spans="1:19" hidden="1" x14ac:dyDescent="0.3">
      <c r="A901">
        <v>2175</v>
      </c>
      <c r="B901" t="s">
        <v>1921</v>
      </c>
      <c r="C901" t="s">
        <v>2877</v>
      </c>
      <c r="D901" t="s">
        <v>159</v>
      </c>
      <c r="E901" t="s">
        <v>159</v>
      </c>
      <c r="F901">
        <v>5725</v>
      </c>
      <c r="G901" t="s">
        <v>2691</v>
      </c>
      <c r="H901" t="s">
        <v>1210</v>
      </c>
      <c r="I901">
        <v>21.482214949999999</v>
      </c>
      <c r="J901" t="s">
        <v>2460</v>
      </c>
      <c r="K901">
        <v>21.482214949999999</v>
      </c>
      <c r="L901" t="s">
        <v>2460</v>
      </c>
      <c r="M901">
        <v>21.482214949999999</v>
      </c>
      <c r="N901" t="s">
        <v>2460</v>
      </c>
      <c r="O901">
        <v>21.482214949999999</v>
      </c>
      <c r="P901" t="s">
        <v>2460</v>
      </c>
      <c r="Q901">
        <v>21.482214949999999</v>
      </c>
      <c r="R901" t="s">
        <v>2460</v>
      </c>
      <c r="S901" t="s">
        <v>988</v>
      </c>
    </row>
    <row r="902" spans="1:19" hidden="1" x14ac:dyDescent="0.3">
      <c r="A902">
        <v>2175</v>
      </c>
      <c r="B902" t="s">
        <v>1921</v>
      </c>
      <c r="C902" t="s">
        <v>2877</v>
      </c>
      <c r="D902" t="s">
        <v>159</v>
      </c>
      <c r="E902" t="s">
        <v>159</v>
      </c>
      <c r="F902">
        <v>5725</v>
      </c>
      <c r="G902" t="s">
        <v>2691</v>
      </c>
      <c r="H902" t="s">
        <v>2269</v>
      </c>
      <c r="I902">
        <v>7472.7419147500004</v>
      </c>
      <c r="J902" t="s">
        <v>2460</v>
      </c>
      <c r="K902">
        <v>7472.7419147500004</v>
      </c>
      <c r="L902" t="s">
        <v>2460</v>
      </c>
      <c r="M902">
        <v>7472.7419147500004</v>
      </c>
      <c r="N902" t="s">
        <v>2460</v>
      </c>
      <c r="O902">
        <v>7472.7419147500004</v>
      </c>
      <c r="P902" t="s">
        <v>2460</v>
      </c>
      <c r="Q902">
        <v>7472.7419147500004</v>
      </c>
      <c r="R902" t="s">
        <v>2460</v>
      </c>
      <c r="S902" t="s">
        <v>988</v>
      </c>
    </row>
    <row r="903" spans="1:19" hidden="1" x14ac:dyDescent="0.3">
      <c r="A903">
        <v>2175</v>
      </c>
      <c r="B903" t="s">
        <v>1921</v>
      </c>
      <c r="C903" t="s">
        <v>2877</v>
      </c>
      <c r="D903" t="s">
        <v>159</v>
      </c>
      <c r="E903" t="s">
        <v>159</v>
      </c>
      <c r="F903">
        <v>5725</v>
      </c>
      <c r="G903" t="s">
        <v>2681</v>
      </c>
      <c r="H903" t="s">
        <v>2460</v>
      </c>
      <c r="I903">
        <v>48623.459095400001</v>
      </c>
      <c r="J903" t="s">
        <v>2460</v>
      </c>
      <c r="K903">
        <v>48568.2191141</v>
      </c>
      <c r="L903" t="s">
        <v>2460</v>
      </c>
      <c r="M903">
        <v>48776.903487900003</v>
      </c>
      <c r="N903" t="s">
        <v>2460</v>
      </c>
      <c r="O903">
        <v>49399.887721450003</v>
      </c>
      <c r="P903" t="s">
        <v>2460</v>
      </c>
      <c r="Q903">
        <v>49936.943095199997</v>
      </c>
      <c r="R903" t="s">
        <v>2460</v>
      </c>
      <c r="S903" t="s">
        <v>988</v>
      </c>
    </row>
    <row r="904" spans="1:19" hidden="1" x14ac:dyDescent="0.3">
      <c r="A904">
        <v>2179</v>
      </c>
      <c r="B904" t="s">
        <v>774</v>
      </c>
      <c r="C904" t="s">
        <v>2877</v>
      </c>
      <c r="D904" t="s">
        <v>1203</v>
      </c>
      <c r="E904" t="s">
        <v>1204</v>
      </c>
      <c r="F904">
        <v>5657</v>
      </c>
      <c r="G904" t="s">
        <v>687</v>
      </c>
      <c r="H904" t="s">
        <v>3655</v>
      </c>
      <c r="I904">
        <v>11300</v>
      </c>
      <c r="J904" t="s">
        <v>2460</v>
      </c>
      <c r="K904">
        <v>11400</v>
      </c>
      <c r="L904" t="s">
        <v>2460</v>
      </c>
      <c r="M904">
        <v>11300</v>
      </c>
      <c r="N904" t="s">
        <v>2460</v>
      </c>
      <c r="O904">
        <v>11400</v>
      </c>
      <c r="P904" t="s">
        <v>2460</v>
      </c>
      <c r="Q904">
        <v>11500</v>
      </c>
      <c r="R904" t="s">
        <v>2460</v>
      </c>
      <c r="S904" t="s">
        <v>988</v>
      </c>
    </row>
    <row r="905" spans="1:19" hidden="1" x14ac:dyDescent="0.3">
      <c r="A905">
        <v>2180</v>
      </c>
      <c r="B905" t="s">
        <v>1927</v>
      </c>
      <c r="C905" t="s">
        <v>2877</v>
      </c>
      <c r="D905" t="s">
        <v>1203</v>
      </c>
      <c r="E905" t="s">
        <v>1204</v>
      </c>
      <c r="F905">
        <v>5535</v>
      </c>
      <c r="G905" t="s">
        <v>2681</v>
      </c>
      <c r="H905" t="s">
        <v>2460</v>
      </c>
      <c r="I905">
        <v>928</v>
      </c>
      <c r="J905" t="s">
        <v>2460</v>
      </c>
      <c r="K905">
        <v>928</v>
      </c>
      <c r="L905" t="s">
        <v>2460</v>
      </c>
      <c r="M905">
        <v>928</v>
      </c>
      <c r="N905" t="s">
        <v>2460</v>
      </c>
      <c r="O905">
        <v>928</v>
      </c>
      <c r="P905" t="s">
        <v>2460</v>
      </c>
      <c r="Q905">
        <v>928</v>
      </c>
      <c r="R905" t="s">
        <v>2460</v>
      </c>
      <c r="S905" t="s">
        <v>988</v>
      </c>
    </row>
    <row r="906" spans="1:19" hidden="1" x14ac:dyDescent="0.3">
      <c r="A906">
        <v>2180</v>
      </c>
      <c r="B906" t="s">
        <v>1927</v>
      </c>
      <c r="C906" t="s">
        <v>2877</v>
      </c>
      <c r="D906" t="s">
        <v>1203</v>
      </c>
      <c r="E906" t="s">
        <v>1204</v>
      </c>
      <c r="F906">
        <v>5535</v>
      </c>
      <c r="G906" t="s">
        <v>2691</v>
      </c>
      <c r="H906" t="s">
        <v>2460</v>
      </c>
      <c r="I906">
        <v>1282</v>
      </c>
      <c r="J906" t="s">
        <v>2460</v>
      </c>
      <c r="K906">
        <v>1299</v>
      </c>
      <c r="L906" t="s">
        <v>2460</v>
      </c>
      <c r="M906">
        <v>1316</v>
      </c>
      <c r="N906" t="s">
        <v>2460</v>
      </c>
      <c r="O906">
        <v>1333</v>
      </c>
      <c r="P906" t="s">
        <v>2460</v>
      </c>
      <c r="Q906">
        <v>1350</v>
      </c>
      <c r="R906" t="s">
        <v>2460</v>
      </c>
      <c r="S906" t="s">
        <v>988</v>
      </c>
    </row>
    <row r="907" spans="1:19" hidden="1" x14ac:dyDescent="0.3">
      <c r="A907">
        <v>2180</v>
      </c>
      <c r="B907" t="s">
        <v>1927</v>
      </c>
      <c r="C907" t="s">
        <v>2877</v>
      </c>
      <c r="D907" t="s">
        <v>1203</v>
      </c>
      <c r="E907" t="s">
        <v>1204</v>
      </c>
      <c r="F907">
        <v>5535</v>
      </c>
      <c r="G907" t="s">
        <v>2679</v>
      </c>
      <c r="H907" t="s">
        <v>2460</v>
      </c>
      <c r="I907">
        <v>48</v>
      </c>
      <c r="J907" t="s">
        <v>2460</v>
      </c>
      <c r="K907">
        <v>48</v>
      </c>
      <c r="L907" t="s">
        <v>2460</v>
      </c>
      <c r="M907">
        <v>48</v>
      </c>
      <c r="N907" t="s">
        <v>2460</v>
      </c>
      <c r="O907">
        <v>48</v>
      </c>
      <c r="P907" t="s">
        <v>2460</v>
      </c>
      <c r="Q907">
        <v>48</v>
      </c>
      <c r="R907" t="s">
        <v>2460</v>
      </c>
      <c r="S907" t="s">
        <v>988</v>
      </c>
    </row>
    <row r="908" spans="1:19" hidden="1" x14ac:dyDescent="0.3">
      <c r="A908">
        <v>2182</v>
      </c>
      <c r="B908" t="s">
        <v>1929</v>
      </c>
      <c r="C908" t="s">
        <v>2877</v>
      </c>
      <c r="D908" t="s">
        <v>159</v>
      </c>
      <c r="E908" t="s">
        <v>159</v>
      </c>
      <c r="F908">
        <v>6091</v>
      </c>
      <c r="G908" t="s">
        <v>2691</v>
      </c>
      <c r="H908" t="s">
        <v>3656</v>
      </c>
      <c r="I908">
        <v>5482</v>
      </c>
      <c r="J908" t="s">
        <v>2460</v>
      </c>
      <c r="K908">
        <v>5482</v>
      </c>
      <c r="L908" t="s">
        <v>2460</v>
      </c>
      <c r="M908">
        <v>5482</v>
      </c>
      <c r="N908" t="s">
        <v>2460</v>
      </c>
      <c r="O908">
        <v>5482</v>
      </c>
      <c r="P908" t="s">
        <v>2460</v>
      </c>
      <c r="R908" t="s">
        <v>2460</v>
      </c>
      <c r="S908" t="s">
        <v>988</v>
      </c>
    </row>
    <row r="909" spans="1:19" hidden="1" x14ac:dyDescent="0.3">
      <c r="A909">
        <v>2182</v>
      </c>
      <c r="B909" t="s">
        <v>1929</v>
      </c>
      <c r="C909" t="s">
        <v>2877</v>
      </c>
      <c r="D909" t="s">
        <v>159</v>
      </c>
      <c r="E909" t="s">
        <v>159</v>
      </c>
      <c r="F909">
        <v>6091</v>
      </c>
      <c r="G909" t="s">
        <v>2691</v>
      </c>
      <c r="H909" t="s">
        <v>3657</v>
      </c>
      <c r="I909">
        <v>4410</v>
      </c>
      <c r="J909" t="s">
        <v>2460</v>
      </c>
      <c r="K909">
        <v>4410</v>
      </c>
      <c r="L909" t="s">
        <v>2460</v>
      </c>
      <c r="M909">
        <v>4410</v>
      </c>
      <c r="N909" t="s">
        <v>2460</v>
      </c>
      <c r="O909">
        <v>4410</v>
      </c>
      <c r="P909" t="s">
        <v>2460</v>
      </c>
      <c r="R909" t="s">
        <v>2460</v>
      </c>
      <c r="S909" t="s">
        <v>988</v>
      </c>
    </row>
    <row r="910" spans="1:19" hidden="1" x14ac:dyDescent="0.3">
      <c r="A910">
        <v>2182</v>
      </c>
      <c r="B910" t="s">
        <v>1929</v>
      </c>
      <c r="C910" t="s">
        <v>2877</v>
      </c>
      <c r="D910" t="s">
        <v>159</v>
      </c>
      <c r="E910" t="s">
        <v>159</v>
      </c>
      <c r="F910">
        <v>6091</v>
      </c>
      <c r="G910" t="s">
        <v>2679</v>
      </c>
      <c r="H910" t="s">
        <v>3658</v>
      </c>
      <c r="I910">
        <v>445</v>
      </c>
      <c r="J910" t="s">
        <v>2460</v>
      </c>
      <c r="K910">
        <v>645</v>
      </c>
      <c r="L910" t="s">
        <v>2460</v>
      </c>
      <c r="M910">
        <v>695</v>
      </c>
      <c r="N910" t="s">
        <v>2460</v>
      </c>
      <c r="O910">
        <v>745</v>
      </c>
      <c r="P910" t="s">
        <v>2460</v>
      </c>
      <c r="R910" t="s">
        <v>2460</v>
      </c>
      <c r="S910" t="s">
        <v>988</v>
      </c>
    </row>
    <row r="911" spans="1:19" hidden="1" x14ac:dyDescent="0.3">
      <c r="A911">
        <v>2205</v>
      </c>
      <c r="B911" t="s">
        <v>1931</v>
      </c>
      <c r="C911" t="s">
        <v>2877</v>
      </c>
      <c r="D911" t="s">
        <v>1203</v>
      </c>
      <c r="E911" t="s">
        <v>1204</v>
      </c>
      <c r="F911">
        <v>7516</v>
      </c>
      <c r="G911" t="s">
        <v>2681</v>
      </c>
      <c r="H911" t="s">
        <v>2460</v>
      </c>
      <c r="I911">
        <v>6840.5510176500002</v>
      </c>
      <c r="J911" t="s">
        <v>3659</v>
      </c>
      <c r="K911">
        <v>7396.0197184999997</v>
      </c>
      <c r="L911" t="s">
        <v>3659</v>
      </c>
      <c r="M911">
        <v>8000.5906249500003</v>
      </c>
      <c r="N911" t="s">
        <v>3659</v>
      </c>
      <c r="O911">
        <v>8657.3326248499998</v>
      </c>
      <c r="P911" t="s">
        <v>3659</v>
      </c>
      <c r="Q911">
        <v>9375.4523817499994</v>
      </c>
      <c r="R911" t="s">
        <v>3659</v>
      </c>
      <c r="S911" t="s">
        <v>988</v>
      </c>
    </row>
    <row r="912" spans="1:19" hidden="1" x14ac:dyDescent="0.3">
      <c r="A912">
        <v>2205</v>
      </c>
      <c r="B912" t="s">
        <v>1931</v>
      </c>
      <c r="C912" t="s">
        <v>2877</v>
      </c>
      <c r="D912" t="s">
        <v>1203</v>
      </c>
      <c r="E912" t="s">
        <v>1204</v>
      </c>
      <c r="F912">
        <v>7516</v>
      </c>
      <c r="G912" t="s">
        <v>2679</v>
      </c>
      <c r="H912" t="s">
        <v>2460</v>
      </c>
      <c r="I912">
        <v>954.42412134999995</v>
      </c>
      <c r="J912" t="s">
        <v>3660</v>
      </c>
      <c r="K912">
        <v>954.42412134999995</v>
      </c>
      <c r="L912" t="s">
        <v>3660</v>
      </c>
      <c r="M912">
        <v>954.42412134999995</v>
      </c>
      <c r="N912" t="s">
        <v>3660</v>
      </c>
      <c r="O912">
        <v>954.42412134999995</v>
      </c>
      <c r="P912" t="s">
        <v>3660</v>
      </c>
      <c r="Q912">
        <v>954.42412134999995</v>
      </c>
      <c r="R912" t="s">
        <v>3660</v>
      </c>
      <c r="S912" t="s">
        <v>988</v>
      </c>
    </row>
    <row r="913" spans="1:19" hidden="1" x14ac:dyDescent="0.3">
      <c r="A913">
        <v>2207</v>
      </c>
      <c r="B913" t="s">
        <v>1936</v>
      </c>
      <c r="C913" t="s">
        <v>2877</v>
      </c>
      <c r="D913" t="s">
        <v>159</v>
      </c>
      <c r="E913" t="s">
        <v>159</v>
      </c>
      <c r="F913">
        <v>7855</v>
      </c>
      <c r="G913" t="s">
        <v>2679</v>
      </c>
      <c r="H913" t="s">
        <v>3256</v>
      </c>
      <c r="I913">
        <v>249</v>
      </c>
      <c r="J913" t="s">
        <v>2460</v>
      </c>
      <c r="K913">
        <v>249</v>
      </c>
      <c r="L913" t="s">
        <v>2460</v>
      </c>
      <c r="M913">
        <v>249</v>
      </c>
      <c r="N913" t="s">
        <v>2460</v>
      </c>
      <c r="O913">
        <v>249</v>
      </c>
      <c r="P913" t="s">
        <v>2460</v>
      </c>
      <c r="Q913">
        <v>249</v>
      </c>
      <c r="R913" t="s">
        <v>2460</v>
      </c>
      <c r="S913" t="s">
        <v>988</v>
      </c>
    </row>
    <row r="914" spans="1:19" hidden="1" x14ac:dyDescent="0.3">
      <c r="A914">
        <v>2207</v>
      </c>
      <c r="B914" t="s">
        <v>1936</v>
      </c>
      <c r="C914" t="s">
        <v>2877</v>
      </c>
      <c r="D914" t="s">
        <v>159</v>
      </c>
      <c r="E914" t="s">
        <v>159</v>
      </c>
      <c r="F914">
        <v>7855</v>
      </c>
      <c r="G914" t="s">
        <v>2683</v>
      </c>
      <c r="H914" t="s">
        <v>3261</v>
      </c>
      <c r="I914">
        <v>5045</v>
      </c>
      <c r="J914" t="s">
        <v>2460</v>
      </c>
      <c r="K914">
        <v>5122</v>
      </c>
      <c r="L914" t="s">
        <v>2460</v>
      </c>
      <c r="M914">
        <v>5082</v>
      </c>
      <c r="N914" t="s">
        <v>2460</v>
      </c>
      <c r="O914">
        <v>5038</v>
      </c>
      <c r="P914" t="s">
        <v>2460</v>
      </c>
      <c r="Q914">
        <v>5037</v>
      </c>
      <c r="R914" t="s">
        <v>2460</v>
      </c>
      <c r="S914" t="s">
        <v>988</v>
      </c>
    </row>
    <row r="915" spans="1:19" hidden="1" x14ac:dyDescent="0.3">
      <c r="A915">
        <v>2207</v>
      </c>
      <c r="B915" t="s">
        <v>1936</v>
      </c>
      <c r="C915" t="s">
        <v>2877</v>
      </c>
      <c r="D915" t="s">
        <v>159</v>
      </c>
      <c r="E915" t="s">
        <v>159</v>
      </c>
      <c r="F915">
        <v>7855</v>
      </c>
      <c r="G915" t="s">
        <v>2681</v>
      </c>
      <c r="H915" t="s">
        <v>2893</v>
      </c>
      <c r="I915">
        <v>28588</v>
      </c>
      <c r="J915" t="s">
        <v>2460</v>
      </c>
      <c r="K915">
        <v>29024</v>
      </c>
      <c r="L915" t="s">
        <v>2460</v>
      </c>
      <c r="M915">
        <v>28799</v>
      </c>
      <c r="N915" t="s">
        <v>2460</v>
      </c>
      <c r="O915">
        <v>28551</v>
      </c>
      <c r="P915" t="s">
        <v>2460</v>
      </c>
      <c r="Q915">
        <v>28541</v>
      </c>
      <c r="R915" t="s">
        <v>2460</v>
      </c>
      <c r="S915" t="s">
        <v>988</v>
      </c>
    </row>
    <row r="916" spans="1:19" hidden="1" x14ac:dyDescent="0.3">
      <c r="A916">
        <v>2209</v>
      </c>
      <c r="B916" t="s">
        <v>1938</v>
      </c>
      <c r="C916" t="s">
        <v>2877</v>
      </c>
      <c r="D916" t="s">
        <v>1203</v>
      </c>
      <c r="E916" t="s">
        <v>1204</v>
      </c>
      <c r="F916">
        <v>5793</v>
      </c>
      <c r="G916" t="s">
        <v>2691</v>
      </c>
      <c r="H916" t="s">
        <v>3127</v>
      </c>
      <c r="I916">
        <v>8277</v>
      </c>
      <c r="J916" t="s">
        <v>2460</v>
      </c>
      <c r="K916">
        <v>8277</v>
      </c>
      <c r="L916" t="s">
        <v>2460</v>
      </c>
      <c r="M916">
        <v>8277</v>
      </c>
      <c r="N916" t="s">
        <v>2460</v>
      </c>
      <c r="O916">
        <v>8277</v>
      </c>
      <c r="P916" t="s">
        <v>2460</v>
      </c>
      <c r="Q916">
        <v>8277</v>
      </c>
      <c r="R916" t="s">
        <v>2460</v>
      </c>
      <c r="S916" t="s">
        <v>988</v>
      </c>
    </row>
    <row r="917" spans="1:19" hidden="1" x14ac:dyDescent="0.3">
      <c r="A917">
        <v>2209</v>
      </c>
      <c r="B917" t="s">
        <v>1938</v>
      </c>
      <c r="C917" t="s">
        <v>2877</v>
      </c>
      <c r="D917" t="s">
        <v>1203</v>
      </c>
      <c r="E917" t="s">
        <v>1204</v>
      </c>
      <c r="F917">
        <v>5793</v>
      </c>
      <c r="G917" t="s">
        <v>2681</v>
      </c>
      <c r="H917" t="s">
        <v>3661</v>
      </c>
      <c r="I917">
        <v>1250</v>
      </c>
      <c r="J917" t="s">
        <v>2460</v>
      </c>
      <c r="K917">
        <v>1250</v>
      </c>
      <c r="L917" t="s">
        <v>2460</v>
      </c>
      <c r="M917">
        <v>1250</v>
      </c>
      <c r="N917" t="s">
        <v>2460</v>
      </c>
      <c r="O917">
        <v>1250</v>
      </c>
      <c r="P917" t="s">
        <v>2460</v>
      </c>
      <c r="Q917">
        <v>1250</v>
      </c>
      <c r="R917" t="s">
        <v>2460</v>
      </c>
      <c r="S917" t="s">
        <v>988</v>
      </c>
    </row>
    <row r="918" spans="1:19" hidden="1" x14ac:dyDescent="0.3">
      <c r="A918">
        <v>2209</v>
      </c>
      <c r="B918" t="s">
        <v>1938</v>
      </c>
      <c r="C918" t="s">
        <v>2877</v>
      </c>
      <c r="D918" t="s">
        <v>1203</v>
      </c>
      <c r="E918" t="s">
        <v>1204</v>
      </c>
      <c r="F918">
        <v>5793</v>
      </c>
      <c r="G918" t="s">
        <v>2683</v>
      </c>
      <c r="H918" t="s">
        <v>3662</v>
      </c>
      <c r="I918">
        <v>1865</v>
      </c>
      <c r="J918" t="s">
        <v>2460</v>
      </c>
      <c r="K918">
        <v>1815</v>
      </c>
      <c r="L918" t="s">
        <v>2460</v>
      </c>
      <c r="M918">
        <v>1766</v>
      </c>
      <c r="N918" t="s">
        <v>2460</v>
      </c>
      <c r="O918">
        <v>1716</v>
      </c>
      <c r="P918" t="s">
        <v>2460</v>
      </c>
      <c r="Q918">
        <v>1716</v>
      </c>
      <c r="R918" t="s">
        <v>2460</v>
      </c>
      <c r="S918" t="s">
        <v>988</v>
      </c>
    </row>
    <row r="919" spans="1:19" hidden="1" x14ac:dyDescent="0.3">
      <c r="A919">
        <v>2209</v>
      </c>
      <c r="B919" t="s">
        <v>1938</v>
      </c>
      <c r="C919" t="s">
        <v>2877</v>
      </c>
      <c r="D919" t="s">
        <v>1203</v>
      </c>
      <c r="E919" t="s">
        <v>1204</v>
      </c>
      <c r="F919">
        <v>5793</v>
      </c>
      <c r="G919" t="s">
        <v>687</v>
      </c>
      <c r="H919" t="s">
        <v>3663</v>
      </c>
      <c r="I919">
        <v>1210</v>
      </c>
      <c r="J919" t="s">
        <v>2460</v>
      </c>
      <c r="K919">
        <v>1210</v>
      </c>
      <c r="L919" t="s">
        <v>2460</v>
      </c>
      <c r="M919">
        <v>1210</v>
      </c>
      <c r="N919" t="s">
        <v>2460</v>
      </c>
      <c r="O919">
        <v>1210</v>
      </c>
      <c r="P919" t="s">
        <v>2460</v>
      </c>
      <c r="Q919">
        <v>1210</v>
      </c>
      <c r="R919" t="s">
        <v>2460</v>
      </c>
      <c r="S919" t="s">
        <v>988</v>
      </c>
    </row>
    <row r="920" spans="1:19" hidden="1" x14ac:dyDescent="0.3">
      <c r="A920">
        <v>2209</v>
      </c>
      <c r="B920" t="s">
        <v>1938</v>
      </c>
      <c r="C920" t="s">
        <v>2877</v>
      </c>
      <c r="D920" t="s">
        <v>1203</v>
      </c>
      <c r="E920" t="s">
        <v>1204</v>
      </c>
      <c r="F920">
        <v>5793</v>
      </c>
      <c r="G920" t="s">
        <v>2691</v>
      </c>
      <c r="H920" t="s">
        <v>3664</v>
      </c>
      <c r="I920">
        <v>3510</v>
      </c>
      <c r="J920" t="s">
        <v>2460</v>
      </c>
      <c r="K920">
        <v>3510</v>
      </c>
      <c r="L920" t="s">
        <v>2460</v>
      </c>
      <c r="M920">
        <v>3510</v>
      </c>
      <c r="N920" t="s">
        <v>2460</v>
      </c>
      <c r="O920">
        <v>3510</v>
      </c>
      <c r="P920" t="s">
        <v>2460</v>
      </c>
      <c r="Q920">
        <v>3510</v>
      </c>
      <c r="R920" t="s">
        <v>2460</v>
      </c>
      <c r="S920" t="s">
        <v>988</v>
      </c>
    </row>
    <row r="921" spans="1:19" hidden="1" x14ac:dyDescent="0.3">
      <c r="A921">
        <v>2209</v>
      </c>
      <c r="B921" t="s">
        <v>1938</v>
      </c>
      <c r="C921" t="s">
        <v>2877</v>
      </c>
      <c r="D921" t="s">
        <v>1203</v>
      </c>
      <c r="E921" t="s">
        <v>1204</v>
      </c>
      <c r="F921">
        <v>5793</v>
      </c>
      <c r="G921" t="s">
        <v>2689</v>
      </c>
      <c r="H921" t="s">
        <v>3665</v>
      </c>
      <c r="I921">
        <v>3125</v>
      </c>
      <c r="J921" t="s">
        <v>2460</v>
      </c>
      <c r="K921">
        <v>5000</v>
      </c>
      <c r="L921" t="s">
        <v>2460</v>
      </c>
      <c r="M921">
        <v>5000</v>
      </c>
      <c r="N921" t="s">
        <v>2460</v>
      </c>
      <c r="O921">
        <v>5000</v>
      </c>
      <c r="P921" t="s">
        <v>2460</v>
      </c>
      <c r="Q921">
        <v>5000</v>
      </c>
      <c r="R921" t="s">
        <v>2460</v>
      </c>
      <c r="S921" t="s">
        <v>988</v>
      </c>
    </row>
    <row r="922" spans="1:19" hidden="1" x14ac:dyDescent="0.3">
      <c r="A922">
        <v>2209</v>
      </c>
      <c r="B922" t="s">
        <v>1938</v>
      </c>
      <c r="C922" t="s">
        <v>2877</v>
      </c>
      <c r="D922" t="s">
        <v>1203</v>
      </c>
      <c r="E922" t="s">
        <v>1204</v>
      </c>
      <c r="F922">
        <v>5793</v>
      </c>
      <c r="G922" t="s">
        <v>784</v>
      </c>
      <c r="H922" t="s">
        <v>3666</v>
      </c>
      <c r="I922">
        <v>300</v>
      </c>
      <c r="J922" t="s">
        <v>2460</v>
      </c>
      <c r="K922">
        <v>300</v>
      </c>
      <c r="L922" t="s">
        <v>2460</v>
      </c>
      <c r="M922">
        <v>300</v>
      </c>
      <c r="N922" t="s">
        <v>2460</v>
      </c>
      <c r="O922">
        <v>300</v>
      </c>
      <c r="P922" t="s">
        <v>2460</v>
      </c>
      <c r="Q922">
        <v>300</v>
      </c>
      <c r="R922" t="s">
        <v>2460</v>
      </c>
      <c r="S922" t="s">
        <v>988</v>
      </c>
    </row>
    <row r="923" spans="1:19" hidden="1" x14ac:dyDescent="0.3">
      <c r="A923">
        <v>2209</v>
      </c>
      <c r="B923" t="s">
        <v>1938</v>
      </c>
      <c r="C923" t="s">
        <v>2877</v>
      </c>
      <c r="D923" t="s">
        <v>1203</v>
      </c>
      <c r="E923" t="s">
        <v>1204</v>
      </c>
      <c r="F923">
        <v>5793</v>
      </c>
      <c r="G923" t="s">
        <v>2681</v>
      </c>
      <c r="H923" t="s">
        <v>3667</v>
      </c>
      <c r="I923">
        <v>0</v>
      </c>
      <c r="J923" t="s">
        <v>2460</v>
      </c>
      <c r="K923">
        <v>0</v>
      </c>
      <c r="L923" t="s">
        <v>2460</v>
      </c>
      <c r="M923">
        <v>0</v>
      </c>
      <c r="N923" t="s">
        <v>2460</v>
      </c>
      <c r="O923">
        <v>0</v>
      </c>
      <c r="P923" t="s">
        <v>2460</v>
      </c>
      <c r="Q923">
        <v>0</v>
      </c>
      <c r="R923" t="s">
        <v>2460</v>
      </c>
      <c r="S923" t="s">
        <v>988</v>
      </c>
    </row>
    <row r="924" spans="1:19" hidden="1" x14ac:dyDescent="0.3">
      <c r="A924">
        <v>2209</v>
      </c>
      <c r="B924" t="s">
        <v>1938</v>
      </c>
      <c r="C924" t="s">
        <v>2877</v>
      </c>
      <c r="D924" t="s">
        <v>1203</v>
      </c>
      <c r="E924" t="s">
        <v>1204</v>
      </c>
      <c r="F924">
        <v>5793</v>
      </c>
      <c r="G924" t="s">
        <v>2679</v>
      </c>
      <c r="H924" t="s">
        <v>1875</v>
      </c>
      <c r="I924">
        <v>1221</v>
      </c>
      <c r="J924" t="s">
        <v>2460</v>
      </c>
      <c r="K924">
        <v>1221</v>
      </c>
      <c r="L924" t="s">
        <v>2460</v>
      </c>
      <c r="M924">
        <v>1221</v>
      </c>
      <c r="N924" t="s">
        <v>2460</v>
      </c>
      <c r="O924">
        <v>1221</v>
      </c>
      <c r="P924" t="s">
        <v>2460</v>
      </c>
      <c r="Q924">
        <v>1221</v>
      </c>
      <c r="R924" t="s">
        <v>2460</v>
      </c>
      <c r="S924" t="s">
        <v>988</v>
      </c>
    </row>
    <row r="925" spans="1:19" hidden="1" x14ac:dyDescent="0.3">
      <c r="A925">
        <v>2210</v>
      </c>
      <c r="B925" t="s">
        <v>1940</v>
      </c>
      <c r="C925" t="s">
        <v>2877</v>
      </c>
      <c r="D925" t="s">
        <v>1203</v>
      </c>
      <c r="E925" t="s">
        <v>1204</v>
      </c>
      <c r="F925">
        <v>5756</v>
      </c>
      <c r="G925" t="s">
        <v>2679</v>
      </c>
      <c r="H925" t="s">
        <v>3654</v>
      </c>
      <c r="I925">
        <v>4570</v>
      </c>
      <c r="J925" t="s">
        <v>2460</v>
      </c>
      <c r="K925">
        <v>5489</v>
      </c>
      <c r="L925" t="s">
        <v>2460</v>
      </c>
      <c r="M925">
        <v>6586</v>
      </c>
      <c r="N925" t="s">
        <v>2460</v>
      </c>
      <c r="O925">
        <v>7908</v>
      </c>
      <c r="P925" t="s">
        <v>2460</v>
      </c>
      <c r="Q925">
        <v>9488</v>
      </c>
      <c r="R925" t="s">
        <v>2460</v>
      </c>
      <c r="S925" t="s">
        <v>988</v>
      </c>
    </row>
    <row r="926" spans="1:19" hidden="1" x14ac:dyDescent="0.3">
      <c r="A926">
        <v>2210</v>
      </c>
      <c r="B926" t="s">
        <v>1940</v>
      </c>
      <c r="C926" t="s">
        <v>2877</v>
      </c>
      <c r="D926" t="s">
        <v>1203</v>
      </c>
      <c r="E926" t="s">
        <v>1204</v>
      </c>
      <c r="F926">
        <v>5756</v>
      </c>
      <c r="G926" t="s">
        <v>2681</v>
      </c>
      <c r="H926" t="s">
        <v>3668</v>
      </c>
      <c r="I926">
        <v>23048</v>
      </c>
      <c r="J926" t="s">
        <v>2460</v>
      </c>
      <c r="K926">
        <v>23048</v>
      </c>
      <c r="L926" t="s">
        <v>2460</v>
      </c>
      <c r="M926">
        <v>23048</v>
      </c>
      <c r="N926" t="s">
        <v>2460</v>
      </c>
      <c r="O926">
        <v>23048</v>
      </c>
      <c r="P926" t="s">
        <v>2460</v>
      </c>
      <c r="Q926">
        <v>23048</v>
      </c>
      <c r="R926" t="s">
        <v>2460</v>
      </c>
      <c r="S926" t="s">
        <v>988</v>
      </c>
    </row>
    <row r="927" spans="1:19" hidden="1" x14ac:dyDescent="0.3">
      <c r="A927">
        <v>2210</v>
      </c>
      <c r="B927" t="s">
        <v>1940</v>
      </c>
      <c r="C927" t="s">
        <v>2877</v>
      </c>
      <c r="D927" t="s">
        <v>1203</v>
      </c>
      <c r="E927" t="s">
        <v>1204</v>
      </c>
      <c r="F927">
        <v>5756</v>
      </c>
      <c r="G927" t="s">
        <v>2683</v>
      </c>
      <c r="H927" t="s">
        <v>2508</v>
      </c>
      <c r="I927">
        <v>5041</v>
      </c>
      <c r="J927" t="s">
        <v>2460</v>
      </c>
      <c r="K927">
        <v>0</v>
      </c>
      <c r="L927" t="s">
        <v>2460</v>
      </c>
      <c r="M927">
        <v>0</v>
      </c>
      <c r="N927" t="s">
        <v>2460</v>
      </c>
      <c r="O927">
        <v>0</v>
      </c>
      <c r="P927" t="s">
        <v>2460</v>
      </c>
      <c r="Q927">
        <v>0</v>
      </c>
      <c r="R927" t="s">
        <v>2460</v>
      </c>
      <c r="S927" t="s">
        <v>988</v>
      </c>
    </row>
    <row r="928" spans="1:19" hidden="1" x14ac:dyDescent="0.3">
      <c r="A928">
        <v>2210</v>
      </c>
      <c r="B928" t="s">
        <v>1940</v>
      </c>
      <c r="C928" t="s">
        <v>2877</v>
      </c>
      <c r="D928" t="s">
        <v>1203</v>
      </c>
      <c r="E928" t="s">
        <v>1204</v>
      </c>
      <c r="F928">
        <v>5756</v>
      </c>
      <c r="G928" t="s">
        <v>2683</v>
      </c>
      <c r="H928" t="s">
        <v>3078</v>
      </c>
      <c r="I928">
        <v>4560</v>
      </c>
      <c r="J928" t="s">
        <v>2460</v>
      </c>
      <c r="K928">
        <v>4560</v>
      </c>
      <c r="L928" t="s">
        <v>2460</v>
      </c>
      <c r="M928">
        <v>4560</v>
      </c>
      <c r="N928" t="s">
        <v>2460</v>
      </c>
      <c r="O928">
        <v>4560</v>
      </c>
      <c r="P928" t="s">
        <v>2460</v>
      </c>
      <c r="Q928">
        <v>4560</v>
      </c>
      <c r="R928" t="s">
        <v>2460</v>
      </c>
      <c r="S928" t="s">
        <v>988</v>
      </c>
    </row>
    <row r="929" spans="1:19" hidden="1" x14ac:dyDescent="0.3">
      <c r="A929">
        <v>4993</v>
      </c>
      <c r="B929" t="s">
        <v>944</v>
      </c>
      <c r="C929" t="s">
        <v>2877</v>
      </c>
      <c r="D929" t="s">
        <v>1203</v>
      </c>
      <c r="E929" t="s">
        <v>1204</v>
      </c>
      <c r="F929">
        <v>5631</v>
      </c>
      <c r="G929" t="s">
        <v>2683</v>
      </c>
      <c r="H929" t="s">
        <v>3669</v>
      </c>
      <c r="I929">
        <v>1000</v>
      </c>
      <c r="J929" t="s">
        <v>2460</v>
      </c>
      <c r="K929">
        <v>0</v>
      </c>
      <c r="L929" t="s">
        <v>2460</v>
      </c>
      <c r="M929">
        <v>0</v>
      </c>
      <c r="N929" t="s">
        <v>2460</v>
      </c>
      <c r="O929">
        <v>0</v>
      </c>
      <c r="P929" t="s">
        <v>2460</v>
      </c>
      <c r="Q929">
        <v>0</v>
      </c>
      <c r="R929" t="s">
        <v>2460</v>
      </c>
      <c r="S929" t="s">
        <v>988</v>
      </c>
    </row>
    <row r="930" spans="1:19" hidden="1" x14ac:dyDescent="0.3">
      <c r="A930">
        <v>4993</v>
      </c>
      <c r="B930" t="s">
        <v>944</v>
      </c>
      <c r="C930" t="s">
        <v>2877</v>
      </c>
      <c r="D930" t="s">
        <v>1203</v>
      </c>
      <c r="E930" t="s">
        <v>1204</v>
      </c>
      <c r="F930">
        <v>5631</v>
      </c>
      <c r="G930" t="s">
        <v>2681</v>
      </c>
      <c r="H930" t="s">
        <v>3670</v>
      </c>
      <c r="I930">
        <v>8900</v>
      </c>
      <c r="J930" t="s">
        <v>2460</v>
      </c>
      <c r="K930">
        <v>8180</v>
      </c>
      <c r="L930" t="s">
        <v>2460</v>
      </c>
      <c r="M930">
        <v>7300</v>
      </c>
      <c r="N930" t="s">
        <v>2460</v>
      </c>
      <c r="O930">
        <v>7300</v>
      </c>
      <c r="P930" t="s">
        <v>2460</v>
      </c>
      <c r="Q930">
        <v>7300</v>
      </c>
      <c r="R930" t="s">
        <v>2460</v>
      </c>
      <c r="S930" t="s">
        <v>988</v>
      </c>
    </row>
    <row r="931" spans="1:19" hidden="1" x14ac:dyDescent="0.3">
      <c r="A931">
        <v>4993</v>
      </c>
      <c r="B931" t="s">
        <v>944</v>
      </c>
      <c r="C931" t="s">
        <v>2877</v>
      </c>
      <c r="D931" t="s">
        <v>1203</v>
      </c>
      <c r="E931" t="s">
        <v>1204</v>
      </c>
      <c r="F931">
        <v>5631</v>
      </c>
      <c r="G931" t="s">
        <v>2681</v>
      </c>
      <c r="H931" t="s">
        <v>3671</v>
      </c>
      <c r="I931">
        <v>14440</v>
      </c>
      <c r="J931" t="s">
        <v>2460</v>
      </c>
      <c r="K931">
        <v>7110</v>
      </c>
      <c r="L931" t="s">
        <v>2460</v>
      </c>
      <c r="M931">
        <v>7110</v>
      </c>
      <c r="N931" t="s">
        <v>2460</v>
      </c>
      <c r="O931">
        <v>7110</v>
      </c>
      <c r="P931" t="s">
        <v>2460</v>
      </c>
      <c r="Q931">
        <v>7110</v>
      </c>
      <c r="R931" t="s">
        <v>2460</v>
      </c>
      <c r="S931" t="s">
        <v>988</v>
      </c>
    </row>
    <row r="932" spans="1:19" hidden="1" x14ac:dyDescent="0.3">
      <c r="A932">
        <v>4993</v>
      </c>
      <c r="B932" t="s">
        <v>944</v>
      </c>
      <c r="C932" t="s">
        <v>2877</v>
      </c>
      <c r="D932" t="s">
        <v>1203</v>
      </c>
      <c r="E932" t="s">
        <v>1204</v>
      </c>
      <c r="F932">
        <v>5631</v>
      </c>
      <c r="G932" t="s">
        <v>2679</v>
      </c>
      <c r="H932" t="s">
        <v>3672</v>
      </c>
      <c r="I932">
        <v>450</v>
      </c>
      <c r="J932" t="s">
        <v>2460</v>
      </c>
      <c r="K932">
        <v>450</v>
      </c>
      <c r="L932" t="s">
        <v>2460</v>
      </c>
      <c r="M932">
        <v>450</v>
      </c>
      <c r="N932" t="s">
        <v>2460</v>
      </c>
      <c r="O932">
        <v>450</v>
      </c>
      <c r="P932" t="s">
        <v>2460</v>
      </c>
      <c r="Q932">
        <v>450</v>
      </c>
      <c r="R932" t="s">
        <v>2460</v>
      </c>
      <c r="S932" t="s">
        <v>988</v>
      </c>
    </row>
    <row r="933" spans="1:19" hidden="1" x14ac:dyDescent="0.3">
      <c r="A933">
        <v>4993</v>
      </c>
      <c r="B933" t="s">
        <v>944</v>
      </c>
      <c r="C933" t="s">
        <v>2877</v>
      </c>
      <c r="D933" t="s">
        <v>1203</v>
      </c>
      <c r="E933" t="s">
        <v>1204</v>
      </c>
      <c r="F933">
        <v>5631</v>
      </c>
      <c r="G933" t="s">
        <v>2683</v>
      </c>
      <c r="H933" t="s">
        <v>3128</v>
      </c>
      <c r="I933">
        <v>55220</v>
      </c>
      <c r="J933" t="s">
        <v>2460</v>
      </c>
      <c r="K933">
        <v>53310</v>
      </c>
      <c r="L933" t="s">
        <v>2460</v>
      </c>
      <c r="M933">
        <v>51410</v>
      </c>
      <c r="N933" t="s">
        <v>2460</v>
      </c>
      <c r="O933">
        <v>49500</v>
      </c>
      <c r="P933" t="s">
        <v>2460</v>
      </c>
      <c r="Q933">
        <v>49500</v>
      </c>
      <c r="R933" t="s">
        <v>2460</v>
      </c>
      <c r="S933" t="s">
        <v>988</v>
      </c>
    </row>
    <row r="934" spans="1:19" hidden="1" x14ac:dyDescent="0.3">
      <c r="A934">
        <v>4993</v>
      </c>
      <c r="B934" t="s">
        <v>944</v>
      </c>
      <c r="C934" t="s">
        <v>2877</v>
      </c>
      <c r="D934" t="s">
        <v>1203</v>
      </c>
      <c r="E934" t="s">
        <v>1204</v>
      </c>
      <c r="F934">
        <v>5631</v>
      </c>
      <c r="G934" t="s">
        <v>2683</v>
      </c>
      <c r="H934" t="s">
        <v>3673</v>
      </c>
      <c r="I934">
        <v>11000</v>
      </c>
      <c r="J934" t="s">
        <v>2460</v>
      </c>
      <c r="K934">
        <v>11000</v>
      </c>
      <c r="L934" t="s">
        <v>2460</v>
      </c>
      <c r="M934">
        <v>11000</v>
      </c>
      <c r="N934" t="s">
        <v>2460</v>
      </c>
      <c r="O934">
        <v>11000</v>
      </c>
      <c r="P934" t="s">
        <v>2460</v>
      </c>
      <c r="Q934">
        <v>11000</v>
      </c>
      <c r="R934" t="s">
        <v>2460</v>
      </c>
      <c r="S934" t="s">
        <v>988</v>
      </c>
    </row>
    <row r="935" spans="1:19" hidden="1" x14ac:dyDescent="0.3">
      <c r="A935">
        <v>4993</v>
      </c>
      <c r="B935" t="s">
        <v>944</v>
      </c>
      <c r="C935" t="s">
        <v>2877</v>
      </c>
      <c r="D935" t="s">
        <v>1203</v>
      </c>
      <c r="E935" t="s">
        <v>1204</v>
      </c>
      <c r="F935">
        <v>5631</v>
      </c>
      <c r="G935" t="s">
        <v>2683</v>
      </c>
      <c r="H935" t="s">
        <v>3674</v>
      </c>
      <c r="I935">
        <v>0</v>
      </c>
      <c r="J935" t="s">
        <v>2460</v>
      </c>
      <c r="K935">
        <v>0</v>
      </c>
      <c r="L935" t="s">
        <v>2460</v>
      </c>
      <c r="M935">
        <v>1607</v>
      </c>
      <c r="N935" t="s">
        <v>2460</v>
      </c>
      <c r="O935">
        <v>1607</v>
      </c>
      <c r="P935" t="s">
        <v>2460</v>
      </c>
      <c r="Q935">
        <v>1607</v>
      </c>
      <c r="R935" t="s">
        <v>2460</v>
      </c>
      <c r="S935" t="s">
        <v>988</v>
      </c>
    </row>
    <row r="936" spans="1:19" hidden="1" x14ac:dyDescent="0.3">
      <c r="A936">
        <v>4993</v>
      </c>
      <c r="B936" t="s">
        <v>944</v>
      </c>
      <c r="C936" t="s">
        <v>2877</v>
      </c>
      <c r="D936" t="s">
        <v>1203</v>
      </c>
      <c r="E936" t="s">
        <v>1204</v>
      </c>
      <c r="F936">
        <v>5631</v>
      </c>
      <c r="G936" t="s">
        <v>2681</v>
      </c>
      <c r="H936" t="s">
        <v>3675</v>
      </c>
      <c r="I936">
        <v>12530</v>
      </c>
      <c r="J936" t="s">
        <v>2460</v>
      </c>
      <c r="K936">
        <v>19870</v>
      </c>
      <c r="L936" t="s">
        <v>2460</v>
      </c>
      <c r="M936">
        <v>23490</v>
      </c>
      <c r="N936" t="s">
        <v>2460</v>
      </c>
      <c r="O936">
        <v>23490</v>
      </c>
      <c r="P936" t="s">
        <v>2460</v>
      </c>
      <c r="Q936">
        <v>23490</v>
      </c>
      <c r="R936" t="s">
        <v>2460</v>
      </c>
      <c r="S936" t="s">
        <v>988</v>
      </c>
    </row>
    <row r="937" spans="1:19" hidden="1" x14ac:dyDescent="0.3">
      <c r="A937">
        <v>4993</v>
      </c>
      <c r="B937" t="s">
        <v>944</v>
      </c>
      <c r="C937" t="s">
        <v>2877</v>
      </c>
      <c r="D937" t="s">
        <v>1203</v>
      </c>
      <c r="E937" t="s">
        <v>1204</v>
      </c>
      <c r="F937">
        <v>5631</v>
      </c>
      <c r="G937" t="s">
        <v>2681</v>
      </c>
      <c r="H937" t="s">
        <v>3676</v>
      </c>
      <c r="I937">
        <v>3010</v>
      </c>
      <c r="J937" t="s">
        <v>2460</v>
      </c>
      <c r="K937">
        <v>2790</v>
      </c>
      <c r="L937" t="s">
        <v>2460</v>
      </c>
      <c r="M937">
        <v>2790</v>
      </c>
      <c r="N937" t="s">
        <v>2460</v>
      </c>
      <c r="O937">
        <v>2790</v>
      </c>
      <c r="P937" t="s">
        <v>2460</v>
      </c>
      <c r="Q937">
        <v>2790</v>
      </c>
      <c r="R937" t="s">
        <v>2460</v>
      </c>
      <c r="S937" t="s">
        <v>988</v>
      </c>
    </row>
    <row r="938" spans="1:19" hidden="1" x14ac:dyDescent="0.3">
      <c r="A938">
        <v>4993</v>
      </c>
      <c r="B938" t="s">
        <v>944</v>
      </c>
      <c r="C938" t="s">
        <v>2877</v>
      </c>
      <c r="D938" t="s">
        <v>1203</v>
      </c>
      <c r="E938" t="s">
        <v>1204</v>
      </c>
      <c r="F938">
        <v>5631</v>
      </c>
      <c r="G938" t="s">
        <v>2679</v>
      </c>
      <c r="H938" t="s">
        <v>3677</v>
      </c>
      <c r="I938">
        <v>1849</v>
      </c>
      <c r="J938" t="s">
        <v>2460</v>
      </c>
      <c r="K938">
        <v>3696</v>
      </c>
      <c r="L938" t="s">
        <v>2460</v>
      </c>
      <c r="M938">
        <v>5091</v>
      </c>
      <c r="N938" t="s">
        <v>2460</v>
      </c>
      <c r="O938">
        <v>6498</v>
      </c>
      <c r="P938" t="s">
        <v>2460</v>
      </c>
      <c r="Q938">
        <v>7499</v>
      </c>
      <c r="R938" t="s">
        <v>2460</v>
      </c>
      <c r="S938" t="s">
        <v>988</v>
      </c>
    </row>
    <row r="939" spans="1:19" hidden="1" x14ac:dyDescent="0.3">
      <c r="A939">
        <v>2213</v>
      </c>
      <c r="B939" t="s">
        <v>1944</v>
      </c>
      <c r="C939" t="s">
        <v>2877</v>
      </c>
      <c r="D939" t="s">
        <v>1203</v>
      </c>
      <c r="E939" t="s">
        <v>1204</v>
      </c>
      <c r="F939">
        <v>6652</v>
      </c>
      <c r="G939" t="s">
        <v>2691</v>
      </c>
      <c r="H939" t="s">
        <v>3678</v>
      </c>
      <c r="I939">
        <v>1061.8351961000001</v>
      </c>
      <c r="J939" t="s">
        <v>2460</v>
      </c>
      <c r="K939">
        <v>1061.8351961000001</v>
      </c>
      <c r="L939" t="s">
        <v>2460</v>
      </c>
      <c r="M939">
        <v>1061.8351961000001</v>
      </c>
      <c r="N939" t="s">
        <v>2460</v>
      </c>
      <c r="O939">
        <v>1061.8351961000001</v>
      </c>
      <c r="P939" t="s">
        <v>2460</v>
      </c>
      <c r="Q939">
        <v>1061.8351961000001</v>
      </c>
      <c r="R939" t="s">
        <v>2460</v>
      </c>
      <c r="S939" t="s">
        <v>988</v>
      </c>
    </row>
    <row r="940" spans="1:19" hidden="1" x14ac:dyDescent="0.3">
      <c r="A940">
        <v>2213</v>
      </c>
      <c r="B940" t="s">
        <v>1944</v>
      </c>
      <c r="C940" t="s">
        <v>2877</v>
      </c>
      <c r="D940" t="s">
        <v>1203</v>
      </c>
      <c r="E940" t="s">
        <v>1204</v>
      </c>
      <c r="F940">
        <v>6652</v>
      </c>
      <c r="G940" t="s">
        <v>2679</v>
      </c>
      <c r="H940" t="s">
        <v>3679</v>
      </c>
      <c r="I940">
        <v>107.41107475</v>
      </c>
      <c r="J940" t="s">
        <v>2460</v>
      </c>
      <c r="K940">
        <v>107.41107475</v>
      </c>
      <c r="L940" t="s">
        <v>2460</v>
      </c>
      <c r="M940">
        <v>107.41107475</v>
      </c>
      <c r="N940" t="s">
        <v>2460</v>
      </c>
      <c r="O940">
        <v>107.41107475</v>
      </c>
      <c r="P940" t="s">
        <v>2460</v>
      </c>
      <c r="Q940">
        <v>107.41107475</v>
      </c>
      <c r="R940" t="s">
        <v>2460</v>
      </c>
      <c r="S940" t="s">
        <v>988</v>
      </c>
    </row>
    <row r="941" spans="1:19" hidden="1" x14ac:dyDescent="0.3">
      <c r="A941">
        <v>2213</v>
      </c>
      <c r="B941" t="s">
        <v>1944</v>
      </c>
      <c r="C941" t="s">
        <v>2877</v>
      </c>
      <c r="D941" t="s">
        <v>1203</v>
      </c>
      <c r="E941" t="s">
        <v>1204</v>
      </c>
      <c r="F941">
        <v>6652</v>
      </c>
      <c r="G941" t="s">
        <v>2681</v>
      </c>
      <c r="H941" t="s">
        <v>3680</v>
      </c>
      <c r="I941">
        <v>279.26879435000001</v>
      </c>
      <c r="J941" t="s">
        <v>2460</v>
      </c>
      <c r="K941">
        <v>266.99324295000002</v>
      </c>
      <c r="L941" t="s">
        <v>2460</v>
      </c>
      <c r="M941">
        <v>266.99324295000002</v>
      </c>
      <c r="N941" t="s">
        <v>2460</v>
      </c>
      <c r="O941">
        <v>266.99324295000002</v>
      </c>
      <c r="P941" t="s">
        <v>2460</v>
      </c>
      <c r="Q941">
        <v>266.99324295000002</v>
      </c>
      <c r="R941" t="s">
        <v>2460</v>
      </c>
      <c r="S941" t="s">
        <v>988</v>
      </c>
    </row>
    <row r="942" spans="1:19" hidden="1" x14ac:dyDescent="0.3">
      <c r="A942">
        <v>2213</v>
      </c>
      <c r="B942" t="s">
        <v>1944</v>
      </c>
      <c r="C942" t="s">
        <v>2877</v>
      </c>
      <c r="D942" t="s">
        <v>1203</v>
      </c>
      <c r="E942" t="s">
        <v>1204</v>
      </c>
      <c r="F942">
        <v>6652</v>
      </c>
      <c r="G942" t="s">
        <v>2691</v>
      </c>
      <c r="H942" t="s">
        <v>3681</v>
      </c>
      <c r="I942">
        <v>5668.23585895</v>
      </c>
      <c r="J942" t="s">
        <v>2460</v>
      </c>
      <c r="K942">
        <v>5760.3024944500003</v>
      </c>
      <c r="L942" t="s">
        <v>2460</v>
      </c>
      <c r="M942">
        <v>5790.9913729500004</v>
      </c>
      <c r="N942" t="s">
        <v>2460</v>
      </c>
      <c r="O942">
        <v>5978.1935317999996</v>
      </c>
      <c r="P942" t="s">
        <v>2460</v>
      </c>
      <c r="Q942">
        <v>6036.5024009500003</v>
      </c>
      <c r="R942" t="s">
        <v>2460</v>
      </c>
      <c r="S942" t="s">
        <v>988</v>
      </c>
    </row>
    <row r="943" spans="1:19" hidden="1" x14ac:dyDescent="0.3">
      <c r="A943">
        <v>2213</v>
      </c>
      <c r="B943" t="s">
        <v>1944</v>
      </c>
      <c r="C943" t="s">
        <v>2877</v>
      </c>
      <c r="D943" t="s">
        <v>1203</v>
      </c>
      <c r="E943" t="s">
        <v>1204</v>
      </c>
      <c r="F943">
        <v>6652</v>
      </c>
      <c r="G943" t="s">
        <v>687</v>
      </c>
      <c r="H943" t="s">
        <v>3009</v>
      </c>
      <c r="I943">
        <v>0</v>
      </c>
      <c r="J943" t="s">
        <v>2460</v>
      </c>
      <c r="K943">
        <v>55.239981299999997</v>
      </c>
      <c r="L943" t="s">
        <v>2460</v>
      </c>
      <c r="M943">
        <v>55.239981299999997</v>
      </c>
      <c r="N943" t="s">
        <v>2460</v>
      </c>
      <c r="O943">
        <v>55.239981299999997</v>
      </c>
      <c r="P943" t="s">
        <v>2460</v>
      </c>
      <c r="Q943">
        <v>55.239981299999997</v>
      </c>
      <c r="R943" t="s">
        <v>2460</v>
      </c>
      <c r="S943" t="s">
        <v>988</v>
      </c>
    </row>
    <row r="944" spans="1:19" hidden="1" x14ac:dyDescent="0.3">
      <c r="A944">
        <v>2213</v>
      </c>
      <c r="B944" t="s">
        <v>1944</v>
      </c>
      <c r="C944" t="s">
        <v>2877</v>
      </c>
      <c r="D944" t="s">
        <v>1203</v>
      </c>
      <c r="E944" t="s">
        <v>1204</v>
      </c>
      <c r="F944">
        <v>6652</v>
      </c>
      <c r="G944" t="s">
        <v>2685</v>
      </c>
      <c r="H944" t="s">
        <v>3682</v>
      </c>
      <c r="I944">
        <v>1071.0418596500001</v>
      </c>
      <c r="J944" t="s">
        <v>2460</v>
      </c>
      <c r="K944">
        <v>1015.80187835</v>
      </c>
      <c r="L944" t="s">
        <v>2460</v>
      </c>
      <c r="M944">
        <v>1015.80187835</v>
      </c>
      <c r="N944" t="s">
        <v>2460</v>
      </c>
      <c r="O944">
        <v>1015.80187835</v>
      </c>
      <c r="P944" t="s">
        <v>2460</v>
      </c>
      <c r="Q944">
        <v>1015.80187835</v>
      </c>
      <c r="R944" t="s">
        <v>2460</v>
      </c>
      <c r="S944" t="s">
        <v>988</v>
      </c>
    </row>
    <row r="945" spans="1:19" hidden="1" x14ac:dyDescent="0.3">
      <c r="A945">
        <v>2214</v>
      </c>
      <c r="B945" t="s">
        <v>1953</v>
      </c>
      <c r="C945" t="s">
        <v>2877</v>
      </c>
      <c r="D945" t="s">
        <v>1203</v>
      </c>
      <c r="E945" t="s">
        <v>1204</v>
      </c>
      <c r="F945">
        <v>5462</v>
      </c>
      <c r="G945" t="s">
        <v>2683</v>
      </c>
      <c r="H945" t="s">
        <v>3683</v>
      </c>
      <c r="I945">
        <v>6041</v>
      </c>
      <c r="J945" t="s">
        <v>2460</v>
      </c>
      <c r="K945">
        <v>6629</v>
      </c>
      <c r="L945" t="s">
        <v>2460</v>
      </c>
      <c r="M945">
        <v>6405</v>
      </c>
      <c r="N945" t="s">
        <v>2460</v>
      </c>
      <c r="O945">
        <v>6534</v>
      </c>
      <c r="P945" t="s">
        <v>2460</v>
      </c>
      <c r="Q945">
        <v>6908</v>
      </c>
      <c r="R945" t="s">
        <v>2460</v>
      </c>
      <c r="S945" t="s">
        <v>988</v>
      </c>
    </row>
    <row r="946" spans="1:19" hidden="1" x14ac:dyDescent="0.3">
      <c r="A946">
        <v>2214</v>
      </c>
      <c r="B946" t="s">
        <v>1953</v>
      </c>
      <c r="C946" t="s">
        <v>2877</v>
      </c>
      <c r="D946" t="s">
        <v>1203</v>
      </c>
      <c r="E946" t="s">
        <v>1204</v>
      </c>
      <c r="F946">
        <v>5462</v>
      </c>
      <c r="G946" t="s">
        <v>2679</v>
      </c>
      <c r="H946" t="s">
        <v>3684</v>
      </c>
      <c r="I946">
        <v>600</v>
      </c>
      <c r="J946" t="s">
        <v>2460</v>
      </c>
      <c r="K946">
        <v>600</v>
      </c>
      <c r="L946" t="s">
        <v>2460</v>
      </c>
      <c r="M946">
        <v>600</v>
      </c>
      <c r="N946" t="s">
        <v>2460</v>
      </c>
      <c r="O946">
        <v>600</v>
      </c>
      <c r="P946" t="s">
        <v>2460</v>
      </c>
      <c r="Q946">
        <v>600</v>
      </c>
      <c r="R946" t="s">
        <v>2460</v>
      </c>
      <c r="S946" t="s">
        <v>988</v>
      </c>
    </row>
    <row r="947" spans="1:19" hidden="1" x14ac:dyDescent="0.3">
      <c r="A947">
        <v>2214</v>
      </c>
      <c r="B947" t="s">
        <v>1953</v>
      </c>
      <c r="C947" t="s">
        <v>2877</v>
      </c>
      <c r="D947" t="s">
        <v>1203</v>
      </c>
      <c r="E947" t="s">
        <v>1204</v>
      </c>
      <c r="F947">
        <v>5462</v>
      </c>
      <c r="G947" t="s">
        <v>2691</v>
      </c>
      <c r="H947" t="s">
        <v>3685</v>
      </c>
      <c r="I947">
        <v>2865</v>
      </c>
      <c r="J947" t="s">
        <v>2460</v>
      </c>
      <c r="K947">
        <v>2865</v>
      </c>
      <c r="L947" t="s">
        <v>2460</v>
      </c>
      <c r="M947">
        <v>3268</v>
      </c>
      <c r="N947" t="s">
        <v>2460</v>
      </c>
      <c r="O947">
        <v>3268</v>
      </c>
      <c r="P947" t="s">
        <v>2460</v>
      </c>
      <c r="Q947">
        <v>3268</v>
      </c>
      <c r="R947" t="s">
        <v>2460</v>
      </c>
      <c r="S947" t="s">
        <v>988</v>
      </c>
    </row>
    <row r="948" spans="1:19" hidden="1" x14ac:dyDescent="0.3">
      <c r="A948">
        <v>2215</v>
      </c>
      <c r="B948" t="s">
        <v>1954</v>
      </c>
      <c r="C948" t="s">
        <v>2877</v>
      </c>
      <c r="D948" t="s">
        <v>1203</v>
      </c>
      <c r="E948" t="s">
        <v>1204</v>
      </c>
      <c r="F948">
        <v>5515</v>
      </c>
      <c r="G948" t="s">
        <v>2683</v>
      </c>
      <c r="H948" t="s">
        <v>3686</v>
      </c>
      <c r="I948">
        <v>2350</v>
      </c>
      <c r="J948" t="s">
        <v>2460</v>
      </c>
      <c r="K948">
        <v>2350</v>
      </c>
      <c r="L948" t="s">
        <v>2460</v>
      </c>
      <c r="M948">
        <v>2350</v>
      </c>
      <c r="N948" t="s">
        <v>2460</v>
      </c>
      <c r="O948">
        <v>2350</v>
      </c>
      <c r="P948" t="s">
        <v>2460</v>
      </c>
      <c r="Q948">
        <v>2350</v>
      </c>
      <c r="R948" t="s">
        <v>2460</v>
      </c>
      <c r="S948" t="s">
        <v>988</v>
      </c>
    </row>
    <row r="949" spans="1:19" hidden="1" x14ac:dyDescent="0.3">
      <c r="A949">
        <v>2215</v>
      </c>
      <c r="B949" t="s">
        <v>1954</v>
      </c>
      <c r="C949" t="s">
        <v>2877</v>
      </c>
      <c r="D949" t="s">
        <v>1203</v>
      </c>
      <c r="E949" t="s">
        <v>1204</v>
      </c>
      <c r="F949">
        <v>5515</v>
      </c>
      <c r="G949" t="s">
        <v>2683</v>
      </c>
      <c r="H949" t="s">
        <v>2127</v>
      </c>
      <c r="I949">
        <v>3096</v>
      </c>
      <c r="J949" t="s">
        <v>2460</v>
      </c>
      <c r="K949">
        <v>3242</v>
      </c>
      <c r="L949" t="s">
        <v>2460</v>
      </c>
      <c r="M949">
        <v>3390</v>
      </c>
      <c r="N949" t="s">
        <v>2460</v>
      </c>
      <c r="O949">
        <v>3542</v>
      </c>
      <c r="P949" t="s">
        <v>2460</v>
      </c>
      <c r="Q949">
        <v>3697</v>
      </c>
      <c r="R949" t="s">
        <v>2460</v>
      </c>
      <c r="S949" t="s">
        <v>988</v>
      </c>
    </row>
    <row r="950" spans="1:19" hidden="1" x14ac:dyDescent="0.3">
      <c r="A950">
        <v>2215</v>
      </c>
      <c r="B950" t="s">
        <v>1954</v>
      </c>
      <c r="C950" t="s">
        <v>2877</v>
      </c>
      <c r="D950" t="s">
        <v>1203</v>
      </c>
      <c r="E950" t="s">
        <v>1204</v>
      </c>
      <c r="F950">
        <v>5515</v>
      </c>
      <c r="G950" t="s">
        <v>2679</v>
      </c>
      <c r="H950" t="s">
        <v>2460</v>
      </c>
      <c r="I950">
        <v>900</v>
      </c>
      <c r="J950" t="s">
        <v>2460</v>
      </c>
      <c r="K950">
        <v>900</v>
      </c>
      <c r="L950" t="s">
        <v>2460</v>
      </c>
      <c r="M950">
        <v>900</v>
      </c>
      <c r="N950" t="s">
        <v>2460</v>
      </c>
      <c r="O950">
        <v>900</v>
      </c>
      <c r="P950" t="s">
        <v>2460</v>
      </c>
      <c r="Q950">
        <v>900</v>
      </c>
      <c r="R950" t="s">
        <v>2460</v>
      </c>
      <c r="S950" t="s">
        <v>988</v>
      </c>
    </row>
    <row r="951" spans="1:19" hidden="1" x14ac:dyDescent="0.3">
      <c r="A951">
        <v>2217</v>
      </c>
      <c r="B951" t="s">
        <v>1955</v>
      </c>
      <c r="C951" t="s">
        <v>2877</v>
      </c>
      <c r="D951" t="s">
        <v>159</v>
      </c>
      <c r="E951" t="s">
        <v>159</v>
      </c>
      <c r="F951">
        <v>5768</v>
      </c>
      <c r="G951" t="s">
        <v>2683</v>
      </c>
      <c r="H951" t="s">
        <v>3687</v>
      </c>
      <c r="I951">
        <v>25000</v>
      </c>
      <c r="J951" t="s">
        <v>2460</v>
      </c>
      <c r="K951">
        <v>25000</v>
      </c>
      <c r="L951" t="s">
        <v>2460</v>
      </c>
      <c r="M951">
        <v>25000</v>
      </c>
      <c r="N951" t="s">
        <v>2460</v>
      </c>
      <c r="O951">
        <v>25000</v>
      </c>
      <c r="P951" t="s">
        <v>2460</v>
      </c>
      <c r="Q951">
        <v>25000</v>
      </c>
      <c r="R951" t="s">
        <v>2460</v>
      </c>
      <c r="S951" t="s">
        <v>988</v>
      </c>
    </row>
    <row r="952" spans="1:19" hidden="1" x14ac:dyDescent="0.3">
      <c r="A952">
        <v>2217</v>
      </c>
      <c r="B952" t="s">
        <v>1955</v>
      </c>
      <c r="C952" t="s">
        <v>2877</v>
      </c>
      <c r="D952" t="s">
        <v>159</v>
      </c>
      <c r="E952" t="s">
        <v>159</v>
      </c>
      <c r="F952">
        <v>5768</v>
      </c>
      <c r="G952" t="s">
        <v>2683</v>
      </c>
      <c r="H952" t="s">
        <v>3688</v>
      </c>
      <c r="I952">
        <v>8400</v>
      </c>
      <c r="J952" t="s">
        <v>2460</v>
      </c>
      <c r="K952">
        <v>8400</v>
      </c>
      <c r="L952" t="s">
        <v>2460</v>
      </c>
      <c r="M952">
        <v>8400</v>
      </c>
      <c r="N952" t="s">
        <v>2460</v>
      </c>
      <c r="O952">
        <v>8400</v>
      </c>
      <c r="P952" t="s">
        <v>2460</v>
      </c>
      <c r="Q952">
        <v>8400</v>
      </c>
      <c r="R952" t="s">
        <v>2460</v>
      </c>
      <c r="S952" t="s">
        <v>988</v>
      </c>
    </row>
    <row r="953" spans="1:19" hidden="1" x14ac:dyDescent="0.3">
      <c r="A953">
        <v>2217</v>
      </c>
      <c r="B953" t="s">
        <v>1955</v>
      </c>
      <c r="C953" t="s">
        <v>2877</v>
      </c>
      <c r="D953" t="s">
        <v>159</v>
      </c>
      <c r="E953" t="s">
        <v>159</v>
      </c>
      <c r="F953">
        <v>5768</v>
      </c>
      <c r="G953" t="s">
        <v>2687</v>
      </c>
      <c r="H953" t="s">
        <v>3689</v>
      </c>
      <c r="I953">
        <v>800</v>
      </c>
      <c r="J953" t="s">
        <v>2460</v>
      </c>
      <c r="K953">
        <v>1600</v>
      </c>
      <c r="L953" t="s">
        <v>2460</v>
      </c>
      <c r="M953">
        <v>2000</v>
      </c>
      <c r="N953" t="s">
        <v>2460</v>
      </c>
      <c r="O953">
        <v>2000</v>
      </c>
      <c r="P953" t="s">
        <v>2460</v>
      </c>
      <c r="Q953">
        <v>2000</v>
      </c>
      <c r="R953" t="s">
        <v>2460</v>
      </c>
      <c r="S953" t="s">
        <v>988</v>
      </c>
    </row>
    <row r="954" spans="1:19" hidden="1" x14ac:dyDescent="0.3">
      <c r="A954">
        <v>2217</v>
      </c>
      <c r="B954" t="s">
        <v>1955</v>
      </c>
      <c r="C954" t="s">
        <v>2877</v>
      </c>
      <c r="D954" t="s">
        <v>159</v>
      </c>
      <c r="E954" t="s">
        <v>159</v>
      </c>
      <c r="F954">
        <v>5768</v>
      </c>
      <c r="G954" t="s">
        <v>2681</v>
      </c>
      <c r="H954" t="s">
        <v>3690</v>
      </c>
      <c r="I954">
        <v>800</v>
      </c>
      <c r="J954" t="s">
        <v>2460</v>
      </c>
      <c r="K954">
        <v>1600</v>
      </c>
      <c r="L954" t="s">
        <v>2460</v>
      </c>
      <c r="M954">
        <v>2000</v>
      </c>
      <c r="N954" t="s">
        <v>2460</v>
      </c>
      <c r="O954">
        <v>2000</v>
      </c>
      <c r="P954" t="s">
        <v>2460</v>
      </c>
      <c r="Q954">
        <v>2000</v>
      </c>
      <c r="R954" t="s">
        <v>2460</v>
      </c>
      <c r="S954" t="s">
        <v>988</v>
      </c>
    </row>
    <row r="955" spans="1:19" hidden="1" x14ac:dyDescent="0.3">
      <c r="A955">
        <v>2217</v>
      </c>
      <c r="B955" t="s">
        <v>1955</v>
      </c>
      <c r="C955" t="s">
        <v>2877</v>
      </c>
      <c r="D955" t="s">
        <v>159</v>
      </c>
      <c r="E955" t="s">
        <v>159</v>
      </c>
      <c r="F955">
        <v>5768</v>
      </c>
      <c r="G955" t="s">
        <v>2683</v>
      </c>
      <c r="H955" t="s">
        <v>3691</v>
      </c>
      <c r="I955">
        <v>0</v>
      </c>
      <c r="J955" t="s">
        <v>2460</v>
      </c>
      <c r="K955">
        <v>5000</v>
      </c>
      <c r="L955" t="s">
        <v>2460</v>
      </c>
      <c r="M955">
        <v>5000</v>
      </c>
      <c r="N955" t="s">
        <v>2460</v>
      </c>
      <c r="O955">
        <v>5000</v>
      </c>
      <c r="P955" t="s">
        <v>2460</v>
      </c>
      <c r="Q955">
        <v>5000</v>
      </c>
      <c r="R955" t="s">
        <v>2460</v>
      </c>
      <c r="S955" t="s">
        <v>988</v>
      </c>
    </row>
    <row r="956" spans="1:19" hidden="1" x14ac:dyDescent="0.3">
      <c r="A956">
        <v>2217</v>
      </c>
      <c r="B956" t="s">
        <v>1955</v>
      </c>
      <c r="C956" t="s">
        <v>2877</v>
      </c>
      <c r="D956" t="s">
        <v>159</v>
      </c>
      <c r="E956" t="s">
        <v>159</v>
      </c>
      <c r="F956">
        <v>5768</v>
      </c>
      <c r="G956" t="s">
        <v>2689</v>
      </c>
      <c r="H956" t="s">
        <v>3692</v>
      </c>
      <c r="I956">
        <v>0</v>
      </c>
      <c r="J956" t="s">
        <v>2460</v>
      </c>
      <c r="K956">
        <v>1000</v>
      </c>
      <c r="L956" t="s">
        <v>2460</v>
      </c>
      <c r="M956">
        <v>1000</v>
      </c>
      <c r="N956" t="s">
        <v>2460</v>
      </c>
      <c r="O956">
        <v>1000</v>
      </c>
      <c r="P956" t="s">
        <v>2460</v>
      </c>
      <c r="Q956">
        <v>1000</v>
      </c>
      <c r="R956" t="s">
        <v>2460</v>
      </c>
      <c r="S956" t="s">
        <v>988</v>
      </c>
    </row>
    <row r="957" spans="1:19" hidden="1" x14ac:dyDescent="0.3">
      <c r="A957">
        <v>2217</v>
      </c>
      <c r="B957" t="s">
        <v>1955</v>
      </c>
      <c r="C957" t="s">
        <v>2877</v>
      </c>
      <c r="D957" t="s">
        <v>159</v>
      </c>
      <c r="E957" t="s">
        <v>159</v>
      </c>
      <c r="F957">
        <v>5768</v>
      </c>
      <c r="G957" t="s">
        <v>2679</v>
      </c>
      <c r="H957" t="s">
        <v>3693</v>
      </c>
      <c r="I957">
        <v>12492</v>
      </c>
      <c r="J957" t="s">
        <v>2460</v>
      </c>
      <c r="K957">
        <v>14763</v>
      </c>
      <c r="L957" t="s">
        <v>2460</v>
      </c>
      <c r="M957">
        <v>17954</v>
      </c>
      <c r="N957" t="s">
        <v>2460</v>
      </c>
      <c r="O957">
        <v>18009</v>
      </c>
      <c r="P957" t="s">
        <v>2460</v>
      </c>
      <c r="Q957">
        <v>18009</v>
      </c>
      <c r="R957" t="s">
        <v>2460</v>
      </c>
      <c r="S957" t="s">
        <v>988</v>
      </c>
    </row>
    <row r="958" spans="1:19" hidden="1" x14ac:dyDescent="0.3">
      <c r="A958">
        <v>2217</v>
      </c>
      <c r="B958" t="s">
        <v>1955</v>
      </c>
      <c r="C958" t="s">
        <v>2877</v>
      </c>
      <c r="D958" t="s">
        <v>159</v>
      </c>
      <c r="E958" t="s">
        <v>159</v>
      </c>
      <c r="F958">
        <v>5768</v>
      </c>
      <c r="G958" t="s">
        <v>687</v>
      </c>
      <c r="H958" t="s">
        <v>3694</v>
      </c>
      <c r="I958">
        <v>2000</v>
      </c>
      <c r="J958" t="s">
        <v>2460</v>
      </c>
      <c r="K958">
        <v>2000</v>
      </c>
      <c r="L958" t="s">
        <v>2460</v>
      </c>
      <c r="M958">
        <v>2000</v>
      </c>
      <c r="N958" t="s">
        <v>2460</v>
      </c>
      <c r="O958">
        <v>2000</v>
      </c>
      <c r="P958" t="s">
        <v>2460</v>
      </c>
      <c r="Q958">
        <v>2000</v>
      </c>
      <c r="R958" t="s">
        <v>2460</v>
      </c>
      <c r="S958" t="s">
        <v>988</v>
      </c>
    </row>
    <row r="959" spans="1:19" hidden="1" x14ac:dyDescent="0.3">
      <c r="A959">
        <v>2217</v>
      </c>
      <c r="B959" t="s">
        <v>1955</v>
      </c>
      <c r="C959" t="s">
        <v>2877</v>
      </c>
      <c r="D959" t="s">
        <v>159</v>
      </c>
      <c r="E959" t="s">
        <v>159</v>
      </c>
      <c r="F959">
        <v>5768</v>
      </c>
      <c r="G959" t="s">
        <v>2689</v>
      </c>
      <c r="H959" t="s">
        <v>3695</v>
      </c>
      <c r="I959">
        <v>0</v>
      </c>
      <c r="J959" t="s">
        <v>2460</v>
      </c>
      <c r="K959">
        <v>0</v>
      </c>
      <c r="L959" t="s">
        <v>2460</v>
      </c>
      <c r="M959">
        <v>2500</v>
      </c>
      <c r="N959" t="s">
        <v>2460</v>
      </c>
      <c r="O959">
        <v>2500</v>
      </c>
      <c r="P959" t="s">
        <v>2460</v>
      </c>
      <c r="Q959">
        <v>2500</v>
      </c>
      <c r="R959" t="s">
        <v>2460</v>
      </c>
      <c r="S959" t="s">
        <v>988</v>
      </c>
    </row>
    <row r="960" spans="1:19" hidden="1" x14ac:dyDescent="0.3">
      <c r="A960">
        <v>2218</v>
      </c>
      <c r="B960" t="s">
        <v>1959</v>
      </c>
      <c r="C960" t="s">
        <v>2877</v>
      </c>
      <c r="D960" t="s">
        <v>1203</v>
      </c>
      <c r="E960" t="s">
        <v>1204</v>
      </c>
      <c r="F960">
        <v>5796</v>
      </c>
      <c r="G960" t="s">
        <v>2681</v>
      </c>
      <c r="H960" t="s">
        <v>3696</v>
      </c>
      <c r="I960">
        <v>5100</v>
      </c>
      <c r="J960" t="s">
        <v>3697</v>
      </c>
      <c r="K960">
        <v>5100</v>
      </c>
      <c r="L960" t="s">
        <v>3697</v>
      </c>
      <c r="M960">
        <v>5100</v>
      </c>
      <c r="N960" t="s">
        <v>3697</v>
      </c>
      <c r="O960">
        <v>5100</v>
      </c>
      <c r="P960" t="s">
        <v>3697</v>
      </c>
      <c r="Q960">
        <v>5100</v>
      </c>
      <c r="R960" t="s">
        <v>3697</v>
      </c>
      <c r="S960" t="s">
        <v>988</v>
      </c>
    </row>
    <row r="961" spans="1:19" hidden="1" x14ac:dyDescent="0.3">
      <c r="A961">
        <v>2218</v>
      </c>
      <c r="B961" t="s">
        <v>1959</v>
      </c>
      <c r="C961" t="s">
        <v>2877</v>
      </c>
      <c r="D961" t="s">
        <v>1203</v>
      </c>
      <c r="E961" t="s">
        <v>1204</v>
      </c>
      <c r="F961">
        <v>5796</v>
      </c>
      <c r="G961" t="s">
        <v>2681</v>
      </c>
      <c r="H961" t="s">
        <v>3698</v>
      </c>
      <c r="I961">
        <v>14300</v>
      </c>
      <c r="J961" t="s">
        <v>3699</v>
      </c>
      <c r="K961">
        <v>14300</v>
      </c>
      <c r="L961" t="s">
        <v>3699</v>
      </c>
      <c r="M961">
        <v>14300</v>
      </c>
      <c r="N961" t="s">
        <v>3699</v>
      </c>
      <c r="O961">
        <v>14300</v>
      </c>
      <c r="P961" t="s">
        <v>3699</v>
      </c>
      <c r="Q961">
        <v>14300</v>
      </c>
      <c r="R961" t="s">
        <v>3699</v>
      </c>
      <c r="S961" t="s">
        <v>988</v>
      </c>
    </row>
    <row r="962" spans="1:19" hidden="1" x14ac:dyDescent="0.3">
      <c r="A962">
        <v>2218</v>
      </c>
      <c r="B962" t="s">
        <v>1959</v>
      </c>
      <c r="C962" t="s">
        <v>2877</v>
      </c>
      <c r="D962" t="s">
        <v>1203</v>
      </c>
      <c r="E962" t="s">
        <v>1204</v>
      </c>
      <c r="F962">
        <v>5796</v>
      </c>
      <c r="G962" t="s">
        <v>2681</v>
      </c>
      <c r="H962" t="s">
        <v>3700</v>
      </c>
      <c r="I962">
        <v>6759</v>
      </c>
      <c r="J962" t="s">
        <v>3701</v>
      </c>
      <c r="K962">
        <v>6698</v>
      </c>
      <c r="L962" t="s">
        <v>3702</v>
      </c>
      <c r="M962">
        <v>6638</v>
      </c>
      <c r="N962" t="s">
        <v>3703</v>
      </c>
      <c r="O962">
        <v>6577</v>
      </c>
      <c r="P962" t="s">
        <v>3704</v>
      </c>
      <c r="Q962">
        <v>6516</v>
      </c>
      <c r="R962" t="s">
        <v>3705</v>
      </c>
      <c r="S962" t="s">
        <v>988</v>
      </c>
    </row>
    <row r="963" spans="1:19" hidden="1" x14ac:dyDescent="0.3">
      <c r="A963">
        <v>2218</v>
      </c>
      <c r="B963" t="s">
        <v>1959</v>
      </c>
      <c r="C963" t="s">
        <v>2877</v>
      </c>
      <c r="D963" t="s">
        <v>1203</v>
      </c>
      <c r="E963" t="s">
        <v>1204</v>
      </c>
      <c r="F963">
        <v>5796</v>
      </c>
      <c r="G963" t="s">
        <v>2683</v>
      </c>
      <c r="H963" t="s">
        <v>3128</v>
      </c>
      <c r="I963">
        <v>10399</v>
      </c>
      <c r="J963" t="s">
        <v>3706</v>
      </c>
      <c r="K963">
        <v>10305</v>
      </c>
      <c r="L963" t="s">
        <v>3706</v>
      </c>
      <c r="M963">
        <v>10212</v>
      </c>
      <c r="N963" t="s">
        <v>3706</v>
      </c>
      <c r="O963">
        <v>10118</v>
      </c>
      <c r="P963" t="s">
        <v>3706</v>
      </c>
      <c r="Q963">
        <v>10025</v>
      </c>
      <c r="R963" t="s">
        <v>3706</v>
      </c>
      <c r="S963" t="s">
        <v>988</v>
      </c>
    </row>
    <row r="964" spans="1:19" hidden="1" x14ac:dyDescent="0.3">
      <c r="A964">
        <v>2220</v>
      </c>
      <c r="B964" t="s">
        <v>1962</v>
      </c>
      <c r="C964" t="s">
        <v>2877</v>
      </c>
      <c r="D964" t="s">
        <v>159</v>
      </c>
      <c r="E964" t="s">
        <v>159</v>
      </c>
      <c r="F964">
        <v>6742</v>
      </c>
      <c r="G964" t="s">
        <v>2681</v>
      </c>
      <c r="H964" t="s">
        <v>3707</v>
      </c>
      <c r="I964">
        <v>400</v>
      </c>
      <c r="J964" t="s">
        <v>2460</v>
      </c>
      <c r="K964">
        <v>400</v>
      </c>
      <c r="L964" t="s">
        <v>2460</v>
      </c>
      <c r="M964">
        <v>400</v>
      </c>
      <c r="N964" t="s">
        <v>2460</v>
      </c>
      <c r="O964">
        <v>400</v>
      </c>
      <c r="P964" t="s">
        <v>2460</v>
      </c>
      <c r="R964" t="s">
        <v>2460</v>
      </c>
      <c r="S964" t="s">
        <v>988</v>
      </c>
    </row>
    <row r="965" spans="1:19" hidden="1" x14ac:dyDescent="0.3">
      <c r="A965">
        <v>2220</v>
      </c>
      <c r="B965" t="s">
        <v>1962</v>
      </c>
      <c r="C965" t="s">
        <v>2877</v>
      </c>
      <c r="D965" t="s">
        <v>159</v>
      </c>
      <c r="E965" t="s">
        <v>159</v>
      </c>
      <c r="F965">
        <v>6742</v>
      </c>
      <c r="G965" t="s">
        <v>2683</v>
      </c>
      <c r="H965" t="s">
        <v>2889</v>
      </c>
      <c r="I965">
        <v>7406</v>
      </c>
      <c r="J965" t="s">
        <v>2460</v>
      </c>
      <c r="K965">
        <v>7406</v>
      </c>
      <c r="L965" t="s">
        <v>2460</v>
      </c>
      <c r="M965">
        <v>7406</v>
      </c>
      <c r="N965" t="s">
        <v>2460</v>
      </c>
      <c r="O965">
        <v>7406</v>
      </c>
      <c r="P965" t="s">
        <v>2460</v>
      </c>
      <c r="R965" t="s">
        <v>2460</v>
      </c>
      <c r="S965" t="s">
        <v>988</v>
      </c>
    </row>
    <row r="966" spans="1:19" hidden="1" x14ac:dyDescent="0.3">
      <c r="A966">
        <v>2220</v>
      </c>
      <c r="B966" t="s">
        <v>1962</v>
      </c>
      <c r="C966" t="s">
        <v>2877</v>
      </c>
      <c r="D966" t="s">
        <v>159</v>
      </c>
      <c r="E966" t="s">
        <v>159</v>
      </c>
      <c r="F966">
        <v>6742</v>
      </c>
      <c r="G966" t="s">
        <v>2679</v>
      </c>
      <c r="H966" t="s">
        <v>3708</v>
      </c>
      <c r="I966">
        <v>560</v>
      </c>
      <c r="J966" t="s">
        <v>2460</v>
      </c>
      <c r="K966">
        <v>560</v>
      </c>
      <c r="L966" t="s">
        <v>2460</v>
      </c>
      <c r="M966">
        <v>560</v>
      </c>
      <c r="N966" t="s">
        <v>2460</v>
      </c>
      <c r="O966">
        <v>560</v>
      </c>
      <c r="P966" t="s">
        <v>2460</v>
      </c>
      <c r="R966" t="s">
        <v>2460</v>
      </c>
      <c r="S966" t="s">
        <v>988</v>
      </c>
    </row>
    <row r="967" spans="1:19" hidden="1" x14ac:dyDescent="0.3">
      <c r="A967">
        <v>2220</v>
      </c>
      <c r="B967" t="s">
        <v>1962</v>
      </c>
      <c r="C967" t="s">
        <v>2877</v>
      </c>
      <c r="D967" t="s">
        <v>159</v>
      </c>
      <c r="E967" t="s">
        <v>159</v>
      </c>
      <c r="F967">
        <v>6742</v>
      </c>
      <c r="G967" t="s">
        <v>2687</v>
      </c>
      <c r="H967" t="s">
        <v>3709</v>
      </c>
      <c r="I967">
        <v>10260</v>
      </c>
      <c r="J967" t="s">
        <v>2460</v>
      </c>
      <c r="K967">
        <v>10260</v>
      </c>
      <c r="L967" t="s">
        <v>2460</v>
      </c>
      <c r="M967">
        <v>10260</v>
      </c>
      <c r="N967" t="s">
        <v>2460</v>
      </c>
      <c r="O967">
        <v>10260</v>
      </c>
      <c r="P967" t="s">
        <v>2460</v>
      </c>
      <c r="R967" t="s">
        <v>2460</v>
      </c>
      <c r="S967" t="s">
        <v>988</v>
      </c>
    </row>
    <row r="968" spans="1:19" hidden="1" x14ac:dyDescent="0.3">
      <c r="A968">
        <v>2222</v>
      </c>
      <c r="B968" t="s">
        <v>1964</v>
      </c>
      <c r="C968" t="s">
        <v>2877</v>
      </c>
      <c r="D968" t="s">
        <v>1203</v>
      </c>
      <c r="E968" t="s">
        <v>1204</v>
      </c>
      <c r="F968">
        <v>5644</v>
      </c>
      <c r="G968" t="s">
        <v>2687</v>
      </c>
      <c r="H968" t="s">
        <v>3710</v>
      </c>
      <c r="I968">
        <v>500</v>
      </c>
      <c r="J968" t="s">
        <v>2460</v>
      </c>
      <c r="K968">
        <v>500</v>
      </c>
      <c r="L968" t="s">
        <v>2460</v>
      </c>
      <c r="M968">
        <v>500</v>
      </c>
      <c r="N968" t="s">
        <v>2460</v>
      </c>
      <c r="O968">
        <v>500</v>
      </c>
      <c r="P968" t="s">
        <v>2460</v>
      </c>
      <c r="R968" t="s">
        <v>2460</v>
      </c>
      <c r="S968" t="s">
        <v>988</v>
      </c>
    </row>
    <row r="969" spans="1:19" hidden="1" x14ac:dyDescent="0.3">
      <c r="A969">
        <v>2222</v>
      </c>
      <c r="B969" t="s">
        <v>1964</v>
      </c>
      <c r="C969" t="s">
        <v>2877</v>
      </c>
      <c r="D969" t="s">
        <v>1203</v>
      </c>
      <c r="E969" t="s">
        <v>1204</v>
      </c>
      <c r="F969">
        <v>5644</v>
      </c>
      <c r="G969" t="s">
        <v>2683</v>
      </c>
      <c r="H969" t="s">
        <v>3711</v>
      </c>
      <c r="I969">
        <v>124</v>
      </c>
      <c r="J969" t="s">
        <v>2460</v>
      </c>
      <c r="K969">
        <v>249</v>
      </c>
      <c r="L969" t="s">
        <v>2460</v>
      </c>
      <c r="M969">
        <v>373</v>
      </c>
      <c r="N969" t="s">
        <v>2460</v>
      </c>
      <c r="O969">
        <v>497</v>
      </c>
      <c r="P969" t="s">
        <v>2460</v>
      </c>
      <c r="R969" t="s">
        <v>2460</v>
      </c>
      <c r="S969" t="s">
        <v>988</v>
      </c>
    </row>
    <row r="970" spans="1:19" hidden="1" x14ac:dyDescent="0.3">
      <c r="A970">
        <v>2222</v>
      </c>
      <c r="B970" t="s">
        <v>1964</v>
      </c>
      <c r="C970" t="s">
        <v>2877</v>
      </c>
      <c r="D970" t="s">
        <v>1203</v>
      </c>
      <c r="E970" t="s">
        <v>1204</v>
      </c>
      <c r="F970">
        <v>5644</v>
      </c>
      <c r="G970" t="s">
        <v>784</v>
      </c>
      <c r="H970" t="s">
        <v>3712</v>
      </c>
      <c r="I970">
        <v>435</v>
      </c>
      <c r="J970" t="s">
        <v>2460</v>
      </c>
      <c r="K970">
        <v>869</v>
      </c>
      <c r="L970" t="s">
        <v>2460</v>
      </c>
      <c r="M970">
        <v>1304</v>
      </c>
      <c r="N970" t="s">
        <v>2460</v>
      </c>
      <c r="O970">
        <v>1738</v>
      </c>
      <c r="P970" t="s">
        <v>2460</v>
      </c>
      <c r="R970" t="s">
        <v>2460</v>
      </c>
      <c r="S970" t="s">
        <v>988</v>
      </c>
    </row>
    <row r="971" spans="1:19" hidden="1" x14ac:dyDescent="0.3">
      <c r="A971">
        <v>2222</v>
      </c>
      <c r="B971" t="s">
        <v>1964</v>
      </c>
      <c r="C971" t="s">
        <v>2877</v>
      </c>
      <c r="D971" t="s">
        <v>1203</v>
      </c>
      <c r="E971" t="s">
        <v>1204</v>
      </c>
      <c r="F971">
        <v>5644</v>
      </c>
      <c r="G971" t="s">
        <v>2687</v>
      </c>
      <c r="H971" t="s">
        <v>2911</v>
      </c>
      <c r="I971">
        <v>5715</v>
      </c>
      <c r="J971" t="s">
        <v>2460</v>
      </c>
      <c r="K971">
        <v>5715</v>
      </c>
      <c r="L971" t="s">
        <v>2460</v>
      </c>
      <c r="M971">
        <v>5715</v>
      </c>
      <c r="N971" t="s">
        <v>2460</v>
      </c>
      <c r="O971">
        <v>5715</v>
      </c>
      <c r="P971" t="s">
        <v>2460</v>
      </c>
      <c r="R971" t="s">
        <v>2460</v>
      </c>
      <c r="S971" t="s">
        <v>988</v>
      </c>
    </row>
    <row r="972" spans="1:19" hidden="1" x14ac:dyDescent="0.3">
      <c r="A972">
        <v>2224</v>
      </c>
      <c r="B972" t="s">
        <v>1966</v>
      </c>
      <c r="C972" t="s">
        <v>2877</v>
      </c>
      <c r="D972" t="s">
        <v>159</v>
      </c>
      <c r="E972" t="s">
        <v>159</v>
      </c>
      <c r="F972">
        <v>5774</v>
      </c>
      <c r="G972" t="s">
        <v>2683</v>
      </c>
      <c r="H972" t="s">
        <v>1873</v>
      </c>
      <c r="I972">
        <v>29100</v>
      </c>
      <c r="J972" t="s">
        <v>3713</v>
      </c>
      <c r="K972">
        <v>29100</v>
      </c>
      <c r="L972" t="s">
        <v>3713</v>
      </c>
      <c r="M972">
        <v>29100</v>
      </c>
      <c r="N972" t="s">
        <v>3713</v>
      </c>
      <c r="O972">
        <v>29100</v>
      </c>
      <c r="P972" t="s">
        <v>3713</v>
      </c>
      <c r="Q972">
        <v>29100</v>
      </c>
      <c r="R972" t="s">
        <v>3713</v>
      </c>
      <c r="S972" t="s">
        <v>988</v>
      </c>
    </row>
    <row r="973" spans="1:19" hidden="1" x14ac:dyDescent="0.3">
      <c r="A973">
        <v>2224</v>
      </c>
      <c r="B973" t="s">
        <v>1966</v>
      </c>
      <c r="C973" t="s">
        <v>2877</v>
      </c>
      <c r="D973" t="s">
        <v>159</v>
      </c>
      <c r="E973" t="s">
        <v>159</v>
      </c>
      <c r="F973">
        <v>5774</v>
      </c>
      <c r="G973" t="s">
        <v>2681</v>
      </c>
      <c r="H973" t="s">
        <v>1873</v>
      </c>
      <c r="I973">
        <v>2300</v>
      </c>
      <c r="J973" t="s">
        <v>2460</v>
      </c>
      <c r="K973">
        <v>2300</v>
      </c>
      <c r="L973" t="s">
        <v>2460</v>
      </c>
      <c r="M973">
        <v>2300</v>
      </c>
      <c r="N973" t="s">
        <v>2460</v>
      </c>
      <c r="O973">
        <v>2300</v>
      </c>
      <c r="P973" t="s">
        <v>2460</v>
      </c>
      <c r="Q973">
        <v>2300</v>
      </c>
      <c r="R973" t="s">
        <v>2460</v>
      </c>
      <c r="S973" t="s">
        <v>988</v>
      </c>
    </row>
    <row r="974" spans="1:19" hidden="1" x14ac:dyDescent="0.3">
      <c r="A974">
        <v>2224</v>
      </c>
      <c r="B974" t="s">
        <v>1966</v>
      </c>
      <c r="C974" t="s">
        <v>2877</v>
      </c>
      <c r="D974" t="s">
        <v>159</v>
      </c>
      <c r="E974" t="s">
        <v>159</v>
      </c>
      <c r="F974">
        <v>5774</v>
      </c>
      <c r="G974" t="s">
        <v>2679</v>
      </c>
      <c r="H974" t="s">
        <v>3431</v>
      </c>
      <c r="I974">
        <v>140</v>
      </c>
      <c r="J974" t="s">
        <v>2460</v>
      </c>
      <c r="K974">
        <v>140</v>
      </c>
      <c r="L974" t="s">
        <v>2460</v>
      </c>
      <c r="M974">
        <v>140</v>
      </c>
      <c r="N974" t="s">
        <v>2460</v>
      </c>
      <c r="O974">
        <v>140</v>
      </c>
      <c r="P974" t="s">
        <v>2460</v>
      </c>
      <c r="Q974">
        <v>140</v>
      </c>
      <c r="R974" t="s">
        <v>2460</v>
      </c>
      <c r="S974" t="s">
        <v>988</v>
      </c>
    </row>
    <row r="975" spans="1:19" hidden="1" x14ac:dyDescent="0.3">
      <c r="A975">
        <v>2237</v>
      </c>
      <c r="B975" t="s">
        <v>1969</v>
      </c>
      <c r="C975" t="s">
        <v>2877</v>
      </c>
      <c r="D975" t="s">
        <v>1203</v>
      </c>
      <c r="E975" t="s">
        <v>1204</v>
      </c>
      <c r="F975">
        <v>5524</v>
      </c>
      <c r="G975" t="s">
        <v>2681</v>
      </c>
      <c r="H975" t="s">
        <v>3714</v>
      </c>
      <c r="I975">
        <v>1300</v>
      </c>
      <c r="J975" t="s">
        <v>2460</v>
      </c>
      <c r="K975">
        <v>1300</v>
      </c>
      <c r="L975" t="s">
        <v>2460</v>
      </c>
      <c r="M975">
        <v>1300</v>
      </c>
      <c r="N975" t="s">
        <v>2460</v>
      </c>
      <c r="O975">
        <v>1300</v>
      </c>
      <c r="P975" t="s">
        <v>2460</v>
      </c>
      <c r="Q975">
        <v>1300</v>
      </c>
      <c r="R975" t="s">
        <v>2460</v>
      </c>
      <c r="S975" t="s">
        <v>988</v>
      </c>
    </row>
    <row r="976" spans="1:19" hidden="1" x14ac:dyDescent="0.3">
      <c r="A976">
        <v>2237</v>
      </c>
      <c r="B976" t="s">
        <v>1969</v>
      </c>
      <c r="C976" t="s">
        <v>2877</v>
      </c>
      <c r="D976" t="s">
        <v>1203</v>
      </c>
      <c r="E976" t="s">
        <v>1204</v>
      </c>
      <c r="F976">
        <v>5524</v>
      </c>
      <c r="G976" t="s">
        <v>2679</v>
      </c>
      <c r="H976" t="s">
        <v>3715</v>
      </c>
      <c r="I976">
        <v>136</v>
      </c>
      <c r="J976" t="s">
        <v>2460</v>
      </c>
      <c r="K976">
        <v>140</v>
      </c>
      <c r="L976" t="s">
        <v>2460</v>
      </c>
      <c r="M976">
        <v>145</v>
      </c>
      <c r="N976" t="s">
        <v>2460</v>
      </c>
      <c r="O976">
        <v>149</v>
      </c>
      <c r="P976" t="s">
        <v>2460</v>
      </c>
      <c r="Q976">
        <v>154</v>
      </c>
      <c r="R976" t="s">
        <v>2460</v>
      </c>
      <c r="S976" t="s">
        <v>988</v>
      </c>
    </row>
    <row r="977" spans="1:19" hidden="1" x14ac:dyDescent="0.3">
      <c r="A977">
        <v>2241</v>
      </c>
      <c r="B977" t="s">
        <v>1971</v>
      </c>
      <c r="C977" t="s">
        <v>2877</v>
      </c>
      <c r="D977" t="s">
        <v>159</v>
      </c>
      <c r="E977" t="s">
        <v>159</v>
      </c>
      <c r="F977">
        <v>7852</v>
      </c>
      <c r="G977" t="s">
        <v>2683</v>
      </c>
      <c r="H977" t="s">
        <v>2965</v>
      </c>
      <c r="I977">
        <v>476</v>
      </c>
      <c r="J977" t="s">
        <v>2460</v>
      </c>
      <c r="K977">
        <v>505.12</v>
      </c>
      <c r="L977" t="s">
        <v>2460</v>
      </c>
      <c r="M977">
        <v>501</v>
      </c>
      <c r="N977" t="s">
        <v>2460</v>
      </c>
      <c r="O977">
        <v>497.5</v>
      </c>
      <c r="P977" t="s">
        <v>2460</v>
      </c>
      <c r="Q977">
        <v>496</v>
      </c>
      <c r="R977" t="s">
        <v>2460</v>
      </c>
      <c r="S977" t="s">
        <v>988</v>
      </c>
    </row>
    <row r="978" spans="1:19" hidden="1" x14ac:dyDescent="0.3">
      <c r="A978">
        <v>2241</v>
      </c>
      <c r="B978" t="s">
        <v>1971</v>
      </c>
      <c r="C978" t="s">
        <v>2877</v>
      </c>
      <c r="D978" t="s">
        <v>159</v>
      </c>
      <c r="E978" t="s">
        <v>159</v>
      </c>
      <c r="F978">
        <v>7852</v>
      </c>
      <c r="G978" t="s">
        <v>2681</v>
      </c>
      <c r="H978" t="s">
        <v>2893</v>
      </c>
      <c r="I978">
        <v>2699</v>
      </c>
      <c r="J978" t="s">
        <v>2460</v>
      </c>
      <c r="K978">
        <v>2862.4</v>
      </c>
      <c r="L978" t="s">
        <v>2460</v>
      </c>
      <c r="M978">
        <v>2841</v>
      </c>
      <c r="N978" t="s">
        <v>2460</v>
      </c>
      <c r="O978">
        <v>2819.5</v>
      </c>
      <c r="P978" t="s">
        <v>2460</v>
      </c>
      <c r="Q978">
        <v>2810</v>
      </c>
      <c r="R978" t="s">
        <v>2460</v>
      </c>
      <c r="S978" t="s">
        <v>988</v>
      </c>
    </row>
    <row r="979" spans="1:19" hidden="1" x14ac:dyDescent="0.3">
      <c r="A979">
        <v>2251</v>
      </c>
      <c r="B979" t="s">
        <v>1975</v>
      </c>
      <c r="C979" t="s">
        <v>2877</v>
      </c>
      <c r="D979" t="s">
        <v>159</v>
      </c>
      <c r="E979" t="s">
        <v>159</v>
      </c>
      <c r="F979">
        <v>7898</v>
      </c>
      <c r="G979" t="s">
        <v>2691</v>
      </c>
      <c r="H979" t="s">
        <v>3716</v>
      </c>
      <c r="I979">
        <v>1542</v>
      </c>
      <c r="J979" t="s">
        <v>2460</v>
      </c>
      <c r="K979">
        <v>1542</v>
      </c>
      <c r="L979" t="s">
        <v>2460</v>
      </c>
      <c r="M979">
        <v>1542</v>
      </c>
      <c r="N979" t="s">
        <v>2460</v>
      </c>
      <c r="O979">
        <v>1542</v>
      </c>
      <c r="P979" t="s">
        <v>2460</v>
      </c>
      <c r="R979" t="s">
        <v>2460</v>
      </c>
      <c r="S979" t="s">
        <v>988</v>
      </c>
    </row>
    <row r="980" spans="1:19" hidden="1" x14ac:dyDescent="0.3">
      <c r="A980">
        <v>2251</v>
      </c>
      <c r="B980" t="s">
        <v>1975</v>
      </c>
      <c r="C980" t="s">
        <v>2877</v>
      </c>
      <c r="D980" t="s">
        <v>159</v>
      </c>
      <c r="E980" t="s">
        <v>159</v>
      </c>
      <c r="F980">
        <v>7898</v>
      </c>
      <c r="G980" t="s">
        <v>2681</v>
      </c>
      <c r="H980" t="s">
        <v>3717</v>
      </c>
      <c r="I980">
        <v>2128</v>
      </c>
      <c r="J980" t="s">
        <v>2460</v>
      </c>
      <c r="K980">
        <v>2170</v>
      </c>
      <c r="L980" t="s">
        <v>2460</v>
      </c>
      <c r="M980">
        <v>2214</v>
      </c>
      <c r="N980" t="s">
        <v>2460</v>
      </c>
      <c r="O980">
        <v>2236</v>
      </c>
      <c r="P980" t="s">
        <v>2460</v>
      </c>
      <c r="R980" t="s">
        <v>2460</v>
      </c>
      <c r="S980" t="s">
        <v>988</v>
      </c>
    </row>
    <row r="981" spans="1:19" hidden="1" x14ac:dyDescent="0.3">
      <c r="A981">
        <v>2251</v>
      </c>
      <c r="B981" t="s">
        <v>1975</v>
      </c>
      <c r="C981" t="s">
        <v>2877</v>
      </c>
      <c r="D981" t="s">
        <v>159</v>
      </c>
      <c r="E981" t="s">
        <v>159</v>
      </c>
      <c r="F981">
        <v>7898</v>
      </c>
      <c r="G981" t="s">
        <v>2683</v>
      </c>
      <c r="H981" t="s">
        <v>3718</v>
      </c>
      <c r="I981">
        <v>4681</v>
      </c>
      <c r="J981" t="s">
        <v>2460</v>
      </c>
      <c r="K981">
        <v>4681</v>
      </c>
      <c r="L981" t="s">
        <v>2460</v>
      </c>
      <c r="M981">
        <v>4681</v>
      </c>
      <c r="N981" t="s">
        <v>2460</v>
      </c>
      <c r="O981">
        <v>4681</v>
      </c>
      <c r="P981" t="s">
        <v>2460</v>
      </c>
      <c r="R981" t="s">
        <v>2460</v>
      </c>
      <c r="S981" t="s">
        <v>988</v>
      </c>
    </row>
    <row r="982" spans="1:19" hidden="1" x14ac:dyDescent="0.3">
      <c r="A982">
        <v>2260</v>
      </c>
      <c r="B982" t="s">
        <v>1976</v>
      </c>
      <c r="C982" t="s">
        <v>2877</v>
      </c>
      <c r="D982" t="s">
        <v>159</v>
      </c>
      <c r="E982" t="s">
        <v>159</v>
      </c>
      <c r="F982">
        <v>7916</v>
      </c>
      <c r="G982" t="s">
        <v>2681</v>
      </c>
      <c r="H982" t="s">
        <v>3719</v>
      </c>
      <c r="I982">
        <v>5355.2092982499998</v>
      </c>
      <c r="J982" t="s">
        <v>3720</v>
      </c>
      <c r="K982">
        <v>5695.8558495999996</v>
      </c>
      <c r="L982" t="s">
        <v>3720</v>
      </c>
      <c r="M982">
        <v>6018.0890738500002</v>
      </c>
      <c r="N982" t="s">
        <v>3720</v>
      </c>
      <c r="O982">
        <v>6318.8400831500003</v>
      </c>
      <c r="P982" t="s">
        <v>3720</v>
      </c>
      <c r="Q982">
        <v>6601.1777653500003</v>
      </c>
      <c r="R982" t="s">
        <v>3720</v>
      </c>
      <c r="S982" t="s">
        <v>988</v>
      </c>
    </row>
    <row r="983" spans="1:19" hidden="1" x14ac:dyDescent="0.3">
      <c r="A983">
        <v>2273</v>
      </c>
      <c r="B983" t="s">
        <v>889</v>
      </c>
      <c r="C983" t="s">
        <v>2877</v>
      </c>
      <c r="D983" t="s">
        <v>1203</v>
      </c>
      <c r="E983" t="s">
        <v>1204</v>
      </c>
      <c r="F983">
        <v>5534</v>
      </c>
      <c r="G983" t="s">
        <v>2683</v>
      </c>
      <c r="H983" t="s">
        <v>3721</v>
      </c>
      <c r="J983" t="s">
        <v>2460</v>
      </c>
      <c r="L983" t="s">
        <v>2460</v>
      </c>
      <c r="N983" t="s">
        <v>2460</v>
      </c>
      <c r="P983" t="s">
        <v>2460</v>
      </c>
      <c r="R983" t="s">
        <v>2460</v>
      </c>
      <c r="S983" t="s">
        <v>988</v>
      </c>
    </row>
    <row r="984" spans="1:19" hidden="1" x14ac:dyDescent="0.3">
      <c r="A984">
        <v>2273</v>
      </c>
      <c r="B984" t="s">
        <v>889</v>
      </c>
      <c r="C984" t="s">
        <v>2877</v>
      </c>
      <c r="D984" t="s">
        <v>1203</v>
      </c>
      <c r="E984" t="s">
        <v>1204</v>
      </c>
      <c r="F984">
        <v>5534</v>
      </c>
      <c r="G984" t="s">
        <v>2683</v>
      </c>
      <c r="H984" t="s">
        <v>3523</v>
      </c>
      <c r="I984">
        <v>4480</v>
      </c>
      <c r="J984" t="s">
        <v>3722</v>
      </c>
      <c r="K984">
        <v>4480</v>
      </c>
      <c r="L984" t="s">
        <v>3722</v>
      </c>
      <c r="M984">
        <v>4480</v>
      </c>
      <c r="N984" t="s">
        <v>3722</v>
      </c>
      <c r="O984">
        <v>4480</v>
      </c>
      <c r="P984" t="s">
        <v>3722</v>
      </c>
      <c r="Q984">
        <v>4480</v>
      </c>
      <c r="R984" t="s">
        <v>3722</v>
      </c>
      <c r="S984" t="s">
        <v>988</v>
      </c>
    </row>
    <row r="985" spans="1:19" hidden="1" x14ac:dyDescent="0.3">
      <c r="A985">
        <v>2273</v>
      </c>
      <c r="B985" t="s">
        <v>889</v>
      </c>
      <c r="C985" t="s">
        <v>2877</v>
      </c>
      <c r="D985" t="s">
        <v>1203</v>
      </c>
      <c r="E985" t="s">
        <v>1204</v>
      </c>
      <c r="F985">
        <v>5534</v>
      </c>
      <c r="G985" t="s">
        <v>784</v>
      </c>
      <c r="H985" t="s">
        <v>3522</v>
      </c>
      <c r="I985">
        <v>1500</v>
      </c>
      <c r="J985" t="s">
        <v>3723</v>
      </c>
      <c r="K985">
        <v>1500</v>
      </c>
      <c r="L985" t="s">
        <v>3723</v>
      </c>
      <c r="M985">
        <v>1500</v>
      </c>
      <c r="N985" t="s">
        <v>3723</v>
      </c>
      <c r="O985">
        <v>1500</v>
      </c>
      <c r="P985" t="s">
        <v>3723</v>
      </c>
      <c r="Q985">
        <v>1500</v>
      </c>
      <c r="R985" t="s">
        <v>3723</v>
      </c>
      <c r="S985" t="s">
        <v>988</v>
      </c>
    </row>
    <row r="986" spans="1:19" hidden="1" x14ac:dyDescent="0.3">
      <c r="A986">
        <v>2273</v>
      </c>
      <c r="B986" t="s">
        <v>889</v>
      </c>
      <c r="C986" t="s">
        <v>2877</v>
      </c>
      <c r="D986" t="s">
        <v>1203</v>
      </c>
      <c r="E986" t="s">
        <v>1204</v>
      </c>
      <c r="F986">
        <v>5534</v>
      </c>
      <c r="G986" t="s">
        <v>2683</v>
      </c>
      <c r="H986" t="s">
        <v>3724</v>
      </c>
      <c r="J986" t="s">
        <v>2460</v>
      </c>
      <c r="L986" t="s">
        <v>2460</v>
      </c>
      <c r="N986" t="s">
        <v>2460</v>
      </c>
      <c r="P986" t="s">
        <v>2460</v>
      </c>
      <c r="R986" t="s">
        <v>2460</v>
      </c>
      <c r="S986" t="s">
        <v>988</v>
      </c>
    </row>
    <row r="987" spans="1:19" hidden="1" x14ac:dyDescent="0.3">
      <c r="A987">
        <v>2290</v>
      </c>
      <c r="B987" t="s">
        <v>1979</v>
      </c>
      <c r="C987" t="s">
        <v>2877</v>
      </c>
      <c r="D987" t="s">
        <v>1203</v>
      </c>
      <c r="E987" t="s">
        <v>1204</v>
      </c>
      <c r="F987">
        <v>5817</v>
      </c>
      <c r="G987" t="s">
        <v>2681</v>
      </c>
      <c r="H987" t="s">
        <v>3725</v>
      </c>
      <c r="I987">
        <v>6</v>
      </c>
      <c r="J987" t="s">
        <v>2460</v>
      </c>
      <c r="K987">
        <v>6</v>
      </c>
      <c r="L987" t="s">
        <v>2460</v>
      </c>
      <c r="M987">
        <v>6</v>
      </c>
      <c r="N987" t="s">
        <v>2460</v>
      </c>
      <c r="O987">
        <v>6</v>
      </c>
      <c r="P987" t="s">
        <v>2460</v>
      </c>
      <c r="Q987">
        <v>6</v>
      </c>
      <c r="R987" t="s">
        <v>2460</v>
      </c>
      <c r="S987" t="s">
        <v>988</v>
      </c>
    </row>
    <row r="988" spans="1:19" hidden="1" x14ac:dyDescent="0.3">
      <c r="A988">
        <v>2290</v>
      </c>
      <c r="B988" t="s">
        <v>1979</v>
      </c>
      <c r="C988" t="s">
        <v>2877</v>
      </c>
      <c r="D988" t="s">
        <v>1203</v>
      </c>
      <c r="E988" t="s">
        <v>1204</v>
      </c>
      <c r="F988">
        <v>5817</v>
      </c>
      <c r="G988" t="s">
        <v>2681</v>
      </c>
      <c r="H988" t="s">
        <v>2888</v>
      </c>
      <c r="I988">
        <v>1600</v>
      </c>
      <c r="J988" t="s">
        <v>2460</v>
      </c>
      <c r="K988">
        <v>1600</v>
      </c>
      <c r="L988" t="s">
        <v>2460</v>
      </c>
      <c r="M988">
        <v>1600</v>
      </c>
      <c r="N988" t="s">
        <v>2460</v>
      </c>
      <c r="O988">
        <v>1600</v>
      </c>
      <c r="P988" t="s">
        <v>2460</v>
      </c>
      <c r="Q988">
        <v>1600</v>
      </c>
      <c r="R988" t="s">
        <v>2460</v>
      </c>
      <c r="S988" t="s">
        <v>988</v>
      </c>
    </row>
    <row r="989" spans="1:19" hidden="1" x14ac:dyDescent="0.3">
      <c r="A989">
        <v>2290</v>
      </c>
      <c r="B989" t="s">
        <v>1979</v>
      </c>
      <c r="C989" t="s">
        <v>2877</v>
      </c>
      <c r="D989" t="s">
        <v>1203</v>
      </c>
      <c r="E989" t="s">
        <v>1204</v>
      </c>
      <c r="F989">
        <v>5817</v>
      </c>
      <c r="G989" t="s">
        <v>2681</v>
      </c>
      <c r="H989" t="s">
        <v>2899</v>
      </c>
      <c r="I989">
        <v>881</v>
      </c>
      <c r="J989" t="s">
        <v>2460</v>
      </c>
      <c r="K989">
        <v>893</v>
      </c>
      <c r="L989" t="s">
        <v>2460</v>
      </c>
      <c r="M989">
        <v>906</v>
      </c>
      <c r="N989" t="s">
        <v>2460</v>
      </c>
      <c r="O989">
        <v>916</v>
      </c>
      <c r="P989" t="s">
        <v>2460</v>
      </c>
      <c r="Q989">
        <v>927</v>
      </c>
      <c r="R989" t="s">
        <v>2460</v>
      </c>
      <c r="S989" t="s">
        <v>988</v>
      </c>
    </row>
    <row r="990" spans="1:19" hidden="1" x14ac:dyDescent="0.3">
      <c r="A990">
        <v>2298</v>
      </c>
      <c r="B990" t="s">
        <v>1981</v>
      </c>
      <c r="C990" t="s">
        <v>2877</v>
      </c>
      <c r="D990" t="s">
        <v>1203</v>
      </c>
      <c r="E990" t="s">
        <v>1204</v>
      </c>
      <c r="F990">
        <v>6753</v>
      </c>
      <c r="G990" t="s">
        <v>2683</v>
      </c>
      <c r="H990" t="s">
        <v>3726</v>
      </c>
      <c r="I990">
        <v>2300</v>
      </c>
      <c r="J990" t="s">
        <v>2460</v>
      </c>
      <c r="K990">
        <v>2300</v>
      </c>
      <c r="L990" t="s">
        <v>2460</v>
      </c>
      <c r="M990">
        <v>2300</v>
      </c>
      <c r="N990" t="s">
        <v>2460</v>
      </c>
      <c r="O990">
        <v>2300</v>
      </c>
      <c r="P990" t="s">
        <v>2460</v>
      </c>
      <c r="R990" t="s">
        <v>2460</v>
      </c>
      <c r="S990" t="s">
        <v>988</v>
      </c>
    </row>
    <row r="991" spans="1:19" hidden="1" x14ac:dyDescent="0.3">
      <c r="A991">
        <v>2298</v>
      </c>
      <c r="B991" t="s">
        <v>1981</v>
      </c>
      <c r="C991" t="s">
        <v>2877</v>
      </c>
      <c r="D991" t="s">
        <v>1203</v>
      </c>
      <c r="E991" t="s">
        <v>1204</v>
      </c>
      <c r="F991">
        <v>6753</v>
      </c>
      <c r="G991" t="s">
        <v>2679</v>
      </c>
      <c r="H991" t="s">
        <v>3727</v>
      </c>
      <c r="I991">
        <v>10</v>
      </c>
      <c r="J991" t="s">
        <v>2460</v>
      </c>
      <c r="K991">
        <v>10</v>
      </c>
      <c r="L991" t="s">
        <v>2460</v>
      </c>
      <c r="M991">
        <v>10</v>
      </c>
      <c r="N991" t="s">
        <v>2460</v>
      </c>
      <c r="O991">
        <v>10</v>
      </c>
      <c r="P991" t="s">
        <v>2460</v>
      </c>
      <c r="R991" t="s">
        <v>2460</v>
      </c>
      <c r="S991" t="s">
        <v>988</v>
      </c>
    </row>
    <row r="992" spans="1:19" hidden="1" x14ac:dyDescent="0.3">
      <c r="A992">
        <v>2298</v>
      </c>
      <c r="B992" t="s">
        <v>1981</v>
      </c>
      <c r="C992" t="s">
        <v>2877</v>
      </c>
      <c r="D992" t="s">
        <v>1203</v>
      </c>
      <c r="E992" t="s">
        <v>1204</v>
      </c>
      <c r="F992">
        <v>6753</v>
      </c>
      <c r="G992" t="s">
        <v>2681</v>
      </c>
      <c r="H992" t="s">
        <v>3728</v>
      </c>
      <c r="I992">
        <v>2022</v>
      </c>
      <c r="J992" t="s">
        <v>3729</v>
      </c>
      <c r="K992">
        <v>2022</v>
      </c>
      <c r="L992" t="s">
        <v>3729</v>
      </c>
      <c r="M992">
        <v>2022</v>
      </c>
      <c r="N992" t="s">
        <v>3729</v>
      </c>
      <c r="O992">
        <v>2022</v>
      </c>
      <c r="P992" t="s">
        <v>3729</v>
      </c>
      <c r="R992" t="s">
        <v>2460</v>
      </c>
      <c r="S992" t="s">
        <v>988</v>
      </c>
    </row>
    <row r="993" spans="1:19" hidden="1" x14ac:dyDescent="0.3">
      <c r="A993">
        <v>2323</v>
      </c>
      <c r="B993" t="s">
        <v>1983</v>
      </c>
      <c r="C993" t="s">
        <v>2877</v>
      </c>
      <c r="D993" t="s">
        <v>1203</v>
      </c>
      <c r="E993" t="s">
        <v>1204</v>
      </c>
      <c r="F993">
        <v>5912</v>
      </c>
      <c r="G993" t="s">
        <v>2679</v>
      </c>
      <c r="H993" t="s">
        <v>1875</v>
      </c>
      <c r="I993">
        <v>45</v>
      </c>
      <c r="J993" t="s">
        <v>2460</v>
      </c>
      <c r="K993">
        <v>55</v>
      </c>
      <c r="L993" t="s">
        <v>2460</v>
      </c>
      <c r="M993">
        <v>65</v>
      </c>
      <c r="N993" t="s">
        <v>2460</v>
      </c>
      <c r="O993">
        <v>70</v>
      </c>
      <c r="P993" t="s">
        <v>2460</v>
      </c>
      <c r="Q993">
        <v>80</v>
      </c>
      <c r="R993" t="s">
        <v>2460</v>
      </c>
      <c r="S993" t="s">
        <v>988</v>
      </c>
    </row>
    <row r="994" spans="1:19" hidden="1" x14ac:dyDescent="0.3">
      <c r="A994">
        <v>2323</v>
      </c>
      <c r="B994" t="s">
        <v>1983</v>
      </c>
      <c r="C994" t="s">
        <v>2877</v>
      </c>
      <c r="D994" t="s">
        <v>1203</v>
      </c>
      <c r="E994" t="s">
        <v>1204</v>
      </c>
      <c r="F994">
        <v>5912</v>
      </c>
      <c r="G994" t="s">
        <v>2681</v>
      </c>
      <c r="H994" t="s">
        <v>1873</v>
      </c>
      <c r="I994">
        <v>148000</v>
      </c>
      <c r="J994" t="s">
        <v>2460</v>
      </c>
      <c r="K994">
        <v>148000</v>
      </c>
      <c r="L994" t="s">
        <v>2460</v>
      </c>
      <c r="M994">
        <v>148000</v>
      </c>
      <c r="N994" t="s">
        <v>2460</v>
      </c>
      <c r="O994">
        <v>148000</v>
      </c>
      <c r="P994" t="s">
        <v>2460</v>
      </c>
      <c r="Q994">
        <v>148000</v>
      </c>
      <c r="R994" t="s">
        <v>2460</v>
      </c>
      <c r="S994" t="s">
        <v>988</v>
      </c>
    </row>
    <row r="995" spans="1:19" hidden="1" x14ac:dyDescent="0.3">
      <c r="A995">
        <v>2326</v>
      </c>
      <c r="B995" t="s">
        <v>1985</v>
      </c>
      <c r="C995" t="s">
        <v>2877</v>
      </c>
      <c r="D995" t="s">
        <v>1203</v>
      </c>
      <c r="E995" t="s">
        <v>1204</v>
      </c>
      <c r="F995">
        <v>5567</v>
      </c>
      <c r="G995" t="s">
        <v>2683</v>
      </c>
      <c r="H995" t="s">
        <v>3730</v>
      </c>
      <c r="I995">
        <v>3000</v>
      </c>
      <c r="J995" t="s">
        <v>2460</v>
      </c>
      <c r="K995">
        <v>3000</v>
      </c>
      <c r="L995" t="s">
        <v>2460</v>
      </c>
      <c r="M995">
        <v>3000</v>
      </c>
      <c r="N995" t="s">
        <v>2460</v>
      </c>
      <c r="O995">
        <v>3000</v>
      </c>
      <c r="P995" t="s">
        <v>2460</v>
      </c>
      <c r="Q995">
        <v>3000</v>
      </c>
      <c r="R995" t="s">
        <v>2460</v>
      </c>
      <c r="S995" t="s">
        <v>988</v>
      </c>
    </row>
    <row r="996" spans="1:19" hidden="1" x14ac:dyDescent="0.3">
      <c r="A996">
        <v>2326</v>
      </c>
      <c r="B996" t="s">
        <v>1985</v>
      </c>
      <c r="C996" t="s">
        <v>2877</v>
      </c>
      <c r="D996" t="s">
        <v>1203</v>
      </c>
      <c r="E996" t="s">
        <v>1204</v>
      </c>
      <c r="F996">
        <v>5567</v>
      </c>
      <c r="G996" t="s">
        <v>2681</v>
      </c>
      <c r="H996" t="s">
        <v>3731</v>
      </c>
      <c r="I996">
        <v>238</v>
      </c>
      <c r="J996" t="s">
        <v>2460</v>
      </c>
      <c r="K996">
        <v>238</v>
      </c>
      <c r="L996" t="s">
        <v>2460</v>
      </c>
      <c r="M996">
        <v>238</v>
      </c>
      <c r="N996" t="s">
        <v>2460</v>
      </c>
      <c r="O996">
        <v>238</v>
      </c>
      <c r="P996" t="s">
        <v>2460</v>
      </c>
      <c r="Q996">
        <v>238</v>
      </c>
      <c r="R996" t="s">
        <v>2460</v>
      </c>
      <c r="S996" t="s">
        <v>988</v>
      </c>
    </row>
    <row r="997" spans="1:19" hidden="1" x14ac:dyDescent="0.3">
      <c r="A997">
        <v>2326</v>
      </c>
      <c r="B997" t="s">
        <v>1985</v>
      </c>
      <c r="C997" t="s">
        <v>2877</v>
      </c>
      <c r="D997" t="s">
        <v>1203</v>
      </c>
      <c r="E997" t="s">
        <v>1204</v>
      </c>
      <c r="F997">
        <v>5567</v>
      </c>
      <c r="G997" t="s">
        <v>2679</v>
      </c>
      <c r="H997" t="s">
        <v>3732</v>
      </c>
      <c r="I997">
        <v>55</v>
      </c>
      <c r="J997" t="s">
        <v>2460</v>
      </c>
      <c r="K997">
        <v>55</v>
      </c>
      <c r="L997" t="s">
        <v>2460</v>
      </c>
      <c r="M997">
        <v>55</v>
      </c>
      <c r="N997" t="s">
        <v>2460</v>
      </c>
      <c r="O997">
        <v>55</v>
      </c>
      <c r="P997" t="s">
        <v>2460</v>
      </c>
      <c r="Q997">
        <v>55</v>
      </c>
      <c r="R997" t="s">
        <v>2460</v>
      </c>
      <c r="S997" t="s">
        <v>988</v>
      </c>
    </row>
    <row r="998" spans="1:19" hidden="1" x14ac:dyDescent="0.3">
      <c r="A998">
        <v>2330</v>
      </c>
      <c r="B998" t="s">
        <v>1987</v>
      </c>
      <c r="C998" t="s">
        <v>2877</v>
      </c>
      <c r="D998" t="s">
        <v>159</v>
      </c>
      <c r="E998" t="s">
        <v>159</v>
      </c>
      <c r="F998">
        <v>7828</v>
      </c>
      <c r="G998" t="s">
        <v>2681</v>
      </c>
      <c r="H998" t="s">
        <v>2460</v>
      </c>
      <c r="I998">
        <v>3866</v>
      </c>
      <c r="J998" t="s">
        <v>2460</v>
      </c>
      <c r="K998">
        <v>3822</v>
      </c>
      <c r="L998" t="s">
        <v>2460</v>
      </c>
      <c r="M998">
        <v>3741</v>
      </c>
      <c r="N998" t="s">
        <v>2460</v>
      </c>
      <c r="O998">
        <v>3655</v>
      </c>
      <c r="P998" t="s">
        <v>2460</v>
      </c>
      <c r="R998" t="s">
        <v>2460</v>
      </c>
      <c r="S998" t="s">
        <v>988</v>
      </c>
    </row>
    <row r="999" spans="1:19" hidden="1" x14ac:dyDescent="0.3">
      <c r="A999">
        <v>2334</v>
      </c>
      <c r="B999" t="s">
        <v>1990</v>
      </c>
      <c r="C999" t="s">
        <v>2877</v>
      </c>
      <c r="D999" t="s">
        <v>159</v>
      </c>
      <c r="E999" t="s">
        <v>159</v>
      </c>
      <c r="F999">
        <v>5637</v>
      </c>
      <c r="G999" t="s">
        <v>2681</v>
      </c>
      <c r="H999" t="s">
        <v>3733</v>
      </c>
      <c r="I999">
        <v>1000</v>
      </c>
      <c r="J999" t="s">
        <v>2460</v>
      </c>
      <c r="K999">
        <v>1000</v>
      </c>
      <c r="L999" t="s">
        <v>2460</v>
      </c>
      <c r="M999">
        <v>1000</v>
      </c>
      <c r="N999" t="s">
        <v>2460</v>
      </c>
      <c r="O999">
        <v>1000</v>
      </c>
      <c r="P999" t="s">
        <v>2460</v>
      </c>
      <c r="Q999">
        <v>1000</v>
      </c>
      <c r="R999" t="s">
        <v>2460</v>
      </c>
      <c r="S999" t="s">
        <v>988</v>
      </c>
    </row>
    <row r="1000" spans="1:19" hidden="1" x14ac:dyDescent="0.3">
      <c r="A1000">
        <v>2334</v>
      </c>
      <c r="B1000" t="s">
        <v>1990</v>
      </c>
      <c r="C1000" t="s">
        <v>2877</v>
      </c>
      <c r="D1000" t="s">
        <v>159</v>
      </c>
      <c r="E1000" t="s">
        <v>159</v>
      </c>
      <c r="F1000">
        <v>5637</v>
      </c>
      <c r="G1000" t="s">
        <v>2683</v>
      </c>
      <c r="H1000" t="s">
        <v>2965</v>
      </c>
      <c r="I1000">
        <v>4480</v>
      </c>
      <c r="J1000" t="s">
        <v>2460</v>
      </c>
      <c r="K1000">
        <v>4642</v>
      </c>
      <c r="L1000" t="s">
        <v>2460</v>
      </c>
      <c r="M1000">
        <v>4683</v>
      </c>
      <c r="N1000" t="s">
        <v>2460</v>
      </c>
      <c r="O1000">
        <v>4716</v>
      </c>
      <c r="P1000" t="s">
        <v>2460</v>
      </c>
      <c r="Q1000">
        <v>4720</v>
      </c>
      <c r="R1000" t="s">
        <v>2460</v>
      </c>
      <c r="S1000" t="s">
        <v>988</v>
      </c>
    </row>
    <row r="1001" spans="1:19" hidden="1" x14ac:dyDescent="0.3">
      <c r="A1001">
        <v>2334</v>
      </c>
      <c r="B1001" t="s">
        <v>1990</v>
      </c>
      <c r="C1001" t="s">
        <v>2877</v>
      </c>
      <c r="D1001" t="s">
        <v>159</v>
      </c>
      <c r="E1001" t="s">
        <v>159</v>
      </c>
      <c r="F1001">
        <v>5637</v>
      </c>
      <c r="G1001" t="s">
        <v>2679</v>
      </c>
      <c r="H1001" t="s">
        <v>3209</v>
      </c>
      <c r="I1001">
        <v>1100</v>
      </c>
      <c r="J1001" t="s">
        <v>2460</v>
      </c>
      <c r="K1001">
        <v>1250</v>
      </c>
      <c r="L1001" t="s">
        <v>2460</v>
      </c>
      <c r="M1001">
        <v>1350</v>
      </c>
      <c r="N1001" t="s">
        <v>2460</v>
      </c>
      <c r="O1001">
        <v>1350</v>
      </c>
      <c r="P1001" t="s">
        <v>2460</v>
      </c>
      <c r="Q1001">
        <v>1350</v>
      </c>
      <c r="R1001" t="s">
        <v>2460</v>
      </c>
      <c r="S1001" t="s">
        <v>988</v>
      </c>
    </row>
    <row r="1002" spans="1:19" hidden="1" x14ac:dyDescent="0.3">
      <c r="A1002">
        <v>2337</v>
      </c>
      <c r="B1002" t="s">
        <v>1993</v>
      </c>
      <c r="C1002" t="s">
        <v>2877</v>
      </c>
      <c r="D1002" t="s">
        <v>1203</v>
      </c>
      <c r="E1002" t="s">
        <v>1204</v>
      </c>
      <c r="F1002">
        <v>5742</v>
      </c>
      <c r="G1002" t="s">
        <v>2691</v>
      </c>
      <c r="H1002" t="s">
        <v>2460</v>
      </c>
      <c r="I1002">
        <v>254051.74288655</v>
      </c>
      <c r="J1002" t="s">
        <v>2460</v>
      </c>
      <c r="K1002">
        <v>254051.74288655</v>
      </c>
      <c r="L1002" t="s">
        <v>2460</v>
      </c>
      <c r="M1002">
        <v>254051.74288655</v>
      </c>
      <c r="N1002" t="s">
        <v>2460</v>
      </c>
      <c r="O1002">
        <v>254051.74288655</v>
      </c>
      <c r="P1002" t="s">
        <v>2460</v>
      </c>
      <c r="Q1002">
        <v>254051.74288655</v>
      </c>
      <c r="R1002" t="s">
        <v>2460</v>
      </c>
      <c r="S1002" t="s">
        <v>988</v>
      </c>
    </row>
    <row r="1003" spans="1:19" hidden="1" x14ac:dyDescent="0.3">
      <c r="A1003">
        <v>2341</v>
      </c>
      <c r="B1003" t="s">
        <v>1994</v>
      </c>
      <c r="C1003" t="s">
        <v>2877</v>
      </c>
      <c r="D1003" t="s">
        <v>159</v>
      </c>
      <c r="E1003" t="s">
        <v>159</v>
      </c>
      <c r="F1003">
        <v>6850</v>
      </c>
      <c r="G1003" t="s">
        <v>2679</v>
      </c>
      <c r="H1003" t="s">
        <v>3734</v>
      </c>
      <c r="I1003">
        <v>200</v>
      </c>
      <c r="J1003" t="s">
        <v>2460</v>
      </c>
      <c r="K1003">
        <v>200</v>
      </c>
      <c r="L1003" t="s">
        <v>2460</v>
      </c>
      <c r="M1003">
        <v>200</v>
      </c>
      <c r="N1003" t="s">
        <v>2460</v>
      </c>
      <c r="O1003">
        <v>200</v>
      </c>
      <c r="P1003" t="s">
        <v>2460</v>
      </c>
      <c r="Q1003">
        <v>200</v>
      </c>
      <c r="R1003" t="s">
        <v>2460</v>
      </c>
      <c r="S1003" t="s">
        <v>988</v>
      </c>
    </row>
    <row r="1004" spans="1:19" hidden="1" x14ac:dyDescent="0.3">
      <c r="A1004">
        <v>2341</v>
      </c>
      <c r="B1004" t="s">
        <v>1994</v>
      </c>
      <c r="C1004" t="s">
        <v>2877</v>
      </c>
      <c r="D1004" t="s">
        <v>159</v>
      </c>
      <c r="E1004" t="s">
        <v>159</v>
      </c>
      <c r="F1004">
        <v>6850</v>
      </c>
      <c r="G1004" t="s">
        <v>2681</v>
      </c>
      <c r="H1004" t="s">
        <v>2911</v>
      </c>
      <c r="I1004">
        <v>11183</v>
      </c>
      <c r="J1004" t="s">
        <v>2460</v>
      </c>
      <c r="K1004">
        <v>11183</v>
      </c>
      <c r="L1004" t="s">
        <v>2460</v>
      </c>
      <c r="M1004">
        <v>11183</v>
      </c>
      <c r="N1004" t="s">
        <v>2460</v>
      </c>
      <c r="O1004">
        <v>11183</v>
      </c>
      <c r="P1004" t="s">
        <v>2460</v>
      </c>
      <c r="Q1004">
        <v>11183</v>
      </c>
      <c r="R1004" t="s">
        <v>2460</v>
      </c>
      <c r="S1004" t="s">
        <v>988</v>
      </c>
    </row>
    <row r="1005" spans="1:19" hidden="1" x14ac:dyDescent="0.3">
      <c r="A1005">
        <v>2341</v>
      </c>
      <c r="B1005" t="s">
        <v>1994</v>
      </c>
      <c r="C1005" t="s">
        <v>2877</v>
      </c>
      <c r="D1005" t="s">
        <v>159</v>
      </c>
      <c r="E1005" t="s">
        <v>159</v>
      </c>
      <c r="F1005">
        <v>6850</v>
      </c>
      <c r="G1005" t="s">
        <v>2683</v>
      </c>
      <c r="H1005" t="s">
        <v>3734</v>
      </c>
      <c r="I1005">
        <v>500</v>
      </c>
      <c r="J1005" t="s">
        <v>2460</v>
      </c>
      <c r="K1005">
        <v>500</v>
      </c>
      <c r="L1005" t="s">
        <v>2460</v>
      </c>
      <c r="M1005">
        <v>500</v>
      </c>
      <c r="N1005" t="s">
        <v>2460</v>
      </c>
      <c r="O1005">
        <v>500</v>
      </c>
      <c r="P1005" t="s">
        <v>2460</v>
      </c>
      <c r="Q1005">
        <v>500</v>
      </c>
      <c r="R1005" t="s">
        <v>2460</v>
      </c>
      <c r="S1005" t="s">
        <v>988</v>
      </c>
    </row>
    <row r="1006" spans="1:19" hidden="1" x14ac:dyDescent="0.3">
      <c r="A1006">
        <v>2343</v>
      </c>
      <c r="B1006" t="s">
        <v>1995</v>
      </c>
      <c r="C1006" t="s">
        <v>2877</v>
      </c>
      <c r="D1006" t="s">
        <v>1203</v>
      </c>
      <c r="E1006" t="s">
        <v>1204</v>
      </c>
      <c r="F1006">
        <v>5812</v>
      </c>
      <c r="G1006" t="s">
        <v>2681</v>
      </c>
      <c r="H1006" t="s">
        <v>3735</v>
      </c>
      <c r="I1006">
        <v>2409</v>
      </c>
      <c r="J1006" t="s">
        <v>2460</v>
      </c>
      <c r="K1006">
        <v>2528</v>
      </c>
      <c r="L1006" t="s">
        <v>2460</v>
      </c>
      <c r="M1006">
        <v>2656</v>
      </c>
      <c r="N1006" t="s">
        <v>2460</v>
      </c>
      <c r="O1006">
        <v>2788</v>
      </c>
      <c r="P1006" t="s">
        <v>2460</v>
      </c>
      <c r="Q1006">
        <v>2928</v>
      </c>
      <c r="R1006" t="s">
        <v>2460</v>
      </c>
      <c r="S1006" t="s">
        <v>988</v>
      </c>
    </row>
    <row r="1007" spans="1:19" hidden="1" x14ac:dyDescent="0.3">
      <c r="A1007">
        <v>2343</v>
      </c>
      <c r="B1007" t="s">
        <v>1995</v>
      </c>
      <c r="C1007" t="s">
        <v>2877</v>
      </c>
      <c r="D1007" t="s">
        <v>1203</v>
      </c>
      <c r="E1007" t="s">
        <v>1204</v>
      </c>
      <c r="F1007">
        <v>5812</v>
      </c>
      <c r="G1007" t="s">
        <v>2681</v>
      </c>
      <c r="H1007" t="s">
        <v>3736</v>
      </c>
      <c r="I1007">
        <v>328</v>
      </c>
      <c r="J1007" t="s">
        <v>2460</v>
      </c>
      <c r="K1007">
        <v>345</v>
      </c>
      <c r="L1007" t="s">
        <v>2460</v>
      </c>
      <c r="M1007">
        <v>362</v>
      </c>
      <c r="N1007" t="s">
        <v>2460</v>
      </c>
      <c r="O1007">
        <v>380</v>
      </c>
      <c r="P1007" t="s">
        <v>2460</v>
      </c>
      <c r="Q1007">
        <v>399</v>
      </c>
      <c r="R1007" t="s">
        <v>2460</v>
      </c>
      <c r="S1007" t="s">
        <v>988</v>
      </c>
    </row>
    <row r="1008" spans="1:19" hidden="1" x14ac:dyDescent="0.3">
      <c r="A1008">
        <v>2345</v>
      </c>
      <c r="B1008" t="s">
        <v>1997</v>
      </c>
      <c r="C1008" t="s">
        <v>2877</v>
      </c>
      <c r="D1008" t="s">
        <v>1203</v>
      </c>
      <c r="E1008" t="s">
        <v>1204</v>
      </c>
      <c r="F1008">
        <v>5554</v>
      </c>
      <c r="G1008" t="s">
        <v>2683</v>
      </c>
      <c r="H1008" t="s">
        <v>3737</v>
      </c>
      <c r="I1008">
        <v>150</v>
      </c>
      <c r="J1008" t="s">
        <v>2460</v>
      </c>
      <c r="K1008">
        <v>150</v>
      </c>
      <c r="L1008" t="s">
        <v>2460</v>
      </c>
      <c r="M1008">
        <v>150</v>
      </c>
      <c r="N1008" t="s">
        <v>2460</v>
      </c>
      <c r="O1008">
        <v>150</v>
      </c>
      <c r="P1008" t="s">
        <v>2460</v>
      </c>
      <c r="Q1008">
        <v>150</v>
      </c>
      <c r="R1008" t="s">
        <v>2460</v>
      </c>
      <c r="S1008" t="s">
        <v>988</v>
      </c>
    </row>
    <row r="1009" spans="1:19" hidden="1" x14ac:dyDescent="0.3">
      <c r="A1009">
        <v>2345</v>
      </c>
      <c r="B1009" t="s">
        <v>1997</v>
      </c>
      <c r="C1009" t="s">
        <v>2877</v>
      </c>
      <c r="D1009" t="s">
        <v>1203</v>
      </c>
      <c r="E1009" t="s">
        <v>1204</v>
      </c>
      <c r="F1009">
        <v>5554</v>
      </c>
      <c r="G1009" t="s">
        <v>2683</v>
      </c>
      <c r="H1009" t="s">
        <v>3738</v>
      </c>
      <c r="I1009">
        <v>20</v>
      </c>
      <c r="J1009" t="s">
        <v>2460</v>
      </c>
      <c r="K1009">
        <v>20</v>
      </c>
      <c r="L1009" t="s">
        <v>2460</v>
      </c>
      <c r="M1009">
        <v>20</v>
      </c>
      <c r="N1009" t="s">
        <v>2460</v>
      </c>
      <c r="O1009">
        <v>20</v>
      </c>
      <c r="P1009" t="s">
        <v>2460</v>
      </c>
      <c r="Q1009">
        <v>20</v>
      </c>
      <c r="R1009" t="s">
        <v>2460</v>
      </c>
      <c r="S1009" t="s">
        <v>988</v>
      </c>
    </row>
    <row r="1010" spans="1:19" hidden="1" x14ac:dyDescent="0.3">
      <c r="A1010">
        <v>2345</v>
      </c>
      <c r="B1010" t="s">
        <v>1997</v>
      </c>
      <c r="C1010" t="s">
        <v>2877</v>
      </c>
      <c r="D1010" t="s">
        <v>1203</v>
      </c>
      <c r="E1010" t="s">
        <v>1204</v>
      </c>
      <c r="F1010">
        <v>5554</v>
      </c>
      <c r="G1010" t="s">
        <v>2681</v>
      </c>
      <c r="H1010" t="s">
        <v>2888</v>
      </c>
      <c r="I1010">
        <v>3997</v>
      </c>
      <c r="J1010" t="s">
        <v>2460</v>
      </c>
      <c r="K1010">
        <v>4030</v>
      </c>
      <c r="L1010" t="s">
        <v>2460</v>
      </c>
      <c r="M1010">
        <v>4063</v>
      </c>
      <c r="N1010" t="s">
        <v>2460</v>
      </c>
      <c r="O1010">
        <v>4096</v>
      </c>
      <c r="P1010" t="s">
        <v>2460</v>
      </c>
      <c r="Q1010">
        <v>4129</v>
      </c>
      <c r="R1010" t="s">
        <v>2460</v>
      </c>
      <c r="S1010" t="s">
        <v>988</v>
      </c>
    </row>
    <row r="1011" spans="1:19" hidden="1" x14ac:dyDescent="0.3">
      <c r="A1011">
        <v>2348</v>
      </c>
      <c r="B1011" t="s">
        <v>1998</v>
      </c>
      <c r="C1011" t="s">
        <v>2877</v>
      </c>
      <c r="D1011" t="s">
        <v>159</v>
      </c>
      <c r="E1011" t="s">
        <v>159</v>
      </c>
      <c r="F1011">
        <v>6953</v>
      </c>
      <c r="G1011" t="s">
        <v>2681</v>
      </c>
      <c r="H1011" t="s">
        <v>2460</v>
      </c>
      <c r="I1011">
        <v>5886</v>
      </c>
      <c r="J1011" t="s">
        <v>3739</v>
      </c>
      <c r="K1011">
        <v>5996</v>
      </c>
      <c r="L1011" t="s">
        <v>3739</v>
      </c>
      <c r="M1011">
        <v>6108</v>
      </c>
      <c r="N1011" t="s">
        <v>3739</v>
      </c>
      <c r="O1011">
        <v>6222</v>
      </c>
      <c r="P1011" t="s">
        <v>3739</v>
      </c>
      <c r="Q1011">
        <v>6338</v>
      </c>
      <c r="R1011" t="s">
        <v>3739</v>
      </c>
      <c r="S1011" t="s">
        <v>988</v>
      </c>
    </row>
    <row r="1012" spans="1:19" hidden="1" x14ac:dyDescent="0.3">
      <c r="A1012">
        <v>2381</v>
      </c>
      <c r="B1012" t="s">
        <v>2000</v>
      </c>
      <c r="C1012" t="s">
        <v>2877</v>
      </c>
      <c r="D1012" t="s">
        <v>159</v>
      </c>
      <c r="E1012" t="s">
        <v>159</v>
      </c>
      <c r="F1012">
        <v>7791</v>
      </c>
      <c r="G1012" t="s">
        <v>2681</v>
      </c>
      <c r="H1012" t="s">
        <v>3601</v>
      </c>
      <c r="I1012">
        <v>23100</v>
      </c>
      <c r="J1012" t="s">
        <v>2460</v>
      </c>
      <c r="K1012">
        <v>23100</v>
      </c>
      <c r="L1012" t="s">
        <v>2460</v>
      </c>
      <c r="M1012">
        <v>23100</v>
      </c>
      <c r="N1012" t="s">
        <v>2460</v>
      </c>
      <c r="O1012">
        <v>23100</v>
      </c>
      <c r="P1012" t="s">
        <v>2460</v>
      </c>
      <c r="Q1012">
        <v>23100</v>
      </c>
      <c r="R1012" t="s">
        <v>2460</v>
      </c>
      <c r="S1012" t="s">
        <v>988</v>
      </c>
    </row>
    <row r="1013" spans="1:19" hidden="1" x14ac:dyDescent="0.3">
      <c r="A1013">
        <v>2381</v>
      </c>
      <c r="B1013" t="s">
        <v>2000</v>
      </c>
      <c r="C1013" t="s">
        <v>2877</v>
      </c>
      <c r="D1013" t="s">
        <v>159</v>
      </c>
      <c r="E1013" t="s">
        <v>159</v>
      </c>
      <c r="F1013">
        <v>7791</v>
      </c>
      <c r="G1013" t="s">
        <v>2683</v>
      </c>
      <c r="H1013" t="s">
        <v>3740</v>
      </c>
      <c r="I1013">
        <v>24300</v>
      </c>
      <c r="J1013" t="s">
        <v>2460</v>
      </c>
      <c r="K1013">
        <v>24300</v>
      </c>
      <c r="L1013" t="s">
        <v>2460</v>
      </c>
      <c r="M1013">
        <v>24300</v>
      </c>
      <c r="N1013" t="s">
        <v>2460</v>
      </c>
      <c r="O1013">
        <v>24300</v>
      </c>
      <c r="P1013" t="s">
        <v>2460</v>
      </c>
      <c r="Q1013">
        <v>24300</v>
      </c>
      <c r="R1013" t="s">
        <v>2460</v>
      </c>
      <c r="S1013" t="s">
        <v>988</v>
      </c>
    </row>
    <row r="1014" spans="1:19" hidden="1" x14ac:dyDescent="0.3">
      <c r="A1014">
        <v>2381</v>
      </c>
      <c r="B1014" t="s">
        <v>2000</v>
      </c>
      <c r="C1014" t="s">
        <v>2877</v>
      </c>
      <c r="D1014" t="s">
        <v>159</v>
      </c>
      <c r="E1014" t="s">
        <v>159</v>
      </c>
      <c r="F1014">
        <v>7791</v>
      </c>
      <c r="G1014" t="s">
        <v>2683</v>
      </c>
      <c r="H1014" t="s">
        <v>3741</v>
      </c>
      <c r="I1014">
        <v>6500</v>
      </c>
      <c r="J1014" t="s">
        <v>2460</v>
      </c>
      <c r="K1014">
        <v>13000</v>
      </c>
      <c r="L1014" t="s">
        <v>2460</v>
      </c>
      <c r="M1014">
        <v>13000</v>
      </c>
      <c r="N1014" t="s">
        <v>2460</v>
      </c>
      <c r="O1014">
        <v>13000</v>
      </c>
      <c r="P1014" t="s">
        <v>2460</v>
      </c>
      <c r="Q1014">
        <v>13000</v>
      </c>
      <c r="R1014" t="s">
        <v>2460</v>
      </c>
      <c r="S1014" t="s">
        <v>988</v>
      </c>
    </row>
    <row r="1015" spans="1:19" hidden="1" x14ac:dyDescent="0.3">
      <c r="A1015">
        <v>2381</v>
      </c>
      <c r="B1015" t="s">
        <v>2000</v>
      </c>
      <c r="C1015" t="s">
        <v>2877</v>
      </c>
      <c r="D1015" t="s">
        <v>159</v>
      </c>
      <c r="E1015" t="s">
        <v>159</v>
      </c>
      <c r="F1015">
        <v>7791</v>
      </c>
      <c r="G1015" t="s">
        <v>2691</v>
      </c>
      <c r="H1015" t="s">
        <v>3742</v>
      </c>
      <c r="I1015">
        <v>23400</v>
      </c>
      <c r="J1015" t="s">
        <v>2460</v>
      </c>
      <c r="K1015">
        <v>24800</v>
      </c>
      <c r="L1015" t="s">
        <v>2460</v>
      </c>
      <c r="M1015">
        <v>25000</v>
      </c>
      <c r="N1015" t="s">
        <v>2460</v>
      </c>
      <c r="O1015">
        <v>25000</v>
      </c>
      <c r="P1015" t="s">
        <v>2460</v>
      </c>
      <c r="Q1015">
        <v>25000</v>
      </c>
      <c r="R1015" t="s">
        <v>2460</v>
      </c>
      <c r="S1015" t="s">
        <v>988</v>
      </c>
    </row>
    <row r="1016" spans="1:19" hidden="1" x14ac:dyDescent="0.3">
      <c r="A1016">
        <v>2401</v>
      </c>
      <c r="B1016" t="s">
        <v>2006</v>
      </c>
      <c r="C1016" t="s">
        <v>2877</v>
      </c>
      <c r="D1016" t="s">
        <v>1203</v>
      </c>
      <c r="E1016" t="s">
        <v>1204</v>
      </c>
      <c r="F1016">
        <v>5710</v>
      </c>
      <c r="G1016" t="s">
        <v>2683</v>
      </c>
      <c r="H1016" t="s">
        <v>3743</v>
      </c>
      <c r="I1016">
        <v>18200</v>
      </c>
      <c r="J1016" t="s">
        <v>2460</v>
      </c>
      <c r="K1016">
        <v>18200</v>
      </c>
      <c r="L1016" t="s">
        <v>2460</v>
      </c>
      <c r="M1016">
        <v>18200</v>
      </c>
      <c r="N1016" t="s">
        <v>2460</v>
      </c>
      <c r="O1016">
        <v>18200</v>
      </c>
      <c r="P1016" t="s">
        <v>2460</v>
      </c>
      <c r="Q1016">
        <v>18200</v>
      </c>
      <c r="R1016" t="s">
        <v>2460</v>
      </c>
      <c r="S1016" t="s">
        <v>988</v>
      </c>
    </row>
    <row r="1017" spans="1:19" hidden="1" x14ac:dyDescent="0.3">
      <c r="A1017">
        <v>2401</v>
      </c>
      <c r="B1017" t="s">
        <v>2006</v>
      </c>
      <c r="C1017" t="s">
        <v>2877</v>
      </c>
      <c r="D1017" t="s">
        <v>1203</v>
      </c>
      <c r="E1017" t="s">
        <v>1204</v>
      </c>
      <c r="F1017">
        <v>5710</v>
      </c>
      <c r="G1017" t="s">
        <v>2679</v>
      </c>
      <c r="H1017" t="s">
        <v>3744</v>
      </c>
      <c r="I1017">
        <v>700</v>
      </c>
      <c r="J1017" t="s">
        <v>2460</v>
      </c>
      <c r="K1017">
        <v>700</v>
      </c>
      <c r="L1017" t="s">
        <v>2460</v>
      </c>
      <c r="M1017">
        <v>700</v>
      </c>
      <c r="N1017" t="s">
        <v>2460</v>
      </c>
      <c r="O1017">
        <v>700</v>
      </c>
      <c r="P1017" t="s">
        <v>2460</v>
      </c>
      <c r="Q1017">
        <v>700</v>
      </c>
      <c r="R1017" t="s">
        <v>2460</v>
      </c>
      <c r="S1017" t="s">
        <v>988</v>
      </c>
    </row>
    <row r="1018" spans="1:19" hidden="1" x14ac:dyDescent="0.3">
      <c r="A1018">
        <v>2401</v>
      </c>
      <c r="B1018" t="s">
        <v>2006</v>
      </c>
      <c r="C1018" t="s">
        <v>2877</v>
      </c>
      <c r="D1018" t="s">
        <v>1203</v>
      </c>
      <c r="E1018" t="s">
        <v>1204</v>
      </c>
      <c r="F1018">
        <v>5710</v>
      </c>
      <c r="G1018" t="s">
        <v>2681</v>
      </c>
      <c r="H1018" t="s">
        <v>3745</v>
      </c>
      <c r="I1018">
        <v>16715</v>
      </c>
      <c r="J1018" t="s">
        <v>2460</v>
      </c>
      <c r="K1018">
        <v>16715</v>
      </c>
      <c r="L1018" t="s">
        <v>2460</v>
      </c>
      <c r="M1018">
        <v>16715</v>
      </c>
      <c r="N1018" t="s">
        <v>2460</v>
      </c>
      <c r="O1018">
        <v>16715</v>
      </c>
      <c r="P1018" t="s">
        <v>2460</v>
      </c>
      <c r="Q1018">
        <v>16715</v>
      </c>
      <c r="R1018" t="s">
        <v>2460</v>
      </c>
      <c r="S1018" t="s">
        <v>988</v>
      </c>
    </row>
    <row r="1019" spans="1:19" hidden="1" x14ac:dyDescent="0.3">
      <c r="A1019">
        <v>2402</v>
      </c>
      <c r="B1019" t="s">
        <v>2008</v>
      </c>
      <c r="C1019" t="s">
        <v>2877</v>
      </c>
      <c r="D1019" t="s">
        <v>1203</v>
      </c>
      <c r="E1019" t="s">
        <v>1204</v>
      </c>
      <c r="F1019">
        <v>5714</v>
      </c>
      <c r="G1019" t="s">
        <v>2681</v>
      </c>
      <c r="H1019" t="s">
        <v>3746</v>
      </c>
      <c r="I1019">
        <v>3721</v>
      </c>
      <c r="J1019" t="s">
        <v>2460</v>
      </c>
      <c r="K1019">
        <v>3721</v>
      </c>
      <c r="L1019" t="s">
        <v>2460</v>
      </c>
      <c r="M1019">
        <v>3721</v>
      </c>
      <c r="N1019" t="s">
        <v>2460</v>
      </c>
      <c r="O1019">
        <v>3721</v>
      </c>
      <c r="P1019" t="s">
        <v>2460</v>
      </c>
      <c r="Q1019">
        <v>3721</v>
      </c>
      <c r="R1019" t="s">
        <v>2460</v>
      </c>
      <c r="S1019" t="s">
        <v>988</v>
      </c>
    </row>
    <row r="1020" spans="1:19" hidden="1" x14ac:dyDescent="0.3">
      <c r="A1020">
        <v>2402</v>
      </c>
      <c r="B1020" t="s">
        <v>2008</v>
      </c>
      <c r="C1020" t="s">
        <v>2877</v>
      </c>
      <c r="D1020" t="s">
        <v>1203</v>
      </c>
      <c r="E1020" t="s">
        <v>1204</v>
      </c>
      <c r="F1020">
        <v>5714</v>
      </c>
      <c r="G1020" t="s">
        <v>2681</v>
      </c>
      <c r="H1020" t="s">
        <v>3747</v>
      </c>
      <c r="I1020">
        <v>12285</v>
      </c>
      <c r="J1020" t="s">
        <v>2460</v>
      </c>
      <c r="K1020">
        <v>12285</v>
      </c>
      <c r="L1020" t="s">
        <v>2460</v>
      </c>
      <c r="M1020">
        <v>12285</v>
      </c>
      <c r="N1020" t="s">
        <v>2460</v>
      </c>
      <c r="O1020">
        <v>12285</v>
      </c>
      <c r="P1020" t="s">
        <v>2460</v>
      </c>
      <c r="Q1020">
        <v>12285</v>
      </c>
      <c r="R1020" t="s">
        <v>2460</v>
      </c>
      <c r="S1020" t="s">
        <v>988</v>
      </c>
    </row>
    <row r="1021" spans="1:19" hidden="1" x14ac:dyDescent="0.3">
      <c r="A1021">
        <v>2402</v>
      </c>
      <c r="B1021" t="s">
        <v>2008</v>
      </c>
      <c r="C1021" t="s">
        <v>2877</v>
      </c>
      <c r="D1021" t="s">
        <v>1203</v>
      </c>
      <c r="E1021" t="s">
        <v>1204</v>
      </c>
      <c r="F1021">
        <v>5714</v>
      </c>
      <c r="G1021" t="s">
        <v>2683</v>
      </c>
      <c r="H1021" t="s">
        <v>3748</v>
      </c>
      <c r="I1021">
        <v>8200</v>
      </c>
      <c r="J1021" t="s">
        <v>2460</v>
      </c>
      <c r="K1021">
        <v>8200</v>
      </c>
      <c r="L1021" t="s">
        <v>2460</v>
      </c>
      <c r="M1021">
        <v>8200</v>
      </c>
      <c r="N1021" t="s">
        <v>2460</v>
      </c>
      <c r="O1021">
        <v>8200</v>
      </c>
      <c r="P1021" t="s">
        <v>2460</v>
      </c>
      <c r="Q1021">
        <v>8200</v>
      </c>
      <c r="R1021" t="s">
        <v>2460</v>
      </c>
      <c r="S1021" t="s">
        <v>988</v>
      </c>
    </row>
    <row r="1022" spans="1:19" hidden="1" x14ac:dyDescent="0.3">
      <c r="A1022">
        <v>2402</v>
      </c>
      <c r="B1022" t="s">
        <v>2008</v>
      </c>
      <c r="C1022" t="s">
        <v>2877</v>
      </c>
      <c r="D1022" t="s">
        <v>1203</v>
      </c>
      <c r="E1022" t="s">
        <v>1204</v>
      </c>
      <c r="F1022">
        <v>5714</v>
      </c>
      <c r="G1022" t="s">
        <v>2679</v>
      </c>
      <c r="H1022" t="s">
        <v>3749</v>
      </c>
      <c r="I1022">
        <v>930</v>
      </c>
      <c r="J1022" t="s">
        <v>2460</v>
      </c>
      <c r="K1022">
        <v>930</v>
      </c>
      <c r="L1022" t="s">
        <v>2460</v>
      </c>
      <c r="M1022">
        <v>930</v>
      </c>
      <c r="N1022" t="s">
        <v>2460</v>
      </c>
      <c r="O1022">
        <v>930</v>
      </c>
      <c r="P1022" t="s">
        <v>2460</v>
      </c>
      <c r="Q1022">
        <v>930</v>
      </c>
      <c r="R1022" t="s">
        <v>2460</v>
      </c>
      <c r="S1022" t="s">
        <v>988</v>
      </c>
    </row>
    <row r="1023" spans="1:19" hidden="1" x14ac:dyDescent="0.3">
      <c r="A1023">
        <v>2419</v>
      </c>
      <c r="B1023" t="s">
        <v>2009</v>
      </c>
      <c r="C1023" t="s">
        <v>2877</v>
      </c>
      <c r="D1023" t="s">
        <v>1203</v>
      </c>
      <c r="E1023" t="s">
        <v>1204</v>
      </c>
      <c r="F1023">
        <v>5537</v>
      </c>
      <c r="G1023" t="s">
        <v>2681</v>
      </c>
      <c r="H1023" t="s">
        <v>2899</v>
      </c>
      <c r="I1023">
        <v>1055</v>
      </c>
      <c r="J1023" t="s">
        <v>2460</v>
      </c>
      <c r="K1023">
        <v>1055</v>
      </c>
      <c r="L1023" t="s">
        <v>2460</v>
      </c>
      <c r="M1023">
        <v>1055</v>
      </c>
      <c r="N1023" t="s">
        <v>2460</v>
      </c>
      <c r="O1023">
        <v>1055</v>
      </c>
      <c r="P1023" t="s">
        <v>2460</v>
      </c>
      <c r="Q1023">
        <v>1055</v>
      </c>
      <c r="R1023" t="s">
        <v>2460</v>
      </c>
      <c r="S1023" t="s">
        <v>988</v>
      </c>
    </row>
    <row r="1024" spans="1:19" hidden="1" x14ac:dyDescent="0.3">
      <c r="A1024">
        <v>2419</v>
      </c>
      <c r="B1024" t="s">
        <v>2009</v>
      </c>
      <c r="C1024" t="s">
        <v>2877</v>
      </c>
      <c r="D1024" t="s">
        <v>1203</v>
      </c>
      <c r="E1024" t="s">
        <v>1204</v>
      </c>
      <c r="F1024">
        <v>5537</v>
      </c>
      <c r="G1024" t="s">
        <v>2681</v>
      </c>
      <c r="H1024" t="s">
        <v>2888</v>
      </c>
      <c r="I1024">
        <v>2733</v>
      </c>
      <c r="J1024" t="s">
        <v>2460</v>
      </c>
      <c r="K1024">
        <v>2848</v>
      </c>
      <c r="L1024" t="s">
        <v>2460</v>
      </c>
      <c r="M1024">
        <v>2966</v>
      </c>
      <c r="N1024" t="s">
        <v>2460</v>
      </c>
      <c r="O1024">
        <v>3087</v>
      </c>
      <c r="P1024" t="s">
        <v>2460</v>
      </c>
      <c r="Q1024">
        <v>3211</v>
      </c>
      <c r="R1024" t="s">
        <v>2460</v>
      </c>
      <c r="S1024" t="s">
        <v>988</v>
      </c>
    </row>
    <row r="1025" spans="1:19" hidden="1" x14ac:dyDescent="0.3">
      <c r="A1025">
        <v>2424</v>
      </c>
      <c r="B1025" t="s">
        <v>2010</v>
      </c>
      <c r="C1025" t="s">
        <v>2877</v>
      </c>
      <c r="D1025" t="s">
        <v>1203</v>
      </c>
      <c r="E1025" t="s">
        <v>1204</v>
      </c>
      <c r="F1025">
        <v>7812</v>
      </c>
      <c r="G1025" t="s">
        <v>2681</v>
      </c>
      <c r="H1025" t="s">
        <v>2460</v>
      </c>
      <c r="I1025">
        <v>488</v>
      </c>
      <c r="J1025" t="s">
        <v>2460</v>
      </c>
      <c r="K1025">
        <v>1232</v>
      </c>
      <c r="L1025" t="s">
        <v>2460</v>
      </c>
      <c r="M1025">
        <v>1828</v>
      </c>
      <c r="N1025" t="s">
        <v>2460</v>
      </c>
      <c r="O1025">
        <v>2537</v>
      </c>
      <c r="P1025" t="s">
        <v>2460</v>
      </c>
      <c r="R1025" t="s">
        <v>2460</v>
      </c>
      <c r="S1025" t="s">
        <v>988</v>
      </c>
    </row>
    <row r="1026" spans="1:19" hidden="1" x14ac:dyDescent="0.3">
      <c r="A1026">
        <v>2424</v>
      </c>
      <c r="B1026" t="s">
        <v>2010</v>
      </c>
      <c r="C1026" t="s">
        <v>2877</v>
      </c>
      <c r="D1026" t="s">
        <v>1203</v>
      </c>
      <c r="E1026" t="s">
        <v>1204</v>
      </c>
      <c r="F1026">
        <v>7812</v>
      </c>
      <c r="G1026" t="s">
        <v>2683</v>
      </c>
      <c r="H1026" t="s">
        <v>861</v>
      </c>
      <c r="I1026">
        <v>2694</v>
      </c>
      <c r="J1026" t="s">
        <v>2460</v>
      </c>
      <c r="K1026">
        <v>2694</v>
      </c>
      <c r="L1026" t="s">
        <v>2460</v>
      </c>
      <c r="M1026">
        <v>2694</v>
      </c>
      <c r="N1026" t="s">
        <v>2460</v>
      </c>
      <c r="O1026">
        <v>2694</v>
      </c>
      <c r="P1026" t="s">
        <v>2460</v>
      </c>
      <c r="R1026" t="s">
        <v>2460</v>
      </c>
      <c r="S1026" t="s">
        <v>988</v>
      </c>
    </row>
    <row r="1027" spans="1:19" hidden="1" x14ac:dyDescent="0.3">
      <c r="A1027">
        <v>2425</v>
      </c>
      <c r="B1027" t="s">
        <v>2012</v>
      </c>
      <c r="C1027" t="s">
        <v>2877</v>
      </c>
      <c r="D1027" t="s">
        <v>159</v>
      </c>
      <c r="E1027" t="s">
        <v>159</v>
      </c>
      <c r="F1027">
        <v>6886</v>
      </c>
      <c r="G1027" t="s">
        <v>2683</v>
      </c>
      <c r="H1027" t="s">
        <v>2508</v>
      </c>
      <c r="I1027">
        <v>14100</v>
      </c>
      <c r="J1027" t="s">
        <v>2460</v>
      </c>
      <c r="K1027">
        <v>14100</v>
      </c>
      <c r="L1027" t="s">
        <v>2460</v>
      </c>
      <c r="M1027">
        <v>14100</v>
      </c>
      <c r="N1027" t="s">
        <v>2460</v>
      </c>
      <c r="O1027">
        <v>14100</v>
      </c>
      <c r="P1027" t="s">
        <v>2460</v>
      </c>
      <c r="R1027" t="s">
        <v>2460</v>
      </c>
      <c r="S1027" t="s">
        <v>988</v>
      </c>
    </row>
    <row r="1028" spans="1:19" hidden="1" x14ac:dyDescent="0.3">
      <c r="A1028">
        <v>2425</v>
      </c>
      <c r="B1028" t="s">
        <v>2012</v>
      </c>
      <c r="C1028" t="s">
        <v>2877</v>
      </c>
      <c r="D1028" t="s">
        <v>159</v>
      </c>
      <c r="E1028" t="s">
        <v>159</v>
      </c>
      <c r="F1028">
        <v>6886</v>
      </c>
      <c r="G1028" t="s">
        <v>2683</v>
      </c>
      <c r="H1028" t="s">
        <v>3078</v>
      </c>
      <c r="I1028">
        <v>9215</v>
      </c>
      <c r="J1028" t="s">
        <v>2460</v>
      </c>
      <c r="K1028">
        <v>9338</v>
      </c>
      <c r="L1028" t="s">
        <v>2460</v>
      </c>
      <c r="M1028">
        <v>11226</v>
      </c>
      <c r="N1028" t="s">
        <v>2460</v>
      </c>
      <c r="O1028">
        <v>11923</v>
      </c>
      <c r="P1028" t="s">
        <v>2460</v>
      </c>
      <c r="R1028" t="s">
        <v>2460</v>
      </c>
      <c r="S1028" t="s">
        <v>988</v>
      </c>
    </row>
    <row r="1029" spans="1:19" hidden="1" x14ac:dyDescent="0.3">
      <c r="A1029">
        <v>2425</v>
      </c>
      <c r="B1029" t="s">
        <v>2012</v>
      </c>
      <c r="C1029" t="s">
        <v>2877</v>
      </c>
      <c r="D1029" t="s">
        <v>159</v>
      </c>
      <c r="E1029" t="s">
        <v>159</v>
      </c>
      <c r="F1029">
        <v>6886</v>
      </c>
      <c r="G1029" t="s">
        <v>2681</v>
      </c>
      <c r="H1029" t="s">
        <v>3668</v>
      </c>
      <c r="I1029">
        <v>8000</v>
      </c>
      <c r="J1029" t="s">
        <v>2460</v>
      </c>
      <c r="K1029">
        <v>8000</v>
      </c>
      <c r="L1029" t="s">
        <v>2460</v>
      </c>
      <c r="M1029">
        <v>8000</v>
      </c>
      <c r="N1029" t="s">
        <v>2460</v>
      </c>
      <c r="O1029">
        <v>8000</v>
      </c>
      <c r="P1029" t="s">
        <v>2460</v>
      </c>
      <c r="R1029" t="s">
        <v>2460</v>
      </c>
      <c r="S1029" t="s">
        <v>988</v>
      </c>
    </row>
    <row r="1030" spans="1:19" hidden="1" x14ac:dyDescent="0.3">
      <c r="A1030">
        <v>2425</v>
      </c>
      <c r="B1030" t="s">
        <v>2012</v>
      </c>
      <c r="C1030" t="s">
        <v>2877</v>
      </c>
      <c r="D1030" t="s">
        <v>159</v>
      </c>
      <c r="E1030" t="s">
        <v>159</v>
      </c>
      <c r="F1030">
        <v>6886</v>
      </c>
      <c r="G1030" t="s">
        <v>2679</v>
      </c>
      <c r="H1030" t="s">
        <v>2679</v>
      </c>
      <c r="I1030">
        <v>896</v>
      </c>
      <c r="J1030" t="s">
        <v>2460</v>
      </c>
      <c r="K1030">
        <v>1010</v>
      </c>
      <c r="L1030" t="s">
        <v>2460</v>
      </c>
      <c r="M1030">
        <v>1120</v>
      </c>
      <c r="N1030" t="s">
        <v>2460</v>
      </c>
      <c r="O1030">
        <v>1232</v>
      </c>
      <c r="P1030" t="s">
        <v>2460</v>
      </c>
      <c r="R1030" t="s">
        <v>2460</v>
      </c>
      <c r="S1030" t="s">
        <v>988</v>
      </c>
    </row>
    <row r="1031" spans="1:19" hidden="1" x14ac:dyDescent="0.3">
      <c r="A1031">
        <v>2437</v>
      </c>
      <c r="B1031" t="s">
        <v>2015</v>
      </c>
      <c r="C1031" t="s">
        <v>2877</v>
      </c>
      <c r="D1031" t="s">
        <v>1203</v>
      </c>
      <c r="E1031" t="s">
        <v>1204</v>
      </c>
      <c r="F1031">
        <v>5575</v>
      </c>
      <c r="G1031" t="s">
        <v>2683</v>
      </c>
      <c r="H1031" t="s">
        <v>3120</v>
      </c>
      <c r="I1031">
        <v>8604</v>
      </c>
      <c r="J1031" t="s">
        <v>2460</v>
      </c>
      <c r="K1031">
        <v>9081</v>
      </c>
      <c r="L1031" t="s">
        <v>2460</v>
      </c>
      <c r="M1031">
        <v>9557</v>
      </c>
      <c r="N1031" t="s">
        <v>2460</v>
      </c>
      <c r="O1031">
        <v>10531</v>
      </c>
      <c r="P1031" t="s">
        <v>2460</v>
      </c>
      <c r="Q1031">
        <v>11159</v>
      </c>
      <c r="R1031" t="s">
        <v>2460</v>
      </c>
      <c r="S1031" t="s">
        <v>988</v>
      </c>
    </row>
    <row r="1032" spans="1:19" hidden="1" x14ac:dyDescent="0.3">
      <c r="A1032">
        <v>2437</v>
      </c>
      <c r="B1032" t="s">
        <v>2015</v>
      </c>
      <c r="C1032" t="s">
        <v>2877</v>
      </c>
      <c r="D1032" t="s">
        <v>1203</v>
      </c>
      <c r="E1032" t="s">
        <v>1204</v>
      </c>
      <c r="F1032">
        <v>5575</v>
      </c>
      <c r="G1032" t="s">
        <v>2687</v>
      </c>
      <c r="H1032" t="s">
        <v>3750</v>
      </c>
      <c r="I1032">
        <v>5600</v>
      </c>
      <c r="J1032" t="s">
        <v>2460</v>
      </c>
      <c r="K1032">
        <v>5600</v>
      </c>
      <c r="L1032" t="s">
        <v>2460</v>
      </c>
      <c r="M1032">
        <v>5600</v>
      </c>
      <c r="N1032" t="s">
        <v>2460</v>
      </c>
      <c r="O1032">
        <v>5600</v>
      </c>
      <c r="P1032" t="s">
        <v>2460</v>
      </c>
      <c r="Q1032">
        <v>5600</v>
      </c>
      <c r="R1032" t="s">
        <v>2460</v>
      </c>
      <c r="S1032" t="s">
        <v>988</v>
      </c>
    </row>
    <row r="1033" spans="1:19" hidden="1" x14ac:dyDescent="0.3">
      <c r="A1033">
        <v>2437</v>
      </c>
      <c r="B1033" t="s">
        <v>2015</v>
      </c>
      <c r="C1033" t="s">
        <v>2877</v>
      </c>
      <c r="D1033" t="s">
        <v>1203</v>
      </c>
      <c r="E1033" t="s">
        <v>1204</v>
      </c>
      <c r="F1033">
        <v>5575</v>
      </c>
      <c r="G1033" t="s">
        <v>2681</v>
      </c>
      <c r="H1033" t="s">
        <v>3751</v>
      </c>
      <c r="I1033">
        <v>1900</v>
      </c>
      <c r="J1033" t="s">
        <v>2460</v>
      </c>
      <c r="K1033">
        <v>1900</v>
      </c>
      <c r="L1033" t="s">
        <v>2460</v>
      </c>
      <c r="M1033">
        <v>1900</v>
      </c>
      <c r="N1033" t="s">
        <v>2460</v>
      </c>
      <c r="O1033">
        <v>1900</v>
      </c>
      <c r="P1033" t="s">
        <v>2460</v>
      </c>
      <c r="Q1033">
        <v>1900</v>
      </c>
      <c r="R1033" t="s">
        <v>2460</v>
      </c>
      <c r="S1033" t="s">
        <v>988</v>
      </c>
    </row>
    <row r="1034" spans="1:19" hidden="1" x14ac:dyDescent="0.3">
      <c r="A1034">
        <v>2437</v>
      </c>
      <c r="B1034" t="s">
        <v>2015</v>
      </c>
      <c r="C1034" t="s">
        <v>2877</v>
      </c>
      <c r="D1034" t="s">
        <v>1203</v>
      </c>
      <c r="E1034" t="s">
        <v>1204</v>
      </c>
      <c r="F1034">
        <v>5575</v>
      </c>
      <c r="G1034" t="s">
        <v>2691</v>
      </c>
      <c r="H1034" t="s">
        <v>3752</v>
      </c>
      <c r="I1034">
        <v>5000</v>
      </c>
      <c r="J1034" t="s">
        <v>2460</v>
      </c>
      <c r="K1034">
        <v>5000</v>
      </c>
      <c r="L1034" t="s">
        <v>2460</v>
      </c>
      <c r="M1034">
        <v>5000</v>
      </c>
      <c r="N1034" t="s">
        <v>2460</v>
      </c>
      <c r="O1034">
        <v>5000</v>
      </c>
      <c r="P1034" t="s">
        <v>2460</v>
      </c>
      <c r="Q1034">
        <v>5000</v>
      </c>
      <c r="R1034" t="s">
        <v>2460</v>
      </c>
      <c r="S1034" t="s">
        <v>988</v>
      </c>
    </row>
    <row r="1035" spans="1:19" hidden="1" x14ac:dyDescent="0.3">
      <c r="A1035">
        <v>2438</v>
      </c>
      <c r="B1035" t="s">
        <v>2016</v>
      </c>
      <c r="C1035" t="s">
        <v>2877</v>
      </c>
      <c r="D1035" t="s">
        <v>1203</v>
      </c>
      <c r="E1035" t="s">
        <v>1204</v>
      </c>
      <c r="F1035">
        <v>5538</v>
      </c>
      <c r="G1035" t="s">
        <v>2681</v>
      </c>
      <c r="H1035" t="s">
        <v>3753</v>
      </c>
      <c r="I1035">
        <v>1137</v>
      </c>
      <c r="J1035" t="s">
        <v>3754</v>
      </c>
      <c r="K1035">
        <v>1137</v>
      </c>
      <c r="L1035" t="s">
        <v>3754</v>
      </c>
      <c r="M1035">
        <v>1137</v>
      </c>
      <c r="N1035" t="s">
        <v>3754</v>
      </c>
      <c r="O1035">
        <v>1137</v>
      </c>
      <c r="P1035" t="s">
        <v>3754</v>
      </c>
      <c r="R1035" t="s">
        <v>2460</v>
      </c>
      <c r="S1035" t="s">
        <v>988</v>
      </c>
    </row>
    <row r="1036" spans="1:19" hidden="1" x14ac:dyDescent="0.3">
      <c r="A1036">
        <v>2444</v>
      </c>
      <c r="B1036" t="s">
        <v>2018</v>
      </c>
      <c r="C1036" t="s">
        <v>2877</v>
      </c>
      <c r="D1036" t="s">
        <v>1203</v>
      </c>
      <c r="E1036" t="s">
        <v>1204</v>
      </c>
      <c r="F1036">
        <v>6949</v>
      </c>
      <c r="G1036" t="s">
        <v>2681</v>
      </c>
      <c r="H1036" t="s">
        <v>3755</v>
      </c>
      <c r="I1036">
        <v>122.75551400000001</v>
      </c>
      <c r="J1036" t="s">
        <v>2460</v>
      </c>
      <c r="K1036">
        <v>122.75551400000001</v>
      </c>
      <c r="L1036" t="s">
        <v>2460</v>
      </c>
      <c r="M1036">
        <v>122.75551400000001</v>
      </c>
      <c r="N1036" t="s">
        <v>2460</v>
      </c>
      <c r="O1036">
        <v>122.75551400000001</v>
      </c>
      <c r="P1036" t="s">
        <v>2460</v>
      </c>
      <c r="R1036" t="s">
        <v>2460</v>
      </c>
      <c r="S1036" t="s">
        <v>988</v>
      </c>
    </row>
    <row r="1037" spans="1:19" hidden="1" x14ac:dyDescent="0.3">
      <c r="A1037">
        <v>2444</v>
      </c>
      <c r="B1037" t="s">
        <v>2018</v>
      </c>
      <c r="C1037" t="s">
        <v>2877</v>
      </c>
      <c r="D1037" t="s">
        <v>1203</v>
      </c>
      <c r="E1037" t="s">
        <v>1204</v>
      </c>
      <c r="F1037">
        <v>6949</v>
      </c>
      <c r="G1037" t="s">
        <v>2681</v>
      </c>
      <c r="H1037" t="s">
        <v>3756</v>
      </c>
      <c r="I1037">
        <v>9.20666355</v>
      </c>
      <c r="J1037" t="s">
        <v>2460</v>
      </c>
      <c r="K1037">
        <v>9.20666355</v>
      </c>
      <c r="L1037" t="s">
        <v>2460</v>
      </c>
      <c r="M1037">
        <v>9.20666355</v>
      </c>
      <c r="N1037" t="s">
        <v>2460</v>
      </c>
      <c r="O1037">
        <v>9.20666355</v>
      </c>
      <c r="P1037" t="s">
        <v>2460</v>
      </c>
      <c r="R1037" t="s">
        <v>2460</v>
      </c>
      <c r="S1037" t="s">
        <v>988</v>
      </c>
    </row>
    <row r="1038" spans="1:19" hidden="1" x14ac:dyDescent="0.3">
      <c r="A1038">
        <v>2444</v>
      </c>
      <c r="B1038" t="s">
        <v>2018</v>
      </c>
      <c r="C1038" t="s">
        <v>2877</v>
      </c>
      <c r="D1038" t="s">
        <v>1203</v>
      </c>
      <c r="E1038" t="s">
        <v>1204</v>
      </c>
      <c r="F1038">
        <v>6949</v>
      </c>
      <c r="G1038" t="s">
        <v>2681</v>
      </c>
      <c r="H1038" t="s">
        <v>3757</v>
      </c>
      <c r="I1038">
        <v>153.44439249999999</v>
      </c>
      <c r="J1038" t="s">
        <v>2460</v>
      </c>
      <c r="K1038">
        <v>153.44439249999999</v>
      </c>
      <c r="L1038" t="s">
        <v>2460</v>
      </c>
      <c r="M1038">
        <v>153.44439249999999</v>
      </c>
      <c r="N1038" t="s">
        <v>2460</v>
      </c>
      <c r="O1038">
        <v>153.44439249999999</v>
      </c>
      <c r="P1038" t="s">
        <v>2460</v>
      </c>
      <c r="R1038" t="s">
        <v>2460</v>
      </c>
      <c r="S1038" t="s">
        <v>988</v>
      </c>
    </row>
    <row r="1039" spans="1:19" hidden="1" x14ac:dyDescent="0.3">
      <c r="A1039">
        <v>2444</v>
      </c>
      <c r="B1039" t="s">
        <v>2018</v>
      </c>
      <c r="C1039" t="s">
        <v>2877</v>
      </c>
      <c r="D1039" t="s">
        <v>1203</v>
      </c>
      <c r="E1039" t="s">
        <v>1204</v>
      </c>
      <c r="F1039">
        <v>6949</v>
      </c>
      <c r="G1039" t="s">
        <v>2681</v>
      </c>
      <c r="H1039" t="s">
        <v>3758</v>
      </c>
      <c r="I1039">
        <v>46.033317750000002</v>
      </c>
      <c r="J1039" t="s">
        <v>2460</v>
      </c>
      <c r="K1039">
        <v>46.033317750000002</v>
      </c>
      <c r="L1039" t="s">
        <v>2460</v>
      </c>
      <c r="M1039">
        <v>46.033317750000002</v>
      </c>
      <c r="N1039" t="s">
        <v>2460</v>
      </c>
      <c r="O1039">
        <v>46.033317750000002</v>
      </c>
      <c r="P1039" t="s">
        <v>2460</v>
      </c>
      <c r="R1039" t="s">
        <v>2460</v>
      </c>
      <c r="S1039" t="s">
        <v>988</v>
      </c>
    </row>
    <row r="1040" spans="1:19" hidden="1" x14ac:dyDescent="0.3">
      <c r="A1040">
        <v>2444</v>
      </c>
      <c r="B1040" t="s">
        <v>2018</v>
      </c>
      <c r="C1040" t="s">
        <v>2877</v>
      </c>
      <c r="D1040" t="s">
        <v>1203</v>
      </c>
      <c r="E1040" t="s">
        <v>1204</v>
      </c>
      <c r="F1040">
        <v>6949</v>
      </c>
      <c r="G1040" t="s">
        <v>2681</v>
      </c>
      <c r="H1040" t="s">
        <v>3759</v>
      </c>
      <c r="I1040">
        <v>30.688878500000001</v>
      </c>
      <c r="J1040" t="s">
        <v>2460</v>
      </c>
      <c r="K1040">
        <v>30.688878500000001</v>
      </c>
      <c r="L1040" t="s">
        <v>2460</v>
      </c>
      <c r="M1040">
        <v>30.688878500000001</v>
      </c>
      <c r="N1040" t="s">
        <v>2460</v>
      </c>
      <c r="O1040">
        <v>30.688878500000001</v>
      </c>
      <c r="P1040" t="s">
        <v>2460</v>
      </c>
      <c r="R1040" t="s">
        <v>2460</v>
      </c>
      <c r="S1040" t="s">
        <v>988</v>
      </c>
    </row>
    <row r="1041" spans="1:19" hidden="1" x14ac:dyDescent="0.3">
      <c r="A1041">
        <v>2444</v>
      </c>
      <c r="B1041" t="s">
        <v>2018</v>
      </c>
      <c r="C1041" t="s">
        <v>2877</v>
      </c>
      <c r="D1041" t="s">
        <v>1203</v>
      </c>
      <c r="E1041" t="s">
        <v>1204</v>
      </c>
      <c r="F1041">
        <v>6949</v>
      </c>
      <c r="G1041" t="s">
        <v>2681</v>
      </c>
      <c r="H1041" t="s">
        <v>3760</v>
      </c>
      <c r="I1041">
        <v>52.171093450000001</v>
      </c>
      <c r="J1041" t="s">
        <v>2460</v>
      </c>
      <c r="K1041">
        <v>52.171093450000001</v>
      </c>
      <c r="L1041" t="s">
        <v>2460</v>
      </c>
      <c r="M1041">
        <v>52.171093450000001</v>
      </c>
      <c r="N1041" t="s">
        <v>2460</v>
      </c>
      <c r="O1041">
        <v>52.171093450000001</v>
      </c>
      <c r="P1041" t="s">
        <v>2460</v>
      </c>
      <c r="R1041" t="s">
        <v>2460</v>
      </c>
      <c r="S1041" t="s">
        <v>988</v>
      </c>
    </row>
    <row r="1042" spans="1:19" hidden="1" x14ac:dyDescent="0.3">
      <c r="A1042">
        <v>2444</v>
      </c>
      <c r="B1042" t="s">
        <v>2018</v>
      </c>
      <c r="C1042" t="s">
        <v>2877</v>
      </c>
      <c r="D1042" t="s">
        <v>1203</v>
      </c>
      <c r="E1042" t="s">
        <v>1204</v>
      </c>
      <c r="F1042">
        <v>6949</v>
      </c>
      <c r="G1042" t="s">
        <v>2681</v>
      </c>
      <c r="H1042" t="s">
        <v>3761</v>
      </c>
      <c r="I1042">
        <v>147.3066168</v>
      </c>
      <c r="J1042" t="s">
        <v>2460</v>
      </c>
      <c r="K1042">
        <v>147.3066168</v>
      </c>
      <c r="L1042" t="s">
        <v>2460</v>
      </c>
      <c r="M1042">
        <v>147.3066168</v>
      </c>
      <c r="N1042" t="s">
        <v>2460</v>
      </c>
      <c r="O1042">
        <v>147.3066168</v>
      </c>
      <c r="P1042" t="s">
        <v>2460</v>
      </c>
      <c r="R1042" t="s">
        <v>2460</v>
      </c>
      <c r="S1042" t="s">
        <v>988</v>
      </c>
    </row>
    <row r="1043" spans="1:19" hidden="1" x14ac:dyDescent="0.3">
      <c r="A1043">
        <v>2444</v>
      </c>
      <c r="B1043" t="s">
        <v>2018</v>
      </c>
      <c r="C1043" t="s">
        <v>2877</v>
      </c>
      <c r="D1043" t="s">
        <v>1203</v>
      </c>
      <c r="E1043" t="s">
        <v>1204</v>
      </c>
      <c r="F1043">
        <v>6949</v>
      </c>
      <c r="G1043" t="s">
        <v>2681</v>
      </c>
      <c r="H1043" t="s">
        <v>3762</v>
      </c>
      <c r="I1043">
        <v>174.92660745000001</v>
      </c>
      <c r="J1043" t="s">
        <v>2460</v>
      </c>
      <c r="K1043">
        <v>174.92660745000001</v>
      </c>
      <c r="L1043" t="s">
        <v>2460</v>
      </c>
      <c r="M1043">
        <v>174.92660745000001</v>
      </c>
      <c r="N1043" t="s">
        <v>2460</v>
      </c>
      <c r="O1043">
        <v>174.92660745000001</v>
      </c>
      <c r="P1043" t="s">
        <v>2460</v>
      </c>
      <c r="R1043" t="s">
        <v>2460</v>
      </c>
      <c r="S1043" t="s">
        <v>988</v>
      </c>
    </row>
    <row r="1044" spans="1:19" hidden="1" x14ac:dyDescent="0.3">
      <c r="A1044">
        <v>2444</v>
      </c>
      <c r="B1044" t="s">
        <v>2018</v>
      </c>
      <c r="C1044" t="s">
        <v>2877</v>
      </c>
      <c r="D1044" t="s">
        <v>1203</v>
      </c>
      <c r="E1044" t="s">
        <v>1204</v>
      </c>
      <c r="F1044">
        <v>6949</v>
      </c>
      <c r="G1044" t="s">
        <v>2681</v>
      </c>
      <c r="H1044" t="s">
        <v>3763</v>
      </c>
      <c r="I1044">
        <v>294.6132336</v>
      </c>
      <c r="J1044" t="s">
        <v>2460</v>
      </c>
      <c r="K1044">
        <v>294.6132336</v>
      </c>
      <c r="L1044" t="s">
        <v>2460</v>
      </c>
      <c r="M1044">
        <v>294.6132336</v>
      </c>
      <c r="N1044" t="s">
        <v>2460</v>
      </c>
      <c r="O1044">
        <v>294.6132336</v>
      </c>
      <c r="P1044" t="s">
        <v>2460</v>
      </c>
      <c r="R1044" t="s">
        <v>2460</v>
      </c>
      <c r="S1044" t="s">
        <v>988</v>
      </c>
    </row>
    <row r="1045" spans="1:19" hidden="1" x14ac:dyDescent="0.3">
      <c r="A1045">
        <v>2444</v>
      </c>
      <c r="B1045" t="s">
        <v>2018</v>
      </c>
      <c r="C1045" t="s">
        <v>2877</v>
      </c>
      <c r="D1045" t="s">
        <v>1203</v>
      </c>
      <c r="E1045" t="s">
        <v>1204</v>
      </c>
      <c r="F1045">
        <v>6949</v>
      </c>
      <c r="G1045" t="s">
        <v>2681</v>
      </c>
      <c r="H1045" t="s">
        <v>3764</v>
      </c>
      <c r="I1045">
        <v>383.61098125000001</v>
      </c>
      <c r="J1045" t="s">
        <v>2460</v>
      </c>
      <c r="K1045">
        <v>383.61098125000001</v>
      </c>
      <c r="L1045" t="s">
        <v>2460</v>
      </c>
      <c r="M1045">
        <v>383.61098125000001</v>
      </c>
      <c r="N1045" t="s">
        <v>2460</v>
      </c>
      <c r="O1045">
        <v>383.61098125000001</v>
      </c>
      <c r="P1045" t="s">
        <v>2460</v>
      </c>
      <c r="R1045" t="s">
        <v>2460</v>
      </c>
      <c r="S1045" t="s">
        <v>988</v>
      </c>
    </row>
    <row r="1046" spans="1:19" hidden="1" x14ac:dyDescent="0.3">
      <c r="A1046">
        <v>2444</v>
      </c>
      <c r="B1046" t="s">
        <v>2018</v>
      </c>
      <c r="C1046" t="s">
        <v>2877</v>
      </c>
      <c r="D1046" t="s">
        <v>1203</v>
      </c>
      <c r="E1046" t="s">
        <v>1204</v>
      </c>
      <c r="F1046">
        <v>6949</v>
      </c>
      <c r="G1046" t="s">
        <v>2683</v>
      </c>
      <c r="H1046" t="s">
        <v>3765</v>
      </c>
      <c r="I1046">
        <v>12.275551399999999</v>
      </c>
      <c r="J1046" t="s">
        <v>2460</v>
      </c>
      <c r="K1046">
        <v>12.275551399999999</v>
      </c>
      <c r="L1046" t="s">
        <v>2460</v>
      </c>
      <c r="M1046">
        <v>12.275551399999999</v>
      </c>
      <c r="N1046" t="s">
        <v>2460</v>
      </c>
      <c r="O1046">
        <v>12.275551399999999</v>
      </c>
      <c r="P1046" t="s">
        <v>2460</v>
      </c>
      <c r="R1046" t="s">
        <v>2460</v>
      </c>
      <c r="S1046" t="s">
        <v>988</v>
      </c>
    </row>
    <row r="1047" spans="1:19" hidden="1" x14ac:dyDescent="0.3">
      <c r="A1047">
        <v>2444</v>
      </c>
      <c r="B1047" t="s">
        <v>2018</v>
      </c>
      <c r="C1047" t="s">
        <v>2877</v>
      </c>
      <c r="D1047" t="s">
        <v>1203</v>
      </c>
      <c r="E1047" t="s">
        <v>1204</v>
      </c>
      <c r="F1047">
        <v>6949</v>
      </c>
      <c r="G1047" t="s">
        <v>2681</v>
      </c>
      <c r="H1047" t="s">
        <v>3766</v>
      </c>
      <c r="I1047">
        <v>119.68662615</v>
      </c>
      <c r="J1047" t="s">
        <v>2460</v>
      </c>
      <c r="K1047">
        <v>119.68662615</v>
      </c>
      <c r="L1047" t="s">
        <v>2460</v>
      </c>
      <c r="M1047">
        <v>119.68662615</v>
      </c>
      <c r="N1047" t="s">
        <v>2460</v>
      </c>
      <c r="O1047">
        <v>119.68662615</v>
      </c>
      <c r="P1047" t="s">
        <v>2460</v>
      </c>
      <c r="R1047" t="s">
        <v>2460</v>
      </c>
      <c r="S1047" t="s">
        <v>988</v>
      </c>
    </row>
    <row r="1048" spans="1:19" hidden="1" x14ac:dyDescent="0.3">
      <c r="A1048">
        <v>2444</v>
      </c>
      <c r="B1048" t="s">
        <v>2018</v>
      </c>
      <c r="C1048" t="s">
        <v>2877</v>
      </c>
      <c r="D1048" t="s">
        <v>1203</v>
      </c>
      <c r="E1048" t="s">
        <v>1204</v>
      </c>
      <c r="F1048">
        <v>6949</v>
      </c>
      <c r="G1048" t="s">
        <v>2681</v>
      </c>
      <c r="H1048" t="s">
        <v>3767</v>
      </c>
      <c r="I1048">
        <v>475.67761675000003</v>
      </c>
      <c r="J1048" t="s">
        <v>2460</v>
      </c>
      <c r="K1048">
        <v>475.67761675000003</v>
      </c>
      <c r="L1048" t="s">
        <v>2460</v>
      </c>
      <c r="M1048">
        <v>475.67761675000003</v>
      </c>
      <c r="N1048" t="s">
        <v>2460</v>
      </c>
      <c r="O1048">
        <v>475.67761675000003</v>
      </c>
      <c r="P1048" t="s">
        <v>2460</v>
      </c>
      <c r="R1048" t="s">
        <v>2460</v>
      </c>
      <c r="S1048" t="s">
        <v>988</v>
      </c>
    </row>
    <row r="1049" spans="1:19" hidden="1" x14ac:dyDescent="0.3">
      <c r="A1049">
        <v>2444</v>
      </c>
      <c r="B1049" t="s">
        <v>2018</v>
      </c>
      <c r="C1049" t="s">
        <v>2877</v>
      </c>
      <c r="D1049" t="s">
        <v>1203</v>
      </c>
      <c r="E1049" t="s">
        <v>1204</v>
      </c>
      <c r="F1049">
        <v>6949</v>
      </c>
      <c r="G1049" t="s">
        <v>2681</v>
      </c>
      <c r="H1049" t="s">
        <v>3768</v>
      </c>
      <c r="I1049">
        <v>549.33092514999998</v>
      </c>
      <c r="J1049" t="s">
        <v>2460</v>
      </c>
      <c r="K1049">
        <v>549.33092514999998</v>
      </c>
      <c r="L1049" t="s">
        <v>2460</v>
      </c>
      <c r="M1049">
        <v>549.33092514999998</v>
      </c>
      <c r="N1049" t="s">
        <v>2460</v>
      </c>
      <c r="O1049">
        <v>549.33092514999998</v>
      </c>
      <c r="P1049" t="s">
        <v>2460</v>
      </c>
      <c r="R1049" t="s">
        <v>2460</v>
      </c>
      <c r="S1049" t="s">
        <v>988</v>
      </c>
    </row>
    <row r="1050" spans="1:19" hidden="1" x14ac:dyDescent="0.3">
      <c r="A1050">
        <v>2444</v>
      </c>
      <c r="B1050" t="s">
        <v>2018</v>
      </c>
      <c r="C1050" t="s">
        <v>2877</v>
      </c>
      <c r="D1050" t="s">
        <v>1203</v>
      </c>
      <c r="E1050" t="s">
        <v>1204</v>
      </c>
      <c r="F1050">
        <v>6949</v>
      </c>
      <c r="G1050" t="s">
        <v>2691</v>
      </c>
      <c r="H1050" t="s">
        <v>3769</v>
      </c>
      <c r="I1050">
        <v>0</v>
      </c>
      <c r="J1050" t="s">
        <v>2460</v>
      </c>
      <c r="K1050">
        <v>0</v>
      </c>
      <c r="L1050" t="s">
        <v>2460</v>
      </c>
      <c r="M1050">
        <v>0</v>
      </c>
      <c r="N1050" t="s">
        <v>2460</v>
      </c>
      <c r="O1050">
        <v>0</v>
      </c>
      <c r="P1050" t="s">
        <v>2460</v>
      </c>
      <c r="R1050" t="s">
        <v>2460</v>
      </c>
      <c r="S1050" t="s">
        <v>988</v>
      </c>
    </row>
    <row r="1051" spans="1:19" hidden="1" x14ac:dyDescent="0.3">
      <c r="A1051">
        <v>2444</v>
      </c>
      <c r="B1051" t="s">
        <v>2018</v>
      </c>
      <c r="C1051" t="s">
        <v>2877</v>
      </c>
      <c r="D1051" t="s">
        <v>1203</v>
      </c>
      <c r="E1051" t="s">
        <v>1204</v>
      </c>
      <c r="F1051">
        <v>6949</v>
      </c>
      <c r="G1051" t="s">
        <v>2691</v>
      </c>
      <c r="H1051" t="s">
        <v>3770</v>
      </c>
      <c r="I1051">
        <v>1052.62853255</v>
      </c>
      <c r="J1051" t="s">
        <v>2460</v>
      </c>
      <c r="K1051">
        <v>1052.62853255</v>
      </c>
      <c r="L1051" t="s">
        <v>2460</v>
      </c>
      <c r="M1051">
        <v>1052.62853255</v>
      </c>
      <c r="N1051" t="s">
        <v>2460</v>
      </c>
      <c r="O1051">
        <v>1052.62853255</v>
      </c>
      <c r="P1051" t="s">
        <v>2460</v>
      </c>
      <c r="R1051" t="s">
        <v>2460</v>
      </c>
      <c r="S1051" t="s">
        <v>988</v>
      </c>
    </row>
    <row r="1052" spans="1:19" hidden="1" x14ac:dyDescent="0.3">
      <c r="A1052">
        <v>1408</v>
      </c>
      <c r="B1052" t="s">
        <v>2021</v>
      </c>
      <c r="C1052" t="s">
        <v>2877</v>
      </c>
      <c r="D1052" t="s">
        <v>1203</v>
      </c>
      <c r="E1052" t="s">
        <v>1204</v>
      </c>
      <c r="F1052">
        <v>5825</v>
      </c>
      <c r="G1052" t="s">
        <v>2681</v>
      </c>
      <c r="H1052" t="s">
        <v>2460</v>
      </c>
      <c r="I1052">
        <v>1363</v>
      </c>
      <c r="J1052" t="s">
        <v>2460</v>
      </c>
      <c r="K1052">
        <v>1779</v>
      </c>
      <c r="L1052" t="s">
        <v>2460</v>
      </c>
      <c r="M1052">
        <v>1779</v>
      </c>
      <c r="N1052" t="s">
        <v>2460</v>
      </c>
      <c r="O1052">
        <v>1779</v>
      </c>
      <c r="P1052" t="s">
        <v>2460</v>
      </c>
      <c r="Q1052">
        <v>1779</v>
      </c>
      <c r="R1052" t="s">
        <v>2460</v>
      </c>
      <c r="S1052" t="s">
        <v>988</v>
      </c>
    </row>
    <row r="1053" spans="1:19" hidden="1" x14ac:dyDescent="0.3">
      <c r="A1053">
        <v>1408</v>
      </c>
      <c r="B1053" t="s">
        <v>2021</v>
      </c>
      <c r="C1053" t="s">
        <v>2877</v>
      </c>
      <c r="D1053" t="s">
        <v>1203</v>
      </c>
      <c r="E1053" t="s">
        <v>1204</v>
      </c>
      <c r="F1053">
        <v>5825</v>
      </c>
      <c r="G1053" t="s">
        <v>2679</v>
      </c>
      <c r="H1053" t="s">
        <v>2460</v>
      </c>
      <c r="I1053">
        <v>1992</v>
      </c>
      <c r="J1053" t="s">
        <v>2460</v>
      </c>
      <c r="K1053">
        <v>2099</v>
      </c>
      <c r="L1053" t="s">
        <v>2460</v>
      </c>
      <c r="M1053">
        <v>2099</v>
      </c>
      <c r="N1053" t="s">
        <v>2460</v>
      </c>
      <c r="O1053">
        <v>2099</v>
      </c>
      <c r="P1053" t="s">
        <v>2460</v>
      </c>
      <c r="Q1053">
        <v>2099</v>
      </c>
      <c r="R1053" t="s">
        <v>2460</v>
      </c>
      <c r="S1053" t="s">
        <v>988</v>
      </c>
    </row>
    <row r="1054" spans="1:19" hidden="1" x14ac:dyDescent="0.3">
      <c r="A1054">
        <v>1408</v>
      </c>
      <c r="B1054" t="s">
        <v>2021</v>
      </c>
      <c r="C1054" t="s">
        <v>2877</v>
      </c>
      <c r="D1054" t="s">
        <v>1203</v>
      </c>
      <c r="E1054" t="s">
        <v>1204</v>
      </c>
      <c r="F1054">
        <v>5825</v>
      </c>
      <c r="G1054" t="s">
        <v>2683</v>
      </c>
      <c r="H1054" t="s">
        <v>3771</v>
      </c>
      <c r="I1054">
        <v>5671</v>
      </c>
      <c r="J1054" t="s">
        <v>2460</v>
      </c>
      <c r="K1054">
        <v>6411</v>
      </c>
      <c r="L1054" t="s">
        <v>2460</v>
      </c>
      <c r="M1054">
        <v>6411</v>
      </c>
      <c r="N1054" t="s">
        <v>2460</v>
      </c>
      <c r="O1054">
        <v>6411</v>
      </c>
      <c r="P1054" t="s">
        <v>2460</v>
      </c>
      <c r="Q1054">
        <v>6411</v>
      </c>
      <c r="R1054" t="s">
        <v>2460</v>
      </c>
      <c r="S1054" t="s">
        <v>988</v>
      </c>
    </row>
    <row r="1055" spans="1:19" hidden="1" x14ac:dyDescent="0.3">
      <c r="B1055" t="s">
        <v>2023</v>
      </c>
      <c r="C1055" t="s">
        <v>2877</v>
      </c>
      <c r="D1055" t="s">
        <v>159</v>
      </c>
      <c r="E1055" t="s">
        <v>159</v>
      </c>
      <c r="F1055">
        <v>7910</v>
      </c>
      <c r="G1055" t="s">
        <v>2683</v>
      </c>
      <c r="H1055" t="s">
        <v>2891</v>
      </c>
      <c r="I1055">
        <v>18460</v>
      </c>
      <c r="J1055" t="s">
        <v>2460</v>
      </c>
      <c r="K1055">
        <v>19827</v>
      </c>
      <c r="L1055" t="s">
        <v>2460</v>
      </c>
      <c r="M1055">
        <v>19964.5</v>
      </c>
      <c r="N1055" t="s">
        <v>2460</v>
      </c>
      <c r="O1055">
        <v>19959</v>
      </c>
      <c r="P1055" t="s">
        <v>2460</v>
      </c>
      <c r="Q1055">
        <v>19988</v>
      </c>
      <c r="R1055" t="s">
        <v>2460</v>
      </c>
      <c r="S1055" t="s">
        <v>988</v>
      </c>
    </row>
    <row r="1056" spans="1:19" hidden="1" x14ac:dyDescent="0.3">
      <c r="B1056" t="s">
        <v>2023</v>
      </c>
      <c r="C1056" t="s">
        <v>2877</v>
      </c>
      <c r="D1056" t="s">
        <v>159</v>
      </c>
      <c r="E1056" t="s">
        <v>159</v>
      </c>
      <c r="F1056">
        <v>7910</v>
      </c>
      <c r="G1056" t="s">
        <v>2681</v>
      </c>
      <c r="H1056" t="s">
        <v>2893</v>
      </c>
      <c r="I1056">
        <v>43435</v>
      </c>
      <c r="J1056" t="s">
        <v>2460</v>
      </c>
      <c r="K1056">
        <v>46626</v>
      </c>
      <c r="L1056" t="s">
        <v>2460</v>
      </c>
      <c r="M1056">
        <v>46945.5</v>
      </c>
      <c r="N1056" t="s">
        <v>2460</v>
      </c>
      <c r="O1056">
        <v>46933</v>
      </c>
      <c r="P1056" t="s">
        <v>2460</v>
      </c>
      <c r="Q1056">
        <v>47000</v>
      </c>
      <c r="R1056" t="s">
        <v>2460</v>
      </c>
      <c r="S1056" t="s">
        <v>988</v>
      </c>
    </row>
    <row r="1057" spans="1:19" hidden="1" x14ac:dyDescent="0.3">
      <c r="B1057" t="s">
        <v>2023</v>
      </c>
      <c r="C1057" t="s">
        <v>2877</v>
      </c>
      <c r="D1057" t="s">
        <v>159</v>
      </c>
      <c r="E1057" t="s">
        <v>159</v>
      </c>
      <c r="F1057">
        <v>7910</v>
      </c>
      <c r="G1057" t="s">
        <v>2679</v>
      </c>
      <c r="H1057" t="s">
        <v>2460</v>
      </c>
      <c r="I1057">
        <v>155</v>
      </c>
      <c r="J1057" t="s">
        <v>2460</v>
      </c>
      <c r="K1057">
        <v>155</v>
      </c>
      <c r="L1057" t="s">
        <v>2460</v>
      </c>
      <c r="M1057">
        <v>155</v>
      </c>
      <c r="N1057" t="s">
        <v>2460</v>
      </c>
      <c r="O1057">
        <v>155</v>
      </c>
      <c r="P1057" t="s">
        <v>2460</v>
      </c>
      <c r="Q1057">
        <v>155</v>
      </c>
      <c r="R1057" t="s">
        <v>2460</v>
      </c>
      <c r="S1057" t="s">
        <v>988</v>
      </c>
    </row>
    <row r="1058" spans="1:19" hidden="1" x14ac:dyDescent="0.3">
      <c r="B1058" t="s">
        <v>2025</v>
      </c>
      <c r="C1058" t="s">
        <v>2877</v>
      </c>
      <c r="D1058" t="s">
        <v>1203</v>
      </c>
      <c r="E1058" t="s">
        <v>1204</v>
      </c>
      <c r="F1058">
        <v>7912</v>
      </c>
      <c r="G1058" t="s">
        <v>2681</v>
      </c>
      <c r="H1058" t="s">
        <v>2460</v>
      </c>
      <c r="I1058">
        <v>200000</v>
      </c>
      <c r="J1058" t="s">
        <v>2460</v>
      </c>
      <c r="K1058">
        <v>201000</v>
      </c>
      <c r="L1058" t="s">
        <v>2460</v>
      </c>
      <c r="M1058">
        <v>201000</v>
      </c>
      <c r="N1058" t="s">
        <v>2460</v>
      </c>
      <c r="O1058">
        <v>201000</v>
      </c>
      <c r="P1058" t="s">
        <v>2460</v>
      </c>
      <c r="Q1058">
        <v>201000</v>
      </c>
      <c r="R1058" t="s">
        <v>2460</v>
      </c>
      <c r="S1058" t="s">
        <v>988</v>
      </c>
    </row>
    <row r="1059" spans="1:19" hidden="1" x14ac:dyDescent="0.3">
      <c r="B1059" t="s">
        <v>2025</v>
      </c>
      <c r="C1059" t="s">
        <v>2877</v>
      </c>
      <c r="D1059" t="s">
        <v>1203</v>
      </c>
      <c r="E1059" t="s">
        <v>1204</v>
      </c>
      <c r="F1059">
        <v>7912</v>
      </c>
      <c r="G1059" t="s">
        <v>2687</v>
      </c>
      <c r="H1059" t="s">
        <v>2460</v>
      </c>
      <c r="I1059">
        <v>0</v>
      </c>
      <c r="J1059" t="s">
        <v>2460</v>
      </c>
      <c r="K1059">
        <v>0</v>
      </c>
      <c r="L1059" t="s">
        <v>2460</v>
      </c>
      <c r="M1059">
        <v>0</v>
      </c>
      <c r="N1059" t="s">
        <v>2460</v>
      </c>
      <c r="O1059">
        <v>0</v>
      </c>
      <c r="P1059" t="s">
        <v>2460</v>
      </c>
      <c r="Q1059">
        <v>1000</v>
      </c>
      <c r="R1059" t="s">
        <v>2460</v>
      </c>
      <c r="S1059" t="s">
        <v>988</v>
      </c>
    </row>
    <row r="1060" spans="1:19" hidden="1" x14ac:dyDescent="0.3">
      <c r="B1060" t="s">
        <v>2025</v>
      </c>
      <c r="C1060" t="s">
        <v>2877</v>
      </c>
      <c r="D1060" t="s">
        <v>1203</v>
      </c>
      <c r="E1060" t="s">
        <v>1204</v>
      </c>
      <c r="F1060">
        <v>7912</v>
      </c>
      <c r="G1060" t="s">
        <v>2683</v>
      </c>
      <c r="H1060" t="s">
        <v>2460</v>
      </c>
      <c r="I1060">
        <v>150100</v>
      </c>
      <c r="J1060" t="s">
        <v>2460</v>
      </c>
      <c r="K1060">
        <v>150100</v>
      </c>
      <c r="L1060" t="s">
        <v>2460</v>
      </c>
      <c r="M1060">
        <v>150100</v>
      </c>
      <c r="N1060" t="s">
        <v>2460</v>
      </c>
      <c r="O1060">
        <v>150100</v>
      </c>
      <c r="P1060" t="s">
        <v>2460</v>
      </c>
      <c r="Q1060">
        <v>150100</v>
      </c>
      <c r="R1060" t="s">
        <v>2460</v>
      </c>
      <c r="S1060" t="s">
        <v>988</v>
      </c>
    </row>
    <row r="1061" spans="1:19" hidden="1" x14ac:dyDescent="0.3">
      <c r="B1061" t="s">
        <v>2025</v>
      </c>
      <c r="C1061" t="s">
        <v>2877</v>
      </c>
      <c r="D1061" t="s">
        <v>1203</v>
      </c>
      <c r="E1061" t="s">
        <v>1204</v>
      </c>
      <c r="F1061">
        <v>7912</v>
      </c>
      <c r="G1061" t="s">
        <v>2679</v>
      </c>
      <c r="H1061" t="s">
        <v>2460</v>
      </c>
      <c r="I1061">
        <v>1000</v>
      </c>
      <c r="J1061" t="s">
        <v>2460</v>
      </c>
      <c r="K1061">
        <v>2000</v>
      </c>
      <c r="L1061" t="s">
        <v>2460</v>
      </c>
      <c r="M1061">
        <v>2000</v>
      </c>
      <c r="N1061" t="s">
        <v>2460</v>
      </c>
      <c r="O1061">
        <v>2000</v>
      </c>
      <c r="P1061" t="s">
        <v>2460</v>
      </c>
      <c r="Q1061">
        <v>2000</v>
      </c>
      <c r="R1061" t="s">
        <v>2460</v>
      </c>
      <c r="S1061" t="s">
        <v>988</v>
      </c>
    </row>
    <row r="1062" spans="1:19" hidden="1" x14ac:dyDescent="0.3">
      <c r="A1062">
        <v>440</v>
      </c>
      <c r="B1062" t="s">
        <v>2026</v>
      </c>
      <c r="C1062" t="s">
        <v>2877</v>
      </c>
      <c r="D1062" t="s">
        <v>159</v>
      </c>
      <c r="E1062" t="s">
        <v>159</v>
      </c>
      <c r="F1062">
        <v>7913</v>
      </c>
      <c r="G1062" t="s">
        <v>2679</v>
      </c>
      <c r="H1062" t="s">
        <v>2460</v>
      </c>
      <c r="I1062">
        <v>0.1147842045245</v>
      </c>
      <c r="J1062" t="s">
        <v>3772</v>
      </c>
      <c r="K1062">
        <v>0.229568409049</v>
      </c>
      <c r="L1062" t="s">
        <v>3773</v>
      </c>
      <c r="M1062">
        <v>0.229568409049</v>
      </c>
      <c r="N1062" t="s">
        <v>3774</v>
      </c>
      <c r="O1062">
        <v>0.229568409049</v>
      </c>
      <c r="P1062" t="s">
        <v>3775</v>
      </c>
      <c r="Q1062">
        <v>0.459136818098</v>
      </c>
      <c r="R1062" t="s">
        <v>3776</v>
      </c>
      <c r="S1062" t="s">
        <v>988</v>
      </c>
    </row>
    <row r="1063" spans="1:19" hidden="1" x14ac:dyDescent="0.3">
      <c r="A1063">
        <v>2469</v>
      </c>
      <c r="B1063" t="s">
        <v>2028</v>
      </c>
      <c r="C1063" t="s">
        <v>2877</v>
      </c>
      <c r="D1063" t="s">
        <v>1203</v>
      </c>
      <c r="E1063" t="s">
        <v>1204</v>
      </c>
      <c r="F1063">
        <v>5617</v>
      </c>
      <c r="G1063" t="s">
        <v>2687</v>
      </c>
      <c r="H1063" t="s">
        <v>3777</v>
      </c>
      <c r="I1063">
        <v>500</v>
      </c>
      <c r="J1063" t="s">
        <v>2460</v>
      </c>
      <c r="K1063">
        <v>500</v>
      </c>
      <c r="L1063" t="s">
        <v>2460</v>
      </c>
      <c r="M1063">
        <v>500</v>
      </c>
      <c r="N1063" t="s">
        <v>2460</v>
      </c>
      <c r="O1063">
        <v>500</v>
      </c>
      <c r="P1063" t="s">
        <v>2460</v>
      </c>
      <c r="Q1063">
        <v>500</v>
      </c>
      <c r="R1063" t="s">
        <v>2460</v>
      </c>
      <c r="S1063" t="s">
        <v>988</v>
      </c>
    </row>
    <row r="1064" spans="1:19" hidden="1" x14ac:dyDescent="0.3">
      <c r="A1064">
        <v>2469</v>
      </c>
      <c r="B1064" t="s">
        <v>2028</v>
      </c>
      <c r="C1064" t="s">
        <v>2877</v>
      </c>
      <c r="D1064" t="s">
        <v>1203</v>
      </c>
      <c r="E1064" t="s">
        <v>1204</v>
      </c>
      <c r="F1064">
        <v>5617</v>
      </c>
      <c r="G1064" t="s">
        <v>2683</v>
      </c>
      <c r="H1064" t="s">
        <v>2124</v>
      </c>
      <c r="I1064">
        <v>10191</v>
      </c>
      <c r="J1064" t="s">
        <v>2460</v>
      </c>
      <c r="K1064">
        <v>10462</v>
      </c>
      <c r="L1064" t="s">
        <v>2460</v>
      </c>
      <c r="M1064">
        <v>10733</v>
      </c>
      <c r="N1064" t="s">
        <v>2460</v>
      </c>
      <c r="O1064">
        <v>11004</v>
      </c>
      <c r="P1064" t="s">
        <v>2460</v>
      </c>
      <c r="Q1064">
        <v>11275</v>
      </c>
      <c r="R1064" t="s">
        <v>2460</v>
      </c>
      <c r="S1064" t="s">
        <v>988</v>
      </c>
    </row>
    <row r="1065" spans="1:19" hidden="1" x14ac:dyDescent="0.3">
      <c r="A1065">
        <v>2487</v>
      </c>
      <c r="B1065" t="s">
        <v>2029</v>
      </c>
      <c r="C1065" t="s">
        <v>2877</v>
      </c>
      <c r="D1065" t="s">
        <v>1203</v>
      </c>
      <c r="E1065" t="s">
        <v>1204</v>
      </c>
      <c r="F1065">
        <v>5814</v>
      </c>
      <c r="G1065" t="s">
        <v>2681</v>
      </c>
      <c r="H1065" t="s">
        <v>2460</v>
      </c>
      <c r="I1065">
        <v>5639</v>
      </c>
      <c r="J1065" t="s">
        <v>2460</v>
      </c>
      <c r="K1065">
        <v>5639</v>
      </c>
      <c r="L1065" t="s">
        <v>2460</v>
      </c>
      <c r="M1065">
        <v>5639</v>
      </c>
      <c r="N1065" t="s">
        <v>2460</v>
      </c>
      <c r="O1065">
        <v>5639</v>
      </c>
      <c r="P1065" t="s">
        <v>2460</v>
      </c>
      <c r="Q1065">
        <v>5639</v>
      </c>
      <c r="R1065" t="s">
        <v>2460</v>
      </c>
      <c r="S1065" t="s">
        <v>988</v>
      </c>
    </row>
    <row r="1066" spans="1:19" hidden="1" x14ac:dyDescent="0.3">
      <c r="A1066">
        <v>2487</v>
      </c>
      <c r="B1066" t="s">
        <v>2029</v>
      </c>
      <c r="C1066" t="s">
        <v>2877</v>
      </c>
      <c r="D1066" t="s">
        <v>1203</v>
      </c>
      <c r="E1066" t="s">
        <v>1204</v>
      </c>
      <c r="F1066">
        <v>5814</v>
      </c>
      <c r="G1066" t="s">
        <v>2683</v>
      </c>
      <c r="H1066" t="s">
        <v>2460</v>
      </c>
      <c r="I1066">
        <v>19204</v>
      </c>
      <c r="J1066" t="s">
        <v>2460</v>
      </c>
      <c r="K1066">
        <v>19204</v>
      </c>
      <c r="L1066" t="s">
        <v>2460</v>
      </c>
      <c r="M1066">
        <v>19204</v>
      </c>
      <c r="N1066" t="s">
        <v>2460</v>
      </c>
      <c r="O1066">
        <v>19204</v>
      </c>
      <c r="P1066" t="s">
        <v>2460</v>
      </c>
      <c r="Q1066">
        <v>19204</v>
      </c>
      <c r="R1066" t="s">
        <v>2460</v>
      </c>
      <c r="S1066" t="s">
        <v>988</v>
      </c>
    </row>
    <row r="1067" spans="1:19" hidden="1" x14ac:dyDescent="0.3">
      <c r="A1067">
        <v>2487</v>
      </c>
      <c r="B1067" t="s">
        <v>2029</v>
      </c>
      <c r="C1067" t="s">
        <v>2877</v>
      </c>
      <c r="D1067" t="s">
        <v>1203</v>
      </c>
      <c r="E1067" t="s">
        <v>1204</v>
      </c>
      <c r="F1067">
        <v>5814</v>
      </c>
      <c r="G1067" t="s">
        <v>2679</v>
      </c>
      <c r="H1067" t="s">
        <v>2460</v>
      </c>
      <c r="I1067">
        <v>7150</v>
      </c>
      <c r="J1067" t="s">
        <v>2460</v>
      </c>
      <c r="K1067">
        <v>7150</v>
      </c>
      <c r="L1067" t="s">
        <v>2460</v>
      </c>
      <c r="M1067">
        <v>7150</v>
      </c>
      <c r="N1067" t="s">
        <v>2460</v>
      </c>
      <c r="O1067">
        <v>7150</v>
      </c>
      <c r="P1067" t="s">
        <v>2460</v>
      </c>
      <c r="Q1067">
        <v>7150</v>
      </c>
      <c r="R1067" t="s">
        <v>2460</v>
      </c>
      <c r="S1067" t="s">
        <v>988</v>
      </c>
    </row>
    <row r="1068" spans="1:19" hidden="1" x14ac:dyDescent="0.3">
      <c r="A1068">
        <v>2487</v>
      </c>
      <c r="B1068" t="s">
        <v>2029</v>
      </c>
      <c r="C1068" t="s">
        <v>2877</v>
      </c>
      <c r="D1068" t="s">
        <v>1203</v>
      </c>
      <c r="E1068" t="s">
        <v>1204</v>
      </c>
      <c r="F1068">
        <v>5814</v>
      </c>
      <c r="G1068" t="s">
        <v>2687</v>
      </c>
      <c r="H1068" t="s">
        <v>2460</v>
      </c>
      <c r="I1068">
        <v>4800</v>
      </c>
      <c r="J1068" t="s">
        <v>2460</v>
      </c>
      <c r="K1068">
        <v>4800</v>
      </c>
      <c r="L1068" t="s">
        <v>2460</v>
      </c>
      <c r="M1068">
        <v>4800</v>
      </c>
      <c r="N1068" t="s">
        <v>2460</v>
      </c>
      <c r="O1068">
        <v>4800</v>
      </c>
      <c r="P1068" t="s">
        <v>2460</v>
      </c>
      <c r="Q1068">
        <v>4800</v>
      </c>
      <c r="R1068" t="s">
        <v>2460</v>
      </c>
      <c r="S1068" t="s">
        <v>988</v>
      </c>
    </row>
    <row r="1069" spans="1:19" hidden="1" x14ac:dyDescent="0.3">
      <c r="A1069">
        <v>2490</v>
      </c>
      <c r="B1069" t="s">
        <v>2030</v>
      </c>
      <c r="C1069" t="s">
        <v>2877</v>
      </c>
      <c r="D1069" t="s">
        <v>1203</v>
      </c>
      <c r="E1069" t="s">
        <v>1204</v>
      </c>
      <c r="F1069">
        <v>5626</v>
      </c>
      <c r="G1069" t="s">
        <v>2679</v>
      </c>
      <c r="H1069" t="s">
        <v>2460</v>
      </c>
      <c r="I1069">
        <v>701</v>
      </c>
      <c r="J1069" t="s">
        <v>2460</v>
      </c>
      <c r="K1069">
        <v>701</v>
      </c>
      <c r="L1069" t="s">
        <v>2460</v>
      </c>
      <c r="M1069">
        <v>701</v>
      </c>
      <c r="N1069" t="s">
        <v>2460</v>
      </c>
      <c r="O1069">
        <v>701</v>
      </c>
      <c r="P1069" t="s">
        <v>2460</v>
      </c>
      <c r="Q1069">
        <v>701</v>
      </c>
      <c r="R1069" t="s">
        <v>2460</v>
      </c>
      <c r="S1069" t="s">
        <v>988</v>
      </c>
    </row>
    <row r="1070" spans="1:19" hidden="1" x14ac:dyDescent="0.3">
      <c r="A1070">
        <v>2490</v>
      </c>
      <c r="B1070" t="s">
        <v>2030</v>
      </c>
      <c r="C1070" t="s">
        <v>2877</v>
      </c>
      <c r="D1070" t="s">
        <v>1203</v>
      </c>
      <c r="E1070" t="s">
        <v>1204</v>
      </c>
      <c r="F1070">
        <v>5626</v>
      </c>
      <c r="G1070" t="s">
        <v>2683</v>
      </c>
      <c r="H1070" t="s">
        <v>3778</v>
      </c>
      <c r="I1070">
        <v>344</v>
      </c>
      <c r="J1070" t="s">
        <v>2460</v>
      </c>
      <c r="K1070">
        <v>399</v>
      </c>
      <c r="L1070" t="s">
        <v>2460</v>
      </c>
      <c r="M1070">
        <v>519</v>
      </c>
      <c r="N1070" t="s">
        <v>2460</v>
      </c>
      <c r="O1070">
        <v>495</v>
      </c>
      <c r="P1070" t="s">
        <v>2460</v>
      </c>
      <c r="Q1070">
        <v>489</v>
      </c>
      <c r="R1070" t="s">
        <v>2460</v>
      </c>
      <c r="S1070" t="s">
        <v>988</v>
      </c>
    </row>
    <row r="1071" spans="1:19" hidden="1" x14ac:dyDescent="0.3">
      <c r="A1071">
        <v>2490</v>
      </c>
      <c r="B1071" t="s">
        <v>2030</v>
      </c>
      <c r="C1071" t="s">
        <v>2877</v>
      </c>
      <c r="D1071" t="s">
        <v>1203</v>
      </c>
      <c r="E1071" t="s">
        <v>1204</v>
      </c>
      <c r="F1071">
        <v>5626</v>
      </c>
      <c r="G1071" t="s">
        <v>2683</v>
      </c>
      <c r="H1071" t="s">
        <v>3779</v>
      </c>
      <c r="I1071">
        <v>2100</v>
      </c>
      <c r="J1071" t="s">
        <v>2460</v>
      </c>
      <c r="K1071">
        <v>2100</v>
      </c>
      <c r="L1071" t="s">
        <v>2460</v>
      </c>
      <c r="M1071">
        <v>2100</v>
      </c>
      <c r="N1071" t="s">
        <v>2460</v>
      </c>
      <c r="O1071">
        <v>2100</v>
      </c>
      <c r="P1071" t="s">
        <v>2460</v>
      </c>
      <c r="Q1071">
        <v>2100</v>
      </c>
      <c r="R1071" t="s">
        <v>2460</v>
      </c>
      <c r="S1071" t="s">
        <v>988</v>
      </c>
    </row>
    <row r="1072" spans="1:19" hidden="1" x14ac:dyDescent="0.3">
      <c r="A1072">
        <v>2496</v>
      </c>
      <c r="B1072" t="s">
        <v>905</v>
      </c>
      <c r="C1072" t="s">
        <v>2877</v>
      </c>
      <c r="D1072" t="s">
        <v>1203</v>
      </c>
      <c r="E1072" t="s">
        <v>1204</v>
      </c>
      <c r="F1072">
        <v>5568</v>
      </c>
      <c r="G1072" t="s">
        <v>2683</v>
      </c>
      <c r="H1072" t="s">
        <v>3780</v>
      </c>
      <c r="I1072">
        <v>800</v>
      </c>
      <c r="J1072" t="s">
        <v>2460</v>
      </c>
      <c r="K1072">
        <v>1500</v>
      </c>
      <c r="L1072" t="s">
        <v>2460</v>
      </c>
      <c r="M1072">
        <v>2000</v>
      </c>
      <c r="N1072" t="s">
        <v>2460</v>
      </c>
      <c r="O1072">
        <v>2500</v>
      </c>
      <c r="P1072" t="s">
        <v>2460</v>
      </c>
      <c r="Q1072">
        <v>3300</v>
      </c>
      <c r="R1072" t="s">
        <v>2460</v>
      </c>
      <c r="S1072" t="s">
        <v>988</v>
      </c>
    </row>
    <row r="1073" spans="1:19" hidden="1" x14ac:dyDescent="0.3">
      <c r="A1073">
        <v>2496</v>
      </c>
      <c r="B1073" t="s">
        <v>905</v>
      </c>
      <c r="C1073" t="s">
        <v>2877</v>
      </c>
      <c r="D1073" t="s">
        <v>1203</v>
      </c>
      <c r="E1073" t="s">
        <v>1204</v>
      </c>
      <c r="F1073">
        <v>5568</v>
      </c>
      <c r="G1073" t="s">
        <v>2683</v>
      </c>
      <c r="H1073" t="s">
        <v>3781</v>
      </c>
      <c r="I1073">
        <v>5000</v>
      </c>
      <c r="J1073" t="s">
        <v>2460</v>
      </c>
      <c r="K1073">
        <v>5000</v>
      </c>
      <c r="L1073" t="s">
        <v>2460</v>
      </c>
      <c r="M1073">
        <v>5000</v>
      </c>
      <c r="N1073" t="s">
        <v>2460</v>
      </c>
      <c r="O1073">
        <v>5000</v>
      </c>
      <c r="P1073" t="s">
        <v>2460</v>
      </c>
      <c r="Q1073">
        <v>5000</v>
      </c>
      <c r="R1073" t="s">
        <v>2460</v>
      </c>
      <c r="S1073" t="s">
        <v>988</v>
      </c>
    </row>
    <row r="1074" spans="1:19" hidden="1" x14ac:dyDescent="0.3">
      <c r="A1074">
        <v>2496</v>
      </c>
      <c r="B1074" t="s">
        <v>905</v>
      </c>
      <c r="C1074" t="s">
        <v>2877</v>
      </c>
      <c r="D1074" t="s">
        <v>1203</v>
      </c>
      <c r="E1074" t="s">
        <v>1204</v>
      </c>
      <c r="F1074">
        <v>5568</v>
      </c>
      <c r="G1074" t="s">
        <v>2683</v>
      </c>
      <c r="H1074" t="s">
        <v>3782</v>
      </c>
      <c r="I1074">
        <v>13135</v>
      </c>
      <c r="J1074" t="s">
        <v>2460</v>
      </c>
      <c r="K1074">
        <v>11120</v>
      </c>
      <c r="L1074" t="s">
        <v>2460</v>
      </c>
      <c r="M1074">
        <v>11120</v>
      </c>
      <c r="N1074" t="s">
        <v>2460</v>
      </c>
      <c r="O1074">
        <v>11120</v>
      </c>
      <c r="P1074" t="s">
        <v>2460</v>
      </c>
      <c r="Q1074">
        <v>11120</v>
      </c>
      <c r="R1074" t="s">
        <v>2460</v>
      </c>
      <c r="S1074" t="s">
        <v>988</v>
      </c>
    </row>
    <row r="1075" spans="1:19" hidden="1" x14ac:dyDescent="0.3">
      <c r="A1075">
        <v>2496</v>
      </c>
      <c r="B1075" t="s">
        <v>905</v>
      </c>
      <c r="C1075" t="s">
        <v>2877</v>
      </c>
      <c r="D1075" t="s">
        <v>1203</v>
      </c>
      <c r="E1075" t="s">
        <v>1204</v>
      </c>
      <c r="F1075">
        <v>5568</v>
      </c>
      <c r="G1075" t="s">
        <v>2698</v>
      </c>
      <c r="H1075" t="s">
        <v>3783</v>
      </c>
      <c r="I1075">
        <v>0</v>
      </c>
      <c r="J1075" t="s">
        <v>2460</v>
      </c>
      <c r="K1075">
        <v>1925</v>
      </c>
      <c r="L1075" t="s">
        <v>2460</v>
      </c>
      <c r="M1075">
        <v>3500</v>
      </c>
      <c r="N1075" t="s">
        <v>2460</v>
      </c>
      <c r="O1075">
        <v>5000</v>
      </c>
      <c r="P1075" t="s">
        <v>2460</v>
      </c>
      <c r="Q1075">
        <v>7500</v>
      </c>
      <c r="R1075" t="s">
        <v>2460</v>
      </c>
      <c r="S1075" t="s">
        <v>988</v>
      </c>
    </row>
    <row r="1076" spans="1:19" hidden="1" x14ac:dyDescent="0.3">
      <c r="A1076">
        <v>2496</v>
      </c>
      <c r="B1076" t="s">
        <v>905</v>
      </c>
      <c r="C1076" t="s">
        <v>2877</v>
      </c>
      <c r="D1076" t="s">
        <v>1203</v>
      </c>
      <c r="E1076" t="s">
        <v>1204</v>
      </c>
      <c r="F1076">
        <v>5568</v>
      </c>
      <c r="G1076" t="s">
        <v>2679</v>
      </c>
      <c r="H1076" t="s">
        <v>1700</v>
      </c>
      <c r="I1076">
        <v>1000</v>
      </c>
      <c r="J1076" t="s">
        <v>2460</v>
      </c>
      <c r="K1076">
        <v>2067</v>
      </c>
      <c r="L1076" t="s">
        <v>2460</v>
      </c>
      <c r="M1076">
        <v>3133</v>
      </c>
      <c r="N1076" t="s">
        <v>2460</v>
      </c>
      <c r="O1076">
        <v>4200</v>
      </c>
      <c r="P1076" t="s">
        <v>2460</v>
      </c>
      <c r="Q1076">
        <v>6300</v>
      </c>
      <c r="R1076" t="s">
        <v>2460</v>
      </c>
      <c r="S1076" t="s">
        <v>988</v>
      </c>
    </row>
    <row r="1077" spans="1:19" hidden="1" x14ac:dyDescent="0.3">
      <c r="A1077">
        <v>2496</v>
      </c>
      <c r="B1077" t="s">
        <v>905</v>
      </c>
      <c r="C1077" t="s">
        <v>2877</v>
      </c>
      <c r="D1077" t="s">
        <v>1203</v>
      </c>
      <c r="E1077" t="s">
        <v>1204</v>
      </c>
      <c r="F1077">
        <v>5568</v>
      </c>
      <c r="G1077" t="s">
        <v>2683</v>
      </c>
      <c r="H1077" t="s">
        <v>3784</v>
      </c>
      <c r="I1077">
        <v>4448</v>
      </c>
      <c r="J1077" t="s">
        <v>2460</v>
      </c>
      <c r="K1077">
        <v>4448</v>
      </c>
      <c r="L1077" t="s">
        <v>2460</v>
      </c>
      <c r="M1077">
        <v>4448</v>
      </c>
      <c r="N1077" t="s">
        <v>2460</v>
      </c>
      <c r="O1077">
        <v>4448</v>
      </c>
      <c r="P1077" t="s">
        <v>2460</v>
      </c>
      <c r="Q1077">
        <v>4448</v>
      </c>
      <c r="R1077" t="s">
        <v>2460</v>
      </c>
      <c r="S1077" t="s">
        <v>988</v>
      </c>
    </row>
    <row r="1078" spans="1:19" hidden="1" x14ac:dyDescent="0.3">
      <c r="A1078">
        <v>2496</v>
      </c>
      <c r="B1078" t="s">
        <v>905</v>
      </c>
      <c r="C1078" t="s">
        <v>2877</v>
      </c>
      <c r="D1078" t="s">
        <v>1203</v>
      </c>
      <c r="E1078" t="s">
        <v>1204</v>
      </c>
      <c r="F1078">
        <v>5568</v>
      </c>
      <c r="G1078" t="s">
        <v>2681</v>
      </c>
      <c r="H1078" t="s">
        <v>3785</v>
      </c>
      <c r="I1078">
        <v>2500</v>
      </c>
      <c r="J1078" t="s">
        <v>2460</v>
      </c>
      <c r="K1078">
        <v>2500</v>
      </c>
      <c r="L1078" t="s">
        <v>2460</v>
      </c>
      <c r="M1078">
        <v>2500</v>
      </c>
      <c r="N1078" t="s">
        <v>2460</v>
      </c>
      <c r="O1078">
        <v>2500</v>
      </c>
      <c r="P1078" t="s">
        <v>2460</v>
      </c>
      <c r="Q1078">
        <v>2500</v>
      </c>
      <c r="R1078" t="s">
        <v>2460</v>
      </c>
      <c r="S1078" t="s">
        <v>988</v>
      </c>
    </row>
    <row r="1079" spans="1:19" hidden="1" x14ac:dyDescent="0.3">
      <c r="A1079">
        <v>2510</v>
      </c>
      <c r="B1079" t="s">
        <v>2035</v>
      </c>
      <c r="C1079" t="s">
        <v>2877</v>
      </c>
      <c r="D1079" t="s">
        <v>1203</v>
      </c>
      <c r="E1079" t="s">
        <v>1204</v>
      </c>
      <c r="F1079">
        <v>5942</v>
      </c>
      <c r="G1079" t="s">
        <v>2683</v>
      </c>
      <c r="H1079" t="s">
        <v>2460</v>
      </c>
      <c r="I1079">
        <v>2191</v>
      </c>
      <c r="J1079" t="s">
        <v>2460</v>
      </c>
      <c r="K1079">
        <v>2208</v>
      </c>
      <c r="L1079" t="s">
        <v>2460</v>
      </c>
      <c r="M1079">
        <v>2226</v>
      </c>
      <c r="N1079" t="s">
        <v>2460</v>
      </c>
      <c r="O1079">
        <v>2244</v>
      </c>
      <c r="P1079" t="s">
        <v>2460</v>
      </c>
      <c r="R1079" t="s">
        <v>2460</v>
      </c>
      <c r="S1079" t="s">
        <v>988</v>
      </c>
    </row>
    <row r="1080" spans="1:19" hidden="1" x14ac:dyDescent="0.3">
      <c r="A1080">
        <v>2510</v>
      </c>
      <c r="B1080" t="s">
        <v>2035</v>
      </c>
      <c r="C1080" t="s">
        <v>2877</v>
      </c>
      <c r="D1080" t="s">
        <v>1203</v>
      </c>
      <c r="E1080" t="s">
        <v>1204</v>
      </c>
      <c r="F1080">
        <v>5942</v>
      </c>
      <c r="G1080" t="s">
        <v>2679</v>
      </c>
      <c r="H1080" t="s">
        <v>2460</v>
      </c>
      <c r="I1080">
        <v>509</v>
      </c>
      <c r="J1080" t="s">
        <v>2460</v>
      </c>
      <c r="K1080">
        <v>509</v>
      </c>
      <c r="L1080" t="s">
        <v>2460</v>
      </c>
      <c r="M1080">
        <v>509</v>
      </c>
      <c r="N1080" t="s">
        <v>2460</v>
      </c>
      <c r="O1080">
        <v>509</v>
      </c>
      <c r="P1080" t="s">
        <v>2460</v>
      </c>
      <c r="R1080" t="s">
        <v>2460</v>
      </c>
      <c r="S1080" t="s">
        <v>988</v>
      </c>
    </row>
    <row r="1081" spans="1:19" hidden="1" x14ac:dyDescent="0.3">
      <c r="A1081">
        <v>2512</v>
      </c>
      <c r="B1081" t="s">
        <v>2039</v>
      </c>
      <c r="C1081" t="s">
        <v>2877</v>
      </c>
      <c r="D1081" t="s">
        <v>1203</v>
      </c>
      <c r="E1081" t="s">
        <v>1204</v>
      </c>
      <c r="F1081">
        <v>5501</v>
      </c>
      <c r="G1081" t="s">
        <v>2681</v>
      </c>
      <c r="H1081" t="s">
        <v>3786</v>
      </c>
      <c r="I1081">
        <v>21997.788108799999</v>
      </c>
      <c r="J1081" t="s">
        <v>3787</v>
      </c>
      <c r="K1081">
        <v>21997.788108799999</v>
      </c>
      <c r="L1081" t="s">
        <v>3787</v>
      </c>
      <c r="M1081">
        <v>21997.788108799999</v>
      </c>
      <c r="N1081" t="s">
        <v>3787</v>
      </c>
      <c r="O1081">
        <v>21997.788108799999</v>
      </c>
      <c r="P1081" t="s">
        <v>3787</v>
      </c>
      <c r="R1081" t="s">
        <v>2460</v>
      </c>
      <c r="S1081" t="s">
        <v>988</v>
      </c>
    </row>
    <row r="1082" spans="1:19" hidden="1" x14ac:dyDescent="0.3">
      <c r="A1082">
        <v>2516</v>
      </c>
      <c r="B1082" t="s">
        <v>2041</v>
      </c>
      <c r="C1082" t="s">
        <v>2877</v>
      </c>
      <c r="D1082" t="s">
        <v>1203</v>
      </c>
      <c r="E1082" t="s">
        <v>1204</v>
      </c>
      <c r="F1082">
        <v>6666</v>
      </c>
      <c r="G1082" t="s">
        <v>2679</v>
      </c>
      <c r="H1082" t="s">
        <v>3788</v>
      </c>
      <c r="I1082">
        <v>13193.148867149999</v>
      </c>
      <c r="J1082" t="s">
        <v>2460</v>
      </c>
      <c r="K1082">
        <v>13392.6265774</v>
      </c>
      <c r="L1082" t="s">
        <v>2460</v>
      </c>
      <c r="M1082">
        <v>13592.10428765</v>
      </c>
      <c r="N1082" t="s">
        <v>2460</v>
      </c>
      <c r="O1082">
        <v>13797.7197736</v>
      </c>
      <c r="P1082" t="s">
        <v>2460</v>
      </c>
      <c r="R1082" t="s">
        <v>2460</v>
      </c>
      <c r="S1082" t="s">
        <v>988</v>
      </c>
    </row>
    <row r="1083" spans="1:19" hidden="1" x14ac:dyDescent="0.3">
      <c r="A1083">
        <v>2516</v>
      </c>
      <c r="B1083" t="s">
        <v>2041</v>
      </c>
      <c r="C1083" t="s">
        <v>2877</v>
      </c>
      <c r="D1083" t="s">
        <v>1203</v>
      </c>
      <c r="E1083" t="s">
        <v>1204</v>
      </c>
      <c r="F1083">
        <v>6666</v>
      </c>
      <c r="G1083" t="s">
        <v>2681</v>
      </c>
      <c r="H1083" t="s">
        <v>3789</v>
      </c>
      <c r="I1083">
        <v>19195.893501750001</v>
      </c>
      <c r="J1083" t="s">
        <v>2460</v>
      </c>
      <c r="K1083">
        <v>19705.328884850001</v>
      </c>
      <c r="L1083" t="s">
        <v>2460</v>
      </c>
      <c r="M1083">
        <v>21206.0150435</v>
      </c>
      <c r="N1083" t="s">
        <v>2460</v>
      </c>
      <c r="O1083">
        <v>22820.2500526</v>
      </c>
      <c r="P1083" t="s">
        <v>2460</v>
      </c>
      <c r="R1083" t="s">
        <v>2460</v>
      </c>
      <c r="S1083" t="s">
        <v>988</v>
      </c>
    </row>
    <row r="1084" spans="1:19" hidden="1" x14ac:dyDescent="0.3">
      <c r="A1084">
        <v>2523</v>
      </c>
      <c r="B1084" t="s">
        <v>2042</v>
      </c>
      <c r="C1084" t="s">
        <v>2877</v>
      </c>
      <c r="D1084" t="s">
        <v>1203</v>
      </c>
      <c r="E1084" t="s">
        <v>1204</v>
      </c>
      <c r="F1084">
        <v>5458</v>
      </c>
      <c r="G1084" t="s">
        <v>2679</v>
      </c>
      <c r="H1084" t="s">
        <v>2460</v>
      </c>
      <c r="I1084">
        <v>1640</v>
      </c>
      <c r="J1084" t="s">
        <v>2460</v>
      </c>
      <c r="K1084">
        <v>1690</v>
      </c>
      <c r="L1084" t="s">
        <v>2460</v>
      </c>
      <c r="M1084">
        <v>1743</v>
      </c>
      <c r="N1084" t="s">
        <v>2460</v>
      </c>
      <c r="O1084">
        <v>1796</v>
      </c>
      <c r="P1084" t="s">
        <v>2460</v>
      </c>
      <c r="Q1084">
        <v>1852</v>
      </c>
      <c r="R1084" t="s">
        <v>2460</v>
      </c>
      <c r="S1084" t="s">
        <v>988</v>
      </c>
    </row>
    <row r="1085" spans="1:19" hidden="1" x14ac:dyDescent="0.3">
      <c r="A1085">
        <v>2523</v>
      </c>
      <c r="B1085" t="s">
        <v>2042</v>
      </c>
      <c r="C1085" t="s">
        <v>2877</v>
      </c>
      <c r="D1085" t="s">
        <v>1203</v>
      </c>
      <c r="E1085" t="s">
        <v>1204</v>
      </c>
      <c r="F1085">
        <v>5458</v>
      </c>
      <c r="G1085" t="s">
        <v>2691</v>
      </c>
      <c r="H1085" t="s">
        <v>3790</v>
      </c>
      <c r="I1085">
        <v>20100</v>
      </c>
      <c r="J1085" t="s">
        <v>3791</v>
      </c>
      <c r="K1085">
        <v>20100</v>
      </c>
      <c r="L1085" t="s">
        <v>3791</v>
      </c>
      <c r="M1085">
        <v>20100</v>
      </c>
      <c r="N1085" t="s">
        <v>3791</v>
      </c>
      <c r="O1085">
        <v>20100</v>
      </c>
      <c r="P1085" t="s">
        <v>3791</v>
      </c>
      <c r="Q1085">
        <v>20100</v>
      </c>
      <c r="R1085" t="s">
        <v>3791</v>
      </c>
      <c r="S1085" t="s">
        <v>988</v>
      </c>
    </row>
    <row r="1086" spans="1:19" hidden="1" x14ac:dyDescent="0.3">
      <c r="A1086">
        <v>2523</v>
      </c>
      <c r="B1086" t="s">
        <v>2042</v>
      </c>
      <c r="C1086" t="s">
        <v>2877</v>
      </c>
      <c r="D1086" t="s">
        <v>1203</v>
      </c>
      <c r="E1086" t="s">
        <v>1204</v>
      </c>
      <c r="F1086">
        <v>5458</v>
      </c>
      <c r="G1086" t="s">
        <v>2681</v>
      </c>
      <c r="H1086" t="s">
        <v>2460</v>
      </c>
      <c r="I1086">
        <v>1465</v>
      </c>
      <c r="J1086" t="s">
        <v>3792</v>
      </c>
      <c r="K1086">
        <v>1465</v>
      </c>
      <c r="L1086" t="s">
        <v>3792</v>
      </c>
      <c r="M1086">
        <v>1465</v>
      </c>
      <c r="N1086" t="s">
        <v>3792</v>
      </c>
      <c r="O1086">
        <v>1465</v>
      </c>
      <c r="P1086" t="s">
        <v>3792</v>
      </c>
      <c r="Q1086">
        <v>1465</v>
      </c>
      <c r="R1086" t="s">
        <v>3792</v>
      </c>
      <c r="S1086" t="s">
        <v>988</v>
      </c>
    </row>
    <row r="1087" spans="1:19" hidden="1" x14ac:dyDescent="0.3">
      <c r="A1087">
        <v>2524</v>
      </c>
      <c r="B1087" t="s">
        <v>2043</v>
      </c>
      <c r="C1087" t="s">
        <v>2877</v>
      </c>
      <c r="D1087" t="s">
        <v>159</v>
      </c>
      <c r="E1087" t="s">
        <v>159</v>
      </c>
      <c r="F1087">
        <v>6055</v>
      </c>
      <c r="G1087" t="s">
        <v>2691</v>
      </c>
      <c r="H1087" t="s">
        <v>2460</v>
      </c>
      <c r="I1087">
        <v>11201.440652499999</v>
      </c>
      <c r="J1087" t="s">
        <v>2460</v>
      </c>
      <c r="K1087">
        <v>11201.440652499999</v>
      </c>
      <c r="L1087" t="s">
        <v>2460</v>
      </c>
      <c r="M1087">
        <v>11201.440652499999</v>
      </c>
      <c r="N1087" t="s">
        <v>2460</v>
      </c>
      <c r="O1087">
        <v>11201.440652499999</v>
      </c>
      <c r="P1087" t="s">
        <v>2460</v>
      </c>
      <c r="Q1087">
        <v>11201.440652499999</v>
      </c>
      <c r="R1087" t="s">
        <v>2460</v>
      </c>
      <c r="S1087" t="s">
        <v>988</v>
      </c>
    </row>
    <row r="1088" spans="1:19" hidden="1" x14ac:dyDescent="0.3">
      <c r="A1088">
        <v>2524</v>
      </c>
      <c r="B1088" t="s">
        <v>2043</v>
      </c>
      <c r="C1088" t="s">
        <v>2877</v>
      </c>
      <c r="D1088" t="s">
        <v>159</v>
      </c>
      <c r="E1088" t="s">
        <v>159</v>
      </c>
      <c r="F1088">
        <v>6055</v>
      </c>
      <c r="G1088" t="s">
        <v>2681</v>
      </c>
      <c r="H1088" t="s">
        <v>2460</v>
      </c>
      <c r="I1088">
        <v>22835.594491849999</v>
      </c>
      <c r="J1088" t="s">
        <v>2460</v>
      </c>
      <c r="K1088">
        <v>25091.227061599999</v>
      </c>
      <c r="L1088" t="s">
        <v>2460</v>
      </c>
      <c r="M1088">
        <v>27564.750668699999</v>
      </c>
      <c r="N1088" t="s">
        <v>2460</v>
      </c>
      <c r="O1088">
        <v>30286.85419165</v>
      </c>
      <c r="P1088" t="s">
        <v>2460</v>
      </c>
      <c r="Q1088">
        <v>33275.950957549998</v>
      </c>
      <c r="R1088" t="s">
        <v>2460</v>
      </c>
      <c r="S1088" t="s">
        <v>988</v>
      </c>
    </row>
    <row r="1089" spans="1:19" hidden="1" x14ac:dyDescent="0.3">
      <c r="A1089">
        <v>2524</v>
      </c>
      <c r="B1089" t="s">
        <v>2043</v>
      </c>
      <c r="C1089" t="s">
        <v>2877</v>
      </c>
      <c r="D1089" t="s">
        <v>159</v>
      </c>
      <c r="E1089" t="s">
        <v>159</v>
      </c>
      <c r="F1089">
        <v>6055</v>
      </c>
      <c r="G1089" t="s">
        <v>687</v>
      </c>
      <c r="H1089" t="s">
        <v>2044</v>
      </c>
      <c r="I1089">
        <v>457.26428965000002</v>
      </c>
      <c r="J1089" t="s">
        <v>2460</v>
      </c>
      <c r="K1089">
        <v>457.26428965000002</v>
      </c>
      <c r="L1089" t="s">
        <v>2460</v>
      </c>
      <c r="M1089">
        <v>457.26428965000002</v>
      </c>
      <c r="N1089" t="s">
        <v>2460</v>
      </c>
      <c r="O1089">
        <v>457.26428965000002</v>
      </c>
      <c r="P1089" t="s">
        <v>2460</v>
      </c>
      <c r="R1089" t="s">
        <v>2460</v>
      </c>
      <c r="S1089" t="s">
        <v>988</v>
      </c>
    </row>
    <row r="1090" spans="1:19" hidden="1" x14ac:dyDescent="0.3">
      <c r="A1090">
        <v>2524</v>
      </c>
      <c r="B1090" t="s">
        <v>2043</v>
      </c>
      <c r="C1090" t="s">
        <v>2877</v>
      </c>
      <c r="D1090" t="s">
        <v>159</v>
      </c>
      <c r="E1090" t="s">
        <v>159</v>
      </c>
      <c r="F1090">
        <v>6055</v>
      </c>
      <c r="G1090" t="s">
        <v>2679</v>
      </c>
      <c r="H1090" t="s">
        <v>2460</v>
      </c>
      <c r="I1090">
        <v>12447.409119600001</v>
      </c>
      <c r="J1090" t="s">
        <v>2460</v>
      </c>
      <c r="K1090">
        <v>14236.570736150001</v>
      </c>
      <c r="L1090" t="s">
        <v>2460</v>
      </c>
      <c r="M1090">
        <v>16022.66346485</v>
      </c>
      <c r="N1090" t="s">
        <v>2460</v>
      </c>
      <c r="O1090">
        <v>17811.825081399998</v>
      </c>
      <c r="P1090" t="s">
        <v>2460</v>
      </c>
      <c r="R1090" t="s">
        <v>2460</v>
      </c>
      <c r="S1090" t="s">
        <v>988</v>
      </c>
    </row>
    <row r="1091" spans="1:19" hidden="1" x14ac:dyDescent="0.3">
      <c r="A1091">
        <v>2528</v>
      </c>
      <c r="B1091" t="s">
        <v>2047</v>
      </c>
      <c r="C1091" t="s">
        <v>2877</v>
      </c>
      <c r="D1091" t="s">
        <v>1203</v>
      </c>
      <c r="E1091" t="s">
        <v>1204</v>
      </c>
      <c r="F1091">
        <v>5675</v>
      </c>
      <c r="G1091" t="s">
        <v>2683</v>
      </c>
      <c r="H1091" t="s">
        <v>3793</v>
      </c>
      <c r="I1091">
        <v>1512</v>
      </c>
      <c r="J1091" t="s">
        <v>2460</v>
      </c>
      <c r="K1091">
        <v>1518</v>
      </c>
      <c r="L1091" t="s">
        <v>2460</v>
      </c>
      <c r="M1091">
        <v>1504</v>
      </c>
      <c r="N1091" t="s">
        <v>2460</v>
      </c>
      <c r="O1091">
        <v>1489</v>
      </c>
      <c r="P1091" t="s">
        <v>2460</v>
      </c>
      <c r="Q1091">
        <v>1485</v>
      </c>
      <c r="R1091" t="s">
        <v>2460</v>
      </c>
      <c r="S1091" t="s">
        <v>988</v>
      </c>
    </row>
    <row r="1092" spans="1:19" hidden="1" x14ac:dyDescent="0.3">
      <c r="A1092">
        <v>2528</v>
      </c>
      <c r="B1092" t="s">
        <v>2047</v>
      </c>
      <c r="C1092" t="s">
        <v>2877</v>
      </c>
      <c r="D1092" t="s">
        <v>1203</v>
      </c>
      <c r="E1092" t="s">
        <v>1204</v>
      </c>
      <c r="F1092">
        <v>5675</v>
      </c>
      <c r="G1092" t="s">
        <v>2681</v>
      </c>
      <c r="H1092" t="s">
        <v>3717</v>
      </c>
      <c r="I1092">
        <v>8569</v>
      </c>
      <c r="J1092" t="s">
        <v>2460</v>
      </c>
      <c r="K1092">
        <v>8604</v>
      </c>
      <c r="L1092" t="s">
        <v>2460</v>
      </c>
      <c r="M1092">
        <v>8521</v>
      </c>
      <c r="N1092" t="s">
        <v>2460</v>
      </c>
      <c r="O1092">
        <v>8440</v>
      </c>
      <c r="P1092" t="s">
        <v>2460</v>
      </c>
      <c r="Q1092">
        <v>8413</v>
      </c>
      <c r="R1092" t="s">
        <v>2460</v>
      </c>
      <c r="S1092" t="s">
        <v>988</v>
      </c>
    </row>
    <row r="1093" spans="1:19" hidden="1" x14ac:dyDescent="0.3">
      <c r="A1093">
        <v>2530</v>
      </c>
      <c r="B1093" t="s">
        <v>2049</v>
      </c>
      <c r="C1093" t="s">
        <v>2877</v>
      </c>
      <c r="D1093" t="s">
        <v>1203</v>
      </c>
      <c r="E1093" t="s">
        <v>1204</v>
      </c>
      <c r="F1093">
        <v>5741</v>
      </c>
      <c r="G1093" t="s">
        <v>2681</v>
      </c>
      <c r="H1093" t="s">
        <v>3794</v>
      </c>
      <c r="I1093">
        <v>6995</v>
      </c>
      <c r="J1093" t="s">
        <v>2460</v>
      </c>
      <c r="K1093">
        <v>6995</v>
      </c>
      <c r="L1093" t="s">
        <v>2460</v>
      </c>
      <c r="M1093">
        <v>6995</v>
      </c>
      <c r="N1093" t="s">
        <v>2460</v>
      </c>
      <c r="O1093">
        <v>6995</v>
      </c>
      <c r="P1093" t="s">
        <v>2460</v>
      </c>
      <c r="Q1093">
        <v>6995</v>
      </c>
      <c r="R1093" t="s">
        <v>2460</v>
      </c>
      <c r="S1093" t="s">
        <v>988</v>
      </c>
    </row>
    <row r="1094" spans="1:19" hidden="1" x14ac:dyDescent="0.3">
      <c r="A1094">
        <v>2536</v>
      </c>
      <c r="B1094" t="s">
        <v>2050</v>
      </c>
      <c r="C1094" t="s">
        <v>2877</v>
      </c>
      <c r="D1094" t="s">
        <v>1203</v>
      </c>
      <c r="E1094" t="s">
        <v>1204</v>
      </c>
      <c r="F1094">
        <v>5587</v>
      </c>
      <c r="G1094" t="s">
        <v>2681</v>
      </c>
      <c r="H1094" t="s">
        <v>3795</v>
      </c>
      <c r="I1094">
        <v>4677</v>
      </c>
      <c r="J1094" t="s">
        <v>3796</v>
      </c>
      <c r="K1094">
        <v>4677</v>
      </c>
      <c r="L1094" t="s">
        <v>3796</v>
      </c>
      <c r="M1094">
        <v>4677</v>
      </c>
      <c r="N1094" t="s">
        <v>3796</v>
      </c>
      <c r="O1094">
        <v>4677</v>
      </c>
      <c r="P1094" t="s">
        <v>3796</v>
      </c>
      <c r="Q1094">
        <v>4677</v>
      </c>
      <c r="R1094" t="s">
        <v>3796</v>
      </c>
      <c r="S1094" t="s">
        <v>988</v>
      </c>
    </row>
    <row r="1095" spans="1:19" hidden="1" x14ac:dyDescent="0.3">
      <c r="A1095">
        <v>2536</v>
      </c>
      <c r="B1095" t="s">
        <v>2050</v>
      </c>
      <c r="C1095" t="s">
        <v>2877</v>
      </c>
      <c r="D1095" t="s">
        <v>1203</v>
      </c>
      <c r="E1095" t="s">
        <v>1204</v>
      </c>
      <c r="F1095">
        <v>5587</v>
      </c>
      <c r="G1095" t="s">
        <v>2679</v>
      </c>
      <c r="H1095" t="s">
        <v>2460</v>
      </c>
      <c r="I1095">
        <v>1400</v>
      </c>
      <c r="J1095" t="s">
        <v>3797</v>
      </c>
      <c r="K1095">
        <v>1400</v>
      </c>
      <c r="L1095" t="s">
        <v>3797</v>
      </c>
      <c r="M1095">
        <v>1400</v>
      </c>
      <c r="N1095" t="s">
        <v>3797</v>
      </c>
      <c r="O1095">
        <v>1400</v>
      </c>
      <c r="P1095" t="s">
        <v>3797</v>
      </c>
      <c r="Q1095">
        <v>1400</v>
      </c>
      <c r="R1095" t="s">
        <v>3797</v>
      </c>
      <c r="S1095" t="s">
        <v>988</v>
      </c>
    </row>
    <row r="1096" spans="1:19" hidden="1" x14ac:dyDescent="0.3">
      <c r="A1096">
        <v>2536</v>
      </c>
      <c r="B1096" t="s">
        <v>2050</v>
      </c>
      <c r="C1096" t="s">
        <v>2877</v>
      </c>
      <c r="D1096" t="s">
        <v>1203</v>
      </c>
      <c r="E1096" t="s">
        <v>1204</v>
      </c>
      <c r="F1096">
        <v>5587</v>
      </c>
      <c r="G1096" t="s">
        <v>2691</v>
      </c>
      <c r="H1096" t="s">
        <v>3798</v>
      </c>
      <c r="I1096">
        <v>2027</v>
      </c>
      <c r="J1096" t="s">
        <v>3799</v>
      </c>
      <c r="K1096">
        <v>2027</v>
      </c>
      <c r="L1096" t="s">
        <v>3799</v>
      </c>
      <c r="M1096">
        <v>2027</v>
      </c>
      <c r="N1096" t="s">
        <v>3799</v>
      </c>
      <c r="O1096">
        <v>2027</v>
      </c>
      <c r="P1096" t="s">
        <v>3799</v>
      </c>
      <c r="Q1096">
        <v>2027</v>
      </c>
      <c r="R1096" t="s">
        <v>3799</v>
      </c>
      <c r="S1096" t="s">
        <v>988</v>
      </c>
    </row>
    <row r="1097" spans="1:19" hidden="1" x14ac:dyDescent="0.3">
      <c r="A1097">
        <v>2536</v>
      </c>
      <c r="B1097" t="s">
        <v>2050</v>
      </c>
      <c r="C1097" t="s">
        <v>2877</v>
      </c>
      <c r="D1097" t="s">
        <v>1203</v>
      </c>
      <c r="E1097" t="s">
        <v>1204</v>
      </c>
      <c r="F1097">
        <v>5587</v>
      </c>
      <c r="G1097" t="s">
        <v>2691</v>
      </c>
      <c r="H1097" t="s">
        <v>3800</v>
      </c>
      <c r="I1097">
        <v>14480</v>
      </c>
      <c r="J1097" t="s">
        <v>3801</v>
      </c>
      <c r="K1097">
        <v>14480</v>
      </c>
      <c r="L1097" t="s">
        <v>3801</v>
      </c>
      <c r="M1097">
        <v>14480</v>
      </c>
      <c r="N1097" t="s">
        <v>3801</v>
      </c>
      <c r="O1097">
        <v>14480</v>
      </c>
      <c r="P1097" t="s">
        <v>3801</v>
      </c>
      <c r="Q1097">
        <v>14480</v>
      </c>
      <c r="R1097" t="s">
        <v>3801</v>
      </c>
      <c r="S1097" t="s">
        <v>988</v>
      </c>
    </row>
    <row r="1098" spans="1:19" hidden="1" x14ac:dyDescent="0.3">
      <c r="A1098">
        <v>2541</v>
      </c>
      <c r="B1098" t="s">
        <v>2051</v>
      </c>
      <c r="C1098" t="s">
        <v>2877</v>
      </c>
      <c r="D1098" t="s">
        <v>159</v>
      </c>
      <c r="E1098" t="s">
        <v>159</v>
      </c>
      <c r="F1098">
        <v>6789</v>
      </c>
      <c r="G1098" t="s">
        <v>2681</v>
      </c>
      <c r="H1098" t="s">
        <v>3174</v>
      </c>
      <c r="I1098">
        <v>683</v>
      </c>
      <c r="J1098" t="s">
        <v>2460</v>
      </c>
      <c r="K1098">
        <v>683</v>
      </c>
      <c r="L1098" t="s">
        <v>2460</v>
      </c>
      <c r="M1098">
        <v>683</v>
      </c>
      <c r="N1098" t="s">
        <v>2460</v>
      </c>
      <c r="O1098">
        <v>683</v>
      </c>
      <c r="P1098" t="s">
        <v>2460</v>
      </c>
      <c r="Q1098">
        <v>683</v>
      </c>
      <c r="R1098" t="s">
        <v>2460</v>
      </c>
      <c r="S1098" t="s">
        <v>988</v>
      </c>
    </row>
    <row r="1099" spans="1:19" hidden="1" x14ac:dyDescent="0.3">
      <c r="A1099">
        <v>2541</v>
      </c>
      <c r="B1099" t="s">
        <v>2051</v>
      </c>
      <c r="C1099" t="s">
        <v>2877</v>
      </c>
      <c r="D1099" t="s">
        <v>159</v>
      </c>
      <c r="E1099" t="s">
        <v>159</v>
      </c>
      <c r="F1099">
        <v>6789</v>
      </c>
      <c r="G1099" t="s">
        <v>2681</v>
      </c>
      <c r="H1099" t="s">
        <v>3275</v>
      </c>
      <c r="I1099">
        <v>4122</v>
      </c>
      <c r="J1099" t="s">
        <v>2460</v>
      </c>
      <c r="K1099">
        <v>4122</v>
      </c>
      <c r="L1099" t="s">
        <v>2460</v>
      </c>
      <c r="M1099">
        <v>4122</v>
      </c>
      <c r="N1099" t="s">
        <v>2460</v>
      </c>
      <c r="O1099">
        <v>4122</v>
      </c>
      <c r="P1099" t="s">
        <v>2460</v>
      </c>
      <c r="Q1099">
        <v>4122</v>
      </c>
      <c r="R1099" t="s">
        <v>2460</v>
      </c>
      <c r="S1099" t="s">
        <v>988</v>
      </c>
    </row>
    <row r="1100" spans="1:19" hidden="1" x14ac:dyDescent="0.3">
      <c r="A1100">
        <v>2541</v>
      </c>
      <c r="B1100" t="s">
        <v>2051</v>
      </c>
      <c r="C1100" t="s">
        <v>2877</v>
      </c>
      <c r="D1100" t="s">
        <v>159</v>
      </c>
      <c r="E1100" t="s">
        <v>159</v>
      </c>
      <c r="F1100">
        <v>6789</v>
      </c>
      <c r="G1100" t="s">
        <v>2691</v>
      </c>
      <c r="H1100" t="s">
        <v>3802</v>
      </c>
      <c r="I1100">
        <v>1679</v>
      </c>
      <c r="J1100" t="s">
        <v>2460</v>
      </c>
      <c r="K1100">
        <v>1679</v>
      </c>
      <c r="L1100" t="s">
        <v>2460</v>
      </c>
      <c r="M1100">
        <v>1679</v>
      </c>
      <c r="N1100" t="s">
        <v>2460</v>
      </c>
      <c r="O1100">
        <v>1679</v>
      </c>
      <c r="P1100" t="s">
        <v>2460</v>
      </c>
      <c r="Q1100">
        <v>1679</v>
      </c>
      <c r="R1100" t="s">
        <v>2460</v>
      </c>
      <c r="S1100" t="s">
        <v>988</v>
      </c>
    </row>
    <row r="1101" spans="1:19" hidden="1" x14ac:dyDescent="0.3">
      <c r="A1101">
        <v>2541</v>
      </c>
      <c r="B1101" t="s">
        <v>2051</v>
      </c>
      <c r="C1101" t="s">
        <v>2877</v>
      </c>
      <c r="D1101" t="s">
        <v>159</v>
      </c>
      <c r="E1101" t="s">
        <v>159</v>
      </c>
      <c r="F1101">
        <v>6789</v>
      </c>
      <c r="G1101" t="s">
        <v>2683</v>
      </c>
      <c r="H1101" t="s">
        <v>3803</v>
      </c>
      <c r="I1101">
        <v>5541</v>
      </c>
      <c r="J1101" t="s">
        <v>2460</v>
      </c>
      <c r="K1101">
        <v>5541</v>
      </c>
      <c r="L1101" t="s">
        <v>2460</v>
      </c>
      <c r="M1101">
        <v>5541</v>
      </c>
      <c r="N1101" t="s">
        <v>2460</v>
      </c>
      <c r="O1101">
        <v>5541</v>
      </c>
      <c r="P1101" t="s">
        <v>2460</v>
      </c>
      <c r="Q1101">
        <v>5541</v>
      </c>
      <c r="R1101" t="s">
        <v>2460</v>
      </c>
      <c r="S1101" t="s">
        <v>988</v>
      </c>
    </row>
    <row r="1102" spans="1:19" hidden="1" x14ac:dyDescent="0.3">
      <c r="A1102">
        <v>2541</v>
      </c>
      <c r="B1102" t="s">
        <v>2051</v>
      </c>
      <c r="C1102" t="s">
        <v>2877</v>
      </c>
      <c r="D1102" t="s">
        <v>159</v>
      </c>
      <c r="E1102" t="s">
        <v>159</v>
      </c>
      <c r="F1102">
        <v>6789</v>
      </c>
      <c r="G1102" t="s">
        <v>2681</v>
      </c>
      <c r="H1102" t="s">
        <v>3137</v>
      </c>
      <c r="I1102">
        <v>5743</v>
      </c>
      <c r="J1102" t="s">
        <v>2460</v>
      </c>
      <c r="K1102">
        <v>5743</v>
      </c>
      <c r="L1102" t="s">
        <v>2460</v>
      </c>
      <c r="M1102">
        <v>5743</v>
      </c>
      <c r="N1102" t="s">
        <v>2460</v>
      </c>
      <c r="O1102">
        <v>5743</v>
      </c>
      <c r="P1102" t="s">
        <v>2460</v>
      </c>
      <c r="Q1102">
        <v>5743</v>
      </c>
      <c r="R1102" t="s">
        <v>2460</v>
      </c>
      <c r="S1102" t="s">
        <v>988</v>
      </c>
    </row>
    <row r="1103" spans="1:19" hidden="1" x14ac:dyDescent="0.3">
      <c r="A1103">
        <v>2541</v>
      </c>
      <c r="B1103" t="s">
        <v>2051</v>
      </c>
      <c r="C1103" t="s">
        <v>2877</v>
      </c>
      <c r="D1103" t="s">
        <v>159</v>
      </c>
      <c r="E1103" t="s">
        <v>159</v>
      </c>
      <c r="F1103">
        <v>6789</v>
      </c>
      <c r="G1103" t="s">
        <v>2679</v>
      </c>
      <c r="H1103" t="s">
        <v>3804</v>
      </c>
      <c r="I1103">
        <v>703</v>
      </c>
      <c r="J1103" t="s">
        <v>2460</v>
      </c>
      <c r="K1103">
        <v>703</v>
      </c>
      <c r="L1103" t="s">
        <v>2460</v>
      </c>
      <c r="M1103">
        <v>703</v>
      </c>
      <c r="N1103" t="s">
        <v>2460</v>
      </c>
      <c r="O1103">
        <v>703</v>
      </c>
      <c r="P1103" t="s">
        <v>2460</v>
      </c>
      <c r="Q1103">
        <v>703</v>
      </c>
      <c r="R1103" t="s">
        <v>2460</v>
      </c>
      <c r="S1103" t="s">
        <v>988</v>
      </c>
    </row>
    <row r="1104" spans="1:19" hidden="1" x14ac:dyDescent="0.3">
      <c r="A1104">
        <v>2541</v>
      </c>
      <c r="B1104" t="s">
        <v>2051</v>
      </c>
      <c r="C1104" t="s">
        <v>2877</v>
      </c>
      <c r="D1104" t="s">
        <v>159</v>
      </c>
      <c r="E1104" t="s">
        <v>159</v>
      </c>
      <c r="F1104">
        <v>6789</v>
      </c>
      <c r="G1104" t="s">
        <v>2683</v>
      </c>
      <c r="H1104" t="s">
        <v>3805</v>
      </c>
      <c r="I1104">
        <v>6857</v>
      </c>
      <c r="J1104" t="s">
        <v>2460</v>
      </c>
      <c r="K1104">
        <v>6857</v>
      </c>
      <c r="L1104" t="s">
        <v>2460</v>
      </c>
      <c r="M1104">
        <v>6857</v>
      </c>
      <c r="N1104" t="s">
        <v>2460</v>
      </c>
      <c r="O1104">
        <v>6857</v>
      </c>
      <c r="P1104" t="s">
        <v>2460</v>
      </c>
      <c r="Q1104">
        <v>6857</v>
      </c>
      <c r="R1104" t="s">
        <v>2460</v>
      </c>
      <c r="S1104" t="s">
        <v>988</v>
      </c>
    </row>
    <row r="1105" spans="1:19" hidden="1" x14ac:dyDescent="0.3">
      <c r="A1105">
        <v>2597</v>
      </c>
      <c r="B1105" t="s">
        <v>2053</v>
      </c>
      <c r="C1105" t="s">
        <v>2877</v>
      </c>
      <c r="D1105" t="s">
        <v>1203</v>
      </c>
      <c r="E1105" t="s">
        <v>1204</v>
      </c>
      <c r="F1105">
        <v>5491</v>
      </c>
      <c r="G1105" t="s">
        <v>2681</v>
      </c>
      <c r="H1105" t="s">
        <v>2460</v>
      </c>
      <c r="I1105">
        <v>7300</v>
      </c>
      <c r="J1105" t="s">
        <v>3806</v>
      </c>
      <c r="K1105">
        <v>7700</v>
      </c>
      <c r="L1105" t="s">
        <v>3807</v>
      </c>
      <c r="M1105">
        <v>8100</v>
      </c>
      <c r="N1105" t="s">
        <v>3808</v>
      </c>
      <c r="O1105">
        <v>8100</v>
      </c>
      <c r="P1105" t="s">
        <v>3808</v>
      </c>
      <c r="Q1105">
        <v>8100</v>
      </c>
      <c r="R1105" t="s">
        <v>3808</v>
      </c>
      <c r="S1105" t="s">
        <v>988</v>
      </c>
    </row>
    <row r="1106" spans="1:19" hidden="1" x14ac:dyDescent="0.3">
      <c r="A1106">
        <v>2597</v>
      </c>
      <c r="B1106" t="s">
        <v>2053</v>
      </c>
      <c r="C1106" t="s">
        <v>2877</v>
      </c>
      <c r="D1106" t="s">
        <v>1203</v>
      </c>
      <c r="E1106" t="s">
        <v>1204</v>
      </c>
      <c r="F1106">
        <v>5491</v>
      </c>
      <c r="G1106" t="s">
        <v>2683</v>
      </c>
      <c r="H1106" t="s">
        <v>3809</v>
      </c>
      <c r="I1106">
        <v>11307</v>
      </c>
      <c r="J1106" t="s">
        <v>3810</v>
      </c>
      <c r="K1106">
        <v>12798</v>
      </c>
      <c r="L1106" t="s">
        <v>3811</v>
      </c>
      <c r="M1106">
        <v>14289</v>
      </c>
      <c r="N1106" t="s">
        <v>3812</v>
      </c>
      <c r="O1106">
        <v>15705</v>
      </c>
      <c r="P1106" t="s">
        <v>3813</v>
      </c>
      <c r="Q1106">
        <v>15705</v>
      </c>
      <c r="R1106" t="s">
        <v>3813</v>
      </c>
      <c r="S1106" t="s">
        <v>988</v>
      </c>
    </row>
    <row r="1107" spans="1:19" hidden="1" x14ac:dyDescent="0.3">
      <c r="A1107">
        <v>2597</v>
      </c>
      <c r="B1107" t="s">
        <v>2053</v>
      </c>
      <c r="C1107" t="s">
        <v>2877</v>
      </c>
      <c r="D1107" t="s">
        <v>1203</v>
      </c>
      <c r="E1107" t="s">
        <v>1204</v>
      </c>
      <c r="F1107">
        <v>5491</v>
      </c>
      <c r="G1107" t="s">
        <v>2683</v>
      </c>
      <c r="H1107" t="s">
        <v>3128</v>
      </c>
      <c r="I1107">
        <v>7451</v>
      </c>
      <c r="J1107" t="s">
        <v>3814</v>
      </c>
      <c r="K1107">
        <v>7451</v>
      </c>
      <c r="L1107" t="s">
        <v>3814</v>
      </c>
      <c r="M1107">
        <v>7451</v>
      </c>
      <c r="N1107" t="s">
        <v>3814</v>
      </c>
      <c r="O1107">
        <v>7451</v>
      </c>
      <c r="P1107" t="s">
        <v>3814</v>
      </c>
      <c r="Q1107">
        <v>7451</v>
      </c>
      <c r="R1107" t="s">
        <v>3814</v>
      </c>
      <c r="S1107" t="s">
        <v>988</v>
      </c>
    </row>
    <row r="1108" spans="1:19" hidden="1" x14ac:dyDescent="0.3">
      <c r="A1108">
        <v>2597</v>
      </c>
      <c r="B1108" t="s">
        <v>2053</v>
      </c>
      <c r="C1108" t="s">
        <v>2877</v>
      </c>
      <c r="D1108" t="s">
        <v>1203</v>
      </c>
      <c r="E1108" t="s">
        <v>1204</v>
      </c>
      <c r="F1108">
        <v>5491</v>
      </c>
      <c r="G1108" t="s">
        <v>2683</v>
      </c>
      <c r="H1108" t="s">
        <v>3245</v>
      </c>
      <c r="I1108">
        <v>1454</v>
      </c>
      <c r="J1108" t="s">
        <v>3815</v>
      </c>
      <c r="K1108">
        <v>1454</v>
      </c>
      <c r="L1108" t="s">
        <v>3815</v>
      </c>
      <c r="M1108">
        <v>1454</v>
      </c>
      <c r="N1108" t="s">
        <v>3815</v>
      </c>
      <c r="O1108">
        <v>1454</v>
      </c>
      <c r="P1108" t="s">
        <v>3815</v>
      </c>
      <c r="Q1108">
        <v>1454</v>
      </c>
      <c r="R1108" t="s">
        <v>3815</v>
      </c>
      <c r="S1108" t="s">
        <v>988</v>
      </c>
    </row>
    <row r="1109" spans="1:19" hidden="1" x14ac:dyDescent="0.3">
      <c r="A1109">
        <v>2597</v>
      </c>
      <c r="B1109" t="s">
        <v>2053</v>
      </c>
      <c r="C1109" t="s">
        <v>2877</v>
      </c>
      <c r="D1109" t="s">
        <v>1203</v>
      </c>
      <c r="E1109" t="s">
        <v>1204</v>
      </c>
      <c r="F1109">
        <v>5491</v>
      </c>
      <c r="G1109" t="s">
        <v>2679</v>
      </c>
      <c r="H1109" t="s">
        <v>3816</v>
      </c>
      <c r="I1109">
        <v>0</v>
      </c>
      <c r="J1109" t="s">
        <v>2982</v>
      </c>
      <c r="K1109">
        <v>745</v>
      </c>
      <c r="L1109" t="s">
        <v>3817</v>
      </c>
      <c r="M1109">
        <v>745</v>
      </c>
      <c r="N1109" t="s">
        <v>3817</v>
      </c>
      <c r="O1109">
        <v>1140</v>
      </c>
      <c r="P1109" t="s">
        <v>3817</v>
      </c>
      <c r="Q1109">
        <v>1825</v>
      </c>
      <c r="R1109" t="s">
        <v>3817</v>
      </c>
      <c r="S1109" t="s">
        <v>988</v>
      </c>
    </row>
    <row r="1110" spans="1:19" hidden="1" x14ac:dyDescent="0.3">
      <c r="A1110">
        <v>2602</v>
      </c>
      <c r="B1110" t="s">
        <v>2054</v>
      </c>
      <c r="C1110" t="s">
        <v>2877</v>
      </c>
      <c r="D1110" t="s">
        <v>1203</v>
      </c>
      <c r="E1110" t="s">
        <v>1204</v>
      </c>
      <c r="F1110">
        <v>5701</v>
      </c>
      <c r="G1110" t="s">
        <v>2683</v>
      </c>
      <c r="H1110" t="s">
        <v>3120</v>
      </c>
      <c r="I1110">
        <v>13975.7152689</v>
      </c>
      <c r="J1110" t="s">
        <v>2460</v>
      </c>
      <c r="K1110">
        <v>14816.5905398</v>
      </c>
      <c r="L1110" t="s">
        <v>2460</v>
      </c>
      <c r="M1110">
        <v>15473.332539700001</v>
      </c>
      <c r="N1110" t="s">
        <v>2460</v>
      </c>
      <c r="O1110">
        <v>16762.2654367</v>
      </c>
      <c r="P1110" t="s">
        <v>2460</v>
      </c>
      <c r="Q1110">
        <v>18907.418043850001</v>
      </c>
      <c r="R1110" t="s">
        <v>2460</v>
      </c>
      <c r="S1110" t="s">
        <v>988</v>
      </c>
    </row>
    <row r="1111" spans="1:19" hidden="1" x14ac:dyDescent="0.3">
      <c r="A1111">
        <v>2602</v>
      </c>
      <c r="B1111" t="s">
        <v>2054</v>
      </c>
      <c r="C1111" t="s">
        <v>2877</v>
      </c>
      <c r="D1111" t="s">
        <v>1203</v>
      </c>
      <c r="E1111" t="s">
        <v>1204</v>
      </c>
      <c r="F1111">
        <v>5701</v>
      </c>
      <c r="G1111" t="s">
        <v>2689</v>
      </c>
      <c r="H1111" t="s">
        <v>3818</v>
      </c>
      <c r="I1111">
        <v>3498.5321490000001</v>
      </c>
      <c r="J1111" t="s">
        <v>2460</v>
      </c>
      <c r="K1111">
        <v>3498.5321490000001</v>
      </c>
      <c r="L1111" t="s">
        <v>2460</v>
      </c>
      <c r="M1111">
        <v>3498.5321490000001</v>
      </c>
      <c r="N1111" t="s">
        <v>2460</v>
      </c>
      <c r="O1111">
        <v>3498.5321490000001</v>
      </c>
      <c r="P1111" t="s">
        <v>2460</v>
      </c>
      <c r="Q1111">
        <v>3498.5321490000001</v>
      </c>
      <c r="R1111" t="s">
        <v>2460</v>
      </c>
      <c r="S1111" t="s">
        <v>988</v>
      </c>
    </row>
    <row r="1112" spans="1:19" hidden="1" x14ac:dyDescent="0.3">
      <c r="A1112">
        <v>2602</v>
      </c>
      <c r="B1112" t="s">
        <v>2054</v>
      </c>
      <c r="C1112" t="s">
        <v>2877</v>
      </c>
      <c r="D1112" t="s">
        <v>1203</v>
      </c>
      <c r="E1112" t="s">
        <v>1204</v>
      </c>
      <c r="F1112">
        <v>5701</v>
      </c>
      <c r="G1112" t="s">
        <v>2679</v>
      </c>
      <c r="H1112" t="s">
        <v>3819</v>
      </c>
      <c r="I1112">
        <v>1445.44617735</v>
      </c>
      <c r="J1112" t="s">
        <v>2460</v>
      </c>
      <c r="K1112">
        <v>1445.44617735</v>
      </c>
      <c r="L1112" t="s">
        <v>2460</v>
      </c>
      <c r="M1112">
        <v>1445.44617735</v>
      </c>
      <c r="N1112" t="s">
        <v>2460</v>
      </c>
      <c r="O1112">
        <v>2366.11253235</v>
      </c>
      <c r="P1112" t="s">
        <v>2460</v>
      </c>
      <c r="Q1112">
        <v>2366.11253235</v>
      </c>
      <c r="R1112" t="s">
        <v>2460</v>
      </c>
      <c r="S1112" t="s">
        <v>988</v>
      </c>
    </row>
    <row r="1113" spans="1:19" hidden="1" x14ac:dyDescent="0.3">
      <c r="A1113">
        <v>2603</v>
      </c>
      <c r="B1113" t="s">
        <v>2058</v>
      </c>
      <c r="C1113" t="s">
        <v>2877</v>
      </c>
      <c r="D1113" t="s">
        <v>1203</v>
      </c>
      <c r="E1113" t="s">
        <v>1204</v>
      </c>
      <c r="F1113">
        <v>6625</v>
      </c>
      <c r="G1113" t="s">
        <v>2685</v>
      </c>
      <c r="H1113" t="s">
        <v>3820</v>
      </c>
      <c r="I1113">
        <v>7300</v>
      </c>
      <c r="J1113" t="s">
        <v>2460</v>
      </c>
      <c r="K1113">
        <v>7300</v>
      </c>
      <c r="L1113" t="s">
        <v>2460</v>
      </c>
      <c r="M1113">
        <v>7300</v>
      </c>
      <c r="N1113" t="s">
        <v>2460</v>
      </c>
      <c r="O1113">
        <v>7300</v>
      </c>
      <c r="P1113" t="s">
        <v>2460</v>
      </c>
      <c r="Q1113">
        <v>7300</v>
      </c>
      <c r="R1113" t="s">
        <v>2460</v>
      </c>
      <c r="S1113" t="s">
        <v>988</v>
      </c>
    </row>
    <row r="1114" spans="1:19" hidden="1" x14ac:dyDescent="0.3">
      <c r="A1114">
        <v>2603</v>
      </c>
      <c r="B1114" t="s">
        <v>2058</v>
      </c>
      <c r="C1114" t="s">
        <v>2877</v>
      </c>
      <c r="D1114" t="s">
        <v>1203</v>
      </c>
      <c r="E1114" t="s">
        <v>1204</v>
      </c>
      <c r="F1114">
        <v>6625</v>
      </c>
      <c r="G1114" t="s">
        <v>2698</v>
      </c>
      <c r="H1114" t="s">
        <v>3821</v>
      </c>
      <c r="I1114">
        <v>150</v>
      </c>
      <c r="J1114" t="s">
        <v>2460</v>
      </c>
      <c r="K1114">
        <v>150</v>
      </c>
      <c r="L1114" t="s">
        <v>2460</v>
      </c>
      <c r="M1114">
        <v>150</v>
      </c>
      <c r="N1114" t="s">
        <v>2460</v>
      </c>
      <c r="O1114">
        <v>150</v>
      </c>
      <c r="P1114" t="s">
        <v>2460</v>
      </c>
      <c r="Q1114">
        <v>150</v>
      </c>
      <c r="R1114" t="s">
        <v>2460</v>
      </c>
      <c r="S1114" t="s">
        <v>988</v>
      </c>
    </row>
    <row r="1115" spans="1:19" hidden="1" x14ac:dyDescent="0.3">
      <c r="A1115">
        <v>2603</v>
      </c>
      <c r="B1115" t="s">
        <v>2058</v>
      </c>
      <c r="C1115" t="s">
        <v>2877</v>
      </c>
      <c r="D1115" t="s">
        <v>1203</v>
      </c>
      <c r="E1115" t="s">
        <v>1204</v>
      </c>
      <c r="F1115">
        <v>6625</v>
      </c>
      <c r="G1115" t="s">
        <v>2685</v>
      </c>
      <c r="H1115" t="s">
        <v>3822</v>
      </c>
      <c r="I1115">
        <v>1904</v>
      </c>
      <c r="J1115" t="s">
        <v>2460</v>
      </c>
      <c r="K1115">
        <v>1904</v>
      </c>
      <c r="L1115" t="s">
        <v>2460</v>
      </c>
      <c r="M1115">
        <v>1904</v>
      </c>
      <c r="N1115" t="s">
        <v>2460</v>
      </c>
      <c r="O1115">
        <v>1904</v>
      </c>
      <c r="P1115" t="s">
        <v>2460</v>
      </c>
      <c r="Q1115">
        <v>1904</v>
      </c>
      <c r="R1115" t="s">
        <v>2460</v>
      </c>
      <c r="S1115" t="s">
        <v>988</v>
      </c>
    </row>
    <row r="1116" spans="1:19" hidden="1" x14ac:dyDescent="0.3">
      <c r="A1116">
        <v>2603</v>
      </c>
      <c r="B1116" t="s">
        <v>2058</v>
      </c>
      <c r="C1116" t="s">
        <v>2877</v>
      </c>
      <c r="D1116" t="s">
        <v>1203</v>
      </c>
      <c r="E1116" t="s">
        <v>1204</v>
      </c>
      <c r="F1116">
        <v>6625</v>
      </c>
      <c r="G1116" t="s">
        <v>2691</v>
      </c>
      <c r="H1116" t="s">
        <v>3823</v>
      </c>
      <c r="I1116">
        <v>17287</v>
      </c>
      <c r="J1116" t="s">
        <v>2460</v>
      </c>
      <c r="K1116">
        <v>17287</v>
      </c>
      <c r="L1116" t="s">
        <v>2460</v>
      </c>
      <c r="M1116">
        <v>17287</v>
      </c>
      <c r="N1116" t="s">
        <v>2460</v>
      </c>
      <c r="O1116">
        <v>17287</v>
      </c>
      <c r="P1116" t="s">
        <v>2460</v>
      </c>
      <c r="Q1116">
        <v>17287</v>
      </c>
      <c r="R1116" t="s">
        <v>2460</v>
      </c>
      <c r="S1116" t="s">
        <v>988</v>
      </c>
    </row>
    <row r="1117" spans="1:19" hidden="1" x14ac:dyDescent="0.3">
      <c r="A1117">
        <v>2603</v>
      </c>
      <c r="B1117" t="s">
        <v>2058</v>
      </c>
      <c r="C1117" t="s">
        <v>2877</v>
      </c>
      <c r="D1117" t="s">
        <v>1203</v>
      </c>
      <c r="E1117" t="s">
        <v>1204</v>
      </c>
      <c r="F1117">
        <v>6625</v>
      </c>
      <c r="G1117" t="s">
        <v>2683</v>
      </c>
      <c r="H1117" t="s">
        <v>3809</v>
      </c>
      <c r="I1117">
        <v>7300</v>
      </c>
      <c r="J1117" t="s">
        <v>2460</v>
      </c>
      <c r="K1117">
        <v>7300</v>
      </c>
      <c r="L1117" t="s">
        <v>2460</v>
      </c>
      <c r="M1117">
        <v>7300</v>
      </c>
      <c r="N1117" t="s">
        <v>2460</v>
      </c>
      <c r="O1117">
        <v>7300</v>
      </c>
      <c r="P1117" t="s">
        <v>2460</v>
      </c>
      <c r="Q1117">
        <v>7300</v>
      </c>
      <c r="R1117" t="s">
        <v>2460</v>
      </c>
      <c r="S1117" t="s">
        <v>988</v>
      </c>
    </row>
    <row r="1118" spans="1:19" hidden="1" x14ac:dyDescent="0.3">
      <c r="A1118">
        <v>2603</v>
      </c>
      <c r="B1118" t="s">
        <v>2058</v>
      </c>
      <c r="C1118" t="s">
        <v>2877</v>
      </c>
      <c r="D1118" t="s">
        <v>1203</v>
      </c>
      <c r="E1118" t="s">
        <v>1204</v>
      </c>
      <c r="F1118">
        <v>6625</v>
      </c>
      <c r="G1118" t="s">
        <v>2683</v>
      </c>
      <c r="H1118" t="s">
        <v>3822</v>
      </c>
      <c r="I1118">
        <v>1904</v>
      </c>
      <c r="J1118" t="s">
        <v>2460</v>
      </c>
      <c r="K1118">
        <v>1904</v>
      </c>
      <c r="L1118" t="s">
        <v>2460</v>
      </c>
      <c r="M1118">
        <v>1904</v>
      </c>
      <c r="N1118" t="s">
        <v>2460</v>
      </c>
      <c r="O1118">
        <v>1904</v>
      </c>
      <c r="P1118" t="s">
        <v>2460</v>
      </c>
      <c r="Q1118">
        <v>1904</v>
      </c>
      <c r="R1118" t="s">
        <v>2460</v>
      </c>
      <c r="S1118" t="s">
        <v>988</v>
      </c>
    </row>
    <row r="1119" spans="1:19" hidden="1" x14ac:dyDescent="0.3">
      <c r="A1119">
        <v>2603</v>
      </c>
      <c r="B1119" t="s">
        <v>2058</v>
      </c>
      <c r="C1119" t="s">
        <v>2877</v>
      </c>
      <c r="D1119" t="s">
        <v>1203</v>
      </c>
      <c r="E1119" t="s">
        <v>1204</v>
      </c>
      <c r="F1119">
        <v>6625</v>
      </c>
      <c r="G1119" t="s">
        <v>2691</v>
      </c>
      <c r="H1119" t="s">
        <v>3824</v>
      </c>
      <c r="I1119">
        <v>0</v>
      </c>
      <c r="J1119" t="s">
        <v>2460</v>
      </c>
      <c r="K1119">
        <v>0</v>
      </c>
      <c r="L1119" t="s">
        <v>2460</v>
      </c>
      <c r="M1119">
        <v>0</v>
      </c>
      <c r="N1119" t="s">
        <v>2460</v>
      </c>
      <c r="O1119">
        <v>2950</v>
      </c>
      <c r="P1119" t="s">
        <v>2460</v>
      </c>
      <c r="Q1119">
        <v>2950</v>
      </c>
      <c r="R1119" t="s">
        <v>2460</v>
      </c>
      <c r="S1119" t="s">
        <v>988</v>
      </c>
    </row>
    <row r="1120" spans="1:19" hidden="1" x14ac:dyDescent="0.3">
      <c r="A1120">
        <v>2604</v>
      </c>
      <c r="B1120" t="s">
        <v>2063</v>
      </c>
      <c r="C1120" t="s">
        <v>2877</v>
      </c>
      <c r="D1120" t="s">
        <v>1203</v>
      </c>
      <c r="E1120" t="s">
        <v>1204</v>
      </c>
      <c r="F1120">
        <v>5652</v>
      </c>
      <c r="G1120" t="s">
        <v>2683</v>
      </c>
      <c r="H1120" t="s">
        <v>3825</v>
      </c>
      <c r="I1120">
        <v>21254</v>
      </c>
      <c r="J1120" t="s">
        <v>2460</v>
      </c>
      <c r="K1120">
        <v>21995</v>
      </c>
      <c r="L1120" t="s">
        <v>2460</v>
      </c>
      <c r="M1120">
        <v>23104</v>
      </c>
      <c r="N1120" t="s">
        <v>2460</v>
      </c>
      <c r="O1120">
        <v>23943</v>
      </c>
      <c r="P1120" t="s">
        <v>2460</v>
      </c>
      <c r="Q1120">
        <v>25267</v>
      </c>
      <c r="R1120" t="s">
        <v>2460</v>
      </c>
      <c r="S1120" t="s">
        <v>988</v>
      </c>
    </row>
    <row r="1121" spans="1:19" hidden="1" x14ac:dyDescent="0.3">
      <c r="A1121">
        <v>2604</v>
      </c>
      <c r="B1121" t="s">
        <v>2063</v>
      </c>
      <c r="C1121" t="s">
        <v>2877</v>
      </c>
      <c r="D1121" t="s">
        <v>1203</v>
      </c>
      <c r="E1121" t="s">
        <v>1204</v>
      </c>
      <c r="F1121">
        <v>5652</v>
      </c>
      <c r="G1121" t="s">
        <v>2679</v>
      </c>
      <c r="H1121" t="s">
        <v>3826</v>
      </c>
      <c r="I1121">
        <v>222</v>
      </c>
      <c r="J1121" t="s">
        <v>2460</v>
      </c>
      <c r="K1121">
        <v>231</v>
      </c>
      <c r="L1121" t="s">
        <v>2460</v>
      </c>
      <c r="M1121">
        <v>231</v>
      </c>
      <c r="N1121" t="s">
        <v>2460</v>
      </c>
      <c r="O1121">
        <v>231</v>
      </c>
      <c r="P1121" t="s">
        <v>2460</v>
      </c>
      <c r="Q1121">
        <v>231</v>
      </c>
      <c r="R1121" t="s">
        <v>2460</v>
      </c>
      <c r="S1121" t="s">
        <v>988</v>
      </c>
    </row>
    <row r="1122" spans="1:19" hidden="1" x14ac:dyDescent="0.3">
      <c r="A1122">
        <v>2605</v>
      </c>
      <c r="B1122" t="s">
        <v>2066</v>
      </c>
      <c r="C1122" t="s">
        <v>2877</v>
      </c>
      <c r="D1122" t="s">
        <v>1203</v>
      </c>
      <c r="E1122" t="s">
        <v>1204</v>
      </c>
      <c r="F1122">
        <v>5682</v>
      </c>
      <c r="G1122" t="s">
        <v>2683</v>
      </c>
      <c r="H1122" t="s">
        <v>3827</v>
      </c>
      <c r="I1122">
        <v>0</v>
      </c>
      <c r="J1122" t="s">
        <v>2460</v>
      </c>
      <c r="K1122">
        <v>0</v>
      </c>
      <c r="L1122" t="s">
        <v>2460</v>
      </c>
      <c r="M1122">
        <v>0</v>
      </c>
      <c r="N1122" t="s">
        <v>2460</v>
      </c>
      <c r="O1122">
        <v>0</v>
      </c>
      <c r="P1122" t="s">
        <v>2460</v>
      </c>
      <c r="R1122" t="s">
        <v>2460</v>
      </c>
      <c r="S1122" t="s">
        <v>988</v>
      </c>
    </row>
    <row r="1123" spans="1:19" hidden="1" x14ac:dyDescent="0.3">
      <c r="A1123">
        <v>2605</v>
      </c>
      <c r="B1123" t="s">
        <v>2066</v>
      </c>
      <c r="C1123" t="s">
        <v>2877</v>
      </c>
      <c r="D1123" t="s">
        <v>1203</v>
      </c>
      <c r="E1123" t="s">
        <v>1204</v>
      </c>
      <c r="F1123">
        <v>5682</v>
      </c>
      <c r="G1123" t="s">
        <v>2681</v>
      </c>
      <c r="H1123" t="s">
        <v>2905</v>
      </c>
      <c r="I1123">
        <v>7127</v>
      </c>
      <c r="J1123" t="s">
        <v>2460</v>
      </c>
      <c r="K1123">
        <v>7188</v>
      </c>
      <c r="L1123" t="s">
        <v>2460</v>
      </c>
      <c r="M1123">
        <v>7249</v>
      </c>
      <c r="N1123" t="s">
        <v>2460</v>
      </c>
      <c r="O1123">
        <v>7311</v>
      </c>
      <c r="P1123" t="s">
        <v>2460</v>
      </c>
      <c r="R1123" t="s">
        <v>2460</v>
      </c>
      <c r="S1123" t="s">
        <v>988</v>
      </c>
    </row>
    <row r="1124" spans="1:19" hidden="1" x14ac:dyDescent="0.3">
      <c r="A1124">
        <v>2605</v>
      </c>
      <c r="B1124" t="s">
        <v>2066</v>
      </c>
      <c r="C1124" t="s">
        <v>2877</v>
      </c>
      <c r="D1124" t="s">
        <v>1203</v>
      </c>
      <c r="E1124" t="s">
        <v>1204</v>
      </c>
      <c r="F1124">
        <v>5682</v>
      </c>
      <c r="G1124" t="s">
        <v>2683</v>
      </c>
      <c r="H1124" t="s">
        <v>2889</v>
      </c>
      <c r="I1124">
        <v>0</v>
      </c>
      <c r="J1124" t="s">
        <v>2460</v>
      </c>
      <c r="K1124">
        <v>0</v>
      </c>
      <c r="L1124" t="s">
        <v>2460</v>
      </c>
      <c r="M1124">
        <v>0</v>
      </c>
      <c r="N1124" t="s">
        <v>2460</v>
      </c>
      <c r="O1124">
        <v>0</v>
      </c>
      <c r="P1124" t="s">
        <v>2460</v>
      </c>
      <c r="R1124" t="s">
        <v>2460</v>
      </c>
      <c r="S1124" t="s">
        <v>988</v>
      </c>
    </row>
    <row r="1125" spans="1:19" hidden="1" x14ac:dyDescent="0.3">
      <c r="A1125">
        <v>2610</v>
      </c>
      <c r="B1125" t="s">
        <v>2067</v>
      </c>
      <c r="C1125" t="s">
        <v>2877</v>
      </c>
      <c r="D1125" t="s">
        <v>159</v>
      </c>
      <c r="E1125" t="s">
        <v>159</v>
      </c>
      <c r="F1125">
        <v>7858</v>
      </c>
      <c r="G1125" t="s">
        <v>2683</v>
      </c>
      <c r="H1125" t="s">
        <v>3730</v>
      </c>
      <c r="I1125">
        <v>3200</v>
      </c>
      <c r="J1125" t="s">
        <v>2460</v>
      </c>
      <c r="K1125">
        <v>3200</v>
      </c>
      <c r="L1125" t="s">
        <v>2460</v>
      </c>
      <c r="M1125">
        <v>3200</v>
      </c>
      <c r="N1125" t="s">
        <v>2460</v>
      </c>
      <c r="O1125">
        <v>3200</v>
      </c>
      <c r="P1125" t="s">
        <v>2460</v>
      </c>
      <c r="Q1125">
        <v>3200</v>
      </c>
      <c r="R1125" t="s">
        <v>2460</v>
      </c>
      <c r="S1125" t="s">
        <v>988</v>
      </c>
    </row>
    <row r="1126" spans="1:19" hidden="1" x14ac:dyDescent="0.3">
      <c r="A1126">
        <v>2610</v>
      </c>
      <c r="B1126" t="s">
        <v>2067</v>
      </c>
      <c r="C1126" t="s">
        <v>2877</v>
      </c>
      <c r="D1126" t="s">
        <v>159</v>
      </c>
      <c r="E1126" t="s">
        <v>159</v>
      </c>
      <c r="F1126">
        <v>7858</v>
      </c>
      <c r="G1126" t="s">
        <v>2681</v>
      </c>
      <c r="H1126" t="s">
        <v>3731</v>
      </c>
      <c r="I1126">
        <v>0</v>
      </c>
      <c r="J1126" t="s">
        <v>2460</v>
      </c>
      <c r="K1126">
        <v>0</v>
      </c>
      <c r="L1126" t="s">
        <v>2460</v>
      </c>
      <c r="M1126">
        <v>20</v>
      </c>
      <c r="N1126" t="s">
        <v>2460</v>
      </c>
      <c r="O1126">
        <v>153</v>
      </c>
      <c r="P1126" t="s">
        <v>2460</v>
      </c>
      <c r="Q1126">
        <v>277</v>
      </c>
      <c r="R1126" t="s">
        <v>2460</v>
      </c>
      <c r="S1126" t="s">
        <v>988</v>
      </c>
    </row>
    <row r="1127" spans="1:19" hidden="1" x14ac:dyDescent="0.3">
      <c r="A1127">
        <v>2618</v>
      </c>
      <c r="B1127" t="s">
        <v>2071</v>
      </c>
      <c r="C1127" t="s">
        <v>2877</v>
      </c>
      <c r="D1127" t="s">
        <v>1203</v>
      </c>
      <c r="E1127" t="s">
        <v>1204</v>
      </c>
      <c r="F1127">
        <v>5771</v>
      </c>
      <c r="G1127" t="s">
        <v>2681</v>
      </c>
      <c r="H1127" t="s">
        <v>2899</v>
      </c>
      <c r="I1127">
        <v>797</v>
      </c>
      <c r="J1127" t="s">
        <v>2460</v>
      </c>
      <c r="K1127">
        <v>797</v>
      </c>
      <c r="L1127" t="s">
        <v>2460</v>
      </c>
      <c r="M1127">
        <v>797</v>
      </c>
      <c r="N1127" t="s">
        <v>2460</v>
      </c>
      <c r="O1127">
        <v>797</v>
      </c>
      <c r="P1127" t="s">
        <v>2460</v>
      </c>
      <c r="Q1127">
        <v>797</v>
      </c>
      <c r="R1127" t="s">
        <v>2460</v>
      </c>
      <c r="S1127" t="s">
        <v>988</v>
      </c>
    </row>
    <row r="1128" spans="1:19" hidden="1" x14ac:dyDescent="0.3">
      <c r="A1128">
        <v>2618</v>
      </c>
      <c r="B1128" t="s">
        <v>2071</v>
      </c>
      <c r="C1128" t="s">
        <v>2877</v>
      </c>
      <c r="D1128" t="s">
        <v>1203</v>
      </c>
      <c r="E1128" t="s">
        <v>1204</v>
      </c>
      <c r="F1128">
        <v>5771</v>
      </c>
      <c r="G1128" t="s">
        <v>2683</v>
      </c>
      <c r="H1128" t="s">
        <v>3166</v>
      </c>
      <c r="I1128">
        <v>3369</v>
      </c>
      <c r="J1128" t="s">
        <v>2460</v>
      </c>
      <c r="K1128">
        <v>3369</v>
      </c>
      <c r="L1128" t="s">
        <v>2460</v>
      </c>
      <c r="M1128">
        <v>3369</v>
      </c>
      <c r="N1128" t="s">
        <v>2460</v>
      </c>
      <c r="O1128">
        <v>3369</v>
      </c>
      <c r="P1128" t="s">
        <v>2460</v>
      </c>
      <c r="Q1128">
        <v>3369</v>
      </c>
      <c r="R1128" t="s">
        <v>2460</v>
      </c>
      <c r="S1128" t="s">
        <v>988</v>
      </c>
    </row>
    <row r="1129" spans="1:19" hidden="1" x14ac:dyDescent="0.3">
      <c r="A1129">
        <v>2626</v>
      </c>
      <c r="B1129" t="s">
        <v>2072</v>
      </c>
      <c r="C1129" t="s">
        <v>2877</v>
      </c>
      <c r="D1129" t="s">
        <v>1203</v>
      </c>
      <c r="E1129" t="s">
        <v>1204</v>
      </c>
      <c r="F1129">
        <v>5794</v>
      </c>
      <c r="G1129" t="s">
        <v>2681</v>
      </c>
      <c r="H1129" t="s">
        <v>2460</v>
      </c>
      <c r="I1129">
        <v>38361.098124999997</v>
      </c>
      <c r="J1129" t="s">
        <v>2460</v>
      </c>
      <c r="K1129">
        <v>38361.098124999997</v>
      </c>
      <c r="L1129" t="s">
        <v>2460</v>
      </c>
      <c r="M1129">
        <v>38361.098124999997</v>
      </c>
      <c r="N1129" t="s">
        <v>2460</v>
      </c>
      <c r="O1129">
        <v>38361.098124999997</v>
      </c>
      <c r="P1129" t="s">
        <v>2460</v>
      </c>
      <c r="Q1129">
        <v>38361.098124999997</v>
      </c>
      <c r="R1129" t="s">
        <v>2460</v>
      </c>
      <c r="S1129" t="s">
        <v>988</v>
      </c>
    </row>
    <row r="1130" spans="1:19" hidden="1" x14ac:dyDescent="0.3">
      <c r="A1130">
        <v>2629</v>
      </c>
      <c r="B1130" t="s">
        <v>2073</v>
      </c>
      <c r="C1130" t="s">
        <v>2877</v>
      </c>
      <c r="D1130" t="s">
        <v>1203</v>
      </c>
      <c r="E1130" t="s">
        <v>1204</v>
      </c>
      <c r="F1130">
        <v>5786</v>
      </c>
      <c r="G1130" t="s">
        <v>2687</v>
      </c>
      <c r="H1130" t="s">
        <v>3828</v>
      </c>
      <c r="I1130">
        <v>0</v>
      </c>
      <c r="J1130" t="s">
        <v>2460</v>
      </c>
      <c r="K1130">
        <v>5000</v>
      </c>
      <c r="L1130" t="s">
        <v>2460</v>
      </c>
      <c r="M1130">
        <v>5000</v>
      </c>
      <c r="N1130" t="s">
        <v>2460</v>
      </c>
      <c r="O1130">
        <v>5000</v>
      </c>
      <c r="P1130" t="s">
        <v>2460</v>
      </c>
      <c r="Q1130">
        <v>5000</v>
      </c>
      <c r="R1130" t="s">
        <v>2460</v>
      </c>
      <c r="S1130" t="s">
        <v>988</v>
      </c>
    </row>
    <row r="1131" spans="1:19" hidden="1" x14ac:dyDescent="0.3">
      <c r="A1131">
        <v>2629</v>
      </c>
      <c r="B1131" t="s">
        <v>2073</v>
      </c>
      <c r="C1131" t="s">
        <v>2877</v>
      </c>
      <c r="D1131" t="s">
        <v>1203</v>
      </c>
      <c r="E1131" t="s">
        <v>1204</v>
      </c>
      <c r="F1131">
        <v>5786</v>
      </c>
      <c r="G1131" t="s">
        <v>2683</v>
      </c>
      <c r="H1131" t="s">
        <v>3829</v>
      </c>
      <c r="I1131">
        <v>7307</v>
      </c>
      <c r="J1131" t="s">
        <v>2460</v>
      </c>
      <c r="K1131">
        <v>2534</v>
      </c>
      <c r="L1131" t="s">
        <v>2460</v>
      </c>
      <c r="M1131">
        <v>2787</v>
      </c>
      <c r="N1131" t="s">
        <v>2460</v>
      </c>
      <c r="O1131">
        <v>3015</v>
      </c>
      <c r="P1131" t="s">
        <v>2460</v>
      </c>
      <c r="Q1131">
        <v>3267</v>
      </c>
      <c r="R1131" t="s">
        <v>2460</v>
      </c>
      <c r="S1131" t="s">
        <v>988</v>
      </c>
    </row>
    <row r="1132" spans="1:19" hidden="1" x14ac:dyDescent="0.3">
      <c r="A1132">
        <v>2629</v>
      </c>
      <c r="B1132" t="s">
        <v>2073</v>
      </c>
      <c r="C1132" t="s">
        <v>2877</v>
      </c>
      <c r="D1132" t="s">
        <v>1203</v>
      </c>
      <c r="E1132" t="s">
        <v>1204</v>
      </c>
      <c r="F1132">
        <v>5786</v>
      </c>
      <c r="G1132" t="s">
        <v>2681</v>
      </c>
      <c r="H1132" t="s">
        <v>3830</v>
      </c>
      <c r="I1132">
        <v>2195</v>
      </c>
      <c r="J1132" t="s">
        <v>2460</v>
      </c>
      <c r="K1132">
        <v>2195</v>
      </c>
      <c r="L1132" t="s">
        <v>2460</v>
      </c>
      <c r="M1132">
        <v>2195</v>
      </c>
      <c r="N1132" t="s">
        <v>2460</v>
      </c>
      <c r="O1132">
        <v>2195</v>
      </c>
      <c r="P1132" t="s">
        <v>2460</v>
      </c>
      <c r="Q1132">
        <v>2195</v>
      </c>
      <c r="R1132" t="s">
        <v>2460</v>
      </c>
      <c r="S1132" t="s">
        <v>988</v>
      </c>
    </row>
    <row r="1133" spans="1:19" hidden="1" x14ac:dyDescent="0.3">
      <c r="A1133">
        <v>2629</v>
      </c>
      <c r="B1133" t="s">
        <v>2073</v>
      </c>
      <c r="C1133" t="s">
        <v>2877</v>
      </c>
      <c r="D1133" t="s">
        <v>1203</v>
      </c>
      <c r="E1133" t="s">
        <v>1204</v>
      </c>
      <c r="F1133">
        <v>5786</v>
      </c>
      <c r="G1133" t="s">
        <v>2679</v>
      </c>
      <c r="H1133" t="s">
        <v>3831</v>
      </c>
      <c r="I1133">
        <v>1600</v>
      </c>
      <c r="J1133" t="s">
        <v>2460</v>
      </c>
      <c r="K1133">
        <v>1800</v>
      </c>
      <c r="L1133" t="s">
        <v>2460</v>
      </c>
      <c r="M1133">
        <v>2000</v>
      </c>
      <c r="N1133" t="s">
        <v>2460</v>
      </c>
      <c r="O1133">
        <v>2200</v>
      </c>
      <c r="P1133" t="s">
        <v>2460</v>
      </c>
      <c r="Q1133">
        <v>2200</v>
      </c>
      <c r="R1133" t="s">
        <v>2460</v>
      </c>
      <c r="S1133" t="s">
        <v>988</v>
      </c>
    </row>
    <row r="1134" spans="1:19" hidden="1" x14ac:dyDescent="0.3">
      <c r="A1134">
        <v>2631</v>
      </c>
      <c r="B1134" t="s">
        <v>2075</v>
      </c>
      <c r="C1134" t="s">
        <v>2877</v>
      </c>
      <c r="D1134" t="s">
        <v>159</v>
      </c>
      <c r="E1134" t="s">
        <v>159</v>
      </c>
      <c r="F1134">
        <v>5420</v>
      </c>
      <c r="G1134" t="s">
        <v>2679</v>
      </c>
      <c r="H1134" t="s">
        <v>2460</v>
      </c>
      <c r="I1134">
        <v>76</v>
      </c>
      <c r="J1134" t="s">
        <v>2460</v>
      </c>
      <c r="K1134">
        <v>76</v>
      </c>
      <c r="L1134" t="s">
        <v>2460</v>
      </c>
      <c r="M1134">
        <v>80</v>
      </c>
      <c r="N1134" t="s">
        <v>2460</v>
      </c>
      <c r="O1134">
        <v>80</v>
      </c>
      <c r="P1134" t="s">
        <v>2460</v>
      </c>
      <c r="Q1134">
        <v>80</v>
      </c>
      <c r="R1134" t="s">
        <v>2460</v>
      </c>
      <c r="S1134" t="s">
        <v>988</v>
      </c>
    </row>
    <row r="1135" spans="1:19" hidden="1" x14ac:dyDescent="0.3">
      <c r="A1135">
        <v>2631</v>
      </c>
      <c r="B1135" t="s">
        <v>2075</v>
      </c>
      <c r="C1135" t="s">
        <v>2877</v>
      </c>
      <c r="D1135" t="s">
        <v>159</v>
      </c>
      <c r="E1135" t="s">
        <v>159</v>
      </c>
      <c r="F1135">
        <v>5420</v>
      </c>
      <c r="G1135" t="s">
        <v>2681</v>
      </c>
      <c r="H1135" t="s">
        <v>2460</v>
      </c>
      <c r="I1135">
        <v>1100</v>
      </c>
      <c r="J1135" t="s">
        <v>2460</v>
      </c>
      <c r="K1135">
        <v>1100</v>
      </c>
      <c r="L1135" t="s">
        <v>2460</v>
      </c>
      <c r="M1135">
        <v>1100</v>
      </c>
      <c r="N1135" t="s">
        <v>2460</v>
      </c>
      <c r="O1135">
        <v>1100</v>
      </c>
      <c r="P1135" t="s">
        <v>2460</v>
      </c>
      <c r="Q1135">
        <v>1100</v>
      </c>
      <c r="R1135" t="s">
        <v>2460</v>
      </c>
      <c r="S1135" t="s">
        <v>988</v>
      </c>
    </row>
    <row r="1136" spans="1:19" hidden="1" x14ac:dyDescent="0.3">
      <c r="A1136">
        <v>2631</v>
      </c>
      <c r="B1136" t="s">
        <v>2075</v>
      </c>
      <c r="C1136" t="s">
        <v>2877</v>
      </c>
      <c r="D1136" t="s">
        <v>159</v>
      </c>
      <c r="E1136" t="s">
        <v>159</v>
      </c>
      <c r="F1136">
        <v>5420</v>
      </c>
      <c r="G1136" t="s">
        <v>2683</v>
      </c>
      <c r="H1136" t="s">
        <v>2460</v>
      </c>
      <c r="I1136">
        <v>21370</v>
      </c>
      <c r="J1136" t="s">
        <v>2460</v>
      </c>
      <c r="K1136">
        <v>23152</v>
      </c>
      <c r="L1136" t="s">
        <v>2460</v>
      </c>
      <c r="M1136">
        <v>25081</v>
      </c>
      <c r="N1136" t="s">
        <v>2460</v>
      </c>
      <c r="O1136">
        <v>27172</v>
      </c>
      <c r="P1136" t="s">
        <v>2460</v>
      </c>
      <c r="Q1136">
        <v>27172</v>
      </c>
      <c r="R1136" t="s">
        <v>2460</v>
      </c>
      <c r="S1136" t="s">
        <v>988</v>
      </c>
    </row>
    <row r="1137" spans="1:19" hidden="1" x14ac:dyDescent="0.3">
      <c r="A1137">
        <v>2633</v>
      </c>
      <c r="B1137" t="s">
        <v>2076</v>
      </c>
      <c r="C1137" t="s">
        <v>2877</v>
      </c>
      <c r="D1137" t="s">
        <v>1203</v>
      </c>
      <c r="E1137" t="s">
        <v>1204</v>
      </c>
      <c r="F1137">
        <v>5666</v>
      </c>
      <c r="G1137" t="s">
        <v>2681</v>
      </c>
      <c r="H1137" t="s">
        <v>3136</v>
      </c>
      <c r="I1137">
        <v>10555</v>
      </c>
      <c r="J1137" t="s">
        <v>2460</v>
      </c>
      <c r="K1137">
        <v>10555</v>
      </c>
      <c r="L1137" t="s">
        <v>2460</v>
      </c>
      <c r="M1137">
        <v>10555</v>
      </c>
      <c r="N1137" t="s">
        <v>2460</v>
      </c>
      <c r="O1137">
        <v>10555</v>
      </c>
      <c r="P1137" t="s">
        <v>2460</v>
      </c>
      <c r="Q1137">
        <v>10555</v>
      </c>
      <c r="R1137" t="s">
        <v>2460</v>
      </c>
      <c r="S1137" t="s">
        <v>988</v>
      </c>
    </row>
    <row r="1138" spans="1:19" hidden="1" x14ac:dyDescent="0.3">
      <c r="A1138">
        <v>2633</v>
      </c>
      <c r="B1138" t="s">
        <v>2076</v>
      </c>
      <c r="C1138" t="s">
        <v>2877</v>
      </c>
      <c r="D1138" t="s">
        <v>1203</v>
      </c>
      <c r="E1138" t="s">
        <v>1204</v>
      </c>
      <c r="F1138">
        <v>5666</v>
      </c>
      <c r="G1138" t="s">
        <v>2683</v>
      </c>
      <c r="H1138" t="s">
        <v>2958</v>
      </c>
      <c r="I1138">
        <v>305</v>
      </c>
      <c r="J1138" t="s">
        <v>2460</v>
      </c>
      <c r="K1138">
        <v>305</v>
      </c>
      <c r="L1138" t="s">
        <v>2460</v>
      </c>
      <c r="M1138">
        <v>305</v>
      </c>
      <c r="N1138" t="s">
        <v>2460</v>
      </c>
      <c r="O1138">
        <v>305</v>
      </c>
      <c r="P1138" t="s">
        <v>2460</v>
      </c>
      <c r="Q1138">
        <v>305</v>
      </c>
      <c r="R1138" t="s">
        <v>2460</v>
      </c>
      <c r="S1138" t="s">
        <v>988</v>
      </c>
    </row>
    <row r="1139" spans="1:19" hidden="1" x14ac:dyDescent="0.3">
      <c r="A1139">
        <v>2633</v>
      </c>
      <c r="B1139" t="s">
        <v>2076</v>
      </c>
      <c r="C1139" t="s">
        <v>2877</v>
      </c>
      <c r="D1139" t="s">
        <v>1203</v>
      </c>
      <c r="E1139" t="s">
        <v>1204</v>
      </c>
      <c r="F1139">
        <v>5666</v>
      </c>
      <c r="G1139" t="s">
        <v>2679</v>
      </c>
      <c r="H1139" t="s">
        <v>2958</v>
      </c>
      <c r="I1139">
        <v>800</v>
      </c>
      <c r="J1139" t="s">
        <v>2460</v>
      </c>
      <c r="K1139">
        <v>800</v>
      </c>
      <c r="L1139" t="s">
        <v>2460</v>
      </c>
      <c r="M1139">
        <v>800</v>
      </c>
      <c r="N1139" t="s">
        <v>2460</v>
      </c>
      <c r="O1139">
        <v>800</v>
      </c>
      <c r="P1139" t="s">
        <v>2460</v>
      </c>
      <c r="Q1139">
        <v>800</v>
      </c>
      <c r="R1139" t="s">
        <v>2460</v>
      </c>
      <c r="S1139" t="s">
        <v>988</v>
      </c>
    </row>
    <row r="1140" spans="1:19" hidden="1" x14ac:dyDescent="0.3">
      <c r="A1140">
        <v>2635</v>
      </c>
      <c r="B1140" t="s">
        <v>2078</v>
      </c>
      <c r="C1140" t="s">
        <v>2877</v>
      </c>
      <c r="D1140" t="s">
        <v>1203</v>
      </c>
      <c r="E1140" t="s">
        <v>1204</v>
      </c>
      <c r="F1140">
        <v>5692</v>
      </c>
      <c r="G1140" t="s">
        <v>2681</v>
      </c>
      <c r="H1140" t="s">
        <v>3832</v>
      </c>
      <c r="I1140">
        <v>25620</v>
      </c>
      <c r="J1140" t="s">
        <v>2460</v>
      </c>
      <c r="K1140">
        <v>27990</v>
      </c>
      <c r="L1140" t="s">
        <v>2460</v>
      </c>
      <c r="M1140">
        <v>29090</v>
      </c>
      <c r="N1140" t="s">
        <v>2460</v>
      </c>
      <c r="O1140">
        <v>30150</v>
      </c>
      <c r="P1140" t="s">
        <v>2460</v>
      </c>
      <c r="Q1140">
        <v>31380</v>
      </c>
      <c r="R1140" t="s">
        <v>2460</v>
      </c>
      <c r="S1140" t="s">
        <v>988</v>
      </c>
    </row>
    <row r="1141" spans="1:19" hidden="1" x14ac:dyDescent="0.3">
      <c r="A1141">
        <v>2635</v>
      </c>
      <c r="B1141" t="s">
        <v>2078</v>
      </c>
      <c r="C1141" t="s">
        <v>2877</v>
      </c>
      <c r="D1141" t="s">
        <v>1203</v>
      </c>
      <c r="E1141" t="s">
        <v>1204</v>
      </c>
      <c r="F1141">
        <v>5692</v>
      </c>
      <c r="G1141" t="s">
        <v>2679</v>
      </c>
      <c r="H1141" t="s">
        <v>2460</v>
      </c>
      <c r="I1141">
        <v>885</v>
      </c>
      <c r="J1141" t="s">
        <v>2460</v>
      </c>
      <c r="K1141">
        <v>979</v>
      </c>
      <c r="L1141" t="s">
        <v>2460</v>
      </c>
      <c r="M1141">
        <v>1075</v>
      </c>
      <c r="N1141" t="s">
        <v>2460</v>
      </c>
      <c r="O1141">
        <v>1149</v>
      </c>
      <c r="P1141" t="s">
        <v>2460</v>
      </c>
      <c r="Q1141">
        <v>1319</v>
      </c>
      <c r="R1141" t="s">
        <v>2460</v>
      </c>
      <c r="S1141" t="s">
        <v>988</v>
      </c>
    </row>
    <row r="1142" spans="1:19" hidden="1" x14ac:dyDescent="0.3">
      <c r="A1142">
        <v>2649</v>
      </c>
      <c r="B1142" t="s">
        <v>2079</v>
      </c>
      <c r="C1142" t="s">
        <v>2877</v>
      </c>
      <c r="D1142" t="s">
        <v>1203</v>
      </c>
      <c r="E1142" t="s">
        <v>1204</v>
      </c>
      <c r="F1142">
        <v>5924</v>
      </c>
      <c r="G1142" t="s">
        <v>687</v>
      </c>
      <c r="H1142" t="s">
        <v>3833</v>
      </c>
      <c r="I1142">
        <v>7900</v>
      </c>
      <c r="J1142" t="s">
        <v>2460</v>
      </c>
      <c r="K1142">
        <v>7900</v>
      </c>
      <c r="L1142" t="s">
        <v>2460</v>
      </c>
      <c r="M1142">
        <v>7900</v>
      </c>
      <c r="N1142" t="s">
        <v>2460</v>
      </c>
      <c r="O1142">
        <v>7900</v>
      </c>
      <c r="P1142" t="s">
        <v>2460</v>
      </c>
      <c r="Q1142">
        <v>7900</v>
      </c>
      <c r="R1142" t="s">
        <v>2460</v>
      </c>
      <c r="S1142" t="s">
        <v>988</v>
      </c>
    </row>
    <row r="1143" spans="1:19" hidden="1" x14ac:dyDescent="0.3">
      <c r="A1143">
        <v>2649</v>
      </c>
      <c r="B1143" t="s">
        <v>2079</v>
      </c>
      <c r="C1143" t="s">
        <v>2877</v>
      </c>
      <c r="D1143" t="s">
        <v>1203</v>
      </c>
      <c r="E1143" t="s">
        <v>1204</v>
      </c>
      <c r="F1143">
        <v>5924</v>
      </c>
      <c r="G1143" t="s">
        <v>2683</v>
      </c>
      <c r="H1143" t="s">
        <v>2460</v>
      </c>
      <c r="I1143">
        <v>5659</v>
      </c>
      <c r="J1143" t="s">
        <v>2460</v>
      </c>
      <c r="K1143">
        <v>6717</v>
      </c>
      <c r="L1143" t="s">
        <v>2460</v>
      </c>
      <c r="M1143">
        <v>7462</v>
      </c>
      <c r="N1143" t="s">
        <v>2460</v>
      </c>
      <c r="O1143">
        <v>8253</v>
      </c>
      <c r="P1143" t="s">
        <v>2460</v>
      </c>
      <c r="Q1143">
        <v>8828</v>
      </c>
      <c r="R1143" t="s">
        <v>2460</v>
      </c>
      <c r="S1143" t="s">
        <v>988</v>
      </c>
    </row>
    <row r="1144" spans="1:19" hidden="1" x14ac:dyDescent="0.3">
      <c r="A1144">
        <v>2649</v>
      </c>
      <c r="B1144" t="s">
        <v>2079</v>
      </c>
      <c r="C1144" t="s">
        <v>2877</v>
      </c>
      <c r="D1144" t="s">
        <v>1203</v>
      </c>
      <c r="E1144" t="s">
        <v>1204</v>
      </c>
      <c r="F1144">
        <v>5924</v>
      </c>
      <c r="G1144" t="s">
        <v>2691</v>
      </c>
      <c r="H1144" t="s">
        <v>2460</v>
      </c>
      <c r="I1144">
        <v>5000</v>
      </c>
      <c r="J1144" t="s">
        <v>2460</v>
      </c>
      <c r="K1144">
        <v>5000</v>
      </c>
      <c r="L1144" t="s">
        <v>2460</v>
      </c>
      <c r="M1144">
        <v>5000</v>
      </c>
      <c r="N1144" t="s">
        <v>2460</v>
      </c>
      <c r="O1144">
        <v>5000</v>
      </c>
      <c r="P1144" t="s">
        <v>2460</v>
      </c>
      <c r="Q1144">
        <v>5000</v>
      </c>
      <c r="R1144" t="s">
        <v>2460</v>
      </c>
      <c r="S1144" t="s">
        <v>988</v>
      </c>
    </row>
    <row r="1145" spans="1:19" hidden="1" x14ac:dyDescent="0.3">
      <c r="A1145">
        <v>2661</v>
      </c>
      <c r="B1145" t="s">
        <v>2084</v>
      </c>
      <c r="C1145" t="s">
        <v>2877</v>
      </c>
      <c r="D1145" t="s">
        <v>1203</v>
      </c>
      <c r="E1145" t="s">
        <v>1204</v>
      </c>
      <c r="F1145">
        <v>5527</v>
      </c>
      <c r="G1145" t="s">
        <v>2683</v>
      </c>
      <c r="H1145" t="s">
        <v>2888</v>
      </c>
      <c r="I1145">
        <v>2500</v>
      </c>
      <c r="J1145" t="s">
        <v>2460</v>
      </c>
      <c r="K1145">
        <v>2500</v>
      </c>
      <c r="L1145" t="s">
        <v>2460</v>
      </c>
      <c r="M1145">
        <v>2500</v>
      </c>
      <c r="N1145" t="s">
        <v>2460</v>
      </c>
      <c r="O1145">
        <v>2500</v>
      </c>
      <c r="P1145" t="s">
        <v>2460</v>
      </c>
      <c r="Q1145">
        <v>2500</v>
      </c>
      <c r="R1145" t="s">
        <v>2460</v>
      </c>
      <c r="S1145" t="s">
        <v>988</v>
      </c>
    </row>
    <row r="1146" spans="1:19" hidden="1" x14ac:dyDescent="0.3">
      <c r="A1146">
        <v>2661</v>
      </c>
      <c r="B1146" t="s">
        <v>2084</v>
      </c>
      <c r="C1146" t="s">
        <v>2877</v>
      </c>
      <c r="D1146" t="s">
        <v>1203</v>
      </c>
      <c r="E1146" t="s">
        <v>1204</v>
      </c>
      <c r="F1146">
        <v>5527</v>
      </c>
      <c r="G1146" t="s">
        <v>2681</v>
      </c>
      <c r="H1146" t="s">
        <v>3513</v>
      </c>
      <c r="I1146">
        <v>105</v>
      </c>
      <c r="J1146" t="s">
        <v>2460</v>
      </c>
      <c r="K1146">
        <v>105</v>
      </c>
      <c r="L1146" t="s">
        <v>2460</v>
      </c>
      <c r="M1146">
        <v>105</v>
      </c>
      <c r="N1146" t="s">
        <v>2460</v>
      </c>
      <c r="O1146">
        <v>105</v>
      </c>
      <c r="P1146" t="s">
        <v>2460</v>
      </c>
      <c r="Q1146">
        <v>105</v>
      </c>
      <c r="R1146" t="s">
        <v>2460</v>
      </c>
      <c r="S1146" t="s">
        <v>988</v>
      </c>
    </row>
    <row r="1147" spans="1:19" hidden="1" x14ac:dyDescent="0.3">
      <c r="A1147">
        <v>2661</v>
      </c>
      <c r="B1147" t="s">
        <v>2084</v>
      </c>
      <c r="C1147" t="s">
        <v>2877</v>
      </c>
      <c r="D1147" t="s">
        <v>1203</v>
      </c>
      <c r="E1147" t="s">
        <v>1204</v>
      </c>
      <c r="F1147">
        <v>5527</v>
      </c>
      <c r="G1147" t="s">
        <v>2681</v>
      </c>
      <c r="H1147" t="s">
        <v>3589</v>
      </c>
      <c r="I1147">
        <v>1291</v>
      </c>
      <c r="J1147" t="s">
        <v>2460</v>
      </c>
      <c r="K1147">
        <v>1291</v>
      </c>
      <c r="L1147" t="s">
        <v>2460</v>
      </c>
      <c r="M1147">
        <v>1291</v>
      </c>
      <c r="N1147" t="s">
        <v>2460</v>
      </c>
      <c r="O1147">
        <v>1291</v>
      </c>
      <c r="P1147" t="s">
        <v>2460</v>
      </c>
      <c r="Q1147">
        <v>1291</v>
      </c>
      <c r="R1147" t="s">
        <v>2460</v>
      </c>
      <c r="S1147" t="s">
        <v>988</v>
      </c>
    </row>
    <row r="1148" spans="1:19" hidden="1" x14ac:dyDescent="0.3">
      <c r="A1148">
        <v>2661</v>
      </c>
      <c r="B1148" t="s">
        <v>2084</v>
      </c>
      <c r="C1148" t="s">
        <v>2877</v>
      </c>
      <c r="D1148" t="s">
        <v>1203</v>
      </c>
      <c r="E1148" t="s">
        <v>1204</v>
      </c>
      <c r="F1148">
        <v>5527</v>
      </c>
      <c r="G1148" t="s">
        <v>2679</v>
      </c>
      <c r="H1148" t="s">
        <v>3512</v>
      </c>
      <c r="I1148">
        <v>2093</v>
      </c>
      <c r="J1148" t="s">
        <v>2460</v>
      </c>
      <c r="K1148">
        <v>2136</v>
      </c>
      <c r="L1148" t="s">
        <v>2460</v>
      </c>
      <c r="M1148">
        <v>2179</v>
      </c>
      <c r="N1148" t="s">
        <v>2460</v>
      </c>
      <c r="O1148">
        <v>2223</v>
      </c>
      <c r="P1148" t="s">
        <v>2460</v>
      </c>
      <c r="Q1148">
        <v>2268</v>
      </c>
      <c r="R1148" t="s">
        <v>2460</v>
      </c>
      <c r="S1148" t="s">
        <v>988</v>
      </c>
    </row>
    <row r="1149" spans="1:19" hidden="1" x14ac:dyDescent="0.3">
      <c r="A1149">
        <v>2661</v>
      </c>
      <c r="B1149" t="s">
        <v>2084</v>
      </c>
      <c r="C1149" t="s">
        <v>2877</v>
      </c>
      <c r="D1149" t="s">
        <v>1203</v>
      </c>
      <c r="E1149" t="s">
        <v>1204</v>
      </c>
      <c r="F1149">
        <v>5527</v>
      </c>
      <c r="G1149" t="s">
        <v>2683</v>
      </c>
      <c r="H1149" t="s">
        <v>3275</v>
      </c>
      <c r="I1149">
        <v>625</v>
      </c>
      <c r="J1149" t="s">
        <v>2460</v>
      </c>
      <c r="K1149">
        <v>625</v>
      </c>
      <c r="L1149" t="s">
        <v>2460</v>
      </c>
      <c r="M1149">
        <v>625</v>
      </c>
      <c r="N1149" t="s">
        <v>2460</v>
      </c>
      <c r="O1149">
        <v>625</v>
      </c>
      <c r="P1149" t="s">
        <v>2460</v>
      </c>
      <c r="Q1149">
        <v>625</v>
      </c>
      <c r="R1149" t="s">
        <v>2460</v>
      </c>
      <c r="S1149" t="s">
        <v>988</v>
      </c>
    </row>
    <row r="1150" spans="1:19" hidden="1" x14ac:dyDescent="0.3">
      <c r="A1150">
        <v>2661</v>
      </c>
      <c r="B1150" t="s">
        <v>2084</v>
      </c>
      <c r="C1150" t="s">
        <v>2877</v>
      </c>
      <c r="D1150" t="s">
        <v>1203</v>
      </c>
      <c r="E1150" t="s">
        <v>1204</v>
      </c>
      <c r="F1150">
        <v>5527</v>
      </c>
      <c r="G1150" t="s">
        <v>2681</v>
      </c>
      <c r="H1150" t="s">
        <v>3136</v>
      </c>
      <c r="I1150">
        <v>1000</v>
      </c>
      <c r="J1150" t="s">
        <v>2460</v>
      </c>
      <c r="K1150">
        <v>1000</v>
      </c>
      <c r="L1150" t="s">
        <v>2460</v>
      </c>
      <c r="M1150">
        <v>1000</v>
      </c>
      <c r="N1150" t="s">
        <v>2460</v>
      </c>
      <c r="O1150">
        <v>1000</v>
      </c>
      <c r="P1150" t="s">
        <v>2460</v>
      </c>
      <c r="Q1150">
        <v>1000</v>
      </c>
      <c r="R1150" t="s">
        <v>2460</v>
      </c>
      <c r="S1150" t="s">
        <v>988</v>
      </c>
    </row>
    <row r="1151" spans="1:19" hidden="1" x14ac:dyDescent="0.3">
      <c r="A1151">
        <v>2661</v>
      </c>
      <c r="B1151" t="s">
        <v>2084</v>
      </c>
      <c r="C1151" t="s">
        <v>2877</v>
      </c>
      <c r="D1151" t="s">
        <v>1203</v>
      </c>
      <c r="E1151" t="s">
        <v>1204</v>
      </c>
      <c r="F1151">
        <v>5527</v>
      </c>
      <c r="G1151" t="s">
        <v>2683</v>
      </c>
      <c r="H1151" t="s">
        <v>3834</v>
      </c>
      <c r="I1151">
        <v>13559</v>
      </c>
      <c r="J1151" t="s">
        <v>2460</v>
      </c>
      <c r="K1151">
        <v>13774</v>
      </c>
      <c r="L1151" t="s">
        <v>2460</v>
      </c>
      <c r="M1151">
        <v>13996</v>
      </c>
      <c r="N1151" t="s">
        <v>2460</v>
      </c>
      <c r="O1151">
        <v>14199</v>
      </c>
      <c r="P1151" t="s">
        <v>2460</v>
      </c>
      <c r="Q1151">
        <v>14404</v>
      </c>
      <c r="R1151" t="s">
        <v>2460</v>
      </c>
      <c r="S1151" t="s">
        <v>988</v>
      </c>
    </row>
    <row r="1152" spans="1:19" hidden="1" x14ac:dyDescent="0.3">
      <c r="A1152">
        <v>2669</v>
      </c>
      <c r="B1152" t="s">
        <v>2085</v>
      </c>
      <c r="C1152" t="s">
        <v>2877</v>
      </c>
      <c r="D1152" t="s">
        <v>1203</v>
      </c>
      <c r="E1152" t="s">
        <v>1204</v>
      </c>
      <c r="F1152">
        <v>5913</v>
      </c>
      <c r="G1152" t="s">
        <v>2691</v>
      </c>
      <c r="H1152" t="s">
        <v>2460</v>
      </c>
      <c r="I1152">
        <v>900</v>
      </c>
      <c r="J1152" t="s">
        <v>2460</v>
      </c>
      <c r="K1152">
        <v>900</v>
      </c>
      <c r="L1152" t="s">
        <v>2460</v>
      </c>
      <c r="M1152">
        <v>900</v>
      </c>
      <c r="N1152" t="s">
        <v>2460</v>
      </c>
      <c r="O1152">
        <v>900</v>
      </c>
      <c r="P1152" t="s">
        <v>2460</v>
      </c>
      <c r="Q1152">
        <v>900</v>
      </c>
      <c r="R1152" t="s">
        <v>2460</v>
      </c>
      <c r="S1152" t="s">
        <v>988</v>
      </c>
    </row>
    <row r="1153" spans="1:19" hidden="1" x14ac:dyDescent="0.3">
      <c r="A1153">
        <v>2669</v>
      </c>
      <c r="B1153" t="s">
        <v>2085</v>
      </c>
      <c r="C1153" t="s">
        <v>2877</v>
      </c>
      <c r="D1153" t="s">
        <v>1203</v>
      </c>
      <c r="E1153" t="s">
        <v>1204</v>
      </c>
      <c r="F1153">
        <v>5913</v>
      </c>
      <c r="G1153" t="s">
        <v>2681</v>
      </c>
      <c r="H1153" t="s">
        <v>2460</v>
      </c>
      <c r="I1153">
        <v>21000</v>
      </c>
      <c r="J1153" t="s">
        <v>2460</v>
      </c>
      <c r="K1153">
        <v>21000</v>
      </c>
      <c r="L1153" t="s">
        <v>2460</v>
      </c>
      <c r="M1153">
        <v>21000</v>
      </c>
      <c r="N1153" t="s">
        <v>2460</v>
      </c>
      <c r="O1153">
        <v>21000</v>
      </c>
      <c r="P1153" t="s">
        <v>2460</v>
      </c>
      <c r="Q1153">
        <v>21000</v>
      </c>
      <c r="R1153" t="s">
        <v>2460</v>
      </c>
      <c r="S1153" t="s">
        <v>988</v>
      </c>
    </row>
    <row r="1154" spans="1:19" hidden="1" x14ac:dyDescent="0.3">
      <c r="A1154">
        <v>2679</v>
      </c>
      <c r="B1154" t="s">
        <v>2086</v>
      </c>
      <c r="C1154" t="s">
        <v>2877</v>
      </c>
      <c r="D1154" t="s">
        <v>1203</v>
      </c>
      <c r="E1154" t="s">
        <v>1204</v>
      </c>
      <c r="F1154">
        <v>5778</v>
      </c>
      <c r="G1154" t="s">
        <v>2683</v>
      </c>
      <c r="H1154" t="s">
        <v>2460</v>
      </c>
      <c r="I1154">
        <v>40341</v>
      </c>
      <c r="J1154" t="s">
        <v>2460</v>
      </c>
      <c r="K1154">
        <v>40227</v>
      </c>
      <c r="L1154" t="s">
        <v>2460</v>
      </c>
      <c r="M1154">
        <v>40147</v>
      </c>
      <c r="N1154" t="s">
        <v>2460</v>
      </c>
      <c r="O1154">
        <v>39418</v>
      </c>
      <c r="P1154" t="s">
        <v>2460</v>
      </c>
      <c r="Q1154">
        <v>39340</v>
      </c>
      <c r="R1154" t="s">
        <v>2460</v>
      </c>
      <c r="S1154" t="s">
        <v>988</v>
      </c>
    </row>
    <row r="1155" spans="1:19" hidden="1" x14ac:dyDescent="0.3">
      <c r="A1155">
        <v>2683</v>
      </c>
      <c r="B1155" t="s">
        <v>871</v>
      </c>
      <c r="C1155" t="s">
        <v>2877</v>
      </c>
      <c r="D1155" t="s">
        <v>1203</v>
      </c>
      <c r="E1155" t="s">
        <v>1204</v>
      </c>
      <c r="F1155">
        <v>6775</v>
      </c>
      <c r="G1155" t="s">
        <v>2691</v>
      </c>
      <c r="H1155" t="s">
        <v>3835</v>
      </c>
      <c r="I1155">
        <v>18350</v>
      </c>
      <c r="J1155" t="s">
        <v>2460</v>
      </c>
      <c r="K1155">
        <v>18350</v>
      </c>
      <c r="L1155" t="s">
        <v>2460</v>
      </c>
      <c r="M1155">
        <v>18350</v>
      </c>
      <c r="N1155" t="s">
        <v>2460</v>
      </c>
      <c r="O1155">
        <v>18350</v>
      </c>
      <c r="P1155" t="s">
        <v>2460</v>
      </c>
      <c r="Q1155">
        <v>18350</v>
      </c>
      <c r="R1155" t="s">
        <v>2460</v>
      </c>
      <c r="S1155" t="s">
        <v>988</v>
      </c>
    </row>
    <row r="1156" spans="1:19" hidden="1" x14ac:dyDescent="0.3">
      <c r="A1156">
        <v>2683</v>
      </c>
      <c r="B1156" t="s">
        <v>871</v>
      </c>
      <c r="C1156" t="s">
        <v>2877</v>
      </c>
      <c r="D1156" t="s">
        <v>1203</v>
      </c>
      <c r="E1156" t="s">
        <v>1204</v>
      </c>
      <c r="F1156">
        <v>6775</v>
      </c>
      <c r="G1156" t="s">
        <v>2683</v>
      </c>
      <c r="H1156" t="s">
        <v>861</v>
      </c>
      <c r="I1156">
        <v>9680</v>
      </c>
      <c r="J1156" t="s">
        <v>2460</v>
      </c>
      <c r="K1156">
        <v>9680</v>
      </c>
      <c r="L1156" t="s">
        <v>2460</v>
      </c>
      <c r="M1156">
        <v>9680</v>
      </c>
      <c r="N1156" t="s">
        <v>2460</v>
      </c>
      <c r="O1156">
        <v>9680</v>
      </c>
      <c r="P1156" t="s">
        <v>2460</v>
      </c>
      <c r="Q1156">
        <v>9680</v>
      </c>
      <c r="R1156" t="s">
        <v>2460</v>
      </c>
      <c r="S1156" t="s">
        <v>988</v>
      </c>
    </row>
    <row r="1157" spans="1:19" hidden="1" x14ac:dyDescent="0.3">
      <c r="A1157">
        <v>2683</v>
      </c>
      <c r="B1157" t="s">
        <v>871</v>
      </c>
      <c r="C1157" t="s">
        <v>2877</v>
      </c>
      <c r="D1157" t="s">
        <v>1203</v>
      </c>
      <c r="E1157" t="s">
        <v>1204</v>
      </c>
      <c r="F1157">
        <v>6775</v>
      </c>
      <c r="G1157" t="s">
        <v>2683</v>
      </c>
      <c r="H1157" t="s">
        <v>3836</v>
      </c>
      <c r="I1157">
        <v>8915</v>
      </c>
      <c r="J1157" t="s">
        <v>2460</v>
      </c>
      <c r="K1157">
        <v>9835</v>
      </c>
      <c r="L1157" t="s">
        <v>2460</v>
      </c>
      <c r="M1157">
        <v>10755</v>
      </c>
      <c r="N1157" t="s">
        <v>2460</v>
      </c>
      <c r="O1157">
        <v>11675</v>
      </c>
      <c r="P1157" t="s">
        <v>2460</v>
      </c>
      <c r="Q1157">
        <v>12696</v>
      </c>
      <c r="R1157" t="s">
        <v>2460</v>
      </c>
      <c r="S1157" t="s">
        <v>988</v>
      </c>
    </row>
    <row r="1158" spans="1:19" hidden="1" x14ac:dyDescent="0.3">
      <c r="A1158">
        <v>2683</v>
      </c>
      <c r="B1158" t="s">
        <v>871</v>
      </c>
      <c r="C1158" t="s">
        <v>2877</v>
      </c>
      <c r="D1158" t="s">
        <v>1203</v>
      </c>
      <c r="E1158" t="s">
        <v>1204</v>
      </c>
      <c r="F1158">
        <v>6775</v>
      </c>
      <c r="G1158" t="s">
        <v>2681</v>
      </c>
      <c r="H1158" t="s">
        <v>2460</v>
      </c>
      <c r="I1158">
        <v>2000</v>
      </c>
      <c r="J1158" t="s">
        <v>2460</v>
      </c>
      <c r="K1158">
        <v>2000</v>
      </c>
      <c r="L1158" t="s">
        <v>2460</v>
      </c>
      <c r="M1158">
        <v>2000</v>
      </c>
      <c r="N1158" t="s">
        <v>2460</v>
      </c>
      <c r="O1158">
        <v>2000</v>
      </c>
      <c r="P1158" t="s">
        <v>2460</v>
      </c>
      <c r="Q1158">
        <v>2000</v>
      </c>
      <c r="R1158" t="s">
        <v>2460</v>
      </c>
      <c r="S1158" t="s">
        <v>988</v>
      </c>
    </row>
    <row r="1159" spans="1:19" hidden="1" x14ac:dyDescent="0.3">
      <c r="A1159">
        <v>2690</v>
      </c>
      <c r="B1159" t="s">
        <v>2089</v>
      </c>
      <c r="C1159" t="s">
        <v>2877</v>
      </c>
      <c r="D1159" t="s">
        <v>1203</v>
      </c>
      <c r="E1159" t="s">
        <v>1204</v>
      </c>
      <c r="F1159">
        <v>5764</v>
      </c>
      <c r="G1159" t="s">
        <v>2681</v>
      </c>
      <c r="H1159" t="s">
        <v>3198</v>
      </c>
      <c r="I1159">
        <v>2052</v>
      </c>
      <c r="J1159" t="s">
        <v>2460</v>
      </c>
      <c r="K1159">
        <v>2353</v>
      </c>
      <c r="L1159" t="s">
        <v>2460</v>
      </c>
      <c r="M1159">
        <v>3554</v>
      </c>
      <c r="N1159" t="s">
        <v>2460</v>
      </c>
      <c r="O1159">
        <v>4754</v>
      </c>
      <c r="P1159" t="s">
        <v>2460</v>
      </c>
      <c r="Q1159">
        <v>6455</v>
      </c>
      <c r="R1159" t="s">
        <v>2460</v>
      </c>
      <c r="S1159" t="s">
        <v>988</v>
      </c>
    </row>
    <row r="1160" spans="1:19" hidden="1" x14ac:dyDescent="0.3">
      <c r="A1160">
        <v>2690</v>
      </c>
      <c r="B1160" t="s">
        <v>2089</v>
      </c>
      <c r="C1160" t="s">
        <v>2877</v>
      </c>
      <c r="D1160" t="s">
        <v>1203</v>
      </c>
      <c r="E1160" t="s">
        <v>1204</v>
      </c>
      <c r="F1160">
        <v>5764</v>
      </c>
      <c r="G1160" t="s">
        <v>2681</v>
      </c>
      <c r="H1160" t="s">
        <v>3837</v>
      </c>
      <c r="I1160">
        <v>5000</v>
      </c>
      <c r="J1160" t="s">
        <v>2460</v>
      </c>
      <c r="K1160">
        <v>5000</v>
      </c>
      <c r="L1160" t="s">
        <v>2460</v>
      </c>
      <c r="M1160">
        <v>5000</v>
      </c>
      <c r="N1160" t="s">
        <v>2460</v>
      </c>
      <c r="O1160">
        <v>5000</v>
      </c>
      <c r="P1160" t="s">
        <v>2460</v>
      </c>
      <c r="Q1160">
        <v>5000</v>
      </c>
      <c r="R1160" t="s">
        <v>2460</v>
      </c>
      <c r="S1160" t="s">
        <v>988</v>
      </c>
    </row>
    <row r="1161" spans="1:19" hidden="1" x14ac:dyDescent="0.3">
      <c r="A1161">
        <v>2690</v>
      </c>
      <c r="B1161" t="s">
        <v>2089</v>
      </c>
      <c r="C1161" t="s">
        <v>2877</v>
      </c>
      <c r="D1161" t="s">
        <v>1203</v>
      </c>
      <c r="E1161" t="s">
        <v>1204</v>
      </c>
      <c r="F1161">
        <v>5764</v>
      </c>
      <c r="G1161" t="s">
        <v>2681</v>
      </c>
      <c r="H1161" t="s">
        <v>3535</v>
      </c>
      <c r="I1161">
        <v>2900</v>
      </c>
      <c r="J1161" t="s">
        <v>2460</v>
      </c>
      <c r="K1161">
        <v>2900</v>
      </c>
      <c r="L1161" t="s">
        <v>2460</v>
      </c>
      <c r="M1161">
        <v>2900</v>
      </c>
      <c r="N1161" t="s">
        <v>2460</v>
      </c>
      <c r="O1161">
        <v>2900</v>
      </c>
      <c r="P1161" t="s">
        <v>2460</v>
      </c>
      <c r="Q1161">
        <v>2900</v>
      </c>
      <c r="R1161" t="s">
        <v>2460</v>
      </c>
      <c r="S1161" t="s">
        <v>988</v>
      </c>
    </row>
    <row r="1162" spans="1:19" hidden="1" x14ac:dyDescent="0.3">
      <c r="A1162">
        <v>2690</v>
      </c>
      <c r="B1162" t="s">
        <v>2089</v>
      </c>
      <c r="C1162" t="s">
        <v>2877</v>
      </c>
      <c r="D1162" t="s">
        <v>1203</v>
      </c>
      <c r="E1162" t="s">
        <v>1204</v>
      </c>
      <c r="F1162">
        <v>5764</v>
      </c>
      <c r="G1162" t="s">
        <v>2681</v>
      </c>
      <c r="H1162" t="s">
        <v>3156</v>
      </c>
      <c r="I1162">
        <v>4426</v>
      </c>
      <c r="J1162" t="s">
        <v>2460</v>
      </c>
      <c r="K1162">
        <v>4538</v>
      </c>
      <c r="L1162" t="s">
        <v>2460</v>
      </c>
      <c r="M1162">
        <v>4650</v>
      </c>
      <c r="N1162" t="s">
        <v>2460</v>
      </c>
      <c r="O1162">
        <v>4761</v>
      </c>
      <c r="P1162" t="s">
        <v>2460</v>
      </c>
      <c r="Q1162">
        <v>4873</v>
      </c>
      <c r="R1162" t="s">
        <v>2460</v>
      </c>
      <c r="S1162" t="s">
        <v>988</v>
      </c>
    </row>
    <row r="1163" spans="1:19" hidden="1" x14ac:dyDescent="0.3">
      <c r="A1163">
        <v>2690</v>
      </c>
      <c r="B1163" t="s">
        <v>2089</v>
      </c>
      <c r="C1163" t="s">
        <v>2877</v>
      </c>
      <c r="D1163" t="s">
        <v>1203</v>
      </c>
      <c r="E1163" t="s">
        <v>1204</v>
      </c>
      <c r="F1163">
        <v>5764</v>
      </c>
      <c r="G1163" t="s">
        <v>2683</v>
      </c>
      <c r="H1163" t="s">
        <v>3155</v>
      </c>
      <c r="I1163">
        <v>0</v>
      </c>
      <c r="J1163" t="s">
        <v>2460</v>
      </c>
      <c r="K1163">
        <v>0</v>
      </c>
      <c r="L1163" t="s">
        <v>2460</v>
      </c>
      <c r="M1163">
        <v>0</v>
      </c>
      <c r="N1163" t="s">
        <v>2460</v>
      </c>
      <c r="O1163">
        <v>0</v>
      </c>
      <c r="P1163" t="s">
        <v>2460</v>
      </c>
      <c r="Q1163">
        <v>0</v>
      </c>
      <c r="R1163" t="s">
        <v>2460</v>
      </c>
      <c r="S1163" t="s">
        <v>988</v>
      </c>
    </row>
    <row r="1164" spans="1:19" hidden="1" x14ac:dyDescent="0.3">
      <c r="A1164">
        <v>2690</v>
      </c>
      <c r="B1164" t="s">
        <v>2089</v>
      </c>
      <c r="C1164" t="s">
        <v>2877</v>
      </c>
      <c r="D1164" t="s">
        <v>1203</v>
      </c>
      <c r="E1164" t="s">
        <v>1204</v>
      </c>
      <c r="F1164">
        <v>5764</v>
      </c>
      <c r="G1164" t="s">
        <v>2681</v>
      </c>
      <c r="H1164" t="s">
        <v>3534</v>
      </c>
      <c r="I1164">
        <v>2500</v>
      </c>
      <c r="J1164" t="s">
        <v>2460</v>
      </c>
      <c r="K1164">
        <v>3000</v>
      </c>
      <c r="L1164" t="s">
        <v>2460</v>
      </c>
      <c r="M1164">
        <v>3500</v>
      </c>
      <c r="N1164" t="s">
        <v>2460</v>
      </c>
      <c r="O1164">
        <v>4000</v>
      </c>
      <c r="P1164" t="s">
        <v>2460</v>
      </c>
      <c r="Q1164">
        <v>4000</v>
      </c>
      <c r="R1164" t="s">
        <v>2460</v>
      </c>
      <c r="S1164" t="s">
        <v>988</v>
      </c>
    </row>
    <row r="1165" spans="1:19" hidden="1" x14ac:dyDescent="0.3">
      <c r="A1165">
        <v>2690</v>
      </c>
      <c r="B1165" t="s">
        <v>2089</v>
      </c>
      <c r="C1165" t="s">
        <v>2877</v>
      </c>
      <c r="D1165" t="s">
        <v>1203</v>
      </c>
      <c r="E1165" t="s">
        <v>1204</v>
      </c>
      <c r="F1165">
        <v>5764</v>
      </c>
      <c r="G1165" t="s">
        <v>2681</v>
      </c>
      <c r="H1165" t="s">
        <v>3838</v>
      </c>
      <c r="I1165">
        <v>0</v>
      </c>
      <c r="J1165" t="s">
        <v>2460</v>
      </c>
      <c r="K1165">
        <v>900</v>
      </c>
      <c r="L1165" t="s">
        <v>2460</v>
      </c>
      <c r="M1165">
        <v>900</v>
      </c>
      <c r="N1165" t="s">
        <v>2460</v>
      </c>
      <c r="O1165">
        <v>900</v>
      </c>
      <c r="P1165" t="s">
        <v>2460</v>
      </c>
      <c r="Q1165">
        <v>900</v>
      </c>
      <c r="R1165" t="s">
        <v>2460</v>
      </c>
      <c r="S1165" t="s">
        <v>988</v>
      </c>
    </row>
    <row r="1166" spans="1:19" hidden="1" x14ac:dyDescent="0.3">
      <c r="A1166">
        <v>2690</v>
      </c>
      <c r="B1166" t="s">
        <v>2089</v>
      </c>
      <c r="C1166" t="s">
        <v>2877</v>
      </c>
      <c r="D1166" t="s">
        <v>1203</v>
      </c>
      <c r="E1166" t="s">
        <v>1204</v>
      </c>
      <c r="F1166">
        <v>5764</v>
      </c>
      <c r="G1166" t="s">
        <v>2683</v>
      </c>
      <c r="H1166" t="s">
        <v>3839</v>
      </c>
      <c r="I1166">
        <v>7000</v>
      </c>
      <c r="J1166" t="s">
        <v>2460</v>
      </c>
      <c r="K1166">
        <v>7000</v>
      </c>
      <c r="L1166" t="s">
        <v>2460</v>
      </c>
      <c r="M1166">
        <v>7000</v>
      </c>
      <c r="N1166" t="s">
        <v>2460</v>
      </c>
      <c r="O1166">
        <v>7000</v>
      </c>
      <c r="P1166" t="s">
        <v>2460</v>
      </c>
      <c r="Q1166">
        <v>7000</v>
      </c>
      <c r="R1166" t="s">
        <v>2460</v>
      </c>
      <c r="S1166" t="s">
        <v>988</v>
      </c>
    </row>
    <row r="1167" spans="1:19" hidden="1" x14ac:dyDescent="0.3">
      <c r="A1167">
        <v>2690</v>
      </c>
      <c r="B1167" t="s">
        <v>2089</v>
      </c>
      <c r="C1167" t="s">
        <v>2877</v>
      </c>
      <c r="D1167" t="s">
        <v>1203</v>
      </c>
      <c r="E1167" t="s">
        <v>1204</v>
      </c>
      <c r="F1167">
        <v>5764</v>
      </c>
      <c r="G1167" t="s">
        <v>2691</v>
      </c>
      <c r="H1167" t="s">
        <v>3533</v>
      </c>
      <c r="I1167">
        <v>3100</v>
      </c>
      <c r="J1167" t="s">
        <v>2460</v>
      </c>
      <c r="K1167">
        <v>3100</v>
      </c>
      <c r="L1167" t="s">
        <v>2460</v>
      </c>
      <c r="M1167">
        <v>3100</v>
      </c>
      <c r="N1167" t="s">
        <v>2460</v>
      </c>
      <c r="O1167">
        <v>3100</v>
      </c>
      <c r="P1167" t="s">
        <v>2460</v>
      </c>
      <c r="Q1167">
        <v>3100</v>
      </c>
      <c r="R1167" t="s">
        <v>2460</v>
      </c>
      <c r="S1167" t="s">
        <v>988</v>
      </c>
    </row>
    <row r="1168" spans="1:19" hidden="1" x14ac:dyDescent="0.3">
      <c r="A1168">
        <v>2691</v>
      </c>
      <c r="B1168" t="s">
        <v>2091</v>
      </c>
      <c r="C1168" t="s">
        <v>2877</v>
      </c>
      <c r="D1168" t="s">
        <v>1203</v>
      </c>
      <c r="E1168" t="s">
        <v>1204</v>
      </c>
      <c r="F1168">
        <v>5607</v>
      </c>
      <c r="G1168" t="s">
        <v>2683</v>
      </c>
      <c r="H1168" t="s">
        <v>3396</v>
      </c>
      <c r="I1168">
        <v>1479.2039437000001</v>
      </c>
      <c r="J1168" t="s">
        <v>2460</v>
      </c>
      <c r="K1168">
        <v>1479.2039437000001</v>
      </c>
      <c r="L1168" t="s">
        <v>2460</v>
      </c>
      <c r="M1168">
        <v>1479.2039437000001</v>
      </c>
      <c r="N1168" t="s">
        <v>2460</v>
      </c>
      <c r="O1168">
        <v>1479.2039437000001</v>
      </c>
      <c r="P1168" t="s">
        <v>2460</v>
      </c>
      <c r="Q1168">
        <v>1479.2039437000001</v>
      </c>
      <c r="R1168" t="s">
        <v>2460</v>
      </c>
      <c r="S1168" t="s">
        <v>988</v>
      </c>
    </row>
    <row r="1169" spans="1:19" hidden="1" x14ac:dyDescent="0.3">
      <c r="A1169">
        <v>2697</v>
      </c>
      <c r="B1169" t="s">
        <v>2092</v>
      </c>
      <c r="C1169" t="s">
        <v>2877</v>
      </c>
      <c r="D1169" t="s">
        <v>159</v>
      </c>
      <c r="E1169" t="s">
        <v>159</v>
      </c>
      <c r="F1169">
        <v>7790</v>
      </c>
      <c r="G1169" t="s">
        <v>2679</v>
      </c>
      <c r="H1169" t="s">
        <v>3840</v>
      </c>
      <c r="I1169">
        <v>920</v>
      </c>
      <c r="J1169" t="s">
        <v>2460</v>
      </c>
      <c r="K1169">
        <v>997</v>
      </c>
      <c r="L1169" t="s">
        <v>2460</v>
      </c>
      <c r="M1169">
        <v>1079</v>
      </c>
      <c r="N1169" t="s">
        <v>2460</v>
      </c>
      <c r="O1169">
        <v>1169</v>
      </c>
      <c r="P1169" t="s">
        <v>2460</v>
      </c>
      <c r="Q1169">
        <v>1266</v>
      </c>
      <c r="R1169" t="s">
        <v>2460</v>
      </c>
      <c r="S1169" t="s">
        <v>988</v>
      </c>
    </row>
    <row r="1170" spans="1:19" hidden="1" x14ac:dyDescent="0.3">
      <c r="A1170">
        <v>2697</v>
      </c>
      <c r="B1170" t="s">
        <v>2092</v>
      </c>
      <c r="C1170" t="s">
        <v>2877</v>
      </c>
      <c r="D1170" t="s">
        <v>159</v>
      </c>
      <c r="E1170" t="s">
        <v>159</v>
      </c>
      <c r="F1170">
        <v>7790</v>
      </c>
      <c r="G1170" t="s">
        <v>2681</v>
      </c>
      <c r="H1170" t="s">
        <v>3841</v>
      </c>
      <c r="I1170">
        <v>2500</v>
      </c>
      <c r="J1170" t="s">
        <v>2460</v>
      </c>
      <c r="K1170">
        <v>3171</v>
      </c>
      <c r="L1170" t="s">
        <v>2460</v>
      </c>
      <c r="M1170">
        <v>3104</v>
      </c>
      <c r="N1170" t="s">
        <v>2460</v>
      </c>
      <c r="O1170">
        <v>3465</v>
      </c>
      <c r="P1170" t="s">
        <v>2460</v>
      </c>
      <c r="Q1170">
        <v>4100</v>
      </c>
      <c r="R1170" t="s">
        <v>2460</v>
      </c>
      <c r="S1170" t="s">
        <v>988</v>
      </c>
    </row>
    <row r="1171" spans="1:19" hidden="1" x14ac:dyDescent="0.3">
      <c r="A1171">
        <v>2697</v>
      </c>
      <c r="B1171" t="s">
        <v>2092</v>
      </c>
      <c r="C1171" t="s">
        <v>2877</v>
      </c>
      <c r="D1171" t="s">
        <v>159</v>
      </c>
      <c r="E1171" t="s">
        <v>159</v>
      </c>
      <c r="F1171">
        <v>7790</v>
      </c>
      <c r="G1171" t="s">
        <v>2683</v>
      </c>
      <c r="H1171" t="s">
        <v>3842</v>
      </c>
      <c r="I1171">
        <v>1671</v>
      </c>
      <c r="J1171" t="s">
        <v>2460</v>
      </c>
      <c r="K1171">
        <v>1300</v>
      </c>
      <c r="L1171" t="s">
        <v>2460</v>
      </c>
      <c r="M1171">
        <v>1300</v>
      </c>
      <c r="N1171" t="s">
        <v>2460</v>
      </c>
      <c r="O1171">
        <v>1300</v>
      </c>
      <c r="P1171" t="s">
        <v>2460</v>
      </c>
      <c r="Q1171">
        <v>1681</v>
      </c>
      <c r="R1171" t="s">
        <v>2460</v>
      </c>
      <c r="S1171" t="s">
        <v>988</v>
      </c>
    </row>
    <row r="1172" spans="1:19" hidden="1" x14ac:dyDescent="0.3">
      <c r="A1172">
        <v>2697</v>
      </c>
      <c r="B1172" t="s">
        <v>2092</v>
      </c>
      <c r="C1172" t="s">
        <v>2877</v>
      </c>
      <c r="D1172" t="s">
        <v>159</v>
      </c>
      <c r="E1172" t="s">
        <v>159</v>
      </c>
      <c r="F1172">
        <v>7790</v>
      </c>
      <c r="G1172" t="s">
        <v>2683</v>
      </c>
      <c r="H1172" t="s">
        <v>2891</v>
      </c>
      <c r="I1172">
        <v>14680</v>
      </c>
      <c r="J1172" t="s">
        <v>2460</v>
      </c>
      <c r="K1172">
        <v>19306</v>
      </c>
      <c r="L1172" t="s">
        <v>2460</v>
      </c>
      <c r="M1172">
        <v>22293</v>
      </c>
      <c r="N1172" t="s">
        <v>2460</v>
      </c>
      <c r="O1172">
        <v>26181</v>
      </c>
      <c r="P1172" t="s">
        <v>2460</v>
      </c>
      <c r="Q1172">
        <v>31928</v>
      </c>
      <c r="R1172" t="s">
        <v>2460</v>
      </c>
      <c r="S1172" t="s">
        <v>988</v>
      </c>
    </row>
    <row r="1173" spans="1:19" hidden="1" x14ac:dyDescent="0.3">
      <c r="A1173">
        <v>2697</v>
      </c>
      <c r="B1173" t="s">
        <v>2092</v>
      </c>
      <c r="C1173" t="s">
        <v>2877</v>
      </c>
      <c r="D1173" t="s">
        <v>159</v>
      </c>
      <c r="E1173" t="s">
        <v>159</v>
      </c>
      <c r="F1173">
        <v>7790</v>
      </c>
      <c r="G1173" t="s">
        <v>2679</v>
      </c>
      <c r="H1173" t="s">
        <v>3843</v>
      </c>
      <c r="I1173">
        <v>1940</v>
      </c>
      <c r="J1173" t="s">
        <v>2460</v>
      </c>
      <c r="K1173">
        <v>2598</v>
      </c>
      <c r="L1173" t="s">
        <v>2460</v>
      </c>
      <c r="M1173">
        <v>3481</v>
      </c>
      <c r="N1173" t="s">
        <v>2460</v>
      </c>
      <c r="O1173">
        <v>4032</v>
      </c>
      <c r="P1173" t="s">
        <v>2460</v>
      </c>
      <c r="Q1173">
        <v>4032</v>
      </c>
      <c r="R1173" t="s">
        <v>2460</v>
      </c>
      <c r="S1173" t="s">
        <v>988</v>
      </c>
    </row>
    <row r="1174" spans="1:19" hidden="1" x14ac:dyDescent="0.3">
      <c r="A1174">
        <v>2697</v>
      </c>
      <c r="B1174" t="s">
        <v>2092</v>
      </c>
      <c r="C1174" t="s">
        <v>2877</v>
      </c>
      <c r="D1174" t="s">
        <v>159</v>
      </c>
      <c r="E1174" t="s">
        <v>159</v>
      </c>
      <c r="F1174">
        <v>7790</v>
      </c>
      <c r="G1174" t="s">
        <v>2681</v>
      </c>
      <c r="H1174" t="s">
        <v>3844</v>
      </c>
      <c r="I1174">
        <v>1452</v>
      </c>
      <c r="J1174" t="s">
        <v>2460</v>
      </c>
      <c r="K1174">
        <v>1452</v>
      </c>
      <c r="L1174" t="s">
        <v>2460</v>
      </c>
      <c r="M1174">
        <v>1452</v>
      </c>
      <c r="N1174" t="s">
        <v>2460</v>
      </c>
      <c r="O1174">
        <v>1452</v>
      </c>
      <c r="P1174" t="s">
        <v>2460</v>
      </c>
      <c r="Q1174">
        <v>1452</v>
      </c>
      <c r="R1174" t="s">
        <v>2460</v>
      </c>
      <c r="S1174" t="s">
        <v>988</v>
      </c>
    </row>
    <row r="1175" spans="1:19" hidden="1" x14ac:dyDescent="0.3">
      <c r="A1175">
        <v>2697</v>
      </c>
      <c r="B1175" t="s">
        <v>2092</v>
      </c>
      <c r="C1175" t="s">
        <v>2877</v>
      </c>
      <c r="D1175" t="s">
        <v>159</v>
      </c>
      <c r="E1175" t="s">
        <v>159</v>
      </c>
      <c r="F1175">
        <v>7790</v>
      </c>
      <c r="G1175" t="s">
        <v>2683</v>
      </c>
      <c r="H1175" t="s">
        <v>3845</v>
      </c>
      <c r="I1175">
        <v>4680</v>
      </c>
      <c r="J1175" t="s">
        <v>2460</v>
      </c>
      <c r="K1175">
        <v>4680</v>
      </c>
      <c r="L1175" t="s">
        <v>2460</v>
      </c>
      <c r="M1175">
        <v>4680</v>
      </c>
      <c r="N1175" t="s">
        <v>2460</v>
      </c>
      <c r="O1175">
        <v>4680</v>
      </c>
      <c r="P1175" t="s">
        <v>2460</v>
      </c>
      <c r="Q1175">
        <v>4680</v>
      </c>
      <c r="R1175" t="s">
        <v>2460</v>
      </c>
      <c r="S1175" t="s">
        <v>988</v>
      </c>
    </row>
    <row r="1176" spans="1:19" hidden="1" x14ac:dyDescent="0.3">
      <c r="A1176">
        <v>2697</v>
      </c>
      <c r="B1176" t="s">
        <v>2092</v>
      </c>
      <c r="C1176" t="s">
        <v>2877</v>
      </c>
      <c r="D1176" t="s">
        <v>159</v>
      </c>
      <c r="E1176" t="s">
        <v>159</v>
      </c>
      <c r="F1176">
        <v>7790</v>
      </c>
      <c r="G1176" t="s">
        <v>2681</v>
      </c>
      <c r="H1176" t="s">
        <v>3846</v>
      </c>
      <c r="I1176">
        <v>226.52</v>
      </c>
      <c r="J1176" t="s">
        <v>2460</v>
      </c>
      <c r="K1176">
        <v>226.52</v>
      </c>
      <c r="L1176" t="s">
        <v>2460</v>
      </c>
      <c r="M1176">
        <v>226.52</v>
      </c>
      <c r="N1176" t="s">
        <v>2460</v>
      </c>
      <c r="O1176">
        <v>226.52</v>
      </c>
      <c r="P1176" t="s">
        <v>2460</v>
      </c>
      <c r="Q1176">
        <v>226.52</v>
      </c>
      <c r="R1176" t="s">
        <v>2460</v>
      </c>
      <c r="S1176" t="s">
        <v>988</v>
      </c>
    </row>
    <row r="1177" spans="1:19" hidden="1" x14ac:dyDescent="0.3">
      <c r="A1177">
        <v>2697</v>
      </c>
      <c r="B1177" t="s">
        <v>2092</v>
      </c>
      <c r="C1177" t="s">
        <v>2877</v>
      </c>
      <c r="D1177" t="s">
        <v>159</v>
      </c>
      <c r="E1177" t="s">
        <v>159</v>
      </c>
      <c r="F1177">
        <v>7790</v>
      </c>
      <c r="G1177" t="s">
        <v>2683</v>
      </c>
      <c r="H1177" t="s">
        <v>3847</v>
      </c>
      <c r="I1177">
        <v>2000</v>
      </c>
      <c r="J1177" t="s">
        <v>2460</v>
      </c>
      <c r="K1177">
        <v>0</v>
      </c>
      <c r="L1177" t="s">
        <v>2460</v>
      </c>
      <c r="M1177">
        <v>0</v>
      </c>
      <c r="N1177" t="s">
        <v>2460</v>
      </c>
      <c r="O1177">
        <v>0</v>
      </c>
      <c r="P1177" t="s">
        <v>2460</v>
      </c>
      <c r="Q1177">
        <v>0</v>
      </c>
      <c r="R1177" t="s">
        <v>2460</v>
      </c>
      <c r="S1177" t="s">
        <v>988</v>
      </c>
    </row>
    <row r="1178" spans="1:19" hidden="1" x14ac:dyDescent="0.3">
      <c r="A1178">
        <v>2697</v>
      </c>
      <c r="B1178" t="s">
        <v>2092</v>
      </c>
      <c r="C1178" t="s">
        <v>2877</v>
      </c>
      <c r="D1178" t="s">
        <v>159</v>
      </c>
      <c r="E1178" t="s">
        <v>159</v>
      </c>
      <c r="F1178">
        <v>7790</v>
      </c>
      <c r="G1178" t="s">
        <v>2683</v>
      </c>
      <c r="H1178" t="s">
        <v>3848</v>
      </c>
      <c r="I1178">
        <v>500</v>
      </c>
      <c r="J1178" t="s">
        <v>2460</v>
      </c>
      <c r="K1178">
        <v>1000</v>
      </c>
      <c r="L1178" t="s">
        <v>2460</v>
      </c>
      <c r="M1178">
        <v>1500</v>
      </c>
      <c r="N1178" t="s">
        <v>2460</v>
      </c>
      <c r="O1178">
        <v>1500</v>
      </c>
      <c r="P1178" t="s">
        <v>2460</v>
      </c>
      <c r="Q1178">
        <v>0</v>
      </c>
      <c r="R1178" t="s">
        <v>2460</v>
      </c>
      <c r="S1178" t="s">
        <v>988</v>
      </c>
    </row>
    <row r="1179" spans="1:19" hidden="1" x14ac:dyDescent="0.3">
      <c r="A1179">
        <v>2697</v>
      </c>
      <c r="B1179" t="s">
        <v>2092</v>
      </c>
      <c r="C1179" t="s">
        <v>2877</v>
      </c>
      <c r="D1179" t="s">
        <v>159</v>
      </c>
      <c r="E1179" t="s">
        <v>159</v>
      </c>
      <c r="F1179">
        <v>7790</v>
      </c>
      <c r="G1179" t="s">
        <v>2687</v>
      </c>
      <c r="H1179" t="s">
        <v>3849</v>
      </c>
      <c r="I1179">
        <v>3534</v>
      </c>
      <c r="J1179" t="s">
        <v>2460</v>
      </c>
      <c r="K1179">
        <v>3534</v>
      </c>
      <c r="L1179" t="s">
        <v>2460</v>
      </c>
      <c r="M1179">
        <v>3534</v>
      </c>
      <c r="N1179" t="s">
        <v>2460</v>
      </c>
      <c r="O1179">
        <v>3534</v>
      </c>
      <c r="P1179" t="s">
        <v>2460</v>
      </c>
      <c r="Q1179">
        <v>3534</v>
      </c>
      <c r="R1179" t="s">
        <v>2460</v>
      </c>
      <c r="S1179" t="s">
        <v>988</v>
      </c>
    </row>
    <row r="1180" spans="1:19" hidden="1" x14ac:dyDescent="0.3">
      <c r="A1180">
        <v>2704</v>
      </c>
      <c r="B1180" t="s">
        <v>2096</v>
      </c>
      <c r="C1180" t="s">
        <v>2877</v>
      </c>
      <c r="D1180" t="s">
        <v>159</v>
      </c>
      <c r="E1180" t="s">
        <v>159</v>
      </c>
      <c r="F1180">
        <v>7853</v>
      </c>
      <c r="G1180" t="s">
        <v>2681</v>
      </c>
      <c r="H1180" t="s">
        <v>2893</v>
      </c>
      <c r="I1180">
        <v>9418</v>
      </c>
      <c r="J1180" t="s">
        <v>2460</v>
      </c>
      <c r="K1180">
        <v>9369</v>
      </c>
      <c r="L1180" t="s">
        <v>2460</v>
      </c>
      <c r="M1180">
        <v>9297</v>
      </c>
      <c r="N1180" t="s">
        <v>2460</v>
      </c>
      <c r="O1180">
        <v>9211</v>
      </c>
      <c r="P1180" t="s">
        <v>2460</v>
      </c>
      <c r="Q1180">
        <v>9211</v>
      </c>
      <c r="R1180" t="s">
        <v>2460</v>
      </c>
      <c r="S1180" t="s">
        <v>988</v>
      </c>
    </row>
    <row r="1181" spans="1:19" hidden="1" x14ac:dyDescent="0.3">
      <c r="A1181">
        <v>2704</v>
      </c>
      <c r="B1181" t="s">
        <v>2096</v>
      </c>
      <c r="C1181" t="s">
        <v>2877</v>
      </c>
      <c r="D1181" t="s">
        <v>159</v>
      </c>
      <c r="E1181" t="s">
        <v>159</v>
      </c>
      <c r="F1181">
        <v>7853</v>
      </c>
      <c r="G1181" t="s">
        <v>2683</v>
      </c>
      <c r="H1181" t="s">
        <v>2965</v>
      </c>
      <c r="I1181">
        <v>1662</v>
      </c>
      <c r="J1181" t="s">
        <v>2460</v>
      </c>
      <c r="K1181">
        <v>1653</v>
      </c>
      <c r="L1181" t="s">
        <v>2460</v>
      </c>
      <c r="M1181">
        <v>1641</v>
      </c>
      <c r="N1181" t="s">
        <v>2460</v>
      </c>
      <c r="O1181">
        <v>1626</v>
      </c>
      <c r="P1181" t="s">
        <v>2460</v>
      </c>
      <c r="Q1181">
        <v>1625</v>
      </c>
      <c r="R1181" t="s">
        <v>2460</v>
      </c>
      <c r="S1181" t="s">
        <v>988</v>
      </c>
    </row>
    <row r="1182" spans="1:19" hidden="1" x14ac:dyDescent="0.3">
      <c r="A1182">
        <v>2723</v>
      </c>
      <c r="B1182" t="s">
        <v>2098</v>
      </c>
      <c r="C1182" t="s">
        <v>2877</v>
      </c>
      <c r="D1182" t="s">
        <v>1203</v>
      </c>
      <c r="E1182" t="s">
        <v>1204</v>
      </c>
      <c r="F1182">
        <v>5513</v>
      </c>
      <c r="G1182" t="s">
        <v>2681</v>
      </c>
      <c r="H1182" t="s">
        <v>2888</v>
      </c>
      <c r="I1182">
        <v>2930</v>
      </c>
      <c r="J1182" t="s">
        <v>2460</v>
      </c>
      <c r="K1182">
        <v>2995</v>
      </c>
      <c r="L1182" t="s">
        <v>2460</v>
      </c>
      <c r="M1182">
        <v>3062</v>
      </c>
      <c r="N1182" t="s">
        <v>2460</v>
      </c>
      <c r="O1182">
        <v>3129</v>
      </c>
      <c r="P1182" t="s">
        <v>2460</v>
      </c>
      <c r="Q1182">
        <v>3199</v>
      </c>
      <c r="R1182" t="s">
        <v>2460</v>
      </c>
      <c r="S1182" t="s">
        <v>988</v>
      </c>
    </row>
    <row r="1183" spans="1:19" hidden="1" x14ac:dyDescent="0.3">
      <c r="A1183">
        <v>2723</v>
      </c>
      <c r="B1183" t="s">
        <v>2098</v>
      </c>
      <c r="C1183" t="s">
        <v>2877</v>
      </c>
      <c r="D1183" t="s">
        <v>1203</v>
      </c>
      <c r="E1183" t="s">
        <v>1204</v>
      </c>
      <c r="F1183">
        <v>5513</v>
      </c>
      <c r="G1183" t="s">
        <v>2679</v>
      </c>
      <c r="H1183" t="s">
        <v>2127</v>
      </c>
      <c r="I1183">
        <v>70</v>
      </c>
      <c r="J1183" t="s">
        <v>2460</v>
      </c>
      <c r="K1183">
        <v>70</v>
      </c>
      <c r="L1183" t="s">
        <v>2460</v>
      </c>
      <c r="M1183">
        <v>70</v>
      </c>
      <c r="N1183" t="s">
        <v>2460</v>
      </c>
      <c r="O1183">
        <v>70</v>
      </c>
      <c r="P1183" t="s">
        <v>2460</v>
      </c>
      <c r="Q1183">
        <v>70</v>
      </c>
      <c r="R1183" t="s">
        <v>2460</v>
      </c>
      <c r="S1183" t="s">
        <v>988</v>
      </c>
    </row>
    <row r="1184" spans="1:19" hidden="1" x14ac:dyDescent="0.3">
      <c r="A1184">
        <v>2723</v>
      </c>
      <c r="B1184" t="s">
        <v>2098</v>
      </c>
      <c r="C1184" t="s">
        <v>2877</v>
      </c>
      <c r="D1184" t="s">
        <v>1203</v>
      </c>
      <c r="E1184" t="s">
        <v>1204</v>
      </c>
      <c r="F1184">
        <v>5513</v>
      </c>
      <c r="G1184" t="s">
        <v>2681</v>
      </c>
      <c r="H1184" t="s">
        <v>3136</v>
      </c>
      <c r="I1184">
        <v>4217</v>
      </c>
      <c r="J1184" t="s">
        <v>2460</v>
      </c>
      <c r="K1184">
        <v>4310</v>
      </c>
      <c r="L1184" t="s">
        <v>2460</v>
      </c>
      <c r="M1184">
        <v>4406</v>
      </c>
      <c r="N1184" t="s">
        <v>2460</v>
      </c>
      <c r="O1184">
        <v>4503</v>
      </c>
      <c r="P1184" t="s">
        <v>2460</v>
      </c>
      <c r="Q1184">
        <v>4603</v>
      </c>
      <c r="R1184" t="s">
        <v>2460</v>
      </c>
      <c r="S1184" t="s">
        <v>988</v>
      </c>
    </row>
    <row r="1185" spans="1:19" hidden="1" x14ac:dyDescent="0.3">
      <c r="A1185">
        <v>2751</v>
      </c>
      <c r="B1185" t="s">
        <v>2099</v>
      </c>
      <c r="C1185" t="s">
        <v>2877</v>
      </c>
      <c r="D1185" t="s">
        <v>1203</v>
      </c>
      <c r="E1185" t="s">
        <v>1204</v>
      </c>
      <c r="F1185">
        <v>5933</v>
      </c>
      <c r="G1185" t="s">
        <v>2683</v>
      </c>
      <c r="H1185" t="s">
        <v>3850</v>
      </c>
      <c r="I1185">
        <v>900</v>
      </c>
      <c r="J1185" t="s">
        <v>3851</v>
      </c>
      <c r="K1185">
        <v>900</v>
      </c>
      <c r="L1185" t="s">
        <v>3851</v>
      </c>
      <c r="M1185">
        <v>900</v>
      </c>
      <c r="N1185" t="s">
        <v>3851</v>
      </c>
      <c r="O1185">
        <v>900</v>
      </c>
      <c r="P1185" t="s">
        <v>3851</v>
      </c>
      <c r="R1185" t="s">
        <v>2460</v>
      </c>
      <c r="S1185" t="s">
        <v>988</v>
      </c>
    </row>
    <row r="1186" spans="1:19" hidden="1" x14ac:dyDescent="0.3">
      <c r="A1186">
        <v>2751</v>
      </c>
      <c r="B1186" t="s">
        <v>2099</v>
      </c>
      <c r="C1186" t="s">
        <v>2877</v>
      </c>
      <c r="D1186" t="s">
        <v>1203</v>
      </c>
      <c r="E1186" t="s">
        <v>1204</v>
      </c>
      <c r="F1186">
        <v>5933</v>
      </c>
      <c r="G1186" t="s">
        <v>2691</v>
      </c>
      <c r="H1186" t="s">
        <v>3852</v>
      </c>
      <c r="I1186">
        <v>4725</v>
      </c>
      <c r="J1186" t="s">
        <v>3853</v>
      </c>
      <c r="K1186">
        <v>4725</v>
      </c>
      <c r="L1186" t="s">
        <v>3853</v>
      </c>
      <c r="M1186">
        <v>4725</v>
      </c>
      <c r="N1186" t="s">
        <v>3853</v>
      </c>
      <c r="O1186">
        <v>4725</v>
      </c>
      <c r="P1186" t="s">
        <v>3853</v>
      </c>
      <c r="R1186" t="s">
        <v>2460</v>
      </c>
      <c r="S1186" t="s">
        <v>988</v>
      </c>
    </row>
    <row r="1187" spans="1:19" hidden="1" x14ac:dyDescent="0.3">
      <c r="A1187">
        <v>2751</v>
      </c>
      <c r="B1187" t="s">
        <v>2099</v>
      </c>
      <c r="C1187" t="s">
        <v>2877</v>
      </c>
      <c r="D1187" t="s">
        <v>1203</v>
      </c>
      <c r="E1187" t="s">
        <v>1204</v>
      </c>
      <c r="F1187">
        <v>5933</v>
      </c>
      <c r="G1187" t="s">
        <v>2679</v>
      </c>
      <c r="H1187" t="s">
        <v>2460</v>
      </c>
      <c r="I1187">
        <v>1594</v>
      </c>
      <c r="J1187" t="s">
        <v>3854</v>
      </c>
      <c r="K1187">
        <v>1612</v>
      </c>
      <c r="L1187" t="s">
        <v>3855</v>
      </c>
      <c r="M1187">
        <v>1811</v>
      </c>
      <c r="N1187" t="s">
        <v>3856</v>
      </c>
      <c r="O1187">
        <v>2370</v>
      </c>
      <c r="P1187" t="s">
        <v>3857</v>
      </c>
      <c r="R1187" t="s">
        <v>2460</v>
      </c>
      <c r="S1187" t="s">
        <v>988</v>
      </c>
    </row>
    <row r="1188" spans="1:19" hidden="1" x14ac:dyDescent="0.3">
      <c r="A1188">
        <v>2751</v>
      </c>
      <c r="B1188" t="s">
        <v>2099</v>
      </c>
      <c r="C1188" t="s">
        <v>2877</v>
      </c>
      <c r="D1188" t="s">
        <v>1203</v>
      </c>
      <c r="E1188" t="s">
        <v>1204</v>
      </c>
      <c r="F1188">
        <v>5933</v>
      </c>
      <c r="G1188" t="s">
        <v>2681</v>
      </c>
      <c r="H1188" t="s">
        <v>3858</v>
      </c>
      <c r="I1188">
        <v>750</v>
      </c>
      <c r="J1188" t="s">
        <v>3859</v>
      </c>
      <c r="K1188">
        <v>750</v>
      </c>
      <c r="L1188" t="s">
        <v>3859</v>
      </c>
      <c r="M1188">
        <v>750</v>
      </c>
      <c r="N1188" t="s">
        <v>3859</v>
      </c>
      <c r="O1188">
        <v>750</v>
      </c>
      <c r="P1188" t="s">
        <v>3859</v>
      </c>
      <c r="R1188" t="s">
        <v>2460</v>
      </c>
      <c r="S1188" t="s">
        <v>988</v>
      </c>
    </row>
    <row r="1189" spans="1:19" hidden="1" x14ac:dyDescent="0.3">
      <c r="A1189">
        <v>2766</v>
      </c>
      <c r="B1189" t="s">
        <v>2101</v>
      </c>
      <c r="C1189" t="s">
        <v>2877</v>
      </c>
      <c r="D1189" t="s">
        <v>1203</v>
      </c>
      <c r="E1189" t="s">
        <v>1204</v>
      </c>
      <c r="F1189">
        <v>5594</v>
      </c>
      <c r="G1189" t="s">
        <v>2681</v>
      </c>
      <c r="H1189" t="s">
        <v>2460</v>
      </c>
      <c r="I1189">
        <v>0</v>
      </c>
      <c r="J1189" t="s">
        <v>2460</v>
      </c>
      <c r="K1189">
        <v>0</v>
      </c>
      <c r="L1189" t="s">
        <v>2460</v>
      </c>
      <c r="M1189">
        <v>0</v>
      </c>
      <c r="N1189" t="s">
        <v>2460</v>
      </c>
      <c r="O1189">
        <v>0</v>
      </c>
      <c r="P1189" t="s">
        <v>2460</v>
      </c>
      <c r="R1189" t="s">
        <v>2460</v>
      </c>
      <c r="S1189" t="s">
        <v>988</v>
      </c>
    </row>
    <row r="1190" spans="1:19" hidden="1" x14ac:dyDescent="0.3">
      <c r="A1190">
        <v>2766</v>
      </c>
      <c r="B1190" t="s">
        <v>2101</v>
      </c>
      <c r="C1190" t="s">
        <v>2877</v>
      </c>
      <c r="D1190" t="s">
        <v>1203</v>
      </c>
      <c r="E1190" t="s">
        <v>1204</v>
      </c>
      <c r="F1190">
        <v>5594</v>
      </c>
      <c r="G1190" t="s">
        <v>2679</v>
      </c>
      <c r="H1190" t="s">
        <v>2460</v>
      </c>
      <c r="I1190">
        <v>602</v>
      </c>
      <c r="J1190" t="s">
        <v>2460</v>
      </c>
      <c r="K1190">
        <v>677</v>
      </c>
      <c r="L1190" t="s">
        <v>2460</v>
      </c>
      <c r="M1190">
        <v>677</v>
      </c>
      <c r="N1190" t="s">
        <v>2460</v>
      </c>
      <c r="O1190">
        <v>677</v>
      </c>
      <c r="P1190" t="s">
        <v>2460</v>
      </c>
      <c r="R1190" t="s">
        <v>2460</v>
      </c>
      <c r="S1190" t="s">
        <v>988</v>
      </c>
    </row>
    <row r="1191" spans="1:19" hidden="1" x14ac:dyDescent="0.3">
      <c r="A1191">
        <v>2766</v>
      </c>
      <c r="B1191" t="s">
        <v>2101</v>
      </c>
      <c r="C1191" t="s">
        <v>2877</v>
      </c>
      <c r="D1191" t="s">
        <v>1203</v>
      </c>
      <c r="E1191" t="s">
        <v>1204</v>
      </c>
      <c r="F1191">
        <v>5594</v>
      </c>
      <c r="G1191" t="s">
        <v>687</v>
      </c>
      <c r="H1191" t="s">
        <v>3860</v>
      </c>
      <c r="I1191">
        <v>0</v>
      </c>
      <c r="J1191" t="s">
        <v>2460</v>
      </c>
      <c r="K1191">
        <v>0</v>
      </c>
      <c r="L1191" t="s">
        <v>2460</v>
      </c>
      <c r="M1191">
        <v>0</v>
      </c>
      <c r="N1191" t="s">
        <v>2460</v>
      </c>
      <c r="O1191">
        <v>0</v>
      </c>
      <c r="P1191" t="s">
        <v>2460</v>
      </c>
      <c r="R1191" t="s">
        <v>2460</v>
      </c>
      <c r="S1191" t="s">
        <v>988</v>
      </c>
    </row>
    <row r="1192" spans="1:19" hidden="1" x14ac:dyDescent="0.3">
      <c r="A1192">
        <v>2766</v>
      </c>
      <c r="B1192" t="s">
        <v>2101</v>
      </c>
      <c r="C1192" t="s">
        <v>2877</v>
      </c>
      <c r="D1192" t="s">
        <v>1203</v>
      </c>
      <c r="E1192" t="s">
        <v>1204</v>
      </c>
      <c r="F1192">
        <v>5594</v>
      </c>
      <c r="G1192" t="s">
        <v>2691</v>
      </c>
      <c r="H1192" t="s">
        <v>3861</v>
      </c>
      <c r="I1192">
        <v>20160</v>
      </c>
      <c r="J1192" t="s">
        <v>2460</v>
      </c>
      <c r="K1192">
        <v>20160</v>
      </c>
      <c r="L1192" t="s">
        <v>2460</v>
      </c>
      <c r="M1192">
        <v>20160</v>
      </c>
      <c r="N1192" t="s">
        <v>2460</v>
      </c>
      <c r="O1192">
        <v>24440</v>
      </c>
      <c r="P1192" t="s">
        <v>2460</v>
      </c>
      <c r="Q1192">
        <v>24440</v>
      </c>
      <c r="R1192" t="s">
        <v>2460</v>
      </c>
      <c r="S1192" t="s">
        <v>988</v>
      </c>
    </row>
    <row r="1193" spans="1:19" hidden="1" x14ac:dyDescent="0.3">
      <c r="A1193">
        <v>2782</v>
      </c>
      <c r="B1193" t="s">
        <v>2103</v>
      </c>
      <c r="C1193" t="s">
        <v>2877</v>
      </c>
      <c r="D1193" t="s">
        <v>1203</v>
      </c>
      <c r="E1193" t="s">
        <v>1204</v>
      </c>
      <c r="F1193">
        <v>5688</v>
      </c>
      <c r="G1193" t="s">
        <v>2683</v>
      </c>
      <c r="H1193" t="s">
        <v>2965</v>
      </c>
      <c r="I1193">
        <v>2870</v>
      </c>
      <c r="J1193" t="s">
        <v>2460</v>
      </c>
      <c r="K1193">
        <v>2910.2429619029899</v>
      </c>
      <c r="L1193" t="s">
        <v>2460</v>
      </c>
      <c r="M1193">
        <v>2912</v>
      </c>
      <c r="N1193" t="s">
        <v>2460</v>
      </c>
      <c r="O1193">
        <v>2910</v>
      </c>
      <c r="P1193" t="s">
        <v>2460</v>
      </c>
      <c r="Q1193">
        <v>2900</v>
      </c>
      <c r="R1193" t="s">
        <v>2460</v>
      </c>
      <c r="S1193" t="s">
        <v>988</v>
      </c>
    </row>
    <row r="1194" spans="1:19" hidden="1" x14ac:dyDescent="0.3">
      <c r="A1194">
        <v>2782</v>
      </c>
      <c r="B1194" t="s">
        <v>2103</v>
      </c>
      <c r="C1194" t="s">
        <v>2877</v>
      </c>
      <c r="D1194" t="s">
        <v>1203</v>
      </c>
      <c r="E1194" t="s">
        <v>1204</v>
      </c>
      <c r="F1194">
        <v>5688</v>
      </c>
      <c r="G1194" t="s">
        <v>2681</v>
      </c>
      <c r="H1194" t="s">
        <v>2893</v>
      </c>
      <c r="I1194">
        <v>16263</v>
      </c>
      <c r="J1194" t="s">
        <v>2460</v>
      </c>
      <c r="K1194">
        <v>16491.376784116899</v>
      </c>
      <c r="L1194" t="s">
        <v>2460</v>
      </c>
      <c r="M1194">
        <v>16502</v>
      </c>
      <c r="N1194" t="s">
        <v>2460</v>
      </c>
      <c r="O1194">
        <v>16490</v>
      </c>
      <c r="P1194" t="s">
        <v>2460</v>
      </c>
      <c r="Q1194">
        <v>16433</v>
      </c>
      <c r="R1194" t="s">
        <v>2460</v>
      </c>
      <c r="S1194" t="s">
        <v>988</v>
      </c>
    </row>
    <row r="1195" spans="1:19" hidden="1" x14ac:dyDescent="0.3">
      <c r="A1195">
        <v>2789</v>
      </c>
      <c r="B1195" t="s">
        <v>2106</v>
      </c>
      <c r="C1195" t="s">
        <v>2877</v>
      </c>
      <c r="D1195" t="s">
        <v>1203</v>
      </c>
      <c r="E1195" t="s">
        <v>1204</v>
      </c>
      <c r="F1195">
        <v>5726</v>
      </c>
      <c r="G1195" t="s">
        <v>2691</v>
      </c>
      <c r="H1195" t="s">
        <v>3862</v>
      </c>
      <c r="I1195">
        <v>285</v>
      </c>
      <c r="J1195" t="s">
        <v>3334</v>
      </c>
      <c r="K1195">
        <v>285</v>
      </c>
      <c r="L1195" t="s">
        <v>3334</v>
      </c>
      <c r="M1195">
        <v>285</v>
      </c>
      <c r="N1195" t="s">
        <v>3334</v>
      </c>
      <c r="O1195">
        <v>285</v>
      </c>
      <c r="P1195" t="s">
        <v>3334</v>
      </c>
      <c r="Q1195">
        <v>285</v>
      </c>
      <c r="R1195" t="s">
        <v>3334</v>
      </c>
      <c r="S1195" t="s">
        <v>988</v>
      </c>
    </row>
    <row r="1196" spans="1:19" hidden="1" x14ac:dyDescent="0.3">
      <c r="A1196">
        <v>2789</v>
      </c>
      <c r="B1196" t="s">
        <v>2106</v>
      </c>
      <c r="C1196" t="s">
        <v>2877</v>
      </c>
      <c r="D1196" t="s">
        <v>1203</v>
      </c>
      <c r="E1196" t="s">
        <v>1204</v>
      </c>
      <c r="F1196">
        <v>5726</v>
      </c>
      <c r="G1196" t="s">
        <v>2691</v>
      </c>
      <c r="H1196" t="s">
        <v>3863</v>
      </c>
      <c r="I1196">
        <v>6300</v>
      </c>
      <c r="J1196" t="s">
        <v>3864</v>
      </c>
      <c r="K1196">
        <v>6300</v>
      </c>
      <c r="L1196" t="s">
        <v>3864</v>
      </c>
      <c r="M1196">
        <v>6300</v>
      </c>
      <c r="N1196" t="s">
        <v>3864</v>
      </c>
      <c r="O1196">
        <v>6300</v>
      </c>
      <c r="P1196" t="s">
        <v>3864</v>
      </c>
      <c r="Q1196">
        <v>6300</v>
      </c>
      <c r="R1196" t="s">
        <v>3864</v>
      </c>
      <c r="S1196" t="s">
        <v>988</v>
      </c>
    </row>
    <row r="1197" spans="1:19" hidden="1" x14ac:dyDescent="0.3">
      <c r="A1197">
        <v>2789</v>
      </c>
      <c r="B1197" t="s">
        <v>2106</v>
      </c>
      <c r="C1197" t="s">
        <v>2877</v>
      </c>
      <c r="D1197" t="s">
        <v>1203</v>
      </c>
      <c r="E1197" t="s">
        <v>1204</v>
      </c>
      <c r="F1197">
        <v>5726</v>
      </c>
      <c r="G1197" t="s">
        <v>2691</v>
      </c>
      <c r="H1197" t="s">
        <v>3865</v>
      </c>
      <c r="I1197">
        <v>1214</v>
      </c>
      <c r="J1197" t="s">
        <v>3866</v>
      </c>
      <c r="K1197">
        <v>1214</v>
      </c>
      <c r="L1197" t="s">
        <v>3866</v>
      </c>
      <c r="M1197">
        <v>1214</v>
      </c>
      <c r="N1197" t="s">
        <v>3866</v>
      </c>
      <c r="O1197">
        <v>1214</v>
      </c>
      <c r="P1197" t="s">
        <v>3866</v>
      </c>
      <c r="Q1197">
        <v>1214</v>
      </c>
      <c r="R1197" t="s">
        <v>3866</v>
      </c>
      <c r="S1197" t="s">
        <v>988</v>
      </c>
    </row>
    <row r="1198" spans="1:19" hidden="1" x14ac:dyDescent="0.3">
      <c r="A1198">
        <v>2790</v>
      </c>
      <c r="B1198" t="s">
        <v>763</v>
      </c>
      <c r="C1198" t="s">
        <v>2877</v>
      </c>
      <c r="D1198" t="s">
        <v>1203</v>
      </c>
      <c r="E1198" t="s">
        <v>1204</v>
      </c>
      <c r="F1198">
        <v>5830</v>
      </c>
      <c r="G1198" t="s">
        <v>687</v>
      </c>
      <c r="H1198" t="s">
        <v>2460</v>
      </c>
      <c r="I1198">
        <v>28928</v>
      </c>
      <c r="J1198" t="s">
        <v>2460</v>
      </c>
      <c r="K1198">
        <v>28928</v>
      </c>
      <c r="L1198" t="s">
        <v>2460</v>
      </c>
      <c r="M1198">
        <v>28928</v>
      </c>
      <c r="N1198" t="s">
        <v>2460</v>
      </c>
      <c r="O1198">
        <v>28928</v>
      </c>
      <c r="P1198" t="s">
        <v>2460</v>
      </c>
      <c r="Q1198">
        <v>28928</v>
      </c>
      <c r="R1198" t="s">
        <v>2460</v>
      </c>
      <c r="S1198" t="s">
        <v>988</v>
      </c>
    </row>
    <row r="1199" spans="1:19" hidden="1" x14ac:dyDescent="0.3">
      <c r="A1199">
        <v>2790</v>
      </c>
      <c r="B1199" t="s">
        <v>763</v>
      </c>
      <c r="C1199" t="s">
        <v>2877</v>
      </c>
      <c r="D1199" t="s">
        <v>1203</v>
      </c>
      <c r="E1199" t="s">
        <v>1204</v>
      </c>
      <c r="F1199">
        <v>5830</v>
      </c>
      <c r="G1199" t="s">
        <v>2679</v>
      </c>
      <c r="H1199" t="s">
        <v>2460</v>
      </c>
      <c r="I1199">
        <v>650</v>
      </c>
      <c r="J1199" t="s">
        <v>2460</v>
      </c>
      <c r="K1199">
        <v>650</v>
      </c>
      <c r="L1199" t="s">
        <v>2460</v>
      </c>
      <c r="M1199">
        <v>650</v>
      </c>
      <c r="N1199" t="s">
        <v>2460</v>
      </c>
      <c r="O1199">
        <v>650</v>
      </c>
      <c r="P1199" t="s">
        <v>2460</v>
      </c>
      <c r="Q1199">
        <v>650</v>
      </c>
      <c r="R1199" t="s">
        <v>2460</v>
      </c>
      <c r="S1199" t="s">
        <v>988</v>
      </c>
    </row>
    <row r="1200" spans="1:19" hidden="1" x14ac:dyDescent="0.3">
      <c r="A1200">
        <v>2793</v>
      </c>
      <c r="B1200" t="s">
        <v>2107</v>
      </c>
      <c r="C1200" t="s">
        <v>2877</v>
      </c>
      <c r="D1200" t="s">
        <v>1203</v>
      </c>
      <c r="E1200" t="s">
        <v>1204</v>
      </c>
      <c r="F1200">
        <v>5881</v>
      </c>
      <c r="G1200" t="s">
        <v>2681</v>
      </c>
      <c r="H1200" t="s">
        <v>3867</v>
      </c>
      <c r="I1200">
        <v>29000</v>
      </c>
      <c r="J1200" t="s">
        <v>2460</v>
      </c>
      <c r="K1200">
        <v>34000</v>
      </c>
      <c r="L1200" t="s">
        <v>2460</v>
      </c>
      <c r="M1200">
        <v>39000</v>
      </c>
      <c r="N1200" t="s">
        <v>2460</v>
      </c>
      <c r="O1200">
        <v>44000</v>
      </c>
      <c r="P1200" t="s">
        <v>2460</v>
      </c>
      <c r="Q1200">
        <v>49000</v>
      </c>
      <c r="R1200" t="s">
        <v>2460</v>
      </c>
      <c r="S1200" t="s">
        <v>988</v>
      </c>
    </row>
    <row r="1201" spans="1:19" hidden="1" x14ac:dyDescent="0.3">
      <c r="A1201">
        <v>2793</v>
      </c>
      <c r="B1201" t="s">
        <v>2107</v>
      </c>
      <c r="C1201" t="s">
        <v>2877</v>
      </c>
      <c r="D1201" t="s">
        <v>1203</v>
      </c>
      <c r="E1201" t="s">
        <v>1204</v>
      </c>
      <c r="F1201">
        <v>5881</v>
      </c>
      <c r="G1201" t="s">
        <v>2681</v>
      </c>
      <c r="H1201" t="s">
        <v>3868</v>
      </c>
      <c r="I1201">
        <v>750</v>
      </c>
      <c r="J1201" t="s">
        <v>2460</v>
      </c>
      <c r="K1201">
        <v>750</v>
      </c>
      <c r="L1201" t="s">
        <v>2460</v>
      </c>
      <c r="M1201">
        <v>750</v>
      </c>
      <c r="N1201" t="s">
        <v>2460</v>
      </c>
      <c r="O1201">
        <v>750</v>
      </c>
      <c r="P1201" t="s">
        <v>2460</v>
      </c>
      <c r="Q1201">
        <v>750</v>
      </c>
      <c r="R1201" t="s">
        <v>2460</v>
      </c>
      <c r="S1201" t="s">
        <v>988</v>
      </c>
    </row>
    <row r="1202" spans="1:19" hidden="1" x14ac:dyDescent="0.3">
      <c r="A1202">
        <v>2793</v>
      </c>
      <c r="B1202" t="s">
        <v>2107</v>
      </c>
      <c r="C1202" t="s">
        <v>2877</v>
      </c>
      <c r="D1202" t="s">
        <v>1203</v>
      </c>
      <c r="E1202" t="s">
        <v>1204</v>
      </c>
      <c r="F1202">
        <v>5881</v>
      </c>
      <c r="G1202" t="s">
        <v>2681</v>
      </c>
      <c r="H1202" t="s">
        <v>3869</v>
      </c>
      <c r="I1202">
        <v>250</v>
      </c>
      <c r="J1202" t="s">
        <v>2460</v>
      </c>
      <c r="K1202">
        <v>250</v>
      </c>
      <c r="L1202" t="s">
        <v>2460</v>
      </c>
      <c r="M1202">
        <v>250</v>
      </c>
      <c r="N1202" t="s">
        <v>2460</v>
      </c>
      <c r="O1202">
        <v>250</v>
      </c>
      <c r="P1202" t="s">
        <v>2460</v>
      </c>
      <c r="Q1202">
        <v>250</v>
      </c>
      <c r="R1202" t="s">
        <v>2460</v>
      </c>
      <c r="S1202" t="s">
        <v>988</v>
      </c>
    </row>
    <row r="1203" spans="1:19" hidden="1" x14ac:dyDescent="0.3">
      <c r="A1203">
        <v>2793</v>
      </c>
      <c r="B1203" t="s">
        <v>2107</v>
      </c>
      <c r="C1203" t="s">
        <v>2877</v>
      </c>
      <c r="D1203" t="s">
        <v>1203</v>
      </c>
      <c r="E1203" t="s">
        <v>1204</v>
      </c>
      <c r="F1203">
        <v>5881</v>
      </c>
      <c r="G1203" t="s">
        <v>2681</v>
      </c>
      <c r="H1203" t="s">
        <v>3870</v>
      </c>
      <c r="I1203">
        <v>15000</v>
      </c>
      <c r="J1203" t="s">
        <v>2460</v>
      </c>
      <c r="K1203">
        <v>15000</v>
      </c>
      <c r="L1203" t="s">
        <v>2460</v>
      </c>
      <c r="M1203">
        <v>15000</v>
      </c>
      <c r="N1203" t="s">
        <v>2460</v>
      </c>
      <c r="O1203">
        <v>15000</v>
      </c>
      <c r="P1203" t="s">
        <v>2460</v>
      </c>
      <c r="Q1203">
        <v>15000</v>
      </c>
      <c r="R1203" t="s">
        <v>2460</v>
      </c>
      <c r="S1203" t="s">
        <v>988</v>
      </c>
    </row>
    <row r="1204" spans="1:19" hidden="1" x14ac:dyDescent="0.3">
      <c r="A1204">
        <v>2793</v>
      </c>
      <c r="B1204" t="s">
        <v>2107</v>
      </c>
      <c r="C1204" t="s">
        <v>2877</v>
      </c>
      <c r="D1204" t="s">
        <v>1203</v>
      </c>
      <c r="E1204" t="s">
        <v>1204</v>
      </c>
      <c r="F1204">
        <v>5881</v>
      </c>
      <c r="G1204" t="s">
        <v>2691</v>
      </c>
      <c r="H1204" t="s">
        <v>3871</v>
      </c>
      <c r="I1204">
        <v>250</v>
      </c>
      <c r="J1204" t="s">
        <v>2460</v>
      </c>
      <c r="K1204">
        <v>250</v>
      </c>
      <c r="L1204" t="s">
        <v>2460</v>
      </c>
      <c r="M1204">
        <v>250</v>
      </c>
      <c r="N1204" t="s">
        <v>2460</v>
      </c>
      <c r="O1204">
        <v>250</v>
      </c>
      <c r="P1204" t="s">
        <v>2460</v>
      </c>
      <c r="Q1204">
        <v>250</v>
      </c>
      <c r="R1204" t="s">
        <v>2460</v>
      </c>
      <c r="S1204" t="s">
        <v>988</v>
      </c>
    </row>
    <row r="1205" spans="1:19" hidden="1" x14ac:dyDescent="0.3">
      <c r="A1205">
        <v>2793</v>
      </c>
      <c r="B1205" t="s">
        <v>2107</v>
      </c>
      <c r="C1205" t="s">
        <v>2877</v>
      </c>
      <c r="D1205" t="s">
        <v>1203</v>
      </c>
      <c r="E1205" t="s">
        <v>1204</v>
      </c>
      <c r="F1205">
        <v>5881</v>
      </c>
      <c r="G1205" t="s">
        <v>2679</v>
      </c>
      <c r="H1205" t="s">
        <v>3872</v>
      </c>
      <c r="I1205">
        <v>2250</v>
      </c>
      <c r="J1205" t="s">
        <v>2460</v>
      </c>
      <c r="K1205">
        <v>2500</v>
      </c>
      <c r="L1205" t="s">
        <v>2460</v>
      </c>
      <c r="M1205">
        <v>3000</v>
      </c>
      <c r="N1205" t="s">
        <v>2460</v>
      </c>
      <c r="O1205">
        <v>3250</v>
      </c>
      <c r="P1205" t="s">
        <v>2460</v>
      </c>
      <c r="Q1205">
        <v>3500</v>
      </c>
      <c r="R1205" t="s">
        <v>2460</v>
      </c>
      <c r="S1205" t="s">
        <v>988</v>
      </c>
    </row>
    <row r="1206" spans="1:19" hidden="1" x14ac:dyDescent="0.3">
      <c r="A1206">
        <v>2793</v>
      </c>
      <c r="B1206" t="s">
        <v>2107</v>
      </c>
      <c r="C1206" t="s">
        <v>2877</v>
      </c>
      <c r="D1206" t="s">
        <v>1203</v>
      </c>
      <c r="E1206" t="s">
        <v>1204</v>
      </c>
      <c r="F1206">
        <v>5881</v>
      </c>
      <c r="G1206" t="s">
        <v>2683</v>
      </c>
      <c r="H1206" t="s">
        <v>3873</v>
      </c>
      <c r="I1206">
        <v>6750</v>
      </c>
      <c r="J1206" t="s">
        <v>2460</v>
      </c>
      <c r="K1206">
        <v>7500</v>
      </c>
      <c r="L1206" t="s">
        <v>2460</v>
      </c>
      <c r="M1206">
        <v>9000</v>
      </c>
      <c r="N1206" t="s">
        <v>2460</v>
      </c>
      <c r="O1206">
        <v>9750</v>
      </c>
      <c r="P1206" t="s">
        <v>2460</v>
      </c>
      <c r="Q1206">
        <v>10500</v>
      </c>
      <c r="R1206" t="s">
        <v>2460</v>
      </c>
      <c r="S1206" t="s">
        <v>988</v>
      </c>
    </row>
    <row r="1207" spans="1:19" hidden="1" x14ac:dyDescent="0.3">
      <c r="A1207">
        <v>2793</v>
      </c>
      <c r="B1207" t="s">
        <v>2107</v>
      </c>
      <c r="C1207" t="s">
        <v>2877</v>
      </c>
      <c r="D1207" t="s">
        <v>1203</v>
      </c>
      <c r="E1207" t="s">
        <v>1204</v>
      </c>
      <c r="F1207">
        <v>5881</v>
      </c>
      <c r="G1207" t="s">
        <v>2683</v>
      </c>
      <c r="H1207" t="s">
        <v>3874</v>
      </c>
      <c r="I1207">
        <v>450</v>
      </c>
      <c r="J1207" t="s">
        <v>2460</v>
      </c>
      <c r="K1207">
        <v>450</v>
      </c>
      <c r="L1207" t="s">
        <v>2460</v>
      </c>
      <c r="M1207">
        <v>500</v>
      </c>
      <c r="N1207" t="s">
        <v>2460</v>
      </c>
      <c r="O1207">
        <v>500</v>
      </c>
      <c r="P1207" t="s">
        <v>2460</v>
      </c>
      <c r="Q1207">
        <v>600</v>
      </c>
      <c r="R1207" t="s">
        <v>2460</v>
      </c>
      <c r="S1207" t="s">
        <v>988</v>
      </c>
    </row>
    <row r="1208" spans="1:19" hidden="1" x14ac:dyDescent="0.3">
      <c r="A1208">
        <v>2793</v>
      </c>
      <c r="B1208" t="s">
        <v>2107</v>
      </c>
      <c r="C1208" t="s">
        <v>2877</v>
      </c>
      <c r="D1208" t="s">
        <v>1203</v>
      </c>
      <c r="E1208" t="s">
        <v>1204</v>
      </c>
      <c r="F1208">
        <v>5881</v>
      </c>
      <c r="G1208" t="s">
        <v>687</v>
      </c>
      <c r="H1208" t="s">
        <v>3875</v>
      </c>
      <c r="I1208">
        <v>4480</v>
      </c>
      <c r="J1208" t="s">
        <v>2460</v>
      </c>
      <c r="K1208">
        <v>4700</v>
      </c>
      <c r="L1208" t="s">
        <v>2460</v>
      </c>
      <c r="M1208">
        <v>4950</v>
      </c>
      <c r="N1208" t="s">
        <v>2460</v>
      </c>
      <c r="O1208">
        <v>5200</v>
      </c>
      <c r="P1208" t="s">
        <v>2460</v>
      </c>
      <c r="Q1208">
        <v>5450</v>
      </c>
      <c r="R1208" t="s">
        <v>2460</v>
      </c>
      <c r="S1208" t="s">
        <v>988</v>
      </c>
    </row>
  </sheetData>
  <autoFilter ref="A1:S1208" xr:uid="{75397C04-92F3-4AF0-A8EB-3C76C57555AB}">
    <filterColumn colId="6">
      <filters>
        <filter val="Stormwater Use"/>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6A0C3-9B1B-420F-859C-0BE714DAEAFF}">
  <sheetPr codeName="Sheet49">
    <tabColor rgb="FF7030A0"/>
  </sheetPr>
  <dimension ref="A1:S117"/>
  <sheetViews>
    <sheetView workbookViewId="0"/>
  </sheetViews>
  <sheetFormatPr defaultRowHeight="14.4" x14ac:dyDescent="0.3"/>
  <cols>
    <col min="7" max="7" width="32.109375" bestFit="1" customWidth="1"/>
    <col min="8" max="8" width="100.88671875" bestFit="1" customWidth="1"/>
  </cols>
  <sheetData>
    <row r="1" spans="1:19" x14ac:dyDescent="0.3">
      <c r="A1" t="s">
        <v>1191</v>
      </c>
      <c r="B1" t="s">
        <v>1192</v>
      </c>
      <c r="C1" t="s">
        <v>1193</v>
      </c>
      <c r="D1" t="s">
        <v>1194</v>
      </c>
      <c r="E1" t="s">
        <v>1195</v>
      </c>
      <c r="F1" t="s">
        <v>1196</v>
      </c>
      <c r="G1" t="s">
        <v>2865</v>
      </c>
      <c r="H1" t="s">
        <v>2866</v>
      </c>
      <c r="I1" t="s">
        <v>2867</v>
      </c>
      <c r="J1" t="s">
        <v>2868</v>
      </c>
      <c r="K1" t="s">
        <v>2869</v>
      </c>
      <c r="L1" t="s">
        <v>2870</v>
      </c>
      <c r="M1" t="s">
        <v>2871</v>
      </c>
      <c r="N1" t="s">
        <v>2872</v>
      </c>
      <c r="O1" t="s">
        <v>2873</v>
      </c>
      <c r="P1" t="s">
        <v>2874</v>
      </c>
      <c r="Q1" t="s">
        <v>2875</v>
      </c>
      <c r="R1" t="s">
        <v>2876</v>
      </c>
      <c r="S1" t="s">
        <v>2255</v>
      </c>
    </row>
    <row r="2" spans="1:19" x14ac:dyDescent="0.3">
      <c r="A2">
        <v>22</v>
      </c>
      <c r="B2" t="s">
        <v>916</v>
      </c>
      <c r="C2" t="s">
        <v>3876</v>
      </c>
      <c r="D2" t="s">
        <v>159</v>
      </c>
      <c r="E2" t="s">
        <v>159</v>
      </c>
      <c r="F2">
        <v>7263</v>
      </c>
      <c r="G2" t="s">
        <v>2683</v>
      </c>
      <c r="H2" t="s">
        <v>3877</v>
      </c>
      <c r="I2">
        <v>0</v>
      </c>
      <c r="J2" t="s">
        <v>2460</v>
      </c>
      <c r="K2">
        <v>10000</v>
      </c>
      <c r="L2" t="s">
        <v>2460</v>
      </c>
      <c r="M2">
        <v>10000</v>
      </c>
      <c r="N2" t="s">
        <v>2460</v>
      </c>
      <c r="O2">
        <v>10000</v>
      </c>
      <c r="P2" t="s">
        <v>2460</v>
      </c>
      <c r="Q2">
        <v>10000</v>
      </c>
      <c r="R2" t="s">
        <v>2460</v>
      </c>
      <c r="S2" t="s">
        <v>988</v>
      </c>
    </row>
    <row r="3" spans="1:19" x14ac:dyDescent="0.3">
      <c r="A3">
        <v>22</v>
      </c>
      <c r="B3" t="s">
        <v>916</v>
      </c>
      <c r="C3" t="s">
        <v>3876</v>
      </c>
      <c r="D3" t="s">
        <v>159</v>
      </c>
      <c r="E3" t="s">
        <v>159</v>
      </c>
      <c r="F3">
        <v>7263</v>
      </c>
      <c r="G3" t="s">
        <v>687</v>
      </c>
      <c r="H3" t="s">
        <v>3878</v>
      </c>
      <c r="I3">
        <v>0</v>
      </c>
      <c r="J3" t="s">
        <v>2460</v>
      </c>
      <c r="K3">
        <v>5000</v>
      </c>
      <c r="L3" t="s">
        <v>2460</v>
      </c>
      <c r="M3">
        <v>5000</v>
      </c>
      <c r="N3" t="s">
        <v>2460</v>
      </c>
      <c r="O3">
        <v>5000</v>
      </c>
      <c r="P3" t="s">
        <v>2460</v>
      </c>
      <c r="Q3">
        <v>5000</v>
      </c>
      <c r="R3" t="s">
        <v>2460</v>
      </c>
      <c r="S3" t="s">
        <v>988</v>
      </c>
    </row>
    <row r="4" spans="1:19" x14ac:dyDescent="0.3">
      <c r="A4">
        <v>22</v>
      </c>
      <c r="B4" t="s">
        <v>916</v>
      </c>
      <c r="C4" t="s">
        <v>3876</v>
      </c>
      <c r="D4" t="s">
        <v>159</v>
      </c>
      <c r="E4" t="s">
        <v>159</v>
      </c>
      <c r="F4">
        <v>7263</v>
      </c>
      <c r="G4" t="s">
        <v>687</v>
      </c>
      <c r="H4" t="s">
        <v>3879</v>
      </c>
      <c r="I4">
        <v>5000</v>
      </c>
      <c r="J4" t="s">
        <v>2460</v>
      </c>
      <c r="K4">
        <v>5000</v>
      </c>
      <c r="L4" t="s">
        <v>2460</v>
      </c>
      <c r="M4">
        <v>0</v>
      </c>
      <c r="N4" t="s">
        <v>2460</v>
      </c>
      <c r="O4">
        <v>0</v>
      </c>
      <c r="P4" t="s">
        <v>2460</v>
      </c>
      <c r="Q4">
        <v>0</v>
      </c>
      <c r="R4" t="s">
        <v>2460</v>
      </c>
      <c r="S4" t="s">
        <v>988</v>
      </c>
    </row>
    <row r="5" spans="1:19" x14ac:dyDescent="0.3">
      <c r="A5">
        <v>22</v>
      </c>
      <c r="B5" t="s">
        <v>916</v>
      </c>
      <c r="C5" t="s">
        <v>3876</v>
      </c>
      <c r="D5" t="s">
        <v>159</v>
      </c>
      <c r="E5" t="s">
        <v>159</v>
      </c>
      <c r="F5">
        <v>7263</v>
      </c>
      <c r="G5" t="s">
        <v>2685</v>
      </c>
      <c r="H5" t="s">
        <v>3880</v>
      </c>
      <c r="I5">
        <v>0</v>
      </c>
      <c r="J5" t="s">
        <v>2460</v>
      </c>
      <c r="K5">
        <v>0</v>
      </c>
      <c r="L5" t="s">
        <v>2460</v>
      </c>
      <c r="M5">
        <v>0</v>
      </c>
      <c r="N5" t="s">
        <v>2460</v>
      </c>
      <c r="O5">
        <v>0</v>
      </c>
      <c r="P5" t="s">
        <v>2460</v>
      </c>
      <c r="Q5">
        <v>0</v>
      </c>
      <c r="R5" t="s">
        <v>2460</v>
      </c>
      <c r="S5" t="s">
        <v>988</v>
      </c>
    </row>
    <row r="6" spans="1:19" x14ac:dyDescent="0.3">
      <c r="A6">
        <v>22</v>
      </c>
      <c r="B6" t="s">
        <v>916</v>
      </c>
      <c r="C6" t="s">
        <v>3876</v>
      </c>
      <c r="D6" t="s">
        <v>159</v>
      </c>
      <c r="E6" t="s">
        <v>159</v>
      </c>
      <c r="F6">
        <v>7263</v>
      </c>
      <c r="G6" t="s">
        <v>2685</v>
      </c>
      <c r="H6" t="s">
        <v>3881</v>
      </c>
      <c r="I6">
        <v>0</v>
      </c>
      <c r="J6" t="s">
        <v>2460</v>
      </c>
      <c r="K6">
        <v>0</v>
      </c>
      <c r="L6" t="s">
        <v>2460</v>
      </c>
      <c r="M6">
        <v>0</v>
      </c>
      <c r="N6" t="s">
        <v>2460</v>
      </c>
      <c r="O6">
        <v>0</v>
      </c>
      <c r="P6" t="s">
        <v>2460</v>
      </c>
      <c r="Q6">
        <v>0</v>
      </c>
      <c r="R6" t="s">
        <v>2460</v>
      </c>
      <c r="S6" t="s">
        <v>988</v>
      </c>
    </row>
    <row r="7" spans="1:19" x14ac:dyDescent="0.3">
      <c r="A7">
        <v>22</v>
      </c>
      <c r="B7" t="s">
        <v>916</v>
      </c>
      <c r="C7" t="s">
        <v>3876</v>
      </c>
      <c r="D7" t="s">
        <v>159</v>
      </c>
      <c r="E7" t="s">
        <v>159</v>
      </c>
      <c r="F7">
        <v>7263</v>
      </c>
      <c r="G7" t="s">
        <v>2681</v>
      </c>
      <c r="H7" t="s">
        <v>2888</v>
      </c>
      <c r="I7">
        <v>9200</v>
      </c>
      <c r="J7" t="s">
        <v>2460</v>
      </c>
      <c r="K7">
        <v>9200</v>
      </c>
      <c r="L7" t="s">
        <v>2460</v>
      </c>
      <c r="M7">
        <v>9200</v>
      </c>
      <c r="N7" t="s">
        <v>2460</v>
      </c>
      <c r="O7">
        <v>9200</v>
      </c>
      <c r="P7" t="s">
        <v>2460</v>
      </c>
      <c r="Q7">
        <v>9200</v>
      </c>
      <c r="R7" t="s">
        <v>2460</v>
      </c>
      <c r="S7" t="s">
        <v>988</v>
      </c>
    </row>
    <row r="8" spans="1:19" x14ac:dyDescent="0.3">
      <c r="A8">
        <v>22</v>
      </c>
      <c r="B8" t="s">
        <v>916</v>
      </c>
      <c r="C8" t="s">
        <v>3876</v>
      </c>
      <c r="D8" t="s">
        <v>159</v>
      </c>
      <c r="E8" t="s">
        <v>159</v>
      </c>
      <c r="F8">
        <v>7263</v>
      </c>
      <c r="G8" t="s">
        <v>2691</v>
      </c>
      <c r="H8" t="s">
        <v>3882</v>
      </c>
      <c r="I8">
        <v>5500</v>
      </c>
      <c r="J8" t="s">
        <v>2460</v>
      </c>
      <c r="K8">
        <v>5500</v>
      </c>
      <c r="L8" t="s">
        <v>2460</v>
      </c>
      <c r="M8">
        <v>5500</v>
      </c>
      <c r="N8" t="s">
        <v>2460</v>
      </c>
      <c r="O8">
        <v>5500</v>
      </c>
      <c r="P8" t="s">
        <v>2460</v>
      </c>
      <c r="Q8">
        <v>5500</v>
      </c>
      <c r="R8" t="s">
        <v>2460</v>
      </c>
      <c r="S8" t="s">
        <v>988</v>
      </c>
    </row>
    <row r="9" spans="1:19" x14ac:dyDescent="0.3">
      <c r="A9">
        <v>22</v>
      </c>
      <c r="B9" t="s">
        <v>916</v>
      </c>
      <c r="C9" t="s">
        <v>3876</v>
      </c>
      <c r="D9" t="s">
        <v>159</v>
      </c>
      <c r="E9" t="s">
        <v>159</v>
      </c>
      <c r="F9">
        <v>7263</v>
      </c>
      <c r="G9" t="s">
        <v>2683</v>
      </c>
      <c r="H9" t="s">
        <v>3883</v>
      </c>
      <c r="I9">
        <v>47000</v>
      </c>
      <c r="J9" t="s">
        <v>2460</v>
      </c>
      <c r="K9">
        <v>46000</v>
      </c>
      <c r="L9" t="s">
        <v>2460</v>
      </c>
      <c r="M9">
        <v>45000</v>
      </c>
      <c r="N9" t="s">
        <v>2460</v>
      </c>
      <c r="O9">
        <v>43500</v>
      </c>
      <c r="P9" t="s">
        <v>2460</v>
      </c>
      <c r="Q9">
        <v>43500</v>
      </c>
      <c r="R9" t="s">
        <v>2460</v>
      </c>
      <c r="S9" t="s">
        <v>988</v>
      </c>
    </row>
    <row r="10" spans="1:19" x14ac:dyDescent="0.3">
      <c r="A10">
        <v>22</v>
      </c>
      <c r="B10" t="s">
        <v>916</v>
      </c>
      <c r="C10" t="s">
        <v>3876</v>
      </c>
      <c r="D10" t="s">
        <v>159</v>
      </c>
      <c r="E10" t="s">
        <v>159</v>
      </c>
      <c r="F10">
        <v>7263</v>
      </c>
      <c r="G10" t="s">
        <v>2683</v>
      </c>
      <c r="H10" t="s">
        <v>3884</v>
      </c>
      <c r="I10">
        <v>0</v>
      </c>
      <c r="J10" t="s">
        <v>2460</v>
      </c>
      <c r="K10">
        <v>0</v>
      </c>
      <c r="L10" t="s">
        <v>2460</v>
      </c>
      <c r="M10">
        <v>0</v>
      </c>
      <c r="N10" t="s">
        <v>2460</v>
      </c>
      <c r="O10">
        <v>0</v>
      </c>
      <c r="P10" t="s">
        <v>2460</v>
      </c>
      <c r="Q10">
        <v>0</v>
      </c>
      <c r="R10" t="s">
        <v>2460</v>
      </c>
      <c r="S10" t="s">
        <v>988</v>
      </c>
    </row>
    <row r="11" spans="1:19" x14ac:dyDescent="0.3">
      <c r="A11">
        <v>22</v>
      </c>
      <c r="B11" t="s">
        <v>916</v>
      </c>
      <c r="C11" t="s">
        <v>3876</v>
      </c>
      <c r="D11" t="s">
        <v>159</v>
      </c>
      <c r="E11" t="s">
        <v>159</v>
      </c>
      <c r="F11">
        <v>7263</v>
      </c>
      <c r="G11" t="s">
        <v>2685</v>
      </c>
      <c r="H11" t="s">
        <v>3885</v>
      </c>
      <c r="I11">
        <v>10000</v>
      </c>
      <c r="J11" t="s">
        <v>2460</v>
      </c>
      <c r="K11">
        <v>10000</v>
      </c>
      <c r="L11" t="s">
        <v>2460</v>
      </c>
      <c r="M11">
        <v>10000</v>
      </c>
      <c r="N11" t="s">
        <v>2460</v>
      </c>
      <c r="O11">
        <v>10000</v>
      </c>
      <c r="P11" t="s">
        <v>2460</v>
      </c>
      <c r="Q11">
        <v>10000</v>
      </c>
      <c r="R11" t="s">
        <v>2460</v>
      </c>
      <c r="S11" t="s">
        <v>988</v>
      </c>
    </row>
    <row r="12" spans="1:19" x14ac:dyDescent="0.3">
      <c r="A12">
        <v>79</v>
      </c>
      <c r="B12" t="s">
        <v>941</v>
      </c>
      <c r="C12" t="s">
        <v>3876</v>
      </c>
      <c r="D12" t="s">
        <v>1203</v>
      </c>
      <c r="E12" t="s">
        <v>1204</v>
      </c>
      <c r="F12">
        <v>5721</v>
      </c>
      <c r="G12" t="s">
        <v>2681</v>
      </c>
      <c r="H12" t="s">
        <v>3886</v>
      </c>
      <c r="I12">
        <v>3550</v>
      </c>
      <c r="J12" t="s">
        <v>2460</v>
      </c>
      <c r="K12">
        <v>3550</v>
      </c>
      <c r="L12" t="s">
        <v>2460</v>
      </c>
      <c r="M12">
        <v>3550</v>
      </c>
      <c r="N12" t="s">
        <v>2460</v>
      </c>
      <c r="O12">
        <v>3550</v>
      </c>
      <c r="P12" t="s">
        <v>2460</v>
      </c>
      <c r="Q12">
        <v>3550</v>
      </c>
      <c r="R12" t="s">
        <v>2460</v>
      </c>
      <c r="S12" t="s">
        <v>988</v>
      </c>
    </row>
    <row r="13" spans="1:19" x14ac:dyDescent="0.3">
      <c r="A13">
        <v>79</v>
      </c>
      <c r="B13" t="s">
        <v>941</v>
      </c>
      <c r="C13" t="s">
        <v>3876</v>
      </c>
      <c r="D13" t="s">
        <v>1203</v>
      </c>
      <c r="E13" t="s">
        <v>1204</v>
      </c>
      <c r="F13">
        <v>5721</v>
      </c>
      <c r="G13" t="s">
        <v>2681</v>
      </c>
      <c r="H13" t="s">
        <v>3887</v>
      </c>
      <c r="I13">
        <v>800</v>
      </c>
      <c r="J13" t="s">
        <v>2460</v>
      </c>
      <c r="K13">
        <v>800</v>
      </c>
      <c r="L13" t="s">
        <v>2460</v>
      </c>
      <c r="M13">
        <v>800</v>
      </c>
      <c r="N13" t="s">
        <v>2460</v>
      </c>
      <c r="O13">
        <v>800</v>
      </c>
      <c r="P13" t="s">
        <v>2460</v>
      </c>
      <c r="Q13">
        <v>800</v>
      </c>
      <c r="R13" t="s">
        <v>2460</v>
      </c>
      <c r="S13" t="s">
        <v>988</v>
      </c>
    </row>
    <row r="14" spans="1:19" x14ac:dyDescent="0.3">
      <c r="A14">
        <v>79</v>
      </c>
      <c r="B14" t="s">
        <v>941</v>
      </c>
      <c r="C14" t="s">
        <v>3876</v>
      </c>
      <c r="D14" t="s">
        <v>1203</v>
      </c>
      <c r="E14" t="s">
        <v>1204</v>
      </c>
      <c r="F14">
        <v>5721</v>
      </c>
      <c r="G14" t="s">
        <v>2683</v>
      </c>
      <c r="H14" t="s">
        <v>3888</v>
      </c>
      <c r="I14">
        <v>1700</v>
      </c>
      <c r="J14" t="s">
        <v>2460</v>
      </c>
      <c r="K14">
        <v>1700</v>
      </c>
      <c r="L14" t="s">
        <v>2460</v>
      </c>
      <c r="M14">
        <v>1700</v>
      </c>
      <c r="N14" t="s">
        <v>2460</v>
      </c>
      <c r="O14">
        <v>1700</v>
      </c>
      <c r="P14" t="s">
        <v>2460</v>
      </c>
      <c r="Q14">
        <v>1700</v>
      </c>
      <c r="R14" t="s">
        <v>2460</v>
      </c>
      <c r="S14" t="s">
        <v>988</v>
      </c>
    </row>
    <row r="15" spans="1:19" x14ac:dyDescent="0.3">
      <c r="A15">
        <v>79</v>
      </c>
      <c r="B15" t="s">
        <v>941</v>
      </c>
      <c r="C15" t="s">
        <v>3876</v>
      </c>
      <c r="D15" t="s">
        <v>1203</v>
      </c>
      <c r="E15" t="s">
        <v>1204</v>
      </c>
      <c r="F15">
        <v>5721</v>
      </c>
      <c r="G15" t="s">
        <v>2683</v>
      </c>
      <c r="H15" t="s">
        <v>3889</v>
      </c>
      <c r="I15">
        <v>81840</v>
      </c>
      <c r="J15" t="s">
        <v>2460</v>
      </c>
      <c r="K15">
        <v>79660</v>
      </c>
      <c r="L15" t="s">
        <v>2460</v>
      </c>
      <c r="M15">
        <v>77490</v>
      </c>
      <c r="N15" t="s">
        <v>2460</v>
      </c>
      <c r="O15">
        <v>75320</v>
      </c>
      <c r="P15" t="s">
        <v>2460</v>
      </c>
      <c r="Q15">
        <v>75320</v>
      </c>
      <c r="R15" t="s">
        <v>2460</v>
      </c>
      <c r="S15" t="s">
        <v>988</v>
      </c>
    </row>
    <row r="16" spans="1:19" x14ac:dyDescent="0.3">
      <c r="A16">
        <v>123</v>
      </c>
      <c r="B16" t="s">
        <v>1242</v>
      </c>
      <c r="C16" t="s">
        <v>3876</v>
      </c>
      <c r="D16" t="s">
        <v>1203</v>
      </c>
      <c r="E16" t="s">
        <v>1204</v>
      </c>
      <c r="F16">
        <v>5757</v>
      </c>
      <c r="G16" t="s">
        <v>2691</v>
      </c>
      <c r="H16" t="s">
        <v>3890</v>
      </c>
      <c r="I16">
        <v>100000</v>
      </c>
      <c r="J16" t="s">
        <v>2460</v>
      </c>
      <c r="K16">
        <v>100000</v>
      </c>
      <c r="L16" t="s">
        <v>2460</v>
      </c>
      <c r="M16">
        <v>100000</v>
      </c>
      <c r="N16" t="s">
        <v>2460</v>
      </c>
      <c r="O16">
        <v>100000</v>
      </c>
      <c r="P16" t="s">
        <v>2460</v>
      </c>
      <c r="R16" t="s">
        <v>2460</v>
      </c>
      <c r="S16" t="s">
        <v>988</v>
      </c>
    </row>
    <row r="17" spans="1:19" x14ac:dyDescent="0.3">
      <c r="A17">
        <v>433</v>
      </c>
      <c r="B17" t="s">
        <v>2124</v>
      </c>
      <c r="C17" t="s">
        <v>3876</v>
      </c>
      <c r="D17" t="s">
        <v>1203</v>
      </c>
      <c r="E17" t="s">
        <v>1204</v>
      </c>
      <c r="F17">
        <v>5488</v>
      </c>
      <c r="G17" t="s">
        <v>2685</v>
      </c>
      <c r="H17" t="s">
        <v>3891</v>
      </c>
      <c r="I17">
        <v>27500</v>
      </c>
      <c r="J17" t="s">
        <v>2460</v>
      </c>
      <c r="K17">
        <v>27500</v>
      </c>
      <c r="L17" t="s">
        <v>2460</v>
      </c>
      <c r="M17">
        <v>27500</v>
      </c>
      <c r="N17" t="s">
        <v>2460</v>
      </c>
      <c r="O17">
        <v>27500</v>
      </c>
      <c r="P17" t="s">
        <v>2460</v>
      </c>
      <c r="Q17">
        <v>27500</v>
      </c>
      <c r="R17" t="s">
        <v>2460</v>
      </c>
      <c r="S17" t="s">
        <v>988</v>
      </c>
    </row>
    <row r="18" spans="1:19" x14ac:dyDescent="0.3">
      <c r="A18">
        <v>433</v>
      </c>
      <c r="B18" t="s">
        <v>2124</v>
      </c>
      <c r="C18" t="s">
        <v>3876</v>
      </c>
      <c r="D18" t="s">
        <v>1203</v>
      </c>
      <c r="E18" t="s">
        <v>1204</v>
      </c>
      <c r="F18">
        <v>5488</v>
      </c>
      <c r="G18" t="s">
        <v>2683</v>
      </c>
      <c r="H18" t="s">
        <v>3892</v>
      </c>
      <c r="I18">
        <v>86607</v>
      </c>
      <c r="J18" t="s">
        <v>2460</v>
      </c>
      <c r="K18">
        <v>87720</v>
      </c>
      <c r="L18" t="s">
        <v>2460</v>
      </c>
      <c r="M18">
        <v>89880</v>
      </c>
      <c r="N18" t="s">
        <v>2460</v>
      </c>
      <c r="O18">
        <v>91326</v>
      </c>
      <c r="P18" t="s">
        <v>2460</v>
      </c>
      <c r="Q18">
        <v>91784</v>
      </c>
      <c r="R18" t="s">
        <v>2460</v>
      </c>
      <c r="S18" t="s">
        <v>988</v>
      </c>
    </row>
    <row r="19" spans="1:19" x14ac:dyDescent="0.3">
      <c r="A19">
        <v>433</v>
      </c>
      <c r="B19" t="s">
        <v>2124</v>
      </c>
      <c r="C19" t="s">
        <v>3876</v>
      </c>
      <c r="D19" t="s">
        <v>1203</v>
      </c>
      <c r="E19" t="s">
        <v>1204</v>
      </c>
      <c r="F19">
        <v>5488</v>
      </c>
      <c r="G19" t="s">
        <v>2679</v>
      </c>
      <c r="H19" t="s">
        <v>3893</v>
      </c>
      <c r="I19">
        <v>80</v>
      </c>
      <c r="J19" t="s">
        <v>2460</v>
      </c>
      <c r="K19">
        <v>80</v>
      </c>
      <c r="L19" t="s">
        <v>2460</v>
      </c>
      <c r="M19">
        <v>80</v>
      </c>
      <c r="N19" t="s">
        <v>2460</v>
      </c>
      <c r="O19">
        <v>80</v>
      </c>
      <c r="P19" t="s">
        <v>2460</v>
      </c>
      <c r="Q19">
        <v>80</v>
      </c>
      <c r="R19" t="s">
        <v>2460</v>
      </c>
      <c r="S19" t="s">
        <v>988</v>
      </c>
    </row>
    <row r="20" spans="1:19" x14ac:dyDescent="0.3">
      <c r="A20">
        <v>495</v>
      </c>
      <c r="B20" t="s">
        <v>1382</v>
      </c>
      <c r="C20" t="s">
        <v>3876</v>
      </c>
      <c r="D20" t="s">
        <v>1203</v>
      </c>
      <c r="E20" t="s">
        <v>1204</v>
      </c>
      <c r="F20">
        <v>5743</v>
      </c>
      <c r="G20" t="s">
        <v>2681</v>
      </c>
      <c r="H20" t="s">
        <v>3130</v>
      </c>
      <c r="I20">
        <v>43</v>
      </c>
      <c r="J20" t="s">
        <v>2460</v>
      </c>
      <c r="K20">
        <v>43</v>
      </c>
      <c r="L20" t="s">
        <v>2460</v>
      </c>
      <c r="M20">
        <v>43</v>
      </c>
      <c r="N20" t="s">
        <v>2460</v>
      </c>
      <c r="O20">
        <v>43</v>
      </c>
      <c r="P20" t="s">
        <v>2460</v>
      </c>
      <c r="R20" t="s">
        <v>2460</v>
      </c>
      <c r="S20" t="s">
        <v>988</v>
      </c>
    </row>
    <row r="21" spans="1:19" x14ac:dyDescent="0.3">
      <c r="A21">
        <v>495</v>
      </c>
      <c r="B21" t="s">
        <v>1382</v>
      </c>
      <c r="C21" t="s">
        <v>3876</v>
      </c>
      <c r="D21" t="s">
        <v>1203</v>
      </c>
      <c r="E21" t="s">
        <v>1204</v>
      </c>
      <c r="F21">
        <v>5743</v>
      </c>
      <c r="G21" t="s">
        <v>2683</v>
      </c>
      <c r="H21" t="s">
        <v>3129</v>
      </c>
      <c r="I21">
        <v>600</v>
      </c>
      <c r="J21" t="s">
        <v>2460</v>
      </c>
      <c r="K21">
        <v>600</v>
      </c>
      <c r="L21" t="s">
        <v>2460</v>
      </c>
      <c r="M21">
        <v>600</v>
      </c>
      <c r="N21" t="s">
        <v>2460</v>
      </c>
      <c r="O21">
        <v>600</v>
      </c>
      <c r="P21" t="s">
        <v>2460</v>
      </c>
      <c r="R21" t="s">
        <v>2460</v>
      </c>
      <c r="S21" t="s">
        <v>988</v>
      </c>
    </row>
    <row r="22" spans="1:19" x14ac:dyDescent="0.3">
      <c r="A22">
        <v>495</v>
      </c>
      <c r="B22" t="s">
        <v>1382</v>
      </c>
      <c r="C22" t="s">
        <v>3876</v>
      </c>
      <c r="D22" t="s">
        <v>1203</v>
      </c>
      <c r="E22" t="s">
        <v>1204</v>
      </c>
      <c r="F22">
        <v>5743</v>
      </c>
      <c r="G22" t="s">
        <v>2691</v>
      </c>
      <c r="H22" t="s">
        <v>3131</v>
      </c>
      <c r="I22">
        <v>4460</v>
      </c>
      <c r="J22" t="s">
        <v>2460</v>
      </c>
      <c r="K22">
        <v>4460</v>
      </c>
      <c r="L22" t="s">
        <v>2460</v>
      </c>
      <c r="M22">
        <v>4460</v>
      </c>
      <c r="N22" t="s">
        <v>2460</v>
      </c>
      <c r="O22">
        <v>4460</v>
      </c>
      <c r="P22" t="s">
        <v>2460</v>
      </c>
      <c r="R22" t="s">
        <v>2460</v>
      </c>
      <c r="S22" t="s">
        <v>988</v>
      </c>
    </row>
    <row r="23" spans="1:19" x14ac:dyDescent="0.3">
      <c r="A23">
        <v>510</v>
      </c>
      <c r="B23" t="s">
        <v>2127</v>
      </c>
      <c r="C23" t="s">
        <v>3876</v>
      </c>
      <c r="D23" t="s">
        <v>1203</v>
      </c>
      <c r="E23" t="s">
        <v>1204</v>
      </c>
      <c r="F23">
        <v>5776</v>
      </c>
      <c r="G23" t="s">
        <v>2683</v>
      </c>
      <c r="H23" t="s">
        <v>2889</v>
      </c>
      <c r="I23">
        <v>71770</v>
      </c>
      <c r="J23" t="s">
        <v>2460</v>
      </c>
      <c r="K23">
        <v>71770</v>
      </c>
      <c r="L23" t="s">
        <v>2460</v>
      </c>
      <c r="M23">
        <v>71770</v>
      </c>
      <c r="N23" t="s">
        <v>2460</v>
      </c>
      <c r="O23">
        <v>71770</v>
      </c>
      <c r="P23" t="s">
        <v>2460</v>
      </c>
      <c r="Q23">
        <v>71770</v>
      </c>
      <c r="R23" t="s">
        <v>2460</v>
      </c>
      <c r="S23" t="s">
        <v>988</v>
      </c>
    </row>
    <row r="24" spans="1:19" x14ac:dyDescent="0.3">
      <c r="A24">
        <v>510</v>
      </c>
      <c r="B24" t="s">
        <v>2127</v>
      </c>
      <c r="C24" t="s">
        <v>3876</v>
      </c>
      <c r="D24" t="s">
        <v>1203</v>
      </c>
      <c r="E24" t="s">
        <v>1204</v>
      </c>
      <c r="F24">
        <v>5776</v>
      </c>
      <c r="G24" t="s">
        <v>687</v>
      </c>
      <c r="H24" t="s">
        <v>2464</v>
      </c>
      <c r="I24">
        <v>174925</v>
      </c>
      <c r="J24" t="s">
        <v>2460</v>
      </c>
      <c r="K24">
        <v>179298</v>
      </c>
      <c r="L24" t="s">
        <v>2460</v>
      </c>
      <c r="M24">
        <v>183685</v>
      </c>
      <c r="N24" t="s">
        <v>2460</v>
      </c>
      <c r="O24">
        <v>187340</v>
      </c>
      <c r="P24" t="s">
        <v>2460</v>
      </c>
      <c r="Q24">
        <v>189183</v>
      </c>
      <c r="R24" t="s">
        <v>2460</v>
      </c>
      <c r="S24" t="s">
        <v>988</v>
      </c>
    </row>
    <row r="25" spans="1:19" x14ac:dyDescent="0.3">
      <c r="A25">
        <v>510</v>
      </c>
      <c r="B25" t="s">
        <v>2127</v>
      </c>
      <c r="C25" t="s">
        <v>3876</v>
      </c>
      <c r="D25" t="s">
        <v>1203</v>
      </c>
      <c r="E25" t="s">
        <v>1204</v>
      </c>
      <c r="F25">
        <v>5776</v>
      </c>
      <c r="G25" t="s">
        <v>687</v>
      </c>
      <c r="H25" t="s">
        <v>3894</v>
      </c>
      <c r="I25">
        <v>54579</v>
      </c>
      <c r="J25" t="s">
        <v>2460</v>
      </c>
      <c r="K25">
        <v>55944</v>
      </c>
      <c r="L25" t="s">
        <v>2460</v>
      </c>
      <c r="M25">
        <v>57342</v>
      </c>
      <c r="N25" t="s">
        <v>2460</v>
      </c>
      <c r="O25">
        <v>58776</v>
      </c>
      <c r="P25" t="s">
        <v>2460</v>
      </c>
      <c r="Q25">
        <v>60245</v>
      </c>
      <c r="R25" t="s">
        <v>2460</v>
      </c>
      <c r="S25" t="s">
        <v>988</v>
      </c>
    </row>
    <row r="26" spans="1:19" x14ac:dyDescent="0.3">
      <c r="A26">
        <v>510</v>
      </c>
      <c r="B26" t="s">
        <v>2127</v>
      </c>
      <c r="C26" t="s">
        <v>3876</v>
      </c>
      <c r="D26" t="s">
        <v>1203</v>
      </c>
      <c r="E26" t="s">
        <v>1204</v>
      </c>
      <c r="F26">
        <v>5776</v>
      </c>
      <c r="G26" t="s">
        <v>2679</v>
      </c>
      <c r="H26" t="s">
        <v>3895</v>
      </c>
      <c r="I26">
        <v>6759</v>
      </c>
      <c r="J26" t="s">
        <v>2460</v>
      </c>
      <c r="K26">
        <v>6928</v>
      </c>
      <c r="L26" t="s">
        <v>2460</v>
      </c>
      <c r="M26">
        <v>7101</v>
      </c>
      <c r="N26" t="s">
        <v>2460</v>
      </c>
      <c r="O26">
        <v>7279</v>
      </c>
      <c r="P26" t="s">
        <v>2460</v>
      </c>
      <c r="Q26">
        <v>7461</v>
      </c>
      <c r="R26" t="s">
        <v>2460</v>
      </c>
      <c r="S26" t="s">
        <v>988</v>
      </c>
    </row>
    <row r="27" spans="1:19" x14ac:dyDescent="0.3">
      <c r="A27">
        <v>514</v>
      </c>
      <c r="B27" t="s">
        <v>2131</v>
      </c>
      <c r="C27" t="s">
        <v>3876</v>
      </c>
      <c r="D27" t="s">
        <v>1203</v>
      </c>
      <c r="E27" t="s">
        <v>1204</v>
      </c>
      <c r="F27">
        <v>5787</v>
      </c>
      <c r="G27" t="s">
        <v>2683</v>
      </c>
      <c r="H27" t="s">
        <v>2460</v>
      </c>
      <c r="I27">
        <v>26542</v>
      </c>
      <c r="J27" t="s">
        <v>2460</v>
      </c>
      <c r="K27">
        <v>26303</v>
      </c>
      <c r="L27" t="s">
        <v>2460</v>
      </c>
      <c r="M27">
        <v>26064</v>
      </c>
      <c r="N27" t="s">
        <v>2460</v>
      </c>
      <c r="O27">
        <v>25824</v>
      </c>
      <c r="P27" t="s">
        <v>2460</v>
      </c>
      <c r="Q27">
        <v>25589</v>
      </c>
      <c r="R27" t="s">
        <v>2460</v>
      </c>
      <c r="S27" t="s">
        <v>988</v>
      </c>
    </row>
    <row r="28" spans="1:19" x14ac:dyDescent="0.3">
      <c r="A28">
        <v>546</v>
      </c>
      <c r="B28" t="s">
        <v>2133</v>
      </c>
      <c r="C28" t="s">
        <v>3876</v>
      </c>
      <c r="D28" t="s">
        <v>1203</v>
      </c>
      <c r="E28" t="s">
        <v>1204</v>
      </c>
      <c r="F28">
        <v>5541</v>
      </c>
      <c r="G28" t="s">
        <v>2687</v>
      </c>
      <c r="H28" t="s">
        <v>2460</v>
      </c>
      <c r="I28">
        <v>40000</v>
      </c>
      <c r="J28" t="s">
        <v>2460</v>
      </c>
      <c r="K28">
        <v>40000</v>
      </c>
      <c r="L28" t="s">
        <v>2460</v>
      </c>
      <c r="M28">
        <v>40000</v>
      </c>
      <c r="N28" t="s">
        <v>2460</v>
      </c>
      <c r="O28">
        <v>40000</v>
      </c>
      <c r="P28" t="s">
        <v>2460</v>
      </c>
      <c r="Q28">
        <v>40000</v>
      </c>
      <c r="R28" t="s">
        <v>2460</v>
      </c>
      <c r="S28" t="s">
        <v>988</v>
      </c>
    </row>
    <row r="29" spans="1:19" x14ac:dyDescent="0.3">
      <c r="A29">
        <v>613</v>
      </c>
      <c r="B29" t="s">
        <v>804</v>
      </c>
      <c r="C29" t="s">
        <v>3876</v>
      </c>
      <c r="D29" t="s">
        <v>1203</v>
      </c>
      <c r="E29" t="s">
        <v>1204</v>
      </c>
      <c r="F29">
        <v>5673</v>
      </c>
      <c r="G29" t="s">
        <v>2685</v>
      </c>
      <c r="H29" t="s">
        <v>3896</v>
      </c>
      <c r="I29">
        <v>10000</v>
      </c>
      <c r="J29" t="s">
        <v>2460</v>
      </c>
      <c r="K29">
        <v>10000</v>
      </c>
      <c r="L29" t="s">
        <v>2982</v>
      </c>
      <c r="M29">
        <v>10000</v>
      </c>
      <c r="N29" t="s">
        <v>2982</v>
      </c>
      <c r="O29">
        <v>10000</v>
      </c>
      <c r="P29" t="s">
        <v>2982</v>
      </c>
      <c r="Q29">
        <v>10000</v>
      </c>
      <c r="R29" t="s">
        <v>2982</v>
      </c>
      <c r="S29" t="s">
        <v>988</v>
      </c>
    </row>
    <row r="30" spans="1:19" x14ac:dyDescent="0.3">
      <c r="A30">
        <v>613</v>
      </c>
      <c r="B30" t="s">
        <v>804</v>
      </c>
      <c r="C30" t="s">
        <v>3876</v>
      </c>
      <c r="D30" t="s">
        <v>1203</v>
      </c>
      <c r="E30" t="s">
        <v>1204</v>
      </c>
      <c r="F30">
        <v>5673</v>
      </c>
      <c r="G30" t="s">
        <v>2691</v>
      </c>
      <c r="H30" t="s">
        <v>3897</v>
      </c>
      <c r="I30">
        <v>2800</v>
      </c>
      <c r="J30" t="s">
        <v>2460</v>
      </c>
      <c r="K30">
        <v>2800</v>
      </c>
      <c r="L30" t="s">
        <v>2982</v>
      </c>
      <c r="M30">
        <v>2800</v>
      </c>
      <c r="N30" t="s">
        <v>2982</v>
      </c>
      <c r="O30">
        <v>2800</v>
      </c>
      <c r="P30" t="s">
        <v>2982</v>
      </c>
      <c r="Q30">
        <v>2800</v>
      </c>
      <c r="R30" t="s">
        <v>2982</v>
      </c>
      <c r="S30" t="s">
        <v>988</v>
      </c>
    </row>
    <row r="31" spans="1:19" x14ac:dyDescent="0.3">
      <c r="A31">
        <v>613</v>
      </c>
      <c r="B31" t="s">
        <v>804</v>
      </c>
      <c r="C31" t="s">
        <v>3876</v>
      </c>
      <c r="D31" t="s">
        <v>1203</v>
      </c>
      <c r="E31" t="s">
        <v>1204</v>
      </c>
      <c r="F31">
        <v>5673</v>
      </c>
      <c r="G31" t="s">
        <v>2691</v>
      </c>
      <c r="H31" t="s">
        <v>3898</v>
      </c>
      <c r="I31">
        <v>9500</v>
      </c>
      <c r="J31" t="s">
        <v>2460</v>
      </c>
      <c r="K31">
        <v>9500</v>
      </c>
      <c r="L31" t="s">
        <v>2982</v>
      </c>
      <c r="M31">
        <v>9500</v>
      </c>
      <c r="N31" t="s">
        <v>2982</v>
      </c>
      <c r="O31">
        <v>9500</v>
      </c>
      <c r="P31" t="s">
        <v>2982</v>
      </c>
      <c r="Q31">
        <v>9500</v>
      </c>
      <c r="R31" t="s">
        <v>2982</v>
      </c>
      <c r="S31" t="s">
        <v>988</v>
      </c>
    </row>
    <row r="32" spans="1:19" x14ac:dyDescent="0.3">
      <c r="A32">
        <v>613</v>
      </c>
      <c r="B32" t="s">
        <v>804</v>
      </c>
      <c r="C32" t="s">
        <v>3876</v>
      </c>
      <c r="D32" t="s">
        <v>1203</v>
      </c>
      <c r="E32" t="s">
        <v>1204</v>
      </c>
      <c r="F32">
        <v>5673</v>
      </c>
      <c r="G32" t="s">
        <v>2691</v>
      </c>
      <c r="H32" t="s">
        <v>3899</v>
      </c>
      <c r="I32">
        <v>1200</v>
      </c>
      <c r="J32" t="s">
        <v>2460</v>
      </c>
      <c r="K32">
        <v>1200</v>
      </c>
      <c r="L32" t="s">
        <v>2982</v>
      </c>
      <c r="M32">
        <v>1200</v>
      </c>
      <c r="N32" t="s">
        <v>2982</v>
      </c>
      <c r="O32">
        <v>1200</v>
      </c>
      <c r="P32" t="s">
        <v>2982</v>
      </c>
      <c r="Q32">
        <v>1200</v>
      </c>
      <c r="R32" t="s">
        <v>2982</v>
      </c>
      <c r="S32" t="s">
        <v>988</v>
      </c>
    </row>
    <row r="33" spans="1:19" x14ac:dyDescent="0.3">
      <c r="A33">
        <v>613</v>
      </c>
      <c r="B33" t="s">
        <v>804</v>
      </c>
      <c r="C33" t="s">
        <v>3876</v>
      </c>
      <c r="D33" t="s">
        <v>1203</v>
      </c>
      <c r="E33" t="s">
        <v>1204</v>
      </c>
      <c r="F33">
        <v>5673</v>
      </c>
      <c r="G33" t="s">
        <v>2683</v>
      </c>
      <c r="H33" t="s">
        <v>861</v>
      </c>
      <c r="I33">
        <v>168400</v>
      </c>
      <c r="J33" t="s">
        <v>2460</v>
      </c>
      <c r="K33">
        <v>181900</v>
      </c>
      <c r="L33" t="s">
        <v>2982</v>
      </c>
      <c r="M33">
        <v>185300</v>
      </c>
      <c r="N33" t="s">
        <v>2982</v>
      </c>
      <c r="O33">
        <v>185300</v>
      </c>
      <c r="P33" t="s">
        <v>2982</v>
      </c>
      <c r="Q33">
        <v>185300</v>
      </c>
      <c r="R33" t="s">
        <v>2982</v>
      </c>
      <c r="S33" t="s">
        <v>988</v>
      </c>
    </row>
    <row r="34" spans="1:19" x14ac:dyDescent="0.3">
      <c r="A34">
        <v>613</v>
      </c>
      <c r="B34" t="s">
        <v>804</v>
      </c>
      <c r="C34" t="s">
        <v>3876</v>
      </c>
      <c r="D34" t="s">
        <v>1203</v>
      </c>
      <c r="E34" t="s">
        <v>1204</v>
      </c>
      <c r="F34">
        <v>5673</v>
      </c>
      <c r="G34" t="s">
        <v>784</v>
      </c>
      <c r="H34" t="s">
        <v>3900</v>
      </c>
      <c r="I34">
        <v>6300</v>
      </c>
      <c r="J34" t="s">
        <v>2460</v>
      </c>
      <c r="K34">
        <v>6800</v>
      </c>
      <c r="L34" t="s">
        <v>2982</v>
      </c>
      <c r="M34">
        <v>7300</v>
      </c>
      <c r="N34" t="s">
        <v>2982</v>
      </c>
      <c r="O34">
        <v>7700</v>
      </c>
      <c r="P34" t="s">
        <v>2982</v>
      </c>
      <c r="Q34">
        <v>8100</v>
      </c>
      <c r="R34" t="s">
        <v>2982</v>
      </c>
      <c r="S34" t="s">
        <v>988</v>
      </c>
    </row>
    <row r="35" spans="1:19" x14ac:dyDescent="0.3">
      <c r="A35">
        <v>613</v>
      </c>
      <c r="B35" t="s">
        <v>804</v>
      </c>
      <c r="C35" t="s">
        <v>3876</v>
      </c>
      <c r="D35" t="s">
        <v>1203</v>
      </c>
      <c r="E35" t="s">
        <v>1204</v>
      </c>
      <c r="F35">
        <v>5673</v>
      </c>
      <c r="G35" t="s">
        <v>2679</v>
      </c>
      <c r="H35" t="s">
        <v>3158</v>
      </c>
      <c r="I35">
        <v>11600</v>
      </c>
      <c r="J35" t="s">
        <v>2460</v>
      </c>
      <c r="K35">
        <v>16300</v>
      </c>
      <c r="L35" t="s">
        <v>2982</v>
      </c>
      <c r="M35">
        <v>17300</v>
      </c>
      <c r="N35" t="s">
        <v>2982</v>
      </c>
      <c r="O35">
        <v>17900</v>
      </c>
      <c r="P35" t="s">
        <v>2982</v>
      </c>
      <c r="Q35">
        <v>18300</v>
      </c>
      <c r="R35" t="s">
        <v>2982</v>
      </c>
      <c r="S35" t="s">
        <v>988</v>
      </c>
    </row>
    <row r="36" spans="1:19" x14ac:dyDescent="0.3">
      <c r="A36">
        <v>613</v>
      </c>
      <c r="B36" t="s">
        <v>804</v>
      </c>
      <c r="C36" t="s">
        <v>3876</v>
      </c>
      <c r="D36" t="s">
        <v>1203</v>
      </c>
      <c r="E36" t="s">
        <v>1204</v>
      </c>
      <c r="F36">
        <v>5673</v>
      </c>
      <c r="G36" t="s">
        <v>2681</v>
      </c>
      <c r="H36" t="s">
        <v>1419</v>
      </c>
      <c r="I36">
        <v>6800</v>
      </c>
      <c r="J36" t="s">
        <v>2460</v>
      </c>
      <c r="K36">
        <v>7000</v>
      </c>
      <c r="L36" t="s">
        <v>2982</v>
      </c>
      <c r="M36">
        <v>7300</v>
      </c>
      <c r="N36" t="s">
        <v>2982</v>
      </c>
      <c r="O36">
        <v>7600</v>
      </c>
      <c r="P36" t="s">
        <v>2982</v>
      </c>
      <c r="Q36">
        <v>7900</v>
      </c>
      <c r="R36" t="s">
        <v>2982</v>
      </c>
      <c r="S36" t="s">
        <v>988</v>
      </c>
    </row>
    <row r="37" spans="1:19" x14ac:dyDescent="0.3">
      <c r="A37">
        <v>785</v>
      </c>
      <c r="B37" t="s">
        <v>1476</v>
      </c>
      <c r="C37" t="s">
        <v>3876</v>
      </c>
      <c r="D37" t="s">
        <v>1203</v>
      </c>
      <c r="E37" t="s">
        <v>1204</v>
      </c>
      <c r="F37">
        <v>5655</v>
      </c>
      <c r="G37" t="s">
        <v>2683</v>
      </c>
      <c r="H37" t="s">
        <v>2965</v>
      </c>
      <c r="I37">
        <v>4058</v>
      </c>
      <c r="J37" t="s">
        <v>2460</v>
      </c>
      <c r="K37">
        <v>4191</v>
      </c>
      <c r="L37" t="s">
        <v>2460</v>
      </c>
      <c r="M37">
        <v>4304</v>
      </c>
      <c r="N37" t="s">
        <v>2460</v>
      </c>
      <c r="O37">
        <v>4416</v>
      </c>
      <c r="P37" t="s">
        <v>2460</v>
      </c>
      <c r="Q37">
        <v>4538</v>
      </c>
      <c r="R37" t="s">
        <v>2460</v>
      </c>
      <c r="S37" t="s">
        <v>988</v>
      </c>
    </row>
    <row r="38" spans="1:19" x14ac:dyDescent="0.3">
      <c r="A38">
        <v>794</v>
      </c>
      <c r="B38" t="s">
        <v>1483</v>
      </c>
      <c r="C38" t="s">
        <v>3876</v>
      </c>
      <c r="D38" t="s">
        <v>159</v>
      </c>
      <c r="E38" t="s">
        <v>159</v>
      </c>
      <c r="F38">
        <v>6888</v>
      </c>
      <c r="G38" t="s">
        <v>2683</v>
      </c>
      <c r="H38" t="s">
        <v>3901</v>
      </c>
      <c r="I38">
        <v>50700</v>
      </c>
      <c r="J38" t="s">
        <v>2460</v>
      </c>
      <c r="K38">
        <v>44900</v>
      </c>
      <c r="L38" t="s">
        <v>2460</v>
      </c>
      <c r="M38">
        <v>46900</v>
      </c>
      <c r="N38" t="s">
        <v>2460</v>
      </c>
      <c r="O38">
        <v>49200</v>
      </c>
      <c r="P38" t="s">
        <v>2460</v>
      </c>
      <c r="Q38">
        <v>51300</v>
      </c>
      <c r="R38" t="s">
        <v>2460</v>
      </c>
      <c r="S38" t="s">
        <v>988</v>
      </c>
    </row>
    <row r="39" spans="1:19" x14ac:dyDescent="0.3">
      <c r="A39">
        <v>794</v>
      </c>
      <c r="B39" t="s">
        <v>1483</v>
      </c>
      <c r="C39" t="s">
        <v>3876</v>
      </c>
      <c r="D39" t="s">
        <v>159</v>
      </c>
      <c r="E39" t="s">
        <v>159</v>
      </c>
      <c r="F39">
        <v>6888</v>
      </c>
      <c r="G39" t="s">
        <v>2679</v>
      </c>
      <c r="H39" t="s">
        <v>2460</v>
      </c>
      <c r="I39">
        <v>4770</v>
      </c>
      <c r="J39" t="s">
        <v>2460</v>
      </c>
      <c r="K39">
        <v>5180</v>
      </c>
      <c r="L39" t="s">
        <v>2460</v>
      </c>
      <c r="M39">
        <v>5600</v>
      </c>
      <c r="N39" t="s">
        <v>2460</v>
      </c>
      <c r="O39">
        <v>5600</v>
      </c>
      <c r="P39" t="s">
        <v>2460</v>
      </c>
      <c r="Q39">
        <v>5600</v>
      </c>
      <c r="R39" t="s">
        <v>2460</v>
      </c>
      <c r="S39" t="s">
        <v>988</v>
      </c>
    </row>
    <row r="40" spans="1:19" x14ac:dyDescent="0.3">
      <c r="A40">
        <v>794</v>
      </c>
      <c r="B40" t="s">
        <v>1483</v>
      </c>
      <c r="C40" t="s">
        <v>3876</v>
      </c>
      <c r="D40" t="s">
        <v>159</v>
      </c>
      <c r="E40" t="s">
        <v>159</v>
      </c>
      <c r="F40">
        <v>6888</v>
      </c>
      <c r="G40" t="s">
        <v>2683</v>
      </c>
      <c r="H40" t="s">
        <v>3902</v>
      </c>
      <c r="I40">
        <v>7500</v>
      </c>
      <c r="J40" t="s">
        <v>2460</v>
      </c>
      <c r="K40">
        <v>7500</v>
      </c>
      <c r="L40" t="s">
        <v>2460</v>
      </c>
      <c r="M40">
        <v>7500</v>
      </c>
      <c r="N40" t="s">
        <v>2460</v>
      </c>
      <c r="O40">
        <v>7500</v>
      </c>
      <c r="P40" t="s">
        <v>2460</v>
      </c>
      <c r="Q40">
        <v>7500</v>
      </c>
      <c r="R40" t="s">
        <v>2460</v>
      </c>
      <c r="S40" t="s">
        <v>988</v>
      </c>
    </row>
    <row r="41" spans="1:19" x14ac:dyDescent="0.3">
      <c r="A41">
        <v>909</v>
      </c>
      <c r="B41" t="s">
        <v>2152</v>
      </c>
      <c r="C41" t="s">
        <v>3876</v>
      </c>
      <c r="D41" t="s">
        <v>1203</v>
      </c>
      <c r="E41" t="s">
        <v>1204</v>
      </c>
      <c r="F41">
        <v>5754</v>
      </c>
      <c r="G41" t="s">
        <v>2683</v>
      </c>
      <c r="H41" t="s">
        <v>3903</v>
      </c>
      <c r="I41">
        <v>11773</v>
      </c>
      <c r="J41" t="s">
        <v>2460</v>
      </c>
      <c r="K41">
        <v>11773</v>
      </c>
      <c r="L41" t="s">
        <v>2460</v>
      </c>
      <c r="M41">
        <v>11773</v>
      </c>
      <c r="N41" t="s">
        <v>2460</v>
      </c>
      <c r="O41">
        <v>11773</v>
      </c>
      <c r="P41" t="s">
        <v>2460</v>
      </c>
      <c r="Q41">
        <v>11773</v>
      </c>
      <c r="R41" t="s">
        <v>2460</v>
      </c>
      <c r="S41" t="s">
        <v>988</v>
      </c>
    </row>
    <row r="42" spans="1:19" x14ac:dyDescent="0.3">
      <c r="A42">
        <v>1144</v>
      </c>
      <c r="B42" t="s">
        <v>1581</v>
      </c>
      <c r="C42" t="s">
        <v>3876</v>
      </c>
      <c r="D42" t="s">
        <v>1203</v>
      </c>
      <c r="E42" t="s">
        <v>1204</v>
      </c>
      <c r="F42">
        <v>6619</v>
      </c>
      <c r="G42" t="s">
        <v>2691</v>
      </c>
      <c r="H42" t="s">
        <v>3904</v>
      </c>
      <c r="I42">
        <v>64.446644849999998</v>
      </c>
      <c r="J42" t="s">
        <v>3905</v>
      </c>
      <c r="K42">
        <v>64.446644849999998</v>
      </c>
      <c r="L42" t="s">
        <v>3905</v>
      </c>
      <c r="M42">
        <v>64.446644849999998</v>
      </c>
      <c r="N42" t="s">
        <v>3905</v>
      </c>
      <c r="O42">
        <v>64.446644849999998</v>
      </c>
      <c r="P42" t="s">
        <v>3905</v>
      </c>
      <c r="Q42">
        <v>64.446644849999998</v>
      </c>
      <c r="R42" t="s">
        <v>3905</v>
      </c>
      <c r="S42" t="s">
        <v>988</v>
      </c>
    </row>
    <row r="43" spans="1:19" x14ac:dyDescent="0.3">
      <c r="A43">
        <v>1209</v>
      </c>
      <c r="B43" t="s">
        <v>2160</v>
      </c>
      <c r="C43" t="s">
        <v>3876</v>
      </c>
      <c r="D43" t="s">
        <v>1203</v>
      </c>
      <c r="E43" t="s">
        <v>1204</v>
      </c>
      <c r="F43">
        <v>5873</v>
      </c>
      <c r="G43" t="s">
        <v>2691</v>
      </c>
      <c r="H43" t="s">
        <v>3906</v>
      </c>
      <c r="I43">
        <v>84000</v>
      </c>
      <c r="J43" t="s">
        <v>3907</v>
      </c>
      <c r="K43">
        <v>84000</v>
      </c>
      <c r="L43" t="s">
        <v>3907</v>
      </c>
      <c r="M43">
        <v>84000</v>
      </c>
      <c r="N43" t="s">
        <v>3907</v>
      </c>
      <c r="O43">
        <v>84000</v>
      </c>
      <c r="P43" t="s">
        <v>3907</v>
      </c>
      <c r="R43" t="s">
        <v>2460</v>
      </c>
      <c r="S43" t="s">
        <v>988</v>
      </c>
    </row>
    <row r="44" spans="1:19" x14ac:dyDescent="0.3">
      <c r="A44">
        <v>1239</v>
      </c>
      <c r="B44" t="s">
        <v>2169</v>
      </c>
      <c r="C44" t="s">
        <v>3876</v>
      </c>
      <c r="D44" t="s">
        <v>159</v>
      </c>
      <c r="E44" t="s">
        <v>159</v>
      </c>
      <c r="F44">
        <v>6849</v>
      </c>
      <c r="G44" t="s">
        <v>2683</v>
      </c>
      <c r="H44" t="s">
        <v>3908</v>
      </c>
      <c r="I44">
        <v>93283</v>
      </c>
      <c r="J44" t="s">
        <v>2460</v>
      </c>
      <c r="K44">
        <v>93283</v>
      </c>
      <c r="L44" t="s">
        <v>2460</v>
      </c>
      <c r="M44">
        <v>93283</v>
      </c>
      <c r="N44" t="s">
        <v>2460</v>
      </c>
      <c r="O44">
        <v>93283</v>
      </c>
      <c r="P44" t="s">
        <v>2460</v>
      </c>
      <c r="Q44">
        <v>93283</v>
      </c>
      <c r="R44" t="s">
        <v>2460</v>
      </c>
      <c r="S44" t="s">
        <v>988</v>
      </c>
    </row>
    <row r="45" spans="1:19" x14ac:dyDescent="0.3">
      <c r="A45">
        <v>1239</v>
      </c>
      <c r="B45" t="s">
        <v>2169</v>
      </c>
      <c r="C45" t="s">
        <v>3876</v>
      </c>
      <c r="D45" t="s">
        <v>159</v>
      </c>
      <c r="E45" t="s">
        <v>159</v>
      </c>
      <c r="F45">
        <v>6849</v>
      </c>
      <c r="G45" t="s">
        <v>2679</v>
      </c>
      <c r="H45" t="s">
        <v>3909</v>
      </c>
      <c r="I45">
        <v>60073</v>
      </c>
      <c r="J45" t="s">
        <v>2460</v>
      </c>
      <c r="K45">
        <v>63207</v>
      </c>
      <c r="L45" t="s">
        <v>2460</v>
      </c>
      <c r="M45">
        <v>64142</v>
      </c>
      <c r="N45" t="s">
        <v>2460</v>
      </c>
      <c r="O45">
        <v>66836</v>
      </c>
      <c r="P45" t="s">
        <v>2460</v>
      </c>
      <c r="Q45">
        <v>66836</v>
      </c>
      <c r="R45" t="s">
        <v>2460</v>
      </c>
      <c r="S45" t="s">
        <v>988</v>
      </c>
    </row>
    <row r="46" spans="1:19" x14ac:dyDescent="0.3">
      <c r="A46">
        <v>1288</v>
      </c>
      <c r="B46" t="s">
        <v>908</v>
      </c>
      <c r="C46" t="s">
        <v>3876</v>
      </c>
      <c r="D46" t="s">
        <v>159</v>
      </c>
      <c r="E46" t="s">
        <v>159</v>
      </c>
      <c r="F46">
        <v>5581</v>
      </c>
      <c r="G46" t="s">
        <v>2683</v>
      </c>
      <c r="H46" t="s">
        <v>3910</v>
      </c>
      <c r="I46">
        <v>43132</v>
      </c>
      <c r="J46" t="s">
        <v>2460</v>
      </c>
      <c r="K46">
        <v>43132</v>
      </c>
      <c r="L46" t="s">
        <v>2460</v>
      </c>
      <c r="M46">
        <v>43132</v>
      </c>
      <c r="N46" t="s">
        <v>2460</v>
      </c>
      <c r="O46">
        <v>43132</v>
      </c>
      <c r="P46" t="s">
        <v>2460</v>
      </c>
      <c r="Q46">
        <v>43132</v>
      </c>
      <c r="R46" t="s">
        <v>2460</v>
      </c>
      <c r="S46" t="s">
        <v>988</v>
      </c>
    </row>
    <row r="47" spans="1:19" x14ac:dyDescent="0.3">
      <c r="A47">
        <v>1288</v>
      </c>
      <c r="B47" t="s">
        <v>908</v>
      </c>
      <c r="C47" t="s">
        <v>3876</v>
      </c>
      <c r="D47" t="s">
        <v>159</v>
      </c>
      <c r="E47" t="s">
        <v>159</v>
      </c>
      <c r="F47">
        <v>5581</v>
      </c>
      <c r="G47" t="s">
        <v>2685</v>
      </c>
      <c r="H47" t="s">
        <v>3911</v>
      </c>
      <c r="I47">
        <v>79645</v>
      </c>
      <c r="J47" t="s">
        <v>2460</v>
      </c>
      <c r="K47">
        <v>79645</v>
      </c>
      <c r="L47" t="s">
        <v>2460</v>
      </c>
      <c r="M47">
        <v>79645</v>
      </c>
      <c r="N47" t="s">
        <v>2460</v>
      </c>
      <c r="O47">
        <v>79645</v>
      </c>
      <c r="P47" t="s">
        <v>2460</v>
      </c>
      <c r="Q47">
        <v>79645</v>
      </c>
      <c r="R47" t="s">
        <v>2460</v>
      </c>
      <c r="S47" t="s">
        <v>988</v>
      </c>
    </row>
    <row r="48" spans="1:19" x14ac:dyDescent="0.3">
      <c r="A48">
        <v>1599</v>
      </c>
      <c r="B48" t="s">
        <v>955</v>
      </c>
      <c r="C48" t="s">
        <v>3876</v>
      </c>
      <c r="D48" t="s">
        <v>159</v>
      </c>
      <c r="E48" t="s">
        <v>159</v>
      </c>
      <c r="F48">
        <v>5421</v>
      </c>
      <c r="G48" t="s">
        <v>687</v>
      </c>
      <c r="H48" t="s">
        <v>2460</v>
      </c>
      <c r="I48">
        <v>3912000</v>
      </c>
      <c r="J48" t="s">
        <v>2460</v>
      </c>
      <c r="K48">
        <v>3906000</v>
      </c>
      <c r="L48" t="s">
        <v>2460</v>
      </c>
      <c r="M48">
        <v>3903000</v>
      </c>
      <c r="N48" t="s">
        <v>2460</v>
      </c>
      <c r="O48">
        <v>3901000</v>
      </c>
      <c r="P48" t="s">
        <v>2460</v>
      </c>
      <c r="Q48">
        <v>3898000</v>
      </c>
      <c r="R48" t="s">
        <v>2460</v>
      </c>
      <c r="S48" t="s">
        <v>988</v>
      </c>
    </row>
    <row r="49" spans="1:19" x14ac:dyDescent="0.3">
      <c r="A49">
        <v>1632</v>
      </c>
      <c r="B49" t="s">
        <v>2173</v>
      </c>
      <c r="C49" t="s">
        <v>3876</v>
      </c>
      <c r="D49" t="s">
        <v>1203</v>
      </c>
      <c r="E49" t="s">
        <v>1204</v>
      </c>
      <c r="F49">
        <v>5632</v>
      </c>
      <c r="G49" t="s">
        <v>2691</v>
      </c>
      <c r="H49" t="s">
        <v>3912</v>
      </c>
      <c r="I49">
        <v>39200</v>
      </c>
      <c r="J49" t="s">
        <v>2460</v>
      </c>
      <c r="K49">
        <v>44800</v>
      </c>
      <c r="L49" t="s">
        <v>2460</v>
      </c>
      <c r="M49">
        <v>50400</v>
      </c>
      <c r="N49" t="s">
        <v>2460</v>
      </c>
      <c r="O49">
        <v>56000</v>
      </c>
      <c r="P49" t="s">
        <v>2460</v>
      </c>
      <c r="Q49">
        <v>61600</v>
      </c>
      <c r="R49" t="s">
        <v>2460</v>
      </c>
      <c r="S49" t="s">
        <v>988</v>
      </c>
    </row>
    <row r="50" spans="1:19" x14ac:dyDescent="0.3">
      <c r="A50">
        <v>1635</v>
      </c>
      <c r="B50" t="s">
        <v>829</v>
      </c>
      <c r="C50" t="s">
        <v>3876</v>
      </c>
      <c r="D50" t="s">
        <v>159</v>
      </c>
      <c r="E50" t="s">
        <v>159</v>
      </c>
      <c r="F50">
        <v>7838</v>
      </c>
      <c r="G50" t="s">
        <v>687</v>
      </c>
      <c r="H50" t="s">
        <v>3913</v>
      </c>
      <c r="I50">
        <v>130800</v>
      </c>
      <c r="J50" t="s">
        <v>2460</v>
      </c>
      <c r="K50">
        <v>135300</v>
      </c>
      <c r="L50" t="s">
        <v>2460</v>
      </c>
      <c r="M50">
        <v>137700</v>
      </c>
      <c r="N50" t="s">
        <v>2460</v>
      </c>
      <c r="O50">
        <v>140200</v>
      </c>
      <c r="P50" t="s">
        <v>2460</v>
      </c>
      <c r="Q50">
        <v>142900</v>
      </c>
      <c r="R50" t="s">
        <v>2460</v>
      </c>
      <c r="S50" t="s">
        <v>988</v>
      </c>
    </row>
    <row r="51" spans="1:19" x14ac:dyDescent="0.3">
      <c r="A51">
        <v>1642</v>
      </c>
      <c r="B51" t="s">
        <v>1720</v>
      </c>
      <c r="C51" t="s">
        <v>3876</v>
      </c>
      <c r="D51" t="s">
        <v>1203</v>
      </c>
      <c r="E51" t="s">
        <v>1204</v>
      </c>
      <c r="F51">
        <v>5531</v>
      </c>
      <c r="G51" t="s">
        <v>2681</v>
      </c>
      <c r="H51" t="s">
        <v>3137</v>
      </c>
      <c r="I51">
        <v>4500</v>
      </c>
      <c r="J51" t="s">
        <v>2460</v>
      </c>
      <c r="K51">
        <v>4500</v>
      </c>
      <c r="L51" t="s">
        <v>2460</v>
      </c>
      <c r="M51">
        <v>4500</v>
      </c>
      <c r="N51" t="s">
        <v>2460</v>
      </c>
      <c r="O51">
        <v>4500</v>
      </c>
      <c r="P51" t="s">
        <v>2460</v>
      </c>
      <c r="Q51">
        <v>4500</v>
      </c>
      <c r="R51" t="s">
        <v>2460</v>
      </c>
      <c r="S51" t="s">
        <v>988</v>
      </c>
    </row>
    <row r="52" spans="1:19" x14ac:dyDescent="0.3">
      <c r="A52">
        <v>1642</v>
      </c>
      <c r="B52" t="s">
        <v>1720</v>
      </c>
      <c r="C52" t="s">
        <v>3876</v>
      </c>
      <c r="D52" t="s">
        <v>1203</v>
      </c>
      <c r="E52" t="s">
        <v>1204</v>
      </c>
      <c r="F52">
        <v>5531</v>
      </c>
      <c r="G52" t="s">
        <v>2683</v>
      </c>
      <c r="H52" t="s">
        <v>3410</v>
      </c>
      <c r="I52">
        <v>4500</v>
      </c>
      <c r="J52" t="s">
        <v>2460</v>
      </c>
      <c r="K52">
        <v>4500</v>
      </c>
      <c r="L52" t="s">
        <v>2460</v>
      </c>
      <c r="M52">
        <v>4500</v>
      </c>
      <c r="N52" t="s">
        <v>2460</v>
      </c>
      <c r="O52">
        <v>4500</v>
      </c>
      <c r="P52" t="s">
        <v>2460</v>
      </c>
      <c r="Q52">
        <v>4500</v>
      </c>
      <c r="R52" t="s">
        <v>2460</v>
      </c>
      <c r="S52" t="s">
        <v>988</v>
      </c>
    </row>
    <row r="53" spans="1:19" x14ac:dyDescent="0.3">
      <c r="A53">
        <v>1684</v>
      </c>
      <c r="B53" t="s">
        <v>2176</v>
      </c>
      <c r="C53" t="s">
        <v>3876</v>
      </c>
      <c r="D53" t="s">
        <v>159</v>
      </c>
      <c r="E53" t="s">
        <v>159</v>
      </c>
      <c r="F53">
        <v>5423</v>
      </c>
      <c r="G53" t="s">
        <v>2683</v>
      </c>
      <c r="H53" t="s">
        <v>3914</v>
      </c>
      <c r="I53">
        <v>51600</v>
      </c>
      <c r="J53" t="s">
        <v>2460</v>
      </c>
      <c r="K53">
        <v>51600</v>
      </c>
      <c r="L53" t="s">
        <v>2460</v>
      </c>
      <c r="M53">
        <v>51600</v>
      </c>
      <c r="N53" t="s">
        <v>2460</v>
      </c>
      <c r="O53">
        <v>51600</v>
      </c>
      <c r="P53" t="s">
        <v>2460</v>
      </c>
      <c r="Q53">
        <v>51600</v>
      </c>
      <c r="R53" t="s">
        <v>2460</v>
      </c>
      <c r="S53" t="s">
        <v>988</v>
      </c>
    </row>
    <row r="54" spans="1:19" x14ac:dyDescent="0.3">
      <c r="A54">
        <v>1684</v>
      </c>
      <c r="B54" t="s">
        <v>2176</v>
      </c>
      <c r="C54" t="s">
        <v>3876</v>
      </c>
      <c r="D54" t="s">
        <v>159</v>
      </c>
      <c r="E54" t="s">
        <v>159</v>
      </c>
      <c r="F54">
        <v>5423</v>
      </c>
      <c r="G54" t="s">
        <v>2683</v>
      </c>
      <c r="H54" t="s">
        <v>3915</v>
      </c>
      <c r="I54">
        <v>4017</v>
      </c>
      <c r="J54" t="s">
        <v>2460</v>
      </c>
      <c r="K54">
        <v>4017</v>
      </c>
      <c r="L54" t="s">
        <v>2460</v>
      </c>
      <c r="M54">
        <v>4017</v>
      </c>
      <c r="N54" t="s">
        <v>2460</v>
      </c>
      <c r="O54">
        <v>4017</v>
      </c>
      <c r="P54" t="s">
        <v>2460</v>
      </c>
      <c r="Q54">
        <v>4017</v>
      </c>
      <c r="R54" t="s">
        <v>2460</v>
      </c>
      <c r="S54" t="s">
        <v>988</v>
      </c>
    </row>
    <row r="55" spans="1:19" x14ac:dyDescent="0.3">
      <c r="A55">
        <v>1684</v>
      </c>
      <c r="B55" t="s">
        <v>2176</v>
      </c>
      <c r="C55" t="s">
        <v>3876</v>
      </c>
      <c r="D55" t="s">
        <v>159</v>
      </c>
      <c r="E55" t="s">
        <v>159</v>
      </c>
      <c r="F55">
        <v>5423</v>
      </c>
      <c r="G55" t="s">
        <v>2683</v>
      </c>
      <c r="H55" t="s">
        <v>3916</v>
      </c>
      <c r="I55">
        <v>119743</v>
      </c>
      <c r="J55" t="s">
        <v>2460</v>
      </c>
      <c r="K55">
        <v>120573</v>
      </c>
      <c r="L55" t="s">
        <v>2460</v>
      </c>
      <c r="M55">
        <v>123502</v>
      </c>
      <c r="N55" t="s">
        <v>2460</v>
      </c>
      <c r="O55">
        <v>123107</v>
      </c>
      <c r="P55" t="s">
        <v>2460</v>
      </c>
      <c r="Q55">
        <v>122819</v>
      </c>
      <c r="R55" t="s">
        <v>2460</v>
      </c>
      <c r="S55" t="s">
        <v>988</v>
      </c>
    </row>
    <row r="56" spans="1:19" x14ac:dyDescent="0.3">
      <c r="A56">
        <v>1927</v>
      </c>
      <c r="B56" t="s">
        <v>771</v>
      </c>
      <c r="C56" t="s">
        <v>3876</v>
      </c>
      <c r="D56" t="s">
        <v>1203</v>
      </c>
      <c r="E56" t="s">
        <v>1204</v>
      </c>
      <c r="F56">
        <v>6885</v>
      </c>
      <c r="G56" t="s">
        <v>2679</v>
      </c>
      <c r="H56" t="s">
        <v>3506</v>
      </c>
      <c r="I56">
        <v>0</v>
      </c>
      <c r="J56" t="s">
        <v>2460</v>
      </c>
      <c r="K56">
        <v>2500</v>
      </c>
      <c r="L56" t="s">
        <v>2460</v>
      </c>
      <c r="M56">
        <v>5000</v>
      </c>
      <c r="N56" t="s">
        <v>2460</v>
      </c>
      <c r="O56">
        <v>7000</v>
      </c>
      <c r="P56" t="s">
        <v>2460</v>
      </c>
      <c r="R56" t="s">
        <v>2460</v>
      </c>
      <c r="S56" t="s">
        <v>988</v>
      </c>
    </row>
    <row r="57" spans="1:19" x14ac:dyDescent="0.3">
      <c r="A57">
        <v>1927</v>
      </c>
      <c r="B57" t="s">
        <v>771</v>
      </c>
      <c r="C57" t="s">
        <v>3876</v>
      </c>
      <c r="D57" t="s">
        <v>1203</v>
      </c>
      <c r="E57" t="s">
        <v>1204</v>
      </c>
      <c r="F57">
        <v>6885</v>
      </c>
      <c r="G57" t="s">
        <v>2683</v>
      </c>
      <c r="H57" t="s">
        <v>3510</v>
      </c>
      <c r="I57">
        <v>0</v>
      </c>
      <c r="J57" t="s">
        <v>2460</v>
      </c>
      <c r="K57">
        <v>35000</v>
      </c>
      <c r="L57" t="s">
        <v>2460</v>
      </c>
      <c r="M57">
        <v>35000</v>
      </c>
      <c r="N57" t="s">
        <v>2460</v>
      </c>
      <c r="O57">
        <v>35000</v>
      </c>
      <c r="P57" t="s">
        <v>2460</v>
      </c>
      <c r="R57" t="s">
        <v>2460</v>
      </c>
      <c r="S57" t="s">
        <v>988</v>
      </c>
    </row>
    <row r="58" spans="1:19" x14ac:dyDescent="0.3">
      <c r="A58">
        <v>1927</v>
      </c>
      <c r="B58" t="s">
        <v>771</v>
      </c>
      <c r="C58" t="s">
        <v>3876</v>
      </c>
      <c r="D58" t="s">
        <v>1203</v>
      </c>
      <c r="E58" t="s">
        <v>1204</v>
      </c>
      <c r="F58">
        <v>6885</v>
      </c>
      <c r="G58" t="s">
        <v>2683</v>
      </c>
      <c r="H58" t="s">
        <v>3508</v>
      </c>
      <c r="I58">
        <v>125400</v>
      </c>
      <c r="J58" t="s">
        <v>2460</v>
      </c>
      <c r="K58">
        <v>125400</v>
      </c>
      <c r="L58" t="s">
        <v>2460</v>
      </c>
      <c r="M58">
        <v>125400</v>
      </c>
      <c r="N58" t="s">
        <v>2460</v>
      </c>
      <c r="O58">
        <v>125400</v>
      </c>
      <c r="P58" t="s">
        <v>2460</v>
      </c>
      <c r="R58" t="s">
        <v>2460</v>
      </c>
      <c r="S58" t="s">
        <v>988</v>
      </c>
    </row>
    <row r="59" spans="1:19" x14ac:dyDescent="0.3">
      <c r="A59">
        <v>1927</v>
      </c>
      <c r="B59" t="s">
        <v>771</v>
      </c>
      <c r="C59" t="s">
        <v>3876</v>
      </c>
      <c r="D59" t="s">
        <v>1203</v>
      </c>
      <c r="E59" t="s">
        <v>1204</v>
      </c>
      <c r="F59">
        <v>6885</v>
      </c>
      <c r="G59" t="s">
        <v>2681</v>
      </c>
      <c r="H59" t="s">
        <v>2460</v>
      </c>
      <c r="I59">
        <v>2000</v>
      </c>
      <c r="J59" t="s">
        <v>2460</v>
      </c>
      <c r="K59">
        <v>4000</v>
      </c>
      <c r="L59" t="s">
        <v>2460</v>
      </c>
      <c r="M59">
        <v>4000</v>
      </c>
      <c r="N59" t="s">
        <v>2460</v>
      </c>
      <c r="O59">
        <v>5000</v>
      </c>
      <c r="P59" t="s">
        <v>2460</v>
      </c>
      <c r="R59" t="s">
        <v>2460</v>
      </c>
      <c r="S59" t="s">
        <v>988</v>
      </c>
    </row>
    <row r="60" spans="1:19" x14ac:dyDescent="0.3">
      <c r="A60">
        <v>1927</v>
      </c>
      <c r="B60" t="s">
        <v>771</v>
      </c>
      <c r="C60" t="s">
        <v>3876</v>
      </c>
      <c r="D60" t="s">
        <v>1203</v>
      </c>
      <c r="E60" t="s">
        <v>1204</v>
      </c>
      <c r="F60">
        <v>6885</v>
      </c>
      <c r="G60" t="s">
        <v>2691</v>
      </c>
      <c r="H60" t="s">
        <v>3507</v>
      </c>
      <c r="I60">
        <v>120000</v>
      </c>
      <c r="J60" t="s">
        <v>2460</v>
      </c>
      <c r="K60">
        <v>120000</v>
      </c>
      <c r="L60" t="s">
        <v>2460</v>
      </c>
      <c r="M60">
        <v>120000</v>
      </c>
      <c r="N60" t="s">
        <v>2460</v>
      </c>
      <c r="O60">
        <v>120000</v>
      </c>
      <c r="P60" t="s">
        <v>2460</v>
      </c>
      <c r="R60" t="s">
        <v>2460</v>
      </c>
      <c r="S60" t="s">
        <v>988</v>
      </c>
    </row>
    <row r="61" spans="1:19" x14ac:dyDescent="0.3">
      <c r="A61">
        <v>1927</v>
      </c>
      <c r="B61" t="s">
        <v>771</v>
      </c>
      <c r="C61" t="s">
        <v>3876</v>
      </c>
      <c r="D61" t="s">
        <v>1203</v>
      </c>
      <c r="E61" t="s">
        <v>1204</v>
      </c>
      <c r="F61">
        <v>6885</v>
      </c>
      <c r="G61" t="s">
        <v>2691</v>
      </c>
      <c r="H61" t="s">
        <v>3509</v>
      </c>
      <c r="I61">
        <v>3400</v>
      </c>
      <c r="J61" t="s">
        <v>2460</v>
      </c>
      <c r="K61">
        <v>3400</v>
      </c>
      <c r="L61" t="s">
        <v>2460</v>
      </c>
      <c r="M61">
        <v>3400</v>
      </c>
      <c r="N61" t="s">
        <v>2460</v>
      </c>
      <c r="O61">
        <v>3400</v>
      </c>
      <c r="P61" t="s">
        <v>2460</v>
      </c>
      <c r="R61" t="s">
        <v>2460</v>
      </c>
      <c r="S61" t="s">
        <v>988</v>
      </c>
    </row>
    <row r="62" spans="1:19" x14ac:dyDescent="0.3">
      <c r="A62">
        <v>1954</v>
      </c>
      <c r="B62" t="s">
        <v>2180</v>
      </c>
      <c r="C62" t="s">
        <v>3876</v>
      </c>
      <c r="D62" t="s">
        <v>1203</v>
      </c>
      <c r="E62" t="s">
        <v>1204</v>
      </c>
      <c r="F62">
        <v>5648</v>
      </c>
      <c r="G62" t="s">
        <v>2683</v>
      </c>
      <c r="H62" t="s">
        <v>3917</v>
      </c>
      <c r="I62">
        <v>3546</v>
      </c>
      <c r="J62" t="s">
        <v>2460</v>
      </c>
      <c r="K62">
        <v>3016</v>
      </c>
      <c r="L62" t="s">
        <v>2460</v>
      </c>
      <c r="M62">
        <v>2487</v>
      </c>
      <c r="N62" t="s">
        <v>2460</v>
      </c>
      <c r="O62">
        <v>1957</v>
      </c>
      <c r="P62" t="s">
        <v>2460</v>
      </c>
      <c r="Q62">
        <v>1499</v>
      </c>
      <c r="R62" t="s">
        <v>2460</v>
      </c>
      <c r="S62" t="s">
        <v>988</v>
      </c>
    </row>
    <row r="63" spans="1:19" x14ac:dyDescent="0.3">
      <c r="A63">
        <v>1954</v>
      </c>
      <c r="B63" t="s">
        <v>2180</v>
      </c>
      <c r="C63" t="s">
        <v>3876</v>
      </c>
      <c r="D63" t="s">
        <v>1203</v>
      </c>
      <c r="E63" t="s">
        <v>1204</v>
      </c>
      <c r="F63">
        <v>5648</v>
      </c>
      <c r="G63" t="s">
        <v>2683</v>
      </c>
      <c r="H63" t="s">
        <v>3515</v>
      </c>
      <c r="I63">
        <v>3263</v>
      </c>
      <c r="J63" t="s">
        <v>2460</v>
      </c>
      <c r="K63">
        <v>3263</v>
      </c>
      <c r="L63" t="s">
        <v>2460</v>
      </c>
      <c r="M63">
        <v>3263</v>
      </c>
      <c r="N63" t="s">
        <v>2460</v>
      </c>
      <c r="O63">
        <v>3263</v>
      </c>
      <c r="P63" t="s">
        <v>2460</v>
      </c>
      <c r="Q63">
        <v>3263</v>
      </c>
      <c r="R63" t="s">
        <v>2460</v>
      </c>
      <c r="S63" t="s">
        <v>988</v>
      </c>
    </row>
    <row r="64" spans="1:19" x14ac:dyDescent="0.3">
      <c r="A64">
        <v>1954</v>
      </c>
      <c r="B64" t="s">
        <v>2180</v>
      </c>
      <c r="C64" t="s">
        <v>3876</v>
      </c>
      <c r="D64" t="s">
        <v>1203</v>
      </c>
      <c r="E64" t="s">
        <v>1204</v>
      </c>
      <c r="F64">
        <v>5648</v>
      </c>
      <c r="G64" t="s">
        <v>2681</v>
      </c>
      <c r="H64" t="s">
        <v>3918</v>
      </c>
      <c r="I64">
        <v>174</v>
      </c>
      <c r="J64" t="s">
        <v>2460</v>
      </c>
      <c r="K64">
        <v>174</v>
      </c>
      <c r="L64" t="s">
        <v>2460</v>
      </c>
      <c r="M64">
        <v>174</v>
      </c>
      <c r="N64" t="s">
        <v>2460</v>
      </c>
      <c r="O64">
        <v>174</v>
      </c>
      <c r="P64" t="s">
        <v>2460</v>
      </c>
      <c r="Q64">
        <v>174</v>
      </c>
      <c r="R64" t="s">
        <v>2460</v>
      </c>
      <c r="S64" t="s">
        <v>988</v>
      </c>
    </row>
    <row r="65" spans="1:19" x14ac:dyDescent="0.3">
      <c r="A65">
        <v>2083</v>
      </c>
      <c r="B65" t="s">
        <v>1854</v>
      </c>
      <c r="C65" t="s">
        <v>3876</v>
      </c>
      <c r="D65" t="s">
        <v>1203</v>
      </c>
      <c r="E65" t="s">
        <v>1204</v>
      </c>
      <c r="F65">
        <v>5706</v>
      </c>
      <c r="G65" t="s">
        <v>2681</v>
      </c>
      <c r="H65" t="s">
        <v>3153</v>
      </c>
      <c r="I65">
        <v>3000</v>
      </c>
      <c r="J65" t="s">
        <v>2460</v>
      </c>
      <c r="K65">
        <v>3000</v>
      </c>
      <c r="L65" t="s">
        <v>2460</v>
      </c>
      <c r="M65">
        <v>3000</v>
      </c>
      <c r="N65" t="s">
        <v>2460</v>
      </c>
      <c r="O65">
        <v>3000</v>
      </c>
      <c r="P65" t="s">
        <v>2460</v>
      </c>
      <c r="Q65">
        <v>3000</v>
      </c>
      <c r="R65" t="s">
        <v>2460</v>
      </c>
      <c r="S65" t="s">
        <v>988</v>
      </c>
    </row>
    <row r="66" spans="1:19" x14ac:dyDescent="0.3">
      <c r="A66">
        <v>2130</v>
      </c>
      <c r="B66" t="s">
        <v>1879</v>
      </c>
      <c r="C66" t="s">
        <v>3876</v>
      </c>
      <c r="D66" t="s">
        <v>159</v>
      </c>
      <c r="E66" t="s">
        <v>159</v>
      </c>
      <c r="F66">
        <v>6776</v>
      </c>
      <c r="G66" t="s">
        <v>2691</v>
      </c>
      <c r="H66" t="s">
        <v>3605</v>
      </c>
      <c r="I66">
        <v>22006</v>
      </c>
      <c r="J66" t="s">
        <v>2460</v>
      </c>
      <c r="K66">
        <v>46735</v>
      </c>
      <c r="L66" t="s">
        <v>2460</v>
      </c>
      <c r="M66">
        <v>68698</v>
      </c>
      <c r="N66" t="s">
        <v>2460</v>
      </c>
      <c r="O66">
        <v>90660</v>
      </c>
      <c r="P66" t="s">
        <v>2460</v>
      </c>
      <c r="Q66">
        <v>90660</v>
      </c>
      <c r="R66" t="s">
        <v>2460</v>
      </c>
      <c r="S66" t="s">
        <v>988</v>
      </c>
    </row>
    <row r="67" spans="1:19" x14ac:dyDescent="0.3">
      <c r="A67">
        <v>2130</v>
      </c>
      <c r="B67" t="s">
        <v>1879</v>
      </c>
      <c r="C67" t="s">
        <v>3876</v>
      </c>
      <c r="D67" t="s">
        <v>159</v>
      </c>
      <c r="E67" t="s">
        <v>159</v>
      </c>
      <c r="F67">
        <v>6776</v>
      </c>
      <c r="G67" t="s">
        <v>2681</v>
      </c>
      <c r="H67" t="s">
        <v>3350</v>
      </c>
      <c r="I67">
        <v>6400</v>
      </c>
      <c r="J67" t="s">
        <v>2460</v>
      </c>
      <c r="K67">
        <v>6400</v>
      </c>
      <c r="L67" t="s">
        <v>2460</v>
      </c>
      <c r="M67">
        <v>6400</v>
      </c>
      <c r="N67" t="s">
        <v>2460</v>
      </c>
      <c r="O67">
        <v>6400</v>
      </c>
      <c r="P67" t="s">
        <v>2460</v>
      </c>
      <c r="Q67">
        <v>6400</v>
      </c>
      <c r="R67" t="s">
        <v>2460</v>
      </c>
      <c r="S67" t="s">
        <v>988</v>
      </c>
    </row>
    <row r="68" spans="1:19" x14ac:dyDescent="0.3">
      <c r="A68">
        <v>2132</v>
      </c>
      <c r="B68" t="s">
        <v>772</v>
      </c>
      <c r="C68" t="s">
        <v>3876</v>
      </c>
      <c r="D68" t="s">
        <v>1203</v>
      </c>
      <c r="E68" t="s">
        <v>1204</v>
      </c>
      <c r="F68">
        <v>5606</v>
      </c>
      <c r="G68" t="s">
        <v>687</v>
      </c>
      <c r="H68" t="s">
        <v>2492</v>
      </c>
      <c r="I68">
        <v>5000</v>
      </c>
      <c r="J68" t="s">
        <v>2460</v>
      </c>
      <c r="K68">
        <v>5000</v>
      </c>
      <c r="L68" t="s">
        <v>2460</v>
      </c>
      <c r="M68">
        <v>5000</v>
      </c>
      <c r="N68" t="s">
        <v>2460</v>
      </c>
      <c r="O68">
        <v>5000</v>
      </c>
      <c r="P68" t="s">
        <v>2460</v>
      </c>
      <c r="Q68">
        <v>5000</v>
      </c>
      <c r="R68" t="s">
        <v>2460</v>
      </c>
      <c r="S68" t="s">
        <v>988</v>
      </c>
    </row>
    <row r="69" spans="1:19" x14ac:dyDescent="0.3">
      <c r="A69">
        <v>2146</v>
      </c>
      <c r="B69" t="s">
        <v>2194</v>
      </c>
      <c r="C69" t="s">
        <v>3876</v>
      </c>
      <c r="D69" t="s">
        <v>1203</v>
      </c>
      <c r="E69" t="s">
        <v>1204</v>
      </c>
      <c r="F69">
        <v>6101</v>
      </c>
      <c r="G69" t="s">
        <v>2681</v>
      </c>
      <c r="H69" t="s">
        <v>3137</v>
      </c>
      <c r="I69">
        <v>1234</v>
      </c>
      <c r="J69" t="s">
        <v>2460</v>
      </c>
      <c r="K69">
        <v>1234</v>
      </c>
      <c r="L69" t="s">
        <v>2460</v>
      </c>
      <c r="M69">
        <v>1234</v>
      </c>
      <c r="N69" t="s">
        <v>2460</v>
      </c>
      <c r="O69">
        <v>1234</v>
      </c>
      <c r="P69" t="s">
        <v>2460</v>
      </c>
      <c r="Q69">
        <v>1234</v>
      </c>
      <c r="R69" t="s">
        <v>2460</v>
      </c>
      <c r="S69" t="s">
        <v>988</v>
      </c>
    </row>
    <row r="70" spans="1:19" x14ac:dyDescent="0.3">
      <c r="A70">
        <v>2146</v>
      </c>
      <c r="B70" t="s">
        <v>2194</v>
      </c>
      <c r="C70" t="s">
        <v>3876</v>
      </c>
      <c r="D70" t="s">
        <v>1203</v>
      </c>
      <c r="E70" t="s">
        <v>1204</v>
      </c>
      <c r="F70">
        <v>6101</v>
      </c>
      <c r="G70" t="s">
        <v>2681</v>
      </c>
      <c r="H70" t="s">
        <v>3919</v>
      </c>
      <c r="I70">
        <v>2178</v>
      </c>
      <c r="J70" t="s">
        <v>2460</v>
      </c>
      <c r="K70">
        <v>2178</v>
      </c>
      <c r="L70" t="s">
        <v>2460</v>
      </c>
      <c r="M70">
        <v>2178</v>
      </c>
      <c r="N70" t="s">
        <v>2460</v>
      </c>
      <c r="O70">
        <v>2178</v>
      </c>
      <c r="P70" t="s">
        <v>2460</v>
      </c>
      <c r="Q70">
        <v>2178</v>
      </c>
      <c r="R70" t="s">
        <v>2460</v>
      </c>
      <c r="S70" t="s">
        <v>988</v>
      </c>
    </row>
    <row r="71" spans="1:19" x14ac:dyDescent="0.3">
      <c r="A71">
        <v>2146</v>
      </c>
      <c r="B71" t="s">
        <v>2194</v>
      </c>
      <c r="C71" t="s">
        <v>3876</v>
      </c>
      <c r="D71" t="s">
        <v>1203</v>
      </c>
      <c r="E71" t="s">
        <v>1204</v>
      </c>
      <c r="F71">
        <v>6101</v>
      </c>
      <c r="G71" t="s">
        <v>2691</v>
      </c>
      <c r="H71" t="s">
        <v>3514</v>
      </c>
      <c r="I71">
        <v>4416</v>
      </c>
      <c r="J71" t="s">
        <v>2460</v>
      </c>
      <c r="K71">
        <v>4416</v>
      </c>
      <c r="L71" t="s">
        <v>2460</v>
      </c>
      <c r="M71">
        <v>4416</v>
      </c>
      <c r="N71" t="s">
        <v>2460</v>
      </c>
      <c r="O71">
        <v>4416</v>
      </c>
      <c r="P71" t="s">
        <v>2460</v>
      </c>
      <c r="Q71">
        <v>4416</v>
      </c>
      <c r="R71" t="s">
        <v>2460</v>
      </c>
      <c r="S71" t="s">
        <v>988</v>
      </c>
    </row>
    <row r="72" spans="1:19" x14ac:dyDescent="0.3">
      <c r="A72">
        <v>2146</v>
      </c>
      <c r="B72" t="s">
        <v>2194</v>
      </c>
      <c r="C72" t="s">
        <v>3876</v>
      </c>
      <c r="D72" t="s">
        <v>1203</v>
      </c>
      <c r="E72" t="s">
        <v>1204</v>
      </c>
      <c r="F72">
        <v>6101</v>
      </c>
      <c r="G72" t="s">
        <v>2681</v>
      </c>
      <c r="H72" t="s">
        <v>3275</v>
      </c>
      <c r="I72">
        <v>932</v>
      </c>
      <c r="J72" t="s">
        <v>2460</v>
      </c>
      <c r="K72">
        <v>932</v>
      </c>
      <c r="L72" t="s">
        <v>2460</v>
      </c>
      <c r="M72">
        <v>932</v>
      </c>
      <c r="N72" t="s">
        <v>2460</v>
      </c>
      <c r="O72">
        <v>932</v>
      </c>
      <c r="P72" t="s">
        <v>2460</v>
      </c>
      <c r="Q72">
        <v>932</v>
      </c>
      <c r="R72" t="s">
        <v>2460</v>
      </c>
      <c r="S72" t="s">
        <v>988</v>
      </c>
    </row>
    <row r="73" spans="1:19" x14ac:dyDescent="0.3">
      <c r="A73">
        <v>2146</v>
      </c>
      <c r="B73" t="s">
        <v>2194</v>
      </c>
      <c r="C73" t="s">
        <v>3876</v>
      </c>
      <c r="D73" t="s">
        <v>1203</v>
      </c>
      <c r="E73" t="s">
        <v>1204</v>
      </c>
      <c r="F73">
        <v>6101</v>
      </c>
      <c r="G73" t="s">
        <v>2681</v>
      </c>
      <c r="H73" t="s">
        <v>3174</v>
      </c>
      <c r="I73">
        <v>6500</v>
      </c>
      <c r="J73" t="s">
        <v>2460</v>
      </c>
      <c r="K73">
        <v>6500</v>
      </c>
      <c r="L73" t="s">
        <v>2460</v>
      </c>
      <c r="M73">
        <v>6500</v>
      </c>
      <c r="N73" t="s">
        <v>2460</v>
      </c>
      <c r="O73">
        <v>6500</v>
      </c>
      <c r="P73" t="s">
        <v>2460</v>
      </c>
      <c r="Q73">
        <v>6500</v>
      </c>
      <c r="R73" t="s">
        <v>2460</v>
      </c>
      <c r="S73" t="s">
        <v>988</v>
      </c>
    </row>
    <row r="74" spans="1:19" x14ac:dyDescent="0.3">
      <c r="A74">
        <v>2149</v>
      </c>
      <c r="B74" t="s">
        <v>928</v>
      </c>
      <c r="C74" t="s">
        <v>3876</v>
      </c>
      <c r="D74" t="s">
        <v>1203</v>
      </c>
      <c r="E74" t="s">
        <v>1204</v>
      </c>
      <c r="F74">
        <v>7795</v>
      </c>
      <c r="G74" t="s">
        <v>2683</v>
      </c>
      <c r="H74" t="s">
        <v>3920</v>
      </c>
      <c r="I74">
        <v>700</v>
      </c>
      <c r="J74" t="s">
        <v>2460</v>
      </c>
      <c r="K74">
        <v>700</v>
      </c>
      <c r="L74" t="s">
        <v>2460</v>
      </c>
      <c r="M74">
        <v>700</v>
      </c>
      <c r="N74" t="s">
        <v>2460</v>
      </c>
      <c r="O74">
        <v>700</v>
      </c>
      <c r="P74" t="s">
        <v>2460</v>
      </c>
      <c r="R74" t="s">
        <v>2460</v>
      </c>
      <c r="S74" t="s">
        <v>988</v>
      </c>
    </row>
    <row r="75" spans="1:19" x14ac:dyDescent="0.3">
      <c r="A75">
        <v>2149</v>
      </c>
      <c r="B75" t="s">
        <v>928</v>
      </c>
      <c r="C75" t="s">
        <v>3876</v>
      </c>
      <c r="D75" t="s">
        <v>1203</v>
      </c>
      <c r="E75" t="s">
        <v>1204</v>
      </c>
      <c r="F75">
        <v>7795</v>
      </c>
      <c r="G75" t="s">
        <v>687</v>
      </c>
      <c r="H75" t="s">
        <v>3921</v>
      </c>
      <c r="I75">
        <v>677</v>
      </c>
      <c r="J75" t="s">
        <v>2460</v>
      </c>
      <c r="K75">
        <v>677</v>
      </c>
      <c r="L75" t="s">
        <v>2460</v>
      </c>
      <c r="M75">
        <v>677</v>
      </c>
      <c r="N75" t="s">
        <v>2460</v>
      </c>
      <c r="O75">
        <v>677</v>
      </c>
      <c r="P75" t="s">
        <v>2460</v>
      </c>
      <c r="R75" t="s">
        <v>2460</v>
      </c>
      <c r="S75" t="s">
        <v>988</v>
      </c>
    </row>
    <row r="76" spans="1:19" x14ac:dyDescent="0.3">
      <c r="A76">
        <v>2149</v>
      </c>
      <c r="B76" t="s">
        <v>928</v>
      </c>
      <c r="C76" t="s">
        <v>3876</v>
      </c>
      <c r="D76" t="s">
        <v>1203</v>
      </c>
      <c r="E76" t="s">
        <v>1204</v>
      </c>
      <c r="F76">
        <v>7795</v>
      </c>
      <c r="G76" t="s">
        <v>2683</v>
      </c>
      <c r="H76" t="s">
        <v>3922</v>
      </c>
      <c r="I76">
        <v>5388</v>
      </c>
      <c r="J76" t="s">
        <v>2460</v>
      </c>
      <c r="K76">
        <v>5388</v>
      </c>
      <c r="L76" t="s">
        <v>2460</v>
      </c>
      <c r="M76">
        <v>5388</v>
      </c>
      <c r="N76" t="s">
        <v>2460</v>
      </c>
      <c r="O76">
        <v>5388</v>
      </c>
      <c r="P76" t="s">
        <v>2460</v>
      </c>
      <c r="R76" t="s">
        <v>2460</v>
      </c>
      <c r="S76" t="s">
        <v>988</v>
      </c>
    </row>
    <row r="77" spans="1:19" x14ac:dyDescent="0.3">
      <c r="A77">
        <v>2156</v>
      </c>
      <c r="B77" t="s">
        <v>836</v>
      </c>
      <c r="C77" t="s">
        <v>3876</v>
      </c>
      <c r="D77" t="s">
        <v>1203</v>
      </c>
      <c r="E77" t="s">
        <v>1204</v>
      </c>
      <c r="F77">
        <v>5772</v>
      </c>
      <c r="G77" t="s">
        <v>2685</v>
      </c>
      <c r="H77" t="s">
        <v>3923</v>
      </c>
      <c r="I77">
        <v>0</v>
      </c>
      <c r="J77" t="s">
        <v>2460</v>
      </c>
      <c r="K77">
        <v>0</v>
      </c>
      <c r="L77" t="s">
        <v>2460</v>
      </c>
      <c r="M77">
        <v>0</v>
      </c>
      <c r="N77" t="s">
        <v>2460</v>
      </c>
      <c r="O77">
        <v>12100</v>
      </c>
      <c r="P77" t="s">
        <v>3924</v>
      </c>
      <c r="Q77">
        <v>12100</v>
      </c>
      <c r="R77" t="s">
        <v>3924</v>
      </c>
      <c r="S77" t="s">
        <v>988</v>
      </c>
    </row>
    <row r="78" spans="1:19" x14ac:dyDescent="0.3">
      <c r="A78">
        <v>2156</v>
      </c>
      <c r="B78" t="s">
        <v>836</v>
      </c>
      <c r="C78" t="s">
        <v>3876</v>
      </c>
      <c r="D78" t="s">
        <v>1203</v>
      </c>
      <c r="E78" t="s">
        <v>1204</v>
      </c>
      <c r="F78">
        <v>5772</v>
      </c>
      <c r="G78" t="s">
        <v>2683</v>
      </c>
      <c r="H78" t="s">
        <v>3925</v>
      </c>
      <c r="I78">
        <v>59508</v>
      </c>
      <c r="J78" t="s">
        <v>3926</v>
      </c>
      <c r="K78">
        <v>59508</v>
      </c>
      <c r="L78" t="s">
        <v>3926</v>
      </c>
      <c r="M78">
        <v>59508</v>
      </c>
      <c r="N78" t="s">
        <v>3926</v>
      </c>
      <c r="O78">
        <v>53352</v>
      </c>
      <c r="P78" t="s">
        <v>3926</v>
      </c>
      <c r="Q78">
        <v>53352</v>
      </c>
      <c r="R78" t="s">
        <v>3926</v>
      </c>
      <c r="S78" t="s">
        <v>988</v>
      </c>
    </row>
    <row r="79" spans="1:19" x14ac:dyDescent="0.3">
      <c r="A79">
        <v>2160</v>
      </c>
      <c r="B79" t="s">
        <v>1904</v>
      </c>
      <c r="C79" t="s">
        <v>3876</v>
      </c>
      <c r="D79" t="s">
        <v>1203</v>
      </c>
      <c r="E79" t="s">
        <v>1204</v>
      </c>
      <c r="F79">
        <v>5474</v>
      </c>
      <c r="G79" t="s">
        <v>2683</v>
      </c>
      <c r="H79" t="s">
        <v>3927</v>
      </c>
      <c r="I79">
        <v>12709</v>
      </c>
      <c r="J79" t="s">
        <v>3928</v>
      </c>
      <c r="K79">
        <v>12758</v>
      </c>
      <c r="L79" t="s">
        <v>3929</v>
      </c>
      <c r="M79">
        <v>12799</v>
      </c>
      <c r="N79" t="s">
        <v>3930</v>
      </c>
      <c r="O79">
        <v>12840</v>
      </c>
      <c r="P79" t="s">
        <v>3931</v>
      </c>
      <c r="Q79">
        <v>12868</v>
      </c>
      <c r="R79" t="s">
        <v>3932</v>
      </c>
      <c r="S79" t="s">
        <v>988</v>
      </c>
    </row>
    <row r="80" spans="1:19" x14ac:dyDescent="0.3">
      <c r="A80">
        <v>2160</v>
      </c>
      <c r="B80" t="s">
        <v>1904</v>
      </c>
      <c r="C80" t="s">
        <v>3876</v>
      </c>
      <c r="D80" t="s">
        <v>1203</v>
      </c>
      <c r="E80" t="s">
        <v>1204</v>
      </c>
      <c r="F80">
        <v>5474</v>
      </c>
      <c r="G80" t="s">
        <v>2679</v>
      </c>
      <c r="H80" t="s">
        <v>2460</v>
      </c>
      <c r="I80">
        <v>0</v>
      </c>
      <c r="J80" t="s">
        <v>2982</v>
      </c>
      <c r="K80">
        <v>0</v>
      </c>
      <c r="L80" t="s">
        <v>2982</v>
      </c>
      <c r="M80">
        <v>0</v>
      </c>
      <c r="N80" t="s">
        <v>2982</v>
      </c>
      <c r="O80">
        <v>0</v>
      </c>
      <c r="P80" t="s">
        <v>2982</v>
      </c>
      <c r="Q80">
        <v>0</v>
      </c>
      <c r="R80" t="s">
        <v>2982</v>
      </c>
      <c r="S80" t="s">
        <v>988</v>
      </c>
    </row>
    <row r="81" spans="1:19" x14ac:dyDescent="0.3">
      <c r="A81">
        <v>2161</v>
      </c>
      <c r="B81" t="s">
        <v>2205</v>
      </c>
      <c r="C81" t="s">
        <v>3876</v>
      </c>
      <c r="D81" t="s">
        <v>1203</v>
      </c>
      <c r="E81" t="s">
        <v>1204</v>
      </c>
      <c r="F81">
        <v>5711</v>
      </c>
      <c r="G81" t="s">
        <v>2698</v>
      </c>
      <c r="H81" t="s">
        <v>2460</v>
      </c>
      <c r="I81">
        <v>78700</v>
      </c>
      <c r="J81" t="s">
        <v>2460</v>
      </c>
      <c r="K81">
        <v>78700</v>
      </c>
      <c r="L81" t="s">
        <v>2460</v>
      </c>
      <c r="M81">
        <v>78700</v>
      </c>
      <c r="N81" t="s">
        <v>2460</v>
      </c>
      <c r="O81">
        <v>78700</v>
      </c>
      <c r="P81" t="s">
        <v>2460</v>
      </c>
      <c r="Q81">
        <v>78700</v>
      </c>
      <c r="R81" t="s">
        <v>2460</v>
      </c>
      <c r="S81" t="s">
        <v>988</v>
      </c>
    </row>
    <row r="82" spans="1:19" x14ac:dyDescent="0.3">
      <c r="A82">
        <v>2161</v>
      </c>
      <c r="B82" t="s">
        <v>2205</v>
      </c>
      <c r="C82" t="s">
        <v>3876</v>
      </c>
      <c r="D82" t="s">
        <v>1203</v>
      </c>
      <c r="E82" t="s">
        <v>1204</v>
      </c>
      <c r="F82">
        <v>5711</v>
      </c>
      <c r="G82" t="s">
        <v>2689</v>
      </c>
      <c r="H82" t="s">
        <v>2460</v>
      </c>
      <c r="I82">
        <v>50000</v>
      </c>
      <c r="J82" t="s">
        <v>2460</v>
      </c>
      <c r="K82">
        <v>50000</v>
      </c>
      <c r="L82" t="s">
        <v>2460</v>
      </c>
      <c r="M82">
        <v>50000</v>
      </c>
      <c r="N82" t="s">
        <v>2460</v>
      </c>
      <c r="O82">
        <v>50000</v>
      </c>
      <c r="P82" t="s">
        <v>2460</v>
      </c>
      <c r="Q82">
        <v>50000</v>
      </c>
      <c r="R82" t="s">
        <v>2460</v>
      </c>
      <c r="S82" t="s">
        <v>988</v>
      </c>
    </row>
    <row r="83" spans="1:19" x14ac:dyDescent="0.3">
      <c r="A83">
        <v>2161</v>
      </c>
      <c r="B83" t="s">
        <v>2205</v>
      </c>
      <c r="C83" t="s">
        <v>3876</v>
      </c>
      <c r="D83" t="s">
        <v>1203</v>
      </c>
      <c r="E83" t="s">
        <v>1204</v>
      </c>
      <c r="F83">
        <v>5711</v>
      </c>
      <c r="G83" t="s">
        <v>2683</v>
      </c>
      <c r="H83" t="s">
        <v>2460</v>
      </c>
      <c r="I83">
        <v>55996</v>
      </c>
      <c r="J83" t="s">
        <v>2460</v>
      </c>
      <c r="K83">
        <v>53572</v>
      </c>
      <c r="L83" t="s">
        <v>2460</v>
      </c>
      <c r="M83">
        <v>13625</v>
      </c>
      <c r="N83" t="s">
        <v>2460</v>
      </c>
      <c r="O83">
        <v>32765</v>
      </c>
      <c r="P83" t="s">
        <v>2460</v>
      </c>
      <c r="Q83">
        <v>49196</v>
      </c>
      <c r="R83" t="s">
        <v>2460</v>
      </c>
      <c r="S83" t="s">
        <v>988</v>
      </c>
    </row>
    <row r="84" spans="1:19" x14ac:dyDescent="0.3">
      <c r="A84">
        <v>2161</v>
      </c>
      <c r="B84" t="s">
        <v>2205</v>
      </c>
      <c r="C84" t="s">
        <v>3876</v>
      </c>
      <c r="D84" t="s">
        <v>1203</v>
      </c>
      <c r="E84" t="s">
        <v>1204</v>
      </c>
      <c r="F84">
        <v>5711</v>
      </c>
      <c r="G84" t="s">
        <v>784</v>
      </c>
      <c r="H84" t="s">
        <v>2460</v>
      </c>
      <c r="I84">
        <v>200000</v>
      </c>
      <c r="J84" t="s">
        <v>2460</v>
      </c>
      <c r="K84">
        <v>200000</v>
      </c>
      <c r="L84" t="s">
        <v>2460</v>
      </c>
      <c r="M84">
        <v>200000</v>
      </c>
      <c r="N84" t="s">
        <v>2460</v>
      </c>
      <c r="O84">
        <v>200000</v>
      </c>
      <c r="P84" t="s">
        <v>2460</v>
      </c>
      <c r="Q84">
        <v>200000</v>
      </c>
      <c r="R84" t="s">
        <v>2460</v>
      </c>
      <c r="S84" t="s">
        <v>988</v>
      </c>
    </row>
    <row r="85" spans="1:19" x14ac:dyDescent="0.3">
      <c r="A85">
        <v>2164</v>
      </c>
      <c r="B85" t="s">
        <v>1909</v>
      </c>
      <c r="C85" t="s">
        <v>3876</v>
      </c>
      <c r="D85" t="s">
        <v>159</v>
      </c>
      <c r="E85" t="s">
        <v>159</v>
      </c>
      <c r="F85">
        <v>6833</v>
      </c>
      <c r="G85" t="s">
        <v>2691</v>
      </c>
      <c r="H85" t="s">
        <v>2460</v>
      </c>
      <c r="I85">
        <v>163940</v>
      </c>
      <c r="J85" t="s">
        <v>2460</v>
      </c>
      <c r="K85">
        <v>166000</v>
      </c>
      <c r="L85" t="s">
        <v>2460</v>
      </c>
      <c r="M85">
        <v>170490</v>
      </c>
      <c r="N85" t="s">
        <v>2460</v>
      </c>
      <c r="O85">
        <v>175420</v>
      </c>
      <c r="P85" t="s">
        <v>2460</v>
      </c>
      <c r="Q85">
        <v>182640</v>
      </c>
      <c r="R85" t="s">
        <v>2460</v>
      </c>
      <c r="S85" t="s">
        <v>988</v>
      </c>
    </row>
    <row r="86" spans="1:19" x14ac:dyDescent="0.3">
      <c r="A86">
        <v>3994</v>
      </c>
      <c r="B86" t="s">
        <v>837</v>
      </c>
      <c r="C86" t="s">
        <v>3876</v>
      </c>
      <c r="D86" t="s">
        <v>1203</v>
      </c>
      <c r="E86" t="s">
        <v>1204</v>
      </c>
      <c r="F86">
        <v>5789</v>
      </c>
      <c r="G86" t="s">
        <v>2683</v>
      </c>
      <c r="H86" t="s">
        <v>3128</v>
      </c>
      <c r="I86">
        <v>16704</v>
      </c>
      <c r="J86" t="s">
        <v>3933</v>
      </c>
      <c r="K86">
        <v>16704</v>
      </c>
      <c r="L86" t="s">
        <v>3933</v>
      </c>
      <c r="M86">
        <v>16704</v>
      </c>
      <c r="N86" t="s">
        <v>3933</v>
      </c>
      <c r="O86">
        <v>16704</v>
      </c>
      <c r="P86" t="s">
        <v>3933</v>
      </c>
      <c r="Q86">
        <v>16704</v>
      </c>
      <c r="R86" t="s">
        <v>3933</v>
      </c>
      <c r="S86" t="s">
        <v>988</v>
      </c>
    </row>
    <row r="87" spans="1:19" x14ac:dyDescent="0.3">
      <c r="A87">
        <v>2168</v>
      </c>
      <c r="B87" t="s">
        <v>839</v>
      </c>
      <c r="C87" t="s">
        <v>3876</v>
      </c>
      <c r="D87" t="s">
        <v>1203</v>
      </c>
      <c r="E87" t="s">
        <v>1204</v>
      </c>
      <c r="F87">
        <v>5670</v>
      </c>
      <c r="G87" t="s">
        <v>687</v>
      </c>
      <c r="H87" t="s">
        <v>3934</v>
      </c>
      <c r="I87">
        <v>30400</v>
      </c>
      <c r="J87" t="s">
        <v>2460</v>
      </c>
      <c r="K87">
        <v>32900</v>
      </c>
      <c r="L87" t="s">
        <v>2460</v>
      </c>
      <c r="M87">
        <v>38700</v>
      </c>
      <c r="N87" t="s">
        <v>2460</v>
      </c>
      <c r="O87">
        <v>41200</v>
      </c>
      <c r="P87" t="s">
        <v>2460</v>
      </c>
      <c r="Q87">
        <v>44700</v>
      </c>
      <c r="R87" t="s">
        <v>2460</v>
      </c>
      <c r="S87" t="s">
        <v>988</v>
      </c>
    </row>
    <row r="88" spans="1:19" x14ac:dyDescent="0.3">
      <c r="A88">
        <v>2179</v>
      </c>
      <c r="B88" t="s">
        <v>774</v>
      </c>
      <c r="C88" t="s">
        <v>3876</v>
      </c>
      <c r="D88" t="s">
        <v>1203</v>
      </c>
      <c r="E88" t="s">
        <v>1204</v>
      </c>
      <c r="F88">
        <v>5657</v>
      </c>
      <c r="G88" t="s">
        <v>687</v>
      </c>
      <c r="H88" t="s">
        <v>3935</v>
      </c>
      <c r="I88">
        <v>82200</v>
      </c>
      <c r="J88" t="s">
        <v>2460</v>
      </c>
      <c r="K88">
        <v>82200</v>
      </c>
      <c r="L88" t="s">
        <v>2460</v>
      </c>
      <c r="M88">
        <v>82200</v>
      </c>
      <c r="N88" t="s">
        <v>2460</v>
      </c>
      <c r="O88">
        <v>82200</v>
      </c>
      <c r="P88" t="s">
        <v>2460</v>
      </c>
      <c r="Q88">
        <v>82200</v>
      </c>
      <c r="R88" t="s">
        <v>2460</v>
      </c>
      <c r="S88" t="s">
        <v>988</v>
      </c>
    </row>
    <row r="89" spans="1:19" x14ac:dyDescent="0.3">
      <c r="A89">
        <v>2184</v>
      </c>
      <c r="B89" t="s">
        <v>935</v>
      </c>
      <c r="C89" t="s">
        <v>3876</v>
      </c>
      <c r="D89" t="s">
        <v>1203</v>
      </c>
      <c r="E89" t="s">
        <v>1204</v>
      </c>
      <c r="F89">
        <v>6523</v>
      </c>
      <c r="G89" t="s">
        <v>2691</v>
      </c>
      <c r="H89" t="s">
        <v>3936</v>
      </c>
      <c r="I89">
        <v>8730</v>
      </c>
      <c r="J89" t="s">
        <v>3937</v>
      </c>
      <c r="K89">
        <v>8730</v>
      </c>
      <c r="L89" t="s">
        <v>3937</v>
      </c>
      <c r="M89">
        <v>8730</v>
      </c>
      <c r="N89" t="s">
        <v>3937</v>
      </c>
      <c r="O89">
        <v>8730</v>
      </c>
      <c r="P89" t="s">
        <v>3937</v>
      </c>
      <c r="Q89">
        <v>8730</v>
      </c>
      <c r="R89" t="s">
        <v>3937</v>
      </c>
      <c r="S89" t="s">
        <v>988</v>
      </c>
    </row>
    <row r="90" spans="1:19" x14ac:dyDescent="0.3">
      <c r="A90">
        <v>2211</v>
      </c>
      <c r="B90" t="s">
        <v>811</v>
      </c>
      <c r="C90" t="s">
        <v>3876</v>
      </c>
      <c r="D90" t="s">
        <v>159</v>
      </c>
      <c r="E90" t="s">
        <v>159</v>
      </c>
      <c r="F90">
        <v>5461</v>
      </c>
      <c r="G90" t="s">
        <v>2683</v>
      </c>
      <c r="H90" t="s">
        <v>3938</v>
      </c>
      <c r="I90">
        <v>185000</v>
      </c>
      <c r="J90" t="s">
        <v>2460</v>
      </c>
      <c r="K90">
        <v>190000</v>
      </c>
      <c r="L90" t="s">
        <v>2460</v>
      </c>
      <c r="M90">
        <v>195000</v>
      </c>
      <c r="N90" t="s">
        <v>2460</v>
      </c>
      <c r="O90">
        <v>200000</v>
      </c>
      <c r="P90" t="s">
        <v>2460</v>
      </c>
      <c r="Q90">
        <v>205000</v>
      </c>
      <c r="R90" t="s">
        <v>2460</v>
      </c>
      <c r="S90" t="s">
        <v>988</v>
      </c>
    </row>
    <row r="91" spans="1:19" x14ac:dyDescent="0.3">
      <c r="A91">
        <v>2211</v>
      </c>
      <c r="B91" t="s">
        <v>811</v>
      </c>
      <c r="C91" t="s">
        <v>3876</v>
      </c>
      <c r="D91" t="s">
        <v>159</v>
      </c>
      <c r="E91" t="s">
        <v>159</v>
      </c>
      <c r="F91">
        <v>5461</v>
      </c>
      <c r="G91" t="s">
        <v>2691</v>
      </c>
      <c r="H91" t="s">
        <v>3939</v>
      </c>
      <c r="I91">
        <v>30000</v>
      </c>
      <c r="J91" t="s">
        <v>2460</v>
      </c>
      <c r="K91">
        <v>70000</v>
      </c>
      <c r="L91" t="s">
        <v>2460</v>
      </c>
      <c r="M91">
        <v>185000</v>
      </c>
      <c r="N91" t="s">
        <v>2460</v>
      </c>
      <c r="O91">
        <v>185000</v>
      </c>
      <c r="P91" t="s">
        <v>2460</v>
      </c>
      <c r="Q91">
        <v>185000</v>
      </c>
      <c r="R91" t="s">
        <v>2460</v>
      </c>
      <c r="S91" t="s">
        <v>988</v>
      </c>
    </row>
    <row r="92" spans="1:19" x14ac:dyDescent="0.3">
      <c r="A92">
        <v>2211</v>
      </c>
      <c r="B92" t="s">
        <v>811</v>
      </c>
      <c r="C92" t="s">
        <v>3876</v>
      </c>
      <c r="D92" t="s">
        <v>159</v>
      </c>
      <c r="E92" t="s">
        <v>159</v>
      </c>
      <c r="F92">
        <v>5461</v>
      </c>
      <c r="G92" t="s">
        <v>2681</v>
      </c>
      <c r="H92" t="s">
        <v>3940</v>
      </c>
      <c r="I92">
        <v>140000</v>
      </c>
      <c r="J92" t="s">
        <v>2460</v>
      </c>
      <c r="K92">
        <v>164000</v>
      </c>
      <c r="L92" t="s">
        <v>2460</v>
      </c>
      <c r="M92">
        <v>163000</v>
      </c>
      <c r="N92" t="s">
        <v>2460</v>
      </c>
      <c r="O92">
        <v>162000</v>
      </c>
      <c r="P92" t="s">
        <v>2460</v>
      </c>
      <c r="Q92">
        <v>162000</v>
      </c>
      <c r="R92" t="s">
        <v>2460</v>
      </c>
      <c r="S92" t="s">
        <v>988</v>
      </c>
    </row>
    <row r="93" spans="1:19" x14ac:dyDescent="0.3">
      <c r="A93">
        <v>2211</v>
      </c>
      <c r="B93" t="s">
        <v>811</v>
      </c>
      <c r="C93" t="s">
        <v>3876</v>
      </c>
      <c r="D93" t="s">
        <v>159</v>
      </c>
      <c r="E93" t="s">
        <v>159</v>
      </c>
      <c r="F93">
        <v>5461</v>
      </c>
      <c r="G93" t="s">
        <v>2679</v>
      </c>
      <c r="H93" t="s">
        <v>3941</v>
      </c>
      <c r="I93">
        <v>16000</v>
      </c>
      <c r="J93" t="s">
        <v>2460</v>
      </c>
      <c r="K93">
        <v>19000</v>
      </c>
      <c r="L93" t="s">
        <v>2460</v>
      </c>
      <c r="M93">
        <v>22000</v>
      </c>
      <c r="N93" t="s">
        <v>2460</v>
      </c>
      <c r="O93">
        <v>26000</v>
      </c>
      <c r="P93" t="s">
        <v>2460</v>
      </c>
      <c r="Q93">
        <v>28000</v>
      </c>
      <c r="R93" t="s">
        <v>2460</v>
      </c>
      <c r="S93" t="s">
        <v>988</v>
      </c>
    </row>
    <row r="94" spans="1:19" x14ac:dyDescent="0.3">
      <c r="A94">
        <v>2211</v>
      </c>
      <c r="B94" t="s">
        <v>811</v>
      </c>
      <c r="C94" t="s">
        <v>3876</v>
      </c>
      <c r="D94" t="s">
        <v>159</v>
      </c>
      <c r="E94" t="s">
        <v>159</v>
      </c>
      <c r="F94">
        <v>5461</v>
      </c>
      <c r="G94" t="s">
        <v>2685</v>
      </c>
      <c r="H94" t="s">
        <v>3942</v>
      </c>
      <c r="I94">
        <v>75000</v>
      </c>
      <c r="J94" t="s">
        <v>2460</v>
      </c>
      <c r="K94">
        <v>75000</v>
      </c>
      <c r="L94" t="s">
        <v>2460</v>
      </c>
      <c r="M94">
        <v>75000</v>
      </c>
      <c r="N94" t="s">
        <v>2460</v>
      </c>
      <c r="O94">
        <v>70000</v>
      </c>
      <c r="P94" t="s">
        <v>2460</v>
      </c>
      <c r="Q94">
        <v>70000</v>
      </c>
      <c r="R94" t="s">
        <v>2460</v>
      </c>
      <c r="S94" t="s">
        <v>988</v>
      </c>
    </row>
    <row r="95" spans="1:19" x14ac:dyDescent="0.3">
      <c r="A95">
        <v>2328</v>
      </c>
      <c r="B95" t="s">
        <v>2217</v>
      </c>
      <c r="C95" t="s">
        <v>3876</v>
      </c>
      <c r="D95" t="s">
        <v>1203</v>
      </c>
      <c r="E95" t="s">
        <v>1204</v>
      </c>
      <c r="F95">
        <v>5466</v>
      </c>
      <c r="G95" t="s">
        <v>2691</v>
      </c>
      <c r="H95" t="s">
        <v>2460</v>
      </c>
      <c r="I95">
        <v>75000</v>
      </c>
      <c r="J95" t="s">
        <v>3943</v>
      </c>
      <c r="K95">
        <v>75000</v>
      </c>
      <c r="L95" t="s">
        <v>3943</v>
      </c>
      <c r="M95">
        <v>75000</v>
      </c>
      <c r="N95" t="s">
        <v>3943</v>
      </c>
      <c r="O95">
        <v>75000</v>
      </c>
      <c r="P95" t="s">
        <v>3943</v>
      </c>
      <c r="Q95">
        <v>75000</v>
      </c>
      <c r="R95" t="s">
        <v>3943</v>
      </c>
      <c r="S95" t="s">
        <v>988</v>
      </c>
    </row>
    <row r="96" spans="1:19" x14ac:dyDescent="0.3">
      <c r="A96">
        <v>2328</v>
      </c>
      <c r="B96" t="s">
        <v>2217</v>
      </c>
      <c r="C96" t="s">
        <v>3876</v>
      </c>
      <c r="D96" t="s">
        <v>1203</v>
      </c>
      <c r="E96" t="s">
        <v>1204</v>
      </c>
      <c r="F96">
        <v>5466</v>
      </c>
      <c r="G96" t="s">
        <v>2681</v>
      </c>
      <c r="H96" t="s">
        <v>2460</v>
      </c>
      <c r="I96">
        <v>2300</v>
      </c>
      <c r="J96" t="s">
        <v>2460</v>
      </c>
      <c r="K96">
        <v>2300</v>
      </c>
      <c r="L96" t="s">
        <v>2460</v>
      </c>
      <c r="M96">
        <v>2300</v>
      </c>
      <c r="N96" t="s">
        <v>2460</v>
      </c>
      <c r="O96">
        <v>2300</v>
      </c>
      <c r="P96" t="s">
        <v>2460</v>
      </c>
      <c r="Q96">
        <v>2300</v>
      </c>
      <c r="R96" t="s">
        <v>2460</v>
      </c>
      <c r="S96" t="s">
        <v>988</v>
      </c>
    </row>
    <row r="97" spans="1:19" x14ac:dyDescent="0.3">
      <c r="A97">
        <v>2346</v>
      </c>
      <c r="B97" t="s">
        <v>2220</v>
      </c>
      <c r="C97" t="s">
        <v>3876</v>
      </c>
      <c r="D97" t="s">
        <v>159</v>
      </c>
      <c r="E97" t="s">
        <v>159</v>
      </c>
      <c r="F97">
        <v>7918</v>
      </c>
      <c r="G97" t="s">
        <v>2691</v>
      </c>
      <c r="H97" t="s">
        <v>3944</v>
      </c>
      <c r="I97">
        <v>31522</v>
      </c>
      <c r="J97" t="s">
        <v>3945</v>
      </c>
      <c r="K97">
        <v>31522</v>
      </c>
      <c r="L97" t="s">
        <v>3945</v>
      </c>
      <c r="M97">
        <v>31522</v>
      </c>
      <c r="N97" t="s">
        <v>3945</v>
      </c>
      <c r="O97">
        <v>43090</v>
      </c>
      <c r="P97" t="s">
        <v>3945</v>
      </c>
      <c r="Q97">
        <v>43090</v>
      </c>
      <c r="R97" t="s">
        <v>3945</v>
      </c>
      <c r="S97" t="s">
        <v>988</v>
      </c>
    </row>
    <row r="98" spans="1:19" x14ac:dyDescent="0.3">
      <c r="A98">
        <v>2382</v>
      </c>
      <c r="B98" t="s">
        <v>912</v>
      </c>
      <c r="C98" t="s">
        <v>3876</v>
      </c>
      <c r="D98" t="s">
        <v>1203</v>
      </c>
      <c r="E98" t="s">
        <v>1204</v>
      </c>
      <c r="F98">
        <v>5810</v>
      </c>
      <c r="G98" t="s">
        <v>2683</v>
      </c>
      <c r="H98" t="s">
        <v>3946</v>
      </c>
      <c r="I98">
        <v>80000</v>
      </c>
      <c r="J98" t="s">
        <v>3947</v>
      </c>
      <c r="K98">
        <v>80000</v>
      </c>
      <c r="L98" t="s">
        <v>3947</v>
      </c>
      <c r="M98">
        <v>75000</v>
      </c>
      <c r="N98" t="s">
        <v>3947</v>
      </c>
      <c r="O98">
        <v>75000</v>
      </c>
      <c r="P98" t="s">
        <v>3947</v>
      </c>
      <c r="Q98">
        <v>75000</v>
      </c>
      <c r="R98" t="s">
        <v>3947</v>
      </c>
      <c r="S98" t="s">
        <v>988</v>
      </c>
    </row>
    <row r="99" spans="1:19" x14ac:dyDescent="0.3">
      <c r="A99">
        <v>2382</v>
      </c>
      <c r="B99" t="s">
        <v>912</v>
      </c>
      <c r="C99" t="s">
        <v>3876</v>
      </c>
      <c r="D99" t="s">
        <v>1203</v>
      </c>
      <c r="E99" t="s">
        <v>1204</v>
      </c>
      <c r="F99">
        <v>5810</v>
      </c>
      <c r="G99" t="s">
        <v>2681</v>
      </c>
      <c r="H99" t="s">
        <v>3948</v>
      </c>
      <c r="I99">
        <v>16130</v>
      </c>
      <c r="J99" t="s">
        <v>3949</v>
      </c>
      <c r="K99">
        <v>18550</v>
      </c>
      <c r="L99" t="s">
        <v>3950</v>
      </c>
      <c r="M99">
        <v>20969</v>
      </c>
      <c r="N99" t="s">
        <v>3951</v>
      </c>
      <c r="O99">
        <v>23389</v>
      </c>
      <c r="P99" t="s">
        <v>3952</v>
      </c>
      <c r="Q99">
        <v>25808</v>
      </c>
      <c r="R99" t="s">
        <v>3953</v>
      </c>
      <c r="S99" t="s">
        <v>988</v>
      </c>
    </row>
    <row r="100" spans="1:19" x14ac:dyDescent="0.3">
      <c r="A100">
        <v>2382</v>
      </c>
      <c r="B100" t="s">
        <v>912</v>
      </c>
      <c r="C100" t="s">
        <v>3876</v>
      </c>
      <c r="D100" t="s">
        <v>1203</v>
      </c>
      <c r="E100" t="s">
        <v>1204</v>
      </c>
      <c r="F100">
        <v>5810</v>
      </c>
      <c r="G100" t="s">
        <v>2683</v>
      </c>
      <c r="H100" t="s">
        <v>3954</v>
      </c>
      <c r="I100">
        <v>90000</v>
      </c>
      <c r="J100" t="s">
        <v>3955</v>
      </c>
      <c r="K100">
        <v>90000</v>
      </c>
      <c r="L100" t="s">
        <v>3955</v>
      </c>
      <c r="M100">
        <v>90000</v>
      </c>
      <c r="N100" t="s">
        <v>3955</v>
      </c>
      <c r="O100">
        <v>90000</v>
      </c>
      <c r="P100" t="s">
        <v>3955</v>
      </c>
      <c r="Q100">
        <v>90000</v>
      </c>
      <c r="R100" t="s">
        <v>3955</v>
      </c>
      <c r="S100" t="s">
        <v>988</v>
      </c>
    </row>
    <row r="101" spans="1:19" x14ac:dyDescent="0.3">
      <c r="B101" t="s">
        <v>2025</v>
      </c>
      <c r="C101" t="s">
        <v>3876</v>
      </c>
      <c r="D101" t="s">
        <v>1203</v>
      </c>
      <c r="E101" t="s">
        <v>1204</v>
      </c>
      <c r="F101">
        <v>7912</v>
      </c>
      <c r="G101" t="s">
        <v>2683</v>
      </c>
      <c r="H101" t="s">
        <v>3956</v>
      </c>
      <c r="I101">
        <v>5000000</v>
      </c>
      <c r="J101" t="s">
        <v>2460</v>
      </c>
      <c r="K101">
        <v>5000000</v>
      </c>
      <c r="L101" t="s">
        <v>2460</v>
      </c>
      <c r="M101">
        <v>5000000</v>
      </c>
      <c r="N101" t="s">
        <v>2460</v>
      </c>
      <c r="O101">
        <v>5000000</v>
      </c>
      <c r="P101" t="s">
        <v>2460</v>
      </c>
      <c r="R101" t="s">
        <v>2460</v>
      </c>
      <c r="S101" t="s">
        <v>988</v>
      </c>
    </row>
    <row r="102" spans="1:19" x14ac:dyDescent="0.3">
      <c r="A102">
        <v>440</v>
      </c>
      <c r="B102" t="s">
        <v>2026</v>
      </c>
      <c r="C102" t="s">
        <v>3876</v>
      </c>
      <c r="D102" t="s">
        <v>159</v>
      </c>
      <c r="E102" t="s">
        <v>159</v>
      </c>
      <c r="F102">
        <v>7913</v>
      </c>
      <c r="G102" t="s">
        <v>2679</v>
      </c>
      <c r="H102" t="s">
        <v>2460</v>
      </c>
      <c r="I102">
        <v>5.0505049990780003E-2</v>
      </c>
      <c r="J102" t="s">
        <v>2460</v>
      </c>
      <c r="K102">
        <v>7.5757574986170001E-2</v>
      </c>
      <c r="L102" t="s">
        <v>2460</v>
      </c>
      <c r="M102">
        <v>0.10101009998156001</v>
      </c>
      <c r="N102" t="s">
        <v>2460</v>
      </c>
      <c r="O102">
        <v>0.12626262497695001</v>
      </c>
      <c r="P102" t="s">
        <v>2460</v>
      </c>
      <c r="Q102">
        <v>0.15151514997234</v>
      </c>
      <c r="R102" t="s">
        <v>2460</v>
      </c>
      <c r="S102" t="s">
        <v>988</v>
      </c>
    </row>
    <row r="103" spans="1:19" x14ac:dyDescent="0.3">
      <c r="A103">
        <v>2473</v>
      </c>
      <c r="B103" t="s">
        <v>2228</v>
      </c>
      <c r="C103" t="s">
        <v>3876</v>
      </c>
      <c r="D103" t="s">
        <v>159</v>
      </c>
      <c r="E103" t="s">
        <v>159</v>
      </c>
      <c r="F103">
        <v>5522</v>
      </c>
      <c r="G103" t="s">
        <v>2681</v>
      </c>
      <c r="H103" t="s">
        <v>3275</v>
      </c>
      <c r="I103">
        <v>2500</v>
      </c>
      <c r="J103" t="s">
        <v>2460</v>
      </c>
      <c r="K103">
        <v>3000</v>
      </c>
      <c r="L103" t="s">
        <v>2460</v>
      </c>
      <c r="M103">
        <v>3000</v>
      </c>
      <c r="N103" t="s">
        <v>2460</v>
      </c>
      <c r="O103">
        <v>3000</v>
      </c>
      <c r="P103" t="s">
        <v>2460</v>
      </c>
      <c r="Q103">
        <v>3000</v>
      </c>
      <c r="R103" t="s">
        <v>2460</v>
      </c>
      <c r="S103" t="s">
        <v>988</v>
      </c>
    </row>
    <row r="104" spans="1:19" x14ac:dyDescent="0.3">
      <c r="A104">
        <v>2473</v>
      </c>
      <c r="B104" t="s">
        <v>2228</v>
      </c>
      <c r="C104" t="s">
        <v>3876</v>
      </c>
      <c r="D104" t="s">
        <v>159</v>
      </c>
      <c r="E104" t="s">
        <v>159</v>
      </c>
      <c r="F104">
        <v>5522</v>
      </c>
      <c r="G104" t="s">
        <v>2683</v>
      </c>
      <c r="H104" t="s">
        <v>2889</v>
      </c>
      <c r="I104">
        <v>52516</v>
      </c>
      <c r="J104" t="s">
        <v>2460</v>
      </c>
      <c r="K104">
        <v>51401</v>
      </c>
      <c r="L104" t="s">
        <v>2460</v>
      </c>
      <c r="M104">
        <v>51261</v>
      </c>
      <c r="N104" t="s">
        <v>2460</v>
      </c>
      <c r="O104">
        <v>51025</v>
      </c>
      <c r="P104" t="s">
        <v>2460</v>
      </c>
      <c r="Q104">
        <v>50765</v>
      </c>
      <c r="R104" t="s">
        <v>2460</v>
      </c>
      <c r="S104" t="s">
        <v>988</v>
      </c>
    </row>
    <row r="105" spans="1:19" x14ac:dyDescent="0.3">
      <c r="A105">
        <v>2473</v>
      </c>
      <c r="B105" t="s">
        <v>2228</v>
      </c>
      <c r="C105" t="s">
        <v>3876</v>
      </c>
      <c r="D105" t="s">
        <v>159</v>
      </c>
      <c r="E105" t="s">
        <v>159</v>
      </c>
      <c r="F105">
        <v>5522</v>
      </c>
      <c r="G105" t="s">
        <v>687</v>
      </c>
      <c r="H105" t="s">
        <v>2229</v>
      </c>
      <c r="I105">
        <v>3000</v>
      </c>
      <c r="J105" t="s">
        <v>2460</v>
      </c>
      <c r="K105">
        <v>3500</v>
      </c>
      <c r="L105" t="s">
        <v>2460</v>
      </c>
      <c r="M105">
        <v>3500</v>
      </c>
      <c r="N105" t="s">
        <v>2460</v>
      </c>
      <c r="O105">
        <v>3500</v>
      </c>
      <c r="P105" t="s">
        <v>2460</v>
      </c>
      <c r="Q105">
        <v>3500</v>
      </c>
      <c r="R105" t="s">
        <v>2460</v>
      </c>
      <c r="S105" t="s">
        <v>988</v>
      </c>
    </row>
    <row r="106" spans="1:19" x14ac:dyDescent="0.3">
      <c r="A106">
        <v>2510</v>
      </c>
      <c r="B106" t="s">
        <v>2035</v>
      </c>
      <c r="C106" t="s">
        <v>3876</v>
      </c>
      <c r="D106" t="s">
        <v>1203</v>
      </c>
      <c r="E106" t="s">
        <v>1204</v>
      </c>
      <c r="F106">
        <v>5942</v>
      </c>
      <c r="G106" t="s">
        <v>2679</v>
      </c>
      <c r="H106" t="s">
        <v>2460</v>
      </c>
      <c r="I106">
        <v>509</v>
      </c>
      <c r="J106" t="s">
        <v>2460</v>
      </c>
      <c r="K106">
        <v>509</v>
      </c>
      <c r="L106" t="s">
        <v>2460</v>
      </c>
      <c r="M106">
        <v>509</v>
      </c>
      <c r="N106" t="s">
        <v>2460</v>
      </c>
      <c r="O106">
        <v>509</v>
      </c>
      <c r="P106" t="s">
        <v>2460</v>
      </c>
      <c r="R106" t="s">
        <v>2460</v>
      </c>
      <c r="S106" t="s">
        <v>988</v>
      </c>
    </row>
    <row r="107" spans="1:19" x14ac:dyDescent="0.3">
      <c r="A107">
        <v>2540</v>
      </c>
      <c r="B107" t="s">
        <v>2230</v>
      </c>
      <c r="C107" t="s">
        <v>3876</v>
      </c>
      <c r="D107" t="s">
        <v>1203</v>
      </c>
      <c r="E107" t="s">
        <v>1204</v>
      </c>
      <c r="F107">
        <v>5605</v>
      </c>
      <c r="G107" t="s">
        <v>2681</v>
      </c>
      <c r="H107" t="s">
        <v>2460</v>
      </c>
      <c r="I107">
        <v>12755</v>
      </c>
      <c r="J107" t="s">
        <v>2460</v>
      </c>
      <c r="K107">
        <v>10894</v>
      </c>
      <c r="L107" t="s">
        <v>2460</v>
      </c>
      <c r="M107">
        <v>9033</v>
      </c>
      <c r="N107" t="s">
        <v>2460</v>
      </c>
      <c r="O107">
        <v>7265</v>
      </c>
      <c r="P107" t="s">
        <v>2460</v>
      </c>
      <c r="Q107">
        <v>7265</v>
      </c>
      <c r="R107" t="s">
        <v>2460</v>
      </c>
      <c r="S107" t="s">
        <v>988</v>
      </c>
    </row>
    <row r="108" spans="1:19" x14ac:dyDescent="0.3">
      <c r="A108">
        <v>2543</v>
      </c>
      <c r="B108" t="s">
        <v>2234</v>
      </c>
      <c r="C108" t="s">
        <v>3876</v>
      </c>
      <c r="D108" t="s">
        <v>1203</v>
      </c>
      <c r="E108" t="s">
        <v>1204</v>
      </c>
      <c r="F108">
        <v>5649</v>
      </c>
      <c r="G108" t="s">
        <v>2683</v>
      </c>
      <c r="H108" t="s">
        <v>3957</v>
      </c>
      <c r="I108">
        <v>55802</v>
      </c>
      <c r="J108" t="s">
        <v>2460</v>
      </c>
      <c r="K108">
        <v>55802</v>
      </c>
      <c r="L108" t="s">
        <v>2460</v>
      </c>
      <c r="M108">
        <v>55802</v>
      </c>
      <c r="N108" t="s">
        <v>2460</v>
      </c>
      <c r="O108">
        <v>55802</v>
      </c>
      <c r="P108" t="s">
        <v>2460</v>
      </c>
      <c r="Q108">
        <v>55802</v>
      </c>
      <c r="R108" t="s">
        <v>2460</v>
      </c>
      <c r="S108" t="s">
        <v>988</v>
      </c>
    </row>
    <row r="109" spans="1:19" x14ac:dyDescent="0.3">
      <c r="A109">
        <v>2543</v>
      </c>
      <c r="B109" t="s">
        <v>2234</v>
      </c>
      <c r="C109" t="s">
        <v>3876</v>
      </c>
      <c r="D109" t="s">
        <v>1203</v>
      </c>
      <c r="E109" t="s">
        <v>1204</v>
      </c>
      <c r="F109">
        <v>5649</v>
      </c>
      <c r="G109" t="s">
        <v>2679</v>
      </c>
      <c r="H109" t="s">
        <v>2460</v>
      </c>
      <c r="I109">
        <v>7280</v>
      </c>
      <c r="J109" t="s">
        <v>2460</v>
      </c>
      <c r="K109">
        <v>7280</v>
      </c>
      <c r="L109" t="s">
        <v>2460</v>
      </c>
      <c r="M109">
        <v>42280</v>
      </c>
      <c r="N109" t="s">
        <v>2460</v>
      </c>
      <c r="O109">
        <v>42280</v>
      </c>
      <c r="P109" t="s">
        <v>2460</v>
      </c>
      <c r="Q109">
        <v>42280</v>
      </c>
      <c r="R109" t="s">
        <v>2460</v>
      </c>
      <c r="S109" t="s">
        <v>988</v>
      </c>
    </row>
    <row r="110" spans="1:19" x14ac:dyDescent="0.3">
      <c r="A110">
        <v>2543</v>
      </c>
      <c r="B110" t="s">
        <v>2234</v>
      </c>
      <c r="C110" t="s">
        <v>3876</v>
      </c>
      <c r="D110" t="s">
        <v>1203</v>
      </c>
      <c r="E110" t="s">
        <v>1204</v>
      </c>
      <c r="F110">
        <v>5649</v>
      </c>
      <c r="G110" t="s">
        <v>2683</v>
      </c>
      <c r="H110" t="s">
        <v>3958</v>
      </c>
      <c r="I110">
        <v>13794</v>
      </c>
      <c r="J110" t="s">
        <v>2460</v>
      </c>
      <c r="K110">
        <v>11665</v>
      </c>
      <c r="L110" t="s">
        <v>2460</v>
      </c>
      <c r="M110">
        <v>11276</v>
      </c>
      <c r="N110" t="s">
        <v>2460</v>
      </c>
      <c r="O110">
        <v>5092</v>
      </c>
      <c r="P110" t="s">
        <v>2460</v>
      </c>
      <c r="Q110">
        <v>4564</v>
      </c>
      <c r="R110" t="s">
        <v>2460</v>
      </c>
      <c r="S110" t="s">
        <v>988</v>
      </c>
    </row>
    <row r="111" spans="1:19" x14ac:dyDescent="0.3">
      <c r="A111">
        <v>2667</v>
      </c>
      <c r="B111" t="s">
        <v>2237</v>
      </c>
      <c r="C111" t="s">
        <v>3876</v>
      </c>
      <c r="D111" t="s">
        <v>1203</v>
      </c>
      <c r="E111" t="s">
        <v>1204</v>
      </c>
      <c r="F111">
        <v>5591</v>
      </c>
      <c r="G111" t="s">
        <v>2683</v>
      </c>
      <c r="H111" t="s">
        <v>2169</v>
      </c>
      <c r="I111">
        <v>30651</v>
      </c>
      <c r="J111" t="s">
        <v>2460</v>
      </c>
      <c r="K111">
        <v>31997</v>
      </c>
      <c r="L111" t="s">
        <v>2460</v>
      </c>
      <c r="M111">
        <v>33435</v>
      </c>
      <c r="N111" t="s">
        <v>2460</v>
      </c>
      <c r="O111">
        <v>34829</v>
      </c>
      <c r="P111" t="s">
        <v>2460</v>
      </c>
      <c r="Q111">
        <v>36280</v>
      </c>
      <c r="R111" t="s">
        <v>2460</v>
      </c>
      <c r="S111" t="s">
        <v>988</v>
      </c>
    </row>
    <row r="112" spans="1:19" x14ac:dyDescent="0.3">
      <c r="A112">
        <v>2675</v>
      </c>
      <c r="B112" t="s">
        <v>2241</v>
      </c>
      <c r="C112" t="s">
        <v>3876</v>
      </c>
      <c r="D112" t="s">
        <v>1203</v>
      </c>
      <c r="E112" t="s">
        <v>1204</v>
      </c>
      <c r="F112">
        <v>5784</v>
      </c>
      <c r="G112" t="s">
        <v>2679</v>
      </c>
      <c r="H112" t="s">
        <v>3959</v>
      </c>
      <c r="I112">
        <v>20000</v>
      </c>
      <c r="J112" t="s">
        <v>2460</v>
      </c>
      <c r="K112">
        <v>29000</v>
      </c>
      <c r="L112" t="s">
        <v>2460</v>
      </c>
      <c r="M112">
        <v>39000</v>
      </c>
      <c r="N112" t="s">
        <v>2460</v>
      </c>
      <c r="O112">
        <v>44600</v>
      </c>
      <c r="P112" t="s">
        <v>2460</v>
      </c>
      <c r="Q112">
        <v>44600</v>
      </c>
      <c r="R112" t="s">
        <v>2460</v>
      </c>
      <c r="S112" t="s">
        <v>988</v>
      </c>
    </row>
    <row r="113" spans="1:19" x14ac:dyDescent="0.3">
      <c r="A113">
        <v>2675</v>
      </c>
      <c r="B113" t="s">
        <v>2241</v>
      </c>
      <c r="C113" t="s">
        <v>3876</v>
      </c>
      <c r="D113" t="s">
        <v>1203</v>
      </c>
      <c r="E113" t="s">
        <v>1204</v>
      </c>
      <c r="F113">
        <v>5784</v>
      </c>
      <c r="G113" t="s">
        <v>2679</v>
      </c>
      <c r="H113" t="s">
        <v>3960</v>
      </c>
      <c r="I113">
        <v>30300</v>
      </c>
      <c r="J113" t="s">
        <v>2460</v>
      </c>
      <c r="K113">
        <v>31700</v>
      </c>
      <c r="L113" t="s">
        <v>2460</v>
      </c>
      <c r="M113">
        <v>31700</v>
      </c>
      <c r="N113" t="s">
        <v>2460</v>
      </c>
      <c r="O113">
        <v>31700</v>
      </c>
      <c r="P113" t="s">
        <v>2460</v>
      </c>
      <c r="Q113">
        <v>31700</v>
      </c>
      <c r="R113" t="s">
        <v>2460</v>
      </c>
      <c r="S113" t="s">
        <v>988</v>
      </c>
    </row>
    <row r="114" spans="1:19" x14ac:dyDescent="0.3">
      <c r="A114">
        <v>2675</v>
      </c>
      <c r="B114" t="s">
        <v>2241</v>
      </c>
      <c r="C114" t="s">
        <v>3876</v>
      </c>
      <c r="D114" t="s">
        <v>1203</v>
      </c>
      <c r="E114" t="s">
        <v>1204</v>
      </c>
      <c r="F114">
        <v>5784</v>
      </c>
      <c r="G114" t="s">
        <v>2683</v>
      </c>
      <c r="H114" t="s">
        <v>3961</v>
      </c>
      <c r="I114">
        <v>95890</v>
      </c>
      <c r="J114" t="s">
        <v>2460</v>
      </c>
      <c r="K114">
        <v>89460</v>
      </c>
      <c r="L114" t="s">
        <v>2460</v>
      </c>
      <c r="M114">
        <v>89750</v>
      </c>
      <c r="N114" t="s">
        <v>2460</v>
      </c>
      <c r="O114">
        <v>89360</v>
      </c>
      <c r="P114" t="s">
        <v>2460</v>
      </c>
      <c r="Q114">
        <v>89460</v>
      </c>
      <c r="R114" t="s">
        <v>2460</v>
      </c>
      <c r="S114" t="s">
        <v>988</v>
      </c>
    </row>
    <row r="115" spans="1:19" x14ac:dyDescent="0.3">
      <c r="A115">
        <v>2697</v>
      </c>
      <c r="B115" t="s">
        <v>2092</v>
      </c>
      <c r="C115" t="s">
        <v>3876</v>
      </c>
      <c r="D115" t="s">
        <v>159</v>
      </c>
      <c r="E115" t="s">
        <v>159</v>
      </c>
      <c r="F115">
        <v>7790</v>
      </c>
      <c r="G115" t="s">
        <v>2687</v>
      </c>
      <c r="H115" t="s">
        <v>3962</v>
      </c>
      <c r="I115">
        <v>5000</v>
      </c>
      <c r="J115" t="s">
        <v>2460</v>
      </c>
      <c r="K115">
        <v>5000</v>
      </c>
      <c r="L115" t="s">
        <v>2460</v>
      </c>
      <c r="M115">
        <v>5000</v>
      </c>
      <c r="N115" t="s">
        <v>2460</v>
      </c>
      <c r="O115">
        <v>5000</v>
      </c>
      <c r="P115" t="s">
        <v>2460</v>
      </c>
      <c r="Q115">
        <v>5000</v>
      </c>
      <c r="R115" t="s">
        <v>2460</v>
      </c>
      <c r="S115" t="s">
        <v>988</v>
      </c>
    </row>
    <row r="116" spans="1:19" x14ac:dyDescent="0.3">
      <c r="A116">
        <v>2697</v>
      </c>
      <c r="B116" t="s">
        <v>2092</v>
      </c>
      <c r="C116" t="s">
        <v>3876</v>
      </c>
      <c r="D116" t="s">
        <v>159</v>
      </c>
      <c r="E116" t="s">
        <v>159</v>
      </c>
      <c r="F116">
        <v>7790</v>
      </c>
      <c r="G116" t="s">
        <v>2683</v>
      </c>
      <c r="H116" t="s">
        <v>2891</v>
      </c>
      <c r="I116">
        <v>91816</v>
      </c>
      <c r="J116" t="s">
        <v>2460</v>
      </c>
      <c r="K116">
        <v>95908</v>
      </c>
      <c r="L116" t="s">
        <v>2460</v>
      </c>
      <c r="M116">
        <v>101261</v>
      </c>
      <c r="N116" t="s">
        <v>2460</v>
      </c>
      <c r="O116">
        <v>107664</v>
      </c>
      <c r="P116" t="s">
        <v>2460</v>
      </c>
      <c r="Q116">
        <v>116443</v>
      </c>
      <c r="R116" t="s">
        <v>2460</v>
      </c>
      <c r="S116" t="s">
        <v>988</v>
      </c>
    </row>
    <row r="117" spans="1:19" x14ac:dyDescent="0.3">
      <c r="A117">
        <v>4811</v>
      </c>
      <c r="B117" t="s">
        <v>2249</v>
      </c>
      <c r="C117" t="s">
        <v>3876</v>
      </c>
      <c r="D117" t="s">
        <v>1203</v>
      </c>
      <c r="E117" t="s">
        <v>1204</v>
      </c>
      <c r="F117">
        <v>6866</v>
      </c>
      <c r="G117" t="s">
        <v>2691</v>
      </c>
      <c r="H117" t="s">
        <v>3963</v>
      </c>
      <c r="I117">
        <v>33604</v>
      </c>
      <c r="J117" t="s">
        <v>2460</v>
      </c>
      <c r="K117">
        <v>33604</v>
      </c>
      <c r="L117" t="s">
        <v>2460</v>
      </c>
      <c r="M117">
        <v>33604</v>
      </c>
      <c r="N117" t="s">
        <v>2460</v>
      </c>
      <c r="O117">
        <v>38085</v>
      </c>
      <c r="P117" t="s">
        <v>2460</v>
      </c>
      <c r="Q117">
        <v>38085</v>
      </c>
      <c r="R117" t="s">
        <v>2460</v>
      </c>
      <c r="S117" t="s">
        <v>988</v>
      </c>
    </row>
  </sheetData>
  <autoFilter ref="A1:S1" xr:uid="{0D06A0C3-9B1B-420F-859C-0BE714DAEAFF}"/>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A4C9A-DC29-4543-BF10-539638B21299}">
  <sheetPr codeName="Sheet13">
    <tabColor theme="1"/>
  </sheetPr>
  <dimension ref="A1"/>
  <sheetViews>
    <sheetView workbookViewId="0"/>
  </sheetViews>
  <sheetFormatPr defaultRowHeight="14.4" x14ac:dyDescent="0.3"/>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F4102-0AF0-488F-80DD-4C124E572621}">
  <sheetPr codeName="Sheet38">
    <tabColor theme="9"/>
  </sheetPr>
  <dimension ref="A1:AU1125"/>
  <sheetViews>
    <sheetView topLeftCell="A239" zoomScale="60" zoomScaleNormal="60" workbookViewId="0">
      <selection activeCell="B567" sqref="B567"/>
    </sheetView>
  </sheetViews>
  <sheetFormatPr defaultRowHeight="14.4" outlineLevelRow="1" x14ac:dyDescent="0.3"/>
  <cols>
    <col min="1" max="1" width="73.33203125" bestFit="1" customWidth="1"/>
    <col min="2" max="2" width="73.33203125" customWidth="1"/>
    <col min="3" max="3" width="86.5546875" bestFit="1" customWidth="1"/>
    <col min="4" max="5" width="18.109375" style="14" customWidth="1"/>
    <col min="6" max="6" width="41.44140625" style="369" bestFit="1" customWidth="1"/>
    <col min="7" max="7" width="37.33203125" style="369" bestFit="1" customWidth="1"/>
    <col min="8" max="10" width="13.88671875" style="369" bestFit="1" customWidth="1"/>
    <col min="11" max="11" width="12" style="538" bestFit="1" customWidth="1"/>
  </cols>
  <sheetData>
    <row r="1" spans="1:15" ht="25.8" x14ac:dyDescent="0.5">
      <c r="A1" s="74" t="s">
        <v>3964</v>
      </c>
      <c r="B1" s="74"/>
      <c r="C1" s="70"/>
      <c r="D1" s="206"/>
      <c r="E1" s="206"/>
      <c r="L1" s="36"/>
    </row>
    <row r="2" spans="1:15" ht="214.5" customHeight="1" x14ac:dyDescent="0.3">
      <c r="A2" s="559" t="s">
        <v>3965</v>
      </c>
      <c r="B2" s="559"/>
      <c r="C2" s="560"/>
      <c r="D2" s="560"/>
      <c r="E2" s="560"/>
      <c r="F2" s="560"/>
      <c r="G2" s="560"/>
      <c r="H2" s="488"/>
      <c r="I2" s="488"/>
      <c r="J2" s="488"/>
      <c r="K2" s="223"/>
      <c r="L2" s="36"/>
    </row>
    <row r="3" spans="1:15" x14ac:dyDescent="0.3">
      <c r="A3" s="70"/>
      <c r="B3" s="70"/>
      <c r="C3" s="70"/>
      <c r="D3" s="206"/>
      <c r="E3" s="206"/>
      <c r="F3" s="488"/>
      <c r="G3" s="488"/>
      <c r="H3" s="488"/>
      <c r="I3" s="488"/>
      <c r="J3" s="488"/>
      <c r="K3" s="223"/>
      <c r="L3" s="36"/>
    </row>
    <row r="4" spans="1:15" ht="25.8" x14ac:dyDescent="0.5">
      <c r="A4" s="570" t="s">
        <v>5995</v>
      </c>
      <c r="B4" s="570"/>
      <c r="C4" s="570"/>
      <c r="D4" s="570"/>
      <c r="E4" s="570"/>
      <c r="F4" s="535"/>
      <c r="G4" s="535"/>
      <c r="H4" s="535"/>
      <c r="I4" s="535"/>
      <c r="J4" s="535"/>
      <c r="K4" s="535"/>
    </row>
    <row r="5" spans="1:15" ht="44.25" customHeight="1" x14ac:dyDescent="0.3">
      <c r="A5" s="571" t="s">
        <v>3966</v>
      </c>
      <c r="B5" s="571"/>
      <c r="C5" s="571"/>
      <c r="D5" s="571"/>
      <c r="E5" s="571"/>
      <c r="F5" s="539"/>
      <c r="G5" s="536"/>
      <c r="H5" s="536"/>
      <c r="I5" s="536"/>
      <c r="J5" s="536"/>
      <c r="K5" s="536"/>
    </row>
    <row r="6" spans="1:15" x14ac:dyDescent="0.3">
      <c r="A6" s="65" t="s">
        <v>3967</v>
      </c>
      <c r="B6" s="65"/>
      <c r="C6" s="64"/>
      <c r="D6" s="189"/>
      <c r="E6" s="189"/>
    </row>
    <row r="7" spans="1:15" x14ac:dyDescent="0.3">
      <c r="A7" s="65" t="s">
        <v>5</v>
      </c>
      <c r="B7" s="65" t="s">
        <v>847</v>
      </c>
      <c r="C7" s="65" t="s">
        <v>193</v>
      </c>
      <c r="D7" s="489" t="s">
        <v>3968</v>
      </c>
      <c r="E7" s="489" t="s">
        <v>153</v>
      </c>
    </row>
    <row r="8" spans="1:15" hidden="1" outlineLevel="1" x14ac:dyDescent="0.3">
      <c r="A8" s="63" t="str">
        <f>$A$6</f>
        <v>Switch for where to put excess water</v>
      </c>
      <c r="B8" s="63" t="s">
        <v>855</v>
      </c>
      <c r="C8" s="65" t="s">
        <v>747</v>
      </c>
      <c r="D8" s="473" t="s">
        <v>708</v>
      </c>
      <c r="E8" s="473" t="s">
        <v>3969</v>
      </c>
      <c r="M8" s="37"/>
      <c r="N8" s="37"/>
      <c r="O8" s="37"/>
    </row>
    <row r="9" spans="1:15" hidden="1" outlineLevel="1" x14ac:dyDescent="0.3">
      <c r="A9" s="63" t="str">
        <f t="shared" ref="A9:A50" si="0">$A$6</f>
        <v>Switch for where to put excess water</v>
      </c>
      <c r="B9" s="63" t="s">
        <v>855</v>
      </c>
      <c r="C9" s="65" t="s">
        <v>751</v>
      </c>
      <c r="D9" s="473" t="s">
        <v>708</v>
      </c>
      <c r="E9" s="473" t="s">
        <v>3969</v>
      </c>
      <c r="M9" s="37"/>
      <c r="N9" s="37"/>
      <c r="O9" s="37"/>
    </row>
    <row r="10" spans="1:15" hidden="1" outlineLevel="1" x14ac:dyDescent="0.3">
      <c r="A10" s="63" t="str">
        <f t="shared" si="0"/>
        <v>Switch for where to put excess water</v>
      </c>
      <c r="B10" s="63" t="s">
        <v>855</v>
      </c>
      <c r="C10" s="65" t="s">
        <v>755</v>
      </c>
      <c r="D10" s="473" t="s">
        <v>708</v>
      </c>
      <c r="E10" s="473" t="s">
        <v>3969</v>
      </c>
      <c r="L10" s="37"/>
      <c r="M10" s="37"/>
      <c r="N10" s="37"/>
      <c r="O10" s="37"/>
    </row>
    <row r="11" spans="1:15" hidden="1" outlineLevel="1" x14ac:dyDescent="0.3">
      <c r="A11" s="63" t="str">
        <f t="shared" si="0"/>
        <v>Switch for where to put excess water</v>
      </c>
      <c r="B11" s="63" t="s">
        <v>855</v>
      </c>
      <c r="C11" s="65" t="s">
        <v>758</v>
      </c>
      <c r="D11" s="473" t="s">
        <v>708</v>
      </c>
      <c r="E11" s="473" t="s">
        <v>3969</v>
      </c>
      <c r="L11" s="37"/>
      <c r="M11" s="37"/>
      <c r="N11" s="37"/>
      <c r="O11" s="37"/>
    </row>
    <row r="12" spans="1:15" hidden="1" outlineLevel="1" x14ac:dyDescent="0.3">
      <c r="A12" s="63" t="str">
        <f t="shared" si="0"/>
        <v>Switch for where to put excess water</v>
      </c>
      <c r="B12" s="63" t="s">
        <v>855</v>
      </c>
      <c r="C12" s="65" t="s">
        <v>761</v>
      </c>
      <c r="D12" s="473" t="s">
        <v>708</v>
      </c>
      <c r="E12" s="473" t="s">
        <v>3969</v>
      </c>
      <c r="L12" s="37"/>
      <c r="M12" s="37"/>
      <c r="N12" s="37"/>
      <c r="O12" s="37"/>
    </row>
    <row r="13" spans="1:15" hidden="1" outlineLevel="1" x14ac:dyDescent="0.3">
      <c r="A13" s="63" t="str">
        <f t="shared" si="0"/>
        <v>Switch for where to put excess water</v>
      </c>
      <c r="B13" s="63" t="s">
        <v>855</v>
      </c>
      <c r="C13" s="65" t="s">
        <v>763</v>
      </c>
      <c r="D13" s="473" t="s">
        <v>709</v>
      </c>
      <c r="E13" s="473" t="s">
        <v>3969</v>
      </c>
      <c r="L13" s="37"/>
      <c r="M13" s="37"/>
      <c r="N13" s="37"/>
      <c r="O13" s="37"/>
    </row>
    <row r="14" spans="1:15" hidden="1" outlineLevel="1" x14ac:dyDescent="0.3">
      <c r="A14" s="63" t="str">
        <f t="shared" si="0"/>
        <v>Switch for where to put excess water</v>
      </c>
      <c r="B14" s="63" t="s">
        <v>855</v>
      </c>
      <c r="C14" s="65" t="s">
        <v>765</v>
      </c>
      <c r="D14" s="473" t="s">
        <v>708</v>
      </c>
      <c r="E14" s="473" t="s">
        <v>3969</v>
      </c>
      <c r="M14" s="37"/>
      <c r="N14" s="37"/>
      <c r="O14" s="37"/>
    </row>
    <row r="15" spans="1:15" hidden="1" outlineLevel="1" x14ac:dyDescent="0.3">
      <c r="A15" s="63" t="str">
        <f t="shared" si="0"/>
        <v>Switch for where to put excess water</v>
      </c>
      <c r="B15" s="63" t="s">
        <v>855</v>
      </c>
      <c r="C15" s="65" t="s">
        <v>768</v>
      </c>
      <c r="D15" s="473" t="s">
        <v>708</v>
      </c>
      <c r="E15" s="473" t="s">
        <v>3969</v>
      </c>
      <c r="L15" s="251"/>
      <c r="M15" s="37"/>
      <c r="N15" s="37"/>
      <c r="O15" s="37"/>
    </row>
    <row r="16" spans="1:15" hidden="1" outlineLevel="1" x14ac:dyDescent="0.3">
      <c r="A16" s="63" t="str">
        <f t="shared" si="0"/>
        <v>Switch for where to put excess water</v>
      </c>
      <c r="B16" s="63" t="s">
        <v>855</v>
      </c>
      <c r="C16" s="65" t="s">
        <v>771</v>
      </c>
      <c r="D16" s="473" t="s">
        <v>708</v>
      </c>
      <c r="E16" s="473" t="s">
        <v>3969</v>
      </c>
      <c r="L16" s="37"/>
      <c r="M16" s="37"/>
      <c r="N16" s="37"/>
      <c r="O16" s="37"/>
    </row>
    <row r="17" spans="1:15" hidden="1" outlineLevel="1" x14ac:dyDescent="0.3">
      <c r="A17" s="63" t="str">
        <f t="shared" si="0"/>
        <v>Switch for where to put excess water</v>
      </c>
      <c r="B17" s="63" t="s">
        <v>855</v>
      </c>
      <c r="C17" s="65" t="s">
        <v>772</v>
      </c>
      <c r="D17" s="473" t="s">
        <v>708</v>
      </c>
      <c r="E17" s="473" t="s">
        <v>3969</v>
      </c>
      <c r="L17" s="37"/>
      <c r="M17" s="37"/>
      <c r="N17" s="37"/>
      <c r="O17" s="37"/>
    </row>
    <row r="18" spans="1:15" hidden="1" outlineLevel="1" x14ac:dyDescent="0.3">
      <c r="A18" s="63" t="str">
        <f t="shared" si="0"/>
        <v>Switch for where to put excess water</v>
      </c>
      <c r="B18" s="63" t="s">
        <v>855</v>
      </c>
      <c r="C18" s="65" t="s">
        <v>774</v>
      </c>
      <c r="D18" s="473" t="s">
        <v>708</v>
      </c>
      <c r="E18" s="473" t="s">
        <v>3969</v>
      </c>
      <c r="L18" s="37"/>
      <c r="M18" s="37"/>
      <c r="N18" s="37"/>
      <c r="O18" s="37"/>
    </row>
    <row r="19" spans="1:15" hidden="1" outlineLevel="1" x14ac:dyDescent="0.3">
      <c r="A19" s="63" t="str">
        <f t="shared" si="0"/>
        <v>Switch for where to put excess water</v>
      </c>
      <c r="B19" s="63" t="s">
        <v>855</v>
      </c>
      <c r="C19" s="65" t="s">
        <v>775</v>
      </c>
      <c r="D19" s="473" t="s">
        <v>708</v>
      </c>
      <c r="E19" s="473" t="s">
        <v>3969</v>
      </c>
      <c r="L19" s="37"/>
      <c r="M19" s="37"/>
      <c r="N19" s="37"/>
      <c r="O19" s="37"/>
    </row>
    <row r="20" spans="1:15" hidden="1" outlineLevel="1" x14ac:dyDescent="0.3">
      <c r="A20" s="63" t="str">
        <f t="shared" si="0"/>
        <v>Switch for where to put excess water</v>
      </c>
      <c r="B20" s="63" t="s">
        <v>855</v>
      </c>
      <c r="C20" s="65" t="s">
        <v>779</v>
      </c>
      <c r="D20" s="473" t="s">
        <v>708</v>
      </c>
      <c r="E20" s="473" t="s">
        <v>3969</v>
      </c>
      <c r="L20" s="37"/>
      <c r="M20" s="37"/>
      <c r="N20" s="37"/>
      <c r="O20" s="37"/>
    </row>
    <row r="21" spans="1:15" hidden="1" outlineLevel="1" x14ac:dyDescent="0.3">
      <c r="A21" s="63" t="str">
        <f t="shared" si="0"/>
        <v>Switch for where to put excess water</v>
      </c>
      <c r="B21" s="63" t="s">
        <v>894</v>
      </c>
      <c r="C21" s="65" t="s">
        <v>781</v>
      </c>
      <c r="D21" s="473" t="s">
        <v>708</v>
      </c>
      <c r="E21" s="473" t="s">
        <v>3969</v>
      </c>
      <c r="L21" s="37"/>
      <c r="M21" s="37"/>
      <c r="N21" s="37"/>
      <c r="O21" s="37"/>
    </row>
    <row r="22" spans="1:15" hidden="1" outlineLevel="1" x14ac:dyDescent="0.3">
      <c r="A22" s="63" t="str">
        <f t="shared" si="0"/>
        <v>Switch for where to put excess water</v>
      </c>
      <c r="B22" s="63" t="s">
        <v>894</v>
      </c>
      <c r="C22" s="65" t="s">
        <v>783</v>
      </c>
      <c r="D22" s="473" t="s">
        <v>708</v>
      </c>
      <c r="E22" s="473" t="s">
        <v>3969</v>
      </c>
      <c r="L22" s="37"/>
      <c r="M22" s="37"/>
      <c r="N22" s="37"/>
      <c r="O22" s="37"/>
    </row>
    <row r="23" spans="1:15" hidden="1" outlineLevel="1" x14ac:dyDescent="0.3">
      <c r="A23" s="63" t="str">
        <f t="shared" si="0"/>
        <v>Switch for where to put excess water</v>
      </c>
      <c r="B23" s="63" t="s">
        <v>894</v>
      </c>
      <c r="C23" s="65" t="s">
        <v>785</v>
      </c>
      <c r="D23" s="473" t="s">
        <v>709</v>
      </c>
      <c r="E23" s="473" t="s">
        <v>3969</v>
      </c>
      <c r="L23" s="37"/>
      <c r="M23" s="37"/>
      <c r="N23" s="37"/>
      <c r="O23" s="37"/>
    </row>
    <row r="24" spans="1:15" hidden="1" outlineLevel="1" x14ac:dyDescent="0.3">
      <c r="A24" s="63" t="str">
        <f t="shared" si="0"/>
        <v>Switch for where to put excess water</v>
      </c>
      <c r="B24" s="63" t="s">
        <v>894</v>
      </c>
      <c r="C24" s="65" t="s">
        <v>787</v>
      </c>
      <c r="D24" s="473" t="s">
        <v>708</v>
      </c>
      <c r="E24" s="473" t="s">
        <v>3969</v>
      </c>
      <c r="L24" s="37"/>
      <c r="M24" s="37"/>
      <c r="N24" s="37"/>
      <c r="O24" s="37"/>
    </row>
    <row r="25" spans="1:15" hidden="1" outlineLevel="1" x14ac:dyDescent="0.3">
      <c r="A25" s="63" t="str">
        <f t="shared" si="0"/>
        <v>Switch for where to put excess water</v>
      </c>
      <c r="B25" s="63" t="s">
        <v>894</v>
      </c>
      <c r="C25" s="65" t="s">
        <v>788</v>
      </c>
      <c r="D25" s="473" t="s">
        <v>709</v>
      </c>
      <c r="E25" s="473" t="s">
        <v>3969</v>
      </c>
      <c r="L25" s="37"/>
      <c r="M25" s="37"/>
      <c r="N25" s="37"/>
      <c r="O25" s="37"/>
    </row>
    <row r="26" spans="1:15" hidden="1" outlineLevel="1" x14ac:dyDescent="0.3">
      <c r="A26" s="63" t="str">
        <f t="shared" si="0"/>
        <v>Switch for where to put excess water</v>
      </c>
      <c r="B26" s="63" t="s">
        <v>894</v>
      </c>
      <c r="C26" s="65" t="s">
        <v>789</v>
      </c>
      <c r="D26" s="473" t="s">
        <v>709</v>
      </c>
      <c r="E26" s="473" t="s">
        <v>3969</v>
      </c>
      <c r="L26" s="37"/>
      <c r="M26" s="37"/>
      <c r="N26" s="37"/>
      <c r="O26" s="37"/>
    </row>
    <row r="27" spans="1:15" hidden="1" outlineLevel="1" x14ac:dyDescent="0.3">
      <c r="A27" s="63" t="str">
        <f t="shared" si="0"/>
        <v>Switch for where to put excess water</v>
      </c>
      <c r="B27" s="63" t="s">
        <v>894</v>
      </c>
      <c r="C27" s="65" t="s">
        <v>790</v>
      </c>
      <c r="D27" s="473" t="s">
        <v>710</v>
      </c>
      <c r="E27" s="473" t="s">
        <v>304</v>
      </c>
      <c r="L27" s="537"/>
      <c r="M27" s="37"/>
      <c r="N27" s="37"/>
      <c r="O27" s="37"/>
    </row>
    <row r="28" spans="1:15" hidden="1" outlineLevel="1" x14ac:dyDescent="0.3">
      <c r="A28" s="63" t="str">
        <f t="shared" si="0"/>
        <v>Switch for where to put excess water</v>
      </c>
      <c r="B28" s="63" t="s">
        <v>894</v>
      </c>
      <c r="C28" s="65" t="s">
        <v>793</v>
      </c>
      <c r="D28" s="473" t="s">
        <v>710</v>
      </c>
      <c r="E28" s="473" t="s">
        <v>3970</v>
      </c>
      <c r="L28" s="37"/>
      <c r="M28" s="37"/>
      <c r="N28" s="37"/>
      <c r="O28" s="37"/>
    </row>
    <row r="29" spans="1:15" hidden="1" outlineLevel="1" x14ac:dyDescent="0.3">
      <c r="A29" s="63" t="str">
        <f t="shared" si="0"/>
        <v>Switch for where to put excess water</v>
      </c>
      <c r="B29" s="63" t="s">
        <v>894</v>
      </c>
      <c r="C29" s="65" t="s">
        <v>795</v>
      </c>
      <c r="D29" s="473" t="s">
        <v>709</v>
      </c>
      <c r="E29" s="473" t="s">
        <v>3969</v>
      </c>
      <c r="M29" s="37"/>
      <c r="N29" s="37"/>
      <c r="O29" s="37"/>
    </row>
    <row r="30" spans="1:15" hidden="1" outlineLevel="1" x14ac:dyDescent="0.3">
      <c r="A30" s="63" t="str">
        <f t="shared" si="0"/>
        <v>Switch for where to put excess water</v>
      </c>
      <c r="B30" s="63" t="s">
        <v>894</v>
      </c>
      <c r="C30" s="65" t="s">
        <v>797</v>
      </c>
      <c r="D30" s="473" t="s">
        <v>708</v>
      </c>
      <c r="E30" s="473" t="s">
        <v>3969</v>
      </c>
      <c r="L30" s="37"/>
      <c r="M30" s="37"/>
      <c r="N30" s="37"/>
      <c r="O30" s="37"/>
    </row>
    <row r="31" spans="1:15" hidden="1" outlineLevel="1" x14ac:dyDescent="0.3">
      <c r="A31" s="63" t="str">
        <f t="shared" si="0"/>
        <v>Switch for where to put excess water</v>
      </c>
      <c r="B31" s="63" t="s">
        <v>915</v>
      </c>
      <c r="C31" s="65" t="s">
        <v>799</v>
      </c>
      <c r="D31" s="473" t="s">
        <v>710</v>
      </c>
      <c r="E31" s="473" t="s">
        <v>304</v>
      </c>
      <c r="L31" s="37"/>
      <c r="M31" s="37"/>
      <c r="N31" s="37"/>
      <c r="O31" s="37"/>
    </row>
    <row r="32" spans="1:15" hidden="1" outlineLevel="1" x14ac:dyDescent="0.3">
      <c r="A32" s="63" t="str">
        <f t="shared" si="0"/>
        <v>Switch for where to put excess water</v>
      </c>
      <c r="B32" s="63" t="s">
        <v>915</v>
      </c>
      <c r="C32" s="65" t="s">
        <v>801</v>
      </c>
      <c r="D32" s="473" t="s">
        <v>710</v>
      </c>
      <c r="E32" s="473" t="s">
        <v>304</v>
      </c>
      <c r="L32" s="37"/>
      <c r="M32" s="37"/>
      <c r="N32" s="37"/>
      <c r="O32" s="37"/>
    </row>
    <row r="33" spans="1:15" hidden="1" outlineLevel="1" x14ac:dyDescent="0.3">
      <c r="A33" s="63" t="str">
        <f t="shared" si="0"/>
        <v>Switch for where to put excess water</v>
      </c>
      <c r="B33" s="63" t="s">
        <v>915</v>
      </c>
      <c r="C33" s="65" t="s">
        <v>804</v>
      </c>
      <c r="D33" s="473" t="s">
        <v>709</v>
      </c>
      <c r="E33" s="473" t="s">
        <v>3969</v>
      </c>
      <c r="L33" s="37"/>
      <c r="M33" s="37"/>
      <c r="N33" s="37"/>
      <c r="O33" s="37"/>
    </row>
    <row r="34" spans="1:15" hidden="1" outlineLevel="1" x14ac:dyDescent="0.3">
      <c r="A34" s="63" t="str">
        <f t="shared" si="0"/>
        <v>Switch for where to put excess water</v>
      </c>
      <c r="B34" s="63" t="s">
        <v>915</v>
      </c>
      <c r="C34" s="65" t="s">
        <v>806</v>
      </c>
      <c r="D34" s="473" t="s">
        <v>711</v>
      </c>
      <c r="E34" s="473" t="s">
        <v>3969</v>
      </c>
      <c r="L34" s="37"/>
      <c r="M34" s="37"/>
      <c r="N34" s="37"/>
      <c r="O34" s="37"/>
    </row>
    <row r="35" spans="1:15" hidden="1" outlineLevel="1" x14ac:dyDescent="0.3">
      <c r="A35" s="63" t="str">
        <f t="shared" si="0"/>
        <v>Switch for where to put excess water</v>
      </c>
      <c r="B35" s="63" t="s">
        <v>915</v>
      </c>
      <c r="C35" s="65" t="s">
        <v>808</v>
      </c>
      <c r="D35" s="473" t="s">
        <v>709</v>
      </c>
      <c r="E35" s="473" t="s">
        <v>3969</v>
      </c>
      <c r="L35" s="37"/>
      <c r="M35" s="37"/>
      <c r="N35" s="37"/>
      <c r="O35" s="37"/>
    </row>
    <row r="36" spans="1:15" hidden="1" outlineLevel="1" x14ac:dyDescent="0.3">
      <c r="A36" s="63" t="str">
        <f t="shared" si="0"/>
        <v>Switch for where to put excess water</v>
      </c>
      <c r="B36" s="63" t="s">
        <v>915</v>
      </c>
      <c r="C36" s="65" t="s">
        <v>811</v>
      </c>
      <c r="D36" s="473" t="s">
        <v>710</v>
      </c>
      <c r="E36" s="473" t="s">
        <v>304</v>
      </c>
      <c r="L36" s="37"/>
      <c r="M36" s="37"/>
      <c r="N36" s="37"/>
      <c r="O36" s="37"/>
    </row>
    <row r="37" spans="1:15" hidden="1" outlineLevel="1" x14ac:dyDescent="0.3">
      <c r="A37" s="63" t="str">
        <f t="shared" si="0"/>
        <v>Switch for where to put excess water</v>
      </c>
      <c r="B37" s="63" t="s">
        <v>934</v>
      </c>
      <c r="C37" s="65" t="s">
        <v>814</v>
      </c>
      <c r="D37" s="473" t="s">
        <v>708</v>
      </c>
      <c r="E37" s="473" t="s">
        <v>3969</v>
      </c>
      <c r="L37" s="37"/>
      <c r="M37" s="37"/>
      <c r="N37" s="37"/>
      <c r="O37" s="37"/>
    </row>
    <row r="38" spans="1:15" hidden="1" outlineLevel="1" x14ac:dyDescent="0.3">
      <c r="A38" s="63" t="str">
        <f t="shared" si="0"/>
        <v>Switch for where to put excess water</v>
      </c>
      <c r="B38" s="63" t="s">
        <v>934</v>
      </c>
      <c r="C38" s="65" t="s">
        <v>815</v>
      </c>
      <c r="D38" s="473" t="s">
        <v>708</v>
      </c>
      <c r="E38" s="473" t="s">
        <v>3969</v>
      </c>
      <c r="L38" s="37"/>
      <c r="M38" s="37"/>
      <c r="N38" s="37"/>
      <c r="O38" s="37"/>
    </row>
    <row r="39" spans="1:15" hidden="1" outlineLevel="1" x14ac:dyDescent="0.3">
      <c r="A39" s="63" t="str">
        <f t="shared" si="0"/>
        <v>Switch for where to put excess water</v>
      </c>
      <c r="B39" s="63" t="s">
        <v>940</v>
      </c>
      <c r="C39" s="65" t="s">
        <v>817</v>
      </c>
      <c r="D39" s="473" t="s">
        <v>710</v>
      </c>
      <c r="E39" s="473" t="s">
        <v>304</v>
      </c>
      <c r="L39" s="37"/>
      <c r="M39" s="37"/>
      <c r="N39" s="37"/>
      <c r="O39" s="37"/>
    </row>
    <row r="40" spans="1:15" hidden="1" outlineLevel="1" x14ac:dyDescent="0.3">
      <c r="A40" s="63" t="str">
        <f t="shared" si="0"/>
        <v>Switch for where to put excess water</v>
      </c>
      <c r="B40" s="63" t="s">
        <v>940</v>
      </c>
      <c r="C40" s="65" t="s">
        <v>944</v>
      </c>
      <c r="D40" s="473" t="s">
        <v>710</v>
      </c>
      <c r="E40" s="473" t="s">
        <v>304</v>
      </c>
      <c r="L40" s="37"/>
      <c r="M40" s="37"/>
      <c r="N40" s="37"/>
      <c r="O40" s="37"/>
    </row>
    <row r="41" spans="1:15" hidden="1" outlineLevel="1" x14ac:dyDescent="0.3">
      <c r="A41" s="63" t="str">
        <f t="shared" si="0"/>
        <v>Switch for where to put excess water</v>
      </c>
      <c r="B41" s="63" t="s">
        <v>940</v>
      </c>
      <c r="C41" s="65" t="s">
        <v>821</v>
      </c>
      <c r="D41" s="473" t="s">
        <v>710</v>
      </c>
      <c r="E41" s="473" t="s">
        <v>304</v>
      </c>
      <c r="L41" s="37"/>
      <c r="M41" s="37"/>
      <c r="N41" s="37"/>
      <c r="O41" s="37"/>
    </row>
    <row r="42" spans="1:15" hidden="1" outlineLevel="1" x14ac:dyDescent="0.3">
      <c r="A42" s="63" t="str">
        <f t="shared" si="0"/>
        <v>Switch for where to put excess water</v>
      </c>
      <c r="B42" s="63" t="s">
        <v>940</v>
      </c>
      <c r="C42" s="65" t="s">
        <v>823</v>
      </c>
      <c r="D42" s="473" t="s">
        <v>708</v>
      </c>
      <c r="E42" s="473" t="s">
        <v>3969</v>
      </c>
      <c r="L42" s="37"/>
      <c r="M42" s="37"/>
      <c r="N42" s="37"/>
      <c r="O42" s="37"/>
    </row>
    <row r="43" spans="1:15" hidden="1" outlineLevel="1" x14ac:dyDescent="0.3">
      <c r="A43" s="63" t="str">
        <f t="shared" si="0"/>
        <v>Switch for where to put excess water</v>
      </c>
      <c r="B43" s="63" t="s">
        <v>940</v>
      </c>
      <c r="C43" s="65" t="s">
        <v>825</v>
      </c>
      <c r="D43" s="473" t="s">
        <v>708</v>
      </c>
      <c r="E43" s="473" t="s">
        <v>3969</v>
      </c>
      <c r="L43" s="37"/>
      <c r="M43" s="37"/>
      <c r="N43" s="37"/>
      <c r="O43" s="37"/>
    </row>
    <row r="44" spans="1:15" hidden="1" outlineLevel="1" x14ac:dyDescent="0.3">
      <c r="A44" s="63" t="str">
        <f t="shared" si="0"/>
        <v>Switch for where to put excess water</v>
      </c>
      <c r="B44" s="63" t="s">
        <v>940</v>
      </c>
      <c r="C44" s="65" t="s">
        <v>827</v>
      </c>
      <c r="D44" s="473" t="s">
        <v>712</v>
      </c>
      <c r="E44" s="473" t="s">
        <v>304</v>
      </c>
      <c r="L44" s="37"/>
      <c r="M44" s="37"/>
      <c r="N44" s="37"/>
      <c r="O44" s="37"/>
    </row>
    <row r="45" spans="1:15" hidden="1" outlineLevel="1" x14ac:dyDescent="0.3">
      <c r="A45" s="63" t="str">
        <f t="shared" si="0"/>
        <v>Switch for where to put excess water</v>
      </c>
      <c r="B45" s="63" t="s">
        <v>940</v>
      </c>
      <c r="C45" s="65" t="s">
        <v>829</v>
      </c>
      <c r="D45" s="473" t="s">
        <v>708</v>
      </c>
      <c r="E45" s="473" t="s">
        <v>3969</v>
      </c>
      <c r="L45" s="37"/>
      <c r="M45" s="37"/>
      <c r="N45" s="37"/>
      <c r="O45" s="37"/>
    </row>
    <row r="46" spans="1:15" hidden="1" outlineLevel="1" x14ac:dyDescent="0.3">
      <c r="A46" s="63" t="str">
        <f t="shared" si="0"/>
        <v>Switch for where to put excess water</v>
      </c>
      <c r="B46" s="63" t="s">
        <v>940</v>
      </c>
      <c r="C46" s="65" t="s">
        <v>833</v>
      </c>
      <c r="D46" s="473" t="s">
        <v>708</v>
      </c>
      <c r="E46" s="473" t="s">
        <v>3969</v>
      </c>
      <c r="L46" s="37"/>
      <c r="M46" s="37"/>
      <c r="N46" s="37"/>
      <c r="O46" s="37"/>
    </row>
    <row r="47" spans="1:15" hidden="1" outlineLevel="1" x14ac:dyDescent="0.3">
      <c r="A47" s="63" t="str">
        <f t="shared" si="0"/>
        <v>Switch for where to put excess water</v>
      </c>
      <c r="B47" s="63" t="s">
        <v>940</v>
      </c>
      <c r="C47" s="65" t="s">
        <v>836</v>
      </c>
      <c r="D47" s="473" t="s">
        <v>710</v>
      </c>
      <c r="E47" s="473" t="s">
        <v>304</v>
      </c>
      <c r="L47" s="37"/>
      <c r="M47" s="37"/>
      <c r="N47" s="37"/>
      <c r="O47" s="37"/>
    </row>
    <row r="48" spans="1:15" hidden="1" outlineLevel="1" x14ac:dyDescent="0.3">
      <c r="A48" s="63" t="str">
        <f t="shared" si="0"/>
        <v>Switch for where to put excess water</v>
      </c>
      <c r="B48" s="63" t="s">
        <v>940</v>
      </c>
      <c r="C48" s="65" t="s">
        <v>837</v>
      </c>
      <c r="D48" s="473" t="s">
        <v>710</v>
      </c>
      <c r="E48" s="473" t="s">
        <v>304</v>
      </c>
      <c r="L48" s="37"/>
      <c r="M48" s="37"/>
      <c r="N48" s="37"/>
      <c r="O48" s="37"/>
    </row>
    <row r="49" spans="1:47" hidden="1" outlineLevel="1" x14ac:dyDescent="0.3">
      <c r="A49" s="63" t="str">
        <f t="shared" si="0"/>
        <v>Switch for where to put excess water</v>
      </c>
      <c r="B49" s="63" t="s">
        <v>940</v>
      </c>
      <c r="C49" s="65" t="s">
        <v>839</v>
      </c>
      <c r="D49" s="473" t="s">
        <v>710</v>
      </c>
      <c r="E49" s="473" t="s">
        <v>304</v>
      </c>
      <c r="L49" s="37"/>
      <c r="M49" s="37"/>
      <c r="N49" s="37"/>
      <c r="O49" s="37"/>
    </row>
    <row r="50" spans="1:47" hidden="1" outlineLevel="1" x14ac:dyDescent="0.3">
      <c r="A50" s="63" t="str">
        <f t="shared" si="0"/>
        <v>Switch for where to put excess water</v>
      </c>
      <c r="B50" s="63" t="s">
        <v>940</v>
      </c>
      <c r="C50" s="65" t="s">
        <v>840</v>
      </c>
      <c r="D50" s="473" t="s">
        <v>709</v>
      </c>
      <c r="E50" s="473" t="s">
        <v>3969</v>
      </c>
      <c r="L50" s="37"/>
      <c r="M50" s="37"/>
      <c r="N50" s="37"/>
      <c r="O50" s="37"/>
    </row>
    <row r="51" spans="1:47" collapsed="1" x14ac:dyDescent="0.3">
      <c r="A51" s="63"/>
      <c r="B51" s="63"/>
      <c r="C51" s="63"/>
      <c r="D51" s="189"/>
      <c r="E51" s="189"/>
    </row>
    <row r="52" spans="1:47" x14ac:dyDescent="0.3">
      <c r="A52" s="70"/>
      <c r="B52" s="70"/>
      <c r="C52" s="70"/>
      <c r="D52" s="206"/>
      <c r="E52" s="206"/>
    </row>
    <row r="53" spans="1:47" ht="25.8" x14ac:dyDescent="0.5">
      <c r="A53" s="570" t="s">
        <v>239</v>
      </c>
      <c r="B53" s="570"/>
      <c r="C53" s="570"/>
      <c r="D53" s="570"/>
      <c r="E53" s="570"/>
      <c r="F53" s="570"/>
      <c r="G53" s="570"/>
      <c r="H53" s="570"/>
      <c r="I53" s="5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row>
    <row r="54" spans="1:47" ht="35.25" customHeight="1" x14ac:dyDescent="0.3">
      <c r="A54" s="572" t="s">
        <v>3972</v>
      </c>
      <c r="B54" s="572"/>
      <c r="C54" s="572"/>
      <c r="D54" s="572"/>
      <c r="E54" s="572"/>
      <c r="F54" s="572"/>
      <c r="G54" s="572"/>
      <c r="H54" s="572"/>
      <c r="I54" s="572"/>
    </row>
    <row r="55" spans="1:47" x14ac:dyDescent="0.3">
      <c r="A55" s="48" t="s">
        <v>3974</v>
      </c>
      <c r="B55" s="48"/>
      <c r="C55" s="46" t="s">
        <v>3973</v>
      </c>
      <c r="D55" s="386">
        <v>1033000</v>
      </c>
      <c r="E55" s="386">
        <v>1033000</v>
      </c>
      <c r="F55" s="386">
        <v>1033000</v>
      </c>
      <c r="G55" s="386">
        <v>1033000</v>
      </c>
      <c r="H55" s="386">
        <v>1033000</v>
      </c>
      <c r="I55" s="225"/>
    </row>
    <row r="56" spans="1:47" x14ac:dyDescent="0.3">
      <c r="A56" s="48" t="s">
        <v>5</v>
      </c>
      <c r="B56" s="48" t="s">
        <v>847</v>
      </c>
      <c r="C56" s="48" t="s">
        <v>193</v>
      </c>
      <c r="D56" s="387">
        <v>2025</v>
      </c>
      <c r="E56" s="387">
        <v>2030</v>
      </c>
      <c r="F56" s="387">
        <v>2035</v>
      </c>
      <c r="G56" s="387">
        <v>2040</v>
      </c>
      <c r="H56" s="387">
        <v>2045</v>
      </c>
      <c r="I56" s="226" t="s">
        <v>153</v>
      </c>
    </row>
    <row r="57" spans="1:47" hidden="1" outlineLevel="1" x14ac:dyDescent="0.3">
      <c r="A57" s="45" t="s">
        <v>3974</v>
      </c>
      <c r="B57" s="45" t="s">
        <v>855</v>
      </c>
      <c r="C57" s="48" t="s">
        <v>747</v>
      </c>
      <c r="D57" s="388">
        <v>0</v>
      </c>
      <c r="E57" s="388">
        <v>0</v>
      </c>
      <c r="F57" s="388">
        <v>0</v>
      </c>
      <c r="G57" s="388">
        <v>0</v>
      </c>
      <c r="H57" s="388">
        <v>0</v>
      </c>
      <c r="I57" s="222"/>
      <c r="M57" s="37"/>
      <c r="N57" s="37"/>
      <c r="O57" s="37"/>
    </row>
    <row r="58" spans="1:47" hidden="1" outlineLevel="1" x14ac:dyDescent="0.3">
      <c r="A58" s="45" t="s">
        <v>3974</v>
      </c>
      <c r="B58" s="45" t="s">
        <v>855</v>
      </c>
      <c r="C58" s="48" t="s">
        <v>751</v>
      </c>
      <c r="D58" s="388">
        <v>0</v>
      </c>
      <c r="E58" s="388">
        <v>0</v>
      </c>
      <c r="F58" s="388">
        <v>0</v>
      </c>
      <c r="G58" s="388">
        <v>0</v>
      </c>
      <c r="H58" s="388">
        <v>0</v>
      </c>
      <c r="I58" s="222"/>
      <c r="M58" s="37"/>
      <c r="N58" s="37"/>
      <c r="O58" s="37"/>
    </row>
    <row r="59" spans="1:47" hidden="1" outlineLevel="1" x14ac:dyDescent="0.3">
      <c r="A59" s="45" t="s">
        <v>3974</v>
      </c>
      <c r="B59" s="45" t="s">
        <v>855</v>
      </c>
      <c r="C59" s="48" t="s">
        <v>755</v>
      </c>
      <c r="D59" s="388">
        <v>0</v>
      </c>
      <c r="E59" s="388">
        <v>0</v>
      </c>
      <c r="F59" s="388">
        <v>0</v>
      </c>
      <c r="G59" s="388">
        <v>0</v>
      </c>
      <c r="H59" s="388">
        <v>0</v>
      </c>
      <c r="I59" s="222"/>
      <c r="L59" s="37"/>
      <c r="M59" s="37"/>
      <c r="N59" s="37"/>
      <c r="O59" s="37"/>
    </row>
    <row r="60" spans="1:47" hidden="1" outlineLevel="1" x14ac:dyDescent="0.3">
      <c r="A60" s="45" t="s">
        <v>3974</v>
      </c>
      <c r="B60" s="45" t="s">
        <v>855</v>
      </c>
      <c r="C60" s="48" t="s">
        <v>758</v>
      </c>
      <c r="D60" s="388">
        <v>0</v>
      </c>
      <c r="E60" s="388">
        <v>0</v>
      </c>
      <c r="F60" s="388">
        <v>0</v>
      </c>
      <c r="G60" s="388">
        <v>0</v>
      </c>
      <c r="H60" s="388">
        <v>0</v>
      </c>
      <c r="I60" s="222"/>
      <c r="L60" s="37"/>
      <c r="M60" s="37"/>
      <c r="N60" s="37"/>
      <c r="O60" s="37"/>
    </row>
    <row r="61" spans="1:47" hidden="1" outlineLevel="1" x14ac:dyDescent="0.3">
      <c r="A61" s="45" t="s">
        <v>3974</v>
      </c>
      <c r="B61" s="45" t="s">
        <v>855</v>
      </c>
      <c r="C61" s="48" t="s">
        <v>761</v>
      </c>
      <c r="D61" s="388">
        <v>0</v>
      </c>
      <c r="E61" s="388">
        <v>0</v>
      </c>
      <c r="F61" s="388">
        <v>0</v>
      </c>
      <c r="G61" s="388">
        <v>0</v>
      </c>
      <c r="H61" s="388">
        <v>0</v>
      </c>
      <c r="I61" s="222"/>
      <c r="L61" s="37"/>
      <c r="M61" s="37"/>
      <c r="N61" s="37"/>
      <c r="O61" s="37"/>
    </row>
    <row r="62" spans="1:47" hidden="1" outlineLevel="1" x14ac:dyDescent="0.3">
      <c r="A62" s="45" t="s">
        <v>3974</v>
      </c>
      <c r="B62" s="45" t="s">
        <v>855</v>
      </c>
      <c r="C62" s="48" t="s">
        <v>763</v>
      </c>
      <c r="D62" s="388">
        <v>0</v>
      </c>
      <c r="E62" s="388">
        <v>0</v>
      </c>
      <c r="F62" s="388">
        <v>0</v>
      </c>
      <c r="G62" s="388">
        <v>0</v>
      </c>
      <c r="H62" s="388">
        <v>0</v>
      </c>
      <c r="I62" s="222"/>
      <c r="L62" s="37"/>
      <c r="M62" s="37"/>
      <c r="N62" s="37"/>
      <c r="O62" s="37"/>
    </row>
    <row r="63" spans="1:47" hidden="1" outlineLevel="1" x14ac:dyDescent="0.3">
      <c r="A63" s="45" t="s">
        <v>3974</v>
      </c>
      <c r="B63" s="45" t="s">
        <v>855</v>
      </c>
      <c r="C63" s="48" t="s">
        <v>765</v>
      </c>
      <c r="D63" s="388">
        <v>0</v>
      </c>
      <c r="E63" s="388">
        <v>0</v>
      </c>
      <c r="F63" s="388">
        <v>0</v>
      </c>
      <c r="G63" s="388">
        <v>0</v>
      </c>
      <c r="H63" s="388">
        <v>0</v>
      </c>
      <c r="I63" s="222"/>
      <c r="M63" s="37"/>
      <c r="N63" s="37"/>
      <c r="O63" s="37"/>
    </row>
    <row r="64" spans="1:47" hidden="1" outlineLevel="1" x14ac:dyDescent="0.3">
      <c r="A64" s="45" t="s">
        <v>3974</v>
      </c>
      <c r="B64" s="45" t="s">
        <v>855</v>
      </c>
      <c r="C64" s="48" t="s">
        <v>768</v>
      </c>
      <c r="D64" s="388">
        <v>0</v>
      </c>
      <c r="E64" s="388">
        <v>0</v>
      </c>
      <c r="F64" s="388">
        <v>0</v>
      </c>
      <c r="G64" s="388">
        <v>0</v>
      </c>
      <c r="H64" s="388">
        <v>0</v>
      </c>
      <c r="I64" s="222"/>
      <c r="L64" s="41"/>
      <c r="M64" s="37"/>
      <c r="N64" s="37"/>
      <c r="O64" s="37"/>
    </row>
    <row r="65" spans="1:15" hidden="1" outlineLevel="1" x14ac:dyDescent="0.3">
      <c r="A65" s="45" t="s">
        <v>3974</v>
      </c>
      <c r="B65" s="45" t="s">
        <v>855</v>
      </c>
      <c r="C65" s="48" t="s">
        <v>771</v>
      </c>
      <c r="D65" s="388">
        <v>0</v>
      </c>
      <c r="E65" s="388">
        <v>0</v>
      </c>
      <c r="F65" s="388">
        <v>0</v>
      </c>
      <c r="G65" s="388">
        <v>0</v>
      </c>
      <c r="H65" s="388">
        <v>0</v>
      </c>
      <c r="I65" s="222"/>
      <c r="L65" s="37"/>
      <c r="M65" s="37"/>
      <c r="N65" s="37"/>
      <c r="O65" s="37"/>
    </row>
    <row r="66" spans="1:15" hidden="1" outlineLevel="1" x14ac:dyDescent="0.3">
      <c r="A66" s="45" t="s">
        <v>3974</v>
      </c>
      <c r="B66" s="45" t="s">
        <v>855</v>
      </c>
      <c r="C66" s="48" t="s">
        <v>772</v>
      </c>
      <c r="D66" s="388">
        <v>0</v>
      </c>
      <c r="E66" s="388">
        <v>0</v>
      </c>
      <c r="F66" s="388">
        <v>0</v>
      </c>
      <c r="G66" s="388">
        <v>0</v>
      </c>
      <c r="H66" s="388">
        <v>0</v>
      </c>
      <c r="I66" s="222"/>
      <c r="L66" s="37"/>
      <c r="M66" s="37"/>
      <c r="N66" s="37"/>
      <c r="O66" s="37"/>
    </row>
    <row r="67" spans="1:15" hidden="1" outlineLevel="1" x14ac:dyDescent="0.3">
      <c r="A67" s="45" t="s">
        <v>3974</v>
      </c>
      <c r="B67" s="45" t="s">
        <v>855</v>
      </c>
      <c r="C67" s="48" t="s">
        <v>774</v>
      </c>
      <c r="D67" s="388">
        <v>0</v>
      </c>
      <c r="E67" s="388">
        <v>0</v>
      </c>
      <c r="F67" s="388">
        <v>0</v>
      </c>
      <c r="G67" s="388">
        <v>0</v>
      </c>
      <c r="H67" s="388">
        <v>0</v>
      </c>
      <c r="I67" s="222"/>
      <c r="L67" s="37"/>
      <c r="M67" s="37"/>
      <c r="N67" s="37"/>
      <c r="O67" s="37"/>
    </row>
    <row r="68" spans="1:15" hidden="1" outlineLevel="1" x14ac:dyDescent="0.3">
      <c r="A68" s="45" t="s">
        <v>3974</v>
      </c>
      <c r="B68" s="45" t="s">
        <v>855</v>
      </c>
      <c r="C68" s="48" t="s">
        <v>775</v>
      </c>
      <c r="D68" s="388">
        <v>0</v>
      </c>
      <c r="E68" s="388">
        <v>0</v>
      </c>
      <c r="F68" s="388">
        <v>0</v>
      </c>
      <c r="G68" s="388">
        <v>0</v>
      </c>
      <c r="H68" s="388">
        <v>0</v>
      </c>
      <c r="I68" s="222"/>
      <c r="L68" s="37"/>
      <c r="M68" s="37"/>
      <c r="N68" s="37"/>
      <c r="O68" s="37"/>
    </row>
    <row r="69" spans="1:15" hidden="1" outlineLevel="1" x14ac:dyDescent="0.3">
      <c r="A69" s="45" t="s">
        <v>3974</v>
      </c>
      <c r="B69" s="45" t="s">
        <v>855</v>
      </c>
      <c r="C69" s="48" t="s">
        <v>779</v>
      </c>
      <c r="D69" s="388">
        <v>0</v>
      </c>
      <c r="E69" s="388">
        <v>0</v>
      </c>
      <c r="F69" s="388">
        <v>0</v>
      </c>
      <c r="G69" s="388">
        <v>0</v>
      </c>
      <c r="H69" s="388">
        <v>0</v>
      </c>
      <c r="I69" s="222"/>
      <c r="L69" s="37"/>
      <c r="M69" s="37"/>
      <c r="N69" s="37"/>
      <c r="O69" s="37"/>
    </row>
    <row r="70" spans="1:15" hidden="1" outlineLevel="1" x14ac:dyDescent="0.3">
      <c r="A70" s="45" t="s">
        <v>3974</v>
      </c>
      <c r="B70" s="45" t="s">
        <v>894</v>
      </c>
      <c r="C70" s="48" t="s">
        <v>781</v>
      </c>
      <c r="D70" s="388">
        <v>0</v>
      </c>
      <c r="E70" s="388">
        <v>0</v>
      </c>
      <c r="F70" s="388">
        <v>0</v>
      </c>
      <c r="G70" s="388">
        <v>0</v>
      </c>
      <c r="H70" s="388">
        <v>0</v>
      </c>
      <c r="I70" s="222"/>
      <c r="L70" s="37"/>
      <c r="M70" s="37"/>
      <c r="N70" s="37"/>
      <c r="O70" s="37"/>
    </row>
    <row r="71" spans="1:15" hidden="1" outlineLevel="1" x14ac:dyDescent="0.3">
      <c r="A71" s="45" t="s">
        <v>3974</v>
      </c>
      <c r="B71" s="45" t="s">
        <v>894</v>
      </c>
      <c r="C71" s="48" t="s">
        <v>783</v>
      </c>
      <c r="D71" s="388">
        <v>0</v>
      </c>
      <c r="E71" s="388">
        <v>0</v>
      </c>
      <c r="F71" s="388">
        <v>0</v>
      </c>
      <c r="G71" s="388">
        <v>0</v>
      </c>
      <c r="H71" s="388">
        <v>0</v>
      </c>
      <c r="I71" s="222"/>
      <c r="L71" s="37"/>
      <c r="M71" s="37"/>
      <c r="N71" s="37"/>
      <c r="O71" s="37"/>
    </row>
    <row r="72" spans="1:15" hidden="1" outlineLevel="1" x14ac:dyDescent="0.3">
      <c r="A72" s="45" t="s">
        <v>3974</v>
      </c>
      <c r="B72" s="45" t="s">
        <v>894</v>
      </c>
      <c r="C72" s="48" t="s">
        <v>785</v>
      </c>
      <c r="D72" s="388">
        <v>0</v>
      </c>
      <c r="E72" s="388">
        <v>0</v>
      </c>
      <c r="F72" s="388">
        <v>0</v>
      </c>
      <c r="G72" s="388">
        <v>0</v>
      </c>
      <c r="H72" s="388">
        <v>0</v>
      </c>
      <c r="I72" s="222"/>
      <c r="L72" s="37"/>
      <c r="M72" s="37"/>
      <c r="N72" s="37"/>
      <c r="O72" s="37"/>
    </row>
    <row r="73" spans="1:15" hidden="1" outlineLevel="1" x14ac:dyDescent="0.3">
      <c r="A73" s="45" t="s">
        <v>3974</v>
      </c>
      <c r="B73" s="45" t="s">
        <v>894</v>
      </c>
      <c r="C73" s="48" t="s">
        <v>787</v>
      </c>
      <c r="D73" s="388">
        <v>0</v>
      </c>
      <c r="E73" s="388">
        <v>0</v>
      </c>
      <c r="F73" s="388">
        <v>0</v>
      </c>
      <c r="G73" s="388">
        <v>0</v>
      </c>
      <c r="H73" s="388">
        <v>0</v>
      </c>
      <c r="I73" s="222"/>
      <c r="L73" s="37"/>
      <c r="M73" s="37"/>
      <c r="N73" s="37"/>
      <c r="O73" s="37"/>
    </row>
    <row r="74" spans="1:15" hidden="1" outlineLevel="1" x14ac:dyDescent="0.3">
      <c r="A74" s="45" t="s">
        <v>3974</v>
      </c>
      <c r="B74" s="45" t="s">
        <v>894</v>
      </c>
      <c r="C74" s="48" t="s">
        <v>788</v>
      </c>
      <c r="D74" s="388">
        <v>0</v>
      </c>
      <c r="E74" s="388">
        <v>0</v>
      </c>
      <c r="F74" s="388">
        <v>0</v>
      </c>
      <c r="G74" s="388">
        <v>0</v>
      </c>
      <c r="H74" s="388">
        <v>0</v>
      </c>
      <c r="I74" s="222"/>
      <c r="L74" s="37"/>
      <c r="M74" s="37"/>
      <c r="N74" s="37"/>
      <c r="O74" s="37"/>
    </row>
    <row r="75" spans="1:15" hidden="1" outlineLevel="1" x14ac:dyDescent="0.3">
      <c r="A75" s="45" t="s">
        <v>3974</v>
      </c>
      <c r="B75" s="45" t="s">
        <v>894</v>
      </c>
      <c r="C75" s="48" t="s">
        <v>789</v>
      </c>
      <c r="D75" s="388">
        <v>0</v>
      </c>
      <c r="E75" s="388">
        <v>0</v>
      </c>
      <c r="F75" s="388">
        <v>0</v>
      </c>
      <c r="G75" s="388">
        <v>0</v>
      </c>
      <c r="H75" s="388">
        <v>0</v>
      </c>
      <c r="I75" s="222"/>
      <c r="L75" s="37"/>
      <c r="M75" s="37"/>
      <c r="N75" s="37"/>
      <c r="O75" s="37"/>
    </row>
    <row r="76" spans="1:15" hidden="1" outlineLevel="1" x14ac:dyDescent="0.3">
      <c r="A76" s="45" t="s">
        <v>3974</v>
      </c>
      <c r="B76" s="45" t="s">
        <v>894</v>
      </c>
      <c r="C76" s="48" t="s">
        <v>790</v>
      </c>
      <c r="D76" s="388">
        <v>0</v>
      </c>
      <c r="E76" s="388">
        <v>0</v>
      </c>
      <c r="F76" s="388">
        <v>0</v>
      </c>
      <c r="G76" s="388">
        <v>0</v>
      </c>
      <c r="H76" s="388">
        <v>0</v>
      </c>
      <c r="I76" s="222"/>
      <c r="L76" s="42"/>
      <c r="M76" s="37"/>
      <c r="N76" s="37"/>
      <c r="O76" s="37"/>
    </row>
    <row r="77" spans="1:15" hidden="1" outlineLevel="1" x14ac:dyDescent="0.3">
      <c r="A77" s="45" t="s">
        <v>3974</v>
      </c>
      <c r="B77" s="45" t="s">
        <v>894</v>
      </c>
      <c r="C77" s="48" t="s">
        <v>793</v>
      </c>
      <c r="D77" s="388">
        <v>0</v>
      </c>
      <c r="E77" s="388">
        <v>0</v>
      </c>
      <c r="F77" s="388">
        <v>0</v>
      </c>
      <c r="G77" s="388">
        <v>0</v>
      </c>
      <c r="H77" s="388">
        <v>0</v>
      </c>
      <c r="I77" s="222"/>
      <c r="L77" s="37"/>
      <c r="M77" s="37"/>
      <c r="N77" s="37"/>
      <c r="O77" s="37"/>
    </row>
    <row r="78" spans="1:15" hidden="1" outlineLevel="1" x14ac:dyDescent="0.3">
      <c r="A78" s="45" t="s">
        <v>3974</v>
      </c>
      <c r="B78" s="45" t="s">
        <v>894</v>
      </c>
      <c r="C78" s="48" t="s">
        <v>795</v>
      </c>
      <c r="D78" s="388">
        <v>0</v>
      </c>
      <c r="E78" s="388">
        <v>0</v>
      </c>
      <c r="F78" s="388">
        <v>0</v>
      </c>
      <c r="G78" s="388">
        <v>0</v>
      </c>
      <c r="H78" s="388">
        <v>0</v>
      </c>
      <c r="I78" s="222"/>
      <c r="M78" s="37"/>
      <c r="N78" s="37"/>
      <c r="O78" s="37"/>
    </row>
    <row r="79" spans="1:15" hidden="1" outlineLevel="1" x14ac:dyDescent="0.3">
      <c r="A79" s="45" t="s">
        <v>3974</v>
      </c>
      <c r="B79" s="45" t="s">
        <v>894</v>
      </c>
      <c r="C79" s="48" t="s">
        <v>797</v>
      </c>
      <c r="D79" s="388">
        <v>0</v>
      </c>
      <c r="E79" s="388">
        <v>0</v>
      </c>
      <c r="F79" s="388">
        <v>0</v>
      </c>
      <c r="G79" s="388">
        <v>0</v>
      </c>
      <c r="H79" s="388">
        <v>0</v>
      </c>
      <c r="I79" s="222"/>
      <c r="L79" s="37"/>
      <c r="M79" s="37"/>
      <c r="N79" s="37"/>
      <c r="O79" s="37"/>
    </row>
    <row r="80" spans="1:15" hidden="1" outlineLevel="1" x14ac:dyDescent="0.3">
      <c r="A80" s="45" t="s">
        <v>3974</v>
      </c>
      <c r="B80" s="45" t="s">
        <v>915</v>
      </c>
      <c r="C80" s="48" t="s">
        <v>799</v>
      </c>
      <c r="D80" s="388">
        <v>0</v>
      </c>
      <c r="E80" s="388">
        <v>0</v>
      </c>
      <c r="F80" s="388">
        <v>0</v>
      </c>
      <c r="G80" s="388">
        <v>0</v>
      </c>
      <c r="H80" s="388">
        <v>0</v>
      </c>
      <c r="I80" s="222"/>
      <c r="L80" s="37"/>
      <c r="M80" s="37"/>
      <c r="N80" s="37"/>
      <c r="O80" s="37"/>
    </row>
    <row r="81" spans="1:15" hidden="1" outlineLevel="1" x14ac:dyDescent="0.3">
      <c r="A81" s="45" t="s">
        <v>3974</v>
      </c>
      <c r="B81" s="45" t="s">
        <v>915</v>
      </c>
      <c r="C81" s="48" t="s">
        <v>801</v>
      </c>
      <c r="D81" s="388">
        <v>0</v>
      </c>
      <c r="E81" s="388">
        <v>0</v>
      </c>
      <c r="F81" s="388">
        <v>0</v>
      </c>
      <c r="G81" s="388">
        <v>0</v>
      </c>
      <c r="H81" s="388">
        <v>0</v>
      </c>
      <c r="I81" s="222"/>
      <c r="L81" s="37"/>
      <c r="M81" s="37"/>
      <c r="N81" s="37"/>
      <c r="O81" s="37"/>
    </row>
    <row r="82" spans="1:15" hidden="1" outlineLevel="1" x14ac:dyDescent="0.3">
      <c r="A82" s="45" t="s">
        <v>3974</v>
      </c>
      <c r="B82" s="45" t="s">
        <v>915</v>
      </c>
      <c r="C82" s="48" t="s">
        <v>804</v>
      </c>
      <c r="D82" s="388">
        <v>0</v>
      </c>
      <c r="E82" s="388">
        <v>0</v>
      </c>
      <c r="F82" s="388">
        <v>0</v>
      </c>
      <c r="G82" s="388">
        <v>0</v>
      </c>
      <c r="H82" s="388">
        <v>0</v>
      </c>
      <c r="I82" s="222"/>
      <c r="L82" s="37"/>
      <c r="M82" s="37"/>
      <c r="N82" s="37"/>
      <c r="O82" s="37"/>
    </row>
    <row r="83" spans="1:15" hidden="1" outlineLevel="1" x14ac:dyDescent="0.3">
      <c r="A83" s="45" t="s">
        <v>3974</v>
      </c>
      <c r="B83" s="45" t="s">
        <v>915</v>
      </c>
      <c r="C83" s="361" t="s">
        <v>806</v>
      </c>
      <c r="D83" s="422">
        <v>0</v>
      </c>
      <c r="E83" s="422">
        <v>0</v>
      </c>
      <c r="F83" s="422">
        <v>0</v>
      </c>
      <c r="G83" s="422">
        <v>0</v>
      </c>
      <c r="H83" s="422">
        <v>0</v>
      </c>
      <c r="I83" s="222"/>
      <c r="L83" s="37"/>
      <c r="M83" s="37"/>
      <c r="N83" s="37"/>
      <c r="O83" s="37"/>
    </row>
    <row r="84" spans="1:15" hidden="1" outlineLevel="1" x14ac:dyDescent="0.3">
      <c r="A84" s="45" t="s">
        <v>3974</v>
      </c>
      <c r="B84" s="45" t="s">
        <v>915</v>
      </c>
      <c r="C84" s="48" t="s">
        <v>808</v>
      </c>
      <c r="D84" s="388">
        <v>0</v>
      </c>
      <c r="E84" s="388">
        <v>0</v>
      </c>
      <c r="F84" s="388">
        <v>0</v>
      </c>
      <c r="G84" s="388">
        <v>0</v>
      </c>
      <c r="H84" s="388">
        <v>0</v>
      </c>
      <c r="I84" s="222"/>
      <c r="L84" s="37"/>
      <c r="M84" s="37"/>
      <c r="N84" s="37"/>
      <c r="O84" s="37"/>
    </row>
    <row r="85" spans="1:15" hidden="1" outlineLevel="1" x14ac:dyDescent="0.3">
      <c r="A85" s="45" t="s">
        <v>3974</v>
      </c>
      <c r="B85" s="45" t="s">
        <v>915</v>
      </c>
      <c r="C85" s="48" t="s">
        <v>811</v>
      </c>
      <c r="D85" s="388">
        <v>0</v>
      </c>
      <c r="E85" s="388">
        <v>0</v>
      </c>
      <c r="F85" s="388">
        <v>0</v>
      </c>
      <c r="G85" s="388">
        <v>0</v>
      </c>
      <c r="H85" s="388">
        <v>0</v>
      </c>
      <c r="I85" s="222"/>
      <c r="L85" s="37"/>
      <c r="M85" s="37"/>
      <c r="N85" s="37"/>
      <c r="O85" s="37"/>
    </row>
    <row r="86" spans="1:15" hidden="1" outlineLevel="1" x14ac:dyDescent="0.3">
      <c r="A86" s="45" t="s">
        <v>3974</v>
      </c>
      <c r="B86" s="45" t="s">
        <v>934</v>
      </c>
      <c r="C86" s="48" t="s">
        <v>814</v>
      </c>
      <c r="D86" s="388">
        <v>0</v>
      </c>
      <c r="E86" s="388">
        <v>0</v>
      </c>
      <c r="F86" s="388">
        <v>0</v>
      </c>
      <c r="G86" s="388">
        <v>0</v>
      </c>
      <c r="H86" s="388">
        <v>0</v>
      </c>
      <c r="I86" s="222"/>
      <c r="L86" s="37"/>
      <c r="M86" s="37"/>
      <c r="N86" s="37"/>
      <c r="O86" s="37"/>
    </row>
    <row r="87" spans="1:15" hidden="1" outlineLevel="1" x14ac:dyDescent="0.3">
      <c r="A87" s="45" t="s">
        <v>3974</v>
      </c>
      <c r="B87" s="45" t="s">
        <v>934</v>
      </c>
      <c r="C87" s="48" t="s">
        <v>815</v>
      </c>
      <c r="D87" s="388">
        <v>0</v>
      </c>
      <c r="E87" s="388">
        <v>0</v>
      </c>
      <c r="F87" s="388">
        <v>0</v>
      </c>
      <c r="G87" s="388">
        <v>0</v>
      </c>
      <c r="H87" s="388">
        <v>0</v>
      </c>
      <c r="I87" s="222"/>
      <c r="L87" s="37"/>
      <c r="M87" s="37"/>
      <c r="N87" s="37"/>
      <c r="O87" s="37"/>
    </row>
    <row r="88" spans="1:15" hidden="1" outlineLevel="1" x14ac:dyDescent="0.3">
      <c r="A88" s="45" t="s">
        <v>3974</v>
      </c>
      <c r="B88" s="45" t="s">
        <v>940</v>
      </c>
      <c r="C88" s="48" t="s">
        <v>817</v>
      </c>
      <c r="D88" s="388">
        <v>0</v>
      </c>
      <c r="E88" s="388">
        <v>0</v>
      </c>
      <c r="F88" s="388">
        <v>0</v>
      </c>
      <c r="G88" s="388">
        <v>0</v>
      </c>
      <c r="H88" s="388">
        <v>0</v>
      </c>
      <c r="I88" s="222"/>
      <c r="L88" s="37"/>
      <c r="M88" s="37"/>
      <c r="N88" s="37"/>
      <c r="O88" s="37"/>
    </row>
    <row r="89" spans="1:15" hidden="1" outlineLevel="1" x14ac:dyDescent="0.3">
      <c r="A89" s="45" t="s">
        <v>3974</v>
      </c>
      <c r="B89" s="45" t="s">
        <v>940</v>
      </c>
      <c r="C89" s="48" t="s">
        <v>944</v>
      </c>
      <c r="D89" s="388">
        <v>0</v>
      </c>
      <c r="E89" s="388">
        <v>0</v>
      </c>
      <c r="F89" s="388">
        <v>0</v>
      </c>
      <c r="G89" s="388">
        <v>0</v>
      </c>
      <c r="H89" s="388">
        <v>0</v>
      </c>
      <c r="I89" s="222"/>
      <c r="L89" s="37"/>
      <c r="M89" s="37"/>
      <c r="N89" s="37"/>
      <c r="O89" s="37"/>
    </row>
    <row r="90" spans="1:15" hidden="1" outlineLevel="1" x14ac:dyDescent="0.3">
      <c r="A90" s="45" t="s">
        <v>3974</v>
      </c>
      <c r="B90" s="45" t="s">
        <v>940</v>
      </c>
      <c r="C90" s="48" t="s">
        <v>821</v>
      </c>
      <c r="D90" s="388">
        <v>0</v>
      </c>
      <c r="E90" s="388">
        <v>0</v>
      </c>
      <c r="F90" s="388">
        <v>0</v>
      </c>
      <c r="G90" s="388">
        <v>0</v>
      </c>
      <c r="H90" s="388">
        <v>0</v>
      </c>
      <c r="I90" s="222"/>
      <c r="L90" s="37"/>
      <c r="M90" s="37"/>
      <c r="N90" s="37"/>
      <c r="O90" s="37"/>
    </row>
    <row r="91" spans="1:15" hidden="1" outlineLevel="1" x14ac:dyDescent="0.3">
      <c r="A91" s="45" t="s">
        <v>3974</v>
      </c>
      <c r="B91" s="45" t="s">
        <v>940</v>
      </c>
      <c r="C91" s="48" t="s">
        <v>823</v>
      </c>
      <c r="D91" s="388">
        <v>0</v>
      </c>
      <c r="E91" s="388">
        <v>0</v>
      </c>
      <c r="F91" s="388">
        <v>0</v>
      </c>
      <c r="G91" s="388">
        <v>0</v>
      </c>
      <c r="H91" s="388">
        <v>0</v>
      </c>
      <c r="I91" s="222"/>
      <c r="L91" s="37"/>
      <c r="M91" s="37"/>
      <c r="N91" s="37"/>
      <c r="O91" s="37"/>
    </row>
    <row r="92" spans="1:15" hidden="1" outlineLevel="1" x14ac:dyDescent="0.3">
      <c r="A92" s="45" t="s">
        <v>3974</v>
      </c>
      <c r="B92" s="45" t="s">
        <v>940</v>
      </c>
      <c r="C92" s="48" t="s">
        <v>825</v>
      </c>
      <c r="D92" s="388">
        <v>0</v>
      </c>
      <c r="E92" s="388">
        <v>0</v>
      </c>
      <c r="F92" s="388">
        <v>0</v>
      </c>
      <c r="G92" s="388">
        <v>0</v>
      </c>
      <c r="H92" s="388">
        <v>0</v>
      </c>
      <c r="I92" s="222"/>
      <c r="L92" s="37"/>
      <c r="M92" s="37"/>
      <c r="N92" s="37"/>
      <c r="O92" s="37"/>
    </row>
    <row r="93" spans="1:15" hidden="1" outlineLevel="1" x14ac:dyDescent="0.3">
      <c r="A93" s="45" t="s">
        <v>3974</v>
      </c>
      <c r="B93" s="45" t="s">
        <v>940</v>
      </c>
      <c r="C93" s="48" t="s">
        <v>827</v>
      </c>
      <c r="D93" s="389">
        <v>1033000</v>
      </c>
      <c r="E93" s="389">
        <v>1033000</v>
      </c>
      <c r="F93" s="389">
        <v>1033000</v>
      </c>
      <c r="G93" s="389">
        <v>1033000</v>
      </c>
      <c r="H93" s="389">
        <v>1033000</v>
      </c>
      <c r="I93" s="222" t="s">
        <v>3975</v>
      </c>
      <c r="L93" s="37"/>
      <c r="M93" s="37"/>
      <c r="N93" s="37"/>
      <c r="O93" s="37"/>
    </row>
    <row r="94" spans="1:15" hidden="1" outlineLevel="1" x14ac:dyDescent="0.3">
      <c r="A94" s="45" t="s">
        <v>3974</v>
      </c>
      <c r="B94" s="45" t="s">
        <v>940</v>
      </c>
      <c r="C94" s="48" t="s">
        <v>829</v>
      </c>
      <c r="D94" s="388">
        <v>0</v>
      </c>
      <c r="E94" s="388">
        <v>0</v>
      </c>
      <c r="F94" s="388">
        <v>0</v>
      </c>
      <c r="G94" s="388">
        <v>0</v>
      </c>
      <c r="H94" s="388">
        <v>0</v>
      </c>
      <c r="I94" s="222"/>
      <c r="L94" s="37"/>
      <c r="M94" s="37"/>
      <c r="N94" s="37"/>
      <c r="O94" s="37"/>
    </row>
    <row r="95" spans="1:15" hidden="1" outlineLevel="1" x14ac:dyDescent="0.3">
      <c r="A95" s="45" t="s">
        <v>3974</v>
      </c>
      <c r="B95" s="45" t="s">
        <v>940</v>
      </c>
      <c r="C95" s="48" t="s">
        <v>833</v>
      </c>
      <c r="D95" s="388">
        <v>0</v>
      </c>
      <c r="E95" s="388">
        <v>0</v>
      </c>
      <c r="F95" s="388">
        <v>0</v>
      </c>
      <c r="G95" s="388">
        <v>0</v>
      </c>
      <c r="H95" s="388">
        <v>0</v>
      </c>
      <c r="I95" s="222"/>
      <c r="L95" s="37"/>
      <c r="M95" s="37"/>
      <c r="N95" s="37"/>
      <c r="O95" s="37"/>
    </row>
    <row r="96" spans="1:15" hidden="1" outlineLevel="1" x14ac:dyDescent="0.3">
      <c r="A96" s="45" t="s">
        <v>3974</v>
      </c>
      <c r="B96" s="45" t="s">
        <v>940</v>
      </c>
      <c r="C96" s="48" t="s">
        <v>836</v>
      </c>
      <c r="D96" s="388">
        <v>0</v>
      </c>
      <c r="E96" s="388">
        <v>0</v>
      </c>
      <c r="F96" s="388">
        <v>0</v>
      </c>
      <c r="G96" s="388">
        <v>0</v>
      </c>
      <c r="H96" s="388">
        <v>0</v>
      </c>
      <c r="I96" s="222"/>
      <c r="L96" s="37"/>
      <c r="M96" s="37"/>
      <c r="N96" s="37"/>
      <c r="O96" s="37"/>
    </row>
    <row r="97" spans="1:18" hidden="1" outlineLevel="1" x14ac:dyDescent="0.3">
      <c r="A97" s="45" t="s">
        <v>3974</v>
      </c>
      <c r="B97" s="45" t="s">
        <v>940</v>
      </c>
      <c r="C97" s="48" t="s">
        <v>837</v>
      </c>
      <c r="D97" s="388">
        <v>0</v>
      </c>
      <c r="E97" s="388">
        <v>0</v>
      </c>
      <c r="F97" s="388">
        <v>0</v>
      </c>
      <c r="G97" s="388">
        <v>0</v>
      </c>
      <c r="H97" s="388">
        <v>0</v>
      </c>
      <c r="I97" s="222"/>
      <c r="L97" s="37"/>
      <c r="M97" s="37"/>
      <c r="N97" s="37"/>
      <c r="O97" s="37"/>
    </row>
    <row r="98" spans="1:18" hidden="1" outlineLevel="1" x14ac:dyDescent="0.3">
      <c r="A98" s="45" t="s">
        <v>3974</v>
      </c>
      <c r="B98" s="45" t="s">
        <v>940</v>
      </c>
      <c r="C98" s="48" t="s">
        <v>839</v>
      </c>
      <c r="D98" s="388">
        <v>0</v>
      </c>
      <c r="E98" s="388">
        <v>0</v>
      </c>
      <c r="F98" s="388">
        <v>0</v>
      </c>
      <c r="G98" s="388">
        <v>0</v>
      </c>
      <c r="H98" s="388">
        <v>0</v>
      </c>
      <c r="I98" s="222"/>
      <c r="L98" s="37"/>
      <c r="M98" s="37"/>
      <c r="N98" s="37"/>
      <c r="O98" s="37"/>
    </row>
    <row r="99" spans="1:18" hidden="1" outlineLevel="1" x14ac:dyDescent="0.3">
      <c r="A99" s="45" t="s">
        <v>3974</v>
      </c>
      <c r="B99" s="45" t="s">
        <v>940</v>
      </c>
      <c r="C99" s="48" t="s">
        <v>840</v>
      </c>
      <c r="D99" s="388">
        <v>0</v>
      </c>
      <c r="E99" s="388">
        <v>0</v>
      </c>
      <c r="F99" s="388">
        <v>0</v>
      </c>
      <c r="G99" s="388">
        <v>0</v>
      </c>
      <c r="H99" s="388">
        <v>0</v>
      </c>
      <c r="I99" s="222"/>
      <c r="L99" s="37"/>
      <c r="M99" s="37"/>
      <c r="N99" s="37"/>
      <c r="O99" s="37"/>
    </row>
    <row r="100" spans="1:18" collapsed="1" x14ac:dyDescent="0.3">
      <c r="A100" s="45"/>
      <c r="B100" s="45"/>
      <c r="C100" s="45"/>
      <c r="D100" s="388"/>
      <c r="E100" s="388"/>
      <c r="F100" s="388"/>
      <c r="G100" s="388"/>
      <c r="H100" s="388"/>
      <c r="I100" s="222"/>
    </row>
    <row r="101" spans="1:18" x14ac:dyDescent="0.3">
      <c r="A101" s="48" t="s">
        <v>3976</v>
      </c>
      <c r="B101" s="69"/>
      <c r="C101" s="46" t="s">
        <v>3973</v>
      </c>
      <c r="D101" s="386">
        <v>720000</v>
      </c>
      <c r="E101" s="386">
        <v>720000</v>
      </c>
      <c r="F101" s="386">
        <v>720000</v>
      </c>
      <c r="G101" s="386">
        <v>720000</v>
      </c>
      <c r="H101" s="386">
        <v>720000</v>
      </c>
      <c r="I101" s="225"/>
      <c r="M101" s="42"/>
      <c r="N101" s="42"/>
      <c r="O101" s="42"/>
    </row>
    <row r="102" spans="1:18" x14ac:dyDescent="0.3">
      <c r="A102" s="48" t="s">
        <v>5</v>
      </c>
      <c r="B102" s="48" t="s">
        <v>847</v>
      </c>
      <c r="C102" s="48" t="s">
        <v>193</v>
      </c>
      <c r="D102" s="387">
        <v>2025</v>
      </c>
      <c r="E102" s="387">
        <v>2030</v>
      </c>
      <c r="F102" s="387">
        <v>2035</v>
      </c>
      <c r="G102" s="387">
        <v>2040</v>
      </c>
      <c r="H102" s="387">
        <v>2045</v>
      </c>
      <c r="I102" s="226" t="s">
        <v>153</v>
      </c>
      <c r="M102" s="43"/>
      <c r="N102" s="42"/>
      <c r="O102" s="42"/>
    </row>
    <row r="103" spans="1:18" hidden="1" outlineLevel="1" x14ac:dyDescent="0.3">
      <c r="A103" s="45" t="s">
        <v>3976</v>
      </c>
      <c r="B103" s="45" t="s">
        <v>855</v>
      </c>
      <c r="C103" s="48" t="s">
        <v>747</v>
      </c>
      <c r="D103" s="388">
        <v>0</v>
      </c>
      <c r="E103" s="388">
        <v>0</v>
      </c>
      <c r="F103" s="388">
        <v>0</v>
      </c>
      <c r="G103" s="388">
        <v>0</v>
      </c>
      <c r="H103" s="388">
        <v>0</v>
      </c>
      <c r="I103" s="222"/>
      <c r="M103" s="37"/>
      <c r="N103" s="37"/>
      <c r="O103" s="37"/>
      <c r="P103" s="37"/>
      <c r="Q103" s="37"/>
      <c r="R103" s="37"/>
    </row>
    <row r="104" spans="1:18" hidden="1" outlineLevel="1" x14ac:dyDescent="0.3">
      <c r="A104" s="45" t="s">
        <v>3976</v>
      </c>
      <c r="B104" s="45" t="s">
        <v>855</v>
      </c>
      <c r="C104" s="48" t="s">
        <v>751</v>
      </c>
      <c r="D104" s="388">
        <v>0</v>
      </c>
      <c r="E104" s="388">
        <v>0</v>
      </c>
      <c r="F104" s="388">
        <v>0</v>
      </c>
      <c r="G104" s="388">
        <v>0</v>
      </c>
      <c r="H104" s="388">
        <v>0</v>
      </c>
      <c r="I104" s="222"/>
      <c r="M104" s="37"/>
      <c r="N104" s="37"/>
      <c r="O104" s="37"/>
      <c r="P104" s="37"/>
      <c r="Q104" s="37"/>
      <c r="R104" s="37"/>
    </row>
    <row r="105" spans="1:18" hidden="1" outlineLevel="1" x14ac:dyDescent="0.3">
      <c r="A105" s="45" t="s">
        <v>3976</v>
      </c>
      <c r="B105" s="45" t="s">
        <v>855</v>
      </c>
      <c r="C105" s="48" t="s">
        <v>755</v>
      </c>
      <c r="D105" s="388">
        <v>0</v>
      </c>
      <c r="E105" s="388">
        <v>0</v>
      </c>
      <c r="F105" s="388">
        <v>0</v>
      </c>
      <c r="G105" s="388">
        <v>0</v>
      </c>
      <c r="H105" s="388">
        <v>0</v>
      </c>
      <c r="I105" s="222"/>
      <c r="M105" s="37"/>
      <c r="N105" s="37"/>
      <c r="O105" s="37"/>
      <c r="P105" s="37"/>
      <c r="Q105" s="37"/>
      <c r="R105" s="37"/>
    </row>
    <row r="106" spans="1:18" hidden="1" outlineLevel="1" x14ac:dyDescent="0.3">
      <c r="A106" s="45" t="s">
        <v>3976</v>
      </c>
      <c r="B106" s="45" t="s">
        <v>855</v>
      </c>
      <c r="C106" s="48" t="s">
        <v>758</v>
      </c>
      <c r="D106" s="388">
        <v>0</v>
      </c>
      <c r="E106" s="388">
        <v>0</v>
      </c>
      <c r="F106" s="388">
        <v>0</v>
      </c>
      <c r="G106" s="388">
        <v>0</v>
      </c>
      <c r="H106" s="388">
        <v>0</v>
      </c>
      <c r="I106" s="222"/>
      <c r="M106" s="37"/>
      <c r="N106" s="37"/>
      <c r="O106" s="37"/>
      <c r="P106" s="37"/>
      <c r="Q106" s="37"/>
      <c r="R106" s="37"/>
    </row>
    <row r="107" spans="1:18" hidden="1" outlineLevel="1" x14ac:dyDescent="0.3">
      <c r="A107" s="45" t="s">
        <v>3976</v>
      </c>
      <c r="B107" s="45" t="s">
        <v>855</v>
      </c>
      <c r="C107" s="48" t="s">
        <v>761</v>
      </c>
      <c r="D107" s="388">
        <v>0</v>
      </c>
      <c r="E107" s="388">
        <v>0</v>
      </c>
      <c r="F107" s="388">
        <v>0</v>
      </c>
      <c r="G107" s="388">
        <v>0</v>
      </c>
      <c r="H107" s="388">
        <v>0</v>
      </c>
      <c r="I107" s="222"/>
      <c r="M107" s="37"/>
      <c r="N107" s="37"/>
      <c r="O107" s="37"/>
      <c r="P107" s="37"/>
      <c r="Q107" s="37"/>
      <c r="R107" s="37"/>
    </row>
    <row r="108" spans="1:18" hidden="1" outlineLevel="1" x14ac:dyDescent="0.3">
      <c r="A108" s="45" t="s">
        <v>3976</v>
      </c>
      <c r="B108" s="45" t="s">
        <v>855</v>
      </c>
      <c r="C108" s="48" t="s">
        <v>763</v>
      </c>
      <c r="D108" s="388">
        <v>0</v>
      </c>
      <c r="E108" s="388">
        <v>0</v>
      </c>
      <c r="F108" s="388">
        <v>0</v>
      </c>
      <c r="G108" s="388">
        <v>0</v>
      </c>
      <c r="H108" s="388">
        <v>0</v>
      </c>
      <c r="I108" s="222"/>
      <c r="M108" s="37"/>
      <c r="N108" s="37"/>
      <c r="O108" s="37"/>
      <c r="P108" s="37"/>
      <c r="Q108" s="37"/>
      <c r="R108" s="37"/>
    </row>
    <row r="109" spans="1:18" hidden="1" outlineLevel="1" x14ac:dyDescent="0.3">
      <c r="A109" s="45" t="s">
        <v>3976</v>
      </c>
      <c r="B109" s="45" t="s">
        <v>855</v>
      </c>
      <c r="C109" s="48" t="s">
        <v>765</v>
      </c>
      <c r="D109" s="388">
        <v>0</v>
      </c>
      <c r="E109" s="388">
        <v>0</v>
      </c>
      <c r="F109" s="388">
        <v>0</v>
      </c>
      <c r="G109" s="388">
        <v>0</v>
      </c>
      <c r="H109" s="388">
        <v>0</v>
      </c>
      <c r="I109" s="222"/>
      <c r="M109" s="37"/>
      <c r="N109" s="37"/>
      <c r="O109" s="37"/>
      <c r="P109" s="37"/>
      <c r="Q109" s="37"/>
      <c r="R109" s="37"/>
    </row>
    <row r="110" spans="1:18" hidden="1" outlineLevel="1" x14ac:dyDescent="0.3">
      <c r="A110" s="45" t="s">
        <v>3976</v>
      </c>
      <c r="B110" s="45" t="s">
        <v>855</v>
      </c>
      <c r="C110" s="48" t="s">
        <v>768</v>
      </c>
      <c r="D110" s="388">
        <v>0</v>
      </c>
      <c r="E110" s="388">
        <v>0</v>
      </c>
      <c r="F110" s="388">
        <v>0</v>
      </c>
      <c r="G110" s="388">
        <v>0</v>
      </c>
      <c r="H110" s="388">
        <v>0</v>
      </c>
      <c r="I110" s="222"/>
      <c r="M110" s="37"/>
      <c r="N110" s="37"/>
      <c r="O110" s="37"/>
      <c r="P110" s="37"/>
      <c r="Q110" s="37"/>
      <c r="R110" s="37"/>
    </row>
    <row r="111" spans="1:18" hidden="1" outlineLevel="1" x14ac:dyDescent="0.3">
      <c r="A111" s="45" t="s">
        <v>3976</v>
      </c>
      <c r="B111" s="45" t="s">
        <v>855</v>
      </c>
      <c r="C111" s="48" t="s">
        <v>771</v>
      </c>
      <c r="D111" s="388">
        <v>0</v>
      </c>
      <c r="E111" s="388">
        <v>0</v>
      </c>
      <c r="F111" s="388">
        <v>0</v>
      </c>
      <c r="G111" s="388">
        <v>0</v>
      </c>
      <c r="H111" s="388">
        <v>0</v>
      </c>
      <c r="I111" s="222"/>
      <c r="M111" s="37"/>
      <c r="N111" s="37"/>
      <c r="O111" s="37"/>
      <c r="P111" s="37"/>
      <c r="Q111" s="37"/>
      <c r="R111" s="37"/>
    </row>
    <row r="112" spans="1:18" hidden="1" outlineLevel="1" x14ac:dyDescent="0.3">
      <c r="A112" s="45" t="s">
        <v>3976</v>
      </c>
      <c r="B112" s="45" t="s">
        <v>855</v>
      </c>
      <c r="C112" s="48" t="s">
        <v>772</v>
      </c>
      <c r="D112" s="388">
        <v>0</v>
      </c>
      <c r="E112" s="388">
        <v>0</v>
      </c>
      <c r="F112" s="388">
        <v>0</v>
      </c>
      <c r="G112" s="388">
        <v>0</v>
      </c>
      <c r="H112" s="388">
        <v>0</v>
      </c>
      <c r="I112" s="222"/>
      <c r="M112" s="37"/>
      <c r="N112" s="37"/>
      <c r="O112" s="37"/>
      <c r="P112" s="37"/>
      <c r="Q112" s="37"/>
      <c r="R112" s="37"/>
    </row>
    <row r="113" spans="1:27" hidden="1" outlineLevel="1" x14ac:dyDescent="0.3">
      <c r="A113" s="45" t="s">
        <v>3976</v>
      </c>
      <c r="B113" s="45" t="s">
        <v>855</v>
      </c>
      <c r="C113" s="48" t="s">
        <v>774</v>
      </c>
      <c r="D113" s="388">
        <v>0</v>
      </c>
      <c r="E113" s="388">
        <v>0</v>
      </c>
      <c r="F113" s="388">
        <v>0</v>
      </c>
      <c r="G113" s="388">
        <v>0</v>
      </c>
      <c r="H113" s="388">
        <v>0</v>
      </c>
      <c r="I113" s="222"/>
      <c r="M113" s="37"/>
      <c r="N113" s="37"/>
      <c r="O113" s="37"/>
      <c r="P113" s="37"/>
      <c r="Q113" s="37"/>
      <c r="R113" s="37"/>
    </row>
    <row r="114" spans="1:27" hidden="1" outlineLevel="1" x14ac:dyDescent="0.3">
      <c r="A114" s="45" t="s">
        <v>3976</v>
      </c>
      <c r="B114" s="45" t="s">
        <v>855</v>
      </c>
      <c r="C114" s="48" t="s">
        <v>775</v>
      </c>
      <c r="D114" s="388">
        <v>0</v>
      </c>
      <c r="E114" s="388">
        <v>0</v>
      </c>
      <c r="F114" s="388">
        <v>0</v>
      </c>
      <c r="G114" s="388">
        <v>0</v>
      </c>
      <c r="H114" s="388">
        <v>0</v>
      </c>
      <c r="I114" s="222"/>
      <c r="M114" s="37"/>
      <c r="N114" s="37"/>
      <c r="O114" s="37"/>
      <c r="P114" s="37"/>
      <c r="Q114" s="37"/>
      <c r="R114" s="37"/>
    </row>
    <row r="115" spans="1:27" hidden="1" outlineLevel="1" x14ac:dyDescent="0.3">
      <c r="A115" s="45" t="s">
        <v>3976</v>
      </c>
      <c r="B115" s="45" t="s">
        <v>855</v>
      </c>
      <c r="C115" s="48" t="s">
        <v>779</v>
      </c>
      <c r="D115" s="388">
        <v>0</v>
      </c>
      <c r="E115" s="388">
        <v>0</v>
      </c>
      <c r="F115" s="388">
        <v>0</v>
      </c>
      <c r="G115" s="388">
        <v>0</v>
      </c>
      <c r="H115" s="388">
        <v>0</v>
      </c>
      <c r="I115" s="222"/>
      <c r="L115" s="37"/>
      <c r="M115" s="37"/>
      <c r="N115" s="37"/>
      <c r="O115" s="37"/>
      <c r="P115" s="37"/>
      <c r="Q115" s="37"/>
      <c r="R115" s="37"/>
    </row>
    <row r="116" spans="1:27" hidden="1" outlineLevel="1" x14ac:dyDescent="0.3">
      <c r="A116" s="45" t="s">
        <v>3976</v>
      </c>
      <c r="B116" s="45" t="s">
        <v>894</v>
      </c>
      <c r="C116" s="48" t="s">
        <v>781</v>
      </c>
      <c r="D116" s="388">
        <v>0</v>
      </c>
      <c r="E116" s="388">
        <v>0</v>
      </c>
      <c r="F116" s="388">
        <v>0</v>
      </c>
      <c r="G116" s="388">
        <v>0</v>
      </c>
      <c r="H116" s="388">
        <v>0</v>
      </c>
      <c r="I116" s="222"/>
      <c r="L116" s="37"/>
      <c r="M116" s="37"/>
      <c r="N116" s="37"/>
      <c r="O116" s="37"/>
      <c r="P116" s="37"/>
      <c r="Q116" s="37"/>
      <c r="R116" s="37"/>
    </row>
    <row r="117" spans="1:27" hidden="1" outlineLevel="1" x14ac:dyDescent="0.3">
      <c r="A117" s="45" t="s">
        <v>3976</v>
      </c>
      <c r="B117" s="45" t="s">
        <v>894</v>
      </c>
      <c r="C117" s="48" t="s">
        <v>783</v>
      </c>
      <c r="D117" s="388">
        <v>0</v>
      </c>
      <c r="E117" s="388">
        <v>0</v>
      </c>
      <c r="F117" s="388">
        <v>0</v>
      </c>
      <c r="G117" s="388">
        <v>0</v>
      </c>
      <c r="H117" s="388">
        <v>0</v>
      </c>
      <c r="I117" s="222"/>
      <c r="L117" s="37"/>
      <c r="M117" s="37"/>
      <c r="N117" s="37"/>
      <c r="O117" s="37"/>
      <c r="P117" s="37"/>
      <c r="Q117" s="37"/>
      <c r="R117" s="37"/>
    </row>
    <row r="118" spans="1:27" hidden="1" outlineLevel="1" x14ac:dyDescent="0.3">
      <c r="A118" s="45" t="s">
        <v>3976</v>
      </c>
      <c r="B118" s="45" t="s">
        <v>894</v>
      </c>
      <c r="C118" s="48" t="s">
        <v>785</v>
      </c>
      <c r="D118" s="388">
        <v>0</v>
      </c>
      <c r="E118" s="388">
        <v>0</v>
      </c>
      <c r="F118" s="388">
        <v>0</v>
      </c>
      <c r="G118" s="388">
        <v>0</v>
      </c>
      <c r="H118" s="388">
        <v>0</v>
      </c>
      <c r="I118" s="222"/>
      <c r="L118" s="37"/>
      <c r="M118" s="37"/>
      <c r="N118" s="37"/>
      <c r="O118" s="37"/>
      <c r="P118" s="37"/>
      <c r="Q118" s="37"/>
      <c r="R118" s="37"/>
    </row>
    <row r="119" spans="1:27" hidden="1" outlineLevel="1" x14ac:dyDescent="0.3">
      <c r="A119" s="45" t="s">
        <v>3976</v>
      </c>
      <c r="B119" s="45" t="s">
        <v>894</v>
      </c>
      <c r="C119" s="48" t="s">
        <v>787</v>
      </c>
      <c r="D119" s="388">
        <v>0</v>
      </c>
      <c r="E119" s="388">
        <v>0</v>
      </c>
      <c r="F119" s="388">
        <v>0</v>
      </c>
      <c r="G119" s="388">
        <v>0</v>
      </c>
      <c r="H119" s="388">
        <v>0</v>
      </c>
      <c r="I119" s="222"/>
      <c r="L119" s="37"/>
      <c r="M119" s="37"/>
      <c r="N119" s="37"/>
      <c r="O119" s="37"/>
      <c r="P119" s="37"/>
      <c r="Q119" s="37"/>
      <c r="R119" s="37"/>
    </row>
    <row r="120" spans="1:27" hidden="1" outlineLevel="1" x14ac:dyDescent="0.3">
      <c r="A120" s="45" t="s">
        <v>3976</v>
      </c>
      <c r="B120" s="45" t="s">
        <v>894</v>
      </c>
      <c r="C120" s="48" t="s">
        <v>788</v>
      </c>
      <c r="D120" s="388">
        <v>0</v>
      </c>
      <c r="E120" s="388">
        <v>0</v>
      </c>
      <c r="F120" s="388">
        <v>0</v>
      </c>
      <c r="G120" s="388">
        <v>0</v>
      </c>
      <c r="H120" s="388">
        <v>0</v>
      </c>
      <c r="I120" s="222"/>
      <c r="L120" s="37"/>
      <c r="M120" s="37"/>
      <c r="N120" s="37"/>
      <c r="O120" s="37"/>
      <c r="P120" s="37"/>
      <c r="Q120" s="37"/>
      <c r="R120" s="37"/>
    </row>
    <row r="121" spans="1:27" hidden="1" outlineLevel="1" x14ac:dyDescent="0.3">
      <c r="A121" s="45" t="s">
        <v>3976</v>
      </c>
      <c r="B121" s="45" t="s">
        <v>894</v>
      </c>
      <c r="C121" s="48" t="s">
        <v>789</v>
      </c>
      <c r="D121" s="388">
        <v>0</v>
      </c>
      <c r="E121" s="388">
        <v>0</v>
      </c>
      <c r="F121" s="388">
        <v>0</v>
      </c>
      <c r="G121" s="388">
        <v>0</v>
      </c>
      <c r="H121" s="388">
        <v>0</v>
      </c>
      <c r="I121" s="222"/>
      <c r="L121" s="37"/>
      <c r="M121" s="37"/>
      <c r="N121" s="37"/>
      <c r="O121" s="37"/>
      <c r="P121" s="37"/>
      <c r="Q121" s="37"/>
      <c r="R121" s="37"/>
    </row>
    <row r="122" spans="1:27" hidden="1" outlineLevel="1" x14ac:dyDescent="0.3">
      <c r="A122" s="45" t="s">
        <v>3976</v>
      </c>
      <c r="B122" s="45" t="s">
        <v>894</v>
      </c>
      <c r="C122" s="48" t="s">
        <v>790</v>
      </c>
      <c r="D122" s="388">
        <v>0</v>
      </c>
      <c r="E122" s="388">
        <v>0</v>
      </c>
      <c r="F122" s="388">
        <v>0</v>
      </c>
      <c r="G122" s="388">
        <v>0</v>
      </c>
      <c r="H122" s="388">
        <v>0</v>
      </c>
      <c r="I122" s="222"/>
      <c r="L122" s="37"/>
      <c r="M122" s="37"/>
      <c r="N122" s="37"/>
      <c r="O122" s="37"/>
      <c r="P122" s="37"/>
      <c r="Q122" s="37"/>
      <c r="R122" s="37"/>
    </row>
    <row r="123" spans="1:27" hidden="1" outlineLevel="1" x14ac:dyDescent="0.3">
      <c r="A123" s="45" t="s">
        <v>3976</v>
      </c>
      <c r="B123" s="45" t="s">
        <v>894</v>
      </c>
      <c r="C123" s="48" t="s">
        <v>793</v>
      </c>
      <c r="D123" s="388">
        <v>0</v>
      </c>
      <c r="E123" s="388">
        <v>0</v>
      </c>
      <c r="F123" s="388">
        <v>0</v>
      </c>
      <c r="G123" s="388">
        <v>0</v>
      </c>
      <c r="H123" s="388">
        <v>0</v>
      </c>
      <c r="I123" s="222"/>
      <c r="L123" s="37"/>
      <c r="M123" s="37"/>
      <c r="N123" s="37"/>
      <c r="O123" s="37"/>
      <c r="P123" s="37"/>
      <c r="Q123" s="37"/>
      <c r="R123" s="37"/>
      <c r="S123" s="44"/>
      <c r="T123" s="44"/>
      <c r="U123" s="44"/>
      <c r="V123" s="44"/>
      <c r="W123" s="44"/>
      <c r="X123" s="44"/>
      <c r="Y123" s="44"/>
      <c r="Z123" s="44"/>
      <c r="AA123" s="44"/>
    </row>
    <row r="124" spans="1:27" hidden="1" outlineLevel="1" x14ac:dyDescent="0.3">
      <c r="A124" s="45" t="s">
        <v>3976</v>
      </c>
      <c r="B124" s="45" t="s">
        <v>894</v>
      </c>
      <c r="C124" s="48" t="s">
        <v>795</v>
      </c>
      <c r="D124" s="388">
        <v>0</v>
      </c>
      <c r="E124" s="388">
        <v>0</v>
      </c>
      <c r="F124" s="388">
        <v>0</v>
      </c>
      <c r="G124" s="388">
        <v>0</v>
      </c>
      <c r="H124" s="388">
        <v>0</v>
      </c>
      <c r="I124" s="222"/>
      <c r="L124" s="37"/>
      <c r="M124" s="37"/>
      <c r="N124" s="37"/>
      <c r="O124" s="37"/>
      <c r="P124" s="37"/>
      <c r="Q124" s="37"/>
      <c r="R124" s="37"/>
    </row>
    <row r="125" spans="1:27" hidden="1" outlineLevel="1" x14ac:dyDescent="0.3">
      <c r="A125" s="45" t="s">
        <v>3976</v>
      </c>
      <c r="B125" s="45" t="s">
        <v>894</v>
      </c>
      <c r="C125" s="48" t="s">
        <v>797</v>
      </c>
      <c r="D125" s="388">
        <v>0</v>
      </c>
      <c r="E125" s="388">
        <v>0</v>
      </c>
      <c r="F125" s="388">
        <v>0</v>
      </c>
      <c r="G125" s="388">
        <v>0</v>
      </c>
      <c r="H125" s="388">
        <v>0</v>
      </c>
      <c r="I125" s="222"/>
      <c r="L125" s="37"/>
      <c r="M125" s="37"/>
      <c r="N125" s="37"/>
      <c r="O125" s="37"/>
      <c r="P125" s="37"/>
      <c r="Q125" s="37"/>
      <c r="R125" s="37"/>
    </row>
    <row r="126" spans="1:27" hidden="1" outlineLevel="1" x14ac:dyDescent="0.3">
      <c r="A126" s="45" t="s">
        <v>3976</v>
      </c>
      <c r="B126" s="45" t="s">
        <v>915</v>
      </c>
      <c r="C126" s="48" t="s">
        <v>799</v>
      </c>
      <c r="D126" s="388">
        <v>0</v>
      </c>
      <c r="E126" s="388">
        <v>0</v>
      </c>
      <c r="F126" s="388">
        <v>0</v>
      </c>
      <c r="G126" s="388">
        <v>0</v>
      </c>
      <c r="H126" s="388">
        <v>0</v>
      </c>
      <c r="I126" s="222"/>
      <c r="L126" s="37"/>
      <c r="M126" s="37"/>
      <c r="N126" s="37"/>
      <c r="O126" s="37"/>
      <c r="P126" s="37"/>
      <c r="Q126" s="37"/>
      <c r="R126" s="37"/>
    </row>
    <row r="127" spans="1:27" hidden="1" outlineLevel="1" x14ac:dyDescent="0.3">
      <c r="A127" s="45" t="s">
        <v>3976</v>
      </c>
      <c r="B127" s="45" t="s">
        <v>915</v>
      </c>
      <c r="C127" s="48" t="s">
        <v>801</v>
      </c>
      <c r="D127" s="388">
        <v>0</v>
      </c>
      <c r="E127" s="388">
        <v>0</v>
      </c>
      <c r="F127" s="388">
        <v>0</v>
      </c>
      <c r="G127" s="388">
        <v>0</v>
      </c>
      <c r="H127" s="388">
        <v>0</v>
      </c>
      <c r="I127" s="222"/>
      <c r="L127" s="37"/>
      <c r="M127" s="37"/>
      <c r="N127" s="37"/>
      <c r="O127" s="37"/>
      <c r="P127" s="37"/>
      <c r="Q127" s="37"/>
      <c r="R127" s="37"/>
    </row>
    <row r="128" spans="1:27" hidden="1" outlineLevel="1" x14ac:dyDescent="0.3">
      <c r="A128" s="45" t="s">
        <v>3976</v>
      </c>
      <c r="B128" s="45" t="s">
        <v>915</v>
      </c>
      <c r="C128" s="48" t="s">
        <v>804</v>
      </c>
      <c r="D128" s="388">
        <v>0</v>
      </c>
      <c r="E128" s="388">
        <v>0</v>
      </c>
      <c r="F128" s="388">
        <v>0</v>
      </c>
      <c r="G128" s="388">
        <v>0</v>
      </c>
      <c r="H128" s="388">
        <v>0</v>
      </c>
      <c r="I128" s="222"/>
      <c r="L128" s="37"/>
      <c r="M128" s="37"/>
      <c r="N128" s="37"/>
      <c r="O128" s="37"/>
      <c r="P128" s="37"/>
      <c r="Q128" s="37"/>
      <c r="R128" s="37"/>
    </row>
    <row r="129" spans="1:18" hidden="1" outlineLevel="1" x14ac:dyDescent="0.3">
      <c r="A129" s="45" t="s">
        <v>3976</v>
      </c>
      <c r="B129" s="45" t="s">
        <v>915</v>
      </c>
      <c r="C129" s="48" t="s">
        <v>806</v>
      </c>
      <c r="D129" s="388">
        <v>0</v>
      </c>
      <c r="E129" s="388">
        <v>0</v>
      </c>
      <c r="F129" s="388">
        <v>0</v>
      </c>
      <c r="G129" s="388">
        <v>0</v>
      </c>
      <c r="H129" s="388">
        <v>0</v>
      </c>
      <c r="I129" s="222"/>
      <c r="L129" s="37"/>
      <c r="M129" s="37"/>
      <c r="N129" s="37"/>
      <c r="O129" s="37"/>
      <c r="P129" s="37"/>
      <c r="Q129" s="37"/>
      <c r="R129" s="37"/>
    </row>
    <row r="130" spans="1:18" hidden="1" outlineLevel="1" x14ac:dyDescent="0.3">
      <c r="A130" s="45" t="s">
        <v>3976</v>
      </c>
      <c r="B130" s="45" t="s">
        <v>915</v>
      </c>
      <c r="C130" s="48" t="s">
        <v>808</v>
      </c>
      <c r="D130" s="388">
        <v>0</v>
      </c>
      <c r="E130" s="388">
        <v>0</v>
      </c>
      <c r="F130" s="388">
        <v>0</v>
      </c>
      <c r="G130" s="388">
        <v>0</v>
      </c>
      <c r="H130" s="388">
        <v>0</v>
      </c>
      <c r="I130" s="222"/>
      <c r="L130" s="37"/>
      <c r="M130" s="37"/>
      <c r="N130" s="37"/>
      <c r="O130" s="37"/>
      <c r="P130" s="37"/>
      <c r="Q130" s="37"/>
      <c r="R130" s="37"/>
    </row>
    <row r="131" spans="1:18" hidden="1" outlineLevel="1" x14ac:dyDescent="0.3">
      <c r="A131" s="45" t="s">
        <v>3976</v>
      </c>
      <c r="B131" s="45" t="s">
        <v>915</v>
      </c>
      <c r="C131" s="48" t="s">
        <v>811</v>
      </c>
      <c r="D131" s="388">
        <v>0</v>
      </c>
      <c r="E131" s="388">
        <v>0</v>
      </c>
      <c r="F131" s="388">
        <v>0</v>
      </c>
      <c r="G131" s="388">
        <v>0</v>
      </c>
      <c r="H131" s="388">
        <v>0</v>
      </c>
      <c r="I131" s="222"/>
      <c r="L131" s="37"/>
      <c r="M131" s="37"/>
      <c r="N131" s="37"/>
      <c r="O131" s="37"/>
      <c r="P131" s="37"/>
      <c r="Q131" s="37"/>
      <c r="R131" s="37"/>
    </row>
    <row r="132" spans="1:18" hidden="1" outlineLevel="1" x14ac:dyDescent="0.3">
      <c r="A132" s="45" t="s">
        <v>3976</v>
      </c>
      <c r="B132" s="45" t="s">
        <v>934</v>
      </c>
      <c r="C132" s="48" t="s">
        <v>814</v>
      </c>
      <c r="D132" s="388">
        <v>0</v>
      </c>
      <c r="E132" s="388">
        <v>0</v>
      </c>
      <c r="F132" s="388">
        <v>0</v>
      </c>
      <c r="G132" s="388">
        <v>0</v>
      </c>
      <c r="H132" s="388">
        <v>0</v>
      </c>
      <c r="I132" s="222"/>
      <c r="L132" s="37"/>
      <c r="M132" s="37"/>
      <c r="N132" s="37"/>
      <c r="O132" s="37"/>
      <c r="P132" s="37"/>
      <c r="Q132" s="37"/>
      <c r="R132" s="37"/>
    </row>
    <row r="133" spans="1:18" hidden="1" outlineLevel="1" x14ac:dyDescent="0.3">
      <c r="A133" s="45" t="s">
        <v>3976</v>
      </c>
      <c r="B133" s="45" t="s">
        <v>934</v>
      </c>
      <c r="C133" s="48" t="s">
        <v>815</v>
      </c>
      <c r="D133" s="388">
        <v>0</v>
      </c>
      <c r="E133" s="388">
        <v>0</v>
      </c>
      <c r="F133" s="388">
        <v>0</v>
      </c>
      <c r="G133" s="388">
        <v>0</v>
      </c>
      <c r="H133" s="388">
        <v>0</v>
      </c>
      <c r="I133" s="222"/>
      <c r="L133" s="37"/>
      <c r="M133" s="37"/>
      <c r="N133" s="37"/>
      <c r="O133" s="37"/>
      <c r="P133" s="37"/>
      <c r="Q133" s="37"/>
      <c r="R133" s="37"/>
    </row>
    <row r="134" spans="1:18" hidden="1" outlineLevel="1" x14ac:dyDescent="0.3">
      <c r="A134" s="45" t="s">
        <v>3976</v>
      </c>
      <c r="B134" s="45" t="s">
        <v>940</v>
      </c>
      <c r="C134" s="48" t="s">
        <v>817</v>
      </c>
      <c r="D134" s="388">
        <v>0</v>
      </c>
      <c r="E134" s="388">
        <v>0</v>
      </c>
      <c r="F134" s="388">
        <v>0</v>
      </c>
      <c r="G134" s="388">
        <v>0</v>
      </c>
      <c r="H134" s="388">
        <v>0</v>
      </c>
      <c r="I134" s="222"/>
      <c r="L134" s="37"/>
      <c r="M134" s="37"/>
      <c r="N134" s="37"/>
      <c r="O134" s="37"/>
      <c r="P134" s="37"/>
      <c r="Q134" s="37"/>
      <c r="R134" s="37"/>
    </row>
    <row r="135" spans="1:18" hidden="1" outlineLevel="1" x14ac:dyDescent="0.3">
      <c r="A135" s="45" t="s">
        <v>3976</v>
      </c>
      <c r="B135" s="45" t="s">
        <v>940</v>
      </c>
      <c r="C135" s="48" t="s">
        <v>944</v>
      </c>
      <c r="D135" s="388">
        <v>0</v>
      </c>
      <c r="E135" s="388">
        <v>0</v>
      </c>
      <c r="F135" s="388">
        <v>0</v>
      </c>
      <c r="G135" s="388">
        <v>0</v>
      </c>
      <c r="H135" s="388">
        <v>0</v>
      </c>
      <c r="I135" s="222"/>
      <c r="L135" s="37"/>
      <c r="M135" s="37"/>
      <c r="N135" s="37"/>
      <c r="O135" s="37"/>
      <c r="P135" s="37"/>
      <c r="Q135" s="37"/>
      <c r="R135" s="37"/>
    </row>
    <row r="136" spans="1:18" hidden="1" outlineLevel="1" x14ac:dyDescent="0.3">
      <c r="A136" s="45" t="s">
        <v>3976</v>
      </c>
      <c r="B136" s="45" t="s">
        <v>940</v>
      </c>
      <c r="C136" s="48" t="s">
        <v>821</v>
      </c>
      <c r="D136" s="388">
        <v>0</v>
      </c>
      <c r="E136" s="388">
        <v>0</v>
      </c>
      <c r="F136" s="388">
        <v>0</v>
      </c>
      <c r="G136" s="388">
        <v>0</v>
      </c>
      <c r="H136" s="388">
        <v>0</v>
      </c>
      <c r="I136" s="222"/>
      <c r="L136" s="37"/>
      <c r="M136" s="37"/>
      <c r="N136" s="37"/>
      <c r="O136" s="37"/>
      <c r="P136" s="37"/>
      <c r="Q136" s="37"/>
      <c r="R136" s="37"/>
    </row>
    <row r="137" spans="1:18" hidden="1" outlineLevel="1" x14ac:dyDescent="0.3">
      <c r="A137" s="45" t="s">
        <v>3976</v>
      </c>
      <c r="B137" s="45" t="s">
        <v>940</v>
      </c>
      <c r="C137" s="48" t="s">
        <v>823</v>
      </c>
      <c r="D137" s="388">
        <v>0</v>
      </c>
      <c r="E137" s="388">
        <v>0</v>
      </c>
      <c r="F137" s="388">
        <v>0</v>
      </c>
      <c r="G137" s="388">
        <v>0</v>
      </c>
      <c r="H137" s="388">
        <v>0</v>
      </c>
      <c r="I137" s="222"/>
      <c r="L137" s="37"/>
      <c r="M137" s="37"/>
      <c r="N137" s="37"/>
      <c r="O137" s="37"/>
      <c r="P137" s="37"/>
      <c r="Q137" s="37"/>
      <c r="R137" s="37"/>
    </row>
    <row r="138" spans="1:18" hidden="1" outlineLevel="1" x14ac:dyDescent="0.3">
      <c r="A138" s="45" t="s">
        <v>3976</v>
      </c>
      <c r="B138" s="45" t="s">
        <v>940</v>
      </c>
      <c r="C138" s="48" t="s">
        <v>825</v>
      </c>
      <c r="D138" s="388">
        <v>0</v>
      </c>
      <c r="E138" s="388">
        <v>0</v>
      </c>
      <c r="F138" s="388">
        <v>0</v>
      </c>
      <c r="G138" s="388">
        <v>0</v>
      </c>
      <c r="H138" s="388">
        <v>0</v>
      </c>
      <c r="I138" s="222"/>
      <c r="L138" s="37"/>
      <c r="M138" s="37"/>
      <c r="N138" s="37"/>
      <c r="O138" s="37"/>
      <c r="P138" s="37"/>
      <c r="Q138" s="37"/>
      <c r="R138" s="37"/>
    </row>
    <row r="139" spans="1:18" hidden="1" outlineLevel="1" x14ac:dyDescent="0.3">
      <c r="A139" s="45" t="s">
        <v>3976</v>
      </c>
      <c r="B139" s="45" t="s">
        <v>940</v>
      </c>
      <c r="C139" s="48" t="s">
        <v>827</v>
      </c>
      <c r="D139" s="389">
        <v>720000</v>
      </c>
      <c r="E139" s="389">
        <v>720000</v>
      </c>
      <c r="F139" s="389">
        <v>720000</v>
      </c>
      <c r="G139" s="389">
        <v>720000</v>
      </c>
      <c r="H139" s="389">
        <v>720000</v>
      </c>
      <c r="I139" s="222" t="s">
        <v>3977</v>
      </c>
      <c r="L139" s="37"/>
      <c r="M139" s="37"/>
      <c r="N139" s="37"/>
      <c r="O139" s="37"/>
      <c r="P139" s="37"/>
      <c r="Q139" s="37"/>
      <c r="R139" s="37"/>
    </row>
    <row r="140" spans="1:18" hidden="1" outlineLevel="1" x14ac:dyDescent="0.3">
      <c r="A140" s="45" t="s">
        <v>3976</v>
      </c>
      <c r="B140" s="45" t="s">
        <v>940</v>
      </c>
      <c r="C140" s="48" t="s">
        <v>829</v>
      </c>
      <c r="D140" s="388">
        <v>0</v>
      </c>
      <c r="E140" s="388">
        <v>0</v>
      </c>
      <c r="F140" s="388">
        <v>0</v>
      </c>
      <c r="G140" s="388">
        <v>0</v>
      </c>
      <c r="H140" s="388">
        <v>0</v>
      </c>
      <c r="I140" s="222"/>
      <c r="L140" s="37"/>
      <c r="M140" s="37"/>
      <c r="N140" s="37"/>
      <c r="O140" s="37"/>
      <c r="P140" s="37"/>
      <c r="Q140" s="37"/>
      <c r="R140" s="37"/>
    </row>
    <row r="141" spans="1:18" hidden="1" outlineLevel="1" x14ac:dyDescent="0.3">
      <c r="A141" s="45" t="s">
        <v>3976</v>
      </c>
      <c r="B141" s="45" t="s">
        <v>940</v>
      </c>
      <c r="C141" s="48" t="s">
        <v>833</v>
      </c>
      <c r="D141" s="388">
        <v>0</v>
      </c>
      <c r="E141" s="388">
        <v>0</v>
      </c>
      <c r="F141" s="388">
        <v>0</v>
      </c>
      <c r="G141" s="388">
        <v>0</v>
      </c>
      <c r="H141" s="388">
        <v>0</v>
      </c>
      <c r="I141" s="222"/>
      <c r="L141" s="37"/>
      <c r="M141" s="37"/>
      <c r="N141" s="37"/>
      <c r="O141" s="37"/>
      <c r="P141" s="37"/>
      <c r="Q141" s="37"/>
      <c r="R141" s="37"/>
    </row>
    <row r="142" spans="1:18" hidden="1" outlineLevel="1" x14ac:dyDescent="0.3">
      <c r="A142" s="45" t="s">
        <v>3976</v>
      </c>
      <c r="B142" s="45" t="s">
        <v>940</v>
      </c>
      <c r="C142" s="48" t="s">
        <v>836</v>
      </c>
      <c r="D142" s="388">
        <v>0</v>
      </c>
      <c r="E142" s="388">
        <v>0</v>
      </c>
      <c r="F142" s="388">
        <v>0</v>
      </c>
      <c r="G142" s="388">
        <v>0</v>
      </c>
      <c r="H142" s="388">
        <v>0</v>
      </c>
      <c r="I142" s="222"/>
      <c r="L142" s="37"/>
      <c r="M142" s="37"/>
      <c r="N142" s="37"/>
      <c r="O142" s="37"/>
      <c r="P142" s="37"/>
      <c r="Q142" s="37"/>
      <c r="R142" s="37"/>
    </row>
    <row r="143" spans="1:18" hidden="1" outlineLevel="1" x14ac:dyDescent="0.3">
      <c r="A143" s="45" t="s">
        <v>3976</v>
      </c>
      <c r="B143" s="45" t="s">
        <v>940</v>
      </c>
      <c r="C143" s="48" t="s">
        <v>837</v>
      </c>
      <c r="D143" s="388">
        <v>0</v>
      </c>
      <c r="E143" s="388">
        <v>0</v>
      </c>
      <c r="F143" s="388">
        <v>0</v>
      </c>
      <c r="G143" s="388">
        <v>0</v>
      </c>
      <c r="H143" s="388">
        <v>0</v>
      </c>
      <c r="I143" s="222"/>
      <c r="L143" s="37"/>
      <c r="M143" s="37"/>
      <c r="N143" s="37"/>
      <c r="O143" s="37"/>
      <c r="P143" s="37"/>
      <c r="Q143" s="37"/>
      <c r="R143" s="37"/>
    </row>
    <row r="144" spans="1:18" hidden="1" outlineLevel="1" x14ac:dyDescent="0.3">
      <c r="A144" s="45" t="s">
        <v>3976</v>
      </c>
      <c r="B144" s="45" t="s">
        <v>940</v>
      </c>
      <c r="C144" s="48" t="s">
        <v>839</v>
      </c>
      <c r="D144" s="388">
        <v>0</v>
      </c>
      <c r="E144" s="388">
        <v>0</v>
      </c>
      <c r="F144" s="388">
        <v>0</v>
      </c>
      <c r="G144" s="388">
        <v>0</v>
      </c>
      <c r="H144" s="388">
        <v>0</v>
      </c>
      <c r="I144" s="222"/>
      <c r="L144" s="37"/>
      <c r="M144" s="37"/>
      <c r="N144" s="37"/>
      <c r="O144" s="37"/>
      <c r="P144" s="37"/>
      <c r="Q144" s="37"/>
      <c r="R144" s="37"/>
    </row>
    <row r="145" spans="1:18" hidden="1" outlineLevel="1" x14ac:dyDescent="0.3">
      <c r="A145" s="45" t="s">
        <v>3976</v>
      </c>
      <c r="B145" s="45" t="s">
        <v>940</v>
      </c>
      <c r="C145" s="48" t="s">
        <v>840</v>
      </c>
      <c r="D145" s="388">
        <v>0</v>
      </c>
      <c r="E145" s="388">
        <v>0</v>
      </c>
      <c r="F145" s="388">
        <v>0</v>
      </c>
      <c r="G145" s="388">
        <v>0</v>
      </c>
      <c r="H145" s="388">
        <v>0</v>
      </c>
      <c r="I145" s="222"/>
      <c r="L145" s="37"/>
      <c r="M145" s="37"/>
      <c r="N145" s="37"/>
      <c r="O145" s="37"/>
      <c r="P145" s="37"/>
      <c r="Q145" s="37"/>
      <c r="R145" s="37"/>
    </row>
    <row r="146" spans="1:18" collapsed="1" x14ac:dyDescent="0.3">
      <c r="A146" s="45"/>
      <c r="B146" s="45"/>
      <c r="C146" s="45"/>
      <c r="D146" s="388"/>
      <c r="E146" s="388"/>
      <c r="F146" s="388"/>
      <c r="G146" s="388"/>
      <c r="H146" s="388"/>
      <c r="I146" s="222"/>
      <c r="L146" s="41"/>
      <c r="M146" s="41"/>
      <c r="N146" s="42"/>
      <c r="O146" s="42"/>
    </row>
    <row r="147" spans="1:18" x14ac:dyDescent="0.3">
      <c r="A147" s="48" t="s">
        <v>3978</v>
      </c>
      <c r="B147" s="69"/>
      <c r="C147" s="46" t="s">
        <v>3973</v>
      </c>
      <c r="D147" s="386">
        <v>510000</v>
      </c>
      <c r="E147" s="386">
        <v>510000</v>
      </c>
      <c r="F147" s="386">
        <v>510000</v>
      </c>
      <c r="G147" s="386">
        <v>510000</v>
      </c>
      <c r="H147" s="386">
        <v>510000</v>
      </c>
      <c r="I147" s="225"/>
    </row>
    <row r="148" spans="1:18" x14ac:dyDescent="0.3">
      <c r="A148" s="48" t="s">
        <v>5</v>
      </c>
      <c r="B148" s="48" t="s">
        <v>847</v>
      </c>
      <c r="C148" s="48" t="s">
        <v>193</v>
      </c>
      <c r="D148" s="387">
        <v>2025</v>
      </c>
      <c r="E148" s="387">
        <v>2030</v>
      </c>
      <c r="F148" s="387">
        <v>2035</v>
      </c>
      <c r="G148" s="387">
        <v>2040</v>
      </c>
      <c r="H148" s="387">
        <v>2045</v>
      </c>
      <c r="I148" s="226" t="s">
        <v>153</v>
      </c>
      <c r="N148" s="37"/>
      <c r="O148" s="37"/>
      <c r="P148" s="37"/>
    </row>
    <row r="149" spans="1:18" hidden="1" outlineLevel="1" x14ac:dyDescent="0.3">
      <c r="A149" s="45" t="s">
        <v>3978</v>
      </c>
      <c r="B149" s="45" t="s">
        <v>855</v>
      </c>
      <c r="C149" s="48" t="s">
        <v>747</v>
      </c>
      <c r="D149" s="388">
        <v>0</v>
      </c>
      <c r="E149" s="388">
        <v>0</v>
      </c>
      <c r="F149" s="388">
        <v>0</v>
      </c>
      <c r="G149" s="388">
        <v>0</v>
      </c>
      <c r="H149" s="388">
        <v>0</v>
      </c>
      <c r="I149" s="222"/>
      <c r="L149" s="37"/>
      <c r="M149" s="37"/>
      <c r="N149" s="37"/>
      <c r="O149" s="37"/>
      <c r="P149" s="37"/>
      <c r="Q149" s="37"/>
      <c r="R149" s="37"/>
    </row>
    <row r="150" spans="1:18" hidden="1" outlineLevel="1" x14ac:dyDescent="0.3">
      <c r="A150" s="45" t="s">
        <v>3978</v>
      </c>
      <c r="B150" s="45" t="s">
        <v>855</v>
      </c>
      <c r="C150" s="48" t="s">
        <v>751</v>
      </c>
      <c r="D150" s="388">
        <v>0</v>
      </c>
      <c r="E150" s="388">
        <v>0</v>
      </c>
      <c r="F150" s="388">
        <v>0</v>
      </c>
      <c r="G150" s="388">
        <v>0</v>
      </c>
      <c r="H150" s="388">
        <v>0</v>
      </c>
      <c r="I150" s="222"/>
      <c r="L150" s="37"/>
      <c r="M150" s="37"/>
      <c r="N150" s="37"/>
      <c r="O150" s="37"/>
      <c r="P150" s="37"/>
      <c r="Q150" s="37"/>
      <c r="R150" s="37"/>
    </row>
    <row r="151" spans="1:18" hidden="1" outlineLevel="1" x14ac:dyDescent="0.3">
      <c r="A151" s="45" t="s">
        <v>3978</v>
      </c>
      <c r="B151" s="45" t="s">
        <v>855</v>
      </c>
      <c r="C151" s="48" t="s">
        <v>755</v>
      </c>
      <c r="D151" s="388">
        <v>0</v>
      </c>
      <c r="E151" s="388">
        <v>0</v>
      </c>
      <c r="F151" s="388">
        <v>0</v>
      </c>
      <c r="G151" s="388">
        <v>0</v>
      </c>
      <c r="H151" s="388">
        <v>0</v>
      </c>
      <c r="I151" s="222"/>
      <c r="L151" s="37"/>
      <c r="M151" s="37"/>
      <c r="N151" s="37"/>
      <c r="O151" s="37"/>
      <c r="P151" s="37"/>
      <c r="Q151" s="37"/>
      <c r="R151" s="37"/>
    </row>
    <row r="152" spans="1:18" hidden="1" outlineLevel="1" x14ac:dyDescent="0.3">
      <c r="A152" s="45" t="s">
        <v>3978</v>
      </c>
      <c r="B152" s="45" t="s">
        <v>855</v>
      </c>
      <c r="C152" s="48" t="s">
        <v>758</v>
      </c>
      <c r="D152" s="388">
        <v>0</v>
      </c>
      <c r="E152" s="388">
        <v>0</v>
      </c>
      <c r="F152" s="388">
        <v>0</v>
      </c>
      <c r="G152" s="388">
        <v>0</v>
      </c>
      <c r="H152" s="388">
        <v>0</v>
      </c>
      <c r="I152" s="222"/>
      <c r="L152" s="37"/>
      <c r="M152" s="37"/>
      <c r="N152" s="37"/>
      <c r="O152" s="37"/>
      <c r="P152" s="37"/>
      <c r="Q152" s="37"/>
      <c r="R152" s="37"/>
    </row>
    <row r="153" spans="1:18" hidden="1" outlineLevel="1" x14ac:dyDescent="0.3">
      <c r="A153" s="45" t="s">
        <v>3978</v>
      </c>
      <c r="B153" s="45" t="s">
        <v>855</v>
      </c>
      <c r="C153" s="48" t="s">
        <v>761</v>
      </c>
      <c r="D153" s="388">
        <v>0</v>
      </c>
      <c r="E153" s="388">
        <v>0</v>
      </c>
      <c r="F153" s="388">
        <v>0</v>
      </c>
      <c r="G153" s="388">
        <v>0</v>
      </c>
      <c r="H153" s="388">
        <v>0</v>
      </c>
      <c r="I153" s="222"/>
      <c r="L153" s="37"/>
      <c r="M153" s="37"/>
      <c r="N153" s="37"/>
      <c r="O153" s="37"/>
      <c r="P153" s="37"/>
      <c r="Q153" s="37"/>
      <c r="R153" s="37"/>
    </row>
    <row r="154" spans="1:18" hidden="1" outlineLevel="1" x14ac:dyDescent="0.3">
      <c r="A154" s="45" t="s">
        <v>3978</v>
      </c>
      <c r="B154" s="45" t="s">
        <v>855</v>
      </c>
      <c r="C154" s="48" t="s">
        <v>763</v>
      </c>
      <c r="D154" s="388">
        <v>0</v>
      </c>
      <c r="E154" s="388">
        <v>0</v>
      </c>
      <c r="F154" s="388">
        <v>0</v>
      </c>
      <c r="G154" s="388">
        <v>0</v>
      </c>
      <c r="H154" s="388">
        <v>0</v>
      </c>
      <c r="I154" s="222"/>
      <c r="L154" s="37"/>
      <c r="M154" s="37"/>
      <c r="N154" s="37"/>
      <c r="O154" s="37"/>
      <c r="P154" s="37"/>
      <c r="Q154" s="37"/>
      <c r="R154" s="37"/>
    </row>
    <row r="155" spans="1:18" hidden="1" outlineLevel="1" x14ac:dyDescent="0.3">
      <c r="A155" s="45" t="s">
        <v>3978</v>
      </c>
      <c r="B155" s="45" t="s">
        <v>855</v>
      </c>
      <c r="C155" s="48" t="s">
        <v>765</v>
      </c>
      <c r="D155" s="388">
        <v>0</v>
      </c>
      <c r="E155" s="388">
        <v>0</v>
      </c>
      <c r="F155" s="388">
        <v>0</v>
      </c>
      <c r="G155" s="388">
        <v>0</v>
      </c>
      <c r="H155" s="388">
        <v>0</v>
      </c>
      <c r="I155" s="222"/>
      <c r="L155" s="37"/>
      <c r="M155" s="37"/>
      <c r="N155" s="37"/>
      <c r="O155" s="37"/>
      <c r="P155" s="37"/>
      <c r="Q155" s="37"/>
      <c r="R155" s="37"/>
    </row>
    <row r="156" spans="1:18" hidden="1" outlineLevel="1" x14ac:dyDescent="0.3">
      <c r="A156" s="45" t="s">
        <v>3978</v>
      </c>
      <c r="B156" s="45" t="s">
        <v>855</v>
      </c>
      <c r="C156" s="48" t="s">
        <v>768</v>
      </c>
      <c r="D156" s="388">
        <v>0</v>
      </c>
      <c r="E156" s="388">
        <v>0</v>
      </c>
      <c r="F156" s="388">
        <v>0</v>
      </c>
      <c r="G156" s="388">
        <v>0</v>
      </c>
      <c r="H156" s="388">
        <v>0</v>
      </c>
      <c r="I156" s="222"/>
      <c r="L156" s="37"/>
      <c r="M156" s="37"/>
      <c r="N156" s="37"/>
      <c r="O156" s="37"/>
      <c r="P156" s="37"/>
      <c r="Q156" s="37"/>
      <c r="R156" s="37"/>
    </row>
    <row r="157" spans="1:18" hidden="1" outlineLevel="1" x14ac:dyDescent="0.3">
      <c r="A157" s="45" t="s">
        <v>3978</v>
      </c>
      <c r="B157" s="45" t="s">
        <v>855</v>
      </c>
      <c r="C157" s="48" t="s">
        <v>771</v>
      </c>
      <c r="D157" s="388">
        <v>0</v>
      </c>
      <c r="E157" s="388">
        <v>0</v>
      </c>
      <c r="F157" s="388">
        <v>0</v>
      </c>
      <c r="G157" s="388">
        <v>0</v>
      </c>
      <c r="H157" s="388">
        <v>0</v>
      </c>
      <c r="I157" s="222"/>
      <c r="L157" s="37"/>
      <c r="M157" s="37"/>
      <c r="N157" s="37"/>
      <c r="O157" s="37"/>
      <c r="P157" s="37"/>
      <c r="Q157" s="37"/>
      <c r="R157" s="37"/>
    </row>
    <row r="158" spans="1:18" hidden="1" outlineLevel="1" x14ac:dyDescent="0.3">
      <c r="A158" s="45" t="s">
        <v>3978</v>
      </c>
      <c r="B158" s="45" t="s">
        <v>855</v>
      </c>
      <c r="C158" s="48" t="s">
        <v>772</v>
      </c>
      <c r="D158" s="388">
        <v>0</v>
      </c>
      <c r="E158" s="388">
        <v>0</v>
      </c>
      <c r="F158" s="388">
        <v>0</v>
      </c>
      <c r="G158" s="388">
        <v>0</v>
      </c>
      <c r="H158" s="388">
        <v>0</v>
      </c>
      <c r="I158" s="222"/>
      <c r="L158" s="37"/>
      <c r="M158" s="37"/>
      <c r="N158" s="37"/>
      <c r="O158" s="37"/>
      <c r="P158" s="37"/>
      <c r="Q158" s="37"/>
      <c r="R158" s="37"/>
    </row>
    <row r="159" spans="1:18" hidden="1" outlineLevel="1" x14ac:dyDescent="0.3">
      <c r="A159" s="45" t="s">
        <v>3978</v>
      </c>
      <c r="B159" s="45" t="s">
        <v>855</v>
      </c>
      <c r="C159" s="48" t="s">
        <v>774</v>
      </c>
      <c r="D159" s="388">
        <v>0</v>
      </c>
      <c r="E159" s="388">
        <v>0</v>
      </c>
      <c r="F159" s="388">
        <v>0</v>
      </c>
      <c r="G159" s="388">
        <v>0</v>
      </c>
      <c r="H159" s="388">
        <v>0</v>
      </c>
      <c r="I159" s="222"/>
      <c r="L159" s="37"/>
      <c r="M159" s="37"/>
      <c r="N159" s="37"/>
      <c r="O159" s="37"/>
      <c r="P159" s="37"/>
      <c r="Q159" s="37"/>
      <c r="R159" s="37"/>
    </row>
    <row r="160" spans="1:18" hidden="1" outlineLevel="1" x14ac:dyDescent="0.3">
      <c r="A160" s="45" t="s">
        <v>3978</v>
      </c>
      <c r="B160" s="45" t="s">
        <v>855</v>
      </c>
      <c r="C160" s="48" t="s">
        <v>775</v>
      </c>
      <c r="D160" s="388">
        <v>0</v>
      </c>
      <c r="E160" s="388">
        <v>0</v>
      </c>
      <c r="F160" s="388">
        <v>0</v>
      </c>
      <c r="G160" s="388">
        <v>0</v>
      </c>
      <c r="H160" s="388">
        <v>0</v>
      </c>
      <c r="I160" s="222"/>
      <c r="L160" s="37"/>
      <c r="M160" s="37"/>
      <c r="N160" s="37"/>
      <c r="O160" s="37"/>
      <c r="P160" s="37"/>
      <c r="Q160" s="37"/>
      <c r="R160" s="37"/>
    </row>
    <row r="161" spans="1:18" hidden="1" outlineLevel="1" x14ac:dyDescent="0.3">
      <c r="A161" s="45" t="s">
        <v>3978</v>
      </c>
      <c r="B161" s="45" t="s">
        <v>855</v>
      </c>
      <c r="C161" s="48" t="s">
        <v>779</v>
      </c>
      <c r="D161" s="388">
        <v>0</v>
      </c>
      <c r="E161" s="388">
        <v>0</v>
      </c>
      <c r="F161" s="388">
        <v>0</v>
      </c>
      <c r="G161" s="388">
        <v>0</v>
      </c>
      <c r="H161" s="388">
        <v>0</v>
      </c>
      <c r="I161" s="222"/>
      <c r="L161" s="37"/>
      <c r="M161" s="37"/>
      <c r="N161" s="37"/>
      <c r="O161" s="37"/>
      <c r="P161" s="37"/>
      <c r="Q161" s="37"/>
      <c r="R161" s="37"/>
    </row>
    <row r="162" spans="1:18" hidden="1" outlineLevel="1" x14ac:dyDescent="0.3">
      <c r="A162" s="45" t="s">
        <v>3978</v>
      </c>
      <c r="B162" s="45" t="s">
        <v>894</v>
      </c>
      <c r="C162" s="48" t="s">
        <v>781</v>
      </c>
      <c r="D162" s="388">
        <v>0</v>
      </c>
      <c r="E162" s="388">
        <v>0</v>
      </c>
      <c r="F162" s="388">
        <v>0</v>
      </c>
      <c r="G162" s="388">
        <v>0</v>
      </c>
      <c r="H162" s="388">
        <v>0</v>
      </c>
      <c r="I162" s="222"/>
      <c r="L162" s="37"/>
      <c r="M162" s="37"/>
      <c r="N162" s="37"/>
      <c r="O162" s="37"/>
      <c r="P162" s="37"/>
      <c r="Q162" s="37"/>
      <c r="R162" s="37"/>
    </row>
    <row r="163" spans="1:18" hidden="1" outlineLevel="1" x14ac:dyDescent="0.3">
      <c r="A163" s="45" t="s">
        <v>3978</v>
      </c>
      <c r="B163" s="45" t="s">
        <v>894</v>
      </c>
      <c r="C163" s="48" t="s">
        <v>783</v>
      </c>
      <c r="D163" s="388">
        <v>0</v>
      </c>
      <c r="E163" s="388">
        <v>0</v>
      </c>
      <c r="F163" s="388">
        <v>0</v>
      </c>
      <c r="G163" s="388">
        <v>0</v>
      </c>
      <c r="H163" s="388">
        <v>0</v>
      </c>
      <c r="I163" s="222"/>
      <c r="L163" s="37"/>
      <c r="M163" s="37"/>
      <c r="N163" s="37"/>
      <c r="O163" s="37"/>
      <c r="P163" s="37"/>
      <c r="Q163" s="37"/>
      <c r="R163" s="37"/>
    </row>
    <row r="164" spans="1:18" hidden="1" outlineLevel="1" x14ac:dyDescent="0.3">
      <c r="A164" s="45" t="s">
        <v>3978</v>
      </c>
      <c r="B164" s="45" t="s">
        <v>894</v>
      </c>
      <c r="C164" s="48" t="s">
        <v>785</v>
      </c>
      <c r="D164" s="388">
        <v>0</v>
      </c>
      <c r="E164" s="388">
        <v>0</v>
      </c>
      <c r="F164" s="388">
        <v>0</v>
      </c>
      <c r="G164" s="388">
        <v>0</v>
      </c>
      <c r="H164" s="388">
        <v>0</v>
      </c>
      <c r="I164" s="222"/>
      <c r="L164" s="37"/>
      <c r="M164" s="37"/>
      <c r="N164" s="37"/>
      <c r="O164" s="37"/>
      <c r="P164" s="37"/>
      <c r="Q164" s="37"/>
      <c r="R164" s="37"/>
    </row>
    <row r="165" spans="1:18" hidden="1" outlineLevel="1" x14ac:dyDescent="0.3">
      <c r="A165" s="45" t="s">
        <v>3978</v>
      </c>
      <c r="B165" s="45" t="s">
        <v>894</v>
      </c>
      <c r="C165" s="48" t="s">
        <v>787</v>
      </c>
      <c r="D165" s="388">
        <v>0</v>
      </c>
      <c r="E165" s="388">
        <v>0</v>
      </c>
      <c r="F165" s="388">
        <v>0</v>
      </c>
      <c r="G165" s="388">
        <v>0</v>
      </c>
      <c r="H165" s="388">
        <v>0</v>
      </c>
      <c r="I165" s="222"/>
      <c r="L165" s="37"/>
      <c r="M165" s="37"/>
      <c r="N165" s="37"/>
      <c r="O165" s="37"/>
      <c r="P165" s="37"/>
      <c r="Q165" s="37"/>
      <c r="R165" s="37"/>
    </row>
    <row r="166" spans="1:18" hidden="1" outlineLevel="1" x14ac:dyDescent="0.3">
      <c r="A166" s="45" t="s">
        <v>3978</v>
      </c>
      <c r="B166" s="45" t="s">
        <v>894</v>
      </c>
      <c r="C166" s="48" t="s">
        <v>788</v>
      </c>
      <c r="D166" s="388">
        <v>0</v>
      </c>
      <c r="E166" s="388">
        <v>0</v>
      </c>
      <c r="F166" s="388">
        <v>0</v>
      </c>
      <c r="G166" s="388">
        <v>0</v>
      </c>
      <c r="H166" s="388">
        <v>0</v>
      </c>
      <c r="I166" s="222"/>
      <c r="L166" s="37"/>
      <c r="M166" s="37"/>
      <c r="N166" s="37"/>
      <c r="O166" s="37"/>
      <c r="P166" s="37"/>
      <c r="Q166" s="37"/>
      <c r="R166" s="37"/>
    </row>
    <row r="167" spans="1:18" hidden="1" outlineLevel="1" x14ac:dyDescent="0.3">
      <c r="A167" s="45" t="s">
        <v>3978</v>
      </c>
      <c r="B167" s="45" t="s">
        <v>894</v>
      </c>
      <c r="C167" s="48" t="s">
        <v>789</v>
      </c>
      <c r="D167" s="388">
        <v>0</v>
      </c>
      <c r="E167" s="388">
        <v>0</v>
      </c>
      <c r="F167" s="388">
        <v>0</v>
      </c>
      <c r="G167" s="388">
        <v>0</v>
      </c>
      <c r="H167" s="388">
        <v>0</v>
      </c>
      <c r="I167" s="222"/>
      <c r="L167" s="37"/>
      <c r="M167" s="37"/>
      <c r="N167" s="37"/>
      <c r="O167" s="37"/>
      <c r="P167" s="37"/>
      <c r="Q167" s="37"/>
      <c r="R167" s="37"/>
    </row>
    <row r="168" spans="1:18" hidden="1" outlineLevel="1" x14ac:dyDescent="0.3">
      <c r="A168" s="45" t="s">
        <v>3978</v>
      </c>
      <c r="B168" s="45" t="s">
        <v>894</v>
      </c>
      <c r="C168" s="48" t="s">
        <v>790</v>
      </c>
      <c r="D168" s="388">
        <v>0</v>
      </c>
      <c r="E168" s="388">
        <v>0</v>
      </c>
      <c r="F168" s="388">
        <v>0</v>
      </c>
      <c r="G168" s="388">
        <v>0</v>
      </c>
      <c r="H168" s="388">
        <v>0</v>
      </c>
      <c r="I168" s="222"/>
      <c r="L168" s="37"/>
      <c r="M168" s="37"/>
      <c r="N168" s="37"/>
      <c r="O168" s="37"/>
      <c r="P168" s="37"/>
      <c r="Q168" s="37"/>
      <c r="R168" s="37"/>
    </row>
    <row r="169" spans="1:18" hidden="1" outlineLevel="1" x14ac:dyDescent="0.3">
      <c r="A169" s="45" t="s">
        <v>3978</v>
      </c>
      <c r="B169" s="45" t="s">
        <v>894</v>
      </c>
      <c r="C169" s="48" t="s">
        <v>793</v>
      </c>
      <c r="D169" s="388">
        <v>0</v>
      </c>
      <c r="E169" s="388">
        <v>0</v>
      </c>
      <c r="F169" s="388">
        <v>0</v>
      </c>
      <c r="G169" s="388">
        <v>0</v>
      </c>
      <c r="H169" s="388">
        <v>0</v>
      </c>
      <c r="I169" s="222"/>
      <c r="L169" s="37"/>
      <c r="M169" s="37"/>
      <c r="N169" s="37"/>
      <c r="O169" s="37"/>
      <c r="P169" s="37"/>
      <c r="Q169" s="37"/>
      <c r="R169" s="37"/>
    </row>
    <row r="170" spans="1:18" hidden="1" outlineLevel="1" x14ac:dyDescent="0.3">
      <c r="A170" s="45" t="s">
        <v>3978</v>
      </c>
      <c r="B170" s="45" t="s">
        <v>894</v>
      </c>
      <c r="C170" s="48" t="s">
        <v>795</v>
      </c>
      <c r="D170" s="388">
        <v>0</v>
      </c>
      <c r="E170" s="388">
        <v>0</v>
      </c>
      <c r="F170" s="388">
        <v>0</v>
      </c>
      <c r="G170" s="388">
        <v>0</v>
      </c>
      <c r="H170" s="388">
        <v>0</v>
      </c>
      <c r="I170" s="222"/>
      <c r="L170" s="37"/>
      <c r="M170" s="37"/>
      <c r="N170" s="37"/>
      <c r="O170" s="37"/>
      <c r="P170" s="37"/>
      <c r="Q170" s="37"/>
      <c r="R170" s="37"/>
    </row>
    <row r="171" spans="1:18" hidden="1" outlineLevel="1" x14ac:dyDescent="0.3">
      <c r="A171" s="45" t="s">
        <v>3978</v>
      </c>
      <c r="B171" s="45" t="s">
        <v>894</v>
      </c>
      <c r="C171" s="48" t="s">
        <v>797</v>
      </c>
      <c r="D171" s="388">
        <v>0</v>
      </c>
      <c r="E171" s="388">
        <v>0</v>
      </c>
      <c r="F171" s="388">
        <v>0</v>
      </c>
      <c r="G171" s="388">
        <v>0</v>
      </c>
      <c r="H171" s="388">
        <v>0</v>
      </c>
      <c r="I171" s="222"/>
      <c r="L171" s="37"/>
      <c r="M171" s="37"/>
      <c r="N171" s="37"/>
      <c r="O171" s="37"/>
      <c r="P171" s="37"/>
      <c r="Q171" s="37"/>
      <c r="R171" s="37"/>
    </row>
    <row r="172" spans="1:18" hidden="1" outlineLevel="1" x14ac:dyDescent="0.3">
      <c r="A172" s="45" t="s">
        <v>3978</v>
      </c>
      <c r="B172" s="45" t="s">
        <v>915</v>
      </c>
      <c r="C172" s="48" t="s">
        <v>799</v>
      </c>
      <c r="D172" s="388">
        <v>0</v>
      </c>
      <c r="E172" s="388">
        <v>0</v>
      </c>
      <c r="F172" s="388">
        <v>0</v>
      </c>
      <c r="G172" s="388">
        <v>0</v>
      </c>
      <c r="H172" s="388">
        <v>0</v>
      </c>
      <c r="I172" s="222"/>
      <c r="L172" s="37"/>
      <c r="M172" s="37"/>
      <c r="N172" s="37"/>
      <c r="O172" s="37"/>
      <c r="P172" s="37"/>
      <c r="Q172" s="37"/>
      <c r="R172" s="37"/>
    </row>
    <row r="173" spans="1:18" hidden="1" outlineLevel="1" x14ac:dyDescent="0.3">
      <c r="A173" s="45" t="s">
        <v>3978</v>
      </c>
      <c r="B173" s="45" t="s">
        <v>915</v>
      </c>
      <c r="C173" s="48" t="s">
        <v>801</v>
      </c>
      <c r="D173" s="388">
        <v>0</v>
      </c>
      <c r="E173" s="388">
        <v>0</v>
      </c>
      <c r="F173" s="388">
        <v>0</v>
      </c>
      <c r="G173" s="388">
        <v>0</v>
      </c>
      <c r="H173" s="388">
        <v>0</v>
      </c>
      <c r="I173" s="222"/>
      <c r="L173" s="37"/>
      <c r="M173" s="37"/>
      <c r="N173" s="37"/>
      <c r="O173" s="37"/>
      <c r="P173" s="37"/>
      <c r="Q173" s="37"/>
      <c r="R173" s="37"/>
    </row>
    <row r="174" spans="1:18" hidden="1" outlineLevel="1" x14ac:dyDescent="0.3">
      <c r="A174" s="45" t="s">
        <v>3978</v>
      </c>
      <c r="B174" s="45" t="s">
        <v>915</v>
      </c>
      <c r="C174" s="48" t="s">
        <v>804</v>
      </c>
      <c r="D174" s="388">
        <v>0</v>
      </c>
      <c r="E174" s="388">
        <v>0</v>
      </c>
      <c r="F174" s="388">
        <v>0</v>
      </c>
      <c r="G174" s="388">
        <v>0</v>
      </c>
      <c r="H174" s="388">
        <v>0</v>
      </c>
      <c r="I174" s="222"/>
      <c r="L174" s="37"/>
      <c r="M174" s="37"/>
      <c r="N174" s="37"/>
      <c r="O174" s="37"/>
      <c r="P174" s="37"/>
      <c r="Q174" s="37"/>
      <c r="R174" s="37"/>
    </row>
    <row r="175" spans="1:18" hidden="1" outlineLevel="1" x14ac:dyDescent="0.3">
      <c r="A175" s="45" t="s">
        <v>3978</v>
      </c>
      <c r="B175" s="45" t="s">
        <v>915</v>
      </c>
      <c r="C175" s="48" t="s">
        <v>806</v>
      </c>
      <c r="D175" s="388">
        <v>0</v>
      </c>
      <c r="E175" s="388">
        <v>0</v>
      </c>
      <c r="F175" s="388">
        <v>0</v>
      </c>
      <c r="G175" s="388">
        <v>0</v>
      </c>
      <c r="H175" s="388">
        <v>0</v>
      </c>
      <c r="I175" s="222"/>
      <c r="L175" s="37"/>
      <c r="M175" s="37"/>
      <c r="N175" s="37"/>
      <c r="O175" s="37"/>
      <c r="P175" s="37"/>
      <c r="Q175" s="37"/>
      <c r="R175" s="37"/>
    </row>
    <row r="176" spans="1:18" hidden="1" outlineLevel="1" x14ac:dyDescent="0.3">
      <c r="A176" s="45" t="s">
        <v>3978</v>
      </c>
      <c r="B176" s="45" t="s">
        <v>915</v>
      </c>
      <c r="C176" s="48" t="s">
        <v>808</v>
      </c>
      <c r="D176" s="388">
        <v>0</v>
      </c>
      <c r="E176" s="388">
        <v>0</v>
      </c>
      <c r="F176" s="388">
        <v>0</v>
      </c>
      <c r="G176" s="388">
        <v>0</v>
      </c>
      <c r="H176" s="388">
        <v>0</v>
      </c>
      <c r="I176" s="222"/>
      <c r="L176" s="37"/>
      <c r="M176" s="37"/>
      <c r="N176" s="37"/>
      <c r="O176" s="37"/>
      <c r="P176" s="37"/>
      <c r="Q176" s="37"/>
      <c r="R176" s="37"/>
    </row>
    <row r="177" spans="1:18" hidden="1" outlineLevel="1" x14ac:dyDescent="0.3">
      <c r="A177" s="45" t="s">
        <v>3978</v>
      </c>
      <c r="B177" s="45" t="s">
        <v>915</v>
      </c>
      <c r="C177" s="48" t="s">
        <v>811</v>
      </c>
      <c r="D177" s="388">
        <v>0</v>
      </c>
      <c r="E177" s="388">
        <v>0</v>
      </c>
      <c r="F177" s="388">
        <v>0</v>
      </c>
      <c r="G177" s="388">
        <v>0</v>
      </c>
      <c r="H177" s="388">
        <v>0</v>
      </c>
      <c r="I177" s="222"/>
      <c r="L177" s="37"/>
      <c r="M177" s="37"/>
      <c r="N177" s="37"/>
      <c r="O177" s="37"/>
      <c r="P177" s="37"/>
      <c r="Q177" s="37"/>
      <c r="R177" s="37"/>
    </row>
    <row r="178" spans="1:18" hidden="1" outlineLevel="1" x14ac:dyDescent="0.3">
      <c r="A178" s="45" t="s">
        <v>3978</v>
      </c>
      <c r="B178" s="45" t="s">
        <v>934</v>
      </c>
      <c r="C178" s="48" t="s">
        <v>814</v>
      </c>
      <c r="D178" s="388">
        <v>0</v>
      </c>
      <c r="E178" s="388">
        <v>0</v>
      </c>
      <c r="F178" s="388">
        <v>0</v>
      </c>
      <c r="G178" s="388">
        <v>0</v>
      </c>
      <c r="H178" s="388">
        <v>0</v>
      </c>
      <c r="I178" s="222"/>
      <c r="L178" s="37"/>
      <c r="M178" s="37"/>
      <c r="N178" s="37"/>
      <c r="O178" s="37"/>
      <c r="P178" s="37"/>
      <c r="Q178" s="37"/>
      <c r="R178" s="37"/>
    </row>
    <row r="179" spans="1:18" hidden="1" outlineLevel="1" x14ac:dyDescent="0.3">
      <c r="A179" s="45" t="s">
        <v>3978</v>
      </c>
      <c r="B179" s="45" t="s">
        <v>934</v>
      </c>
      <c r="C179" s="48" t="s">
        <v>815</v>
      </c>
      <c r="D179" s="388">
        <v>0</v>
      </c>
      <c r="E179" s="388">
        <v>0</v>
      </c>
      <c r="F179" s="388">
        <v>0</v>
      </c>
      <c r="G179" s="388">
        <v>0</v>
      </c>
      <c r="H179" s="388">
        <v>0</v>
      </c>
      <c r="I179" s="222"/>
      <c r="L179" s="37"/>
      <c r="M179" s="37"/>
      <c r="N179" s="37"/>
      <c r="O179" s="37"/>
      <c r="P179" s="37"/>
      <c r="Q179" s="37"/>
      <c r="R179" s="37"/>
    </row>
    <row r="180" spans="1:18" hidden="1" outlineLevel="1" x14ac:dyDescent="0.3">
      <c r="A180" s="45" t="s">
        <v>3978</v>
      </c>
      <c r="B180" s="45" t="s">
        <v>940</v>
      </c>
      <c r="C180" s="48" t="s">
        <v>817</v>
      </c>
      <c r="D180" s="388">
        <v>0</v>
      </c>
      <c r="E180" s="388">
        <v>0</v>
      </c>
      <c r="F180" s="388">
        <v>0</v>
      </c>
      <c r="G180" s="388">
        <v>0</v>
      </c>
      <c r="H180" s="388">
        <v>0</v>
      </c>
      <c r="I180" s="222"/>
      <c r="L180" s="37"/>
      <c r="M180" s="37"/>
      <c r="N180" s="37"/>
      <c r="O180" s="37"/>
      <c r="P180" s="37"/>
      <c r="Q180" s="37"/>
      <c r="R180" s="37"/>
    </row>
    <row r="181" spans="1:18" hidden="1" outlineLevel="1" x14ac:dyDescent="0.3">
      <c r="A181" s="45" t="s">
        <v>3978</v>
      </c>
      <c r="B181" s="45" t="s">
        <v>940</v>
      </c>
      <c r="C181" s="48" t="s">
        <v>944</v>
      </c>
      <c r="D181" s="388">
        <v>0</v>
      </c>
      <c r="E181" s="388">
        <v>0</v>
      </c>
      <c r="F181" s="388">
        <v>0</v>
      </c>
      <c r="G181" s="388">
        <v>0</v>
      </c>
      <c r="H181" s="388">
        <v>0</v>
      </c>
      <c r="I181" s="222"/>
      <c r="L181" s="37"/>
      <c r="M181" s="37"/>
      <c r="N181" s="37"/>
      <c r="O181" s="37"/>
      <c r="P181" s="37"/>
      <c r="Q181" s="37"/>
      <c r="R181" s="37"/>
    </row>
    <row r="182" spans="1:18" hidden="1" outlineLevel="1" x14ac:dyDescent="0.3">
      <c r="A182" s="45" t="s">
        <v>3978</v>
      </c>
      <c r="B182" s="45" t="s">
        <v>940</v>
      </c>
      <c r="C182" s="48" t="s">
        <v>821</v>
      </c>
      <c r="D182" s="388">
        <v>0</v>
      </c>
      <c r="E182" s="388">
        <v>0</v>
      </c>
      <c r="F182" s="388">
        <v>0</v>
      </c>
      <c r="G182" s="388">
        <v>0</v>
      </c>
      <c r="H182" s="388">
        <v>0</v>
      </c>
      <c r="I182" s="222"/>
      <c r="L182" s="37"/>
      <c r="M182" s="37"/>
      <c r="N182" s="37"/>
      <c r="O182" s="37"/>
      <c r="P182" s="37"/>
      <c r="Q182" s="37"/>
      <c r="R182" s="37"/>
    </row>
    <row r="183" spans="1:18" hidden="1" outlineLevel="1" x14ac:dyDescent="0.3">
      <c r="A183" s="45" t="s">
        <v>3978</v>
      </c>
      <c r="B183" s="45" t="s">
        <v>940</v>
      </c>
      <c r="C183" s="48" t="s">
        <v>823</v>
      </c>
      <c r="D183" s="388">
        <v>0</v>
      </c>
      <c r="E183" s="388">
        <v>0</v>
      </c>
      <c r="F183" s="388">
        <v>0</v>
      </c>
      <c r="G183" s="388">
        <v>0</v>
      </c>
      <c r="H183" s="388">
        <v>0</v>
      </c>
      <c r="I183" s="222"/>
      <c r="L183" s="37"/>
      <c r="M183" s="37"/>
      <c r="N183" s="37"/>
      <c r="O183" s="37"/>
      <c r="P183" s="37"/>
      <c r="Q183" s="37"/>
      <c r="R183" s="37"/>
    </row>
    <row r="184" spans="1:18" hidden="1" outlineLevel="1" x14ac:dyDescent="0.3">
      <c r="A184" s="45" t="s">
        <v>3978</v>
      </c>
      <c r="B184" s="45" t="s">
        <v>940</v>
      </c>
      <c r="C184" s="48" t="s">
        <v>825</v>
      </c>
      <c r="D184" s="388">
        <v>0</v>
      </c>
      <c r="E184" s="388">
        <v>0</v>
      </c>
      <c r="F184" s="388">
        <v>0</v>
      </c>
      <c r="G184" s="388">
        <v>0</v>
      </c>
      <c r="H184" s="388">
        <v>0</v>
      </c>
      <c r="I184" s="222"/>
      <c r="L184" s="37"/>
      <c r="M184" s="37"/>
      <c r="N184" s="37"/>
      <c r="O184" s="37"/>
      <c r="P184" s="37"/>
      <c r="Q184" s="37"/>
      <c r="R184" s="37"/>
    </row>
    <row r="185" spans="1:18" hidden="1" outlineLevel="1" x14ac:dyDescent="0.3">
      <c r="A185" s="45" t="s">
        <v>3978</v>
      </c>
      <c r="B185" s="45" t="s">
        <v>940</v>
      </c>
      <c r="C185" s="48" t="s">
        <v>827</v>
      </c>
      <c r="D185" s="389">
        <v>510000</v>
      </c>
      <c r="E185" s="389">
        <v>510000</v>
      </c>
      <c r="F185" s="389">
        <v>510000</v>
      </c>
      <c r="G185" s="389">
        <v>510000</v>
      </c>
      <c r="H185" s="389">
        <v>510000</v>
      </c>
      <c r="I185" s="222" t="s">
        <v>3979</v>
      </c>
      <c r="L185" s="37"/>
      <c r="M185" s="37"/>
      <c r="N185" s="37"/>
      <c r="O185" s="37"/>
      <c r="P185" s="37"/>
      <c r="Q185" s="37"/>
      <c r="R185" s="37"/>
    </row>
    <row r="186" spans="1:18" hidden="1" outlineLevel="1" x14ac:dyDescent="0.3">
      <c r="A186" s="45" t="s">
        <v>3978</v>
      </c>
      <c r="B186" s="45" t="s">
        <v>940</v>
      </c>
      <c r="C186" s="48" t="s">
        <v>829</v>
      </c>
      <c r="D186" s="388">
        <v>0</v>
      </c>
      <c r="E186" s="388">
        <v>0</v>
      </c>
      <c r="F186" s="388">
        <v>0</v>
      </c>
      <c r="G186" s="388">
        <v>0</v>
      </c>
      <c r="H186" s="388">
        <v>0</v>
      </c>
      <c r="I186" s="222"/>
      <c r="L186" s="37"/>
      <c r="M186" s="37"/>
      <c r="N186" s="37"/>
      <c r="O186" s="37"/>
      <c r="P186" s="37"/>
      <c r="Q186" s="37"/>
      <c r="R186" s="37"/>
    </row>
    <row r="187" spans="1:18" hidden="1" outlineLevel="1" x14ac:dyDescent="0.3">
      <c r="A187" s="45" t="s">
        <v>3978</v>
      </c>
      <c r="B187" s="45" t="s">
        <v>940</v>
      </c>
      <c r="C187" s="48" t="s">
        <v>833</v>
      </c>
      <c r="D187" s="388">
        <v>0</v>
      </c>
      <c r="E187" s="388">
        <v>0</v>
      </c>
      <c r="F187" s="388">
        <v>0</v>
      </c>
      <c r="G187" s="388">
        <v>0</v>
      </c>
      <c r="H187" s="388">
        <v>0</v>
      </c>
      <c r="I187" s="222"/>
      <c r="L187" s="37"/>
      <c r="M187" s="37"/>
      <c r="N187" s="37"/>
      <c r="O187" s="37"/>
      <c r="P187" s="37"/>
      <c r="Q187" s="37"/>
      <c r="R187" s="37"/>
    </row>
    <row r="188" spans="1:18" hidden="1" outlineLevel="1" x14ac:dyDescent="0.3">
      <c r="A188" s="45" t="s">
        <v>3978</v>
      </c>
      <c r="B188" s="45" t="s">
        <v>940</v>
      </c>
      <c r="C188" s="48" t="s">
        <v>836</v>
      </c>
      <c r="D188" s="388">
        <v>0</v>
      </c>
      <c r="E188" s="388">
        <v>0</v>
      </c>
      <c r="F188" s="388">
        <v>0</v>
      </c>
      <c r="G188" s="388">
        <v>0</v>
      </c>
      <c r="H188" s="388">
        <v>0</v>
      </c>
      <c r="I188" s="222"/>
      <c r="L188" s="37"/>
      <c r="M188" s="37"/>
      <c r="N188" s="37"/>
      <c r="O188" s="37"/>
      <c r="P188" s="37"/>
      <c r="Q188" s="37"/>
      <c r="R188" s="37"/>
    </row>
    <row r="189" spans="1:18" hidden="1" outlineLevel="1" x14ac:dyDescent="0.3">
      <c r="A189" s="45" t="s">
        <v>3978</v>
      </c>
      <c r="B189" s="45" t="s">
        <v>940</v>
      </c>
      <c r="C189" s="48" t="s">
        <v>837</v>
      </c>
      <c r="D189" s="388">
        <v>0</v>
      </c>
      <c r="E189" s="388">
        <v>0</v>
      </c>
      <c r="F189" s="388">
        <v>0</v>
      </c>
      <c r="G189" s="388">
        <v>0</v>
      </c>
      <c r="H189" s="388">
        <v>0</v>
      </c>
      <c r="I189" s="222"/>
      <c r="L189" s="37"/>
      <c r="M189" s="37"/>
      <c r="N189" s="37"/>
      <c r="O189" s="37"/>
      <c r="P189" s="37"/>
      <c r="Q189" s="37"/>
      <c r="R189" s="37"/>
    </row>
    <row r="190" spans="1:18" hidden="1" outlineLevel="1" x14ac:dyDescent="0.3">
      <c r="A190" s="45" t="s">
        <v>3978</v>
      </c>
      <c r="B190" s="45" t="s">
        <v>940</v>
      </c>
      <c r="C190" s="48" t="s">
        <v>839</v>
      </c>
      <c r="D190" s="388">
        <v>0</v>
      </c>
      <c r="E190" s="388">
        <v>0</v>
      </c>
      <c r="F190" s="388">
        <v>0</v>
      </c>
      <c r="G190" s="388">
        <v>0</v>
      </c>
      <c r="H190" s="388">
        <v>0</v>
      </c>
      <c r="I190" s="222"/>
      <c r="L190" s="37"/>
      <c r="M190" s="37"/>
      <c r="N190" s="37"/>
      <c r="O190" s="37"/>
      <c r="P190" s="37"/>
      <c r="Q190" s="37"/>
      <c r="R190" s="37"/>
    </row>
    <row r="191" spans="1:18" hidden="1" outlineLevel="1" x14ac:dyDescent="0.3">
      <c r="A191" s="45" t="s">
        <v>3978</v>
      </c>
      <c r="B191" s="45" t="s">
        <v>940</v>
      </c>
      <c r="C191" s="48" t="s">
        <v>840</v>
      </c>
      <c r="D191" s="388">
        <v>0</v>
      </c>
      <c r="E191" s="388">
        <v>0</v>
      </c>
      <c r="F191" s="388">
        <v>0</v>
      </c>
      <c r="G191" s="388">
        <v>0</v>
      </c>
      <c r="H191" s="388">
        <v>0</v>
      </c>
      <c r="I191" s="222"/>
      <c r="L191" s="37"/>
      <c r="M191" s="37"/>
      <c r="N191" s="37"/>
      <c r="O191" s="37"/>
      <c r="P191" s="37"/>
      <c r="Q191" s="37"/>
      <c r="R191" s="37"/>
    </row>
    <row r="192" spans="1:18" collapsed="1" x14ac:dyDescent="0.3">
      <c r="A192" s="45"/>
      <c r="B192" s="45"/>
      <c r="C192" s="45"/>
      <c r="D192" s="388"/>
      <c r="E192" s="388"/>
      <c r="F192" s="388"/>
      <c r="G192" s="388"/>
      <c r="H192" s="388"/>
      <c r="I192" s="222"/>
      <c r="L192" s="41"/>
      <c r="M192" s="41"/>
      <c r="N192" s="42"/>
      <c r="O192" s="42"/>
    </row>
    <row r="193" spans="1:18" x14ac:dyDescent="0.3">
      <c r="A193" s="48" t="s">
        <v>3980</v>
      </c>
      <c r="B193" s="69"/>
      <c r="C193" s="46" t="s">
        <v>3973</v>
      </c>
      <c r="D193" s="386">
        <v>557000</v>
      </c>
      <c r="E193" s="386">
        <v>557000</v>
      </c>
      <c r="F193" s="386">
        <v>557000</v>
      </c>
      <c r="G193" s="386">
        <v>557000</v>
      </c>
      <c r="H193" s="386">
        <v>557000</v>
      </c>
      <c r="I193" s="225"/>
      <c r="M193" s="41"/>
    </row>
    <row r="194" spans="1:18" x14ac:dyDescent="0.3">
      <c r="A194" s="48" t="s">
        <v>5</v>
      </c>
      <c r="B194" s="48" t="s">
        <v>847</v>
      </c>
      <c r="C194" s="48" t="s">
        <v>193</v>
      </c>
      <c r="D194" s="387">
        <v>2025</v>
      </c>
      <c r="E194" s="387">
        <v>2030</v>
      </c>
      <c r="F194" s="387">
        <v>2035</v>
      </c>
      <c r="G194" s="387">
        <v>2040</v>
      </c>
      <c r="H194" s="387">
        <v>2045</v>
      </c>
      <c r="I194" s="226" t="s">
        <v>153</v>
      </c>
      <c r="M194" s="41"/>
      <c r="N194" s="37"/>
      <c r="O194" s="37"/>
      <c r="P194" s="37"/>
    </row>
    <row r="195" spans="1:18" hidden="1" outlineLevel="1" x14ac:dyDescent="0.3">
      <c r="A195" s="45" t="s">
        <v>3980</v>
      </c>
      <c r="B195" s="45" t="s">
        <v>855</v>
      </c>
      <c r="C195" s="48" t="s">
        <v>747</v>
      </c>
      <c r="D195" s="388">
        <v>0</v>
      </c>
      <c r="E195" s="388">
        <v>0</v>
      </c>
      <c r="F195" s="388">
        <v>0</v>
      </c>
      <c r="G195" s="388">
        <v>0</v>
      </c>
      <c r="H195" s="388">
        <v>0</v>
      </c>
      <c r="I195" s="222"/>
      <c r="L195" s="37"/>
      <c r="M195" s="41"/>
      <c r="N195" s="37"/>
      <c r="O195" s="37"/>
      <c r="P195" s="37"/>
      <c r="Q195" s="37"/>
      <c r="R195" s="37"/>
    </row>
    <row r="196" spans="1:18" hidden="1" outlineLevel="1" x14ac:dyDescent="0.3">
      <c r="A196" s="45" t="s">
        <v>3980</v>
      </c>
      <c r="B196" s="45" t="s">
        <v>855</v>
      </c>
      <c r="C196" s="48" t="s">
        <v>751</v>
      </c>
      <c r="D196" s="388">
        <v>0</v>
      </c>
      <c r="E196" s="388">
        <v>0</v>
      </c>
      <c r="F196" s="388">
        <v>0</v>
      </c>
      <c r="G196" s="388">
        <v>0</v>
      </c>
      <c r="H196" s="388">
        <v>0</v>
      </c>
      <c r="I196" s="222"/>
      <c r="L196" s="37"/>
      <c r="M196" s="41"/>
      <c r="N196" s="37"/>
      <c r="O196" s="37"/>
      <c r="P196" s="37"/>
      <c r="Q196" s="37"/>
      <c r="R196" s="37"/>
    </row>
    <row r="197" spans="1:18" hidden="1" outlineLevel="1" x14ac:dyDescent="0.3">
      <c r="A197" s="45" t="s">
        <v>3980</v>
      </c>
      <c r="B197" s="45" t="s">
        <v>855</v>
      </c>
      <c r="C197" s="48" t="s">
        <v>755</v>
      </c>
      <c r="D197" s="388">
        <v>0</v>
      </c>
      <c r="E197" s="388">
        <v>0</v>
      </c>
      <c r="F197" s="388">
        <v>0</v>
      </c>
      <c r="G197" s="388">
        <v>0</v>
      </c>
      <c r="H197" s="388">
        <v>0</v>
      </c>
      <c r="I197" s="222"/>
      <c r="L197" s="37"/>
      <c r="M197" s="41"/>
      <c r="N197" s="37"/>
      <c r="O197" s="37"/>
      <c r="P197" s="37"/>
      <c r="Q197" s="37"/>
      <c r="R197" s="37"/>
    </row>
    <row r="198" spans="1:18" hidden="1" outlineLevel="1" x14ac:dyDescent="0.3">
      <c r="A198" s="45" t="s">
        <v>3980</v>
      </c>
      <c r="B198" s="45" t="s">
        <v>855</v>
      </c>
      <c r="C198" s="48" t="s">
        <v>758</v>
      </c>
      <c r="D198" s="388">
        <v>0</v>
      </c>
      <c r="E198" s="388">
        <v>0</v>
      </c>
      <c r="F198" s="388">
        <v>0</v>
      </c>
      <c r="G198" s="388">
        <v>0</v>
      </c>
      <c r="H198" s="388">
        <v>0</v>
      </c>
      <c r="I198" s="222"/>
      <c r="L198" s="37"/>
      <c r="M198" s="41"/>
      <c r="N198" s="37"/>
      <c r="O198" s="37"/>
      <c r="P198" s="37"/>
      <c r="Q198" s="37"/>
      <c r="R198" s="37"/>
    </row>
    <row r="199" spans="1:18" hidden="1" outlineLevel="1" x14ac:dyDescent="0.3">
      <c r="A199" s="45" t="s">
        <v>3980</v>
      </c>
      <c r="B199" s="45" t="s">
        <v>855</v>
      </c>
      <c r="C199" s="48" t="s">
        <v>761</v>
      </c>
      <c r="D199" s="388">
        <v>0</v>
      </c>
      <c r="E199" s="388">
        <v>0</v>
      </c>
      <c r="F199" s="388">
        <v>0</v>
      </c>
      <c r="G199" s="388">
        <v>0</v>
      </c>
      <c r="H199" s="388">
        <v>0</v>
      </c>
      <c r="I199" s="222"/>
      <c r="L199" s="37"/>
      <c r="M199" s="41"/>
      <c r="N199" s="37"/>
      <c r="O199" s="37"/>
      <c r="P199" s="37"/>
      <c r="Q199" s="37"/>
      <c r="R199" s="37"/>
    </row>
    <row r="200" spans="1:18" hidden="1" outlineLevel="1" x14ac:dyDescent="0.3">
      <c r="A200" s="45" t="s">
        <v>3980</v>
      </c>
      <c r="B200" s="45" t="s">
        <v>855</v>
      </c>
      <c r="C200" s="48" t="s">
        <v>763</v>
      </c>
      <c r="D200" s="388">
        <v>0</v>
      </c>
      <c r="E200" s="388">
        <v>0</v>
      </c>
      <c r="F200" s="388">
        <v>0</v>
      </c>
      <c r="G200" s="388">
        <v>0</v>
      </c>
      <c r="H200" s="388">
        <v>0</v>
      </c>
      <c r="I200" s="222"/>
      <c r="L200" s="37"/>
      <c r="M200" s="41"/>
      <c r="N200" s="37"/>
      <c r="O200" s="37"/>
      <c r="P200" s="37"/>
      <c r="Q200" s="37"/>
      <c r="R200" s="37"/>
    </row>
    <row r="201" spans="1:18" hidden="1" outlineLevel="1" x14ac:dyDescent="0.3">
      <c r="A201" s="45" t="s">
        <v>3980</v>
      </c>
      <c r="B201" s="45" t="s">
        <v>855</v>
      </c>
      <c r="C201" s="48" t="s">
        <v>765</v>
      </c>
      <c r="D201" s="388">
        <v>0</v>
      </c>
      <c r="E201" s="388">
        <v>0</v>
      </c>
      <c r="F201" s="388">
        <v>0</v>
      </c>
      <c r="G201" s="388">
        <v>0</v>
      </c>
      <c r="H201" s="388">
        <v>0</v>
      </c>
      <c r="I201" s="222"/>
      <c r="L201" s="37"/>
      <c r="M201" s="41"/>
      <c r="N201" s="37"/>
      <c r="O201" s="37"/>
      <c r="P201" s="37"/>
      <c r="Q201" s="37"/>
      <c r="R201" s="37"/>
    </row>
    <row r="202" spans="1:18" hidden="1" outlineLevel="1" x14ac:dyDescent="0.3">
      <c r="A202" s="45" t="s">
        <v>3980</v>
      </c>
      <c r="B202" s="45" t="s">
        <v>855</v>
      </c>
      <c r="C202" s="48" t="s">
        <v>768</v>
      </c>
      <c r="D202" s="388">
        <v>0</v>
      </c>
      <c r="E202" s="388">
        <v>0</v>
      </c>
      <c r="F202" s="388">
        <v>0</v>
      </c>
      <c r="G202" s="388">
        <v>0</v>
      </c>
      <c r="H202" s="388">
        <v>0</v>
      </c>
      <c r="I202" s="222"/>
      <c r="L202" s="37"/>
      <c r="M202" s="41"/>
      <c r="N202" s="37"/>
      <c r="O202" s="37"/>
      <c r="P202" s="37"/>
      <c r="Q202" s="37"/>
      <c r="R202" s="37"/>
    </row>
    <row r="203" spans="1:18" hidden="1" outlineLevel="1" x14ac:dyDescent="0.3">
      <c r="A203" s="45" t="s">
        <v>3980</v>
      </c>
      <c r="B203" s="45" t="s">
        <v>855</v>
      </c>
      <c r="C203" s="48" t="s">
        <v>771</v>
      </c>
      <c r="D203" s="388">
        <v>0</v>
      </c>
      <c r="E203" s="388">
        <v>0</v>
      </c>
      <c r="F203" s="388">
        <v>0</v>
      </c>
      <c r="G203" s="388">
        <v>0</v>
      </c>
      <c r="H203" s="388">
        <v>0</v>
      </c>
      <c r="I203" s="222"/>
      <c r="L203" s="37"/>
      <c r="M203" s="41"/>
      <c r="N203" s="37"/>
      <c r="O203" s="37"/>
      <c r="P203" s="37"/>
      <c r="Q203" s="37"/>
      <c r="R203" s="37"/>
    </row>
    <row r="204" spans="1:18" hidden="1" outlineLevel="1" x14ac:dyDescent="0.3">
      <c r="A204" s="45" t="s">
        <v>3980</v>
      </c>
      <c r="B204" s="45" t="s">
        <v>855</v>
      </c>
      <c r="C204" s="48" t="s">
        <v>772</v>
      </c>
      <c r="D204" s="388">
        <v>0</v>
      </c>
      <c r="E204" s="388">
        <v>0</v>
      </c>
      <c r="F204" s="388">
        <v>0</v>
      </c>
      <c r="G204" s="388">
        <v>0</v>
      </c>
      <c r="H204" s="388">
        <v>0</v>
      </c>
      <c r="I204" s="222"/>
      <c r="L204" s="37"/>
      <c r="M204" s="41"/>
      <c r="N204" s="37"/>
      <c r="O204" s="37"/>
      <c r="P204" s="37"/>
      <c r="Q204" s="37"/>
      <c r="R204" s="37"/>
    </row>
    <row r="205" spans="1:18" hidden="1" outlineLevel="1" x14ac:dyDescent="0.3">
      <c r="A205" s="45" t="s">
        <v>3980</v>
      </c>
      <c r="B205" s="45" t="s">
        <v>855</v>
      </c>
      <c r="C205" s="48" t="s">
        <v>774</v>
      </c>
      <c r="D205" s="388">
        <v>0</v>
      </c>
      <c r="E205" s="388">
        <v>0</v>
      </c>
      <c r="F205" s="388">
        <v>0</v>
      </c>
      <c r="G205" s="388">
        <v>0</v>
      </c>
      <c r="H205" s="388">
        <v>0</v>
      </c>
      <c r="I205" s="222"/>
      <c r="L205" s="37"/>
      <c r="M205" s="41"/>
      <c r="N205" s="37"/>
      <c r="O205" s="37"/>
      <c r="P205" s="37"/>
      <c r="Q205" s="37"/>
      <c r="R205" s="37"/>
    </row>
    <row r="206" spans="1:18" hidden="1" outlineLevel="1" x14ac:dyDescent="0.3">
      <c r="A206" s="45" t="s">
        <v>3980</v>
      </c>
      <c r="B206" s="45" t="s">
        <v>855</v>
      </c>
      <c r="C206" s="48" t="s">
        <v>775</v>
      </c>
      <c r="D206" s="388">
        <v>0</v>
      </c>
      <c r="E206" s="388">
        <v>0</v>
      </c>
      <c r="F206" s="388">
        <v>0</v>
      </c>
      <c r="G206" s="388">
        <v>0</v>
      </c>
      <c r="H206" s="388">
        <v>0</v>
      </c>
      <c r="I206" s="222"/>
      <c r="L206" s="37"/>
      <c r="M206" s="41"/>
      <c r="N206" s="37"/>
      <c r="O206" s="37"/>
      <c r="P206" s="37"/>
      <c r="Q206" s="37"/>
      <c r="R206" s="37"/>
    </row>
    <row r="207" spans="1:18" hidden="1" outlineLevel="1" x14ac:dyDescent="0.3">
      <c r="A207" s="45" t="s">
        <v>3980</v>
      </c>
      <c r="B207" s="45" t="s">
        <v>855</v>
      </c>
      <c r="C207" s="48" t="s">
        <v>779</v>
      </c>
      <c r="D207" s="388">
        <v>0</v>
      </c>
      <c r="E207" s="388">
        <v>0</v>
      </c>
      <c r="F207" s="388">
        <v>0</v>
      </c>
      <c r="G207" s="388">
        <v>0</v>
      </c>
      <c r="H207" s="388">
        <v>0</v>
      </c>
      <c r="I207" s="222"/>
      <c r="L207" s="37"/>
      <c r="M207" s="41"/>
      <c r="N207" s="37"/>
      <c r="O207" s="37"/>
      <c r="P207" s="37"/>
      <c r="Q207" s="37"/>
      <c r="R207" s="37"/>
    </row>
    <row r="208" spans="1:18" hidden="1" outlineLevel="1" x14ac:dyDescent="0.3">
      <c r="A208" s="45" t="s">
        <v>3980</v>
      </c>
      <c r="B208" s="45" t="s">
        <v>894</v>
      </c>
      <c r="C208" s="48" t="s">
        <v>781</v>
      </c>
      <c r="D208" s="388">
        <v>0</v>
      </c>
      <c r="E208" s="388">
        <v>0</v>
      </c>
      <c r="F208" s="388">
        <v>0</v>
      </c>
      <c r="G208" s="388">
        <v>0</v>
      </c>
      <c r="H208" s="388">
        <v>0</v>
      </c>
      <c r="I208" s="222"/>
      <c r="L208" s="37"/>
      <c r="M208" s="41"/>
      <c r="N208" s="37"/>
      <c r="O208" s="37"/>
      <c r="P208" s="37"/>
      <c r="Q208" s="37"/>
      <c r="R208" s="37"/>
    </row>
    <row r="209" spans="1:18" hidden="1" outlineLevel="1" x14ac:dyDescent="0.3">
      <c r="A209" s="45" t="s">
        <v>3980</v>
      </c>
      <c r="B209" s="45" t="s">
        <v>894</v>
      </c>
      <c r="C209" s="48" t="s">
        <v>783</v>
      </c>
      <c r="D209" s="388">
        <v>0</v>
      </c>
      <c r="E209" s="388">
        <v>0</v>
      </c>
      <c r="F209" s="388">
        <v>0</v>
      </c>
      <c r="G209" s="388">
        <v>0</v>
      </c>
      <c r="H209" s="388">
        <v>0</v>
      </c>
      <c r="I209" s="222"/>
      <c r="L209" s="37"/>
      <c r="M209" s="41"/>
      <c r="N209" s="37"/>
      <c r="O209" s="37"/>
      <c r="P209" s="37"/>
      <c r="Q209" s="37"/>
      <c r="R209" s="37"/>
    </row>
    <row r="210" spans="1:18" hidden="1" outlineLevel="1" x14ac:dyDescent="0.3">
      <c r="A210" s="45" t="s">
        <v>3980</v>
      </c>
      <c r="B210" s="45" t="s">
        <v>894</v>
      </c>
      <c r="C210" s="48" t="s">
        <v>785</v>
      </c>
      <c r="D210" s="388">
        <v>0</v>
      </c>
      <c r="E210" s="388">
        <v>0</v>
      </c>
      <c r="F210" s="388">
        <v>0</v>
      </c>
      <c r="G210" s="388">
        <v>0</v>
      </c>
      <c r="H210" s="388">
        <v>0</v>
      </c>
      <c r="I210" s="222"/>
      <c r="L210" s="37"/>
      <c r="M210" s="41"/>
      <c r="N210" s="37"/>
      <c r="O210" s="37"/>
      <c r="P210" s="37"/>
      <c r="Q210" s="37"/>
      <c r="R210" s="37"/>
    </row>
    <row r="211" spans="1:18" hidden="1" outlineLevel="1" x14ac:dyDescent="0.3">
      <c r="A211" s="45" t="s">
        <v>3980</v>
      </c>
      <c r="B211" s="45" t="s">
        <v>894</v>
      </c>
      <c r="C211" s="48" t="s">
        <v>787</v>
      </c>
      <c r="D211" s="388">
        <v>0</v>
      </c>
      <c r="E211" s="388">
        <v>0</v>
      </c>
      <c r="F211" s="388">
        <v>0</v>
      </c>
      <c r="G211" s="388">
        <v>0</v>
      </c>
      <c r="H211" s="388">
        <v>0</v>
      </c>
      <c r="I211" s="222"/>
      <c r="L211" s="37"/>
      <c r="M211" s="41"/>
      <c r="N211" s="37"/>
      <c r="O211" s="37"/>
      <c r="P211" s="37"/>
      <c r="Q211" s="37"/>
      <c r="R211" s="37"/>
    </row>
    <row r="212" spans="1:18" hidden="1" outlineLevel="1" x14ac:dyDescent="0.3">
      <c r="A212" s="45" t="s">
        <v>3980</v>
      </c>
      <c r="B212" s="45" t="s">
        <v>894</v>
      </c>
      <c r="C212" s="48" t="s">
        <v>788</v>
      </c>
      <c r="D212" s="388">
        <v>0</v>
      </c>
      <c r="E212" s="388">
        <v>0</v>
      </c>
      <c r="F212" s="388">
        <v>0</v>
      </c>
      <c r="G212" s="388">
        <v>0</v>
      </c>
      <c r="H212" s="388">
        <v>0</v>
      </c>
      <c r="I212" s="222"/>
      <c r="L212" s="37"/>
      <c r="M212" s="41"/>
      <c r="N212" s="37"/>
      <c r="O212" s="37"/>
      <c r="P212" s="37"/>
      <c r="Q212" s="37"/>
      <c r="R212" s="37"/>
    </row>
    <row r="213" spans="1:18" hidden="1" outlineLevel="1" x14ac:dyDescent="0.3">
      <c r="A213" s="45" t="s">
        <v>3980</v>
      </c>
      <c r="B213" s="45" t="s">
        <v>894</v>
      </c>
      <c r="C213" s="48" t="s">
        <v>789</v>
      </c>
      <c r="D213" s="388">
        <v>0</v>
      </c>
      <c r="E213" s="388">
        <v>0</v>
      </c>
      <c r="F213" s="388">
        <v>0</v>
      </c>
      <c r="G213" s="388">
        <v>0</v>
      </c>
      <c r="H213" s="388">
        <v>0</v>
      </c>
      <c r="I213" s="222"/>
      <c r="L213" s="37"/>
      <c r="M213" s="41"/>
      <c r="N213" s="37"/>
      <c r="O213" s="37"/>
      <c r="P213" s="37"/>
      <c r="Q213" s="37"/>
      <c r="R213" s="37"/>
    </row>
    <row r="214" spans="1:18" hidden="1" outlineLevel="1" x14ac:dyDescent="0.3">
      <c r="A214" s="45" t="s">
        <v>3980</v>
      </c>
      <c r="B214" s="45" t="s">
        <v>894</v>
      </c>
      <c r="C214" s="48" t="s">
        <v>790</v>
      </c>
      <c r="D214" s="388">
        <v>0</v>
      </c>
      <c r="E214" s="388">
        <v>0</v>
      </c>
      <c r="F214" s="388">
        <v>0</v>
      </c>
      <c r="G214" s="388">
        <v>0</v>
      </c>
      <c r="H214" s="388">
        <v>0</v>
      </c>
      <c r="I214" s="222"/>
      <c r="L214" s="37"/>
      <c r="M214" s="41"/>
      <c r="N214" s="37"/>
      <c r="O214" s="37"/>
      <c r="P214" s="37"/>
      <c r="Q214" s="37"/>
      <c r="R214" s="37"/>
    </row>
    <row r="215" spans="1:18" hidden="1" outlineLevel="1" x14ac:dyDescent="0.3">
      <c r="A215" s="45" t="s">
        <v>3980</v>
      </c>
      <c r="B215" s="45" t="s">
        <v>894</v>
      </c>
      <c r="C215" s="48" t="s">
        <v>793</v>
      </c>
      <c r="D215" s="388">
        <v>0</v>
      </c>
      <c r="E215" s="388">
        <v>0</v>
      </c>
      <c r="F215" s="388">
        <v>0</v>
      </c>
      <c r="G215" s="388">
        <v>0</v>
      </c>
      <c r="H215" s="388">
        <v>0</v>
      </c>
      <c r="I215" s="222"/>
      <c r="L215" s="37"/>
      <c r="M215" s="41"/>
      <c r="N215" s="37"/>
      <c r="O215" s="37"/>
      <c r="P215" s="37"/>
      <c r="Q215" s="37"/>
      <c r="R215" s="37"/>
    </row>
    <row r="216" spans="1:18" hidden="1" outlineLevel="1" x14ac:dyDescent="0.3">
      <c r="A216" s="45" t="s">
        <v>3980</v>
      </c>
      <c r="B216" s="45" t="s">
        <v>894</v>
      </c>
      <c r="C216" s="48" t="s">
        <v>795</v>
      </c>
      <c r="D216" s="388">
        <v>0</v>
      </c>
      <c r="E216" s="388">
        <v>0</v>
      </c>
      <c r="F216" s="388">
        <v>0</v>
      </c>
      <c r="G216" s="388">
        <v>0</v>
      </c>
      <c r="H216" s="388">
        <v>0</v>
      </c>
      <c r="I216" s="222"/>
      <c r="L216" s="37"/>
      <c r="M216" s="41"/>
      <c r="N216" s="37"/>
      <c r="O216" s="37"/>
      <c r="P216" s="37"/>
      <c r="Q216" s="37"/>
      <c r="R216" s="37"/>
    </row>
    <row r="217" spans="1:18" hidden="1" outlineLevel="1" x14ac:dyDescent="0.3">
      <c r="A217" s="45" t="s">
        <v>3980</v>
      </c>
      <c r="B217" s="45" t="s">
        <v>894</v>
      </c>
      <c r="C217" s="48" t="s">
        <v>797</v>
      </c>
      <c r="D217" s="388">
        <v>0</v>
      </c>
      <c r="E217" s="388">
        <v>0</v>
      </c>
      <c r="F217" s="388">
        <v>0</v>
      </c>
      <c r="G217" s="388">
        <v>0</v>
      </c>
      <c r="H217" s="388">
        <v>0</v>
      </c>
      <c r="I217" s="222"/>
      <c r="L217" s="37"/>
      <c r="M217" s="41"/>
      <c r="N217" s="37"/>
      <c r="O217" s="37"/>
      <c r="P217" s="37"/>
      <c r="Q217" s="37"/>
      <c r="R217" s="37"/>
    </row>
    <row r="218" spans="1:18" hidden="1" outlineLevel="1" x14ac:dyDescent="0.3">
      <c r="A218" s="45" t="s">
        <v>3980</v>
      </c>
      <c r="B218" s="45" t="s">
        <v>915</v>
      </c>
      <c r="C218" s="48" t="s">
        <v>799</v>
      </c>
      <c r="D218" s="388">
        <v>0</v>
      </c>
      <c r="E218" s="388">
        <v>0</v>
      </c>
      <c r="F218" s="388">
        <v>0</v>
      </c>
      <c r="G218" s="388">
        <v>0</v>
      </c>
      <c r="H218" s="388">
        <v>0</v>
      </c>
      <c r="I218" s="222"/>
      <c r="L218" s="37"/>
      <c r="M218" s="41"/>
      <c r="N218" s="37"/>
      <c r="O218" s="37"/>
      <c r="P218" s="37"/>
      <c r="Q218" s="37"/>
      <c r="R218" s="37"/>
    </row>
    <row r="219" spans="1:18" hidden="1" outlineLevel="1" x14ac:dyDescent="0.3">
      <c r="A219" s="45" t="s">
        <v>3980</v>
      </c>
      <c r="B219" s="45" t="s">
        <v>915</v>
      </c>
      <c r="C219" s="48" t="s">
        <v>801</v>
      </c>
      <c r="D219" s="388">
        <v>0</v>
      </c>
      <c r="E219" s="388">
        <v>0</v>
      </c>
      <c r="F219" s="388">
        <v>0</v>
      </c>
      <c r="G219" s="388">
        <v>0</v>
      </c>
      <c r="H219" s="388">
        <v>0</v>
      </c>
      <c r="I219" s="222"/>
      <c r="L219" s="37"/>
      <c r="M219" s="41"/>
      <c r="N219" s="37"/>
      <c r="O219" s="37"/>
      <c r="P219" s="37"/>
      <c r="Q219" s="37"/>
      <c r="R219" s="37"/>
    </row>
    <row r="220" spans="1:18" hidden="1" outlineLevel="1" x14ac:dyDescent="0.3">
      <c r="A220" s="45" t="s">
        <v>3980</v>
      </c>
      <c r="B220" s="45" t="s">
        <v>915</v>
      </c>
      <c r="C220" s="48" t="s">
        <v>804</v>
      </c>
      <c r="D220" s="388">
        <v>0</v>
      </c>
      <c r="E220" s="388">
        <v>0</v>
      </c>
      <c r="F220" s="388">
        <v>0</v>
      </c>
      <c r="G220" s="388">
        <v>0</v>
      </c>
      <c r="H220" s="388">
        <v>0</v>
      </c>
      <c r="I220" s="222"/>
      <c r="L220" s="37"/>
      <c r="M220" s="41"/>
      <c r="N220" s="37"/>
      <c r="O220" s="37"/>
      <c r="P220" s="37"/>
      <c r="Q220" s="37"/>
      <c r="R220" s="37"/>
    </row>
    <row r="221" spans="1:18" hidden="1" outlineLevel="1" x14ac:dyDescent="0.3">
      <c r="A221" s="45" t="s">
        <v>3980</v>
      </c>
      <c r="B221" s="45" t="s">
        <v>915</v>
      </c>
      <c r="C221" s="48" t="s">
        <v>806</v>
      </c>
      <c r="D221" s="388">
        <v>0</v>
      </c>
      <c r="E221" s="388">
        <v>0</v>
      </c>
      <c r="F221" s="388">
        <v>0</v>
      </c>
      <c r="G221" s="388">
        <v>0</v>
      </c>
      <c r="H221" s="388">
        <v>0</v>
      </c>
      <c r="I221" s="222"/>
      <c r="L221" s="37"/>
      <c r="M221" s="41"/>
      <c r="N221" s="37"/>
      <c r="O221" s="37"/>
      <c r="P221" s="37"/>
      <c r="Q221" s="37"/>
      <c r="R221" s="37"/>
    </row>
    <row r="222" spans="1:18" hidden="1" outlineLevel="1" x14ac:dyDescent="0.3">
      <c r="A222" s="45" t="s">
        <v>3980</v>
      </c>
      <c r="B222" s="45" t="s">
        <v>915</v>
      </c>
      <c r="C222" s="48" t="s">
        <v>808</v>
      </c>
      <c r="D222" s="388">
        <v>0</v>
      </c>
      <c r="E222" s="388">
        <v>0</v>
      </c>
      <c r="F222" s="388">
        <v>0</v>
      </c>
      <c r="G222" s="388">
        <v>0</v>
      </c>
      <c r="H222" s="388">
        <v>0</v>
      </c>
      <c r="I222" s="222"/>
      <c r="L222" s="37"/>
      <c r="M222" s="41"/>
      <c r="N222" s="37"/>
      <c r="O222" s="37"/>
      <c r="P222" s="37"/>
      <c r="Q222" s="37"/>
      <c r="R222" s="37"/>
    </row>
    <row r="223" spans="1:18" hidden="1" outlineLevel="1" x14ac:dyDescent="0.3">
      <c r="A223" s="45" t="s">
        <v>3980</v>
      </c>
      <c r="B223" s="45" t="s">
        <v>915</v>
      </c>
      <c r="C223" s="48" t="s">
        <v>811</v>
      </c>
      <c r="D223" s="388">
        <v>0</v>
      </c>
      <c r="E223" s="388">
        <v>0</v>
      </c>
      <c r="F223" s="388">
        <v>0</v>
      </c>
      <c r="G223" s="388">
        <v>0</v>
      </c>
      <c r="H223" s="388">
        <v>0</v>
      </c>
      <c r="I223" s="222"/>
      <c r="L223" s="37"/>
      <c r="M223" s="41"/>
      <c r="N223" s="37"/>
      <c r="O223" s="37"/>
      <c r="P223" s="37"/>
      <c r="Q223" s="37"/>
      <c r="R223" s="37"/>
    </row>
    <row r="224" spans="1:18" hidden="1" outlineLevel="1" x14ac:dyDescent="0.3">
      <c r="A224" s="45" t="s">
        <v>3980</v>
      </c>
      <c r="B224" s="45" t="s">
        <v>934</v>
      </c>
      <c r="C224" s="48" t="s">
        <v>814</v>
      </c>
      <c r="D224" s="388">
        <v>0</v>
      </c>
      <c r="E224" s="388">
        <v>0</v>
      </c>
      <c r="F224" s="388">
        <v>0</v>
      </c>
      <c r="G224" s="388">
        <v>0</v>
      </c>
      <c r="H224" s="388">
        <v>0</v>
      </c>
      <c r="I224" s="222"/>
      <c r="L224" s="37"/>
      <c r="M224" s="41"/>
      <c r="N224" s="37"/>
      <c r="O224" s="37"/>
      <c r="P224" s="37"/>
      <c r="Q224" s="37"/>
      <c r="R224" s="37"/>
    </row>
    <row r="225" spans="1:18" hidden="1" outlineLevel="1" x14ac:dyDescent="0.3">
      <c r="A225" s="45" t="s">
        <v>3980</v>
      </c>
      <c r="B225" s="45" t="s">
        <v>934</v>
      </c>
      <c r="C225" s="48" t="s">
        <v>815</v>
      </c>
      <c r="D225" s="388">
        <v>0</v>
      </c>
      <c r="E225" s="388">
        <v>0</v>
      </c>
      <c r="F225" s="388">
        <v>0</v>
      </c>
      <c r="G225" s="388">
        <v>0</v>
      </c>
      <c r="H225" s="388">
        <v>0</v>
      </c>
      <c r="I225" s="222"/>
      <c r="L225" s="37"/>
      <c r="M225" s="41"/>
      <c r="N225" s="37"/>
      <c r="O225" s="37"/>
      <c r="P225" s="37"/>
      <c r="Q225" s="37"/>
      <c r="R225" s="37"/>
    </row>
    <row r="226" spans="1:18" hidden="1" outlineLevel="1" x14ac:dyDescent="0.3">
      <c r="A226" s="45" t="s">
        <v>3980</v>
      </c>
      <c r="B226" s="45" t="s">
        <v>940</v>
      </c>
      <c r="C226" s="48" t="s">
        <v>817</v>
      </c>
      <c r="D226" s="388">
        <v>0</v>
      </c>
      <c r="E226" s="388">
        <v>0</v>
      </c>
      <c r="F226" s="388">
        <v>0</v>
      </c>
      <c r="G226" s="388">
        <v>0</v>
      </c>
      <c r="H226" s="388">
        <v>0</v>
      </c>
      <c r="I226" s="222"/>
      <c r="L226" s="37"/>
      <c r="M226" s="41"/>
      <c r="N226" s="37"/>
      <c r="O226" s="37"/>
      <c r="P226" s="37"/>
      <c r="Q226" s="37"/>
      <c r="R226" s="37"/>
    </row>
    <row r="227" spans="1:18" hidden="1" outlineLevel="1" x14ac:dyDescent="0.3">
      <c r="A227" s="45" t="s">
        <v>3980</v>
      </c>
      <c r="B227" s="45" t="s">
        <v>940</v>
      </c>
      <c r="C227" s="48" t="s">
        <v>944</v>
      </c>
      <c r="D227" s="388">
        <v>0</v>
      </c>
      <c r="E227" s="388">
        <v>0</v>
      </c>
      <c r="F227" s="388">
        <v>0</v>
      </c>
      <c r="G227" s="388">
        <v>0</v>
      </c>
      <c r="H227" s="388">
        <v>0</v>
      </c>
      <c r="I227" s="222"/>
      <c r="L227" s="37"/>
      <c r="M227" s="41"/>
      <c r="N227" s="37"/>
      <c r="O227" s="37"/>
      <c r="P227" s="37"/>
      <c r="Q227" s="37"/>
      <c r="R227" s="37"/>
    </row>
    <row r="228" spans="1:18" hidden="1" outlineLevel="1" x14ac:dyDescent="0.3">
      <c r="A228" s="45" t="s">
        <v>3980</v>
      </c>
      <c r="B228" s="45" t="s">
        <v>940</v>
      </c>
      <c r="C228" s="48" t="s">
        <v>821</v>
      </c>
      <c r="D228" s="388">
        <v>0</v>
      </c>
      <c r="E228" s="388">
        <v>0</v>
      </c>
      <c r="F228" s="388">
        <v>0</v>
      </c>
      <c r="G228" s="388">
        <v>0</v>
      </c>
      <c r="H228" s="388">
        <v>0</v>
      </c>
      <c r="I228" s="222"/>
      <c r="L228" s="37"/>
      <c r="M228" s="41"/>
      <c r="N228" s="37"/>
      <c r="O228" s="37"/>
      <c r="P228" s="37"/>
      <c r="Q228" s="37"/>
      <c r="R228" s="37"/>
    </row>
    <row r="229" spans="1:18" hidden="1" outlineLevel="1" x14ac:dyDescent="0.3">
      <c r="A229" s="45" t="s">
        <v>3980</v>
      </c>
      <c r="B229" s="45" t="s">
        <v>940</v>
      </c>
      <c r="C229" s="48" t="s">
        <v>823</v>
      </c>
      <c r="D229" s="388">
        <v>0</v>
      </c>
      <c r="E229" s="388">
        <v>0</v>
      </c>
      <c r="F229" s="388">
        <v>0</v>
      </c>
      <c r="G229" s="388">
        <v>0</v>
      </c>
      <c r="H229" s="388">
        <v>0</v>
      </c>
      <c r="I229" s="222"/>
      <c r="L229" s="37"/>
      <c r="M229" s="41"/>
      <c r="N229" s="37"/>
      <c r="O229" s="37"/>
      <c r="P229" s="37"/>
      <c r="Q229" s="37"/>
      <c r="R229" s="37"/>
    </row>
    <row r="230" spans="1:18" hidden="1" outlineLevel="1" x14ac:dyDescent="0.3">
      <c r="A230" s="45" t="s">
        <v>3980</v>
      </c>
      <c r="B230" s="45" t="s">
        <v>940</v>
      </c>
      <c r="C230" s="48" t="s">
        <v>825</v>
      </c>
      <c r="D230" s="388">
        <v>0</v>
      </c>
      <c r="E230" s="388">
        <v>0</v>
      </c>
      <c r="F230" s="388">
        <v>0</v>
      </c>
      <c r="G230" s="388">
        <v>0</v>
      </c>
      <c r="H230" s="388">
        <v>0</v>
      </c>
      <c r="I230" s="222"/>
      <c r="L230" s="37"/>
      <c r="M230" s="41"/>
      <c r="N230" s="37"/>
      <c r="O230" s="37"/>
      <c r="P230" s="37"/>
      <c r="Q230" s="37"/>
      <c r="R230" s="37"/>
    </row>
    <row r="231" spans="1:18" hidden="1" outlineLevel="1" x14ac:dyDescent="0.3">
      <c r="A231" s="45" t="s">
        <v>3980</v>
      </c>
      <c r="B231" s="45" t="s">
        <v>940</v>
      </c>
      <c r="C231" s="48" t="s">
        <v>827</v>
      </c>
      <c r="D231" s="389">
        <v>557000</v>
      </c>
      <c r="E231" s="389">
        <v>557000</v>
      </c>
      <c r="F231" s="389">
        <v>557000</v>
      </c>
      <c r="G231" s="389">
        <v>557000</v>
      </c>
      <c r="H231" s="389">
        <v>557000</v>
      </c>
      <c r="I231" s="222" t="s">
        <v>3981</v>
      </c>
      <c r="L231" s="37"/>
      <c r="M231" s="41"/>
      <c r="N231" s="37"/>
      <c r="O231" s="37"/>
      <c r="P231" s="37"/>
      <c r="Q231" s="37"/>
      <c r="R231" s="37"/>
    </row>
    <row r="232" spans="1:18" hidden="1" outlineLevel="1" x14ac:dyDescent="0.3">
      <c r="A232" s="45" t="s">
        <v>3980</v>
      </c>
      <c r="B232" s="45" t="s">
        <v>940</v>
      </c>
      <c r="C232" s="48" t="s">
        <v>829</v>
      </c>
      <c r="D232" s="388">
        <v>0</v>
      </c>
      <c r="E232" s="388">
        <v>0</v>
      </c>
      <c r="F232" s="388">
        <v>0</v>
      </c>
      <c r="G232" s="388">
        <v>0</v>
      </c>
      <c r="H232" s="388">
        <v>0</v>
      </c>
      <c r="I232" s="222"/>
      <c r="L232" s="37"/>
      <c r="M232" s="41"/>
      <c r="N232" s="37"/>
      <c r="O232" s="37"/>
      <c r="P232" s="37"/>
      <c r="Q232" s="37"/>
      <c r="R232" s="37"/>
    </row>
    <row r="233" spans="1:18" hidden="1" outlineLevel="1" x14ac:dyDescent="0.3">
      <c r="A233" s="45" t="s">
        <v>3980</v>
      </c>
      <c r="B233" s="45" t="s">
        <v>940</v>
      </c>
      <c r="C233" s="48" t="s">
        <v>833</v>
      </c>
      <c r="D233" s="388">
        <v>0</v>
      </c>
      <c r="E233" s="388">
        <v>0</v>
      </c>
      <c r="F233" s="388">
        <v>0</v>
      </c>
      <c r="G233" s="388">
        <v>0</v>
      </c>
      <c r="H233" s="388">
        <v>0</v>
      </c>
      <c r="I233" s="222"/>
      <c r="L233" s="37"/>
      <c r="M233" s="41"/>
      <c r="N233" s="37"/>
      <c r="O233" s="37"/>
      <c r="P233" s="37"/>
      <c r="Q233" s="37"/>
      <c r="R233" s="37"/>
    </row>
    <row r="234" spans="1:18" hidden="1" outlineLevel="1" x14ac:dyDescent="0.3">
      <c r="A234" s="45" t="s">
        <v>3980</v>
      </c>
      <c r="B234" s="45" t="s">
        <v>940</v>
      </c>
      <c r="C234" s="48" t="s">
        <v>836</v>
      </c>
      <c r="D234" s="388">
        <v>0</v>
      </c>
      <c r="E234" s="388">
        <v>0</v>
      </c>
      <c r="F234" s="388">
        <v>0</v>
      </c>
      <c r="G234" s="388">
        <v>0</v>
      </c>
      <c r="H234" s="388">
        <v>0</v>
      </c>
      <c r="I234" s="222"/>
      <c r="L234" s="37"/>
      <c r="M234" s="41"/>
      <c r="N234" s="37"/>
      <c r="O234" s="37"/>
      <c r="P234" s="37"/>
      <c r="Q234" s="37"/>
      <c r="R234" s="37"/>
    </row>
    <row r="235" spans="1:18" hidden="1" outlineLevel="1" x14ac:dyDescent="0.3">
      <c r="A235" s="45" t="s">
        <v>3980</v>
      </c>
      <c r="B235" s="45" t="s">
        <v>940</v>
      </c>
      <c r="C235" s="48" t="s">
        <v>837</v>
      </c>
      <c r="D235" s="388">
        <v>0</v>
      </c>
      <c r="E235" s="388">
        <v>0</v>
      </c>
      <c r="F235" s="388">
        <v>0</v>
      </c>
      <c r="G235" s="388">
        <v>0</v>
      </c>
      <c r="H235" s="388">
        <v>0</v>
      </c>
      <c r="I235" s="222"/>
      <c r="L235" s="37"/>
      <c r="M235" s="41"/>
      <c r="N235" s="37"/>
      <c r="O235" s="37"/>
      <c r="P235" s="37"/>
      <c r="Q235" s="37"/>
      <c r="R235" s="37"/>
    </row>
    <row r="236" spans="1:18" hidden="1" outlineLevel="1" x14ac:dyDescent="0.3">
      <c r="A236" s="45" t="s">
        <v>3980</v>
      </c>
      <c r="B236" s="45" t="s">
        <v>940</v>
      </c>
      <c r="C236" s="48" t="s">
        <v>839</v>
      </c>
      <c r="D236" s="388">
        <v>0</v>
      </c>
      <c r="E236" s="388">
        <v>0</v>
      </c>
      <c r="F236" s="388">
        <v>0</v>
      </c>
      <c r="G236" s="388">
        <v>0</v>
      </c>
      <c r="H236" s="388">
        <v>0</v>
      </c>
      <c r="I236" s="222"/>
      <c r="L236" s="37"/>
      <c r="M236" s="41"/>
      <c r="N236" s="37"/>
      <c r="O236" s="37"/>
      <c r="P236" s="37"/>
      <c r="Q236" s="37"/>
      <c r="R236" s="37"/>
    </row>
    <row r="237" spans="1:18" hidden="1" outlineLevel="1" x14ac:dyDescent="0.3">
      <c r="A237" s="45" t="s">
        <v>3980</v>
      </c>
      <c r="B237" s="45" t="s">
        <v>940</v>
      </c>
      <c r="C237" s="48" t="s">
        <v>840</v>
      </c>
      <c r="D237" s="388">
        <v>0</v>
      </c>
      <c r="E237" s="388">
        <v>0</v>
      </c>
      <c r="F237" s="388">
        <v>0</v>
      </c>
      <c r="G237" s="388">
        <v>0</v>
      </c>
      <c r="H237" s="388">
        <v>0</v>
      </c>
      <c r="I237" s="222"/>
      <c r="L237" s="37"/>
      <c r="M237" s="41"/>
      <c r="N237" s="37"/>
      <c r="O237" s="37"/>
      <c r="P237" s="37"/>
      <c r="Q237" s="37"/>
      <c r="R237" s="37"/>
    </row>
    <row r="238" spans="1:18" collapsed="1" x14ac:dyDescent="0.3">
      <c r="A238" s="45"/>
      <c r="B238" s="45"/>
      <c r="C238" s="45"/>
      <c r="D238" s="388"/>
      <c r="E238" s="388"/>
      <c r="F238" s="388"/>
      <c r="G238" s="388"/>
      <c r="H238" s="388"/>
      <c r="I238" s="222"/>
      <c r="L238" s="41"/>
      <c r="M238" s="41"/>
      <c r="N238" s="42"/>
      <c r="O238" s="42"/>
    </row>
    <row r="239" spans="1:18" x14ac:dyDescent="0.3">
      <c r="A239" s="48" t="s">
        <v>3982</v>
      </c>
      <c r="B239" s="69"/>
      <c r="C239" s="46" t="s">
        <v>3973</v>
      </c>
      <c r="D239" s="386">
        <v>60000</v>
      </c>
      <c r="E239" s="386">
        <v>60000</v>
      </c>
      <c r="F239" s="386">
        <v>60000</v>
      </c>
      <c r="G239" s="386">
        <v>60000</v>
      </c>
      <c r="H239" s="386">
        <v>60000</v>
      </c>
      <c r="I239" s="225"/>
      <c r="M239" s="41"/>
    </row>
    <row r="240" spans="1:18" x14ac:dyDescent="0.3">
      <c r="A240" s="48" t="s">
        <v>5</v>
      </c>
      <c r="B240" s="48" t="s">
        <v>847</v>
      </c>
      <c r="C240" s="48" t="s">
        <v>193</v>
      </c>
      <c r="D240" s="387">
        <v>2025</v>
      </c>
      <c r="E240" s="387">
        <v>2030</v>
      </c>
      <c r="F240" s="387">
        <v>2035</v>
      </c>
      <c r="G240" s="387">
        <v>2040</v>
      </c>
      <c r="H240" s="387">
        <v>2045</v>
      </c>
      <c r="I240" s="226" t="s">
        <v>153</v>
      </c>
      <c r="M240" s="41"/>
      <c r="N240" s="37"/>
      <c r="O240" s="37"/>
      <c r="P240" s="37"/>
    </row>
    <row r="241" spans="1:18" hidden="1" outlineLevel="1" x14ac:dyDescent="0.3">
      <c r="A241" s="45" t="s">
        <v>3982</v>
      </c>
      <c r="B241" s="45" t="s">
        <v>855</v>
      </c>
      <c r="C241" s="48" t="s">
        <v>747</v>
      </c>
      <c r="D241" s="388">
        <v>0</v>
      </c>
      <c r="E241" s="388">
        <v>0</v>
      </c>
      <c r="F241" s="388">
        <v>0</v>
      </c>
      <c r="G241" s="388">
        <v>0</v>
      </c>
      <c r="H241" s="388">
        <v>0</v>
      </c>
      <c r="I241" s="222"/>
      <c r="L241" s="37"/>
      <c r="M241" s="41"/>
      <c r="N241" s="37"/>
      <c r="O241" s="37"/>
      <c r="P241" s="37"/>
      <c r="Q241" s="37"/>
      <c r="R241" s="37"/>
    </row>
    <row r="242" spans="1:18" hidden="1" outlineLevel="1" x14ac:dyDescent="0.3">
      <c r="A242" s="45" t="s">
        <v>3982</v>
      </c>
      <c r="B242" s="45" t="s">
        <v>855</v>
      </c>
      <c r="C242" s="48" t="s">
        <v>751</v>
      </c>
      <c r="D242" s="388">
        <v>0</v>
      </c>
      <c r="E242" s="388">
        <v>0</v>
      </c>
      <c r="F242" s="388">
        <v>0</v>
      </c>
      <c r="G242" s="388">
        <v>0</v>
      </c>
      <c r="H242" s="388">
        <v>0</v>
      </c>
      <c r="I242" s="222"/>
      <c r="L242" s="37"/>
      <c r="M242" s="41"/>
      <c r="N242" s="37"/>
      <c r="O242" s="37"/>
      <c r="P242" s="37"/>
      <c r="Q242" s="37"/>
      <c r="R242" s="37"/>
    </row>
    <row r="243" spans="1:18" hidden="1" outlineLevel="1" x14ac:dyDescent="0.3">
      <c r="A243" s="45" t="s">
        <v>3982</v>
      </c>
      <c r="B243" s="45" t="s">
        <v>855</v>
      </c>
      <c r="C243" s="48" t="s">
        <v>755</v>
      </c>
      <c r="D243" s="388">
        <v>0</v>
      </c>
      <c r="E243" s="388">
        <v>0</v>
      </c>
      <c r="F243" s="388">
        <v>0</v>
      </c>
      <c r="G243" s="388">
        <v>0</v>
      </c>
      <c r="H243" s="388">
        <v>0</v>
      </c>
      <c r="I243" s="222"/>
      <c r="L243" s="37"/>
      <c r="M243" s="41"/>
      <c r="N243" s="37"/>
      <c r="O243" s="37"/>
      <c r="P243" s="37"/>
      <c r="Q243" s="37"/>
      <c r="R243" s="37"/>
    </row>
    <row r="244" spans="1:18" hidden="1" outlineLevel="1" x14ac:dyDescent="0.3">
      <c r="A244" s="45" t="s">
        <v>3982</v>
      </c>
      <c r="B244" s="45" t="s">
        <v>855</v>
      </c>
      <c r="C244" s="48" t="s">
        <v>758</v>
      </c>
      <c r="D244" s="388">
        <v>0</v>
      </c>
      <c r="E244" s="388">
        <v>0</v>
      </c>
      <c r="F244" s="388">
        <v>0</v>
      </c>
      <c r="G244" s="388">
        <v>0</v>
      </c>
      <c r="H244" s="388">
        <v>0</v>
      </c>
      <c r="I244" s="222"/>
      <c r="L244" s="37"/>
      <c r="M244" s="41"/>
      <c r="N244" s="37"/>
      <c r="O244" s="37"/>
      <c r="P244" s="37"/>
      <c r="Q244" s="37"/>
      <c r="R244" s="37"/>
    </row>
    <row r="245" spans="1:18" hidden="1" outlineLevel="1" x14ac:dyDescent="0.3">
      <c r="A245" s="45" t="s">
        <v>3982</v>
      </c>
      <c r="B245" s="45" t="s">
        <v>855</v>
      </c>
      <c r="C245" s="48" t="s">
        <v>761</v>
      </c>
      <c r="D245" s="388">
        <v>0</v>
      </c>
      <c r="E245" s="388">
        <v>0</v>
      </c>
      <c r="F245" s="388">
        <v>0</v>
      </c>
      <c r="G245" s="388">
        <v>0</v>
      </c>
      <c r="H245" s="388">
        <v>0</v>
      </c>
      <c r="I245" s="222"/>
      <c r="L245" s="37"/>
      <c r="M245" s="41"/>
      <c r="N245" s="37"/>
      <c r="O245" s="37"/>
      <c r="P245" s="37"/>
      <c r="Q245" s="37"/>
      <c r="R245" s="37"/>
    </row>
    <row r="246" spans="1:18" hidden="1" outlineLevel="1" x14ac:dyDescent="0.3">
      <c r="A246" s="45" t="s">
        <v>3982</v>
      </c>
      <c r="B246" s="45" t="s">
        <v>855</v>
      </c>
      <c r="C246" s="48" t="s">
        <v>763</v>
      </c>
      <c r="D246" s="388">
        <v>0</v>
      </c>
      <c r="E246" s="388">
        <v>0</v>
      </c>
      <c r="F246" s="388">
        <v>0</v>
      </c>
      <c r="G246" s="388">
        <v>0</v>
      </c>
      <c r="H246" s="388">
        <v>0</v>
      </c>
      <c r="I246" s="222"/>
      <c r="L246" s="37"/>
      <c r="M246" s="41"/>
      <c r="N246" s="37"/>
      <c r="O246" s="37"/>
      <c r="P246" s="37"/>
      <c r="Q246" s="37"/>
      <c r="R246" s="37"/>
    </row>
    <row r="247" spans="1:18" hidden="1" outlineLevel="1" x14ac:dyDescent="0.3">
      <c r="A247" s="45" t="s">
        <v>3982</v>
      </c>
      <c r="B247" s="45" t="s">
        <v>855</v>
      </c>
      <c r="C247" s="48" t="s">
        <v>765</v>
      </c>
      <c r="D247" s="388">
        <v>0</v>
      </c>
      <c r="E247" s="388">
        <v>0</v>
      </c>
      <c r="F247" s="388">
        <v>0</v>
      </c>
      <c r="G247" s="388">
        <v>0</v>
      </c>
      <c r="H247" s="388">
        <v>0</v>
      </c>
      <c r="I247" s="222"/>
      <c r="L247" s="37"/>
      <c r="M247" s="41"/>
      <c r="N247" s="37"/>
      <c r="O247" s="37"/>
      <c r="P247" s="37"/>
      <c r="Q247" s="37"/>
      <c r="R247" s="37"/>
    </row>
    <row r="248" spans="1:18" hidden="1" outlineLevel="1" x14ac:dyDescent="0.3">
      <c r="A248" s="45" t="s">
        <v>3982</v>
      </c>
      <c r="B248" s="45" t="s">
        <v>855</v>
      </c>
      <c r="C248" s="48" t="s">
        <v>768</v>
      </c>
      <c r="D248" s="388">
        <v>0</v>
      </c>
      <c r="E248" s="388">
        <v>0</v>
      </c>
      <c r="F248" s="388">
        <v>0</v>
      </c>
      <c r="G248" s="388">
        <v>0</v>
      </c>
      <c r="H248" s="388">
        <v>0</v>
      </c>
      <c r="I248" s="222"/>
      <c r="L248" s="37"/>
      <c r="M248" s="41"/>
      <c r="N248" s="37"/>
      <c r="O248" s="37"/>
      <c r="P248" s="37"/>
      <c r="Q248" s="37"/>
      <c r="R248" s="37"/>
    </row>
    <row r="249" spans="1:18" hidden="1" outlineLevel="1" x14ac:dyDescent="0.3">
      <c r="A249" s="45" t="s">
        <v>3982</v>
      </c>
      <c r="B249" s="45" t="s">
        <v>855</v>
      </c>
      <c r="C249" s="48" t="s">
        <v>771</v>
      </c>
      <c r="D249" s="388">
        <v>0</v>
      </c>
      <c r="E249" s="388">
        <v>0</v>
      </c>
      <c r="F249" s="388">
        <v>0</v>
      </c>
      <c r="G249" s="388">
        <v>0</v>
      </c>
      <c r="H249" s="388">
        <v>0</v>
      </c>
      <c r="I249" s="222"/>
      <c r="L249" s="37"/>
      <c r="M249" s="41"/>
      <c r="N249" s="37"/>
      <c r="O249" s="37"/>
      <c r="P249" s="37"/>
      <c r="Q249" s="37"/>
      <c r="R249" s="37"/>
    </row>
    <row r="250" spans="1:18" hidden="1" outlineLevel="1" x14ac:dyDescent="0.3">
      <c r="A250" s="45" t="s">
        <v>3982</v>
      </c>
      <c r="B250" s="45" t="s">
        <v>855</v>
      </c>
      <c r="C250" s="48" t="s">
        <v>772</v>
      </c>
      <c r="D250" s="388">
        <v>0</v>
      </c>
      <c r="E250" s="388">
        <v>0</v>
      </c>
      <c r="F250" s="388">
        <v>0</v>
      </c>
      <c r="G250" s="388">
        <v>0</v>
      </c>
      <c r="H250" s="388">
        <v>0</v>
      </c>
      <c r="I250" s="222"/>
      <c r="L250" s="37"/>
      <c r="M250" s="41"/>
      <c r="N250" s="37"/>
      <c r="O250" s="37"/>
      <c r="P250" s="37"/>
      <c r="Q250" s="37"/>
      <c r="R250" s="37"/>
    </row>
    <row r="251" spans="1:18" hidden="1" outlineLevel="1" x14ac:dyDescent="0.3">
      <c r="A251" s="45" t="s">
        <v>3982</v>
      </c>
      <c r="B251" s="45" t="s">
        <v>855</v>
      </c>
      <c r="C251" s="48" t="s">
        <v>774</v>
      </c>
      <c r="D251" s="388">
        <v>0</v>
      </c>
      <c r="E251" s="388">
        <v>0</v>
      </c>
      <c r="F251" s="388">
        <v>0</v>
      </c>
      <c r="G251" s="388">
        <v>0</v>
      </c>
      <c r="H251" s="388">
        <v>0</v>
      </c>
      <c r="I251" s="222"/>
      <c r="L251" s="37"/>
      <c r="M251" s="41"/>
      <c r="N251" s="37"/>
      <c r="O251" s="37"/>
      <c r="P251" s="37"/>
      <c r="Q251" s="37"/>
      <c r="R251" s="37"/>
    </row>
    <row r="252" spans="1:18" hidden="1" outlineLevel="1" x14ac:dyDescent="0.3">
      <c r="A252" s="45" t="s">
        <v>3982</v>
      </c>
      <c r="B252" s="45" t="s">
        <v>855</v>
      </c>
      <c r="C252" s="48" t="s">
        <v>775</v>
      </c>
      <c r="D252" s="388">
        <v>0</v>
      </c>
      <c r="E252" s="388">
        <v>0</v>
      </c>
      <c r="F252" s="388">
        <v>0</v>
      </c>
      <c r="G252" s="388">
        <v>0</v>
      </c>
      <c r="H252" s="388">
        <v>0</v>
      </c>
      <c r="I252" s="222"/>
      <c r="L252" s="37"/>
      <c r="M252" s="41"/>
      <c r="N252" s="37"/>
      <c r="O252" s="37"/>
      <c r="P252" s="37"/>
      <c r="Q252" s="37"/>
      <c r="R252" s="37"/>
    </row>
    <row r="253" spans="1:18" hidden="1" outlineLevel="1" x14ac:dyDescent="0.3">
      <c r="A253" s="45" t="s">
        <v>3982</v>
      </c>
      <c r="B253" s="45" t="s">
        <v>855</v>
      </c>
      <c r="C253" s="48" t="s">
        <v>779</v>
      </c>
      <c r="D253" s="388">
        <v>0</v>
      </c>
      <c r="E253" s="388">
        <v>0</v>
      </c>
      <c r="F253" s="388">
        <v>0</v>
      </c>
      <c r="G253" s="388">
        <v>0</v>
      </c>
      <c r="H253" s="388">
        <v>0</v>
      </c>
      <c r="I253" s="222"/>
      <c r="L253" s="37"/>
      <c r="M253" s="41"/>
      <c r="N253" s="37"/>
      <c r="O253" s="37"/>
      <c r="P253" s="37"/>
      <c r="Q253" s="37"/>
      <c r="R253" s="37"/>
    </row>
    <row r="254" spans="1:18" hidden="1" outlineLevel="1" x14ac:dyDescent="0.3">
      <c r="A254" s="45" t="s">
        <v>3982</v>
      </c>
      <c r="B254" s="45" t="s">
        <v>894</v>
      </c>
      <c r="C254" s="48" t="s">
        <v>781</v>
      </c>
      <c r="D254" s="388">
        <v>0</v>
      </c>
      <c r="E254" s="388">
        <v>0</v>
      </c>
      <c r="F254" s="388">
        <v>0</v>
      </c>
      <c r="G254" s="388">
        <v>0</v>
      </c>
      <c r="H254" s="388">
        <v>0</v>
      </c>
      <c r="I254" s="222"/>
      <c r="L254" s="37"/>
      <c r="M254" s="41"/>
      <c r="N254" s="37"/>
      <c r="O254" s="37"/>
      <c r="P254" s="37"/>
      <c r="Q254" s="37"/>
      <c r="R254" s="37"/>
    </row>
    <row r="255" spans="1:18" hidden="1" outlineLevel="1" x14ac:dyDescent="0.3">
      <c r="A255" s="45" t="s">
        <v>3982</v>
      </c>
      <c r="B255" s="45" t="s">
        <v>894</v>
      </c>
      <c r="C255" s="48" t="s">
        <v>783</v>
      </c>
      <c r="D255" s="388">
        <v>0</v>
      </c>
      <c r="E255" s="388">
        <v>0</v>
      </c>
      <c r="F255" s="388">
        <v>0</v>
      </c>
      <c r="G255" s="388">
        <v>0</v>
      </c>
      <c r="H255" s="388">
        <v>0</v>
      </c>
      <c r="I255" s="222"/>
      <c r="L255" s="37"/>
      <c r="M255" s="41"/>
      <c r="N255" s="37"/>
      <c r="O255" s="37"/>
      <c r="P255" s="37"/>
      <c r="Q255" s="37"/>
      <c r="R255" s="37"/>
    </row>
    <row r="256" spans="1:18" hidden="1" outlineLevel="1" x14ac:dyDescent="0.3">
      <c r="A256" s="45" t="s">
        <v>3982</v>
      </c>
      <c r="B256" s="45" t="s">
        <v>894</v>
      </c>
      <c r="C256" s="48" t="s">
        <v>785</v>
      </c>
      <c r="D256" s="388">
        <v>0</v>
      </c>
      <c r="E256" s="388">
        <v>0</v>
      </c>
      <c r="F256" s="388">
        <v>0</v>
      </c>
      <c r="G256" s="388">
        <v>0</v>
      </c>
      <c r="H256" s="388">
        <v>0</v>
      </c>
      <c r="I256" s="222"/>
      <c r="L256" s="37"/>
      <c r="M256" s="41"/>
      <c r="N256" s="37"/>
      <c r="O256" s="37"/>
      <c r="P256" s="37"/>
      <c r="Q256" s="37"/>
      <c r="R256" s="37"/>
    </row>
    <row r="257" spans="1:18" hidden="1" outlineLevel="1" x14ac:dyDescent="0.3">
      <c r="A257" s="45" t="s">
        <v>3982</v>
      </c>
      <c r="B257" s="45" t="s">
        <v>894</v>
      </c>
      <c r="C257" s="48" t="s">
        <v>787</v>
      </c>
      <c r="D257" s="388">
        <v>0</v>
      </c>
      <c r="E257" s="388">
        <v>0</v>
      </c>
      <c r="F257" s="388">
        <v>0</v>
      </c>
      <c r="G257" s="388">
        <v>0</v>
      </c>
      <c r="H257" s="388">
        <v>0</v>
      </c>
      <c r="I257" s="222"/>
      <c r="L257" s="37"/>
      <c r="M257" s="41"/>
      <c r="N257" s="37"/>
      <c r="O257" s="37"/>
      <c r="P257" s="37"/>
      <c r="Q257" s="37"/>
      <c r="R257" s="37"/>
    </row>
    <row r="258" spans="1:18" hidden="1" outlineLevel="1" x14ac:dyDescent="0.3">
      <c r="A258" s="45" t="s">
        <v>3982</v>
      </c>
      <c r="B258" s="45" t="s">
        <v>894</v>
      </c>
      <c r="C258" s="48" t="s">
        <v>788</v>
      </c>
      <c r="D258" s="388">
        <v>0</v>
      </c>
      <c r="E258" s="388">
        <v>0</v>
      </c>
      <c r="F258" s="388">
        <v>0</v>
      </c>
      <c r="G258" s="388">
        <v>0</v>
      </c>
      <c r="H258" s="388">
        <v>0</v>
      </c>
      <c r="I258" s="222"/>
      <c r="L258" s="37"/>
      <c r="M258" s="41"/>
      <c r="N258" s="37"/>
      <c r="O258" s="37"/>
      <c r="P258" s="37"/>
      <c r="Q258" s="37"/>
      <c r="R258" s="37"/>
    </row>
    <row r="259" spans="1:18" hidden="1" outlineLevel="1" x14ac:dyDescent="0.3">
      <c r="A259" s="45" t="s">
        <v>3982</v>
      </c>
      <c r="B259" s="45" t="s">
        <v>894</v>
      </c>
      <c r="C259" s="48" t="s">
        <v>789</v>
      </c>
      <c r="D259" s="388">
        <v>0</v>
      </c>
      <c r="E259" s="388">
        <v>0</v>
      </c>
      <c r="F259" s="388">
        <v>0</v>
      </c>
      <c r="G259" s="388">
        <v>0</v>
      </c>
      <c r="H259" s="388">
        <v>0</v>
      </c>
      <c r="I259" s="222"/>
      <c r="L259" s="37"/>
      <c r="M259" s="41"/>
      <c r="N259" s="37"/>
      <c r="O259" s="37"/>
      <c r="P259" s="37"/>
      <c r="Q259" s="37"/>
      <c r="R259" s="37"/>
    </row>
    <row r="260" spans="1:18" hidden="1" outlineLevel="1" x14ac:dyDescent="0.3">
      <c r="A260" s="45" t="s">
        <v>3982</v>
      </c>
      <c r="B260" s="45" t="s">
        <v>894</v>
      </c>
      <c r="C260" s="48" t="s">
        <v>790</v>
      </c>
      <c r="D260" s="388">
        <v>0</v>
      </c>
      <c r="E260" s="388">
        <v>0</v>
      </c>
      <c r="F260" s="388">
        <v>0</v>
      </c>
      <c r="G260" s="388">
        <v>0</v>
      </c>
      <c r="H260" s="388">
        <v>0</v>
      </c>
      <c r="I260" s="222"/>
      <c r="L260" s="37"/>
      <c r="M260" s="41"/>
      <c r="N260" s="37"/>
      <c r="O260" s="37"/>
      <c r="P260" s="37"/>
      <c r="Q260" s="37"/>
      <c r="R260" s="37"/>
    </row>
    <row r="261" spans="1:18" hidden="1" outlineLevel="1" x14ac:dyDescent="0.3">
      <c r="A261" s="45" t="s">
        <v>3982</v>
      </c>
      <c r="B261" s="45" t="s">
        <v>894</v>
      </c>
      <c r="C261" s="48" t="s">
        <v>793</v>
      </c>
      <c r="D261" s="388">
        <v>0</v>
      </c>
      <c r="E261" s="388">
        <v>0</v>
      </c>
      <c r="F261" s="388">
        <v>0</v>
      </c>
      <c r="G261" s="388">
        <v>0</v>
      </c>
      <c r="H261" s="388">
        <v>0</v>
      </c>
      <c r="I261" s="222"/>
      <c r="L261" s="37"/>
      <c r="M261" s="41"/>
      <c r="N261" s="37"/>
      <c r="O261" s="37"/>
      <c r="P261" s="37"/>
      <c r="Q261" s="37"/>
      <c r="R261" s="37"/>
    </row>
    <row r="262" spans="1:18" hidden="1" outlineLevel="1" x14ac:dyDescent="0.3">
      <c r="A262" s="45" t="s">
        <v>3982</v>
      </c>
      <c r="B262" s="45" t="s">
        <v>894</v>
      </c>
      <c r="C262" s="48" t="s">
        <v>795</v>
      </c>
      <c r="D262" s="388">
        <v>0</v>
      </c>
      <c r="E262" s="388">
        <v>0</v>
      </c>
      <c r="F262" s="388">
        <v>0</v>
      </c>
      <c r="G262" s="388">
        <v>0</v>
      </c>
      <c r="H262" s="388">
        <v>0</v>
      </c>
      <c r="I262" s="222"/>
      <c r="L262" s="37"/>
      <c r="M262" s="41"/>
      <c r="N262" s="37"/>
      <c r="O262" s="37"/>
      <c r="P262" s="37"/>
      <c r="Q262" s="37"/>
      <c r="R262" s="37"/>
    </row>
    <row r="263" spans="1:18" hidden="1" outlineLevel="1" x14ac:dyDescent="0.3">
      <c r="A263" s="45" t="s">
        <v>3982</v>
      </c>
      <c r="B263" s="45" t="s">
        <v>894</v>
      </c>
      <c r="C263" s="48" t="s">
        <v>797</v>
      </c>
      <c r="D263" s="388">
        <v>0</v>
      </c>
      <c r="E263" s="388">
        <v>0</v>
      </c>
      <c r="F263" s="388">
        <v>0</v>
      </c>
      <c r="G263" s="388">
        <v>0</v>
      </c>
      <c r="H263" s="388">
        <v>0</v>
      </c>
      <c r="I263" s="222"/>
      <c r="L263" s="37"/>
      <c r="M263" s="41"/>
      <c r="N263" s="37"/>
      <c r="O263" s="37"/>
      <c r="P263" s="37"/>
      <c r="Q263" s="37"/>
      <c r="R263" s="37"/>
    </row>
    <row r="264" spans="1:18" hidden="1" outlineLevel="1" x14ac:dyDescent="0.3">
      <c r="A264" s="45" t="s">
        <v>3982</v>
      </c>
      <c r="B264" s="45" t="s">
        <v>915</v>
      </c>
      <c r="C264" s="48" t="s">
        <v>799</v>
      </c>
      <c r="D264" s="388">
        <v>0</v>
      </c>
      <c r="E264" s="388">
        <v>0</v>
      </c>
      <c r="F264" s="388">
        <v>0</v>
      </c>
      <c r="G264" s="388">
        <v>0</v>
      </c>
      <c r="H264" s="388">
        <v>0</v>
      </c>
      <c r="I264" s="222"/>
      <c r="L264" s="37"/>
      <c r="M264" s="41"/>
      <c r="N264" s="37"/>
      <c r="O264" s="37"/>
      <c r="P264" s="37"/>
      <c r="Q264" s="37"/>
      <c r="R264" s="37"/>
    </row>
    <row r="265" spans="1:18" hidden="1" outlineLevel="1" x14ac:dyDescent="0.3">
      <c r="A265" s="45" t="s">
        <v>3982</v>
      </c>
      <c r="B265" s="45" t="s">
        <v>915</v>
      </c>
      <c r="C265" s="48" t="s">
        <v>801</v>
      </c>
      <c r="D265" s="388">
        <v>0</v>
      </c>
      <c r="E265" s="388">
        <v>0</v>
      </c>
      <c r="F265" s="388">
        <v>0</v>
      </c>
      <c r="G265" s="388">
        <v>0</v>
      </c>
      <c r="H265" s="388">
        <v>0</v>
      </c>
      <c r="I265" s="222"/>
      <c r="L265" s="37"/>
      <c r="M265" s="41"/>
      <c r="N265" s="37"/>
      <c r="O265" s="37"/>
      <c r="P265" s="37"/>
      <c r="Q265" s="37"/>
      <c r="R265" s="37"/>
    </row>
    <row r="266" spans="1:18" hidden="1" outlineLevel="1" x14ac:dyDescent="0.3">
      <c r="A266" s="45" t="s">
        <v>3982</v>
      </c>
      <c r="B266" s="45" t="s">
        <v>915</v>
      </c>
      <c r="C266" s="48" t="s">
        <v>804</v>
      </c>
      <c r="D266" s="388">
        <v>0</v>
      </c>
      <c r="E266" s="388">
        <v>0</v>
      </c>
      <c r="F266" s="388">
        <v>0</v>
      </c>
      <c r="G266" s="388">
        <v>0</v>
      </c>
      <c r="H266" s="388">
        <v>0</v>
      </c>
      <c r="I266" s="222"/>
      <c r="L266" s="37"/>
      <c r="M266" s="41"/>
      <c r="N266" s="37"/>
      <c r="O266" s="37"/>
      <c r="P266" s="37"/>
      <c r="Q266" s="37"/>
      <c r="R266" s="37"/>
    </row>
    <row r="267" spans="1:18" hidden="1" outlineLevel="1" x14ac:dyDescent="0.3">
      <c r="A267" s="45" t="s">
        <v>3982</v>
      </c>
      <c r="B267" s="45" t="s">
        <v>915</v>
      </c>
      <c r="C267" s="48" t="s">
        <v>806</v>
      </c>
      <c r="D267" s="388">
        <v>0</v>
      </c>
      <c r="E267" s="388">
        <v>0</v>
      </c>
      <c r="F267" s="388">
        <v>0</v>
      </c>
      <c r="G267" s="388">
        <v>0</v>
      </c>
      <c r="H267" s="388">
        <v>0</v>
      </c>
      <c r="I267" s="222"/>
      <c r="L267" s="37"/>
      <c r="M267" s="41"/>
      <c r="N267" s="37"/>
      <c r="O267" s="37"/>
      <c r="P267" s="37"/>
      <c r="Q267" s="37"/>
      <c r="R267" s="37"/>
    </row>
    <row r="268" spans="1:18" hidden="1" outlineLevel="1" x14ac:dyDescent="0.3">
      <c r="A268" s="45" t="s">
        <v>3982</v>
      </c>
      <c r="B268" s="45" t="s">
        <v>915</v>
      </c>
      <c r="C268" s="48" t="s">
        <v>808</v>
      </c>
      <c r="D268" s="388">
        <v>0</v>
      </c>
      <c r="E268" s="388">
        <v>0</v>
      </c>
      <c r="F268" s="388">
        <v>0</v>
      </c>
      <c r="G268" s="388">
        <v>0</v>
      </c>
      <c r="H268" s="388">
        <v>0</v>
      </c>
      <c r="I268" s="222"/>
      <c r="L268" s="37"/>
      <c r="M268" s="41"/>
      <c r="N268" s="37"/>
      <c r="O268" s="37"/>
      <c r="P268" s="37"/>
      <c r="Q268" s="37"/>
      <c r="R268" s="37"/>
    </row>
    <row r="269" spans="1:18" hidden="1" outlineLevel="1" x14ac:dyDescent="0.3">
      <c r="A269" s="45" t="s">
        <v>3982</v>
      </c>
      <c r="B269" s="45" t="s">
        <v>915</v>
      </c>
      <c r="C269" s="48" t="s">
        <v>811</v>
      </c>
      <c r="D269" s="388">
        <v>0</v>
      </c>
      <c r="E269" s="388">
        <v>0</v>
      </c>
      <c r="F269" s="388">
        <v>0</v>
      </c>
      <c r="G269" s="388">
        <v>0</v>
      </c>
      <c r="H269" s="388">
        <v>0</v>
      </c>
      <c r="I269" s="222"/>
      <c r="L269" s="37"/>
      <c r="M269" s="41"/>
      <c r="N269" s="37"/>
      <c r="O269" s="37"/>
      <c r="P269" s="37"/>
      <c r="Q269" s="37"/>
      <c r="R269" s="37"/>
    </row>
    <row r="270" spans="1:18" hidden="1" outlineLevel="1" x14ac:dyDescent="0.3">
      <c r="A270" s="45" t="s">
        <v>3982</v>
      </c>
      <c r="B270" s="45" t="s">
        <v>934</v>
      </c>
      <c r="C270" s="48" t="s">
        <v>814</v>
      </c>
      <c r="D270" s="388">
        <v>0</v>
      </c>
      <c r="E270" s="388">
        <v>0</v>
      </c>
      <c r="F270" s="388">
        <v>0</v>
      </c>
      <c r="G270" s="388">
        <v>0</v>
      </c>
      <c r="H270" s="388">
        <v>0</v>
      </c>
      <c r="I270" s="222"/>
      <c r="L270" s="37"/>
      <c r="M270" s="41"/>
      <c r="N270" s="37"/>
      <c r="O270" s="37"/>
      <c r="P270" s="37"/>
      <c r="Q270" s="37"/>
      <c r="R270" s="37"/>
    </row>
    <row r="271" spans="1:18" hidden="1" outlineLevel="1" x14ac:dyDescent="0.3">
      <c r="A271" s="45" t="s">
        <v>3982</v>
      </c>
      <c r="B271" s="45" t="s">
        <v>934</v>
      </c>
      <c r="C271" s="48" t="s">
        <v>815</v>
      </c>
      <c r="D271" s="388">
        <v>0</v>
      </c>
      <c r="E271" s="388">
        <v>0</v>
      </c>
      <c r="F271" s="388">
        <v>0</v>
      </c>
      <c r="G271" s="388">
        <v>0</v>
      </c>
      <c r="H271" s="388">
        <v>0</v>
      </c>
      <c r="I271" s="222"/>
      <c r="L271" s="37"/>
      <c r="M271" s="41"/>
      <c r="N271" s="37"/>
      <c r="O271" s="37"/>
      <c r="P271" s="37"/>
      <c r="Q271" s="37"/>
      <c r="R271" s="37"/>
    </row>
    <row r="272" spans="1:18" hidden="1" outlineLevel="1" x14ac:dyDescent="0.3">
      <c r="A272" s="45" t="s">
        <v>3982</v>
      </c>
      <c r="B272" s="45" t="s">
        <v>940</v>
      </c>
      <c r="C272" s="48" t="s">
        <v>817</v>
      </c>
      <c r="D272" s="388">
        <v>0</v>
      </c>
      <c r="E272" s="388">
        <v>0</v>
      </c>
      <c r="F272" s="388">
        <v>0</v>
      </c>
      <c r="G272" s="388">
        <v>0</v>
      </c>
      <c r="H272" s="388">
        <v>0</v>
      </c>
      <c r="I272" s="222"/>
      <c r="L272" s="37"/>
      <c r="M272" s="41"/>
      <c r="N272" s="37"/>
      <c r="O272" s="37"/>
      <c r="P272" s="37"/>
      <c r="Q272" s="37"/>
      <c r="R272" s="37"/>
    </row>
    <row r="273" spans="1:47" hidden="1" outlineLevel="1" x14ac:dyDescent="0.3">
      <c r="A273" s="45" t="s">
        <v>3982</v>
      </c>
      <c r="B273" s="45" t="s">
        <v>940</v>
      </c>
      <c r="C273" s="48" t="s">
        <v>944</v>
      </c>
      <c r="D273" s="388">
        <v>0</v>
      </c>
      <c r="E273" s="388">
        <v>0</v>
      </c>
      <c r="F273" s="388">
        <v>0</v>
      </c>
      <c r="G273" s="388">
        <v>0</v>
      </c>
      <c r="H273" s="388">
        <v>0</v>
      </c>
      <c r="I273" s="222"/>
      <c r="L273" s="37"/>
      <c r="M273" s="41"/>
      <c r="N273" s="37"/>
      <c r="O273" s="37"/>
      <c r="P273" s="37"/>
      <c r="Q273" s="37"/>
      <c r="R273" s="37"/>
    </row>
    <row r="274" spans="1:47" hidden="1" outlineLevel="1" x14ac:dyDescent="0.3">
      <c r="A274" s="45" t="s">
        <v>3982</v>
      </c>
      <c r="B274" s="45" t="s">
        <v>940</v>
      </c>
      <c r="C274" s="48" t="s">
        <v>821</v>
      </c>
      <c r="D274" s="388">
        <v>0</v>
      </c>
      <c r="E274" s="388">
        <v>0</v>
      </c>
      <c r="F274" s="388">
        <v>0</v>
      </c>
      <c r="G274" s="388">
        <v>0</v>
      </c>
      <c r="H274" s="388">
        <v>0</v>
      </c>
      <c r="I274" s="222"/>
      <c r="L274" s="37"/>
      <c r="M274" s="41"/>
      <c r="N274" s="37"/>
      <c r="O274" s="37"/>
      <c r="P274" s="37"/>
      <c r="Q274" s="37"/>
      <c r="R274" s="37"/>
    </row>
    <row r="275" spans="1:47" hidden="1" outlineLevel="1" x14ac:dyDescent="0.3">
      <c r="A275" s="45" t="s">
        <v>3982</v>
      </c>
      <c r="B275" s="45" t="s">
        <v>940</v>
      </c>
      <c r="C275" s="48" t="s">
        <v>823</v>
      </c>
      <c r="D275" s="388">
        <v>0</v>
      </c>
      <c r="E275" s="388">
        <v>0</v>
      </c>
      <c r="F275" s="388">
        <v>0</v>
      </c>
      <c r="G275" s="388">
        <v>0</v>
      </c>
      <c r="H275" s="388">
        <v>0</v>
      </c>
      <c r="I275" s="222"/>
      <c r="L275" s="37"/>
      <c r="M275" s="41"/>
      <c r="N275" s="37"/>
      <c r="O275" s="37"/>
      <c r="P275" s="37"/>
      <c r="Q275" s="37"/>
      <c r="R275" s="37"/>
    </row>
    <row r="276" spans="1:47" hidden="1" outlineLevel="1" x14ac:dyDescent="0.3">
      <c r="A276" s="45" t="s">
        <v>3982</v>
      </c>
      <c r="B276" s="45" t="s">
        <v>940</v>
      </c>
      <c r="C276" s="48" t="s">
        <v>825</v>
      </c>
      <c r="D276" s="388">
        <v>0</v>
      </c>
      <c r="E276" s="388">
        <v>0</v>
      </c>
      <c r="F276" s="388">
        <v>0</v>
      </c>
      <c r="G276" s="388">
        <v>0</v>
      </c>
      <c r="H276" s="388">
        <v>0</v>
      </c>
      <c r="I276" s="222"/>
      <c r="L276" s="37"/>
      <c r="M276" s="41"/>
      <c r="N276" s="37"/>
      <c r="O276" s="37"/>
      <c r="P276" s="37"/>
      <c r="Q276" s="37"/>
      <c r="R276" s="37"/>
    </row>
    <row r="277" spans="1:47" hidden="1" outlineLevel="1" x14ac:dyDescent="0.3">
      <c r="A277" s="45" t="s">
        <v>3982</v>
      </c>
      <c r="B277" s="45" t="s">
        <v>940</v>
      </c>
      <c r="C277" s="48" t="s">
        <v>827</v>
      </c>
      <c r="D277" s="389">
        <v>60000</v>
      </c>
      <c r="E277" s="389">
        <v>60000</v>
      </c>
      <c r="F277" s="389">
        <v>60000</v>
      </c>
      <c r="G277" s="389">
        <v>60000</v>
      </c>
      <c r="H277" s="389">
        <v>60000</v>
      </c>
      <c r="I277" s="222" t="s">
        <v>3983</v>
      </c>
      <c r="L277" s="37"/>
      <c r="M277" s="41"/>
      <c r="N277" s="37"/>
      <c r="O277" s="37"/>
      <c r="P277" s="37"/>
      <c r="Q277" s="37"/>
      <c r="R277" s="37"/>
    </row>
    <row r="278" spans="1:47" hidden="1" outlineLevel="1" x14ac:dyDescent="0.3">
      <c r="A278" s="45" t="s">
        <v>3982</v>
      </c>
      <c r="B278" s="45" t="s">
        <v>940</v>
      </c>
      <c r="C278" s="48" t="s">
        <v>829</v>
      </c>
      <c r="D278" s="388">
        <v>0</v>
      </c>
      <c r="E278" s="388">
        <v>0</v>
      </c>
      <c r="F278" s="388">
        <v>0</v>
      </c>
      <c r="G278" s="388">
        <v>0</v>
      </c>
      <c r="H278" s="388">
        <v>0</v>
      </c>
      <c r="I278" s="222"/>
      <c r="L278" s="37"/>
      <c r="M278" s="41"/>
      <c r="N278" s="37"/>
      <c r="O278" s="37"/>
      <c r="P278" s="37"/>
      <c r="Q278" s="37"/>
      <c r="R278" s="37"/>
    </row>
    <row r="279" spans="1:47" hidden="1" outlineLevel="1" x14ac:dyDescent="0.3">
      <c r="A279" s="45" t="s">
        <v>3982</v>
      </c>
      <c r="B279" s="45" t="s">
        <v>940</v>
      </c>
      <c r="C279" s="48" t="s">
        <v>833</v>
      </c>
      <c r="D279" s="388">
        <v>0</v>
      </c>
      <c r="E279" s="388">
        <v>0</v>
      </c>
      <c r="F279" s="388">
        <v>0</v>
      </c>
      <c r="G279" s="388">
        <v>0</v>
      </c>
      <c r="H279" s="388">
        <v>0</v>
      </c>
      <c r="I279" s="222"/>
      <c r="L279" s="37"/>
      <c r="M279" s="41"/>
      <c r="N279" s="37"/>
      <c r="O279" s="37"/>
      <c r="P279" s="37"/>
      <c r="Q279" s="37"/>
      <c r="R279" s="37"/>
    </row>
    <row r="280" spans="1:47" hidden="1" outlineLevel="1" x14ac:dyDescent="0.3">
      <c r="A280" s="45" t="s">
        <v>3982</v>
      </c>
      <c r="B280" s="45" t="s">
        <v>940</v>
      </c>
      <c r="C280" s="48" t="s">
        <v>836</v>
      </c>
      <c r="D280" s="388">
        <v>0</v>
      </c>
      <c r="E280" s="388">
        <v>0</v>
      </c>
      <c r="F280" s="388">
        <v>0</v>
      </c>
      <c r="G280" s="388">
        <v>0</v>
      </c>
      <c r="H280" s="388">
        <v>0</v>
      </c>
      <c r="I280" s="222"/>
      <c r="L280" s="37"/>
      <c r="M280" s="41"/>
      <c r="N280" s="37"/>
      <c r="O280" s="37"/>
      <c r="P280" s="37"/>
      <c r="Q280" s="37"/>
      <c r="R280" s="37"/>
    </row>
    <row r="281" spans="1:47" hidden="1" outlineLevel="1" x14ac:dyDescent="0.3">
      <c r="A281" s="45" t="s">
        <v>3982</v>
      </c>
      <c r="B281" s="45" t="s">
        <v>940</v>
      </c>
      <c r="C281" s="48" t="s">
        <v>837</v>
      </c>
      <c r="D281" s="388">
        <v>0</v>
      </c>
      <c r="E281" s="388">
        <v>0</v>
      </c>
      <c r="F281" s="388">
        <v>0</v>
      </c>
      <c r="G281" s="388">
        <v>0</v>
      </c>
      <c r="H281" s="388">
        <v>0</v>
      </c>
      <c r="I281" s="222"/>
      <c r="L281" s="37"/>
      <c r="M281" s="41"/>
      <c r="N281" s="37"/>
      <c r="O281" s="37"/>
      <c r="P281" s="37"/>
      <c r="Q281" s="37"/>
      <c r="R281" s="37"/>
    </row>
    <row r="282" spans="1:47" hidden="1" outlineLevel="1" x14ac:dyDescent="0.3">
      <c r="A282" s="45" t="s">
        <v>3982</v>
      </c>
      <c r="B282" s="45" t="s">
        <v>940</v>
      </c>
      <c r="C282" s="48" t="s">
        <v>839</v>
      </c>
      <c r="D282" s="388">
        <v>0</v>
      </c>
      <c r="E282" s="388">
        <v>0</v>
      </c>
      <c r="F282" s="388">
        <v>0</v>
      </c>
      <c r="G282" s="388">
        <v>0</v>
      </c>
      <c r="H282" s="388">
        <v>0</v>
      </c>
      <c r="I282" s="222"/>
      <c r="L282" s="37"/>
      <c r="M282" s="41"/>
      <c r="N282" s="37"/>
      <c r="O282" s="37"/>
      <c r="P282" s="37"/>
      <c r="Q282" s="37"/>
      <c r="R282" s="37"/>
    </row>
    <row r="283" spans="1:47" hidden="1" outlineLevel="1" x14ac:dyDescent="0.3">
      <c r="A283" s="45" t="s">
        <v>3982</v>
      </c>
      <c r="B283" s="45" t="s">
        <v>940</v>
      </c>
      <c r="C283" s="48" t="s">
        <v>840</v>
      </c>
      <c r="D283" s="388">
        <v>0</v>
      </c>
      <c r="E283" s="388">
        <v>0</v>
      </c>
      <c r="F283" s="388">
        <v>0</v>
      </c>
      <c r="G283" s="388">
        <v>0</v>
      </c>
      <c r="H283" s="388">
        <v>0</v>
      </c>
      <c r="I283" s="222"/>
      <c r="L283" s="37"/>
      <c r="M283" s="41"/>
      <c r="N283" s="37"/>
      <c r="O283" s="37"/>
      <c r="P283" s="37"/>
      <c r="Q283" s="37"/>
      <c r="R283" s="37"/>
    </row>
    <row r="284" spans="1:47" collapsed="1" x14ac:dyDescent="0.3">
      <c r="A284" s="45"/>
      <c r="B284" s="45"/>
      <c r="C284" s="45"/>
      <c r="D284" s="388"/>
      <c r="E284" s="388"/>
      <c r="F284" s="388"/>
      <c r="G284" s="388"/>
      <c r="H284" s="388"/>
      <c r="I284" s="222"/>
      <c r="L284" s="41"/>
      <c r="M284" s="41"/>
      <c r="N284" s="42"/>
      <c r="O284" s="42"/>
    </row>
    <row r="285" spans="1:47" x14ac:dyDescent="0.3">
      <c r="A285" s="70"/>
      <c r="B285" s="70"/>
      <c r="C285" s="80"/>
      <c r="D285" s="437"/>
      <c r="E285" s="437"/>
      <c r="F285" s="490"/>
      <c r="G285" s="490"/>
      <c r="H285" s="490"/>
      <c r="I285" s="490"/>
      <c r="J285" s="490"/>
      <c r="K285" s="227"/>
    </row>
    <row r="286" spans="1:47" collapsed="1" x14ac:dyDescent="0.3">
      <c r="A286" s="70">
        <v>230</v>
      </c>
      <c r="B286" s="70"/>
      <c r="C286" s="80"/>
      <c r="D286" s="437"/>
      <c r="E286" s="437"/>
      <c r="F286" s="490"/>
      <c r="G286" s="490"/>
      <c r="H286" s="490"/>
      <c r="I286" s="490"/>
      <c r="L286" s="41"/>
      <c r="M286" s="41"/>
      <c r="N286" s="42"/>
      <c r="O286" s="42"/>
    </row>
    <row r="287" spans="1:47" ht="25.8" x14ac:dyDescent="0.5">
      <c r="A287" s="570" t="s">
        <v>5996</v>
      </c>
      <c r="B287" s="570"/>
      <c r="C287" s="570"/>
      <c r="D287" s="570"/>
      <c r="E287" s="570"/>
      <c r="F287" s="570"/>
      <c r="G287" s="570"/>
      <c r="H287" s="570"/>
      <c r="I287" s="570"/>
      <c r="L287" s="41"/>
      <c r="M287" s="41"/>
      <c r="N287" s="42"/>
      <c r="O287" s="42"/>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row>
    <row r="288" spans="1:47" ht="28.5" customHeight="1" x14ac:dyDescent="0.3">
      <c r="A288" s="571" t="s">
        <v>3984</v>
      </c>
      <c r="B288" s="571"/>
      <c r="C288" s="571"/>
      <c r="D288" s="571"/>
      <c r="E288" s="571"/>
      <c r="F288" s="571"/>
      <c r="G288" s="571"/>
      <c r="H288" s="571"/>
      <c r="I288" s="571"/>
      <c r="L288" s="41"/>
      <c r="M288" s="41"/>
      <c r="N288" s="42"/>
      <c r="O288" s="42"/>
    </row>
    <row r="289" spans="1:15" x14ac:dyDescent="0.3">
      <c r="A289" s="53" t="s">
        <v>3985</v>
      </c>
      <c r="B289" s="203"/>
      <c r="C289" s="52" t="s">
        <v>3973</v>
      </c>
      <c r="D289" s="540">
        <v>13532247</v>
      </c>
      <c r="E289" s="540">
        <v>13532247</v>
      </c>
      <c r="F289" s="540">
        <v>13532247</v>
      </c>
      <c r="G289" s="540">
        <v>13532547</v>
      </c>
      <c r="H289" s="540">
        <v>13532547</v>
      </c>
      <c r="I289" s="228"/>
      <c r="L289" s="41"/>
      <c r="M289" s="41"/>
      <c r="N289" s="42"/>
      <c r="O289" s="42"/>
    </row>
    <row r="290" spans="1:15" x14ac:dyDescent="0.3">
      <c r="A290" s="127" t="s">
        <v>5</v>
      </c>
      <c r="B290" s="127" t="s">
        <v>847</v>
      </c>
      <c r="C290" s="127" t="s">
        <v>193</v>
      </c>
      <c r="D290" s="541">
        <v>2025</v>
      </c>
      <c r="E290" s="541">
        <v>2030</v>
      </c>
      <c r="F290" s="541">
        <v>2035</v>
      </c>
      <c r="G290" s="541">
        <v>2040</v>
      </c>
      <c r="H290" s="541">
        <v>2045</v>
      </c>
      <c r="I290" s="322" t="s">
        <v>153</v>
      </c>
      <c r="L290" s="41"/>
      <c r="M290" s="41"/>
      <c r="N290" s="42"/>
      <c r="O290" s="42"/>
    </row>
    <row r="291" spans="1:15" hidden="1" outlineLevel="1" x14ac:dyDescent="0.3">
      <c r="A291" s="51" t="s">
        <v>3985</v>
      </c>
      <c r="B291" s="51" t="s">
        <v>855</v>
      </c>
      <c r="C291" s="53" t="s">
        <v>747</v>
      </c>
      <c r="D291" s="384" t="s">
        <v>204</v>
      </c>
      <c r="E291" s="384" t="s">
        <v>204</v>
      </c>
      <c r="F291" s="384" t="s">
        <v>204</v>
      </c>
      <c r="G291" s="384" t="s">
        <v>204</v>
      </c>
      <c r="H291" s="384" t="s">
        <v>204</v>
      </c>
      <c r="I291" s="228"/>
      <c r="L291" s="41"/>
      <c r="M291" s="41"/>
      <c r="N291" s="42"/>
      <c r="O291" s="42"/>
    </row>
    <row r="292" spans="1:15" hidden="1" outlineLevel="1" x14ac:dyDescent="0.3">
      <c r="A292" s="51" t="s">
        <v>3985</v>
      </c>
      <c r="B292" s="51" t="s">
        <v>855</v>
      </c>
      <c r="C292" s="53" t="s">
        <v>751</v>
      </c>
      <c r="D292" s="385">
        <v>0</v>
      </c>
      <c r="E292" s="385">
        <v>0</v>
      </c>
      <c r="F292" s="385">
        <v>0</v>
      </c>
      <c r="G292" s="385">
        <v>0</v>
      </c>
      <c r="H292" s="385">
        <v>0</v>
      </c>
      <c r="I292" s="228"/>
      <c r="L292" s="41"/>
      <c r="M292" s="41"/>
      <c r="N292" s="42"/>
      <c r="O292" s="42"/>
    </row>
    <row r="293" spans="1:15" hidden="1" outlineLevel="1" x14ac:dyDescent="0.3">
      <c r="A293" s="51" t="s">
        <v>3985</v>
      </c>
      <c r="B293" s="51" t="s">
        <v>855</v>
      </c>
      <c r="C293" s="53" t="s">
        <v>755</v>
      </c>
      <c r="D293" s="385">
        <v>0</v>
      </c>
      <c r="E293" s="385">
        <v>0</v>
      </c>
      <c r="F293" s="385">
        <v>0</v>
      </c>
      <c r="G293" s="385">
        <v>0</v>
      </c>
      <c r="H293" s="385">
        <v>0</v>
      </c>
      <c r="I293" s="228"/>
      <c r="L293" s="41"/>
      <c r="M293" s="41"/>
      <c r="N293" s="42"/>
      <c r="O293" s="42"/>
    </row>
    <row r="294" spans="1:15" hidden="1" outlineLevel="1" x14ac:dyDescent="0.3">
      <c r="A294" s="51" t="s">
        <v>3985</v>
      </c>
      <c r="B294" s="51" t="s">
        <v>855</v>
      </c>
      <c r="C294" s="53" t="s">
        <v>758</v>
      </c>
      <c r="D294" s="385">
        <v>0</v>
      </c>
      <c r="E294" s="385">
        <v>0</v>
      </c>
      <c r="F294" s="385">
        <v>0</v>
      </c>
      <c r="G294" s="385">
        <v>0</v>
      </c>
      <c r="H294" s="385">
        <v>0</v>
      </c>
      <c r="I294" s="228"/>
      <c r="L294" s="41"/>
      <c r="M294" s="41"/>
      <c r="N294" s="42"/>
      <c r="O294" s="42"/>
    </row>
    <row r="295" spans="1:15" hidden="1" outlineLevel="1" x14ac:dyDescent="0.3">
      <c r="A295" s="51" t="s">
        <v>3985</v>
      </c>
      <c r="B295" s="51" t="s">
        <v>855</v>
      </c>
      <c r="C295" s="53" t="s">
        <v>761</v>
      </c>
      <c r="D295" s="385">
        <v>0</v>
      </c>
      <c r="E295" s="385">
        <v>0</v>
      </c>
      <c r="F295" s="385">
        <v>0</v>
      </c>
      <c r="G295" s="385">
        <v>0</v>
      </c>
      <c r="H295" s="385">
        <v>0</v>
      </c>
      <c r="I295" s="228"/>
      <c r="L295" s="41"/>
      <c r="M295" s="41"/>
      <c r="N295" s="42"/>
      <c r="O295" s="42"/>
    </row>
    <row r="296" spans="1:15" hidden="1" outlineLevel="1" x14ac:dyDescent="0.3">
      <c r="A296" s="51" t="s">
        <v>3985</v>
      </c>
      <c r="B296" s="51" t="s">
        <v>855</v>
      </c>
      <c r="C296" s="53" t="s">
        <v>763</v>
      </c>
      <c r="D296" s="385">
        <v>0</v>
      </c>
      <c r="E296" s="385">
        <v>0</v>
      </c>
      <c r="F296" s="385">
        <v>0</v>
      </c>
      <c r="G296" s="385">
        <v>0</v>
      </c>
      <c r="H296" s="385">
        <v>0</v>
      </c>
      <c r="I296" s="228"/>
      <c r="L296" s="41"/>
      <c r="M296" s="41"/>
      <c r="N296" s="42"/>
      <c r="O296" s="42"/>
    </row>
    <row r="297" spans="1:15" hidden="1" outlineLevel="1" x14ac:dyDescent="0.3">
      <c r="A297" s="51" t="s">
        <v>3985</v>
      </c>
      <c r="B297" s="51" t="s">
        <v>855</v>
      </c>
      <c r="C297" s="53" t="s">
        <v>765</v>
      </c>
      <c r="D297" s="385">
        <v>0</v>
      </c>
      <c r="E297" s="385">
        <v>0</v>
      </c>
      <c r="F297" s="385">
        <v>0</v>
      </c>
      <c r="G297" s="385">
        <v>0</v>
      </c>
      <c r="H297" s="385">
        <v>0</v>
      </c>
      <c r="I297" s="228"/>
      <c r="L297" s="41"/>
      <c r="M297" s="41"/>
      <c r="N297" s="42"/>
      <c r="O297" s="42"/>
    </row>
    <row r="298" spans="1:15" hidden="1" outlineLevel="1" x14ac:dyDescent="0.3">
      <c r="A298" s="51" t="s">
        <v>3985</v>
      </c>
      <c r="B298" s="51" t="s">
        <v>855</v>
      </c>
      <c r="C298" s="53" t="s">
        <v>768</v>
      </c>
      <c r="D298" s="385">
        <v>0</v>
      </c>
      <c r="E298" s="385">
        <v>0</v>
      </c>
      <c r="F298" s="385">
        <v>0</v>
      </c>
      <c r="G298" s="385">
        <v>0</v>
      </c>
      <c r="H298" s="385">
        <v>0</v>
      </c>
      <c r="I298" s="228"/>
      <c r="L298" s="41"/>
      <c r="M298" s="41"/>
      <c r="N298" s="42"/>
      <c r="O298" s="42"/>
    </row>
    <row r="299" spans="1:15" hidden="1" outlineLevel="1" x14ac:dyDescent="0.3">
      <c r="A299" s="51" t="s">
        <v>3985</v>
      </c>
      <c r="B299" s="51" t="s">
        <v>855</v>
      </c>
      <c r="C299" s="53" t="s">
        <v>771</v>
      </c>
      <c r="D299" s="385">
        <v>0</v>
      </c>
      <c r="E299" s="385">
        <v>0</v>
      </c>
      <c r="F299" s="385">
        <v>0</v>
      </c>
      <c r="G299" s="385">
        <v>0</v>
      </c>
      <c r="H299" s="385">
        <v>0</v>
      </c>
      <c r="I299" s="228"/>
      <c r="L299" s="41"/>
      <c r="M299" s="41"/>
      <c r="N299" s="42"/>
      <c r="O299" s="42"/>
    </row>
    <row r="300" spans="1:15" hidden="1" outlineLevel="1" x14ac:dyDescent="0.3">
      <c r="A300" s="51" t="s">
        <v>3985</v>
      </c>
      <c r="B300" s="51" t="s">
        <v>855</v>
      </c>
      <c r="C300" s="53" t="s">
        <v>772</v>
      </c>
      <c r="D300" s="385">
        <v>0</v>
      </c>
      <c r="E300" s="385">
        <v>0</v>
      </c>
      <c r="F300" s="385">
        <v>0</v>
      </c>
      <c r="G300" s="385">
        <v>0</v>
      </c>
      <c r="H300" s="385">
        <v>0</v>
      </c>
      <c r="I300" s="228"/>
      <c r="L300" s="41"/>
      <c r="M300" s="41"/>
      <c r="N300" s="42"/>
      <c r="O300" s="42"/>
    </row>
    <row r="301" spans="1:15" hidden="1" outlineLevel="1" x14ac:dyDescent="0.3">
      <c r="A301" s="51" t="s">
        <v>3985</v>
      </c>
      <c r="B301" s="51" t="s">
        <v>855</v>
      </c>
      <c r="C301" s="53" t="s">
        <v>774</v>
      </c>
      <c r="D301" s="385">
        <v>0</v>
      </c>
      <c r="E301" s="385">
        <v>0</v>
      </c>
      <c r="F301" s="385">
        <v>0</v>
      </c>
      <c r="G301" s="385">
        <v>0</v>
      </c>
      <c r="H301" s="385">
        <v>0</v>
      </c>
      <c r="I301" s="228"/>
      <c r="L301" s="41"/>
      <c r="M301" s="41"/>
      <c r="N301" s="42"/>
      <c r="O301" s="42"/>
    </row>
    <row r="302" spans="1:15" hidden="1" outlineLevel="1" x14ac:dyDescent="0.3">
      <c r="A302" s="51" t="s">
        <v>3985</v>
      </c>
      <c r="B302" s="51" t="s">
        <v>855</v>
      </c>
      <c r="C302" s="53" t="s">
        <v>775</v>
      </c>
      <c r="D302" s="385">
        <v>0</v>
      </c>
      <c r="E302" s="385">
        <v>0</v>
      </c>
      <c r="F302" s="385">
        <v>0</v>
      </c>
      <c r="G302" s="385">
        <v>0</v>
      </c>
      <c r="H302" s="385">
        <v>0</v>
      </c>
      <c r="I302" s="228"/>
      <c r="L302" s="41"/>
      <c r="M302" s="41"/>
      <c r="N302" s="42"/>
      <c r="O302" s="42"/>
    </row>
    <row r="303" spans="1:15" hidden="1" outlineLevel="1" x14ac:dyDescent="0.3">
      <c r="A303" s="51" t="s">
        <v>3985</v>
      </c>
      <c r="B303" s="51" t="s">
        <v>855</v>
      </c>
      <c r="C303" s="53" t="s">
        <v>779</v>
      </c>
      <c r="D303" s="385">
        <v>0</v>
      </c>
      <c r="E303" s="385">
        <v>0</v>
      </c>
      <c r="F303" s="385">
        <v>0</v>
      </c>
      <c r="G303" s="385">
        <v>0</v>
      </c>
      <c r="H303" s="385">
        <v>0</v>
      </c>
      <c r="I303" s="228"/>
      <c r="L303" s="41"/>
      <c r="M303" s="41"/>
      <c r="N303" s="42"/>
      <c r="O303" s="42"/>
    </row>
    <row r="304" spans="1:15" hidden="1" outlineLevel="1" x14ac:dyDescent="0.3">
      <c r="A304" s="51" t="s">
        <v>3985</v>
      </c>
      <c r="B304" s="51" t="s">
        <v>894</v>
      </c>
      <c r="C304" s="53" t="s">
        <v>781</v>
      </c>
      <c r="D304" s="385">
        <v>0</v>
      </c>
      <c r="E304" s="385">
        <v>0</v>
      </c>
      <c r="F304" s="385">
        <v>0</v>
      </c>
      <c r="G304" s="385">
        <v>0</v>
      </c>
      <c r="H304" s="385">
        <v>0</v>
      </c>
      <c r="I304" s="228"/>
      <c r="L304" s="41"/>
      <c r="M304" s="41"/>
      <c r="N304" s="42"/>
      <c r="O304" s="42"/>
    </row>
    <row r="305" spans="1:15" hidden="1" outlineLevel="1" x14ac:dyDescent="0.3">
      <c r="A305" s="51" t="s">
        <v>3985</v>
      </c>
      <c r="B305" s="51" t="s">
        <v>894</v>
      </c>
      <c r="C305" s="53" t="s">
        <v>783</v>
      </c>
      <c r="D305" s="385">
        <v>0</v>
      </c>
      <c r="E305" s="385">
        <v>0</v>
      </c>
      <c r="F305" s="385">
        <v>0</v>
      </c>
      <c r="G305" s="385">
        <v>0</v>
      </c>
      <c r="H305" s="385">
        <v>0</v>
      </c>
      <c r="I305" s="228"/>
      <c r="L305" s="41"/>
      <c r="M305" s="41"/>
      <c r="N305" s="42"/>
      <c r="O305" s="42"/>
    </row>
    <row r="306" spans="1:15" hidden="1" outlineLevel="1" x14ac:dyDescent="0.3">
      <c r="A306" s="51" t="s">
        <v>3985</v>
      </c>
      <c r="B306" s="51" t="s">
        <v>894</v>
      </c>
      <c r="C306" s="53" t="s">
        <v>785</v>
      </c>
      <c r="D306" s="385">
        <v>0</v>
      </c>
      <c r="E306" s="385">
        <v>0</v>
      </c>
      <c r="F306" s="385">
        <v>0</v>
      </c>
      <c r="G306" s="385">
        <v>0</v>
      </c>
      <c r="H306" s="385">
        <v>0</v>
      </c>
      <c r="I306" s="228"/>
      <c r="L306" s="41"/>
      <c r="M306" s="41"/>
      <c r="N306" s="42"/>
      <c r="O306" s="42"/>
    </row>
    <row r="307" spans="1:15" hidden="1" outlineLevel="1" x14ac:dyDescent="0.3">
      <c r="A307" s="51" t="s">
        <v>3985</v>
      </c>
      <c r="B307" s="51" t="s">
        <v>894</v>
      </c>
      <c r="C307" s="53" t="s">
        <v>787</v>
      </c>
      <c r="D307" s="385">
        <v>0</v>
      </c>
      <c r="E307" s="385">
        <v>0</v>
      </c>
      <c r="F307" s="385">
        <v>0</v>
      </c>
      <c r="G307" s="385">
        <v>0</v>
      </c>
      <c r="H307" s="385">
        <v>0</v>
      </c>
      <c r="I307" s="228"/>
      <c r="L307" s="41"/>
      <c r="M307" s="41"/>
      <c r="N307" s="42"/>
      <c r="O307" s="42"/>
    </row>
    <row r="308" spans="1:15" hidden="1" outlineLevel="1" x14ac:dyDescent="0.3">
      <c r="A308" s="51" t="s">
        <v>3985</v>
      </c>
      <c r="B308" s="51" t="s">
        <v>894</v>
      </c>
      <c r="C308" s="53" t="s">
        <v>788</v>
      </c>
      <c r="D308" s="385">
        <v>0</v>
      </c>
      <c r="E308" s="385">
        <v>0</v>
      </c>
      <c r="F308" s="385">
        <v>0</v>
      </c>
      <c r="G308" s="385">
        <v>0</v>
      </c>
      <c r="H308" s="385">
        <v>0</v>
      </c>
      <c r="I308" s="228"/>
      <c r="L308" s="41"/>
      <c r="M308" s="41"/>
      <c r="N308" s="42"/>
      <c r="O308" s="42"/>
    </row>
    <row r="309" spans="1:15" hidden="1" outlineLevel="1" x14ac:dyDescent="0.3">
      <c r="A309" s="51" t="s">
        <v>3985</v>
      </c>
      <c r="B309" s="51" t="s">
        <v>894</v>
      </c>
      <c r="C309" s="53" t="s">
        <v>789</v>
      </c>
      <c r="D309" s="385">
        <v>0</v>
      </c>
      <c r="E309" s="385">
        <v>0</v>
      </c>
      <c r="F309" s="385">
        <v>0</v>
      </c>
      <c r="G309" s="385">
        <v>0</v>
      </c>
      <c r="H309" s="385">
        <v>0</v>
      </c>
      <c r="I309" s="228"/>
      <c r="L309" s="41"/>
      <c r="M309" s="41"/>
      <c r="N309" s="42"/>
      <c r="O309" s="42"/>
    </row>
    <row r="310" spans="1:15" hidden="1" outlineLevel="1" x14ac:dyDescent="0.3">
      <c r="A310" s="51" t="s">
        <v>3985</v>
      </c>
      <c r="B310" s="51" t="s">
        <v>894</v>
      </c>
      <c r="C310" s="53" t="s">
        <v>790</v>
      </c>
      <c r="D310" s="384">
        <v>11200</v>
      </c>
      <c r="E310" s="384">
        <v>11200</v>
      </c>
      <c r="F310" s="384">
        <v>11200</v>
      </c>
      <c r="G310" s="384">
        <v>11500</v>
      </c>
      <c r="H310" s="384">
        <v>11500</v>
      </c>
      <c r="I310" s="228" t="s">
        <v>3986</v>
      </c>
      <c r="L310" s="41"/>
      <c r="M310" s="41"/>
      <c r="N310" s="42"/>
      <c r="O310" s="42"/>
    </row>
    <row r="311" spans="1:15" hidden="1" outlineLevel="1" x14ac:dyDescent="0.3">
      <c r="A311" s="51" t="s">
        <v>3985</v>
      </c>
      <c r="B311" s="51" t="s">
        <v>894</v>
      </c>
      <c r="C311" s="53" t="s">
        <v>793</v>
      </c>
      <c r="D311" s="384">
        <v>150083</v>
      </c>
      <c r="E311" s="384">
        <v>150083</v>
      </c>
      <c r="F311" s="384">
        <v>150083</v>
      </c>
      <c r="G311" s="384">
        <v>150083</v>
      </c>
      <c r="H311" s="384">
        <v>150083</v>
      </c>
      <c r="I311" s="228" t="s">
        <v>3987</v>
      </c>
      <c r="L311" s="41"/>
      <c r="M311" s="41"/>
      <c r="N311" s="42"/>
      <c r="O311" s="42"/>
    </row>
    <row r="312" spans="1:15" hidden="1" outlineLevel="1" x14ac:dyDescent="0.3">
      <c r="A312" s="51" t="s">
        <v>3985</v>
      </c>
      <c r="B312" s="51" t="s">
        <v>894</v>
      </c>
      <c r="C312" s="53" t="s">
        <v>795</v>
      </c>
      <c r="D312" s="384" t="s">
        <v>204</v>
      </c>
      <c r="E312" s="384" t="s">
        <v>204</v>
      </c>
      <c r="F312" s="384" t="s">
        <v>204</v>
      </c>
      <c r="G312" s="384" t="s">
        <v>204</v>
      </c>
      <c r="H312" s="384" t="s">
        <v>204</v>
      </c>
      <c r="I312" s="228"/>
      <c r="L312" s="41"/>
      <c r="M312" s="41"/>
      <c r="N312" s="42"/>
      <c r="O312" s="42"/>
    </row>
    <row r="313" spans="1:15" hidden="1" outlineLevel="1" x14ac:dyDescent="0.3">
      <c r="A313" s="51" t="s">
        <v>3985</v>
      </c>
      <c r="B313" s="51" t="s">
        <v>894</v>
      </c>
      <c r="C313" s="53" t="s">
        <v>797</v>
      </c>
      <c r="D313" s="384">
        <v>0</v>
      </c>
      <c r="E313" s="384">
        <v>0</v>
      </c>
      <c r="F313" s="384">
        <v>0</v>
      </c>
      <c r="G313" s="384">
        <v>0</v>
      </c>
      <c r="H313" s="384">
        <v>0</v>
      </c>
      <c r="I313" s="228" t="s">
        <v>3988</v>
      </c>
      <c r="L313" s="41"/>
      <c r="M313" s="41"/>
      <c r="N313" s="42"/>
      <c r="O313" s="42"/>
    </row>
    <row r="314" spans="1:15" hidden="1" outlineLevel="1" x14ac:dyDescent="0.3">
      <c r="A314" s="51" t="s">
        <v>3985</v>
      </c>
      <c r="B314" s="51" t="s">
        <v>915</v>
      </c>
      <c r="C314" s="53" t="s">
        <v>799</v>
      </c>
      <c r="D314" s="384">
        <v>198000</v>
      </c>
      <c r="E314" s="384">
        <v>198000</v>
      </c>
      <c r="F314" s="384">
        <v>198000</v>
      </c>
      <c r="G314" s="384">
        <v>198000</v>
      </c>
      <c r="H314" s="384">
        <v>198000</v>
      </c>
      <c r="I314" s="228" t="s">
        <v>2775</v>
      </c>
      <c r="L314" s="41"/>
      <c r="M314" s="41"/>
      <c r="N314" s="42"/>
      <c r="O314" s="42"/>
    </row>
    <row r="315" spans="1:15" hidden="1" outlineLevel="1" x14ac:dyDescent="0.3">
      <c r="A315" s="51" t="s">
        <v>3985</v>
      </c>
      <c r="B315" s="51" t="s">
        <v>915</v>
      </c>
      <c r="C315" s="53" t="s">
        <v>801</v>
      </c>
      <c r="D315" s="384">
        <v>150000</v>
      </c>
      <c r="E315" s="384">
        <v>150000</v>
      </c>
      <c r="F315" s="384">
        <v>150000</v>
      </c>
      <c r="G315" s="384">
        <v>150000</v>
      </c>
      <c r="H315" s="384">
        <v>150000</v>
      </c>
      <c r="I315" s="228" t="s">
        <v>3989</v>
      </c>
      <c r="L315" s="41"/>
      <c r="M315" s="41"/>
      <c r="N315" s="42"/>
      <c r="O315" s="42"/>
    </row>
    <row r="316" spans="1:15" hidden="1" outlineLevel="1" x14ac:dyDescent="0.3">
      <c r="A316" s="51" t="s">
        <v>3985</v>
      </c>
      <c r="B316" s="51" t="s">
        <v>915</v>
      </c>
      <c r="C316" s="53" t="s">
        <v>804</v>
      </c>
      <c r="D316" s="384">
        <v>0</v>
      </c>
      <c r="E316" s="384">
        <v>0</v>
      </c>
      <c r="F316" s="384">
        <v>0</v>
      </c>
      <c r="G316" s="384">
        <v>0</v>
      </c>
      <c r="H316" s="384">
        <v>0</v>
      </c>
      <c r="I316" s="228"/>
      <c r="L316" s="41"/>
      <c r="M316" s="41"/>
      <c r="N316" s="42"/>
      <c r="O316" s="42"/>
    </row>
    <row r="317" spans="1:15" hidden="1" outlineLevel="1" x14ac:dyDescent="0.3">
      <c r="A317" s="51" t="s">
        <v>3985</v>
      </c>
      <c r="B317" s="51" t="s">
        <v>915</v>
      </c>
      <c r="C317" s="53" t="s">
        <v>806</v>
      </c>
      <c r="D317" s="384">
        <v>0</v>
      </c>
      <c r="E317" s="384">
        <v>0</v>
      </c>
      <c r="F317" s="384">
        <v>0</v>
      </c>
      <c r="G317" s="384">
        <v>0</v>
      </c>
      <c r="H317" s="384">
        <v>0</v>
      </c>
      <c r="I317" s="228"/>
      <c r="L317" s="41"/>
      <c r="M317" s="41"/>
      <c r="N317" s="42"/>
      <c r="O317" s="42"/>
    </row>
    <row r="318" spans="1:15" hidden="1" outlineLevel="1" x14ac:dyDescent="0.3">
      <c r="A318" s="51" t="s">
        <v>3985</v>
      </c>
      <c r="B318" s="51" t="s">
        <v>915</v>
      </c>
      <c r="C318" s="53" t="s">
        <v>808</v>
      </c>
      <c r="D318" s="384">
        <v>0</v>
      </c>
      <c r="E318" s="384">
        <v>0</v>
      </c>
      <c r="F318" s="384">
        <v>0</v>
      </c>
      <c r="G318" s="384">
        <v>0</v>
      </c>
      <c r="H318" s="384">
        <v>0</v>
      </c>
      <c r="I318" s="228"/>
      <c r="L318" s="41"/>
      <c r="M318" s="41"/>
      <c r="N318" s="42"/>
      <c r="O318" s="42"/>
    </row>
    <row r="319" spans="1:15" hidden="1" outlineLevel="1" x14ac:dyDescent="0.3">
      <c r="A319" s="51" t="s">
        <v>3985</v>
      </c>
      <c r="B319" s="51" t="s">
        <v>915</v>
      </c>
      <c r="C319" s="53" t="s">
        <v>811</v>
      </c>
      <c r="D319" s="384">
        <v>350000</v>
      </c>
      <c r="E319" s="384">
        <v>350000</v>
      </c>
      <c r="F319" s="384">
        <v>350000</v>
      </c>
      <c r="G319" s="384">
        <v>350000</v>
      </c>
      <c r="H319" s="384">
        <v>350000</v>
      </c>
      <c r="I319" s="228" t="s">
        <v>3990</v>
      </c>
      <c r="L319" s="41"/>
      <c r="M319" s="41"/>
      <c r="N319" s="42"/>
      <c r="O319" s="42"/>
    </row>
    <row r="320" spans="1:15" hidden="1" outlineLevel="1" x14ac:dyDescent="0.3">
      <c r="A320" s="51" t="s">
        <v>3985</v>
      </c>
      <c r="B320" s="51" t="s">
        <v>934</v>
      </c>
      <c r="C320" s="53" t="s">
        <v>814</v>
      </c>
      <c r="D320" s="384">
        <v>0</v>
      </c>
      <c r="E320" s="384">
        <v>0</v>
      </c>
      <c r="F320" s="384">
        <v>0</v>
      </c>
      <c r="G320" s="384">
        <v>0</v>
      </c>
      <c r="H320" s="384">
        <v>0</v>
      </c>
      <c r="I320" s="228"/>
      <c r="L320" s="41"/>
      <c r="M320" s="41"/>
      <c r="N320" s="42"/>
      <c r="O320" s="42"/>
    </row>
    <row r="321" spans="1:15" hidden="1" outlineLevel="1" x14ac:dyDescent="0.3">
      <c r="A321" s="51" t="s">
        <v>3985</v>
      </c>
      <c r="B321" s="51" t="s">
        <v>934</v>
      </c>
      <c r="C321" s="53" t="s">
        <v>815</v>
      </c>
      <c r="D321" s="384">
        <v>0</v>
      </c>
      <c r="E321" s="384">
        <v>0</v>
      </c>
      <c r="F321" s="384">
        <v>0</v>
      </c>
      <c r="G321" s="384">
        <v>0</v>
      </c>
      <c r="H321" s="384">
        <v>0</v>
      </c>
      <c r="I321" s="228"/>
      <c r="L321" s="41"/>
      <c r="M321" s="41"/>
      <c r="N321" s="42"/>
      <c r="O321" s="42"/>
    </row>
    <row r="322" spans="1:15" hidden="1" outlineLevel="1" x14ac:dyDescent="0.3">
      <c r="A322" s="51" t="s">
        <v>3985</v>
      </c>
      <c r="B322" s="51" t="s">
        <v>940</v>
      </c>
      <c r="C322" s="53" t="s">
        <v>817</v>
      </c>
      <c r="D322" s="384">
        <v>439050</v>
      </c>
      <c r="E322" s="384">
        <v>439050</v>
      </c>
      <c r="F322" s="384">
        <v>439050</v>
      </c>
      <c r="G322" s="384">
        <v>439050</v>
      </c>
      <c r="H322" s="384">
        <v>439050</v>
      </c>
      <c r="I322" s="228" t="s">
        <v>3991</v>
      </c>
      <c r="L322" s="41"/>
      <c r="M322" s="41"/>
      <c r="N322" s="42"/>
      <c r="O322" s="42"/>
    </row>
    <row r="323" spans="1:15" hidden="1" outlineLevel="1" x14ac:dyDescent="0.3">
      <c r="A323" s="51" t="s">
        <v>3985</v>
      </c>
      <c r="B323" s="51" t="s">
        <v>940</v>
      </c>
      <c r="C323" s="53" t="s">
        <v>944</v>
      </c>
      <c r="D323" s="384">
        <v>120000</v>
      </c>
      <c r="E323" s="384">
        <v>120000</v>
      </c>
      <c r="F323" s="384">
        <v>120000</v>
      </c>
      <c r="G323" s="384">
        <v>120000</v>
      </c>
      <c r="H323" s="384">
        <v>120000</v>
      </c>
      <c r="I323" s="228" t="s">
        <v>3992</v>
      </c>
      <c r="L323" s="41"/>
      <c r="M323" s="41"/>
      <c r="N323" s="42"/>
      <c r="O323" s="42"/>
    </row>
    <row r="324" spans="1:15" hidden="1" outlineLevel="1" x14ac:dyDescent="0.3">
      <c r="A324" s="51" t="s">
        <v>3985</v>
      </c>
      <c r="B324" s="51" t="s">
        <v>940</v>
      </c>
      <c r="C324" s="53" t="s">
        <v>821</v>
      </c>
      <c r="D324" s="384" t="s">
        <v>204</v>
      </c>
      <c r="E324" s="384" t="s">
        <v>204</v>
      </c>
      <c r="F324" s="384" t="s">
        <v>204</v>
      </c>
      <c r="G324" s="384" t="s">
        <v>204</v>
      </c>
      <c r="H324" s="384" t="s">
        <v>204</v>
      </c>
      <c r="I324" s="228"/>
      <c r="L324" s="41"/>
      <c r="M324" s="41"/>
      <c r="N324" s="42"/>
      <c r="O324" s="42"/>
    </row>
    <row r="325" spans="1:15" hidden="1" outlineLevel="1" x14ac:dyDescent="0.3">
      <c r="A325" s="51" t="s">
        <v>3985</v>
      </c>
      <c r="B325" s="51" t="s">
        <v>940</v>
      </c>
      <c r="C325" s="53" t="s">
        <v>823</v>
      </c>
      <c r="D325" s="384">
        <v>0</v>
      </c>
      <c r="E325" s="384">
        <v>0</v>
      </c>
      <c r="F325" s="384">
        <v>0</v>
      </c>
      <c r="G325" s="384">
        <v>0</v>
      </c>
      <c r="H325" s="384">
        <v>0</v>
      </c>
      <c r="I325" s="228"/>
      <c r="L325" s="41"/>
      <c r="M325" s="41"/>
      <c r="N325" s="42"/>
      <c r="O325" s="42"/>
    </row>
    <row r="326" spans="1:15" hidden="1" outlineLevel="1" x14ac:dyDescent="0.3">
      <c r="A326" s="51" t="s">
        <v>3985</v>
      </c>
      <c r="B326" s="51" t="s">
        <v>940</v>
      </c>
      <c r="C326" s="53" t="s">
        <v>825</v>
      </c>
      <c r="D326" s="384" t="s">
        <v>204</v>
      </c>
      <c r="E326" s="384" t="s">
        <v>204</v>
      </c>
      <c r="F326" s="384" t="s">
        <v>204</v>
      </c>
      <c r="G326" s="384" t="s">
        <v>204</v>
      </c>
      <c r="H326" s="384" t="s">
        <v>204</v>
      </c>
      <c r="I326" s="228"/>
      <c r="L326" s="41"/>
      <c r="M326" s="41"/>
      <c r="N326" s="42"/>
      <c r="O326" s="42"/>
    </row>
    <row r="327" spans="1:15" hidden="1" outlineLevel="1" x14ac:dyDescent="0.3">
      <c r="A327" s="51" t="s">
        <v>3985</v>
      </c>
      <c r="B327" s="51" t="s">
        <v>940</v>
      </c>
      <c r="C327" s="53" t="s">
        <v>827</v>
      </c>
      <c r="D327" s="384">
        <v>1862000</v>
      </c>
      <c r="E327" s="384">
        <v>1862000</v>
      </c>
      <c r="F327" s="384">
        <v>1862000</v>
      </c>
      <c r="G327" s="384">
        <v>1862000</v>
      </c>
      <c r="H327" s="384">
        <v>1862000</v>
      </c>
      <c r="I327" s="228" t="s">
        <v>3993</v>
      </c>
      <c r="L327" s="41"/>
      <c r="M327" s="41"/>
      <c r="N327" s="42"/>
      <c r="O327" s="42"/>
    </row>
    <row r="328" spans="1:15" hidden="1" outlineLevel="1" x14ac:dyDescent="0.3">
      <c r="A328" s="51" t="s">
        <v>3985</v>
      </c>
      <c r="B328" s="51" t="s">
        <v>940</v>
      </c>
      <c r="C328" s="53" t="s">
        <v>829</v>
      </c>
      <c r="D328" s="384">
        <v>191915</v>
      </c>
      <c r="E328" s="384">
        <v>191915</v>
      </c>
      <c r="F328" s="384">
        <v>191915</v>
      </c>
      <c r="G328" s="384">
        <v>191915</v>
      </c>
      <c r="H328" s="384">
        <v>191915</v>
      </c>
      <c r="I328" s="228" t="s">
        <v>3994</v>
      </c>
      <c r="L328" s="41"/>
      <c r="M328" s="41"/>
      <c r="N328" s="42"/>
      <c r="O328" s="42"/>
    </row>
    <row r="329" spans="1:15" hidden="1" outlineLevel="1" x14ac:dyDescent="0.3">
      <c r="A329" s="51" t="s">
        <v>3985</v>
      </c>
      <c r="B329" s="51" t="s">
        <v>940</v>
      </c>
      <c r="C329" s="53" t="s">
        <v>833</v>
      </c>
      <c r="D329" s="384">
        <v>0</v>
      </c>
      <c r="E329" s="384">
        <v>0</v>
      </c>
      <c r="F329" s="384">
        <v>0</v>
      </c>
      <c r="G329" s="384">
        <v>0</v>
      </c>
      <c r="H329" s="384">
        <v>0</v>
      </c>
      <c r="I329" s="228"/>
      <c r="L329" s="41"/>
      <c r="M329" s="41"/>
      <c r="N329" s="42"/>
      <c r="O329" s="42"/>
    </row>
    <row r="330" spans="1:15" hidden="1" outlineLevel="1" x14ac:dyDescent="0.3">
      <c r="A330" s="51" t="s">
        <v>3985</v>
      </c>
      <c r="B330" s="51" t="s">
        <v>940</v>
      </c>
      <c r="C330" s="53" t="s">
        <v>836</v>
      </c>
      <c r="D330" s="384">
        <v>9999999</v>
      </c>
      <c r="E330" s="384">
        <v>9999999</v>
      </c>
      <c r="F330" s="384">
        <v>9999999</v>
      </c>
      <c r="G330" s="384">
        <v>9999999</v>
      </c>
      <c r="H330" s="384">
        <v>9999999</v>
      </c>
      <c r="I330" s="228" t="s">
        <v>3995</v>
      </c>
      <c r="L330" s="41"/>
      <c r="M330" s="41"/>
      <c r="N330" s="42"/>
      <c r="O330" s="42"/>
    </row>
    <row r="331" spans="1:15" hidden="1" outlineLevel="1" x14ac:dyDescent="0.3">
      <c r="A331" s="51" t="s">
        <v>3985</v>
      </c>
      <c r="B331" s="51" t="s">
        <v>940</v>
      </c>
      <c r="C331" s="53" t="s">
        <v>837</v>
      </c>
      <c r="D331" s="384">
        <v>50000</v>
      </c>
      <c r="E331" s="384">
        <v>50000</v>
      </c>
      <c r="F331" s="384">
        <v>50000</v>
      </c>
      <c r="G331" s="384">
        <v>50000</v>
      </c>
      <c r="H331" s="384">
        <v>50000</v>
      </c>
      <c r="I331" s="228" t="s">
        <v>3996</v>
      </c>
      <c r="L331" s="41"/>
      <c r="M331" s="41"/>
      <c r="N331" s="42"/>
      <c r="O331" s="42"/>
    </row>
    <row r="332" spans="1:15" hidden="1" outlineLevel="1" x14ac:dyDescent="0.3">
      <c r="A332" s="51" t="s">
        <v>3985</v>
      </c>
      <c r="B332" s="51" t="s">
        <v>940</v>
      </c>
      <c r="C332" s="53" t="s">
        <v>839</v>
      </c>
      <c r="D332" s="384">
        <v>10000</v>
      </c>
      <c r="E332" s="384">
        <v>10000</v>
      </c>
      <c r="F332" s="384">
        <v>10000</v>
      </c>
      <c r="G332" s="384">
        <v>10000</v>
      </c>
      <c r="H332" s="384">
        <v>10000</v>
      </c>
      <c r="I332" s="228" t="s">
        <v>3997</v>
      </c>
      <c r="L332" s="41"/>
      <c r="M332" s="41"/>
      <c r="N332" s="42"/>
      <c r="O332" s="42"/>
    </row>
    <row r="333" spans="1:15" hidden="1" outlineLevel="1" x14ac:dyDescent="0.3">
      <c r="A333" s="51" t="s">
        <v>3985</v>
      </c>
      <c r="B333" s="51" t="s">
        <v>940</v>
      </c>
      <c r="C333" s="53" t="s">
        <v>840</v>
      </c>
      <c r="D333" s="384">
        <v>0</v>
      </c>
      <c r="E333" s="384">
        <v>0</v>
      </c>
      <c r="F333" s="384">
        <v>0</v>
      </c>
      <c r="G333" s="384">
        <v>0</v>
      </c>
      <c r="H333" s="384">
        <v>0</v>
      </c>
      <c r="I333" s="228"/>
      <c r="L333" s="41"/>
      <c r="M333" s="41"/>
      <c r="N333" s="42"/>
      <c r="O333" s="42"/>
    </row>
    <row r="334" spans="1:15" collapsed="1" x14ac:dyDescent="0.3">
      <c r="A334" s="51"/>
      <c r="B334" s="51"/>
      <c r="C334" s="51"/>
      <c r="D334" s="384"/>
      <c r="E334" s="384"/>
      <c r="F334" s="384"/>
      <c r="G334" s="384"/>
      <c r="H334" s="384"/>
      <c r="I334" s="228"/>
      <c r="L334" s="41"/>
      <c r="M334" s="41"/>
      <c r="N334" s="42"/>
      <c r="O334" s="42"/>
    </row>
    <row r="335" spans="1:15" x14ac:dyDescent="0.3">
      <c r="A335" s="53" t="s">
        <v>3998</v>
      </c>
      <c r="B335" s="203"/>
      <c r="C335" s="52" t="s">
        <v>3973</v>
      </c>
      <c r="D335" s="540">
        <v>1813447.8</v>
      </c>
      <c r="E335" s="540">
        <v>1813447.8</v>
      </c>
      <c r="F335" s="540">
        <v>1813447.8</v>
      </c>
      <c r="G335" s="540">
        <v>1813447.8</v>
      </c>
      <c r="H335" s="540">
        <v>1813447.8</v>
      </c>
      <c r="I335" s="228"/>
      <c r="L335" s="41"/>
      <c r="M335" s="41"/>
      <c r="N335" s="42"/>
      <c r="O335" s="42"/>
    </row>
    <row r="336" spans="1:15" x14ac:dyDescent="0.3">
      <c r="A336" s="127" t="s">
        <v>5</v>
      </c>
      <c r="B336" s="127" t="s">
        <v>847</v>
      </c>
      <c r="C336" s="127" t="s">
        <v>193</v>
      </c>
      <c r="D336" s="541">
        <v>2025</v>
      </c>
      <c r="E336" s="541">
        <v>2030</v>
      </c>
      <c r="F336" s="541">
        <v>2035</v>
      </c>
      <c r="G336" s="541">
        <v>2040</v>
      </c>
      <c r="H336" s="541">
        <v>2045</v>
      </c>
      <c r="I336" s="322" t="s">
        <v>153</v>
      </c>
      <c r="L336" s="41"/>
      <c r="M336" s="41"/>
      <c r="N336" s="42"/>
      <c r="O336" s="42"/>
    </row>
    <row r="337" spans="1:15" hidden="1" outlineLevel="1" x14ac:dyDescent="0.3">
      <c r="A337" s="51" t="s">
        <v>3998</v>
      </c>
      <c r="B337" s="51" t="s">
        <v>855</v>
      </c>
      <c r="C337" s="53" t="s">
        <v>747</v>
      </c>
      <c r="D337" s="384" t="s">
        <v>204</v>
      </c>
      <c r="E337" s="384" t="s">
        <v>204</v>
      </c>
      <c r="F337" s="384" t="s">
        <v>204</v>
      </c>
      <c r="G337" s="384" t="s">
        <v>204</v>
      </c>
      <c r="H337" s="384" t="s">
        <v>204</v>
      </c>
      <c r="I337" s="228"/>
      <c r="L337" s="41"/>
      <c r="M337" s="41"/>
      <c r="N337" s="42"/>
      <c r="O337" s="42"/>
    </row>
    <row r="338" spans="1:15" hidden="1" outlineLevel="1" x14ac:dyDescent="0.3">
      <c r="A338" s="51" t="s">
        <v>3998</v>
      </c>
      <c r="B338" s="51" t="s">
        <v>855</v>
      </c>
      <c r="C338" s="53" t="s">
        <v>751</v>
      </c>
      <c r="D338" s="385">
        <v>0</v>
      </c>
      <c r="E338" s="385">
        <v>0</v>
      </c>
      <c r="F338" s="385">
        <v>0</v>
      </c>
      <c r="G338" s="385">
        <v>0</v>
      </c>
      <c r="H338" s="385">
        <v>0</v>
      </c>
      <c r="I338" s="228"/>
      <c r="L338" s="41"/>
      <c r="M338" s="41"/>
      <c r="N338" s="42"/>
      <c r="O338" s="42"/>
    </row>
    <row r="339" spans="1:15" hidden="1" outlineLevel="1" x14ac:dyDescent="0.3">
      <c r="A339" s="51" t="s">
        <v>3998</v>
      </c>
      <c r="B339" s="51" t="s">
        <v>855</v>
      </c>
      <c r="C339" s="53" t="s">
        <v>755</v>
      </c>
      <c r="D339" s="385">
        <v>0</v>
      </c>
      <c r="E339" s="385">
        <v>0</v>
      </c>
      <c r="F339" s="385">
        <v>0</v>
      </c>
      <c r="G339" s="385">
        <v>0</v>
      </c>
      <c r="H339" s="385">
        <v>0</v>
      </c>
      <c r="I339" s="228"/>
      <c r="L339" s="41"/>
      <c r="M339" s="41"/>
      <c r="N339" s="42"/>
      <c r="O339" s="42"/>
    </row>
    <row r="340" spans="1:15" hidden="1" outlineLevel="1" x14ac:dyDescent="0.3">
      <c r="A340" s="51" t="s">
        <v>3998</v>
      </c>
      <c r="B340" s="51" t="s">
        <v>855</v>
      </c>
      <c r="C340" s="53" t="s">
        <v>758</v>
      </c>
      <c r="D340" s="385">
        <v>0</v>
      </c>
      <c r="E340" s="385">
        <v>0</v>
      </c>
      <c r="F340" s="385">
        <v>0</v>
      </c>
      <c r="G340" s="385">
        <v>0</v>
      </c>
      <c r="H340" s="385">
        <v>0</v>
      </c>
      <c r="I340" s="228"/>
      <c r="L340" s="41"/>
      <c r="M340" s="41"/>
      <c r="N340" s="42"/>
      <c r="O340" s="42"/>
    </row>
    <row r="341" spans="1:15" hidden="1" outlineLevel="1" x14ac:dyDescent="0.3">
      <c r="A341" s="51" t="s">
        <v>3998</v>
      </c>
      <c r="B341" s="51" t="s">
        <v>855</v>
      </c>
      <c r="C341" s="53" t="s">
        <v>761</v>
      </c>
      <c r="D341" s="385">
        <v>0</v>
      </c>
      <c r="E341" s="385">
        <v>0</v>
      </c>
      <c r="F341" s="385">
        <v>0</v>
      </c>
      <c r="G341" s="385">
        <v>0</v>
      </c>
      <c r="H341" s="385">
        <v>0</v>
      </c>
      <c r="I341" s="228"/>
      <c r="L341" s="41"/>
      <c r="M341" s="41"/>
      <c r="N341" s="42"/>
      <c r="O341" s="42"/>
    </row>
    <row r="342" spans="1:15" hidden="1" outlineLevel="1" x14ac:dyDescent="0.3">
      <c r="A342" s="51" t="s">
        <v>3998</v>
      </c>
      <c r="B342" s="51" t="s">
        <v>855</v>
      </c>
      <c r="C342" s="53" t="s">
        <v>763</v>
      </c>
      <c r="D342" s="385">
        <v>0</v>
      </c>
      <c r="E342" s="385">
        <v>0</v>
      </c>
      <c r="F342" s="385">
        <v>0</v>
      </c>
      <c r="G342" s="385">
        <v>0</v>
      </c>
      <c r="H342" s="385">
        <v>0</v>
      </c>
      <c r="I342" s="228"/>
      <c r="L342" s="41"/>
      <c r="M342" s="41"/>
      <c r="N342" s="42"/>
      <c r="O342" s="42"/>
    </row>
    <row r="343" spans="1:15" hidden="1" outlineLevel="1" x14ac:dyDescent="0.3">
      <c r="A343" s="51" t="s">
        <v>3998</v>
      </c>
      <c r="B343" s="51" t="s">
        <v>855</v>
      </c>
      <c r="C343" s="53" t="s">
        <v>765</v>
      </c>
      <c r="D343" s="384">
        <v>0</v>
      </c>
      <c r="E343" s="384">
        <v>0</v>
      </c>
      <c r="F343" s="384">
        <v>0</v>
      </c>
      <c r="G343" s="384">
        <v>0</v>
      </c>
      <c r="H343" s="384">
        <v>0</v>
      </c>
      <c r="I343" s="228"/>
      <c r="L343" s="41"/>
      <c r="M343" s="41"/>
      <c r="N343" s="42"/>
      <c r="O343" s="42"/>
    </row>
    <row r="344" spans="1:15" hidden="1" outlineLevel="1" x14ac:dyDescent="0.3">
      <c r="A344" s="51" t="s">
        <v>3998</v>
      </c>
      <c r="B344" s="51" t="s">
        <v>855</v>
      </c>
      <c r="C344" s="53" t="s">
        <v>768</v>
      </c>
      <c r="D344" s="384">
        <v>0</v>
      </c>
      <c r="E344" s="384">
        <v>0</v>
      </c>
      <c r="F344" s="384">
        <v>0</v>
      </c>
      <c r="G344" s="384">
        <v>0</v>
      </c>
      <c r="H344" s="384">
        <v>0</v>
      </c>
      <c r="I344" s="228"/>
      <c r="L344" s="41"/>
      <c r="M344" s="41"/>
      <c r="N344" s="42"/>
      <c r="O344" s="42"/>
    </row>
    <row r="345" spans="1:15" hidden="1" outlineLevel="1" x14ac:dyDescent="0.3">
      <c r="A345" s="51" t="s">
        <v>3998</v>
      </c>
      <c r="B345" s="51" t="s">
        <v>855</v>
      </c>
      <c r="C345" s="53" t="s">
        <v>771</v>
      </c>
      <c r="D345" s="385">
        <v>0</v>
      </c>
      <c r="E345" s="385">
        <v>0</v>
      </c>
      <c r="F345" s="385">
        <v>0</v>
      </c>
      <c r="G345" s="385">
        <v>0</v>
      </c>
      <c r="H345" s="385">
        <v>0</v>
      </c>
      <c r="I345" s="228"/>
      <c r="L345" s="41"/>
      <c r="M345" s="41"/>
      <c r="N345" s="42"/>
      <c r="O345" s="42"/>
    </row>
    <row r="346" spans="1:15" hidden="1" outlineLevel="1" x14ac:dyDescent="0.3">
      <c r="A346" s="51" t="s">
        <v>3998</v>
      </c>
      <c r="B346" s="51" t="s">
        <v>855</v>
      </c>
      <c r="C346" s="53" t="s">
        <v>772</v>
      </c>
      <c r="D346" s="385">
        <v>0</v>
      </c>
      <c r="E346" s="385">
        <v>0</v>
      </c>
      <c r="F346" s="385">
        <v>0</v>
      </c>
      <c r="G346" s="385">
        <v>0</v>
      </c>
      <c r="H346" s="385">
        <v>0</v>
      </c>
      <c r="I346" s="228"/>
      <c r="L346" s="41"/>
      <c r="M346" s="41"/>
      <c r="N346" s="42"/>
      <c r="O346" s="42"/>
    </row>
    <row r="347" spans="1:15" hidden="1" outlineLevel="1" x14ac:dyDescent="0.3">
      <c r="A347" s="51" t="s">
        <v>3998</v>
      </c>
      <c r="B347" s="51" t="s">
        <v>855</v>
      </c>
      <c r="C347" s="53" t="s">
        <v>774</v>
      </c>
      <c r="D347" s="384">
        <v>0</v>
      </c>
      <c r="E347" s="384">
        <v>0</v>
      </c>
      <c r="F347" s="384">
        <v>0</v>
      </c>
      <c r="G347" s="384">
        <v>0</v>
      </c>
      <c r="H347" s="384">
        <v>0</v>
      </c>
      <c r="I347" s="228"/>
      <c r="L347" s="41"/>
      <c r="M347" s="41"/>
      <c r="N347" s="42"/>
      <c r="O347" s="42"/>
    </row>
    <row r="348" spans="1:15" hidden="1" outlineLevel="1" x14ac:dyDescent="0.3">
      <c r="A348" s="51" t="s">
        <v>3998</v>
      </c>
      <c r="B348" s="51" t="s">
        <v>855</v>
      </c>
      <c r="C348" s="53" t="s">
        <v>775</v>
      </c>
      <c r="D348" s="384">
        <v>0</v>
      </c>
      <c r="E348" s="384">
        <v>0</v>
      </c>
      <c r="F348" s="384">
        <v>0</v>
      </c>
      <c r="G348" s="384">
        <v>0</v>
      </c>
      <c r="H348" s="384">
        <v>0</v>
      </c>
      <c r="I348" s="228"/>
      <c r="L348" s="41"/>
      <c r="M348" s="41"/>
      <c r="N348" s="42"/>
      <c r="O348" s="42"/>
    </row>
    <row r="349" spans="1:15" hidden="1" outlineLevel="1" x14ac:dyDescent="0.3">
      <c r="A349" s="51" t="s">
        <v>3998</v>
      </c>
      <c r="B349" s="51" t="s">
        <v>855</v>
      </c>
      <c r="C349" s="53" t="s">
        <v>779</v>
      </c>
      <c r="D349" s="384">
        <v>0</v>
      </c>
      <c r="E349" s="384">
        <v>0</v>
      </c>
      <c r="F349" s="384">
        <v>0</v>
      </c>
      <c r="G349" s="384">
        <v>0</v>
      </c>
      <c r="H349" s="384">
        <v>0</v>
      </c>
      <c r="I349" s="228"/>
      <c r="L349" s="41"/>
      <c r="M349" s="41"/>
      <c r="N349" s="42"/>
      <c r="O349" s="42"/>
    </row>
    <row r="350" spans="1:15" hidden="1" outlineLevel="1" x14ac:dyDescent="0.3">
      <c r="A350" s="51" t="s">
        <v>3998</v>
      </c>
      <c r="B350" s="51" t="s">
        <v>894</v>
      </c>
      <c r="C350" s="53" t="s">
        <v>781</v>
      </c>
      <c r="D350" s="384">
        <v>0</v>
      </c>
      <c r="E350" s="384">
        <v>0</v>
      </c>
      <c r="F350" s="384">
        <v>0</v>
      </c>
      <c r="G350" s="384">
        <v>0</v>
      </c>
      <c r="H350" s="384">
        <v>0</v>
      </c>
      <c r="I350" s="228"/>
      <c r="L350" s="41"/>
      <c r="M350" s="41"/>
      <c r="N350" s="42"/>
      <c r="O350" s="42"/>
    </row>
    <row r="351" spans="1:15" hidden="1" outlineLevel="1" x14ac:dyDescent="0.3">
      <c r="A351" s="51" t="s">
        <v>3998</v>
      </c>
      <c r="B351" s="51" t="s">
        <v>894</v>
      </c>
      <c r="C351" s="53" t="s">
        <v>783</v>
      </c>
      <c r="D351" s="385">
        <v>0</v>
      </c>
      <c r="E351" s="385">
        <v>0</v>
      </c>
      <c r="F351" s="385">
        <v>0</v>
      </c>
      <c r="G351" s="385">
        <v>0</v>
      </c>
      <c r="H351" s="385">
        <v>0</v>
      </c>
      <c r="I351" s="228"/>
      <c r="L351" s="41"/>
      <c r="M351" s="41"/>
      <c r="N351" s="42"/>
      <c r="O351" s="42"/>
    </row>
    <row r="352" spans="1:15" hidden="1" outlineLevel="1" x14ac:dyDescent="0.3">
      <c r="A352" s="51" t="s">
        <v>3998</v>
      </c>
      <c r="B352" s="51" t="s">
        <v>894</v>
      </c>
      <c r="C352" s="53" t="s">
        <v>785</v>
      </c>
      <c r="D352" s="385">
        <v>0</v>
      </c>
      <c r="E352" s="385">
        <v>0</v>
      </c>
      <c r="F352" s="385">
        <v>0</v>
      </c>
      <c r="G352" s="385">
        <v>0</v>
      </c>
      <c r="H352" s="385">
        <v>0</v>
      </c>
      <c r="I352" s="228"/>
      <c r="L352" s="41"/>
      <c r="M352" s="41"/>
      <c r="N352" s="42"/>
      <c r="O352" s="42"/>
    </row>
    <row r="353" spans="1:15" hidden="1" outlineLevel="1" x14ac:dyDescent="0.3">
      <c r="A353" s="51" t="s">
        <v>3998</v>
      </c>
      <c r="B353" s="51" t="s">
        <v>894</v>
      </c>
      <c r="C353" s="53" t="s">
        <v>787</v>
      </c>
      <c r="D353" s="384">
        <v>0</v>
      </c>
      <c r="E353" s="384">
        <v>0</v>
      </c>
      <c r="F353" s="384">
        <v>0</v>
      </c>
      <c r="G353" s="384">
        <v>0</v>
      </c>
      <c r="H353" s="384">
        <v>0</v>
      </c>
      <c r="I353" s="228"/>
      <c r="L353" s="41"/>
      <c r="M353" s="41"/>
      <c r="N353" s="42"/>
      <c r="O353" s="42"/>
    </row>
    <row r="354" spans="1:15" hidden="1" outlineLevel="1" x14ac:dyDescent="0.3">
      <c r="A354" s="51" t="s">
        <v>3998</v>
      </c>
      <c r="B354" s="51" t="s">
        <v>894</v>
      </c>
      <c r="C354" s="53" t="s">
        <v>788</v>
      </c>
      <c r="D354" s="384">
        <v>0</v>
      </c>
      <c r="E354" s="384">
        <v>0</v>
      </c>
      <c r="F354" s="384">
        <v>0</v>
      </c>
      <c r="G354" s="384">
        <v>0</v>
      </c>
      <c r="H354" s="384">
        <v>0</v>
      </c>
      <c r="I354" s="228"/>
      <c r="L354" s="41"/>
      <c r="M354" s="41"/>
      <c r="N354" s="42"/>
      <c r="O354" s="42"/>
    </row>
    <row r="355" spans="1:15" hidden="1" outlineLevel="1" x14ac:dyDescent="0.3">
      <c r="A355" s="51" t="s">
        <v>3998</v>
      </c>
      <c r="B355" s="51" t="s">
        <v>894</v>
      </c>
      <c r="C355" s="53" t="s">
        <v>789</v>
      </c>
      <c r="D355" s="384">
        <v>0</v>
      </c>
      <c r="E355" s="384">
        <v>0</v>
      </c>
      <c r="F355" s="384">
        <v>0</v>
      </c>
      <c r="G355" s="384">
        <v>0</v>
      </c>
      <c r="H355" s="384">
        <v>0</v>
      </c>
      <c r="I355" s="228"/>
      <c r="L355" s="41"/>
      <c r="M355" s="41"/>
      <c r="N355" s="42"/>
      <c r="O355" s="42"/>
    </row>
    <row r="356" spans="1:15" hidden="1" outlineLevel="1" x14ac:dyDescent="0.3">
      <c r="A356" s="51" t="s">
        <v>3998</v>
      </c>
      <c r="B356" s="51" t="s">
        <v>894</v>
      </c>
      <c r="C356" s="53" t="s">
        <v>790</v>
      </c>
      <c r="D356" s="384">
        <v>6887</v>
      </c>
      <c r="E356" s="384">
        <v>6887</v>
      </c>
      <c r="F356" s="384">
        <v>6887</v>
      </c>
      <c r="G356" s="384">
        <v>6887</v>
      </c>
      <c r="H356" s="384">
        <v>6887</v>
      </c>
      <c r="I356" s="228" t="s">
        <v>3999</v>
      </c>
      <c r="L356" s="41"/>
      <c r="M356" s="41"/>
      <c r="N356" s="42"/>
      <c r="O356" s="42"/>
    </row>
    <row r="357" spans="1:15" hidden="1" outlineLevel="1" x14ac:dyDescent="0.3">
      <c r="A357" s="51" t="s">
        <v>3998</v>
      </c>
      <c r="B357" s="51" t="s">
        <v>894</v>
      </c>
      <c r="C357" s="53" t="s">
        <v>793</v>
      </c>
      <c r="D357" s="384">
        <v>250182</v>
      </c>
      <c r="E357" s="384">
        <v>250182</v>
      </c>
      <c r="F357" s="384">
        <v>250182</v>
      </c>
      <c r="G357" s="384">
        <v>250182</v>
      </c>
      <c r="H357" s="384">
        <v>250182</v>
      </c>
      <c r="I357" s="228" t="s">
        <v>4000</v>
      </c>
      <c r="L357" s="41"/>
      <c r="M357" s="41"/>
      <c r="N357" s="42"/>
      <c r="O357" s="42"/>
    </row>
    <row r="358" spans="1:15" hidden="1" outlineLevel="1" x14ac:dyDescent="0.3">
      <c r="A358" s="51" t="s">
        <v>3998</v>
      </c>
      <c r="B358" s="51" t="s">
        <v>894</v>
      </c>
      <c r="C358" s="53" t="s">
        <v>795</v>
      </c>
      <c r="D358" s="384" t="s">
        <v>204</v>
      </c>
      <c r="E358" s="384" t="s">
        <v>204</v>
      </c>
      <c r="F358" s="384" t="s">
        <v>204</v>
      </c>
      <c r="G358" s="384" t="s">
        <v>204</v>
      </c>
      <c r="H358" s="384" t="s">
        <v>204</v>
      </c>
      <c r="I358" s="228"/>
      <c r="L358" s="41"/>
      <c r="M358" s="41"/>
      <c r="N358" s="42"/>
      <c r="O358" s="42"/>
    </row>
    <row r="359" spans="1:15" hidden="1" outlineLevel="1" x14ac:dyDescent="0.3">
      <c r="A359" s="51" t="s">
        <v>3998</v>
      </c>
      <c r="B359" s="51" t="s">
        <v>894</v>
      </c>
      <c r="C359" s="53" t="s">
        <v>797</v>
      </c>
      <c r="D359" s="384">
        <v>0</v>
      </c>
      <c r="E359" s="384">
        <v>0</v>
      </c>
      <c r="F359" s="384">
        <v>0</v>
      </c>
      <c r="G359" s="384">
        <v>0</v>
      </c>
      <c r="H359" s="384">
        <v>0</v>
      </c>
      <c r="I359" s="228" t="s">
        <v>3988</v>
      </c>
      <c r="L359" s="41"/>
      <c r="M359" s="41"/>
      <c r="N359" s="42"/>
      <c r="O359" s="42"/>
    </row>
    <row r="360" spans="1:15" hidden="1" outlineLevel="1" x14ac:dyDescent="0.3">
      <c r="A360" s="51" t="s">
        <v>3998</v>
      </c>
      <c r="B360" s="51" t="s">
        <v>915</v>
      </c>
      <c r="C360" s="53" t="s">
        <v>799</v>
      </c>
      <c r="D360" s="384">
        <v>116130</v>
      </c>
      <c r="E360" s="384">
        <v>116130</v>
      </c>
      <c r="F360" s="384">
        <v>116130</v>
      </c>
      <c r="G360" s="384">
        <v>116130</v>
      </c>
      <c r="H360" s="384">
        <v>116130</v>
      </c>
      <c r="I360" s="228" t="s">
        <v>2775</v>
      </c>
      <c r="L360" s="41"/>
      <c r="M360" s="41"/>
      <c r="N360" s="42"/>
      <c r="O360" s="42"/>
    </row>
    <row r="361" spans="1:15" hidden="1" outlineLevel="1" x14ac:dyDescent="0.3">
      <c r="A361" s="51" t="s">
        <v>3998</v>
      </c>
      <c r="B361" s="51" t="s">
        <v>915</v>
      </c>
      <c r="C361" s="53" t="s">
        <v>801</v>
      </c>
      <c r="D361" s="384">
        <v>135000</v>
      </c>
      <c r="E361" s="384">
        <v>135000</v>
      </c>
      <c r="F361" s="384">
        <v>135000</v>
      </c>
      <c r="G361" s="384">
        <v>135000</v>
      </c>
      <c r="H361" s="384">
        <v>135000</v>
      </c>
      <c r="I361" s="228" t="s">
        <v>4001</v>
      </c>
      <c r="L361" s="41"/>
      <c r="M361" s="41"/>
      <c r="N361" s="42"/>
      <c r="O361" s="42"/>
    </row>
    <row r="362" spans="1:15" hidden="1" outlineLevel="1" x14ac:dyDescent="0.3">
      <c r="A362" s="51" t="s">
        <v>3998</v>
      </c>
      <c r="B362" s="51" t="s">
        <v>915</v>
      </c>
      <c r="C362" s="53" t="s">
        <v>804</v>
      </c>
      <c r="D362" s="384">
        <v>0</v>
      </c>
      <c r="E362" s="384">
        <v>0</v>
      </c>
      <c r="F362" s="384">
        <v>0</v>
      </c>
      <c r="G362" s="384">
        <v>0</v>
      </c>
      <c r="H362" s="384">
        <v>0</v>
      </c>
      <c r="I362" s="228"/>
      <c r="L362" s="41"/>
      <c r="M362" s="41"/>
      <c r="N362" s="42"/>
      <c r="O362" s="42"/>
    </row>
    <row r="363" spans="1:15" hidden="1" outlineLevel="1" x14ac:dyDescent="0.3">
      <c r="A363" s="51" t="s">
        <v>3998</v>
      </c>
      <c r="B363" s="51" t="s">
        <v>915</v>
      </c>
      <c r="C363" s="53" t="s">
        <v>806</v>
      </c>
      <c r="D363" s="384">
        <v>0</v>
      </c>
      <c r="E363" s="384">
        <v>0</v>
      </c>
      <c r="F363" s="384">
        <v>0</v>
      </c>
      <c r="G363" s="384">
        <v>0</v>
      </c>
      <c r="H363" s="384">
        <v>0</v>
      </c>
      <c r="I363" s="228"/>
      <c r="L363" s="41"/>
      <c r="M363" s="41"/>
      <c r="N363" s="42"/>
      <c r="O363" s="42"/>
    </row>
    <row r="364" spans="1:15" hidden="1" outlineLevel="1" x14ac:dyDescent="0.3">
      <c r="A364" s="51" t="s">
        <v>3998</v>
      </c>
      <c r="B364" s="51" t="s">
        <v>915</v>
      </c>
      <c r="C364" s="53" t="s">
        <v>808</v>
      </c>
      <c r="D364" s="384">
        <v>0</v>
      </c>
      <c r="E364" s="384">
        <v>0</v>
      </c>
      <c r="F364" s="384">
        <v>0</v>
      </c>
      <c r="G364" s="384">
        <v>0</v>
      </c>
      <c r="H364" s="384">
        <v>0</v>
      </c>
      <c r="I364" s="228" t="s">
        <v>4002</v>
      </c>
      <c r="L364" s="41"/>
      <c r="M364" s="41"/>
      <c r="N364" s="42"/>
      <c r="O364" s="42"/>
    </row>
    <row r="365" spans="1:15" hidden="1" outlineLevel="1" x14ac:dyDescent="0.3">
      <c r="A365" s="51" t="s">
        <v>3998</v>
      </c>
      <c r="B365" s="51" t="s">
        <v>915</v>
      </c>
      <c r="C365" s="53" t="s">
        <v>811</v>
      </c>
      <c r="D365" s="384">
        <v>200000</v>
      </c>
      <c r="E365" s="384">
        <v>200000</v>
      </c>
      <c r="F365" s="384">
        <v>200000</v>
      </c>
      <c r="G365" s="384">
        <v>200000</v>
      </c>
      <c r="H365" s="384">
        <v>200000</v>
      </c>
      <c r="I365" s="228" t="s">
        <v>1054</v>
      </c>
      <c r="L365" s="41"/>
      <c r="M365" s="41"/>
      <c r="N365" s="42"/>
      <c r="O365" s="42"/>
    </row>
    <row r="366" spans="1:15" hidden="1" outlineLevel="1" x14ac:dyDescent="0.3">
      <c r="A366" s="51" t="s">
        <v>3998</v>
      </c>
      <c r="B366" s="51" t="s">
        <v>934</v>
      </c>
      <c r="C366" s="53" t="s">
        <v>814</v>
      </c>
      <c r="D366" s="384">
        <v>0</v>
      </c>
      <c r="E366" s="384">
        <v>0</v>
      </c>
      <c r="F366" s="384">
        <v>0</v>
      </c>
      <c r="G366" s="384">
        <v>0</v>
      </c>
      <c r="H366" s="384">
        <v>0</v>
      </c>
      <c r="I366" s="228"/>
      <c r="L366" s="41"/>
      <c r="M366" s="41"/>
      <c r="N366" s="42"/>
      <c r="O366" s="42"/>
    </row>
    <row r="367" spans="1:15" hidden="1" outlineLevel="1" x14ac:dyDescent="0.3">
      <c r="A367" s="51" t="s">
        <v>3998</v>
      </c>
      <c r="B367" s="51" t="s">
        <v>934</v>
      </c>
      <c r="C367" s="53" t="s">
        <v>815</v>
      </c>
      <c r="D367" s="384">
        <v>0</v>
      </c>
      <c r="E367" s="384">
        <v>0</v>
      </c>
      <c r="F367" s="384">
        <v>0</v>
      </c>
      <c r="G367" s="384">
        <v>0</v>
      </c>
      <c r="H367" s="384">
        <v>0</v>
      </c>
      <c r="I367" s="228"/>
      <c r="L367" s="41"/>
      <c r="M367" s="41"/>
      <c r="N367" s="42"/>
      <c r="O367" s="42"/>
    </row>
    <row r="368" spans="1:15" hidden="1" outlineLevel="1" x14ac:dyDescent="0.3">
      <c r="A368" s="51" t="s">
        <v>3998</v>
      </c>
      <c r="B368" s="51" t="s">
        <v>940</v>
      </c>
      <c r="C368" s="53" t="s">
        <v>817</v>
      </c>
      <c r="D368" s="384">
        <v>90000</v>
      </c>
      <c r="E368" s="384">
        <v>90000</v>
      </c>
      <c r="F368" s="384">
        <v>90000</v>
      </c>
      <c r="G368" s="384">
        <v>90000</v>
      </c>
      <c r="H368" s="384">
        <v>90000</v>
      </c>
      <c r="I368" s="228" t="s">
        <v>4003</v>
      </c>
      <c r="L368" s="41"/>
      <c r="M368" s="41"/>
      <c r="N368" s="42"/>
      <c r="O368" s="42"/>
    </row>
    <row r="369" spans="1:15" hidden="1" outlineLevel="1" x14ac:dyDescent="0.3">
      <c r="A369" s="51" t="s">
        <v>3998</v>
      </c>
      <c r="B369" s="51" t="s">
        <v>940</v>
      </c>
      <c r="C369" s="53" t="s">
        <v>944</v>
      </c>
      <c r="D369" s="384">
        <v>139070</v>
      </c>
      <c r="E369" s="384">
        <v>139070</v>
      </c>
      <c r="F369" s="384">
        <v>139070</v>
      </c>
      <c r="G369" s="384">
        <v>139070</v>
      </c>
      <c r="H369" s="384">
        <v>139070</v>
      </c>
      <c r="I369" s="228"/>
      <c r="L369" s="41"/>
      <c r="M369" s="41"/>
      <c r="N369" s="42"/>
      <c r="O369" s="42"/>
    </row>
    <row r="370" spans="1:15" hidden="1" outlineLevel="1" x14ac:dyDescent="0.3">
      <c r="A370" s="51" t="s">
        <v>3998</v>
      </c>
      <c r="B370" s="51" t="s">
        <v>940</v>
      </c>
      <c r="C370" s="53" t="s">
        <v>821</v>
      </c>
      <c r="D370" s="384" t="s">
        <v>204</v>
      </c>
      <c r="E370" s="384" t="s">
        <v>204</v>
      </c>
      <c r="F370" s="384" t="s">
        <v>204</v>
      </c>
      <c r="G370" s="384" t="s">
        <v>204</v>
      </c>
      <c r="H370" s="384" t="s">
        <v>204</v>
      </c>
      <c r="I370" s="228"/>
      <c r="L370" s="41"/>
      <c r="M370" s="41"/>
      <c r="N370" s="42"/>
      <c r="O370" s="42"/>
    </row>
    <row r="371" spans="1:15" hidden="1" outlineLevel="1" x14ac:dyDescent="0.3">
      <c r="A371" s="51" t="s">
        <v>3998</v>
      </c>
      <c r="B371" s="51" t="s">
        <v>940</v>
      </c>
      <c r="C371" s="53" t="s">
        <v>823</v>
      </c>
      <c r="D371" s="384">
        <v>0</v>
      </c>
      <c r="E371" s="384">
        <v>0</v>
      </c>
      <c r="F371" s="384">
        <v>0</v>
      </c>
      <c r="G371" s="384">
        <v>0</v>
      </c>
      <c r="H371" s="384">
        <v>0</v>
      </c>
      <c r="I371" s="228"/>
      <c r="L371" s="41"/>
      <c r="M371" s="41"/>
      <c r="N371" s="42"/>
      <c r="O371" s="42"/>
    </row>
    <row r="372" spans="1:15" hidden="1" outlineLevel="1" x14ac:dyDescent="0.3">
      <c r="A372" s="51" t="s">
        <v>3998</v>
      </c>
      <c r="B372" s="51" t="s">
        <v>940</v>
      </c>
      <c r="C372" s="53" t="s">
        <v>825</v>
      </c>
      <c r="D372" s="384" t="s">
        <v>204</v>
      </c>
      <c r="E372" s="384" t="s">
        <v>204</v>
      </c>
      <c r="F372" s="384" t="s">
        <v>204</v>
      </c>
      <c r="G372" s="384" t="s">
        <v>204</v>
      </c>
      <c r="H372" s="384" t="s">
        <v>204</v>
      </c>
      <c r="I372" s="228"/>
      <c r="L372" s="41"/>
      <c r="M372" s="41"/>
      <c r="N372" s="42"/>
      <c r="O372" s="42"/>
    </row>
    <row r="373" spans="1:15" hidden="1" outlineLevel="1" x14ac:dyDescent="0.3">
      <c r="A373" s="51" t="s">
        <v>3998</v>
      </c>
      <c r="B373" s="51" t="s">
        <v>940</v>
      </c>
      <c r="C373" s="53" t="s">
        <v>827</v>
      </c>
      <c r="D373" s="384">
        <v>664000</v>
      </c>
      <c r="E373" s="384">
        <v>664000</v>
      </c>
      <c r="F373" s="384">
        <v>664000</v>
      </c>
      <c r="G373" s="384">
        <v>664000</v>
      </c>
      <c r="H373" s="384">
        <v>664000</v>
      </c>
      <c r="I373" s="228" t="s">
        <v>3983</v>
      </c>
      <c r="L373" s="41"/>
      <c r="M373" s="41"/>
      <c r="N373" s="42"/>
      <c r="O373" s="42"/>
    </row>
    <row r="374" spans="1:15" hidden="1" outlineLevel="1" x14ac:dyDescent="0.3">
      <c r="A374" s="51" t="s">
        <v>3998</v>
      </c>
      <c r="B374" s="51" t="s">
        <v>940</v>
      </c>
      <c r="C374" s="53" t="s">
        <v>829</v>
      </c>
      <c r="D374" s="384">
        <v>192948</v>
      </c>
      <c r="E374" s="384">
        <v>192948</v>
      </c>
      <c r="F374" s="384">
        <v>192948</v>
      </c>
      <c r="G374" s="384">
        <v>192948</v>
      </c>
      <c r="H374" s="384">
        <v>192948</v>
      </c>
      <c r="I374" s="228" t="s">
        <v>4004</v>
      </c>
      <c r="L374" s="41"/>
      <c r="M374" s="41"/>
      <c r="N374" s="42"/>
      <c r="O374" s="42"/>
    </row>
    <row r="375" spans="1:15" hidden="1" outlineLevel="1" x14ac:dyDescent="0.3">
      <c r="A375" s="51" t="s">
        <v>3998</v>
      </c>
      <c r="B375" s="51" t="s">
        <v>940</v>
      </c>
      <c r="C375" s="53" t="s">
        <v>833</v>
      </c>
      <c r="D375" s="384">
        <v>0</v>
      </c>
      <c r="E375" s="384">
        <v>0</v>
      </c>
      <c r="F375" s="384">
        <v>0</v>
      </c>
      <c r="G375" s="384">
        <v>0</v>
      </c>
      <c r="H375" s="384">
        <v>0</v>
      </c>
      <c r="I375" s="228"/>
      <c r="L375" s="41"/>
      <c r="M375" s="41"/>
      <c r="N375" s="42"/>
      <c r="O375" s="42"/>
    </row>
    <row r="376" spans="1:15" hidden="1" outlineLevel="1" x14ac:dyDescent="0.3">
      <c r="A376" s="51" t="s">
        <v>3998</v>
      </c>
      <c r="B376" s="51" t="s">
        <v>940</v>
      </c>
      <c r="C376" s="53" t="s">
        <v>836</v>
      </c>
      <c r="D376" s="384">
        <v>16595</v>
      </c>
      <c r="E376" s="384">
        <v>16595</v>
      </c>
      <c r="F376" s="384">
        <v>16595</v>
      </c>
      <c r="G376" s="384">
        <v>16595</v>
      </c>
      <c r="H376" s="384">
        <v>16595</v>
      </c>
      <c r="I376" s="228" t="s">
        <v>4005</v>
      </c>
      <c r="L376" s="41"/>
      <c r="M376" s="41"/>
      <c r="N376" s="42"/>
      <c r="O376" s="42"/>
    </row>
    <row r="377" spans="1:15" hidden="1" outlineLevel="1" x14ac:dyDescent="0.3">
      <c r="A377" s="51" t="s">
        <v>3998</v>
      </c>
      <c r="B377" s="51" t="s">
        <v>940</v>
      </c>
      <c r="C377" s="53" t="s">
        <v>837</v>
      </c>
      <c r="D377" s="384">
        <v>2164</v>
      </c>
      <c r="E377" s="384">
        <v>2164</v>
      </c>
      <c r="F377" s="384">
        <v>2164</v>
      </c>
      <c r="G377" s="384">
        <v>2164</v>
      </c>
      <c r="H377" s="384">
        <v>2164</v>
      </c>
      <c r="I377" s="228" t="s">
        <v>4006</v>
      </c>
      <c r="L377" s="41"/>
      <c r="M377" s="41"/>
      <c r="N377" s="42"/>
      <c r="O377" s="42"/>
    </row>
    <row r="378" spans="1:15" hidden="1" outlineLevel="1" x14ac:dyDescent="0.3">
      <c r="A378" s="51" t="s">
        <v>3998</v>
      </c>
      <c r="B378" s="51" t="s">
        <v>940</v>
      </c>
      <c r="C378" s="53" t="s">
        <v>839</v>
      </c>
      <c r="D378" s="384">
        <v>471.8</v>
      </c>
      <c r="E378" s="384">
        <v>471.8</v>
      </c>
      <c r="F378" s="384">
        <v>471.8</v>
      </c>
      <c r="G378" s="384">
        <v>471.8</v>
      </c>
      <c r="H378" s="384">
        <v>471.8</v>
      </c>
      <c r="I378" s="228" t="s">
        <v>4007</v>
      </c>
      <c r="L378" s="41"/>
      <c r="M378" s="41"/>
      <c r="N378" s="42"/>
      <c r="O378" s="42"/>
    </row>
    <row r="379" spans="1:15" hidden="1" outlineLevel="1" x14ac:dyDescent="0.3">
      <c r="A379" s="51" t="s">
        <v>3998</v>
      </c>
      <c r="B379" s="51" t="s">
        <v>940</v>
      </c>
      <c r="C379" s="53" t="s">
        <v>840</v>
      </c>
      <c r="D379" s="384">
        <v>0</v>
      </c>
      <c r="E379" s="384">
        <v>0</v>
      </c>
      <c r="F379" s="384">
        <v>0</v>
      </c>
      <c r="G379" s="384">
        <v>0</v>
      </c>
      <c r="H379" s="384">
        <v>0</v>
      </c>
      <c r="I379" s="228"/>
      <c r="L379" s="41"/>
      <c r="M379" s="41"/>
      <c r="N379" s="42"/>
      <c r="O379" s="42"/>
    </row>
    <row r="380" spans="1:15" collapsed="1" x14ac:dyDescent="0.3">
      <c r="A380" s="51"/>
      <c r="B380" s="51"/>
      <c r="C380" s="51"/>
      <c r="D380" s="385"/>
      <c r="E380" s="385"/>
      <c r="F380" s="385"/>
      <c r="G380" s="385"/>
      <c r="H380" s="385"/>
      <c r="I380" s="228"/>
      <c r="L380" s="41"/>
      <c r="M380" s="41"/>
      <c r="N380" s="42"/>
      <c r="O380" s="42"/>
    </row>
    <row r="381" spans="1:15" x14ac:dyDescent="0.3">
      <c r="A381" s="53" t="s">
        <v>4008</v>
      </c>
      <c r="B381" s="203"/>
      <c r="C381" s="52" t="s">
        <v>3973</v>
      </c>
      <c r="D381" s="540">
        <v>1556657.4090909092</v>
      </c>
      <c r="E381" s="540">
        <v>1556657.4090909092</v>
      </c>
      <c r="F381" s="540">
        <v>1556657.4090909092</v>
      </c>
      <c r="G381" s="540">
        <v>1556657.4090909092</v>
      </c>
      <c r="H381" s="540">
        <v>1556657.4090909092</v>
      </c>
      <c r="I381" s="228"/>
      <c r="L381" s="41"/>
      <c r="M381" s="41"/>
      <c r="N381" s="42"/>
      <c r="O381" s="42"/>
    </row>
    <row r="382" spans="1:15" x14ac:dyDescent="0.3">
      <c r="A382" s="127" t="s">
        <v>5</v>
      </c>
      <c r="B382" s="127" t="s">
        <v>847</v>
      </c>
      <c r="C382" s="127" t="s">
        <v>193</v>
      </c>
      <c r="D382" s="541">
        <v>2025</v>
      </c>
      <c r="E382" s="541">
        <v>2030</v>
      </c>
      <c r="F382" s="541">
        <v>2035</v>
      </c>
      <c r="G382" s="541">
        <v>2040</v>
      </c>
      <c r="H382" s="541">
        <v>2045</v>
      </c>
      <c r="I382" s="322" t="s">
        <v>153</v>
      </c>
      <c r="L382" s="41"/>
      <c r="M382" s="41"/>
      <c r="N382" s="42"/>
      <c r="O382" s="42"/>
    </row>
    <row r="383" spans="1:15" hidden="1" outlineLevel="1" x14ac:dyDescent="0.3">
      <c r="A383" s="51" t="s">
        <v>4008</v>
      </c>
      <c r="B383" s="51" t="s">
        <v>855</v>
      </c>
      <c r="C383" s="53" t="s">
        <v>747</v>
      </c>
      <c r="D383" s="384" t="s">
        <v>204</v>
      </c>
      <c r="E383" s="384" t="s">
        <v>204</v>
      </c>
      <c r="F383" s="384" t="s">
        <v>204</v>
      </c>
      <c r="G383" s="384" t="s">
        <v>204</v>
      </c>
      <c r="H383" s="384" t="s">
        <v>204</v>
      </c>
      <c r="I383" s="228"/>
      <c r="L383" s="41"/>
      <c r="M383" s="41"/>
      <c r="N383" s="42"/>
      <c r="O383" s="42"/>
    </row>
    <row r="384" spans="1:15" hidden="1" outlineLevel="1" x14ac:dyDescent="0.3">
      <c r="A384" s="51" t="s">
        <v>4008</v>
      </c>
      <c r="B384" s="51" t="s">
        <v>855</v>
      </c>
      <c r="C384" s="53" t="s">
        <v>751</v>
      </c>
      <c r="D384" s="385">
        <v>0</v>
      </c>
      <c r="E384" s="385">
        <v>0</v>
      </c>
      <c r="F384" s="385">
        <v>0</v>
      </c>
      <c r="G384" s="385">
        <v>0</v>
      </c>
      <c r="H384" s="385">
        <v>0</v>
      </c>
      <c r="I384" s="228"/>
      <c r="L384" s="41"/>
      <c r="M384" s="41"/>
      <c r="N384" s="42"/>
      <c r="O384" s="42"/>
    </row>
    <row r="385" spans="1:15" hidden="1" outlineLevel="1" x14ac:dyDescent="0.3">
      <c r="A385" s="51" t="s">
        <v>4008</v>
      </c>
      <c r="B385" s="51" t="s">
        <v>855</v>
      </c>
      <c r="C385" s="53" t="s">
        <v>755</v>
      </c>
      <c r="D385" s="385">
        <v>0</v>
      </c>
      <c r="E385" s="385">
        <v>0</v>
      </c>
      <c r="F385" s="385">
        <v>0</v>
      </c>
      <c r="G385" s="385">
        <v>0</v>
      </c>
      <c r="H385" s="385">
        <v>0</v>
      </c>
      <c r="I385" s="228"/>
      <c r="L385" s="41"/>
      <c r="M385" s="41"/>
      <c r="N385" s="42"/>
      <c r="O385" s="42"/>
    </row>
    <row r="386" spans="1:15" hidden="1" outlineLevel="1" x14ac:dyDescent="0.3">
      <c r="A386" s="51" t="s">
        <v>4008</v>
      </c>
      <c r="B386" s="51" t="s">
        <v>855</v>
      </c>
      <c r="C386" s="53" t="s">
        <v>758</v>
      </c>
      <c r="D386" s="385">
        <v>0</v>
      </c>
      <c r="E386" s="385">
        <v>0</v>
      </c>
      <c r="F386" s="385">
        <v>0</v>
      </c>
      <c r="G386" s="385">
        <v>0</v>
      </c>
      <c r="H386" s="385">
        <v>0</v>
      </c>
      <c r="I386" s="228"/>
      <c r="L386" s="41"/>
      <c r="M386" s="41"/>
      <c r="N386" s="42"/>
      <c r="O386" s="42"/>
    </row>
    <row r="387" spans="1:15" hidden="1" outlineLevel="1" x14ac:dyDescent="0.3">
      <c r="A387" s="51" t="s">
        <v>4008</v>
      </c>
      <c r="B387" s="51" t="s">
        <v>855</v>
      </c>
      <c r="C387" s="53" t="s">
        <v>761</v>
      </c>
      <c r="D387" s="385">
        <v>0</v>
      </c>
      <c r="E387" s="385">
        <v>0</v>
      </c>
      <c r="F387" s="385">
        <v>0</v>
      </c>
      <c r="G387" s="385">
        <v>0</v>
      </c>
      <c r="H387" s="385">
        <v>0</v>
      </c>
      <c r="I387" s="228"/>
      <c r="L387" s="41"/>
      <c r="M387" s="41"/>
      <c r="N387" s="42"/>
      <c r="O387" s="42"/>
    </row>
    <row r="388" spans="1:15" hidden="1" outlineLevel="1" x14ac:dyDescent="0.3">
      <c r="A388" s="51" t="s">
        <v>4008</v>
      </c>
      <c r="B388" s="51" t="s">
        <v>855</v>
      </c>
      <c r="C388" s="53" t="s">
        <v>763</v>
      </c>
      <c r="D388" s="385">
        <v>0</v>
      </c>
      <c r="E388" s="385">
        <v>0</v>
      </c>
      <c r="F388" s="385">
        <v>0</v>
      </c>
      <c r="G388" s="385">
        <v>0</v>
      </c>
      <c r="H388" s="385">
        <v>0</v>
      </c>
      <c r="I388" s="228"/>
      <c r="L388" s="41"/>
      <c r="M388" s="41"/>
      <c r="N388" s="42"/>
      <c r="O388" s="42"/>
    </row>
    <row r="389" spans="1:15" hidden="1" outlineLevel="1" x14ac:dyDescent="0.3">
      <c r="A389" s="51" t="s">
        <v>4008</v>
      </c>
      <c r="B389" s="51" t="s">
        <v>855</v>
      </c>
      <c r="C389" s="53" t="s">
        <v>765</v>
      </c>
      <c r="D389" s="385">
        <v>0</v>
      </c>
      <c r="E389" s="385">
        <v>0</v>
      </c>
      <c r="F389" s="385">
        <v>0</v>
      </c>
      <c r="G389" s="385">
        <v>0</v>
      </c>
      <c r="H389" s="385">
        <v>0</v>
      </c>
      <c r="I389" s="228"/>
      <c r="L389" s="41"/>
      <c r="M389" s="41"/>
      <c r="N389" s="42"/>
      <c r="O389" s="42"/>
    </row>
    <row r="390" spans="1:15" hidden="1" outlineLevel="1" x14ac:dyDescent="0.3">
      <c r="A390" s="51" t="s">
        <v>4008</v>
      </c>
      <c r="B390" s="51" t="s">
        <v>855</v>
      </c>
      <c r="C390" s="53" t="s">
        <v>768</v>
      </c>
      <c r="D390" s="385">
        <v>0</v>
      </c>
      <c r="E390" s="385">
        <v>0</v>
      </c>
      <c r="F390" s="385">
        <v>0</v>
      </c>
      <c r="G390" s="385">
        <v>0</v>
      </c>
      <c r="H390" s="385">
        <v>0</v>
      </c>
      <c r="I390" s="228"/>
      <c r="L390" s="41"/>
      <c r="M390" s="41"/>
      <c r="N390" s="42"/>
      <c r="O390" s="42"/>
    </row>
    <row r="391" spans="1:15" hidden="1" outlineLevel="1" x14ac:dyDescent="0.3">
      <c r="A391" s="51" t="s">
        <v>4008</v>
      </c>
      <c r="B391" s="51" t="s">
        <v>855</v>
      </c>
      <c r="C391" s="53" t="s">
        <v>771</v>
      </c>
      <c r="D391" s="385">
        <v>0</v>
      </c>
      <c r="E391" s="385">
        <v>0</v>
      </c>
      <c r="F391" s="385">
        <v>0</v>
      </c>
      <c r="G391" s="385">
        <v>0</v>
      </c>
      <c r="H391" s="385">
        <v>0</v>
      </c>
      <c r="I391" s="228"/>
      <c r="L391" s="41"/>
      <c r="M391" s="41"/>
      <c r="N391" s="42"/>
      <c r="O391" s="42"/>
    </row>
    <row r="392" spans="1:15" hidden="1" outlineLevel="1" x14ac:dyDescent="0.3">
      <c r="A392" s="51" t="s">
        <v>4008</v>
      </c>
      <c r="B392" s="51" t="s">
        <v>855</v>
      </c>
      <c r="C392" s="53" t="s">
        <v>772</v>
      </c>
      <c r="D392" s="385">
        <v>0</v>
      </c>
      <c r="E392" s="385">
        <v>0</v>
      </c>
      <c r="F392" s="385">
        <v>0</v>
      </c>
      <c r="G392" s="385">
        <v>0</v>
      </c>
      <c r="H392" s="385">
        <v>0</v>
      </c>
      <c r="I392" s="228"/>
      <c r="L392" s="41"/>
      <c r="M392" s="41"/>
      <c r="N392" s="42"/>
      <c r="O392" s="42"/>
    </row>
    <row r="393" spans="1:15" hidden="1" outlineLevel="1" x14ac:dyDescent="0.3">
      <c r="A393" s="51" t="s">
        <v>4008</v>
      </c>
      <c r="B393" s="51" t="s">
        <v>855</v>
      </c>
      <c r="C393" s="53" t="s">
        <v>774</v>
      </c>
      <c r="D393" s="385">
        <v>0</v>
      </c>
      <c r="E393" s="385">
        <v>0</v>
      </c>
      <c r="F393" s="385">
        <v>0</v>
      </c>
      <c r="G393" s="385">
        <v>0</v>
      </c>
      <c r="H393" s="385">
        <v>0</v>
      </c>
      <c r="I393" s="228"/>
      <c r="L393" s="41"/>
      <c r="M393" s="41"/>
      <c r="N393" s="42"/>
      <c r="O393" s="42"/>
    </row>
    <row r="394" spans="1:15" hidden="1" outlineLevel="1" x14ac:dyDescent="0.3">
      <c r="A394" s="51" t="s">
        <v>4008</v>
      </c>
      <c r="B394" s="51" t="s">
        <v>855</v>
      </c>
      <c r="C394" s="53" t="s">
        <v>775</v>
      </c>
      <c r="D394" s="384" t="s">
        <v>204</v>
      </c>
      <c r="E394" s="384" t="s">
        <v>204</v>
      </c>
      <c r="F394" s="384" t="s">
        <v>204</v>
      </c>
      <c r="G394" s="384" t="s">
        <v>204</v>
      </c>
      <c r="H394" s="384" t="s">
        <v>204</v>
      </c>
      <c r="I394" s="228"/>
      <c r="L394" s="41"/>
      <c r="M394" s="41"/>
      <c r="N394" s="42"/>
      <c r="O394" s="42"/>
    </row>
    <row r="395" spans="1:15" hidden="1" outlineLevel="1" x14ac:dyDescent="0.3">
      <c r="A395" s="51" t="s">
        <v>4008</v>
      </c>
      <c r="B395" s="51" t="s">
        <v>855</v>
      </c>
      <c r="C395" s="53" t="s">
        <v>779</v>
      </c>
      <c r="D395" s="385">
        <v>0</v>
      </c>
      <c r="E395" s="385">
        <v>0</v>
      </c>
      <c r="F395" s="385">
        <v>0</v>
      </c>
      <c r="G395" s="385">
        <v>0</v>
      </c>
      <c r="H395" s="385">
        <v>0</v>
      </c>
      <c r="I395" s="228"/>
      <c r="L395" s="41"/>
      <c r="M395" s="41"/>
      <c r="N395" s="42"/>
      <c r="O395" s="42"/>
    </row>
    <row r="396" spans="1:15" hidden="1" outlineLevel="1" x14ac:dyDescent="0.3">
      <c r="A396" s="51" t="s">
        <v>4008</v>
      </c>
      <c r="B396" s="51" t="s">
        <v>894</v>
      </c>
      <c r="C396" s="53" t="s">
        <v>781</v>
      </c>
      <c r="D396" s="385">
        <v>0</v>
      </c>
      <c r="E396" s="385">
        <v>0</v>
      </c>
      <c r="F396" s="385">
        <v>0</v>
      </c>
      <c r="G396" s="385">
        <v>0</v>
      </c>
      <c r="H396" s="385">
        <v>0</v>
      </c>
      <c r="I396" s="228"/>
      <c r="L396" s="41"/>
      <c r="M396" s="41"/>
      <c r="N396" s="42"/>
      <c r="O396" s="42"/>
    </row>
    <row r="397" spans="1:15" hidden="1" outlineLevel="1" x14ac:dyDescent="0.3">
      <c r="A397" s="51" t="s">
        <v>4008</v>
      </c>
      <c r="B397" s="51" t="s">
        <v>894</v>
      </c>
      <c r="C397" s="53" t="s">
        <v>783</v>
      </c>
      <c r="D397" s="385">
        <v>0</v>
      </c>
      <c r="E397" s="385">
        <v>0</v>
      </c>
      <c r="F397" s="385">
        <v>0</v>
      </c>
      <c r="G397" s="385">
        <v>0</v>
      </c>
      <c r="H397" s="385">
        <v>0</v>
      </c>
      <c r="I397" s="228"/>
      <c r="L397" s="41"/>
      <c r="M397" s="41"/>
      <c r="N397" s="42"/>
      <c r="O397" s="42"/>
    </row>
    <row r="398" spans="1:15" hidden="1" outlineLevel="1" x14ac:dyDescent="0.3">
      <c r="A398" s="51" t="s">
        <v>4008</v>
      </c>
      <c r="B398" s="51" t="s">
        <v>894</v>
      </c>
      <c r="C398" s="53" t="s">
        <v>785</v>
      </c>
      <c r="D398" s="385">
        <v>0</v>
      </c>
      <c r="E398" s="385">
        <v>0</v>
      </c>
      <c r="F398" s="385">
        <v>0</v>
      </c>
      <c r="G398" s="385">
        <v>0</v>
      </c>
      <c r="H398" s="385">
        <v>0</v>
      </c>
      <c r="I398" s="228"/>
      <c r="L398" s="41"/>
      <c r="M398" s="41"/>
      <c r="N398" s="42"/>
      <c r="O398" s="42"/>
    </row>
    <row r="399" spans="1:15" hidden="1" outlineLevel="1" x14ac:dyDescent="0.3">
      <c r="A399" s="51" t="s">
        <v>4008</v>
      </c>
      <c r="B399" s="51" t="s">
        <v>894</v>
      </c>
      <c r="C399" s="53" t="s">
        <v>787</v>
      </c>
      <c r="D399" s="385">
        <v>0</v>
      </c>
      <c r="E399" s="385">
        <v>0</v>
      </c>
      <c r="F399" s="385">
        <v>0</v>
      </c>
      <c r="G399" s="385">
        <v>0</v>
      </c>
      <c r="H399" s="385">
        <v>0</v>
      </c>
      <c r="I399" s="228"/>
      <c r="L399" s="41"/>
      <c r="M399" s="41"/>
      <c r="N399" s="42"/>
      <c r="O399" s="42"/>
    </row>
    <row r="400" spans="1:15" hidden="1" outlineLevel="1" x14ac:dyDescent="0.3">
      <c r="A400" s="51" t="s">
        <v>4008</v>
      </c>
      <c r="B400" s="51" t="s">
        <v>894</v>
      </c>
      <c r="C400" s="53" t="s">
        <v>788</v>
      </c>
      <c r="D400" s="385">
        <v>0</v>
      </c>
      <c r="E400" s="385">
        <v>0</v>
      </c>
      <c r="F400" s="385">
        <v>0</v>
      </c>
      <c r="G400" s="385">
        <v>0</v>
      </c>
      <c r="H400" s="385">
        <v>0</v>
      </c>
      <c r="I400" s="228"/>
      <c r="L400" s="41"/>
      <c r="M400" s="41"/>
      <c r="N400" s="42"/>
      <c r="O400" s="42"/>
    </row>
    <row r="401" spans="1:15" hidden="1" outlineLevel="1" x14ac:dyDescent="0.3">
      <c r="A401" s="51" t="s">
        <v>4008</v>
      </c>
      <c r="B401" s="51" t="s">
        <v>894</v>
      </c>
      <c r="C401" s="53" t="s">
        <v>789</v>
      </c>
      <c r="D401" s="385">
        <v>0</v>
      </c>
      <c r="E401" s="385">
        <v>0</v>
      </c>
      <c r="F401" s="385">
        <v>0</v>
      </c>
      <c r="G401" s="385">
        <v>0</v>
      </c>
      <c r="H401" s="385">
        <v>0</v>
      </c>
      <c r="I401" s="228"/>
      <c r="L401" s="41"/>
      <c r="M401" s="41"/>
      <c r="N401" s="42"/>
      <c r="O401" s="42"/>
    </row>
    <row r="402" spans="1:15" hidden="1" outlineLevel="1" x14ac:dyDescent="0.3">
      <c r="A402" s="51" t="s">
        <v>4008</v>
      </c>
      <c r="B402" s="51" t="s">
        <v>894</v>
      </c>
      <c r="C402" s="53" t="s">
        <v>790</v>
      </c>
      <c r="D402" s="384">
        <v>7000</v>
      </c>
      <c r="E402" s="384">
        <v>7000</v>
      </c>
      <c r="F402" s="384">
        <v>7000</v>
      </c>
      <c r="G402" s="384">
        <v>7000</v>
      </c>
      <c r="H402" s="384">
        <v>7000</v>
      </c>
      <c r="I402" s="228" t="s">
        <v>4009</v>
      </c>
      <c r="L402" s="41"/>
      <c r="M402" s="41"/>
      <c r="N402" s="42"/>
      <c r="O402" s="42"/>
    </row>
    <row r="403" spans="1:15" hidden="1" outlineLevel="1" x14ac:dyDescent="0.3">
      <c r="A403" s="51" t="s">
        <v>4008</v>
      </c>
      <c r="B403" s="51" t="s">
        <v>894</v>
      </c>
      <c r="C403" s="53" t="s">
        <v>793</v>
      </c>
      <c r="D403" s="384">
        <v>90000</v>
      </c>
      <c r="E403" s="384">
        <v>90000</v>
      </c>
      <c r="F403" s="384">
        <v>90000</v>
      </c>
      <c r="G403" s="384">
        <v>90000</v>
      </c>
      <c r="H403" s="384">
        <v>90000</v>
      </c>
      <c r="I403" s="228" t="s">
        <v>4010</v>
      </c>
      <c r="L403" s="41"/>
      <c r="M403" s="41"/>
      <c r="N403" s="42"/>
      <c r="O403" s="42"/>
    </row>
    <row r="404" spans="1:15" hidden="1" outlineLevel="1" x14ac:dyDescent="0.3">
      <c r="A404" s="51" t="s">
        <v>4008</v>
      </c>
      <c r="B404" s="51" t="s">
        <v>894</v>
      </c>
      <c r="C404" s="53" t="s">
        <v>795</v>
      </c>
      <c r="D404" s="385">
        <v>0</v>
      </c>
      <c r="E404" s="385">
        <v>0</v>
      </c>
      <c r="F404" s="385">
        <v>0</v>
      </c>
      <c r="G404" s="385">
        <v>0</v>
      </c>
      <c r="H404" s="385">
        <v>0</v>
      </c>
      <c r="I404" s="228"/>
      <c r="L404" s="41"/>
      <c r="M404" s="41"/>
      <c r="N404" s="42"/>
      <c r="O404" s="42"/>
    </row>
    <row r="405" spans="1:15" hidden="1" outlineLevel="1" x14ac:dyDescent="0.3">
      <c r="A405" s="51" t="s">
        <v>4008</v>
      </c>
      <c r="B405" s="51" t="s">
        <v>894</v>
      </c>
      <c r="C405" s="53" t="s">
        <v>797</v>
      </c>
      <c r="D405" s="384">
        <v>0</v>
      </c>
      <c r="E405" s="384">
        <v>0</v>
      </c>
      <c r="F405" s="384">
        <v>0</v>
      </c>
      <c r="G405" s="384">
        <v>0</v>
      </c>
      <c r="H405" s="384">
        <v>0</v>
      </c>
      <c r="I405" s="228" t="s">
        <v>3988</v>
      </c>
      <c r="L405" s="41"/>
      <c r="M405" s="41"/>
      <c r="N405" s="42"/>
      <c r="O405" s="42"/>
    </row>
    <row r="406" spans="1:15" hidden="1" outlineLevel="1" x14ac:dyDescent="0.3">
      <c r="A406" s="51" t="s">
        <v>4008</v>
      </c>
      <c r="B406" s="51" t="s">
        <v>915</v>
      </c>
      <c r="C406" s="53" t="s">
        <v>799</v>
      </c>
      <c r="D406" s="385">
        <v>13260.90909090909</v>
      </c>
      <c r="E406" s="385">
        <v>13260.90909090909</v>
      </c>
      <c r="F406" s="385">
        <v>13260.90909090909</v>
      </c>
      <c r="G406" s="385">
        <v>13260.90909090909</v>
      </c>
      <c r="H406" s="385">
        <v>13260.90909090909</v>
      </c>
      <c r="I406" s="228" t="s">
        <v>4011</v>
      </c>
      <c r="L406" s="41"/>
      <c r="M406" s="41"/>
      <c r="N406" s="42"/>
      <c r="O406" s="42"/>
    </row>
    <row r="407" spans="1:15" hidden="1" outlineLevel="1" x14ac:dyDescent="0.3">
      <c r="A407" s="51" t="s">
        <v>4008</v>
      </c>
      <c r="B407" s="51" t="s">
        <v>915</v>
      </c>
      <c r="C407" s="53" t="s">
        <v>801</v>
      </c>
      <c r="D407" s="385">
        <v>135000</v>
      </c>
      <c r="E407" s="385">
        <v>135000</v>
      </c>
      <c r="F407" s="385">
        <v>135000</v>
      </c>
      <c r="G407" s="385">
        <v>135000</v>
      </c>
      <c r="H407" s="385">
        <v>135000</v>
      </c>
      <c r="I407" s="228" t="s">
        <v>4012</v>
      </c>
      <c r="L407" s="41"/>
      <c r="M407" s="41"/>
      <c r="N407" s="42"/>
      <c r="O407" s="42"/>
    </row>
    <row r="408" spans="1:15" hidden="1" outlineLevel="1" x14ac:dyDescent="0.3">
      <c r="A408" s="51" t="s">
        <v>4008</v>
      </c>
      <c r="B408" s="51" t="s">
        <v>915</v>
      </c>
      <c r="C408" s="53" t="s">
        <v>804</v>
      </c>
      <c r="D408" s="385">
        <v>0</v>
      </c>
      <c r="E408" s="385">
        <v>0</v>
      </c>
      <c r="F408" s="385">
        <v>0</v>
      </c>
      <c r="G408" s="385">
        <v>0</v>
      </c>
      <c r="H408" s="385">
        <v>0</v>
      </c>
      <c r="I408" s="228"/>
      <c r="L408" s="41"/>
      <c r="M408" s="41"/>
      <c r="N408" s="42"/>
      <c r="O408" s="42"/>
    </row>
    <row r="409" spans="1:15" hidden="1" outlineLevel="1" x14ac:dyDescent="0.3">
      <c r="A409" s="51" t="s">
        <v>4008</v>
      </c>
      <c r="B409" s="51" t="s">
        <v>915</v>
      </c>
      <c r="C409" s="53" t="s">
        <v>806</v>
      </c>
      <c r="D409" s="385">
        <v>0</v>
      </c>
      <c r="E409" s="385">
        <v>0</v>
      </c>
      <c r="F409" s="385">
        <v>0</v>
      </c>
      <c r="G409" s="385">
        <v>0</v>
      </c>
      <c r="H409" s="385">
        <v>0</v>
      </c>
      <c r="I409" s="228"/>
      <c r="L409" s="41"/>
      <c r="M409" s="41"/>
      <c r="N409" s="42"/>
      <c r="O409" s="42"/>
    </row>
    <row r="410" spans="1:15" hidden="1" outlineLevel="1" x14ac:dyDescent="0.3">
      <c r="A410" s="51" t="s">
        <v>4008</v>
      </c>
      <c r="B410" s="51" t="s">
        <v>915</v>
      </c>
      <c r="C410" s="53" t="s">
        <v>808</v>
      </c>
      <c r="D410" s="385">
        <v>0</v>
      </c>
      <c r="E410" s="385">
        <v>0</v>
      </c>
      <c r="F410" s="385">
        <v>0</v>
      </c>
      <c r="G410" s="385">
        <v>0</v>
      </c>
      <c r="H410" s="385">
        <v>0</v>
      </c>
      <c r="I410" s="228"/>
      <c r="L410" s="41"/>
      <c r="M410" s="41"/>
      <c r="N410" s="42"/>
      <c r="O410" s="42"/>
    </row>
    <row r="411" spans="1:15" hidden="1" outlineLevel="1" x14ac:dyDescent="0.3">
      <c r="A411" s="51" t="s">
        <v>4008</v>
      </c>
      <c r="B411" s="51" t="s">
        <v>915</v>
      </c>
      <c r="C411" s="53" t="s">
        <v>811</v>
      </c>
      <c r="D411" s="384">
        <v>31675</v>
      </c>
      <c r="E411" s="384">
        <v>31675</v>
      </c>
      <c r="F411" s="384">
        <v>31675</v>
      </c>
      <c r="G411" s="384">
        <v>31675</v>
      </c>
      <c r="H411" s="384">
        <v>31675</v>
      </c>
      <c r="I411" s="228" t="s">
        <v>1054</v>
      </c>
      <c r="L411" s="41"/>
      <c r="M411" s="41"/>
      <c r="N411" s="42"/>
      <c r="O411" s="42"/>
    </row>
    <row r="412" spans="1:15" hidden="1" outlineLevel="1" x14ac:dyDescent="0.3">
      <c r="A412" s="51" t="s">
        <v>4008</v>
      </c>
      <c r="B412" s="51" t="s">
        <v>934</v>
      </c>
      <c r="C412" s="53" t="s">
        <v>814</v>
      </c>
      <c r="D412" s="385">
        <v>0</v>
      </c>
      <c r="E412" s="385">
        <v>0</v>
      </c>
      <c r="F412" s="385">
        <v>0</v>
      </c>
      <c r="G412" s="385">
        <v>0</v>
      </c>
      <c r="H412" s="385">
        <v>0</v>
      </c>
      <c r="I412" s="228"/>
      <c r="L412" s="41"/>
      <c r="M412" s="41"/>
      <c r="N412" s="42"/>
      <c r="O412" s="42"/>
    </row>
    <row r="413" spans="1:15" hidden="1" outlineLevel="1" x14ac:dyDescent="0.3">
      <c r="A413" s="51" t="s">
        <v>4008</v>
      </c>
      <c r="B413" s="51" t="s">
        <v>934</v>
      </c>
      <c r="C413" s="53" t="s">
        <v>815</v>
      </c>
      <c r="D413" s="385">
        <v>0</v>
      </c>
      <c r="E413" s="385">
        <v>0</v>
      </c>
      <c r="F413" s="385">
        <v>0</v>
      </c>
      <c r="G413" s="385">
        <v>0</v>
      </c>
      <c r="H413" s="385">
        <v>0</v>
      </c>
      <c r="I413" s="228"/>
      <c r="L413" s="41"/>
      <c r="M413" s="41"/>
      <c r="N413" s="42"/>
      <c r="O413" s="42"/>
    </row>
    <row r="414" spans="1:15" hidden="1" outlineLevel="1" x14ac:dyDescent="0.3">
      <c r="A414" s="51" t="s">
        <v>4008</v>
      </c>
      <c r="B414" s="51" t="s">
        <v>940</v>
      </c>
      <c r="C414" s="53" t="s">
        <v>817</v>
      </c>
      <c r="D414" s="384">
        <v>124350</v>
      </c>
      <c r="E414" s="384">
        <v>124350</v>
      </c>
      <c r="F414" s="384">
        <v>124350</v>
      </c>
      <c r="G414" s="384">
        <v>124350</v>
      </c>
      <c r="H414" s="384">
        <v>124350</v>
      </c>
      <c r="I414" s="228" t="s">
        <v>4013</v>
      </c>
      <c r="L414" s="41"/>
      <c r="M414" s="41"/>
      <c r="N414" s="42"/>
      <c r="O414" s="42"/>
    </row>
    <row r="415" spans="1:15" hidden="1" outlineLevel="1" x14ac:dyDescent="0.3">
      <c r="A415" s="51" t="s">
        <v>4008</v>
      </c>
      <c r="B415" s="51" t="s">
        <v>940</v>
      </c>
      <c r="C415" s="53" t="s">
        <v>944</v>
      </c>
      <c r="D415" s="385">
        <v>120000</v>
      </c>
      <c r="E415" s="385">
        <v>120000</v>
      </c>
      <c r="F415" s="385">
        <v>120000</v>
      </c>
      <c r="G415" s="385">
        <v>120000</v>
      </c>
      <c r="H415" s="385">
        <v>120000</v>
      </c>
      <c r="I415" s="228"/>
      <c r="L415" s="41"/>
      <c r="M415" s="41"/>
      <c r="N415" s="42"/>
      <c r="O415" s="42"/>
    </row>
    <row r="416" spans="1:15" hidden="1" outlineLevel="1" x14ac:dyDescent="0.3">
      <c r="A416" s="51" t="s">
        <v>4008</v>
      </c>
      <c r="B416" s="51" t="s">
        <v>940</v>
      </c>
      <c r="C416" s="53" t="s">
        <v>821</v>
      </c>
      <c r="D416" s="384" t="s">
        <v>204</v>
      </c>
      <c r="E416" s="384" t="s">
        <v>204</v>
      </c>
      <c r="F416" s="384" t="s">
        <v>204</v>
      </c>
      <c r="G416" s="384" t="s">
        <v>204</v>
      </c>
      <c r="H416" s="384" t="s">
        <v>204</v>
      </c>
      <c r="I416" s="228"/>
      <c r="L416" s="41"/>
      <c r="M416" s="41"/>
      <c r="N416" s="42"/>
      <c r="O416" s="42"/>
    </row>
    <row r="417" spans="1:15" hidden="1" outlineLevel="1" x14ac:dyDescent="0.3">
      <c r="A417" s="51" t="s">
        <v>4008</v>
      </c>
      <c r="B417" s="51" t="s">
        <v>940</v>
      </c>
      <c r="C417" s="53" t="s">
        <v>823</v>
      </c>
      <c r="D417" s="385">
        <v>0</v>
      </c>
      <c r="E417" s="385">
        <v>0</v>
      </c>
      <c r="F417" s="385">
        <v>0</v>
      </c>
      <c r="G417" s="385">
        <v>0</v>
      </c>
      <c r="H417" s="385">
        <v>0</v>
      </c>
      <c r="I417" s="228"/>
      <c r="L417" s="41"/>
      <c r="M417" s="41"/>
      <c r="N417" s="42"/>
      <c r="O417" s="42"/>
    </row>
    <row r="418" spans="1:15" hidden="1" outlineLevel="1" x14ac:dyDescent="0.3">
      <c r="A418" s="51" t="s">
        <v>4008</v>
      </c>
      <c r="B418" s="51" t="s">
        <v>940</v>
      </c>
      <c r="C418" s="53" t="s">
        <v>825</v>
      </c>
      <c r="D418" s="384" t="s">
        <v>204</v>
      </c>
      <c r="E418" s="384" t="s">
        <v>204</v>
      </c>
      <c r="F418" s="384" t="s">
        <v>204</v>
      </c>
      <c r="G418" s="384" t="s">
        <v>204</v>
      </c>
      <c r="H418" s="384" t="s">
        <v>204</v>
      </c>
      <c r="I418" s="228"/>
      <c r="L418" s="41"/>
      <c r="M418" s="41"/>
      <c r="N418" s="42"/>
      <c r="O418" s="42"/>
    </row>
    <row r="419" spans="1:15" hidden="1" outlineLevel="1" x14ac:dyDescent="0.3">
      <c r="A419" s="51" t="s">
        <v>4008</v>
      </c>
      <c r="B419" s="51" t="s">
        <v>940</v>
      </c>
      <c r="C419" s="53" t="s">
        <v>827</v>
      </c>
      <c r="D419" s="384">
        <v>822000</v>
      </c>
      <c r="E419" s="384">
        <v>822000</v>
      </c>
      <c r="F419" s="384">
        <v>822000</v>
      </c>
      <c r="G419" s="384">
        <v>822000</v>
      </c>
      <c r="H419" s="384">
        <v>822000</v>
      </c>
      <c r="I419" s="228" t="s">
        <v>4014</v>
      </c>
      <c r="L419" s="41"/>
      <c r="M419" s="41"/>
      <c r="N419" s="42"/>
      <c r="O419" s="42"/>
    </row>
    <row r="420" spans="1:15" hidden="1" outlineLevel="1" x14ac:dyDescent="0.3">
      <c r="A420" s="51" t="s">
        <v>4008</v>
      </c>
      <c r="B420" s="51" t="s">
        <v>940</v>
      </c>
      <c r="C420" s="53" t="s">
        <v>829</v>
      </c>
      <c r="D420" s="384">
        <v>95957.5</v>
      </c>
      <c r="E420" s="384">
        <v>95957.5</v>
      </c>
      <c r="F420" s="384">
        <v>95957.5</v>
      </c>
      <c r="G420" s="384">
        <v>95957.5</v>
      </c>
      <c r="H420" s="384">
        <v>95957.5</v>
      </c>
      <c r="I420" s="228" t="s">
        <v>4015</v>
      </c>
      <c r="L420" s="41"/>
      <c r="M420" s="41"/>
      <c r="N420" s="42"/>
      <c r="O420" s="42"/>
    </row>
    <row r="421" spans="1:15" hidden="1" outlineLevel="1" x14ac:dyDescent="0.3">
      <c r="A421" s="51" t="s">
        <v>4008</v>
      </c>
      <c r="B421" s="51" t="s">
        <v>940</v>
      </c>
      <c r="C421" s="53" t="s">
        <v>833</v>
      </c>
      <c r="D421" s="384">
        <v>0</v>
      </c>
      <c r="E421" s="384">
        <v>0</v>
      </c>
      <c r="F421" s="384">
        <v>0</v>
      </c>
      <c r="G421" s="384">
        <v>0</v>
      </c>
      <c r="H421" s="384">
        <v>0</v>
      </c>
      <c r="I421" s="228"/>
      <c r="L421" s="41"/>
      <c r="M421" s="41"/>
      <c r="N421" s="42"/>
      <c r="O421" s="42"/>
    </row>
    <row r="422" spans="1:15" hidden="1" outlineLevel="1" x14ac:dyDescent="0.3">
      <c r="A422" s="51" t="s">
        <v>4008</v>
      </c>
      <c r="B422" s="51" t="s">
        <v>940</v>
      </c>
      <c r="C422" s="53" t="s">
        <v>836</v>
      </c>
      <c r="D422" s="384">
        <v>72414</v>
      </c>
      <c r="E422" s="384">
        <v>72414</v>
      </c>
      <c r="F422" s="384">
        <v>72414</v>
      </c>
      <c r="G422" s="384">
        <v>72414</v>
      </c>
      <c r="H422" s="384">
        <v>72414</v>
      </c>
      <c r="I422" s="228" t="s">
        <v>4016</v>
      </c>
      <c r="L422" s="41"/>
      <c r="M422" s="41"/>
      <c r="N422" s="42"/>
      <c r="O422" s="42"/>
    </row>
    <row r="423" spans="1:15" hidden="1" outlineLevel="1" x14ac:dyDescent="0.3">
      <c r="A423" s="51" t="s">
        <v>4008</v>
      </c>
      <c r="B423" s="51" t="s">
        <v>940</v>
      </c>
      <c r="C423" s="53" t="s">
        <v>837</v>
      </c>
      <c r="D423" s="385">
        <v>25000</v>
      </c>
      <c r="E423" s="385">
        <v>25000</v>
      </c>
      <c r="F423" s="385">
        <v>25000</v>
      </c>
      <c r="G423" s="385">
        <v>25000</v>
      </c>
      <c r="H423" s="385">
        <v>25000</v>
      </c>
      <c r="I423" s="228" t="s">
        <v>5992</v>
      </c>
      <c r="L423" s="41"/>
      <c r="M423" s="41"/>
      <c r="N423" s="42"/>
      <c r="O423" s="42"/>
    </row>
    <row r="424" spans="1:15" hidden="1" outlineLevel="1" x14ac:dyDescent="0.3">
      <c r="A424" s="51" t="s">
        <v>4008</v>
      </c>
      <c r="B424" s="51" t="s">
        <v>940</v>
      </c>
      <c r="C424" s="53" t="s">
        <v>839</v>
      </c>
      <c r="D424" s="384">
        <v>20000</v>
      </c>
      <c r="E424" s="384">
        <v>20000</v>
      </c>
      <c r="F424" s="384">
        <v>20000</v>
      </c>
      <c r="G424" s="384">
        <v>20000</v>
      </c>
      <c r="H424" s="384">
        <v>20000</v>
      </c>
      <c r="I424" s="228" t="s">
        <v>4017</v>
      </c>
      <c r="L424" s="41"/>
      <c r="M424" s="41"/>
      <c r="N424" s="42"/>
      <c r="O424" s="42"/>
    </row>
    <row r="425" spans="1:15" hidden="1" outlineLevel="1" x14ac:dyDescent="0.3">
      <c r="A425" s="51" t="s">
        <v>4008</v>
      </c>
      <c r="B425" s="51" t="s">
        <v>940</v>
      </c>
      <c r="C425" s="53" t="s">
        <v>840</v>
      </c>
      <c r="D425" s="385">
        <v>0</v>
      </c>
      <c r="E425" s="385">
        <v>0</v>
      </c>
      <c r="F425" s="385">
        <v>0</v>
      </c>
      <c r="G425" s="385">
        <v>0</v>
      </c>
      <c r="H425" s="385">
        <v>0</v>
      </c>
      <c r="I425" s="228"/>
      <c r="L425" s="41"/>
      <c r="M425" s="41"/>
      <c r="N425" s="42"/>
      <c r="O425" s="42"/>
    </row>
    <row r="426" spans="1:15" collapsed="1" x14ac:dyDescent="0.3">
      <c r="A426" s="51"/>
      <c r="B426" s="51"/>
      <c r="C426" s="51"/>
      <c r="D426" s="385"/>
      <c r="E426" s="385"/>
      <c r="F426" s="385"/>
      <c r="G426" s="385"/>
      <c r="H426" s="385"/>
      <c r="I426" s="228"/>
      <c r="L426" s="41"/>
      <c r="M426" s="41"/>
      <c r="N426" s="42"/>
      <c r="O426" s="42"/>
    </row>
    <row r="427" spans="1:15" x14ac:dyDescent="0.3">
      <c r="A427" s="53" t="s">
        <v>4018</v>
      </c>
      <c r="B427" s="203"/>
      <c r="C427" s="52" t="s">
        <v>3973</v>
      </c>
      <c r="D427" s="540">
        <v>929429.93939393945</v>
      </c>
      <c r="E427" s="540">
        <v>934906.93939393945</v>
      </c>
      <c r="F427" s="540">
        <v>943069.93939393945</v>
      </c>
      <c r="G427" s="540">
        <v>955882.93939393945</v>
      </c>
      <c r="H427" s="540">
        <v>965843.93939393945</v>
      </c>
      <c r="I427" s="228"/>
      <c r="L427" s="41"/>
      <c r="M427" s="41"/>
      <c r="N427" s="42"/>
      <c r="O427" s="42"/>
    </row>
    <row r="428" spans="1:15" x14ac:dyDescent="0.3">
      <c r="A428" s="127" t="s">
        <v>5</v>
      </c>
      <c r="B428" s="127" t="s">
        <v>847</v>
      </c>
      <c r="C428" s="127" t="s">
        <v>193</v>
      </c>
      <c r="D428" s="541">
        <v>2025</v>
      </c>
      <c r="E428" s="541">
        <v>2030</v>
      </c>
      <c r="F428" s="541">
        <v>2035</v>
      </c>
      <c r="G428" s="541">
        <v>2040</v>
      </c>
      <c r="H428" s="541">
        <v>2045</v>
      </c>
      <c r="I428" s="322" t="s">
        <v>153</v>
      </c>
      <c r="L428" s="41"/>
      <c r="M428" s="41"/>
      <c r="N428" s="42"/>
      <c r="O428" s="42"/>
    </row>
    <row r="429" spans="1:15" hidden="1" outlineLevel="1" x14ac:dyDescent="0.3">
      <c r="A429" s="51" t="s">
        <v>4018</v>
      </c>
      <c r="B429" s="51" t="s">
        <v>855</v>
      </c>
      <c r="C429" s="53" t="s">
        <v>747</v>
      </c>
      <c r="D429" s="384">
        <v>0</v>
      </c>
      <c r="E429" s="384">
        <v>0</v>
      </c>
      <c r="F429" s="384">
        <v>0</v>
      </c>
      <c r="G429" s="384">
        <v>0</v>
      </c>
      <c r="H429" s="384">
        <v>0</v>
      </c>
      <c r="I429" s="228"/>
      <c r="L429" s="41"/>
      <c r="M429" s="41"/>
      <c r="N429" s="42"/>
      <c r="O429" s="42"/>
    </row>
    <row r="430" spans="1:15" hidden="1" outlineLevel="1" x14ac:dyDescent="0.3">
      <c r="A430" s="51" t="s">
        <v>4018</v>
      </c>
      <c r="B430" s="51" t="s">
        <v>855</v>
      </c>
      <c r="C430" s="53" t="s">
        <v>751</v>
      </c>
      <c r="D430" s="384">
        <v>0</v>
      </c>
      <c r="E430" s="384">
        <v>0</v>
      </c>
      <c r="F430" s="384">
        <v>0</v>
      </c>
      <c r="G430" s="384">
        <v>0</v>
      </c>
      <c r="H430" s="384">
        <v>0</v>
      </c>
      <c r="I430" s="228"/>
      <c r="L430" s="41"/>
      <c r="M430" s="41"/>
      <c r="N430" s="42"/>
      <c r="O430" s="42"/>
    </row>
    <row r="431" spans="1:15" hidden="1" outlineLevel="1" x14ac:dyDescent="0.3">
      <c r="A431" s="51" t="s">
        <v>4018</v>
      </c>
      <c r="B431" s="51" t="s">
        <v>855</v>
      </c>
      <c r="C431" s="53" t="s">
        <v>755</v>
      </c>
      <c r="D431" s="384">
        <v>0</v>
      </c>
      <c r="E431" s="384">
        <v>0</v>
      </c>
      <c r="F431" s="384">
        <v>0</v>
      </c>
      <c r="G431" s="384">
        <v>0</v>
      </c>
      <c r="H431" s="384">
        <v>0</v>
      </c>
      <c r="I431" s="228"/>
      <c r="L431" s="41"/>
      <c r="M431" s="41"/>
      <c r="N431" s="42"/>
      <c r="O431" s="42"/>
    </row>
    <row r="432" spans="1:15" hidden="1" outlineLevel="1" x14ac:dyDescent="0.3">
      <c r="A432" s="51" t="s">
        <v>4018</v>
      </c>
      <c r="B432" s="51" t="s">
        <v>855</v>
      </c>
      <c r="C432" s="53" t="s">
        <v>758</v>
      </c>
      <c r="D432" s="384">
        <v>0</v>
      </c>
      <c r="E432" s="384">
        <v>0</v>
      </c>
      <c r="F432" s="384">
        <v>0</v>
      </c>
      <c r="G432" s="384">
        <v>0</v>
      </c>
      <c r="H432" s="384">
        <v>0</v>
      </c>
      <c r="I432" s="228"/>
      <c r="L432" s="41"/>
      <c r="M432" s="41"/>
      <c r="N432" s="42"/>
      <c r="O432" s="42"/>
    </row>
    <row r="433" spans="1:15" hidden="1" outlineLevel="1" x14ac:dyDescent="0.3">
      <c r="A433" s="51" t="s">
        <v>4018</v>
      </c>
      <c r="B433" s="51" t="s">
        <v>855</v>
      </c>
      <c r="C433" s="53" t="s">
        <v>761</v>
      </c>
      <c r="D433" s="384">
        <v>0</v>
      </c>
      <c r="E433" s="384">
        <v>0</v>
      </c>
      <c r="F433" s="384">
        <v>0</v>
      </c>
      <c r="G433" s="384">
        <v>0</v>
      </c>
      <c r="H433" s="384">
        <v>0</v>
      </c>
      <c r="I433" s="228"/>
      <c r="L433" s="41"/>
      <c r="M433" s="41"/>
      <c r="N433" s="42"/>
      <c r="O433" s="42"/>
    </row>
    <row r="434" spans="1:15" hidden="1" outlineLevel="1" x14ac:dyDescent="0.3">
      <c r="A434" s="51" t="s">
        <v>4018</v>
      </c>
      <c r="B434" s="51" t="s">
        <v>855</v>
      </c>
      <c r="C434" s="53" t="s">
        <v>763</v>
      </c>
      <c r="D434" s="384">
        <v>0</v>
      </c>
      <c r="E434" s="384">
        <v>0</v>
      </c>
      <c r="F434" s="384">
        <v>0</v>
      </c>
      <c r="G434" s="384">
        <v>0</v>
      </c>
      <c r="H434" s="384">
        <v>0</v>
      </c>
      <c r="I434" s="228"/>
      <c r="L434" s="41"/>
      <c r="M434" s="41"/>
      <c r="N434" s="42"/>
      <c r="O434" s="42"/>
    </row>
    <row r="435" spans="1:15" hidden="1" outlineLevel="1" x14ac:dyDescent="0.3">
      <c r="A435" s="51" t="s">
        <v>4018</v>
      </c>
      <c r="B435" s="51" t="s">
        <v>855</v>
      </c>
      <c r="C435" s="53" t="s">
        <v>765</v>
      </c>
      <c r="D435" s="384">
        <v>0</v>
      </c>
      <c r="E435" s="384">
        <v>0</v>
      </c>
      <c r="F435" s="384">
        <v>0</v>
      </c>
      <c r="G435" s="384">
        <v>0</v>
      </c>
      <c r="H435" s="384">
        <v>0</v>
      </c>
      <c r="I435" s="228"/>
      <c r="L435" s="41"/>
      <c r="M435" s="41"/>
      <c r="N435" s="42"/>
      <c r="O435" s="42"/>
    </row>
    <row r="436" spans="1:15" hidden="1" outlineLevel="1" x14ac:dyDescent="0.3">
      <c r="A436" s="51" t="s">
        <v>4018</v>
      </c>
      <c r="B436" s="51" t="s">
        <v>855</v>
      </c>
      <c r="C436" s="53" t="s">
        <v>768</v>
      </c>
      <c r="D436" s="384">
        <v>0</v>
      </c>
      <c r="E436" s="384">
        <v>0</v>
      </c>
      <c r="F436" s="384">
        <v>0</v>
      </c>
      <c r="G436" s="384">
        <v>0</v>
      </c>
      <c r="H436" s="384">
        <v>0</v>
      </c>
      <c r="I436" s="228"/>
      <c r="L436" s="41"/>
      <c r="M436" s="41"/>
      <c r="N436" s="42"/>
      <c r="O436" s="42"/>
    </row>
    <row r="437" spans="1:15" hidden="1" outlineLevel="1" x14ac:dyDescent="0.3">
      <c r="A437" s="51" t="s">
        <v>4018</v>
      </c>
      <c r="B437" s="51" t="s">
        <v>855</v>
      </c>
      <c r="C437" s="53" t="s">
        <v>771</v>
      </c>
      <c r="D437" s="384">
        <v>0</v>
      </c>
      <c r="E437" s="384">
        <v>0</v>
      </c>
      <c r="F437" s="384">
        <v>0</v>
      </c>
      <c r="G437" s="384">
        <v>0</v>
      </c>
      <c r="H437" s="384">
        <v>0</v>
      </c>
      <c r="I437" s="228"/>
      <c r="L437" s="41"/>
      <c r="M437" s="41"/>
      <c r="N437" s="42"/>
      <c r="O437" s="42"/>
    </row>
    <row r="438" spans="1:15" hidden="1" outlineLevel="1" x14ac:dyDescent="0.3">
      <c r="A438" s="51" t="s">
        <v>4018</v>
      </c>
      <c r="B438" s="51" t="s">
        <v>855</v>
      </c>
      <c r="C438" s="53" t="s">
        <v>772</v>
      </c>
      <c r="D438" s="384">
        <v>0</v>
      </c>
      <c r="E438" s="384">
        <v>0</v>
      </c>
      <c r="F438" s="384">
        <v>0</v>
      </c>
      <c r="G438" s="384">
        <v>0</v>
      </c>
      <c r="H438" s="384">
        <v>0</v>
      </c>
      <c r="I438" s="228"/>
      <c r="L438" s="41"/>
      <c r="M438" s="41"/>
      <c r="N438" s="42"/>
      <c r="O438" s="42"/>
    </row>
    <row r="439" spans="1:15" hidden="1" outlineLevel="1" x14ac:dyDescent="0.3">
      <c r="A439" s="51" t="s">
        <v>4018</v>
      </c>
      <c r="B439" s="51" t="s">
        <v>855</v>
      </c>
      <c r="C439" s="53" t="s">
        <v>774</v>
      </c>
      <c r="D439" s="384">
        <v>0</v>
      </c>
      <c r="E439" s="384">
        <v>0</v>
      </c>
      <c r="F439" s="384">
        <v>0</v>
      </c>
      <c r="G439" s="384">
        <v>0</v>
      </c>
      <c r="H439" s="384">
        <v>0</v>
      </c>
      <c r="I439" s="228"/>
      <c r="L439" s="41"/>
      <c r="M439" s="41"/>
      <c r="N439" s="42"/>
      <c r="O439" s="42"/>
    </row>
    <row r="440" spans="1:15" hidden="1" outlineLevel="1" x14ac:dyDescent="0.3">
      <c r="A440" s="51" t="s">
        <v>4018</v>
      </c>
      <c r="B440" s="51" t="s">
        <v>855</v>
      </c>
      <c r="C440" s="53" t="s">
        <v>775</v>
      </c>
      <c r="D440" s="384">
        <v>0</v>
      </c>
      <c r="E440" s="384">
        <v>0</v>
      </c>
      <c r="F440" s="384">
        <v>0</v>
      </c>
      <c r="G440" s="384">
        <v>0</v>
      </c>
      <c r="H440" s="384">
        <v>0</v>
      </c>
      <c r="I440" s="228"/>
      <c r="L440" s="41"/>
      <c r="M440" s="41"/>
      <c r="N440" s="42"/>
      <c r="O440" s="42"/>
    </row>
    <row r="441" spans="1:15" hidden="1" outlineLevel="1" x14ac:dyDescent="0.3">
      <c r="A441" s="51" t="s">
        <v>4018</v>
      </c>
      <c r="B441" s="51" t="s">
        <v>855</v>
      </c>
      <c r="C441" s="53" t="s">
        <v>779</v>
      </c>
      <c r="D441" s="384">
        <v>0</v>
      </c>
      <c r="E441" s="384">
        <v>0</v>
      </c>
      <c r="F441" s="384">
        <v>0</v>
      </c>
      <c r="G441" s="384">
        <v>0</v>
      </c>
      <c r="H441" s="384">
        <v>0</v>
      </c>
      <c r="I441" s="228"/>
      <c r="L441" s="41"/>
      <c r="M441" s="41"/>
      <c r="N441" s="42"/>
      <c r="O441" s="42"/>
    </row>
    <row r="442" spans="1:15" hidden="1" outlineLevel="1" x14ac:dyDescent="0.3">
      <c r="A442" s="51" t="s">
        <v>4018</v>
      </c>
      <c r="B442" s="51" t="s">
        <v>894</v>
      </c>
      <c r="C442" s="53" t="s">
        <v>781</v>
      </c>
      <c r="D442" s="384">
        <v>0</v>
      </c>
      <c r="E442" s="384">
        <v>0</v>
      </c>
      <c r="F442" s="384">
        <v>0</v>
      </c>
      <c r="G442" s="384">
        <v>0</v>
      </c>
      <c r="H442" s="384">
        <v>0</v>
      </c>
      <c r="I442" s="228"/>
      <c r="L442" s="41"/>
      <c r="M442" s="41"/>
      <c r="N442" s="42"/>
      <c r="O442" s="42"/>
    </row>
    <row r="443" spans="1:15" hidden="1" outlineLevel="1" x14ac:dyDescent="0.3">
      <c r="A443" s="51" t="s">
        <v>4018</v>
      </c>
      <c r="B443" s="51" t="s">
        <v>894</v>
      </c>
      <c r="C443" s="53" t="s">
        <v>783</v>
      </c>
      <c r="D443" s="384">
        <v>0</v>
      </c>
      <c r="E443" s="384">
        <v>0</v>
      </c>
      <c r="F443" s="384">
        <v>0</v>
      </c>
      <c r="G443" s="384">
        <v>0</v>
      </c>
      <c r="H443" s="384">
        <v>0</v>
      </c>
      <c r="I443" s="228"/>
      <c r="L443" s="41"/>
      <c r="M443" s="41"/>
      <c r="N443" s="42"/>
      <c r="O443" s="42"/>
    </row>
    <row r="444" spans="1:15" hidden="1" outlineLevel="1" x14ac:dyDescent="0.3">
      <c r="A444" s="51" t="s">
        <v>4018</v>
      </c>
      <c r="B444" s="51" t="s">
        <v>894</v>
      </c>
      <c r="C444" s="53" t="s">
        <v>785</v>
      </c>
      <c r="D444" s="384">
        <v>0</v>
      </c>
      <c r="E444" s="384">
        <v>0</v>
      </c>
      <c r="F444" s="384">
        <v>0</v>
      </c>
      <c r="G444" s="384">
        <v>0</v>
      </c>
      <c r="H444" s="384">
        <v>0</v>
      </c>
      <c r="I444" s="228"/>
      <c r="L444" s="41"/>
      <c r="M444" s="41"/>
      <c r="N444" s="42"/>
      <c r="O444" s="42"/>
    </row>
    <row r="445" spans="1:15" hidden="1" outlineLevel="1" x14ac:dyDescent="0.3">
      <c r="A445" s="51" t="s">
        <v>4018</v>
      </c>
      <c r="B445" s="51" t="s">
        <v>894</v>
      </c>
      <c r="C445" s="53" t="s">
        <v>787</v>
      </c>
      <c r="D445" s="384">
        <v>0</v>
      </c>
      <c r="E445" s="384">
        <v>0</v>
      </c>
      <c r="F445" s="384">
        <v>0</v>
      </c>
      <c r="G445" s="384">
        <v>0</v>
      </c>
      <c r="H445" s="384">
        <v>0</v>
      </c>
      <c r="I445" s="228"/>
      <c r="L445" s="41"/>
      <c r="M445" s="41"/>
      <c r="N445" s="42"/>
      <c r="O445" s="42"/>
    </row>
    <row r="446" spans="1:15" hidden="1" outlineLevel="1" x14ac:dyDescent="0.3">
      <c r="A446" s="51" t="s">
        <v>4018</v>
      </c>
      <c r="B446" s="51" t="s">
        <v>894</v>
      </c>
      <c r="C446" s="53" t="s">
        <v>788</v>
      </c>
      <c r="D446" s="384">
        <v>0</v>
      </c>
      <c r="E446" s="384">
        <v>0</v>
      </c>
      <c r="F446" s="384">
        <v>0</v>
      </c>
      <c r="G446" s="384">
        <v>0</v>
      </c>
      <c r="H446" s="384">
        <v>0</v>
      </c>
      <c r="I446" s="228"/>
      <c r="L446" s="41"/>
      <c r="M446" s="41"/>
      <c r="N446" s="42"/>
      <c r="O446" s="42"/>
    </row>
    <row r="447" spans="1:15" hidden="1" outlineLevel="1" x14ac:dyDescent="0.3">
      <c r="A447" s="51" t="s">
        <v>4018</v>
      </c>
      <c r="B447" s="51" t="s">
        <v>894</v>
      </c>
      <c r="C447" s="53" t="s">
        <v>789</v>
      </c>
      <c r="D447" s="384">
        <v>0</v>
      </c>
      <c r="E447" s="384">
        <v>0</v>
      </c>
      <c r="F447" s="384">
        <v>0</v>
      </c>
      <c r="G447" s="384">
        <v>0</v>
      </c>
      <c r="H447" s="384">
        <v>0</v>
      </c>
      <c r="I447" s="228"/>
      <c r="L447" s="41"/>
      <c r="M447" s="41"/>
      <c r="N447" s="42"/>
      <c r="O447" s="42"/>
    </row>
    <row r="448" spans="1:15" hidden="1" outlineLevel="1" x14ac:dyDescent="0.3">
      <c r="A448" s="51" t="s">
        <v>4018</v>
      </c>
      <c r="B448" s="51" t="s">
        <v>894</v>
      </c>
      <c r="C448" s="53" t="s">
        <v>790</v>
      </c>
      <c r="D448" s="384">
        <v>1722</v>
      </c>
      <c r="E448" s="384">
        <v>1722</v>
      </c>
      <c r="F448" s="384">
        <v>1722</v>
      </c>
      <c r="G448" s="384">
        <v>1722</v>
      </c>
      <c r="H448" s="384">
        <v>1722</v>
      </c>
      <c r="I448" s="228" t="s">
        <v>4019</v>
      </c>
      <c r="L448" s="41"/>
      <c r="M448" s="41"/>
      <c r="N448" s="42"/>
      <c r="O448" s="42"/>
    </row>
    <row r="449" spans="1:15" hidden="1" outlineLevel="1" x14ac:dyDescent="0.3">
      <c r="A449" s="51" t="s">
        <v>4018</v>
      </c>
      <c r="B449" s="51" t="s">
        <v>894</v>
      </c>
      <c r="C449" s="53" t="s">
        <v>793</v>
      </c>
      <c r="D449" s="384">
        <v>79645</v>
      </c>
      <c r="E449" s="384">
        <v>79645</v>
      </c>
      <c r="F449" s="384">
        <v>79645</v>
      </c>
      <c r="G449" s="384">
        <v>79645</v>
      </c>
      <c r="H449" s="384">
        <v>79645</v>
      </c>
      <c r="I449" s="228" t="s">
        <v>4020</v>
      </c>
      <c r="L449" s="41"/>
      <c r="M449" s="41"/>
      <c r="N449" s="42"/>
      <c r="O449" s="42"/>
    </row>
    <row r="450" spans="1:15" hidden="1" outlineLevel="1" x14ac:dyDescent="0.3">
      <c r="A450" s="51" t="s">
        <v>4018</v>
      </c>
      <c r="B450" s="51" t="s">
        <v>894</v>
      </c>
      <c r="C450" s="53" t="s">
        <v>795</v>
      </c>
      <c r="D450" s="384">
        <v>0</v>
      </c>
      <c r="E450" s="384">
        <v>0</v>
      </c>
      <c r="F450" s="384">
        <v>0</v>
      </c>
      <c r="G450" s="384">
        <v>0</v>
      </c>
      <c r="H450" s="384">
        <v>0</v>
      </c>
      <c r="I450" s="228"/>
      <c r="L450" s="41"/>
      <c r="M450" s="41"/>
      <c r="N450" s="42"/>
      <c r="O450" s="42"/>
    </row>
    <row r="451" spans="1:15" hidden="1" outlineLevel="1" x14ac:dyDescent="0.3">
      <c r="A451" s="51" t="s">
        <v>4018</v>
      </c>
      <c r="B451" s="51" t="s">
        <v>894</v>
      </c>
      <c r="C451" s="53" t="s">
        <v>797</v>
      </c>
      <c r="D451" s="384">
        <v>0</v>
      </c>
      <c r="E451" s="384">
        <v>0</v>
      </c>
      <c r="F451" s="384">
        <v>0</v>
      </c>
      <c r="G451" s="384">
        <v>0</v>
      </c>
      <c r="H451" s="384">
        <v>0</v>
      </c>
      <c r="I451" s="228" t="s">
        <v>3988</v>
      </c>
      <c r="L451" s="41"/>
      <c r="M451" s="41"/>
      <c r="N451" s="42"/>
      <c r="O451" s="42"/>
    </row>
    <row r="452" spans="1:15" hidden="1" outlineLevel="1" x14ac:dyDescent="0.3">
      <c r="A452" s="51" t="s">
        <v>4018</v>
      </c>
      <c r="B452" s="51" t="s">
        <v>915</v>
      </c>
      <c r="C452" s="53" t="s">
        <v>799</v>
      </c>
      <c r="D452" s="384">
        <v>24043.939393939392</v>
      </c>
      <c r="E452" s="384">
        <v>24043.939393939392</v>
      </c>
      <c r="F452" s="384">
        <v>24043.939393939392</v>
      </c>
      <c r="G452" s="384">
        <v>24043.939393939392</v>
      </c>
      <c r="H452" s="384">
        <v>24043.939393939392</v>
      </c>
      <c r="I452" s="228" t="s">
        <v>2775</v>
      </c>
      <c r="L452" s="41"/>
      <c r="M452" s="41"/>
      <c r="N452" s="42"/>
      <c r="O452" s="42"/>
    </row>
    <row r="453" spans="1:15" hidden="1" outlineLevel="1" x14ac:dyDescent="0.3">
      <c r="A453" s="51" t="s">
        <v>4018</v>
      </c>
      <c r="B453" s="51" t="s">
        <v>915</v>
      </c>
      <c r="C453" s="53" t="s">
        <v>801</v>
      </c>
      <c r="D453" s="384">
        <v>13500</v>
      </c>
      <c r="E453" s="384">
        <v>13500</v>
      </c>
      <c r="F453" s="384">
        <v>13500</v>
      </c>
      <c r="G453" s="384">
        <v>13500</v>
      </c>
      <c r="H453" s="384">
        <v>13500</v>
      </c>
      <c r="I453" s="228" t="s">
        <v>4021</v>
      </c>
      <c r="L453" s="41"/>
      <c r="M453" s="41"/>
      <c r="N453" s="42"/>
      <c r="O453" s="42"/>
    </row>
    <row r="454" spans="1:15" hidden="1" outlineLevel="1" x14ac:dyDescent="0.3">
      <c r="A454" s="51" t="s">
        <v>4018</v>
      </c>
      <c r="B454" s="51" t="s">
        <v>915</v>
      </c>
      <c r="C454" s="53" t="s">
        <v>804</v>
      </c>
      <c r="D454" s="384">
        <v>0</v>
      </c>
      <c r="E454" s="384">
        <v>0</v>
      </c>
      <c r="F454" s="384">
        <v>0</v>
      </c>
      <c r="G454" s="384">
        <v>0</v>
      </c>
      <c r="H454" s="384">
        <v>0</v>
      </c>
      <c r="I454" s="228"/>
      <c r="L454" s="41"/>
      <c r="M454" s="41"/>
      <c r="N454" s="42"/>
      <c r="O454" s="42"/>
    </row>
    <row r="455" spans="1:15" hidden="1" outlineLevel="1" x14ac:dyDescent="0.3">
      <c r="A455" s="51" t="s">
        <v>4018</v>
      </c>
      <c r="B455" s="51" t="s">
        <v>915</v>
      </c>
      <c r="C455" s="53" t="s">
        <v>806</v>
      </c>
      <c r="D455" s="384">
        <v>0</v>
      </c>
      <c r="E455" s="384">
        <v>0</v>
      </c>
      <c r="F455" s="384">
        <v>0</v>
      </c>
      <c r="G455" s="384">
        <v>0</v>
      </c>
      <c r="H455" s="384">
        <v>0</v>
      </c>
      <c r="I455" s="228"/>
      <c r="L455" s="41"/>
      <c r="M455" s="41"/>
      <c r="N455" s="42"/>
      <c r="O455" s="42"/>
    </row>
    <row r="456" spans="1:15" hidden="1" outlineLevel="1" x14ac:dyDescent="0.3">
      <c r="A456" s="51" t="s">
        <v>4018</v>
      </c>
      <c r="B456" s="51" t="s">
        <v>915</v>
      </c>
      <c r="C456" s="53" t="s">
        <v>808</v>
      </c>
      <c r="D456" s="384"/>
      <c r="E456" s="384"/>
      <c r="F456" s="384"/>
      <c r="G456" s="384"/>
      <c r="H456" s="384"/>
      <c r="I456" s="228"/>
      <c r="L456" s="41"/>
      <c r="M456" s="41"/>
      <c r="N456" s="42"/>
      <c r="O456" s="42"/>
    </row>
    <row r="457" spans="1:15" hidden="1" outlineLevel="1" x14ac:dyDescent="0.3">
      <c r="A457" s="51" t="s">
        <v>4018</v>
      </c>
      <c r="B457" s="51" t="s">
        <v>915</v>
      </c>
      <c r="C457" s="53" t="s">
        <v>811</v>
      </c>
      <c r="D457" s="384">
        <v>78000</v>
      </c>
      <c r="E457" s="384">
        <v>78000</v>
      </c>
      <c r="F457" s="384">
        <v>78000</v>
      </c>
      <c r="G457" s="384">
        <v>78000</v>
      </c>
      <c r="H457" s="384">
        <v>78000</v>
      </c>
      <c r="I457" s="228" t="s">
        <v>4022</v>
      </c>
      <c r="L457" s="41"/>
      <c r="M457" s="41"/>
      <c r="N457" s="42"/>
      <c r="O457" s="42"/>
    </row>
    <row r="458" spans="1:15" hidden="1" outlineLevel="1" x14ac:dyDescent="0.3">
      <c r="A458" s="51" t="s">
        <v>4018</v>
      </c>
      <c r="B458" s="51" t="s">
        <v>934</v>
      </c>
      <c r="C458" s="53" t="s">
        <v>814</v>
      </c>
      <c r="D458" s="384" t="s">
        <v>204</v>
      </c>
      <c r="E458" s="384" t="s">
        <v>204</v>
      </c>
      <c r="F458" s="384" t="s">
        <v>204</v>
      </c>
      <c r="G458" s="384" t="s">
        <v>204</v>
      </c>
      <c r="H458" s="384" t="s">
        <v>204</v>
      </c>
      <c r="I458" s="228"/>
      <c r="L458" s="41"/>
      <c r="M458" s="41"/>
      <c r="N458" s="42"/>
      <c r="O458" s="42"/>
    </row>
    <row r="459" spans="1:15" hidden="1" outlineLevel="1" x14ac:dyDescent="0.3">
      <c r="A459" s="51" t="s">
        <v>4018</v>
      </c>
      <c r="B459" s="51" t="s">
        <v>934</v>
      </c>
      <c r="C459" s="53" t="s">
        <v>815</v>
      </c>
      <c r="D459" s="384">
        <v>0</v>
      </c>
      <c r="E459" s="384">
        <v>0</v>
      </c>
      <c r="F459" s="384">
        <v>0</v>
      </c>
      <c r="G459" s="384">
        <v>0</v>
      </c>
      <c r="H459" s="384">
        <v>0</v>
      </c>
      <c r="I459" s="228"/>
      <c r="L459" s="41"/>
      <c r="M459" s="41"/>
      <c r="N459" s="42"/>
      <c r="O459" s="42"/>
    </row>
    <row r="460" spans="1:15" hidden="1" outlineLevel="1" x14ac:dyDescent="0.3">
      <c r="A460" s="51" t="s">
        <v>4018</v>
      </c>
      <c r="B460" s="51" t="s">
        <v>940</v>
      </c>
      <c r="C460" s="53" t="s">
        <v>817</v>
      </c>
      <c r="D460" s="384">
        <v>110150</v>
      </c>
      <c r="E460" s="384">
        <v>110150</v>
      </c>
      <c r="F460" s="384">
        <v>110150</v>
      </c>
      <c r="G460" s="384">
        <v>110150</v>
      </c>
      <c r="H460" s="384">
        <v>110150</v>
      </c>
      <c r="I460" s="228" t="s">
        <v>4023</v>
      </c>
      <c r="L460" s="41"/>
      <c r="M460" s="41"/>
      <c r="N460" s="42"/>
      <c r="O460" s="42"/>
    </row>
    <row r="461" spans="1:15" hidden="1" outlineLevel="1" x14ac:dyDescent="0.3">
      <c r="A461" s="51" t="s">
        <v>4018</v>
      </c>
      <c r="B461" s="51" t="s">
        <v>940</v>
      </c>
      <c r="C461" s="53" t="s">
        <v>944</v>
      </c>
      <c r="D461" s="384">
        <v>25000</v>
      </c>
      <c r="E461" s="384">
        <v>30000</v>
      </c>
      <c r="F461" s="384">
        <v>30000</v>
      </c>
      <c r="G461" s="384">
        <v>30000</v>
      </c>
      <c r="H461" s="384">
        <v>30000</v>
      </c>
      <c r="I461" s="228" t="s">
        <v>3992</v>
      </c>
      <c r="L461" s="41"/>
      <c r="M461" s="41"/>
      <c r="N461" s="42"/>
      <c r="O461" s="42"/>
    </row>
    <row r="462" spans="1:15" hidden="1" outlineLevel="1" x14ac:dyDescent="0.3">
      <c r="A462" s="51" t="s">
        <v>4018</v>
      </c>
      <c r="B462" s="51" t="s">
        <v>940</v>
      </c>
      <c r="C462" s="53" t="s">
        <v>821</v>
      </c>
      <c r="D462" s="384" t="s">
        <v>204</v>
      </c>
      <c r="E462" s="384" t="s">
        <v>204</v>
      </c>
      <c r="F462" s="384" t="s">
        <v>204</v>
      </c>
      <c r="G462" s="384" t="s">
        <v>204</v>
      </c>
      <c r="H462" s="384" t="s">
        <v>204</v>
      </c>
      <c r="I462" s="228"/>
      <c r="L462" s="41"/>
      <c r="M462" s="41"/>
      <c r="N462" s="42"/>
      <c r="O462" s="42"/>
    </row>
    <row r="463" spans="1:15" hidden="1" outlineLevel="1" x14ac:dyDescent="0.3">
      <c r="A463" s="51" t="s">
        <v>4018</v>
      </c>
      <c r="B463" s="51" t="s">
        <v>940</v>
      </c>
      <c r="C463" s="53" t="s">
        <v>823</v>
      </c>
      <c r="D463" s="384">
        <v>0</v>
      </c>
      <c r="E463" s="384">
        <v>0</v>
      </c>
      <c r="F463" s="384">
        <v>0</v>
      </c>
      <c r="G463" s="384">
        <v>0</v>
      </c>
      <c r="H463" s="384">
        <v>0</v>
      </c>
      <c r="I463" s="228"/>
      <c r="L463" s="41"/>
      <c r="M463" s="41"/>
      <c r="N463" s="42"/>
      <c r="O463" s="42"/>
    </row>
    <row r="464" spans="1:15" hidden="1" outlineLevel="1" x14ac:dyDescent="0.3">
      <c r="A464" s="51" t="s">
        <v>4018</v>
      </c>
      <c r="B464" s="51" t="s">
        <v>940</v>
      </c>
      <c r="C464" s="53" t="s">
        <v>825</v>
      </c>
      <c r="D464" s="384" t="s">
        <v>204</v>
      </c>
      <c r="E464" s="384" t="s">
        <v>204</v>
      </c>
      <c r="F464" s="384" t="s">
        <v>204</v>
      </c>
      <c r="G464" s="384" t="s">
        <v>204</v>
      </c>
      <c r="H464" s="384" t="s">
        <v>204</v>
      </c>
      <c r="I464" s="228"/>
      <c r="L464" s="41"/>
      <c r="M464" s="41"/>
      <c r="N464" s="42"/>
      <c r="O464" s="42"/>
    </row>
    <row r="465" spans="1:15" hidden="1" outlineLevel="1" x14ac:dyDescent="0.3">
      <c r="A465" s="51" t="s">
        <v>4018</v>
      </c>
      <c r="B465" s="51" t="s">
        <v>940</v>
      </c>
      <c r="C465" s="53" t="s">
        <v>827</v>
      </c>
      <c r="D465" s="384">
        <v>483300</v>
      </c>
      <c r="E465" s="384">
        <v>483300</v>
      </c>
      <c r="F465" s="384">
        <v>483300</v>
      </c>
      <c r="G465" s="384">
        <v>483300</v>
      </c>
      <c r="H465" s="384">
        <v>483300</v>
      </c>
      <c r="I465" s="228" t="s">
        <v>4024</v>
      </c>
      <c r="L465" s="41"/>
      <c r="M465" s="41"/>
      <c r="N465" s="42"/>
      <c r="O465" s="42"/>
    </row>
    <row r="466" spans="1:15" hidden="1" outlineLevel="1" x14ac:dyDescent="0.3">
      <c r="A466" s="51" t="s">
        <v>4018</v>
      </c>
      <c r="B466" s="51" t="s">
        <v>940</v>
      </c>
      <c r="C466" s="53" t="s">
        <v>829</v>
      </c>
      <c r="D466" s="384">
        <v>96474</v>
      </c>
      <c r="E466" s="384">
        <v>96474</v>
      </c>
      <c r="F466" s="384">
        <v>96474</v>
      </c>
      <c r="G466" s="384">
        <v>96474</v>
      </c>
      <c r="H466" s="384">
        <v>96474</v>
      </c>
      <c r="I466" s="228" t="s">
        <v>4015</v>
      </c>
      <c r="L466" s="41"/>
      <c r="M466" s="41"/>
      <c r="N466" s="42"/>
      <c r="O466" s="42"/>
    </row>
    <row r="467" spans="1:15" hidden="1" outlineLevel="1" x14ac:dyDescent="0.3">
      <c r="A467" s="51" t="s">
        <v>4018</v>
      </c>
      <c r="B467" s="51" t="s">
        <v>940</v>
      </c>
      <c r="C467" s="53" t="s">
        <v>833</v>
      </c>
      <c r="D467" s="384">
        <v>0</v>
      </c>
      <c r="E467" s="384">
        <v>0</v>
      </c>
      <c r="F467" s="384">
        <v>0</v>
      </c>
      <c r="G467" s="384">
        <v>0</v>
      </c>
      <c r="H467" s="384">
        <v>0</v>
      </c>
      <c r="I467" s="228"/>
      <c r="L467" s="41"/>
      <c r="M467" s="41"/>
      <c r="N467" s="42"/>
      <c r="O467" s="42"/>
    </row>
    <row r="468" spans="1:15" hidden="1" outlineLevel="1" x14ac:dyDescent="0.3">
      <c r="A468" s="51" t="s">
        <v>4018</v>
      </c>
      <c r="B468" s="51" t="s">
        <v>940</v>
      </c>
      <c r="C468" s="53" t="s">
        <v>836</v>
      </c>
      <c r="D468" s="384">
        <v>16595</v>
      </c>
      <c r="E468" s="384">
        <v>17072</v>
      </c>
      <c r="F468" s="384">
        <v>25235</v>
      </c>
      <c r="G468" s="384">
        <v>38048</v>
      </c>
      <c r="H468" s="384">
        <v>48009</v>
      </c>
      <c r="I468" s="228" t="s">
        <v>4025</v>
      </c>
      <c r="L468" s="41"/>
      <c r="M468" s="41"/>
      <c r="N468" s="42"/>
      <c r="O468" s="42"/>
    </row>
    <row r="469" spans="1:15" hidden="1" outlineLevel="1" x14ac:dyDescent="0.3">
      <c r="A469" s="51" t="s">
        <v>4018</v>
      </c>
      <c r="B469" s="51" t="s">
        <v>940</v>
      </c>
      <c r="C469" s="53" t="s">
        <v>837</v>
      </c>
      <c r="D469" s="384">
        <v>0</v>
      </c>
      <c r="E469" s="384">
        <v>0</v>
      </c>
      <c r="F469" s="384">
        <v>0</v>
      </c>
      <c r="G469" s="384">
        <v>0</v>
      </c>
      <c r="H469" s="384">
        <v>0</v>
      </c>
      <c r="I469" s="228" t="s">
        <v>5993</v>
      </c>
      <c r="L469" s="41"/>
      <c r="M469" s="41"/>
      <c r="N469" s="42"/>
      <c r="O469" s="42"/>
    </row>
    <row r="470" spans="1:15" hidden="1" outlineLevel="1" x14ac:dyDescent="0.3">
      <c r="A470" s="51" t="s">
        <v>4018</v>
      </c>
      <c r="B470" s="51" t="s">
        <v>940</v>
      </c>
      <c r="C470" s="53" t="s">
        <v>839</v>
      </c>
      <c r="D470" s="384">
        <v>1000</v>
      </c>
      <c r="E470" s="384">
        <v>1000</v>
      </c>
      <c r="F470" s="384">
        <v>1000</v>
      </c>
      <c r="G470" s="384">
        <v>1000</v>
      </c>
      <c r="H470" s="384">
        <v>1000</v>
      </c>
      <c r="I470" s="228" t="s">
        <v>4026</v>
      </c>
      <c r="L470" s="41"/>
      <c r="M470" s="41"/>
      <c r="N470" s="42"/>
      <c r="O470" s="42"/>
    </row>
    <row r="471" spans="1:15" hidden="1" outlineLevel="1" x14ac:dyDescent="0.3">
      <c r="A471" s="51" t="s">
        <v>4018</v>
      </c>
      <c r="B471" s="51" t="s">
        <v>940</v>
      </c>
      <c r="C471" s="53" t="s">
        <v>840</v>
      </c>
      <c r="D471" s="384">
        <v>0</v>
      </c>
      <c r="E471" s="384">
        <v>0</v>
      </c>
      <c r="F471" s="384">
        <v>0</v>
      </c>
      <c r="G471" s="384">
        <v>0</v>
      </c>
      <c r="H471" s="384">
        <v>0</v>
      </c>
      <c r="I471" s="228"/>
      <c r="L471" s="41"/>
      <c r="M471" s="41"/>
      <c r="N471" s="42"/>
      <c r="O471" s="42"/>
    </row>
    <row r="472" spans="1:15" collapsed="1" x14ac:dyDescent="0.3">
      <c r="A472" s="51"/>
      <c r="B472" s="51"/>
      <c r="C472" s="51"/>
      <c r="D472" s="385"/>
      <c r="E472" s="385"/>
      <c r="F472" s="385"/>
      <c r="G472" s="385"/>
      <c r="H472" s="385"/>
      <c r="I472" s="228"/>
      <c r="L472" s="41"/>
      <c r="M472" s="41"/>
      <c r="N472" s="42"/>
      <c r="O472" s="42"/>
    </row>
    <row r="473" spans="1:15" x14ac:dyDescent="0.3">
      <c r="A473" s="53" t="s">
        <v>621</v>
      </c>
      <c r="B473" s="203"/>
      <c r="C473" s="52"/>
      <c r="D473" s="540"/>
      <c r="E473" s="540"/>
      <c r="F473" s="540"/>
      <c r="G473" s="540"/>
      <c r="H473" s="540"/>
      <c r="I473" s="228"/>
      <c r="L473" s="41"/>
      <c r="M473" s="41"/>
      <c r="N473" s="42"/>
      <c r="O473" s="42"/>
    </row>
    <row r="474" spans="1:15" x14ac:dyDescent="0.3">
      <c r="A474" s="127" t="s">
        <v>5</v>
      </c>
      <c r="B474" s="127" t="s">
        <v>847</v>
      </c>
      <c r="C474" s="127" t="s">
        <v>193</v>
      </c>
      <c r="D474" s="541">
        <v>2025</v>
      </c>
      <c r="E474" s="541">
        <v>2030</v>
      </c>
      <c r="F474" s="541">
        <v>2035</v>
      </c>
      <c r="G474" s="541">
        <v>2040</v>
      </c>
      <c r="H474" s="541">
        <v>2045</v>
      </c>
      <c r="I474" s="322" t="s">
        <v>153</v>
      </c>
      <c r="L474" s="41"/>
      <c r="M474" s="41"/>
      <c r="N474" s="42"/>
      <c r="O474" s="42"/>
    </row>
    <row r="475" spans="1:15" hidden="1" outlineLevel="1" x14ac:dyDescent="0.3">
      <c r="A475" s="51" t="s">
        <v>621</v>
      </c>
      <c r="B475" s="51" t="s">
        <v>855</v>
      </c>
      <c r="C475" s="53" t="s">
        <v>747</v>
      </c>
      <c r="D475" s="385" t="s">
        <v>204</v>
      </c>
      <c r="E475" s="385" t="s">
        <v>204</v>
      </c>
      <c r="F475" s="385" t="s">
        <v>204</v>
      </c>
      <c r="G475" s="385" t="s">
        <v>204</v>
      </c>
      <c r="H475" s="385" t="s">
        <v>204</v>
      </c>
      <c r="I475" s="228"/>
      <c r="L475" s="41"/>
      <c r="M475" s="41"/>
      <c r="N475" s="42"/>
      <c r="O475" s="42"/>
    </row>
    <row r="476" spans="1:15" hidden="1" outlineLevel="1" x14ac:dyDescent="0.3">
      <c r="A476" s="51" t="s">
        <v>621</v>
      </c>
      <c r="B476" s="51" t="s">
        <v>855</v>
      </c>
      <c r="C476" s="53" t="s">
        <v>751</v>
      </c>
      <c r="D476" s="385">
        <v>0</v>
      </c>
      <c r="E476" s="385">
        <v>0</v>
      </c>
      <c r="F476" s="385">
        <v>0</v>
      </c>
      <c r="G476" s="385">
        <v>0</v>
      </c>
      <c r="H476" s="385">
        <v>0</v>
      </c>
      <c r="I476" s="228"/>
      <c r="L476" s="41"/>
      <c r="M476" s="41"/>
      <c r="N476" s="42"/>
      <c r="O476" s="42"/>
    </row>
    <row r="477" spans="1:15" hidden="1" outlineLevel="1" x14ac:dyDescent="0.3">
      <c r="A477" s="51" t="s">
        <v>621</v>
      </c>
      <c r="B477" s="51" t="s">
        <v>855</v>
      </c>
      <c r="C477" s="53" t="s">
        <v>755</v>
      </c>
      <c r="D477" s="385">
        <v>0</v>
      </c>
      <c r="E477" s="385">
        <v>0</v>
      </c>
      <c r="F477" s="385">
        <v>0</v>
      </c>
      <c r="G477" s="385">
        <v>0</v>
      </c>
      <c r="H477" s="385">
        <v>0</v>
      </c>
      <c r="I477" s="228"/>
      <c r="L477" s="41"/>
      <c r="M477" s="41"/>
      <c r="N477" s="42"/>
      <c r="O477" s="42"/>
    </row>
    <row r="478" spans="1:15" hidden="1" outlineLevel="1" x14ac:dyDescent="0.3">
      <c r="A478" s="51" t="s">
        <v>621</v>
      </c>
      <c r="B478" s="51" t="s">
        <v>855</v>
      </c>
      <c r="C478" s="53" t="s">
        <v>758</v>
      </c>
      <c r="D478" s="385">
        <v>0</v>
      </c>
      <c r="E478" s="385">
        <v>0</v>
      </c>
      <c r="F478" s="385">
        <v>0</v>
      </c>
      <c r="G478" s="385">
        <v>0</v>
      </c>
      <c r="H478" s="385">
        <v>0</v>
      </c>
      <c r="I478" s="228"/>
      <c r="L478" s="41"/>
      <c r="M478" s="41"/>
      <c r="N478" s="42"/>
      <c r="O478" s="42"/>
    </row>
    <row r="479" spans="1:15" hidden="1" outlineLevel="1" x14ac:dyDescent="0.3">
      <c r="A479" s="51" t="s">
        <v>621</v>
      </c>
      <c r="B479" s="51" t="s">
        <v>855</v>
      </c>
      <c r="C479" s="53" t="s">
        <v>761</v>
      </c>
      <c r="D479" s="385">
        <v>0</v>
      </c>
      <c r="E479" s="385">
        <v>0</v>
      </c>
      <c r="F479" s="385">
        <v>0</v>
      </c>
      <c r="G479" s="385">
        <v>0</v>
      </c>
      <c r="H479" s="385">
        <v>0</v>
      </c>
      <c r="I479" s="228"/>
      <c r="L479" s="41"/>
      <c r="M479" s="41"/>
      <c r="N479" s="42"/>
      <c r="O479" s="42"/>
    </row>
    <row r="480" spans="1:15" hidden="1" outlineLevel="1" x14ac:dyDescent="0.3">
      <c r="A480" s="51" t="s">
        <v>621</v>
      </c>
      <c r="B480" s="51" t="s">
        <v>855</v>
      </c>
      <c r="C480" s="53" t="s">
        <v>763</v>
      </c>
      <c r="D480" s="385">
        <v>0</v>
      </c>
      <c r="E480" s="385">
        <v>0</v>
      </c>
      <c r="F480" s="385">
        <v>0</v>
      </c>
      <c r="G480" s="385">
        <v>0</v>
      </c>
      <c r="H480" s="385">
        <v>0</v>
      </c>
      <c r="I480" s="228"/>
      <c r="L480" s="41"/>
      <c r="M480" s="41"/>
      <c r="N480" s="42"/>
      <c r="O480" s="42"/>
    </row>
    <row r="481" spans="1:15" hidden="1" outlineLevel="1" x14ac:dyDescent="0.3">
      <c r="A481" s="51" t="s">
        <v>621</v>
      </c>
      <c r="B481" s="51" t="s">
        <v>855</v>
      </c>
      <c r="C481" s="53" t="s">
        <v>765</v>
      </c>
      <c r="D481" s="385">
        <v>0</v>
      </c>
      <c r="E481" s="385">
        <v>0</v>
      </c>
      <c r="F481" s="385">
        <v>0</v>
      </c>
      <c r="G481" s="385">
        <v>0</v>
      </c>
      <c r="H481" s="385">
        <v>0</v>
      </c>
      <c r="I481" s="228"/>
      <c r="L481" s="41"/>
      <c r="M481" s="41"/>
      <c r="N481" s="42"/>
      <c r="O481" s="42"/>
    </row>
    <row r="482" spans="1:15" hidden="1" outlineLevel="1" x14ac:dyDescent="0.3">
      <c r="A482" s="51" t="s">
        <v>621</v>
      </c>
      <c r="B482" s="51" t="s">
        <v>855</v>
      </c>
      <c r="C482" s="53" t="s">
        <v>768</v>
      </c>
      <c r="D482" s="385">
        <v>0</v>
      </c>
      <c r="E482" s="385">
        <v>0</v>
      </c>
      <c r="F482" s="385">
        <v>0</v>
      </c>
      <c r="G482" s="385">
        <v>0</v>
      </c>
      <c r="H482" s="385">
        <v>0</v>
      </c>
      <c r="I482" s="228"/>
      <c r="L482" s="41"/>
      <c r="M482" s="41"/>
      <c r="N482" s="42"/>
      <c r="O482" s="42"/>
    </row>
    <row r="483" spans="1:15" hidden="1" outlineLevel="1" x14ac:dyDescent="0.3">
      <c r="A483" s="51" t="s">
        <v>621</v>
      </c>
      <c r="B483" s="51" t="s">
        <v>855</v>
      </c>
      <c r="C483" s="53" t="s">
        <v>771</v>
      </c>
      <c r="D483" s="385">
        <v>0</v>
      </c>
      <c r="E483" s="385">
        <v>0</v>
      </c>
      <c r="F483" s="385">
        <v>0</v>
      </c>
      <c r="G483" s="385">
        <v>0</v>
      </c>
      <c r="H483" s="385">
        <v>0</v>
      </c>
      <c r="I483" s="228"/>
      <c r="L483" s="41"/>
      <c r="M483" s="41"/>
      <c r="N483" s="42"/>
      <c r="O483" s="42"/>
    </row>
    <row r="484" spans="1:15" hidden="1" outlineLevel="1" x14ac:dyDescent="0.3">
      <c r="A484" s="51" t="s">
        <v>621</v>
      </c>
      <c r="B484" s="51" t="s">
        <v>855</v>
      </c>
      <c r="C484" s="53" t="s">
        <v>772</v>
      </c>
      <c r="D484" s="385">
        <v>0</v>
      </c>
      <c r="E484" s="385">
        <v>0</v>
      </c>
      <c r="F484" s="385">
        <v>0</v>
      </c>
      <c r="G484" s="385">
        <v>0</v>
      </c>
      <c r="H484" s="385">
        <v>0</v>
      </c>
      <c r="I484" s="228"/>
      <c r="L484" s="41"/>
      <c r="M484" s="41"/>
      <c r="N484" s="42"/>
      <c r="O484" s="42"/>
    </row>
    <row r="485" spans="1:15" hidden="1" outlineLevel="1" x14ac:dyDescent="0.3">
      <c r="A485" s="51" t="s">
        <v>621</v>
      </c>
      <c r="B485" s="51" t="s">
        <v>855</v>
      </c>
      <c r="C485" s="53" t="s">
        <v>774</v>
      </c>
      <c r="D485" s="385">
        <v>0</v>
      </c>
      <c r="E485" s="385">
        <v>0</v>
      </c>
      <c r="F485" s="385">
        <v>0</v>
      </c>
      <c r="G485" s="385">
        <v>0</v>
      </c>
      <c r="H485" s="385">
        <v>0</v>
      </c>
      <c r="I485" s="228"/>
      <c r="L485" s="41"/>
      <c r="M485" s="41"/>
      <c r="N485" s="42"/>
      <c r="O485" s="42"/>
    </row>
    <row r="486" spans="1:15" hidden="1" outlineLevel="1" x14ac:dyDescent="0.3">
      <c r="A486" s="51" t="s">
        <v>621</v>
      </c>
      <c r="B486" s="51" t="s">
        <v>855</v>
      </c>
      <c r="C486" s="53" t="s">
        <v>775</v>
      </c>
      <c r="D486" s="385">
        <v>0</v>
      </c>
      <c r="E486" s="385">
        <v>0</v>
      </c>
      <c r="F486" s="385">
        <v>0</v>
      </c>
      <c r="G486" s="385">
        <v>0</v>
      </c>
      <c r="H486" s="385">
        <v>0</v>
      </c>
      <c r="I486" s="228"/>
      <c r="L486" s="41"/>
      <c r="M486" s="41"/>
      <c r="N486" s="42"/>
      <c r="O486" s="42"/>
    </row>
    <row r="487" spans="1:15" hidden="1" outlineLevel="1" x14ac:dyDescent="0.3">
      <c r="A487" s="51" t="s">
        <v>621</v>
      </c>
      <c r="B487" s="51" t="s">
        <v>855</v>
      </c>
      <c r="C487" s="53" t="s">
        <v>779</v>
      </c>
      <c r="D487" s="385">
        <v>0</v>
      </c>
      <c r="E487" s="385">
        <v>0</v>
      </c>
      <c r="F487" s="385">
        <v>0</v>
      </c>
      <c r="G487" s="385">
        <v>0</v>
      </c>
      <c r="H487" s="385">
        <v>0</v>
      </c>
      <c r="I487" s="228"/>
      <c r="L487" s="41"/>
      <c r="M487" s="41"/>
      <c r="N487" s="42"/>
      <c r="O487" s="42"/>
    </row>
    <row r="488" spans="1:15" hidden="1" outlineLevel="1" x14ac:dyDescent="0.3">
      <c r="A488" s="51" t="s">
        <v>621</v>
      </c>
      <c r="B488" s="51" t="s">
        <v>894</v>
      </c>
      <c r="C488" s="53" t="s">
        <v>781</v>
      </c>
      <c r="D488" s="385">
        <v>0</v>
      </c>
      <c r="E488" s="385">
        <v>0</v>
      </c>
      <c r="F488" s="385">
        <v>0</v>
      </c>
      <c r="G488" s="385">
        <v>0</v>
      </c>
      <c r="H488" s="385">
        <v>0</v>
      </c>
      <c r="I488" s="228"/>
      <c r="L488" s="41"/>
      <c r="M488" s="41"/>
      <c r="N488" s="42"/>
      <c r="O488" s="42"/>
    </row>
    <row r="489" spans="1:15" hidden="1" outlineLevel="1" x14ac:dyDescent="0.3">
      <c r="A489" s="51" t="s">
        <v>621</v>
      </c>
      <c r="B489" s="51" t="s">
        <v>894</v>
      </c>
      <c r="C489" s="53" t="s">
        <v>783</v>
      </c>
      <c r="D489" s="385">
        <v>0</v>
      </c>
      <c r="E489" s="385">
        <v>0</v>
      </c>
      <c r="F489" s="385">
        <v>0</v>
      </c>
      <c r="G489" s="385">
        <v>0</v>
      </c>
      <c r="H489" s="385">
        <v>0</v>
      </c>
      <c r="I489" s="228"/>
      <c r="L489" s="41"/>
      <c r="M489" s="41"/>
      <c r="N489" s="42"/>
      <c r="O489" s="42"/>
    </row>
    <row r="490" spans="1:15" hidden="1" outlineLevel="1" x14ac:dyDescent="0.3">
      <c r="A490" s="51" t="s">
        <v>621</v>
      </c>
      <c r="B490" s="51" t="s">
        <v>894</v>
      </c>
      <c r="C490" s="53" t="s">
        <v>785</v>
      </c>
      <c r="D490" s="385">
        <v>0</v>
      </c>
      <c r="E490" s="385">
        <v>0</v>
      </c>
      <c r="F490" s="385">
        <v>0</v>
      </c>
      <c r="G490" s="385">
        <v>0</v>
      </c>
      <c r="H490" s="385">
        <v>0</v>
      </c>
      <c r="I490" s="228"/>
      <c r="L490" s="41"/>
      <c r="M490" s="41"/>
      <c r="N490" s="42"/>
      <c r="O490" s="42"/>
    </row>
    <row r="491" spans="1:15" hidden="1" outlineLevel="1" x14ac:dyDescent="0.3">
      <c r="A491" s="51" t="s">
        <v>621</v>
      </c>
      <c r="B491" s="51" t="s">
        <v>894</v>
      </c>
      <c r="C491" s="53" t="s">
        <v>787</v>
      </c>
      <c r="D491" s="385">
        <v>0</v>
      </c>
      <c r="E491" s="385">
        <v>0</v>
      </c>
      <c r="F491" s="385">
        <v>0</v>
      </c>
      <c r="G491" s="385">
        <v>0</v>
      </c>
      <c r="H491" s="385">
        <v>0</v>
      </c>
      <c r="I491" s="228"/>
      <c r="L491" s="41"/>
      <c r="M491" s="41"/>
      <c r="N491" s="42"/>
      <c r="O491" s="42"/>
    </row>
    <row r="492" spans="1:15" hidden="1" outlineLevel="1" x14ac:dyDescent="0.3">
      <c r="A492" s="51" t="s">
        <v>621</v>
      </c>
      <c r="B492" s="51" t="s">
        <v>894</v>
      </c>
      <c r="C492" s="53" t="s">
        <v>788</v>
      </c>
      <c r="D492" s="385">
        <v>0</v>
      </c>
      <c r="E492" s="385">
        <v>0</v>
      </c>
      <c r="F492" s="385">
        <v>0</v>
      </c>
      <c r="G492" s="385">
        <v>0</v>
      </c>
      <c r="H492" s="385">
        <v>0</v>
      </c>
      <c r="I492" s="228"/>
      <c r="L492" s="41"/>
      <c r="M492" s="41"/>
      <c r="N492" s="42"/>
      <c r="O492" s="42"/>
    </row>
    <row r="493" spans="1:15" hidden="1" outlineLevel="1" x14ac:dyDescent="0.3">
      <c r="A493" s="51" t="s">
        <v>621</v>
      </c>
      <c r="B493" s="51" t="s">
        <v>894</v>
      </c>
      <c r="C493" s="53" t="s">
        <v>789</v>
      </c>
      <c r="D493" s="385">
        <v>0</v>
      </c>
      <c r="E493" s="385">
        <v>0</v>
      </c>
      <c r="F493" s="385">
        <v>0</v>
      </c>
      <c r="G493" s="385">
        <v>0</v>
      </c>
      <c r="H493" s="385">
        <v>0</v>
      </c>
      <c r="I493" s="228"/>
      <c r="L493" s="41"/>
      <c r="M493" s="41"/>
      <c r="N493" s="42"/>
      <c r="O493" s="42"/>
    </row>
    <row r="494" spans="1:15" hidden="1" outlineLevel="1" x14ac:dyDescent="0.3">
      <c r="A494" s="51" t="s">
        <v>621</v>
      </c>
      <c r="B494" s="51" t="s">
        <v>894</v>
      </c>
      <c r="C494" s="53" t="s">
        <v>790</v>
      </c>
      <c r="D494" s="385">
        <v>90</v>
      </c>
      <c r="E494" s="385">
        <v>90</v>
      </c>
      <c r="F494" s="385">
        <v>90</v>
      </c>
      <c r="G494" s="385">
        <v>90</v>
      </c>
      <c r="H494" s="385">
        <v>90</v>
      </c>
      <c r="I494" s="228"/>
      <c r="L494" s="41"/>
      <c r="M494" s="41"/>
      <c r="N494" s="42"/>
      <c r="O494" s="42"/>
    </row>
    <row r="495" spans="1:15" hidden="1" outlineLevel="1" x14ac:dyDescent="0.3">
      <c r="A495" s="51" t="s">
        <v>621</v>
      </c>
      <c r="B495" s="51" t="s">
        <v>894</v>
      </c>
      <c r="C495" s="53" t="s">
        <v>793</v>
      </c>
      <c r="D495" s="385">
        <v>90</v>
      </c>
      <c r="E495" s="385">
        <v>90</v>
      </c>
      <c r="F495" s="385">
        <v>90</v>
      </c>
      <c r="G495" s="385">
        <v>90</v>
      </c>
      <c r="H495" s="385">
        <v>90</v>
      </c>
      <c r="I495" s="228" t="s">
        <v>4027</v>
      </c>
      <c r="L495" s="41"/>
      <c r="M495" s="41"/>
      <c r="N495" s="42"/>
      <c r="O495" s="42"/>
    </row>
    <row r="496" spans="1:15" hidden="1" outlineLevel="1" x14ac:dyDescent="0.3">
      <c r="A496" s="51" t="s">
        <v>621</v>
      </c>
      <c r="B496" s="51" t="s">
        <v>894</v>
      </c>
      <c r="C496" s="53" t="s">
        <v>795</v>
      </c>
      <c r="D496" s="385">
        <v>0</v>
      </c>
      <c r="E496" s="385">
        <v>0</v>
      </c>
      <c r="F496" s="385">
        <v>0</v>
      </c>
      <c r="G496" s="385">
        <v>0</v>
      </c>
      <c r="H496" s="385">
        <v>0</v>
      </c>
      <c r="I496" s="228"/>
      <c r="L496" s="41"/>
      <c r="M496" s="41"/>
      <c r="N496" s="42"/>
      <c r="O496" s="42"/>
    </row>
    <row r="497" spans="1:15" hidden="1" outlineLevel="1" x14ac:dyDescent="0.3">
      <c r="A497" s="51" t="s">
        <v>621</v>
      </c>
      <c r="B497" s="51" t="s">
        <v>894</v>
      </c>
      <c r="C497" s="53" t="s">
        <v>797</v>
      </c>
      <c r="D497" s="385">
        <v>0</v>
      </c>
      <c r="E497" s="385">
        <v>0</v>
      </c>
      <c r="F497" s="385">
        <v>0</v>
      </c>
      <c r="G497" s="385">
        <v>0</v>
      </c>
      <c r="H497" s="385">
        <v>0</v>
      </c>
      <c r="I497" s="228"/>
      <c r="L497" s="41"/>
      <c r="M497" s="41"/>
      <c r="N497" s="42"/>
      <c r="O497" s="42"/>
    </row>
    <row r="498" spans="1:15" hidden="1" outlineLevel="1" x14ac:dyDescent="0.3">
      <c r="A498" s="51" t="s">
        <v>621</v>
      </c>
      <c r="B498" s="51" t="s">
        <v>915</v>
      </c>
      <c r="C498" s="53" t="s">
        <v>799</v>
      </c>
      <c r="D498" s="385">
        <v>90</v>
      </c>
      <c r="E498" s="385">
        <v>90</v>
      </c>
      <c r="F498" s="385">
        <v>90</v>
      </c>
      <c r="G498" s="385">
        <v>90</v>
      </c>
      <c r="H498" s="385">
        <v>90</v>
      </c>
      <c r="I498" s="228" t="s">
        <v>2775</v>
      </c>
      <c r="L498" s="41"/>
      <c r="M498" s="41"/>
      <c r="N498" s="42"/>
      <c r="O498" s="42"/>
    </row>
    <row r="499" spans="1:15" hidden="1" outlineLevel="1" x14ac:dyDescent="0.3">
      <c r="A499" s="51" t="s">
        <v>621</v>
      </c>
      <c r="B499" s="51" t="s">
        <v>915</v>
      </c>
      <c r="C499" s="53" t="s">
        <v>801</v>
      </c>
      <c r="D499" s="385">
        <v>90</v>
      </c>
      <c r="E499" s="385">
        <v>90</v>
      </c>
      <c r="F499" s="385">
        <v>90</v>
      </c>
      <c r="G499" s="385">
        <v>90</v>
      </c>
      <c r="H499" s="385">
        <v>90</v>
      </c>
      <c r="I499" s="228" t="s">
        <v>4027</v>
      </c>
      <c r="L499" s="41"/>
      <c r="M499" s="41"/>
      <c r="N499" s="42"/>
      <c r="O499" s="42"/>
    </row>
    <row r="500" spans="1:15" hidden="1" outlineLevel="1" x14ac:dyDescent="0.3">
      <c r="A500" s="51" t="s">
        <v>621</v>
      </c>
      <c r="B500" s="51" t="s">
        <v>915</v>
      </c>
      <c r="C500" s="53" t="s">
        <v>804</v>
      </c>
      <c r="D500" s="385">
        <v>0</v>
      </c>
      <c r="E500" s="385">
        <v>0</v>
      </c>
      <c r="F500" s="385">
        <v>0</v>
      </c>
      <c r="G500" s="385">
        <v>0</v>
      </c>
      <c r="H500" s="385">
        <v>0</v>
      </c>
      <c r="I500" s="228"/>
      <c r="L500" s="41"/>
      <c r="M500" s="41"/>
      <c r="N500" s="42"/>
      <c r="O500" s="42"/>
    </row>
    <row r="501" spans="1:15" hidden="1" outlineLevel="1" x14ac:dyDescent="0.3">
      <c r="A501" s="51" t="s">
        <v>621</v>
      </c>
      <c r="B501" s="51" t="s">
        <v>915</v>
      </c>
      <c r="C501" s="53" t="s">
        <v>806</v>
      </c>
      <c r="D501" s="385">
        <v>0</v>
      </c>
      <c r="E501" s="385">
        <v>0</v>
      </c>
      <c r="F501" s="385">
        <v>0</v>
      </c>
      <c r="G501" s="385">
        <v>0</v>
      </c>
      <c r="H501" s="385">
        <v>0</v>
      </c>
      <c r="I501" s="228"/>
      <c r="L501" s="41"/>
      <c r="M501" s="41"/>
      <c r="N501" s="42"/>
      <c r="O501" s="42"/>
    </row>
    <row r="502" spans="1:15" hidden="1" outlineLevel="1" x14ac:dyDescent="0.3">
      <c r="A502" s="51" t="s">
        <v>621</v>
      </c>
      <c r="B502" s="51" t="s">
        <v>915</v>
      </c>
      <c r="C502" s="53" t="s">
        <v>808</v>
      </c>
      <c r="D502" s="385">
        <v>0</v>
      </c>
      <c r="E502" s="385">
        <v>0</v>
      </c>
      <c r="F502" s="385">
        <v>0</v>
      </c>
      <c r="G502" s="385">
        <v>0</v>
      </c>
      <c r="H502" s="385">
        <v>0</v>
      </c>
      <c r="I502" s="228"/>
      <c r="L502" s="41"/>
      <c r="M502" s="41"/>
      <c r="N502" s="42"/>
      <c r="O502" s="42"/>
    </row>
    <row r="503" spans="1:15" hidden="1" outlineLevel="1" x14ac:dyDescent="0.3">
      <c r="A503" s="51" t="s">
        <v>621</v>
      </c>
      <c r="B503" s="51" t="s">
        <v>915</v>
      </c>
      <c r="C503" s="53" t="s">
        <v>811</v>
      </c>
      <c r="D503" s="385">
        <v>90</v>
      </c>
      <c r="E503" s="385">
        <v>90</v>
      </c>
      <c r="F503" s="385">
        <v>90</v>
      </c>
      <c r="G503" s="385">
        <v>90</v>
      </c>
      <c r="H503" s="385">
        <v>90</v>
      </c>
      <c r="I503" s="228" t="s">
        <v>4027</v>
      </c>
      <c r="L503" s="41"/>
      <c r="M503" s="41"/>
      <c r="N503" s="42"/>
      <c r="O503" s="42"/>
    </row>
    <row r="504" spans="1:15" hidden="1" outlineLevel="1" x14ac:dyDescent="0.3">
      <c r="A504" s="51" t="s">
        <v>621</v>
      </c>
      <c r="B504" s="51" t="s">
        <v>934</v>
      </c>
      <c r="C504" s="53" t="s">
        <v>814</v>
      </c>
      <c r="D504" s="385" t="s">
        <v>204</v>
      </c>
      <c r="E504" s="385" t="s">
        <v>204</v>
      </c>
      <c r="F504" s="385" t="s">
        <v>204</v>
      </c>
      <c r="G504" s="385" t="s">
        <v>204</v>
      </c>
      <c r="H504" s="385" t="s">
        <v>204</v>
      </c>
      <c r="I504" s="228"/>
      <c r="L504" s="41"/>
      <c r="M504" s="41"/>
      <c r="N504" s="42"/>
      <c r="O504" s="42"/>
    </row>
    <row r="505" spans="1:15" hidden="1" outlineLevel="1" x14ac:dyDescent="0.3">
      <c r="A505" s="51" t="s">
        <v>621</v>
      </c>
      <c r="B505" s="51" t="s">
        <v>934</v>
      </c>
      <c r="C505" s="53" t="s">
        <v>815</v>
      </c>
      <c r="D505" s="385">
        <v>0</v>
      </c>
      <c r="E505" s="385">
        <v>0</v>
      </c>
      <c r="F505" s="385">
        <v>0</v>
      </c>
      <c r="G505" s="385">
        <v>0</v>
      </c>
      <c r="H505" s="385">
        <v>0</v>
      </c>
      <c r="I505" s="228"/>
      <c r="L505" s="41"/>
      <c r="M505" s="41"/>
      <c r="N505" s="42"/>
      <c r="O505" s="42"/>
    </row>
    <row r="506" spans="1:15" hidden="1" outlineLevel="1" x14ac:dyDescent="0.3">
      <c r="A506" s="51" t="s">
        <v>621</v>
      </c>
      <c r="B506" s="51" t="s">
        <v>940</v>
      </c>
      <c r="C506" s="53" t="s">
        <v>817</v>
      </c>
      <c r="D506" s="385">
        <v>90</v>
      </c>
      <c r="E506" s="385">
        <v>90</v>
      </c>
      <c r="F506" s="385">
        <v>90</v>
      </c>
      <c r="G506" s="385">
        <v>90</v>
      </c>
      <c r="H506" s="385">
        <v>90</v>
      </c>
      <c r="I506" s="228" t="s">
        <v>4013</v>
      </c>
      <c r="L506" s="41"/>
      <c r="M506" s="41"/>
      <c r="N506" s="42"/>
      <c r="O506" s="42"/>
    </row>
    <row r="507" spans="1:15" hidden="1" outlineLevel="1" x14ac:dyDescent="0.3">
      <c r="A507" s="51" t="s">
        <v>621</v>
      </c>
      <c r="B507" s="51" t="s">
        <v>940</v>
      </c>
      <c r="C507" s="53" t="s">
        <v>944</v>
      </c>
      <c r="D507" s="385">
        <v>90</v>
      </c>
      <c r="E507" s="385">
        <v>90</v>
      </c>
      <c r="F507" s="385">
        <v>90</v>
      </c>
      <c r="G507" s="385">
        <v>90</v>
      </c>
      <c r="H507" s="385">
        <v>90</v>
      </c>
      <c r="I507" s="228" t="s">
        <v>4027</v>
      </c>
      <c r="L507" s="41"/>
      <c r="M507" s="41"/>
      <c r="N507" s="42"/>
      <c r="O507" s="42"/>
    </row>
    <row r="508" spans="1:15" hidden="1" outlineLevel="1" x14ac:dyDescent="0.3">
      <c r="A508" s="51" t="s">
        <v>621</v>
      </c>
      <c r="B508" s="51" t="s">
        <v>940</v>
      </c>
      <c r="C508" s="53" t="s">
        <v>821</v>
      </c>
      <c r="D508" s="384" t="s">
        <v>204</v>
      </c>
      <c r="E508" s="384" t="s">
        <v>204</v>
      </c>
      <c r="F508" s="384" t="s">
        <v>204</v>
      </c>
      <c r="G508" s="384" t="s">
        <v>204</v>
      </c>
      <c r="H508" s="384" t="s">
        <v>204</v>
      </c>
      <c r="I508" s="228"/>
      <c r="L508" s="41"/>
      <c r="M508" s="41"/>
      <c r="N508" s="42"/>
      <c r="O508" s="42"/>
    </row>
    <row r="509" spans="1:15" hidden="1" outlineLevel="1" x14ac:dyDescent="0.3">
      <c r="A509" s="51" t="s">
        <v>621</v>
      </c>
      <c r="B509" s="51" t="s">
        <v>940</v>
      </c>
      <c r="C509" s="53" t="s">
        <v>823</v>
      </c>
      <c r="D509" s="385">
        <v>0</v>
      </c>
      <c r="E509" s="385">
        <v>0</v>
      </c>
      <c r="F509" s="385">
        <v>0</v>
      </c>
      <c r="G509" s="385">
        <v>0</v>
      </c>
      <c r="H509" s="385">
        <v>0</v>
      </c>
      <c r="I509" s="228"/>
      <c r="L509" s="41"/>
      <c r="M509" s="41"/>
      <c r="N509" s="42"/>
      <c r="O509" s="42"/>
    </row>
    <row r="510" spans="1:15" hidden="1" outlineLevel="1" x14ac:dyDescent="0.3">
      <c r="A510" s="51" t="s">
        <v>621</v>
      </c>
      <c r="B510" s="51" t="s">
        <v>940</v>
      </c>
      <c r="C510" s="53" t="s">
        <v>825</v>
      </c>
      <c r="D510" s="384" t="s">
        <v>204</v>
      </c>
      <c r="E510" s="384" t="s">
        <v>204</v>
      </c>
      <c r="F510" s="384" t="s">
        <v>204</v>
      </c>
      <c r="G510" s="384" t="s">
        <v>204</v>
      </c>
      <c r="H510" s="384" t="s">
        <v>204</v>
      </c>
      <c r="I510" s="228"/>
      <c r="L510" s="41"/>
      <c r="M510" s="41"/>
      <c r="N510" s="42"/>
      <c r="O510" s="42"/>
    </row>
    <row r="511" spans="1:15" hidden="1" outlineLevel="1" x14ac:dyDescent="0.3">
      <c r="A511" s="51" t="s">
        <v>621</v>
      </c>
      <c r="B511" s="51" t="s">
        <v>940</v>
      </c>
      <c r="C511" s="53" t="s">
        <v>827</v>
      </c>
      <c r="D511" s="385">
        <v>91.96025778732546</v>
      </c>
      <c r="E511" s="385">
        <v>91.96025778732546</v>
      </c>
      <c r="F511" s="385">
        <v>91.96025778732546</v>
      </c>
      <c r="G511" s="385">
        <v>91.96025778732546</v>
      </c>
      <c r="H511" s="385">
        <v>91.96025778732546</v>
      </c>
      <c r="I511" s="228" t="s">
        <v>3983</v>
      </c>
      <c r="L511" s="41"/>
      <c r="M511" s="41"/>
      <c r="N511" s="42"/>
      <c r="O511" s="42"/>
    </row>
    <row r="512" spans="1:15" hidden="1" outlineLevel="1" x14ac:dyDescent="0.3">
      <c r="A512" s="51" t="s">
        <v>621</v>
      </c>
      <c r="B512" s="51" t="s">
        <v>940</v>
      </c>
      <c r="C512" s="53" t="s">
        <v>829</v>
      </c>
      <c r="D512" s="385">
        <v>90</v>
      </c>
      <c r="E512" s="385">
        <v>90</v>
      </c>
      <c r="F512" s="385">
        <v>90</v>
      </c>
      <c r="G512" s="385">
        <v>90</v>
      </c>
      <c r="H512" s="385">
        <v>90</v>
      </c>
      <c r="I512" s="228" t="s">
        <v>4027</v>
      </c>
      <c r="L512" s="41"/>
      <c r="M512" s="41"/>
      <c r="N512" s="42"/>
      <c r="O512" s="42"/>
    </row>
    <row r="513" spans="1:47" hidden="1" outlineLevel="1" x14ac:dyDescent="0.3">
      <c r="A513" s="51" t="s">
        <v>621</v>
      </c>
      <c r="B513" s="51" t="s">
        <v>940</v>
      </c>
      <c r="C513" s="53" t="s">
        <v>833</v>
      </c>
      <c r="D513" s="385">
        <v>0</v>
      </c>
      <c r="E513" s="385">
        <v>0</v>
      </c>
      <c r="F513" s="385">
        <v>0</v>
      </c>
      <c r="G513" s="385">
        <v>0</v>
      </c>
      <c r="H513" s="385">
        <v>0</v>
      </c>
      <c r="I513" s="228"/>
      <c r="L513" s="41"/>
      <c r="M513" s="41"/>
      <c r="N513" s="42"/>
      <c r="O513" s="42"/>
    </row>
    <row r="514" spans="1:47" hidden="1" outlineLevel="1" x14ac:dyDescent="0.3">
      <c r="A514" s="51" t="s">
        <v>621</v>
      </c>
      <c r="B514" s="51" t="s">
        <v>940</v>
      </c>
      <c r="C514" s="53" t="s">
        <v>836</v>
      </c>
      <c r="D514" s="385">
        <v>90</v>
      </c>
      <c r="E514" s="385">
        <v>90</v>
      </c>
      <c r="F514" s="385">
        <v>90</v>
      </c>
      <c r="G514" s="385">
        <v>90</v>
      </c>
      <c r="H514" s="385">
        <v>90</v>
      </c>
      <c r="I514" s="228"/>
      <c r="L514" s="41"/>
      <c r="M514" s="41"/>
      <c r="N514" s="42"/>
      <c r="O514" s="42"/>
    </row>
    <row r="515" spans="1:47" hidden="1" outlineLevel="1" x14ac:dyDescent="0.3">
      <c r="A515" s="51" t="s">
        <v>621</v>
      </c>
      <c r="B515" s="51" t="s">
        <v>940</v>
      </c>
      <c r="C515" s="53" t="s">
        <v>837</v>
      </c>
      <c r="D515" s="385">
        <v>0</v>
      </c>
      <c r="E515" s="385">
        <v>0</v>
      </c>
      <c r="F515" s="385">
        <v>0</v>
      </c>
      <c r="G515" s="385">
        <v>0</v>
      </c>
      <c r="H515" s="385">
        <v>0</v>
      </c>
      <c r="I515" s="228"/>
      <c r="L515" s="41"/>
      <c r="M515" s="41"/>
      <c r="N515" s="42"/>
      <c r="O515" s="42"/>
    </row>
    <row r="516" spans="1:47" hidden="1" outlineLevel="1" x14ac:dyDescent="0.3">
      <c r="A516" s="51" t="s">
        <v>621</v>
      </c>
      <c r="B516" s="51" t="s">
        <v>940</v>
      </c>
      <c r="C516" s="53" t="s">
        <v>839</v>
      </c>
      <c r="D516" s="385">
        <v>0</v>
      </c>
      <c r="E516" s="385">
        <v>0</v>
      </c>
      <c r="F516" s="385">
        <v>0</v>
      </c>
      <c r="G516" s="385">
        <v>0</v>
      </c>
      <c r="H516" s="385">
        <v>0</v>
      </c>
      <c r="I516" s="228"/>
      <c r="L516" s="41"/>
      <c r="M516" s="41"/>
      <c r="N516" s="42"/>
      <c r="O516" s="42"/>
    </row>
    <row r="517" spans="1:47" hidden="1" outlineLevel="1" x14ac:dyDescent="0.3">
      <c r="A517" s="51" t="s">
        <v>621</v>
      </c>
      <c r="B517" s="51" t="s">
        <v>940</v>
      </c>
      <c r="C517" s="53" t="s">
        <v>840</v>
      </c>
      <c r="D517" s="385">
        <v>0</v>
      </c>
      <c r="E517" s="385">
        <v>0</v>
      </c>
      <c r="F517" s="385">
        <v>0</v>
      </c>
      <c r="G517" s="385">
        <v>0</v>
      </c>
      <c r="H517" s="385">
        <v>0</v>
      </c>
      <c r="I517" s="228"/>
      <c r="L517" s="41"/>
      <c r="M517" s="41"/>
      <c r="N517" s="42"/>
      <c r="O517" s="42"/>
    </row>
    <row r="518" spans="1:47" collapsed="1" x14ac:dyDescent="0.3">
      <c r="A518" s="51"/>
      <c r="B518" s="51"/>
      <c r="C518" s="51"/>
      <c r="D518" s="385"/>
      <c r="E518" s="385"/>
      <c r="F518" s="385"/>
      <c r="G518" s="385"/>
      <c r="H518" s="385"/>
      <c r="I518" s="228"/>
      <c r="L518" s="41"/>
      <c r="M518" s="41"/>
      <c r="N518" s="42"/>
      <c r="O518" s="42"/>
    </row>
    <row r="519" spans="1:47" x14ac:dyDescent="0.3">
      <c r="A519" s="70"/>
      <c r="B519" s="70"/>
      <c r="C519" s="80"/>
      <c r="D519" s="437"/>
      <c r="E519" s="437"/>
      <c r="H519" s="538"/>
      <c r="I519" s="538"/>
      <c r="J519" s="538"/>
      <c r="L519" s="41"/>
      <c r="M519" s="41"/>
      <c r="N519" s="42"/>
      <c r="O519" s="42"/>
    </row>
    <row r="520" spans="1:47" ht="25.8" x14ac:dyDescent="0.5">
      <c r="A520" s="570" t="s">
        <v>523</v>
      </c>
      <c r="B520" s="570"/>
      <c r="C520" s="570"/>
      <c r="D520" s="570"/>
      <c r="E520" s="570"/>
      <c r="H520" s="538"/>
      <c r="I520" s="538"/>
      <c r="J520" s="538"/>
      <c r="L520" s="41"/>
      <c r="M520" s="41"/>
      <c r="N520" s="42"/>
      <c r="O520" s="42"/>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c r="AT520" s="70"/>
      <c r="AU520" s="70"/>
    </row>
    <row r="521" spans="1:47" ht="62.25" customHeight="1" x14ac:dyDescent="0.3">
      <c r="A521" s="571" t="s">
        <v>4028</v>
      </c>
      <c r="B521" s="571"/>
      <c r="C521" s="571"/>
      <c r="D521" s="571"/>
      <c r="E521" s="571"/>
      <c r="H521" s="538"/>
      <c r="I521" s="538"/>
      <c r="J521" s="538"/>
      <c r="L521" s="41"/>
      <c r="M521" s="41"/>
      <c r="N521" s="42"/>
      <c r="O521" s="42"/>
    </row>
    <row r="522" spans="1:47" x14ac:dyDescent="0.3">
      <c r="A522" s="48" t="s">
        <v>531</v>
      </c>
      <c r="B522" s="69"/>
      <c r="C522" s="46"/>
      <c r="D522" s="388"/>
      <c r="E522" s="388"/>
      <c r="H522" s="538"/>
      <c r="I522" s="538"/>
      <c r="J522" s="538"/>
      <c r="M522" s="41"/>
    </row>
    <row r="523" spans="1:47" x14ac:dyDescent="0.3">
      <c r="A523" s="542" t="s">
        <v>5</v>
      </c>
      <c r="B523" s="542" t="s">
        <v>847</v>
      </c>
      <c r="C523" s="542" t="s">
        <v>193</v>
      </c>
      <c r="D523" s="543" t="s">
        <v>4029</v>
      </c>
      <c r="E523" s="543" t="s">
        <v>153</v>
      </c>
      <c r="H523" s="538"/>
      <c r="I523" s="538"/>
      <c r="J523" s="538"/>
      <c r="M523" s="41"/>
      <c r="N523" s="37"/>
      <c r="O523" s="37"/>
      <c r="P523" s="37"/>
    </row>
    <row r="524" spans="1:47" hidden="1" outlineLevel="1" x14ac:dyDescent="0.3">
      <c r="A524" s="45" t="s">
        <v>531</v>
      </c>
      <c r="B524" s="45" t="s">
        <v>855</v>
      </c>
      <c r="C524" s="48" t="s">
        <v>747</v>
      </c>
      <c r="D524" s="388" t="s">
        <v>4030</v>
      </c>
      <c r="E524" s="388"/>
      <c r="H524" s="538"/>
      <c r="I524" s="538"/>
      <c r="J524" s="538"/>
      <c r="L524" s="37"/>
      <c r="M524" s="41"/>
      <c r="N524" s="37"/>
      <c r="O524" s="37"/>
      <c r="P524" s="37"/>
      <c r="Q524" s="37"/>
      <c r="R524" s="37"/>
    </row>
    <row r="525" spans="1:47" hidden="1" outlineLevel="1" x14ac:dyDescent="0.3">
      <c r="A525" s="45" t="s">
        <v>531</v>
      </c>
      <c r="B525" s="45" t="s">
        <v>855</v>
      </c>
      <c r="C525" s="48" t="s">
        <v>751</v>
      </c>
      <c r="D525" s="388" t="s">
        <v>4030</v>
      </c>
      <c r="E525" s="388"/>
      <c r="H525" s="538"/>
      <c r="I525" s="538"/>
      <c r="J525" s="538"/>
      <c r="L525" s="37"/>
      <c r="M525" s="41"/>
      <c r="N525" s="37"/>
      <c r="O525" s="37"/>
      <c r="P525" s="37"/>
      <c r="Q525" s="37"/>
      <c r="R525" s="37"/>
    </row>
    <row r="526" spans="1:47" hidden="1" outlineLevel="1" x14ac:dyDescent="0.3">
      <c r="A526" s="45" t="s">
        <v>531</v>
      </c>
      <c r="B526" s="45" t="s">
        <v>855</v>
      </c>
      <c r="C526" s="48" t="s">
        <v>755</v>
      </c>
      <c r="D526" s="388" t="s">
        <v>4030</v>
      </c>
      <c r="E526" s="388"/>
      <c r="H526" s="538"/>
      <c r="I526" s="538"/>
      <c r="J526" s="538"/>
      <c r="L526" s="37"/>
      <c r="M526" s="41"/>
      <c r="N526" s="37"/>
      <c r="O526" s="37"/>
      <c r="P526" s="37"/>
      <c r="Q526" s="37"/>
      <c r="R526" s="37"/>
    </row>
    <row r="527" spans="1:47" hidden="1" outlineLevel="1" x14ac:dyDescent="0.3">
      <c r="A527" s="45" t="s">
        <v>531</v>
      </c>
      <c r="B527" s="45" t="s">
        <v>855</v>
      </c>
      <c r="C527" s="48" t="s">
        <v>758</v>
      </c>
      <c r="D527" s="388" t="s">
        <v>4030</v>
      </c>
      <c r="E527" s="388"/>
      <c r="H527" s="538"/>
      <c r="I527" s="538"/>
      <c r="J527" s="538"/>
      <c r="L527" s="37"/>
      <c r="M527" s="41"/>
      <c r="N527" s="37"/>
      <c r="O527" s="37"/>
      <c r="P527" s="37"/>
      <c r="Q527" s="37"/>
      <c r="R527" s="37"/>
    </row>
    <row r="528" spans="1:47" hidden="1" outlineLevel="1" x14ac:dyDescent="0.3">
      <c r="A528" s="45" t="s">
        <v>531</v>
      </c>
      <c r="B528" s="45" t="s">
        <v>855</v>
      </c>
      <c r="C528" s="48" t="s">
        <v>761</v>
      </c>
      <c r="D528" s="388" t="s">
        <v>4030</v>
      </c>
      <c r="E528" s="388"/>
      <c r="H528" s="538"/>
      <c r="I528" s="538"/>
      <c r="J528" s="538"/>
      <c r="L528" s="37"/>
      <c r="M528" s="41"/>
      <c r="N528" s="37"/>
      <c r="O528" s="37"/>
      <c r="P528" s="37"/>
      <c r="Q528" s="37"/>
      <c r="R528" s="37"/>
    </row>
    <row r="529" spans="1:18" hidden="1" outlineLevel="1" x14ac:dyDescent="0.3">
      <c r="A529" s="45" t="s">
        <v>531</v>
      </c>
      <c r="B529" s="45" t="s">
        <v>855</v>
      </c>
      <c r="C529" s="48" t="s">
        <v>763</v>
      </c>
      <c r="D529" s="388" t="s">
        <v>4030</v>
      </c>
      <c r="E529" s="388"/>
      <c r="H529" s="538"/>
      <c r="I529" s="538"/>
      <c r="J529" s="538"/>
      <c r="L529" s="37"/>
      <c r="M529" s="41"/>
      <c r="N529" s="37"/>
      <c r="O529" s="37"/>
      <c r="P529" s="37"/>
      <c r="Q529" s="37"/>
      <c r="R529" s="37"/>
    </row>
    <row r="530" spans="1:18" hidden="1" outlineLevel="1" x14ac:dyDescent="0.3">
      <c r="A530" s="45" t="s">
        <v>531</v>
      </c>
      <c r="B530" s="45" t="s">
        <v>855</v>
      </c>
      <c r="C530" s="48" t="s">
        <v>765</v>
      </c>
      <c r="D530" s="388" t="s">
        <v>4030</v>
      </c>
      <c r="E530" s="388"/>
      <c r="H530" s="538"/>
      <c r="I530" s="538"/>
      <c r="J530" s="538"/>
      <c r="L530" s="37"/>
      <c r="M530" s="41"/>
      <c r="N530" s="37"/>
      <c r="O530" s="37"/>
      <c r="P530" s="37"/>
      <c r="Q530" s="37"/>
      <c r="R530" s="37"/>
    </row>
    <row r="531" spans="1:18" hidden="1" outlineLevel="1" x14ac:dyDescent="0.3">
      <c r="A531" s="45" t="s">
        <v>531</v>
      </c>
      <c r="B531" s="45" t="s">
        <v>855</v>
      </c>
      <c r="C531" s="48" t="s">
        <v>768</v>
      </c>
      <c r="D531" s="388" t="s">
        <v>4030</v>
      </c>
      <c r="E531" s="388"/>
      <c r="H531" s="538"/>
      <c r="I531" s="538"/>
      <c r="J531" s="538"/>
      <c r="L531" s="37"/>
      <c r="M531" s="41"/>
      <c r="N531" s="37"/>
      <c r="O531" s="37"/>
      <c r="P531" s="37"/>
      <c r="Q531" s="37"/>
      <c r="R531" s="37"/>
    </row>
    <row r="532" spans="1:18" hidden="1" outlineLevel="1" x14ac:dyDescent="0.3">
      <c r="A532" s="45" t="s">
        <v>531</v>
      </c>
      <c r="B532" s="45" t="s">
        <v>855</v>
      </c>
      <c r="C532" s="48" t="s">
        <v>771</v>
      </c>
      <c r="D532" s="388" t="s">
        <v>4030</v>
      </c>
      <c r="E532" s="388"/>
      <c r="H532" s="538"/>
      <c r="I532" s="538"/>
      <c r="J532" s="538"/>
      <c r="L532" s="37"/>
      <c r="M532" s="41"/>
      <c r="N532" s="37"/>
      <c r="O532" s="37"/>
      <c r="P532" s="37"/>
      <c r="Q532" s="37"/>
      <c r="R532" s="37"/>
    </row>
    <row r="533" spans="1:18" hidden="1" outlineLevel="1" x14ac:dyDescent="0.3">
      <c r="A533" s="45" t="s">
        <v>531</v>
      </c>
      <c r="B533" s="45" t="s">
        <v>855</v>
      </c>
      <c r="C533" s="48" t="s">
        <v>772</v>
      </c>
      <c r="D533" s="388" t="s">
        <v>4030</v>
      </c>
      <c r="E533" s="388"/>
      <c r="H533" s="538"/>
      <c r="I533" s="538"/>
      <c r="J533" s="538"/>
      <c r="L533" s="37"/>
      <c r="M533" s="41"/>
      <c r="N533" s="37"/>
      <c r="O533" s="37"/>
      <c r="P533" s="37"/>
      <c r="Q533" s="37"/>
      <c r="R533" s="37"/>
    </row>
    <row r="534" spans="1:18" hidden="1" outlineLevel="1" x14ac:dyDescent="0.3">
      <c r="A534" s="45" t="s">
        <v>531</v>
      </c>
      <c r="B534" s="45" t="s">
        <v>855</v>
      </c>
      <c r="C534" s="48" t="s">
        <v>774</v>
      </c>
      <c r="D534" s="388" t="s">
        <v>4030</v>
      </c>
      <c r="E534" s="388"/>
      <c r="H534" s="538"/>
      <c r="I534" s="538"/>
      <c r="J534" s="538"/>
      <c r="L534" s="37"/>
      <c r="M534" s="41"/>
      <c r="N534" s="37"/>
      <c r="O534" s="37"/>
      <c r="P534" s="37"/>
      <c r="Q534" s="37"/>
      <c r="R534" s="37"/>
    </row>
    <row r="535" spans="1:18" hidden="1" outlineLevel="1" x14ac:dyDescent="0.3">
      <c r="A535" s="45" t="s">
        <v>531</v>
      </c>
      <c r="B535" s="45" t="s">
        <v>855</v>
      </c>
      <c r="C535" s="48" t="s">
        <v>775</v>
      </c>
      <c r="D535" s="388" t="s">
        <v>4030</v>
      </c>
      <c r="E535" s="388"/>
      <c r="H535" s="538"/>
      <c r="I535" s="538"/>
      <c r="J535" s="538"/>
      <c r="L535" s="37"/>
      <c r="M535" s="41"/>
      <c r="N535" s="37"/>
      <c r="O535" s="37"/>
      <c r="P535" s="37"/>
      <c r="Q535" s="37"/>
      <c r="R535" s="37"/>
    </row>
    <row r="536" spans="1:18" hidden="1" outlineLevel="1" x14ac:dyDescent="0.3">
      <c r="A536" s="45" t="s">
        <v>531</v>
      </c>
      <c r="B536" s="45" t="s">
        <v>855</v>
      </c>
      <c r="C536" s="48" t="s">
        <v>779</v>
      </c>
      <c r="D536" s="388" t="s">
        <v>4030</v>
      </c>
      <c r="E536" s="388"/>
      <c r="H536" s="538"/>
      <c r="I536" s="538"/>
      <c r="J536" s="538"/>
      <c r="L536" s="37"/>
      <c r="M536" s="41"/>
      <c r="N536" s="37"/>
      <c r="O536" s="37"/>
      <c r="P536" s="37"/>
      <c r="Q536" s="37"/>
      <c r="R536" s="37"/>
    </row>
    <row r="537" spans="1:18" hidden="1" outlineLevel="1" x14ac:dyDescent="0.3">
      <c r="A537" s="45" t="s">
        <v>531</v>
      </c>
      <c r="B537" s="45" t="s">
        <v>894</v>
      </c>
      <c r="C537" s="48" t="s">
        <v>781</v>
      </c>
      <c r="D537" s="388" t="s">
        <v>4030</v>
      </c>
      <c r="E537" s="388"/>
      <c r="H537" s="538"/>
      <c r="I537" s="538"/>
      <c r="J537" s="538"/>
      <c r="L537" s="37"/>
      <c r="M537" s="41"/>
      <c r="N537" s="37"/>
      <c r="O537" s="37"/>
      <c r="P537" s="37"/>
      <c r="Q537" s="37"/>
      <c r="R537" s="37"/>
    </row>
    <row r="538" spans="1:18" hidden="1" outlineLevel="1" x14ac:dyDescent="0.3">
      <c r="A538" s="45" t="s">
        <v>531</v>
      </c>
      <c r="B538" s="45" t="s">
        <v>894</v>
      </c>
      <c r="C538" s="48" t="s">
        <v>783</v>
      </c>
      <c r="D538" s="388" t="s">
        <v>4030</v>
      </c>
      <c r="E538" s="388"/>
      <c r="H538" s="538"/>
      <c r="I538" s="538"/>
      <c r="J538" s="538"/>
      <c r="L538" s="37"/>
      <c r="M538" s="41"/>
      <c r="N538" s="37"/>
      <c r="O538" s="37"/>
      <c r="P538" s="37"/>
      <c r="Q538" s="37"/>
      <c r="R538" s="37"/>
    </row>
    <row r="539" spans="1:18" hidden="1" outlineLevel="1" x14ac:dyDescent="0.3">
      <c r="A539" s="45" t="s">
        <v>531</v>
      </c>
      <c r="B539" s="45" t="s">
        <v>894</v>
      </c>
      <c r="C539" s="48" t="s">
        <v>785</v>
      </c>
      <c r="D539" s="388" t="s">
        <v>4030</v>
      </c>
      <c r="E539" s="388"/>
      <c r="H539" s="538"/>
      <c r="I539" s="538"/>
      <c r="J539" s="538"/>
      <c r="L539" s="37"/>
      <c r="M539" s="41"/>
      <c r="N539" s="37"/>
      <c r="O539" s="37"/>
      <c r="P539" s="37"/>
      <c r="Q539" s="37"/>
      <c r="R539" s="37"/>
    </row>
    <row r="540" spans="1:18" hidden="1" outlineLevel="1" x14ac:dyDescent="0.3">
      <c r="A540" s="45" t="s">
        <v>531</v>
      </c>
      <c r="B540" s="45" t="s">
        <v>894</v>
      </c>
      <c r="C540" s="48" t="s">
        <v>787</v>
      </c>
      <c r="D540" s="388" t="s">
        <v>4030</v>
      </c>
      <c r="E540" s="388"/>
      <c r="H540" s="538"/>
      <c r="I540" s="538"/>
      <c r="J540" s="538"/>
      <c r="L540" s="37"/>
      <c r="M540" s="41"/>
      <c r="N540" s="37"/>
      <c r="O540" s="37"/>
      <c r="P540" s="37"/>
      <c r="Q540" s="37"/>
      <c r="R540" s="37"/>
    </row>
    <row r="541" spans="1:18" hidden="1" outlineLevel="1" x14ac:dyDescent="0.3">
      <c r="A541" s="45" t="s">
        <v>531</v>
      </c>
      <c r="B541" s="45" t="s">
        <v>894</v>
      </c>
      <c r="C541" s="48" t="s">
        <v>788</v>
      </c>
      <c r="D541" s="388" t="s">
        <v>4030</v>
      </c>
      <c r="E541" s="388"/>
      <c r="H541" s="538"/>
      <c r="I541" s="538"/>
      <c r="J541" s="538"/>
      <c r="L541" s="37"/>
      <c r="M541" s="41"/>
      <c r="N541" s="37"/>
      <c r="O541" s="37"/>
      <c r="P541" s="37"/>
      <c r="Q541" s="37"/>
      <c r="R541" s="37"/>
    </row>
    <row r="542" spans="1:18" hidden="1" outlineLevel="1" x14ac:dyDescent="0.3">
      <c r="A542" s="45" t="s">
        <v>531</v>
      </c>
      <c r="B542" s="45" t="s">
        <v>894</v>
      </c>
      <c r="C542" s="48" t="s">
        <v>789</v>
      </c>
      <c r="D542" s="388" t="s">
        <v>4030</v>
      </c>
      <c r="E542" s="388"/>
      <c r="H542" s="538"/>
      <c r="I542" s="538"/>
      <c r="J542" s="538"/>
      <c r="L542" s="37"/>
      <c r="M542" s="41"/>
      <c r="N542" s="37"/>
      <c r="O542" s="37"/>
      <c r="P542" s="37"/>
      <c r="Q542" s="37"/>
      <c r="R542" s="37"/>
    </row>
    <row r="543" spans="1:18" hidden="1" outlineLevel="1" x14ac:dyDescent="0.3">
      <c r="A543" s="45" t="s">
        <v>531</v>
      </c>
      <c r="B543" s="45" t="s">
        <v>894</v>
      </c>
      <c r="C543" s="48" t="s">
        <v>790</v>
      </c>
      <c r="D543" s="388" t="s">
        <v>4030</v>
      </c>
      <c r="E543" s="388"/>
      <c r="H543" s="538"/>
      <c r="I543" s="538"/>
      <c r="J543" s="538"/>
      <c r="L543" s="37"/>
      <c r="M543" s="41"/>
      <c r="N543" s="37"/>
      <c r="O543" s="37"/>
      <c r="P543" s="37"/>
      <c r="Q543" s="37"/>
      <c r="R543" s="37"/>
    </row>
    <row r="544" spans="1:18" hidden="1" outlineLevel="1" x14ac:dyDescent="0.3">
      <c r="A544" s="45" t="s">
        <v>531</v>
      </c>
      <c r="B544" s="45" t="s">
        <v>894</v>
      </c>
      <c r="C544" s="48" t="s">
        <v>793</v>
      </c>
      <c r="D544" s="388" t="s">
        <v>4030</v>
      </c>
      <c r="E544" s="388"/>
      <c r="H544" s="538"/>
      <c r="I544" s="538"/>
      <c r="J544" s="538"/>
      <c r="L544" s="37"/>
      <c r="M544" s="41"/>
      <c r="N544" s="37"/>
      <c r="O544" s="37"/>
      <c r="P544" s="37"/>
      <c r="Q544" s="37"/>
      <c r="R544" s="37"/>
    </row>
    <row r="545" spans="1:18" hidden="1" outlineLevel="1" x14ac:dyDescent="0.3">
      <c r="A545" s="45" t="s">
        <v>531</v>
      </c>
      <c r="B545" s="45" t="s">
        <v>894</v>
      </c>
      <c r="C545" s="48" t="s">
        <v>795</v>
      </c>
      <c r="D545" s="388" t="s">
        <v>4030</v>
      </c>
      <c r="E545" s="388"/>
      <c r="H545" s="538"/>
      <c r="I545" s="538"/>
      <c r="J545" s="538"/>
      <c r="L545" s="37"/>
      <c r="M545" s="41"/>
      <c r="N545" s="37"/>
      <c r="O545" s="37"/>
      <c r="P545" s="37"/>
      <c r="Q545" s="37"/>
      <c r="R545" s="37"/>
    </row>
    <row r="546" spans="1:18" hidden="1" outlineLevel="1" x14ac:dyDescent="0.3">
      <c r="A546" s="45" t="s">
        <v>531</v>
      </c>
      <c r="B546" s="45" t="s">
        <v>894</v>
      </c>
      <c r="C546" s="48" t="s">
        <v>797</v>
      </c>
      <c r="D546" s="388" t="s">
        <v>4030</v>
      </c>
      <c r="E546" s="388"/>
      <c r="H546" s="538"/>
      <c r="I546" s="538"/>
      <c r="J546" s="538"/>
      <c r="L546" s="37"/>
      <c r="M546" s="41"/>
      <c r="N546" s="37"/>
      <c r="O546" s="37"/>
      <c r="P546" s="37"/>
      <c r="Q546" s="37"/>
      <c r="R546" s="37"/>
    </row>
    <row r="547" spans="1:18" hidden="1" outlineLevel="1" x14ac:dyDescent="0.3">
      <c r="A547" s="45" t="s">
        <v>531</v>
      </c>
      <c r="B547" s="45" t="s">
        <v>915</v>
      </c>
      <c r="C547" s="48" t="s">
        <v>799</v>
      </c>
      <c r="D547" s="388" t="s">
        <v>4030</v>
      </c>
      <c r="E547" s="388"/>
      <c r="H547" s="538"/>
      <c r="I547" s="538"/>
      <c r="J547" s="538"/>
      <c r="L547" s="37"/>
      <c r="M547" s="41"/>
      <c r="N547" s="37"/>
      <c r="O547" s="37"/>
      <c r="P547" s="37"/>
      <c r="Q547" s="37"/>
      <c r="R547" s="37"/>
    </row>
    <row r="548" spans="1:18" hidden="1" outlineLevel="1" x14ac:dyDescent="0.3">
      <c r="A548" s="45" t="s">
        <v>531</v>
      </c>
      <c r="B548" s="45" t="s">
        <v>915</v>
      </c>
      <c r="C548" s="48" t="s">
        <v>801</v>
      </c>
      <c r="D548" s="388" t="s">
        <v>4030</v>
      </c>
      <c r="E548" s="388"/>
      <c r="H548" s="538"/>
      <c r="I548" s="538"/>
      <c r="J548" s="538"/>
      <c r="L548" s="37"/>
      <c r="M548" s="41"/>
      <c r="N548" s="37"/>
      <c r="O548" s="37"/>
      <c r="P548" s="37"/>
      <c r="Q548" s="37"/>
      <c r="R548" s="37"/>
    </row>
    <row r="549" spans="1:18" hidden="1" outlineLevel="1" x14ac:dyDescent="0.3">
      <c r="A549" s="45" t="s">
        <v>531</v>
      </c>
      <c r="B549" s="45" t="s">
        <v>915</v>
      </c>
      <c r="C549" s="48" t="s">
        <v>804</v>
      </c>
      <c r="D549" s="388" t="s">
        <v>4030</v>
      </c>
      <c r="E549" s="388"/>
      <c r="H549" s="538"/>
      <c r="I549" s="538"/>
      <c r="J549" s="538"/>
      <c r="L549" s="37"/>
      <c r="M549" s="41"/>
      <c r="N549" s="37"/>
      <c r="O549" s="37"/>
      <c r="P549" s="37"/>
      <c r="Q549" s="37"/>
      <c r="R549" s="37"/>
    </row>
    <row r="550" spans="1:18" hidden="1" outlineLevel="1" x14ac:dyDescent="0.3">
      <c r="A550" s="45" t="s">
        <v>531</v>
      </c>
      <c r="B550" s="45" t="s">
        <v>915</v>
      </c>
      <c r="C550" s="48" t="s">
        <v>806</v>
      </c>
      <c r="D550" s="388" t="s">
        <v>4030</v>
      </c>
      <c r="E550" s="388"/>
      <c r="H550" s="538"/>
      <c r="I550" s="538"/>
      <c r="J550" s="538"/>
      <c r="L550" s="37"/>
      <c r="M550" s="41"/>
      <c r="N550" s="37"/>
      <c r="O550" s="37"/>
      <c r="P550" s="37"/>
      <c r="Q550" s="37"/>
      <c r="R550" s="37"/>
    </row>
    <row r="551" spans="1:18" hidden="1" outlineLevel="1" x14ac:dyDescent="0.3">
      <c r="A551" s="45" t="s">
        <v>531</v>
      </c>
      <c r="B551" s="45" t="s">
        <v>915</v>
      </c>
      <c r="C551" s="48" t="s">
        <v>808</v>
      </c>
      <c r="D551" s="388" t="s">
        <v>4030</v>
      </c>
      <c r="E551" s="388"/>
      <c r="H551" s="538"/>
      <c r="I551" s="538"/>
      <c r="J551" s="538"/>
      <c r="L551" s="37"/>
      <c r="M551" s="41"/>
      <c r="N551" s="37"/>
      <c r="O551" s="37"/>
      <c r="P551" s="37"/>
      <c r="Q551" s="37"/>
      <c r="R551" s="37"/>
    </row>
    <row r="552" spans="1:18" hidden="1" outlineLevel="1" x14ac:dyDescent="0.3">
      <c r="A552" s="45" t="s">
        <v>531</v>
      </c>
      <c r="B552" s="45" t="s">
        <v>915</v>
      </c>
      <c r="C552" s="48" t="s">
        <v>811</v>
      </c>
      <c r="D552" s="388" t="s">
        <v>4030</v>
      </c>
      <c r="E552" s="388"/>
      <c r="H552" s="538"/>
      <c r="I552" s="538"/>
      <c r="J552" s="538"/>
      <c r="L552" s="37"/>
      <c r="M552" s="41"/>
      <c r="N552" s="37"/>
      <c r="O552" s="37"/>
      <c r="P552" s="37"/>
      <c r="Q552" s="37"/>
      <c r="R552" s="37"/>
    </row>
    <row r="553" spans="1:18" hidden="1" outlineLevel="1" x14ac:dyDescent="0.3">
      <c r="A553" s="45" t="s">
        <v>531</v>
      </c>
      <c r="B553" s="45" t="s">
        <v>934</v>
      </c>
      <c r="C553" s="48" t="s">
        <v>814</v>
      </c>
      <c r="D553" s="388" t="s">
        <v>4030</v>
      </c>
      <c r="E553" s="388"/>
      <c r="H553" s="538"/>
      <c r="I553" s="538"/>
      <c r="J553" s="538"/>
      <c r="L553" s="37"/>
      <c r="M553" s="41"/>
      <c r="N553" s="37"/>
      <c r="O553" s="37"/>
      <c r="P553" s="37"/>
      <c r="Q553" s="37"/>
      <c r="R553" s="37"/>
    </row>
    <row r="554" spans="1:18" hidden="1" outlineLevel="1" x14ac:dyDescent="0.3">
      <c r="A554" s="45" t="s">
        <v>531</v>
      </c>
      <c r="B554" s="45" t="s">
        <v>934</v>
      </c>
      <c r="C554" s="48" t="s">
        <v>815</v>
      </c>
      <c r="D554" s="388" t="s">
        <v>4030</v>
      </c>
      <c r="E554" s="388"/>
      <c r="H554" s="538"/>
      <c r="I554" s="538"/>
      <c r="J554" s="538"/>
      <c r="L554" s="37"/>
      <c r="M554" s="41"/>
      <c r="N554" s="37"/>
      <c r="O554" s="37"/>
      <c r="P554" s="37"/>
      <c r="Q554" s="37"/>
      <c r="R554" s="37"/>
    </row>
    <row r="555" spans="1:18" hidden="1" outlineLevel="1" x14ac:dyDescent="0.3">
      <c r="A555" s="45" t="s">
        <v>531</v>
      </c>
      <c r="B555" s="45" t="s">
        <v>940</v>
      </c>
      <c r="C555" s="48" t="s">
        <v>817</v>
      </c>
      <c r="D555" s="388" t="s">
        <v>4030</v>
      </c>
      <c r="E555" s="388"/>
      <c r="H555" s="538"/>
      <c r="I555" s="538"/>
      <c r="J555" s="538"/>
      <c r="L555" s="37"/>
      <c r="M555" s="41"/>
      <c r="N555" s="37"/>
      <c r="O555" s="37"/>
      <c r="P555" s="37"/>
      <c r="Q555" s="37"/>
      <c r="R555" s="37"/>
    </row>
    <row r="556" spans="1:18" hidden="1" outlineLevel="1" x14ac:dyDescent="0.3">
      <c r="A556" s="45" t="s">
        <v>531</v>
      </c>
      <c r="B556" s="45" t="s">
        <v>940</v>
      </c>
      <c r="C556" s="48" t="s">
        <v>944</v>
      </c>
      <c r="D556" s="388" t="s">
        <v>4030</v>
      </c>
      <c r="E556" s="388"/>
      <c r="H556" s="538"/>
      <c r="I556" s="538"/>
      <c r="J556" s="538"/>
      <c r="L556" s="37"/>
      <c r="M556" s="41"/>
      <c r="N556" s="37"/>
      <c r="O556" s="37"/>
      <c r="P556" s="37"/>
      <c r="Q556" s="37"/>
      <c r="R556" s="37"/>
    </row>
    <row r="557" spans="1:18" hidden="1" outlineLevel="1" x14ac:dyDescent="0.3">
      <c r="A557" s="45" t="s">
        <v>531</v>
      </c>
      <c r="B557" s="45" t="s">
        <v>940</v>
      </c>
      <c r="C557" s="48" t="s">
        <v>821</v>
      </c>
      <c r="D557" s="388" t="s">
        <v>4030</v>
      </c>
      <c r="E557" s="388"/>
      <c r="H557" s="538"/>
      <c r="I557" s="538"/>
      <c r="J557" s="538"/>
      <c r="L557" s="37"/>
      <c r="M557" s="41"/>
      <c r="N557" s="37"/>
      <c r="O557" s="37"/>
      <c r="P557" s="37"/>
      <c r="Q557" s="37"/>
      <c r="R557" s="37"/>
    </row>
    <row r="558" spans="1:18" hidden="1" outlineLevel="1" x14ac:dyDescent="0.3">
      <c r="A558" s="45" t="s">
        <v>531</v>
      </c>
      <c r="B558" s="45" t="s">
        <v>940</v>
      </c>
      <c r="C558" s="48" t="s">
        <v>823</v>
      </c>
      <c r="D558" s="388" t="s">
        <v>4030</v>
      </c>
      <c r="E558" s="388"/>
      <c r="H558" s="538"/>
      <c r="I558" s="538"/>
      <c r="J558" s="538"/>
      <c r="L558" s="37"/>
      <c r="M558" s="41"/>
      <c r="N558" s="37"/>
      <c r="O558" s="37"/>
      <c r="P558" s="37"/>
      <c r="Q558" s="37"/>
      <c r="R558" s="37"/>
    </row>
    <row r="559" spans="1:18" hidden="1" outlineLevel="1" x14ac:dyDescent="0.3">
      <c r="A559" s="45" t="s">
        <v>531</v>
      </c>
      <c r="B559" s="45" t="s">
        <v>940</v>
      </c>
      <c r="C559" s="48" t="s">
        <v>825</v>
      </c>
      <c r="D559" s="388" t="s">
        <v>4030</v>
      </c>
      <c r="E559" s="388"/>
      <c r="H559" s="538"/>
      <c r="I559" s="538"/>
      <c r="J559" s="538"/>
      <c r="L559" s="37"/>
      <c r="M559" s="41"/>
      <c r="N559" s="37"/>
      <c r="O559" s="37"/>
      <c r="P559" s="37"/>
      <c r="Q559" s="37"/>
      <c r="R559" s="37"/>
    </row>
    <row r="560" spans="1:18" hidden="1" outlineLevel="1" x14ac:dyDescent="0.3">
      <c r="A560" s="45" t="s">
        <v>531</v>
      </c>
      <c r="B560" s="45" t="s">
        <v>940</v>
      </c>
      <c r="C560" s="48" t="s">
        <v>827</v>
      </c>
      <c r="D560" s="388" t="s">
        <v>4030</v>
      </c>
      <c r="E560" s="222" t="s">
        <v>4031</v>
      </c>
      <c r="H560" s="538"/>
      <c r="I560" s="538"/>
      <c r="J560" s="538"/>
      <c r="L560" s="37"/>
      <c r="M560" s="41"/>
      <c r="N560" s="37"/>
      <c r="O560" s="37"/>
      <c r="P560" s="37"/>
      <c r="Q560" s="37"/>
      <c r="R560" s="37"/>
    </row>
    <row r="561" spans="1:18" hidden="1" outlineLevel="1" x14ac:dyDescent="0.3">
      <c r="A561" s="45" t="s">
        <v>531</v>
      </c>
      <c r="B561" s="45" t="s">
        <v>940</v>
      </c>
      <c r="C561" s="48" t="s">
        <v>829</v>
      </c>
      <c r="D561" s="388" t="s">
        <v>4030</v>
      </c>
      <c r="E561" s="388"/>
      <c r="H561" s="538"/>
      <c r="I561" s="538"/>
      <c r="J561" s="538"/>
      <c r="L561" s="37"/>
      <c r="M561" s="41"/>
      <c r="N561" s="37"/>
      <c r="O561" s="37"/>
      <c r="P561" s="37"/>
      <c r="Q561" s="37"/>
      <c r="R561" s="37"/>
    </row>
    <row r="562" spans="1:18" hidden="1" outlineLevel="1" x14ac:dyDescent="0.3">
      <c r="A562" s="45" t="s">
        <v>531</v>
      </c>
      <c r="B562" s="45" t="s">
        <v>940</v>
      </c>
      <c r="C562" s="48" t="s">
        <v>833</v>
      </c>
      <c r="D562" s="388" t="s">
        <v>4030</v>
      </c>
      <c r="E562" s="388"/>
      <c r="H562" s="538"/>
      <c r="I562" s="538"/>
      <c r="J562" s="538"/>
      <c r="L562" s="37"/>
      <c r="M562" s="41"/>
      <c r="N562" s="37"/>
      <c r="O562" s="37"/>
      <c r="P562" s="37"/>
      <c r="Q562" s="37"/>
      <c r="R562" s="37"/>
    </row>
    <row r="563" spans="1:18" hidden="1" outlineLevel="1" x14ac:dyDescent="0.3">
      <c r="A563" s="45" t="s">
        <v>531</v>
      </c>
      <c r="B563" s="45" t="s">
        <v>940</v>
      </c>
      <c r="C563" s="48" t="s">
        <v>836</v>
      </c>
      <c r="D563" s="388" t="s">
        <v>4030</v>
      </c>
      <c r="E563" s="388"/>
      <c r="H563" s="538"/>
      <c r="I563" s="538"/>
      <c r="J563" s="538"/>
      <c r="L563" s="37"/>
      <c r="M563" s="41"/>
      <c r="N563" s="37"/>
      <c r="O563" s="37"/>
      <c r="P563" s="37"/>
      <c r="Q563" s="37"/>
      <c r="R563" s="37"/>
    </row>
    <row r="564" spans="1:18" hidden="1" outlineLevel="1" x14ac:dyDescent="0.3">
      <c r="A564" s="45" t="s">
        <v>531</v>
      </c>
      <c r="B564" s="45" t="s">
        <v>940</v>
      </c>
      <c r="C564" s="48" t="s">
        <v>837</v>
      </c>
      <c r="D564" s="388" t="s">
        <v>4030</v>
      </c>
      <c r="E564" s="388"/>
      <c r="H564" s="538"/>
      <c r="I564" s="538"/>
      <c r="J564" s="538"/>
      <c r="L564" s="37"/>
      <c r="M564" s="41"/>
      <c r="N564" s="37"/>
      <c r="O564" s="37"/>
      <c r="P564" s="37"/>
      <c r="Q564" s="37"/>
      <c r="R564" s="37"/>
    </row>
    <row r="565" spans="1:18" hidden="1" outlineLevel="1" x14ac:dyDescent="0.3">
      <c r="A565" s="45" t="s">
        <v>531</v>
      </c>
      <c r="B565" s="45" t="s">
        <v>940</v>
      </c>
      <c r="C565" s="48" t="s">
        <v>839</v>
      </c>
      <c r="D565" s="388" t="s">
        <v>4030</v>
      </c>
      <c r="E565" s="388"/>
      <c r="H565" s="538"/>
      <c r="I565" s="538"/>
      <c r="J565" s="538"/>
      <c r="L565" s="37"/>
      <c r="M565" s="41"/>
      <c r="N565" s="37"/>
      <c r="O565" s="37"/>
      <c r="P565" s="37"/>
      <c r="Q565" s="37"/>
      <c r="R565" s="37"/>
    </row>
    <row r="566" spans="1:18" hidden="1" outlineLevel="1" x14ac:dyDescent="0.3">
      <c r="A566" s="45" t="s">
        <v>531</v>
      </c>
      <c r="B566" s="45" t="s">
        <v>940</v>
      </c>
      <c r="C566" s="48" t="s">
        <v>840</v>
      </c>
      <c r="D566" s="388" t="s">
        <v>4030</v>
      </c>
      <c r="E566" s="388"/>
      <c r="H566" s="538"/>
      <c r="I566" s="538"/>
      <c r="J566" s="538"/>
      <c r="L566" s="37"/>
      <c r="M566" s="41"/>
      <c r="N566" s="37"/>
      <c r="O566" s="37"/>
      <c r="P566" s="37"/>
      <c r="Q566" s="37"/>
      <c r="R566" s="37"/>
    </row>
    <row r="567" spans="1:18" collapsed="1" x14ac:dyDescent="0.3">
      <c r="A567" s="45"/>
      <c r="B567" s="45"/>
      <c r="C567" s="45"/>
      <c r="D567" s="388"/>
      <c r="E567" s="388"/>
      <c r="H567" s="538"/>
      <c r="I567" s="538"/>
      <c r="J567" s="538"/>
      <c r="L567" s="41"/>
      <c r="M567" s="41"/>
      <c r="N567" s="42"/>
      <c r="O567" s="42"/>
    </row>
    <row r="568" spans="1:18" x14ac:dyDescent="0.3">
      <c r="A568" s="48" t="s">
        <v>4033</v>
      </c>
      <c r="B568" s="69"/>
      <c r="C568" s="46" t="s">
        <v>4032</v>
      </c>
      <c r="D568" s="388">
        <v>60</v>
      </c>
      <c r="E568" s="388"/>
      <c r="H568" s="538"/>
      <c r="I568" s="538"/>
      <c r="J568" s="538"/>
      <c r="M568" s="41"/>
    </row>
    <row r="569" spans="1:18" x14ac:dyDescent="0.3">
      <c r="A569" s="542" t="s">
        <v>5</v>
      </c>
      <c r="B569" s="542" t="s">
        <v>847</v>
      </c>
      <c r="C569" s="542" t="s">
        <v>193</v>
      </c>
      <c r="D569" s="543" t="s">
        <v>5</v>
      </c>
      <c r="E569" s="543" t="s">
        <v>153</v>
      </c>
      <c r="H569" s="538"/>
      <c r="I569" s="538"/>
      <c r="J569" s="538"/>
      <c r="M569" s="41"/>
      <c r="N569" s="37"/>
      <c r="O569" s="37"/>
      <c r="P569" s="37"/>
    </row>
    <row r="570" spans="1:18" hidden="1" outlineLevel="1" x14ac:dyDescent="0.3">
      <c r="A570" s="45" t="s">
        <v>4033</v>
      </c>
      <c r="B570" s="45" t="s">
        <v>855</v>
      </c>
      <c r="C570" s="48" t="s">
        <v>747</v>
      </c>
      <c r="D570" s="388">
        <v>60</v>
      </c>
      <c r="E570" s="388"/>
      <c r="H570" s="538"/>
      <c r="I570" s="538"/>
      <c r="J570" s="538"/>
      <c r="L570" s="37"/>
      <c r="M570" s="41"/>
      <c r="N570" s="37"/>
      <c r="O570" s="37"/>
      <c r="P570" s="37"/>
      <c r="Q570" s="37"/>
      <c r="R570" s="37"/>
    </row>
    <row r="571" spans="1:18" hidden="1" outlineLevel="1" x14ac:dyDescent="0.3">
      <c r="A571" s="45" t="s">
        <v>4033</v>
      </c>
      <c r="B571" s="45" t="s">
        <v>855</v>
      </c>
      <c r="C571" s="48" t="s">
        <v>751</v>
      </c>
      <c r="D571" s="388">
        <v>60</v>
      </c>
      <c r="E571" s="388"/>
      <c r="H571" s="538"/>
      <c r="I571" s="538"/>
      <c r="J571" s="538"/>
      <c r="L571" s="37"/>
      <c r="M571" s="41"/>
      <c r="N571" s="37"/>
      <c r="O571" s="37"/>
      <c r="P571" s="37"/>
      <c r="Q571" s="37"/>
      <c r="R571" s="37"/>
    </row>
    <row r="572" spans="1:18" hidden="1" outlineLevel="1" x14ac:dyDescent="0.3">
      <c r="A572" s="45" t="s">
        <v>4033</v>
      </c>
      <c r="B572" s="45" t="s">
        <v>855</v>
      </c>
      <c r="C572" s="48" t="s">
        <v>755</v>
      </c>
      <c r="D572" s="388">
        <v>60</v>
      </c>
      <c r="E572" s="388"/>
      <c r="H572" s="538"/>
      <c r="I572" s="538"/>
      <c r="J572" s="538"/>
      <c r="L572" s="37"/>
      <c r="M572" s="41"/>
      <c r="N572" s="37"/>
      <c r="O572" s="37"/>
      <c r="P572" s="37"/>
      <c r="Q572" s="37"/>
      <c r="R572" s="37"/>
    </row>
    <row r="573" spans="1:18" hidden="1" outlineLevel="1" x14ac:dyDescent="0.3">
      <c r="A573" s="45" t="s">
        <v>4033</v>
      </c>
      <c r="B573" s="45" t="s">
        <v>855</v>
      </c>
      <c r="C573" s="48" t="s">
        <v>758</v>
      </c>
      <c r="D573" s="388">
        <v>60</v>
      </c>
      <c r="E573" s="388"/>
      <c r="H573" s="538"/>
      <c r="I573" s="538"/>
      <c r="J573" s="538"/>
      <c r="L573" s="37"/>
      <c r="M573" s="41"/>
      <c r="N573" s="37"/>
      <c r="O573" s="37"/>
      <c r="P573" s="37"/>
      <c r="Q573" s="37"/>
      <c r="R573" s="37"/>
    </row>
    <row r="574" spans="1:18" hidden="1" outlineLevel="1" x14ac:dyDescent="0.3">
      <c r="A574" s="45" t="s">
        <v>4033</v>
      </c>
      <c r="B574" s="45" t="s">
        <v>855</v>
      </c>
      <c r="C574" s="48" t="s">
        <v>761</v>
      </c>
      <c r="D574" s="388">
        <v>60</v>
      </c>
      <c r="E574" s="388"/>
      <c r="H574" s="538"/>
      <c r="I574" s="538"/>
      <c r="J574" s="538"/>
      <c r="L574" s="37"/>
      <c r="M574" s="41"/>
      <c r="N574" s="37"/>
      <c r="O574" s="37"/>
      <c r="P574" s="37"/>
      <c r="Q574" s="37"/>
      <c r="R574" s="37"/>
    </row>
    <row r="575" spans="1:18" hidden="1" outlineLevel="1" x14ac:dyDescent="0.3">
      <c r="A575" s="45" t="s">
        <v>4033</v>
      </c>
      <c r="B575" s="45" t="s">
        <v>855</v>
      </c>
      <c r="C575" s="48" t="s">
        <v>763</v>
      </c>
      <c r="D575" s="388">
        <v>60</v>
      </c>
      <c r="E575" s="388"/>
      <c r="H575" s="538"/>
      <c r="I575" s="538"/>
      <c r="J575" s="538"/>
      <c r="L575" s="37"/>
      <c r="M575" s="41"/>
      <c r="N575" s="37"/>
      <c r="O575" s="37"/>
      <c r="P575" s="37"/>
      <c r="Q575" s="37"/>
      <c r="R575" s="37"/>
    </row>
    <row r="576" spans="1:18" hidden="1" outlineLevel="1" x14ac:dyDescent="0.3">
      <c r="A576" s="45" t="s">
        <v>4033</v>
      </c>
      <c r="B576" s="45" t="s">
        <v>855</v>
      </c>
      <c r="C576" s="48" t="s">
        <v>765</v>
      </c>
      <c r="D576" s="388">
        <v>60</v>
      </c>
      <c r="E576" s="388"/>
      <c r="H576" s="538"/>
      <c r="I576" s="538"/>
      <c r="J576" s="538"/>
      <c r="L576" s="37"/>
      <c r="M576" s="41"/>
      <c r="N576" s="37"/>
      <c r="O576" s="37"/>
      <c r="P576" s="37"/>
      <c r="Q576" s="37"/>
      <c r="R576" s="37"/>
    </row>
    <row r="577" spans="1:18" hidden="1" outlineLevel="1" x14ac:dyDescent="0.3">
      <c r="A577" s="45" t="s">
        <v>4033</v>
      </c>
      <c r="B577" s="45" t="s">
        <v>855</v>
      </c>
      <c r="C577" s="48" t="s">
        <v>768</v>
      </c>
      <c r="D577" s="388">
        <v>60</v>
      </c>
      <c r="E577" s="388"/>
      <c r="H577" s="538"/>
      <c r="I577" s="538"/>
      <c r="J577" s="538"/>
      <c r="L577" s="37"/>
      <c r="M577" s="41"/>
      <c r="N577" s="37"/>
      <c r="O577" s="37"/>
      <c r="P577" s="37"/>
      <c r="Q577" s="37"/>
      <c r="R577" s="37"/>
    </row>
    <row r="578" spans="1:18" hidden="1" outlineLevel="1" x14ac:dyDescent="0.3">
      <c r="A578" s="45" t="s">
        <v>4033</v>
      </c>
      <c r="B578" s="45" t="s">
        <v>855</v>
      </c>
      <c r="C578" s="48" t="s">
        <v>771</v>
      </c>
      <c r="D578" s="388">
        <v>60</v>
      </c>
      <c r="E578" s="388"/>
      <c r="H578" s="538"/>
      <c r="I578" s="538"/>
      <c r="J578" s="538"/>
      <c r="L578" s="37"/>
      <c r="M578" s="41"/>
      <c r="N578" s="37"/>
      <c r="O578" s="37"/>
      <c r="P578" s="37"/>
      <c r="Q578" s="37"/>
      <c r="R578" s="37"/>
    </row>
    <row r="579" spans="1:18" hidden="1" outlineLevel="1" x14ac:dyDescent="0.3">
      <c r="A579" s="45" t="s">
        <v>4033</v>
      </c>
      <c r="B579" s="45" t="s">
        <v>855</v>
      </c>
      <c r="C579" s="48" t="s">
        <v>772</v>
      </c>
      <c r="D579" s="388">
        <v>60</v>
      </c>
      <c r="E579" s="388"/>
      <c r="H579" s="538"/>
      <c r="I579" s="538"/>
      <c r="J579" s="538"/>
      <c r="L579" s="37"/>
      <c r="M579" s="41"/>
      <c r="N579" s="37"/>
      <c r="O579" s="37"/>
      <c r="P579" s="37"/>
      <c r="Q579" s="37"/>
      <c r="R579" s="37"/>
    </row>
    <row r="580" spans="1:18" hidden="1" outlineLevel="1" x14ac:dyDescent="0.3">
      <c r="A580" s="45" t="s">
        <v>4033</v>
      </c>
      <c r="B580" s="45" t="s">
        <v>855</v>
      </c>
      <c r="C580" s="48" t="s">
        <v>774</v>
      </c>
      <c r="D580" s="388">
        <v>60</v>
      </c>
      <c r="E580" s="388"/>
      <c r="H580" s="538"/>
      <c r="I580" s="538"/>
      <c r="J580" s="538"/>
      <c r="L580" s="37"/>
      <c r="M580" s="41"/>
      <c r="N580" s="37"/>
      <c r="O580" s="37"/>
      <c r="P580" s="37"/>
      <c r="Q580" s="37"/>
      <c r="R580" s="37"/>
    </row>
    <row r="581" spans="1:18" hidden="1" outlineLevel="1" x14ac:dyDescent="0.3">
      <c r="A581" s="45" t="s">
        <v>4033</v>
      </c>
      <c r="B581" s="45" t="s">
        <v>855</v>
      </c>
      <c r="C581" s="48" t="s">
        <v>775</v>
      </c>
      <c r="D581" s="388">
        <v>60</v>
      </c>
      <c r="E581" s="388"/>
      <c r="H581" s="538"/>
      <c r="I581" s="538"/>
      <c r="J581" s="538"/>
      <c r="L581" s="37"/>
      <c r="M581" s="41"/>
      <c r="N581" s="37"/>
      <c r="O581" s="37"/>
      <c r="P581" s="37"/>
      <c r="Q581" s="37"/>
      <c r="R581" s="37"/>
    </row>
    <row r="582" spans="1:18" hidden="1" outlineLevel="1" x14ac:dyDescent="0.3">
      <c r="A582" s="45" t="s">
        <v>4033</v>
      </c>
      <c r="B582" s="45" t="s">
        <v>855</v>
      </c>
      <c r="C582" s="48" t="s">
        <v>779</v>
      </c>
      <c r="D582" s="388">
        <v>60</v>
      </c>
      <c r="E582" s="388"/>
      <c r="H582" s="538"/>
      <c r="I582" s="538"/>
      <c r="J582" s="538"/>
      <c r="L582" s="37"/>
      <c r="M582" s="41"/>
      <c r="N582" s="37"/>
      <c r="O582" s="37"/>
      <c r="P582" s="37"/>
      <c r="Q582" s="37"/>
      <c r="R582" s="37"/>
    </row>
    <row r="583" spans="1:18" hidden="1" outlineLevel="1" x14ac:dyDescent="0.3">
      <c r="A583" s="45" t="s">
        <v>4033</v>
      </c>
      <c r="B583" s="45" t="s">
        <v>894</v>
      </c>
      <c r="C583" s="48" t="s">
        <v>781</v>
      </c>
      <c r="D583" s="388">
        <v>60</v>
      </c>
      <c r="E583" s="388"/>
      <c r="H583" s="538"/>
      <c r="I583" s="538"/>
      <c r="J583" s="538"/>
      <c r="L583" s="37"/>
      <c r="M583" s="41"/>
      <c r="N583" s="37"/>
      <c r="O583" s="37"/>
      <c r="P583" s="37"/>
      <c r="Q583" s="37"/>
      <c r="R583" s="37"/>
    </row>
    <row r="584" spans="1:18" hidden="1" outlineLevel="1" x14ac:dyDescent="0.3">
      <c r="A584" s="45" t="s">
        <v>4033</v>
      </c>
      <c r="B584" s="45" t="s">
        <v>894</v>
      </c>
      <c r="C584" s="48" t="s">
        <v>783</v>
      </c>
      <c r="D584" s="388">
        <v>60</v>
      </c>
      <c r="E584" s="388"/>
      <c r="H584" s="538"/>
      <c r="I584" s="538"/>
      <c r="J584" s="538"/>
      <c r="L584" s="37"/>
      <c r="M584" s="41"/>
      <c r="N584" s="37"/>
      <c r="O584" s="37"/>
      <c r="P584" s="37"/>
      <c r="Q584" s="37"/>
      <c r="R584" s="37"/>
    </row>
    <row r="585" spans="1:18" hidden="1" outlineLevel="1" x14ac:dyDescent="0.3">
      <c r="A585" s="45" t="s">
        <v>4033</v>
      </c>
      <c r="B585" s="45" t="s">
        <v>894</v>
      </c>
      <c r="C585" s="48" t="s">
        <v>785</v>
      </c>
      <c r="D585" s="388">
        <v>60</v>
      </c>
      <c r="E585" s="388"/>
      <c r="H585" s="538"/>
      <c r="I585" s="538"/>
      <c r="J585" s="538"/>
      <c r="L585" s="37"/>
      <c r="M585" s="41"/>
      <c r="N585" s="37"/>
      <c r="O585" s="37"/>
      <c r="P585" s="37"/>
      <c r="Q585" s="37"/>
      <c r="R585" s="37"/>
    </row>
    <row r="586" spans="1:18" hidden="1" outlineLevel="1" x14ac:dyDescent="0.3">
      <c r="A586" s="45" t="s">
        <v>4033</v>
      </c>
      <c r="B586" s="45" t="s">
        <v>894</v>
      </c>
      <c r="C586" s="48" t="s">
        <v>787</v>
      </c>
      <c r="D586" s="388">
        <v>60</v>
      </c>
      <c r="E586" s="388"/>
      <c r="H586" s="538"/>
      <c r="I586" s="538"/>
      <c r="J586" s="538"/>
      <c r="L586" s="37"/>
      <c r="M586" s="41"/>
      <c r="N586" s="37"/>
      <c r="O586" s="37"/>
      <c r="P586" s="37"/>
      <c r="Q586" s="37"/>
      <c r="R586" s="37"/>
    </row>
    <row r="587" spans="1:18" hidden="1" outlineLevel="1" x14ac:dyDescent="0.3">
      <c r="A587" s="45" t="s">
        <v>4033</v>
      </c>
      <c r="B587" s="45" t="s">
        <v>894</v>
      </c>
      <c r="C587" s="48" t="s">
        <v>788</v>
      </c>
      <c r="D587" s="388">
        <v>60</v>
      </c>
      <c r="E587" s="388"/>
      <c r="H587" s="538"/>
      <c r="I587" s="538"/>
      <c r="J587" s="538"/>
      <c r="L587" s="37"/>
      <c r="M587" s="41"/>
      <c r="N587" s="37"/>
      <c r="O587" s="37"/>
      <c r="P587" s="37"/>
      <c r="Q587" s="37"/>
      <c r="R587" s="37"/>
    </row>
    <row r="588" spans="1:18" hidden="1" outlineLevel="1" x14ac:dyDescent="0.3">
      <c r="A588" s="45" t="s">
        <v>4033</v>
      </c>
      <c r="B588" s="45" t="s">
        <v>894</v>
      </c>
      <c r="C588" s="48" t="s">
        <v>789</v>
      </c>
      <c r="D588" s="388">
        <v>60</v>
      </c>
      <c r="E588" s="388"/>
      <c r="H588" s="538"/>
      <c r="I588" s="538"/>
      <c r="J588" s="538"/>
      <c r="L588" s="37"/>
      <c r="M588" s="41"/>
      <c r="N588" s="37"/>
      <c r="O588" s="37"/>
      <c r="P588" s="37"/>
      <c r="Q588" s="37"/>
      <c r="R588" s="37"/>
    </row>
    <row r="589" spans="1:18" hidden="1" outlineLevel="1" x14ac:dyDescent="0.3">
      <c r="A589" s="45" t="s">
        <v>4033</v>
      </c>
      <c r="B589" s="45" t="s">
        <v>894</v>
      </c>
      <c r="C589" s="48" t="s">
        <v>790</v>
      </c>
      <c r="D589" s="388">
        <v>60</v>
      </c>
      <c r="E589" s="388"/>
      <c r="H589" s="538"/>
      <c r="I589" s="538"/>
      <c r="J589" s="538"/>
      <c r="L589" s="37"/>
      <c r="M589" s="41"/>
      <c r="N589" s="37"/>
      <c r="O589" s="37"/>
      <c r="P589" s="37"/>
      <c r="Q589" s="37"/>
      <c r="R589" s="37"/>
    </row>
    <row r="590" spans="1:18" hidden="1" outlineLevel="1" x14ac:dyDescent="0.3">
      <c r="A590" s="45" t="s">
        <v>4033</v>
      </c>
      <c r="B590" s="45" t="s">
        <v>894</v>
      </c>
      <c r="C590" s="48" t="s">
        <v>793</v>
      </c>
      <c r="D590" s="388">
        <v>60</v>
      </c>
      <c r="E590" s="388"/>
      <c r="H590" s="538"/>
      <c r="I590" s="538"/>
      <c r="J590" s="538"/>
      <c r="L590" s="37"/>
      <c r="M590" s="41"/>
      <c r="N590" s="37"/>
      <c r="O590" s="37"/>
      <c r="P590" s="37"/>
      <c r="Q590" s="37"/>
      <c r="R590" s="37"/>
    </row>
    <row r="591" spans="1:18" hidden="1" outlineLevel="1" x14ac:dyDescent="0.3">
      <c r="A591" s="45" t="s">
        <v>4033</v>
      </c>
      <c r="B591" s="45" t="s">
        <v>894</v>
      </c>
      <c r="C591" s="48" t="s">
        <v>795</v>
      </c>
      <c r="D591" s="388">
        <v>60</v>
      </c>
      <c r="E591" s="388"/>
      <c r="H591" s="538"/>
      <c r="I591" s="538"/>
      <c r="J591" s="538"/>
      <c r="L591" s="37"/>
      <c r="M591" s="41"/>
      <c r="N591" s="37"/>
      <c r="O591" s="37"/>
      <c r="P591" s="37"/>
      <c r="Q591" s="37"/>
      <c r="R591" s="37"/>
    </row>
    <row r="592" spans="1:18" hidden="1" outlineLevel="1" x14ac:dyDescent="0.3">
      <c r="A592" s="45" t="s">
        <v>4033</v>
      </c>
      <c r="B592" s="45" t="s">
        <v>894</v>
      </c>
      <c r="C592" s="48" t="s">
        <v>797</v>
      </c>
      <c r="D592" s="388">
        <v>60</v>
      </c>
      <c r="E592" s="388"/>
      <c r="H592" s="538"/>
      <c r="I592" s="538"/>
      <c r="J592" s="538"/>
      <c r="L592" s="37"/>
      <c r="M592" s="41"/>
      <c r="N592" s="37"/>
      <c r="O592" s="37"/>
      <c r="P592" s="37"/>
      <c r="Q592" s="37"/>
      <c r="R592" s="37"/>
    </row>
    <row r="593" spans="1:18" hidden="1" outlineLevel="1" x14ac:dyDescent="0.3">
      <c r="A593" s="45" t="s">
        <v>4033</v>
      </c>
      <c r="B593" s="45" t="s">
        <v>915</v>
      </c>
      <c r="C593" s="48" t="s">
        <v>799</v>
      </c>
      <c r="D593" s="388">
        <v>60</v>
      </c>
      <c r="E593" s="388"/>
      <c r="H593" s="538"/>
      <c r="I593" s="538"/>
      <c r="J593" s="538"/>
      <c r="L593" s="37"/>
      <c r="M593" s="41"/>
      <c r="N593" s="37"/>
      <c r="O593" s="37"/>
      <c r="P593" s="37"/>
      <c r="Q593" s="37"/>
      <c r="R593" s="37"/>
    </row>
    <row r="594" spans="1:18" hidden="1" outlineLevel="1" x14ac:dyDescent="0.3">
      <c r="A594" s="45" t="s">
        <v>4033</v>
      </c>
      <c r="B594" s="45" t="s">
        <v>915</v>
      </c>
      <c r="C594" s="48" t="s">
        <v>801</v>
      </c>
      <c r="D594" s="388">
        <v>60</v>
      </c>
      <c r="E594" s="388"/>
      <c r="H594" s="538"/>
      <c r="I594" s="538"/>
      <c r="J594" s="538"/>
      <c r="L594" s="37"/>
      <c r="M594" s="41"/>
      <c r="N594" s="37"/>
      <c r="O594" s="37"/>
      <c r="P594" s="37"/>
      <c r="Q594" s="37"/>
      <c r="R594" s="37"/>
    </row>
    <row r="595" spans="1:18" hidden="1" outlineLevel="1" x14ac:dyDescent="0.3">
      <c r="A595" s="45" t="s">
        <v>4033</v>
      </c>
      <c r="B595" s="45" t="s">
        <v>915</v>
      </c>
      <c r="C595" s="48" t="s">
        <v>804</v>
      </c>
      <c r="D595" s="388">
        <v>60</v>
      </c>
      <c r="E595" s="388"/>
      <c r="H595" s="538"/>
      <c r="I595" s="538"/>
      <c r="J595" s="538"/>
      <c r="L595" s="37"/>
      <c r="M595" s="41"/>
      <c r="N595" s="37"/>
      <c r="O595" s="37"/>
      <c r="P595" s="37"/>
      <c r="Q595" s="37"/>
      <c r="R595" s="37"/>
    </row>
    <row r="596" spans="1:18" hidden="1" outlineLevel="1" x14ac:dyDescent="0.3">
      <c r="A596" s="45" t="s">
        <v>4033</v>
      </c>
      <c r="B596" s="45" t="s">
        <v>915</v>
      </c>
      <c r="C596" s="48" t="s">
        <v>806</v>
      </c>
      <c r="D596" s="388">
        <v>60</v>
      </c>
      <c r="E596" s="388"/>
      <c r="H596" s="538"/>
      <c r="I596" s="538"/>
      <c r="J596" s="538"/>
      <c r="L596" s="37"/>
      <c r="M596" s="41"/>
      <c r="N596" s="37"/>
      <c r="O596" s="37"/>
      <c r="P596" s="37"/>
      <c r="Q596" s="37"/>
      <c r="R596" s="37"/>
    </row>
    <row r="597" spans="1:18" hidden="1" outlineLevel="1" x14ac:dyDescent="0.3">
      <c r="A597" s="45" t="s">
        <v>4033</v>
      </c>
      <c r="B597" s="45" t="s">
        <v>915</v>
      </c>
      <c r="C597" s="48" t="s">
        <v>808</v>
      </c>
      <c r="D597" s="388">
        <v>60</v>
      </c>
      <c r="E597" s="388"/>
      <c r="H597" s="538"/>
      <c r="I597" s="538"/>
      <c r="J597" s="538"/>
      <c r="L597" s="37"/>
      <c r="M597" s="41"/>
      <c r="N597" s="37"/>
      <c r="O597" s="37"/>
      <c r="P597" s="37"/>
      <c r="Q597" s="37"/>
      <c r="R597" s="37"/>
    </row>
    <row r="598" spans="1:18" hidden="1" outlineLevel="1" x14ac:dyDescent="0.3">
      <c r="A598" s="45" t="s">
        <v>4033</v>
      </c>
      <c r="B598" s="45" t="s">
        <v>915</v>
      </c>
      <c r="C598" s="48" t="s">
        <v>811</v>
      </c>
      <c r="D598" s="388">
        <v>60</v>
      </c>
      <c r="E598" s="388"/>
      <c r="H598" s="538"/>
      <c r="I598" s="538"/>
      <c r="J598" s="538"/>
      <c r="L598" s="37"/>
      <c r="M598" s="41"/>
      <c r="N598" s="37"/>
      <c r="O598" s="37"/>
      <c r="P598" s="37"/>
      <c r="Q598" s="37"/>
      <c r="R598" s="37"/>
    </row>
    <row r="599" spans="1:18" hidden="1" outlineLevel="1" x14ac:dyDescent="0.3">
      <c r="A599" s="45" t="s">
        <v>4033</v>
      </c>
      <c r="B599" s="45" t="s">
        <v>934</v>
      </c>
      <c r="C599" s="48" t="s">
        <v>814</v>
      </c>
      <c r="D599" s="388">
        <v>60</v>
      </c>
      <c r="E599" s="388"/>
      <c r="H599" s="538"/>
      <c r="I599" s="538"/>
      <c r="J599" s="538"/>
      <c r="L599" s="37"/>
      <c r="M599" s="41"/>
      <c r="N599" s="37"/>
      <c r="O599" s="37"/>
      <c r="P599" s="37"/>
      <c r="Q599" s="37"/>
      <c r="R599" s="37"/>
    </row>
    <row r="600" spans="1:18" hidden="1" outlineLevel="1" x14ac:dyDescent="0.3">
      <c r="A600" s="45" t="s">
        <v>4033</v>
      </c>
      <c r="B600" s="45" t="s">
        <v>934</v>
      </c>
      <c r="C600" s="48" t="s">
        <v>815</v>
      </c>
      <c r="D600" s="388">
        <v>60</v>
      </c>
      <c r="E600" s="388"/>
      <c r="H600" s="538"/>
      <c r="I600" s="538"/>
      <c r="J600" s="538"/>
      <c r="L600" s="37"/>
      <c r="M600" s="41"/>
      <c r="N600" s="37"/>
      <c r="O600" s="37"/>
      <c r="P600" s="37"/>
      <c r="Q600" s="37"/>
      <c r="R600" s="37"/>
    </row>
    <row r="601" spans="1:18" hidden="1" outlineLevel="1" x14ac:dyDescent="0.3">
      <c r="A601" s="45" t="s">
        <v>4033</v>
      </c>
      <c r="B601" s="45" t="s">
        <v>940</v>
      </c>
      <c r="C601" s="48" t="s">
        <v>817</v>
      </c>
      <c r="D601" s="388">
        <v>60</v>
      </c>
      <c r="E601" s="388"/>
      <c r="H601" s="538"/>
      <c r="I601" s="538"/>
      <c r="J601" s="538"/>
      <c r="L601" s="37"/>
      <c r="M601" s="41"/>
      <c r="N601" s="37"/>
      <c r="O601" s="37"/>
      <c r="P601" s="37"/>
      <c r="Q601" s="37"/>
      <c r="R601" s="37"/>
    </row>
    <row r="602" spans="1:18" hidden="1" outlineLevel="1" x14ac:dyDescent="0.3">
      <c r="A602" s="45" t="s">
        <v>4033</v>
      </c>
      <c r="B602" s="45" t="s">
        <v>940</v>
      </c>
      <c r="C602" s="48" t="s">
        <v>944</v>
      </c>
      <c r="D602" s="388">
        <v>60</v>
      </c>
      <c r="E602" s="388"/>
      <c r="H602" s="538"/>
      <c r="I602" s="538"/>
      <c r="J602" s="538"/>
      <c r="L602" s="37"/>
      <c r="M602" s="41"/>
      <c r="N602" s="37"/>
      <c r="O602" s="37"/>
      <c r="P602" s="37"/>
      <c r="Q602" s="37"/>
      <c r="R602" s="37"/>
    </row>
    <row r="603" spans="1:18" hidden="1" outlineLevel="1" x14ac:dyDescent="0.3">
      <c r="A603" s="45" t="s">
        <v>4033</v>
      </c>
      <c r="B603" s="45" t="s">
        <v>940</v>
      </c>
      <c r="C603" s="48" t="s">
        <v>821</v>
      </c>
      <c r="D603" s="388">
        <v>60</v>
      </c>
      <c r="E603" s="388"/>
      <c r="H603" s="538"/>
      <c r="I603" s="538"/>
      <c r="J603" s="538"/>
      <c r="L603" s="37"/>
      <c r="M603" s="41"/>
      <c r="N603" s="37"/>
      <c r="O603" s="37"/>
      <c r="P603" s="37"/>
      <c r="Q603" s="37"/>
      <c r="R603" s="37"/>
    </row>
    <row r="604" spans="1:18" hidden="1" outlineLevel="1" x14ac:dyDescent="0.3">
      <c r="A604" s="45" t="s">
        <v>4033</v>
      </c>
      <c r="B604" s="45" t="s">
        <v>940</v>
      </c>
      <c r="C604" s="48" t="s">
        <v>823</v>
      </c>
      <c r="D604" s="388">
        <v>60</v>
      </c>
      <c r="E604" s="388"/>
      <c r="H604" s="538"/>
      <c r="I604" s="538"/>
      <c r="J604" s="538"/>
      <c r="L604" s="37"/>
      <c r="M604" s="41"/>
      <c r="N604" s="37"/>
      <c r="O604" s="37"/>
      <c r="P604" s="37"/>
      <c r="Q604" s="37"/>
      <c r="R604" s="37"/>
    </row>
    <row r="605" spans="1:18" hidden="1" outlineLevel="1" x14ac:dyDescent="0.3">
      <c r="A605" s="45" t="s">
        <v>4033</v>
      </c>
      <c r="B605" s="45" t="s">
        <v>940</v>
      </c>
      <c r="C605" s="48" t="s">
        <v>825</v>
      </c>
      <c r="D605" s="388">
        <v>60</v>
      </c>
      <c r="E605" s="388"/>
      <c r="H605" s="538"/>
      <c r="I605" s="538"/>
      <c r="J605" s="538"/>
      <c r="L605" s="37"/>
      <c r="M605" s="41"/>
      <c r="N605" s="37"/>
      <c r="O605" s="37"/>
      <c r="P605" s="37"/>
      <c r="Q605" s="37"/>
      <c r="R605" s="37"/>
    </row>
    <row r="606" spans="1:18" hidden="1" outlineLevel="1" x14ac:dyDescent="0.3">
      <c r="A606" s="45" t="s">
        <v>4033</v>
      </c>
      <c r="B606" s="45" t="s">
        <v>940</v>
      </c>
      <c r="C606" s="48" t="s">
        <v>827</v>
      </c>
      <c r="D606" s="388">
        <v>60</v>
      </c>
      <c r="E606" s="388"/>
      <c r="H606" s="538"/>
      <c r="I606" s="538"/>
      <c r="J606" s="538"/>
      <c r="L606" s="37"/>
      <c r="M606" s="41"/>
      <c r="N606" s="37"/>
      <c r="O606" s="37"/>
      <c r="P606" s="37"/>
      <c r="Q606" s="37"/>
      <c r="R606" s="37"/>
    </row>
    <row r="607" spans="1:18" hidden="1" outlineLevel="1" x14ac:dyDescent="0.3">
      <c r="A607" s="45" t="s">
        <v>4033</v>
      </c>
      <c r="B607" s="45" t="s">
        <v>940</v>
      </c>
      <c r="C607" s="48" t="s">
        <v>829</v>
      </c>
      <c r="D607" s="388">
        <v>60</v>
      </c>
      <c r="E607" s="388"/>
      <c r="H607" s="538"/>
      <c r="I607" s="538"/>
      <c r="J607" s="538"/>
      <c r="L607" s="37"/>
      <c r="M607" s="41"/>
      <c r="N607" s="37"/>
      <c r="O607" s="37"/>
      <c r="P607" s="37"/>
      <c r="Q607" s="37"/>
      <c r="R607" s="37"/>
    </row>
    <row r="608" spans="1:18" hidden="1" outlineLevel="1" x14ac:dyDescent="0.3">
      <c r="A608" s="45" t="s">
        <v>4033</v>
      </c>
      <c r="B608" s="45" t="s">
        <v>940</v>
      </c>
      <c r="C608" s="48" t="s">
        <v>833</v>
      </c>
      <c r="D608" s="388">
        <v>60</v>
      </c>
      <c r="E608" s="388"/>
      <c r="H608" s="538"/>
      <c r="I608" s="538"/>
      <c r="J608" s="538"/>
      <c r="L608" s="37"/>
      <c r="M608" s="41"/>
      <c r="N608" s="37"/>
      <c r="O608" s="37"/>
      <c r="P608" s="37"/>
      <c r="Q608" s="37"/>
      <c r="R608" s="37"/>
    </row>
    <row r="609" spans="1:18" hidden="1" outlineLevel="1" x14ac:dyDescent="0.3">
      <c r="A609" s="45" t="s">
        <v>4033</v>
      </c>
      <c r="B609" s="45" t="s">
        <v>940</v>
      </c>
      <c r="C609" s="48" t="s">
        <v>836</v>
      </c>
      <c r="D609" s="388">
        <v>60</v>
      </c>
      <c r="E609" s="388"/>
      <c r="H609" s="538"/>
      <c r="I609" s="538"/>
      <c r="J609" s="538"/>
      <c r="L609" s="37"/>
      <c r="M609" s="41"/>
      <c r="N609" s="37"/>
      <c r="O609" s="37"/>
      <c r="P609" s="37"/>
      <c r="Q609" s="37"/>
      <c r="R609" s="37"/>
    </row>
    <row r="610" spans="1:18" hidden="1" outlineLevel="1" x14ac:dyDescent="0.3">
      <c r="A610" s="45" t="s">
        <v>4033</v>
      </c>
      <c r="B610" s="45" t="s">
        <v>940</v>
      </c>
      <c r="C610" s="48" t="s">
        <v>837</v>
      </c>
      <c r="D610" s="388">
        <v>60</v>
      </c>
      <c r="E610" s="388"/>
      <c r="H610" s="538"/>
      <c r="I610" s="538"/>
      <c r="J610" s="538"/>
      <c r="L610" s="37"/>
      <c r="M610" s="41"/>
      <c r="N610" s="37"/>
      <c r="O610" s="37"/>
      <c r="P610" s="37"/>
      <c r="Q610" s="37"/>
      <c r="R610" s="37"/>
    </row>
    <row r="611" spans="1:18" hidden="1" outlineLevel="1" x14ac:dyDescent="0.3">
      <c r="A611" s="45" t="s">
        <v>4033</v>
      </c>
      <c r="B611" s="45" t="s">
        <v>940</v>
      </c>
      <c r="C611" s="48" t="s">
        <v>839</v>
      </c>
      <c r="D611" s="388">
        <v>60</v>
      </c>
      <c r="E611" s="388"/>
      <c r="H611" s="538"/>
      <c r="I611" s="538"/>
      <c r="J611" s="538"/>
      <c r="L611" s="37"/>
      <c r="M611" s="41"/>
      <c r="N611" s="37"/>
      <c r="O611" s="37"/>
      <c r="P611" s="37"/>
      <c r="Q611" s="37"/>
      <c r="R611" s="37"/>
    </row>
    <row r="612" spans="1:18" hidden="1" outlineLevel="1" x14ac:dyDescent="0.3">
      <c r="A612" s="45" t="s">
        <v>4033</v>
      </c>
      <c r="B612" s="45" t="s">
        <v>940</v>
      </c>
      <c r="C612" s="48" t="s">
        <v>840</v>
      </c>
      <c r="D612" s="388">
        <v>60</v>
      </c>
      <c r="E612" s="388"/>
      <c r="H612" s="538"/>
      <c r="I612" s="538"/>
      <c r="J612" s="538"/>
      <c r="L612" s="37"/>
      <c r="M612" s="41"/>
      <c r="N612" s="37"/>
      <c r="O612" s="37"/>
      <c r="P612" s="37"/>
      <c r="Q612" s="37"/>
      <c r="R612" s="37"/>
    </row>
    <row r="613" spans="1:18" collapsed="1" x14ac:dyDescent="0.3">
      <c r="A613" s="45"/>
      <c r="B613" s="45"/>
      <c r="C613" s="45"/>
      <c r="D613" s="388"/>
      <c r="E613" s="388"/>
      <c r="H613" s="538"/>
      <c r="I613" s="538"/>
      <c r="J613" s="538"/>
      <c r="L613" s="41"/>
      <c r="M613" s="41"/>
      <c r="N613" s="42"/>
      <c r="O613" s="42"/>
    </row>
    <row r="614" spans="1:18" x14ac:dyDescent="0.3">
      <c r="A614" s="48" t="s">
        <v>4034</v>
      </c>
      <c r="B614" s="69"/>
      <c r="C614" s="46" t="s">
        <v>4032</v>
      </c>
      <c r="D614" s="491">
        <v>0.25</v>
      </c>
      <c r="E614" s="388"/>
      <c r="H614" s="538"/>
      <c r="I614" s="538"/>
      <c r="J614" s="538"/>
      <c r="M614" s="41"/>
    </row>
    <row r="615" spans="1:18" x14ac:dyDescent="0.3">
      <c r="A615" s="542" t="s">
        <v>5</v>
      </c>
      <c r="B615" s="542" t="s">
        <v>847</v>
      </c>
      <c r="C615" s="542" t="s">
        <v>193</v>
      </c>
      <c r="D615" s="543" t="s">
        <v>4029</v>
      </c>
      <c r="E615" s="543" t="s">
        <v>153</v>
      </c>
      <c r="H615" s="538"/>
      <c r="I615" s="538"/>
      <c r="J615" s="538"/>
      <c r="M615" s="41"/>
      <c r="N615" s="37"/>
      <c r="O615" s="37"/>
      <c r="P615" s="37"/>
    </row>
    <row r="616" spans="1:18" hidden="1" outlineLevel="1" x14ac:dyDescent="0.3">
      <c r="A616" s="45" t="s">
        <v>4034</v>
      </c>
      <c r="B616" s="45" t="s">
        <v>855</v>
      </c>
      <c r="C616" s="48" t="s">
        <v>747</v>
      </c>
      <c r="D616" s="491">
        <v>0.25</v>
      </c>
      <c r="E616" s="388"/>
      <c r="H616" s="538"/>
      <c r="I616" s="538"/>
      <c r="J616" s="538"/>
      <c r="L616" s="37"/>
      <c r="M616" s="41"/>
      <c r="N616" s="37"/>
      <c r="O616" s="37"/>
      <c r="P616" s="37"/>
      <c r="Q616" s="37"/>
      <c r="R616" s="37"/>
    </row>
    <row r="617" spans="1:18" hidden="1" outlineLevel="1" x14ac:dyDescent="0.3">
      <c r="A617" s="45" t="s">
        <v>4034</v>
      </c>
      <c r="B617" s="45" t="s">
        <v>855</v>
      </c>
      <c r="C617" s="48" t="s">
        <v>751</v>
      </c>
      <c r="D617" s="491">
        <v>0.25</v>
      </c>
      <c r="E617" s="388"/>
      <c r="H617" s="538"/>
      <c r="I617" s="538"/>
      <c r="J617" s="538"/>
      <c r="L617" s="37"/>
      <c r="M617" s="41"/>
      <c r="N617" s="37"/>
      <c r="O617" s="37"/>
      <c r="P617" s="37"/>
      <c r="Q617" s="37"/>
      <c r="R617" s="37"/>
    </row>
    <row r="618" spans="1:18" hidden="1" outlineLevel="1" x14ac:dyDescent="0.3">
      <c r="A618" s="45" t="s">
        <v>4034</v>
      </c>
      <c r="B618" s="45" t="s">
        <v>855</v>
      </c>
      <c r="C618" s="48" t="s">
        <v>755</v>
      </c>
      <c r="D618" s="491">
        <v>0.25</v>
      </c>
      <c r="E618" s="388"/>
      <c r="H618" s="538"/>
      <c r="I618" s="538"/>
      <c r="J618" s="538"/>
      <c r="L618" s="37"/>
      <c r="M618" s="41"/>
      <c r="N618" s="37"/>
      <c r="O618" s="37"/>
      <c r="P618" s="37"/>
      <c r="Q618" s="37"/>
      <c r="R618" s="37"/>
    </row>
    <row r="619" spans="1:18" hidden="1" outlineLevel="1" x14ac:dyDescent="0.3">
      <c r="A619" s="45" t="s">
        <v>4034</v>
      </c>
      <c r="B619" s="45" t="s">
        <v>855</v>
      </c>
      <c r="C619" s="48" t="s">
        <v>758</v>
      </c>
      <c r="D619" s="491">
        <v>0.25</v>
      </c>
      <c r="E619" s="388"/>
      <c r="H619" s="538"/>
      <c r="I619" s="538"/>
      <c r="J619" s="538"/>
      <c r="L619" s="37"/>
      <c r="M619" s="41"/>
      <c r="N619" s="37"/>
      <c r="O619" s="37"/>
      <c r="P619" s="37"/>
      <c r="Q619" s="37"/>
      <c r="R619" s="37"/>
    </row>
    <row r="620" spans="1:18" hidden="1" outlineLevel="1" x14ac:dyDescent="0.3">
      <c r="A620" s="45" t="s">
        <v>4034</v>
      </c>
      <c r="B620" s="45" t="s">
        <v>855</v>
      </c>
      <c r="C620" s="48" t="s">
        <v>761</v>
      </c>
      <c r="D620" s="491">
        <v>0.25</v>
      </c>
      <c r="E620" s="388"/>
      <c r="H620" s="538"/>
      <c r="I620" s="538"/>
      <c r="J620" s="538"/>
      <c r="L620" s="37"/>
      <c r="M620" s="41"/>
      <c r="N620" s="37"/>
      <c r="O620" s="37"/>
      <c r="P620" s="37"/>
      <c r="Q620" s="37"/>
      <c r="R620" s="37"/>
    </row>
    <row r="621" spans="1:18" hidden="1" outlineLevel="1" x14ac:dyDescent="0.3">
      <c r="A621" s="45" t="s">
        <v>4034</v>
      </c>
      <c r="B621" s="45" t="s">
        <v>855</v>
      </c>
      <c r="C621" s="48" t="s">
        <v>763</v>
      </c>
      <c r="D621" s="491">
        <v>0.25</v>
      </c>
      <c r="E621" s="388"/>
      <c r="H621" s="538"/>
      <c r="I621" s="538"/>
      <c r="J621" s="538"/>
      <c r="L621" s="37"/>
      <c r="M621" s="41"/>
      <c r="N621" s="37"/>
      <c r="O621" s="37"/>
      <c r="P621" s="37"/>
      <c r="Q621" s="37"/>
      <c r="R621" s="37"/>
    </row>
    <row r="622" spans="1:18" hidden="1" outlineLevel="1" x14ac:dyDescent="0.3">
      <c r="A622" s="45" t="s">
        <v>4034</v>
      </c>
      <c r="B622" s="45" t="s">
        <v>855</v>
      </c>
      <c r="C622" s="48" t="s">
        <v>765</v>
      </c>
      <c r="D622" s="491">
        <v>0.25</v>
      </c>
      <c r="E622" s="388"/>
      <c r="H622" s="538"/>
      <c r="I622" s="538"/>
      <c r="J622" s="538"/>
      <c r="L622" s="37"/>
      <c r="M622" s="41"/>
      <c r="N622" s="37"/>
      <c r="O622" s="37"/>
      <c r="P622" s="37"/>
      <c r="Q622" s="37"/>
      <c r="R622" s="37"/>
    </row>
    <row r="623" spans="1:18" hidden="1" outlineLevel="1" x14ac:dyDescent="0.3">
      <c r="A623" s="45" t="s">
        <v>4034</v>
      </c>
      <c r="B623" s="45" t="s">
        <v>855</v>
      </c>
      <c r="C623" s="48" t="s">
        <v>768</v>
      </c>
      <c r="D623" s="491">
        <v>0.25</v>
      </c>
      <c r="E623" s="388"/>
      <c r="H623" s="538"/>
      <c r="I623" s="538"/>
      <c r="J623" s="538"/>
      <c r="L623" s="37"/>
      <c r="M623" s="41"/>
      <c r="N623" s="37"/>
      <c r="O623" s="37"/>
      <c r="P623" s="37"/>
      <c r="Q623" s="37"/>
      <c r="R623" s="37"/>
    </row>
    <row r="624" spans="1:18" hidden="1" outlineLevel="1" x14ac:dyDescent="0.3">
      <c r="A624" s="45" t="s">
        <v>4034</v>
      </c>
      <c r="B624" s="45" t="s">
        <v>855</v>
      </c>
      <c r="C624" s="48" t="s">
        <v>771</v>
      </c>
      <c r="D624" s="491">
        <v>0.25</v>
      </c>
      <c r="E624" s="388"/>
      <c r="H624" s="538"/>
      <c r="I624" s="538"/>
      <c r="J624" s="538"/>
      <c r="L624" s="37"/>
      <c r="M624" s="41"/>
      <c r="N624" s="37"/>
      <c r="O624" s="37"/>
      <c r="P624" s="37"/>
      <c r="Q624" s="37"/>
      <c r="R624" s="37"/>
    </row>
    <row r="625" spans="1:18" hidden="1" outlineLevel="1" x14ac:dyDescent="0.3">
      <c r="A625" s="45" t="s">
        <v>4034</v>
      </c>
      <c r="B625" s="45" t="s">
        <v>855</v>
      </c>
      <c r="C625" s="48" t="s">
        <v>772</v>
      </c>
      <c r="D625" s="491">
        <v>0.25</v>
      </c>
      <c r="E625" s="388"/>
      <c r="H625" s="538"/>
      <c r="I625" s="538"/>
      <c r="J625" s="538"/>
      <c r="L625" s="37"/>
      <c r="M625" s="41"/>
      <c r="N625" s="37"/>
      <c r="O625" s="37"/>
      <c r="P625" s="37"/>
      <c r="Q625" s="37"/>
      <c r="R625" s="37"/>
    </row>
    <row r="626" spans="1:18" hidden="1" outlineLevel="1" x14ac:dyDescent="0.3">
      <c r="A626" s="45" t="s">
        <v>4034</v>
      </c>
      <c r="B626" s="45" t="s">
        <v>855</v>
      </c>
      <c r="C626" s="48" t="s">
        <v>774</v>
      </c>
      <c r="D626" s="491">
        <v>0.25</v>
      </c>
      <c r="E626" s="388"/>
      <c r="H626" s="538"/>
      <c r="I626" s="538"/>
      <c r="J626" s="538"/>
      <c r="L626" s="37"/>
      <c r="M626" s="41"/>
      <c r="N626" s="37"/>
      <c r="O626" s="37"/>
      <c r="P626" s="37"/>
      <c r="Q626" s="37"/>
      <c r="R626" s="37"/>
    </row>
    <row r="627" spans="1:18" hidden="1" outlineLevel="1" x14ac:dyDescent="0.3">
      <c r="A627" s="45" t="s">
        <v>4034</v>
      </c>
      <c r="B627" s="45" t="s">
        <v>855</v>
      </c>
      <c r="C627" s="48" t="s">
        <v>775</v>
      </c>
      <c r="D627" s="491">
        <v>0.25</v>
      </c>
      <c r="E627" s="388"/>
      <c r="H627" s="538"/>
      <c r="I627" s="538"/>
      <c r="J627" s="538"/>
      <c r="L627" s="37"/>
      <c r="M627" s="41"/>
      <c r="N627" s="37"/>
      <c r="O627" s="37"/>
      <c r="P627" s="37"/>
      <c r="Q627" s="37"/>
      <c r="R627" s="37"/>
    </row>
    <row r="628" spans="1:18" hidden="1" outlineLevel="1" x14ac:dyDescent="0.3">
      <c r="A628" s="45" t="s">
        <v>4034</v>
      </c>
      <c r="B628" s="45" t="s">
        <v>855</v>
      </c>
      <c r="C628" s="48" t="s">
        <v>779</v>
      </c>
      <c r="D628" s="491">
        <v>0.25</v>
      </c>
      <c r="E628" s="388"/>
      <c r="H628" s="538"/>
      <c r="I628" s="538"/>
      <c r="J628" s="538"/>
      <c r="L628" s="37"/>
      <c r="M628" s="41"/>
      <c r="N628" s="37"/>
      <c r="O628" s="37"/>
      <c r="P628" s="37"/>
      <c r="Q628" s="37"/>
      <c r="R628" s="37"/>
    </row>
    <row r="629" spans="1:18" hidden="1" outlineLevel="1" x14ac:dyDescent="0.3">
      <c r="A629" s="45" t="s">
        <v>4034</v>
      </c>
      <c r="B629" s="45" t="s">
        <v>894</v>
      </c>
      <c r="C629" s="48" t="s">
        <v>781</v>
      </c>
      <c r="D629" s="491">
        <v>0.25</v>
      </c>
      <c r="E629" s="388"/>
      <c r="H629" s="538"/>
      <c r="I629" s="538"/>
      <c r="J629" s="538"/>
      <c r="L629" s="37"/>
      <c r="M629" s="41"/>
      <c r="N629" s="37"/>
      <c r="O629" s="37"/>
      <c r="P629" s="37"/>
      <c r="Q629" s="37"/>
      <c r="R629" s="37"/>
    </row>
    <row r="630" spans="1:18" hidden="1" outlineLevel="1" x14ac:dyDescent="0.3">
      <c r="A630" s="45" t="s">
        <v>4034</v>
      </c>
      <c r="B630" s="45" t="s">
        <v>894</v>
      </c>
      <c r="C630" s="48" t="s">
        <v>783</v>
      </c>
      <c r="D630" s="491">
        <v>0.25</v>
      </c>
      <c r="E630" s="388"/>
      <c r="H630" s="538"/>
      <c r="I630" s="538"/>
      <c r="J630" s="538"/>
      <c r="L630" s="37"/>
      <c r="M630" s="41"/>
      <c r="N630" s="37"/>
      <c r="O630" s="37"/>
      <c r="P630" s="37"/>
      <c r="Q630" s="37"/>
      <c r="R630" s="37"/>
    </row>
    <row r="631" spans="1:18" hidden="1" outlineLevel="1" x14ac:dyDescent="0.3">
      <c r="A631" s="45" t="s">
        <v>4034</v>
      </c>
      <c r="B631" s="45" t="s">
        <v>894</v>
      </c>
      <c r="C631" s="48" t="s">
        <v>785</v>
      </c>
      <c r="D631" s="491">
        <v>0.25</v>
      </c>
      <c r="E631" s="388"/>
      <c r="H631" s="538"/>
      <c r="I631" s="538"/>
      <c r="J631" s="538"/>
      <c r="L631" s="37"/>
      <c r="M631" s="41"/>
      <c r="N631" s="37"/>
      <c r="O631" s="37"/>
      <c r="P631" s="37"/>
      <c r="Q631" s="37"/>
      <c r="R631" s="37"/>
    </row>
    <row r="632" spans="1:18" hidden="1" outlineLevel="1" x14ac:dyDescent="0.3">
      <c r="A632" s="45" t="s">
        <v>4034</v>
      </c>
      <c r="B632" s="45" t="s">
        <v>894</v>
      </c>
      <c r="C632" s="48" t="s">
        <v>787</v>
      </c>
      <c r="D632" s="491">
        <v>0.25</v>
      </c>
      <c r="E632" s="388"/>
      <c r="H632" s="538"/>
      <c r="I632" s="538"/>
      <c r="J632" s="538"/>
      <c r="L632" s="37"/>
      <c r="M632" s="41"/>
      <c r="N632" s="37"/>
      <c r="O632" s="37"/>
      <c r="P632" s="37"/>
      <c r="Q632" s="37"/>
      <c r="R632" s="37"/>
    </row>
    <row r="633" spans="1:18" hidden="1" outlineLevel="1" x14ac:dyDescent="0.3">
      <c r="A633" s="45" t="s">
        <v>4034</v>
      </c>
      <c r="B633" s="45" t="s">
        <v>894</v>
      </c>
      <c r="C633" s="48" t="s">
        <v>788</v>
      </c>
      <c r="D633" s="491">
        <v>0.25</v>
      </c>
      <c r="E633" s="388"/>
      <c r="H633" s="538"/>
      <c r="I633" s="538"/>
      <c r="J633" s="538"/>
      <c r="L633" s="37"/>
      <c r="M633" s="41"/>
      <c r="N633" s="37"/>
      <c r="O633" s="37"/>
      <c r="P633" s="37"/>
      <c r="Q633" s="37"/>
      <c r="R633" s="37"/>
    </row>
    <row r="634" spans="1:18" hidden="1" outlineLevel="1" x14ac:dyDescent="0.3">
      <c r="A634" s="45" t="s">
        <v>4034</v>
      </c>
      <c r="B634" s="45" t="s">
        <v>894</v>
      </c>
      <c r="C634" s="48" t="s">
        <v>789</v>
      </c>
      <c r="D634" s="491">
        <v>0.25</v>
      </c>
      <c r="E634" s="388"/>
      <c r="H634" s="538"/>
      <c r="I634" s="538"/>
      <c r="J634" s="538"/>
      <c r="L634" s="37"/>
      <c r="M634" s="41"/>
      <c r="N634" s="37"/>
      <c r="O634" s="37"/>
      <c r="P634" s="37"/>
      <c r="Q634" s="37"/>
      <c r="R634" s="37"/>
    </row>
    <row r="635" spans="1:18" hidden="1" outlineLevel="1" x14ac:dyDescent="0.3">
      <c r="A635" s="45" t="s">
        <v>4034</v>
      </c>
      <c r="B635" s="45" t="s">
        <v>894</v>
      </c>
      <c r="C635" s="48" t="s">
        <v>790</v>
      </c>
      <c r="D635" s="491">
        <v>0.25</v>
      </c>
      <c r="E635" s="388"/>
      <c r="H635" s="538"/>
      <c r="I635" s="538"/>
      <c r="J635" s="538"/>
      <c r="L635" s="37"/>
      <c r="M635" s="41"/>
      <c r="N635" s="37"/>
      <c r="O635" s="37"/>
      <c r="P635" s="37"/>
      <c r="Q635" s="37"/>
      <c r="R635" s="37"/>
    </row>
    <row r="636" spans="1:18" hidden="1" outlineLevel="1" x14ac:dyDescent="0.3">
      <c r="A636" s="45" t="s">
        <v>4034</v>
      </c>
      <c r="B636" s="45" t="s">
        <v>894</v>
      </c>
      <c r="C636" s="48" t="s">
        <v>793</v>
      </c>
      <c r="D636" s="491">
        <v>0.25</v>
      </c>
      <c r="E636" s="388"/>
      <c r="H636" s="538"/>
      <c r="I636" s="538"/>
      <c r="J636" s="538"/>
      <c r="L636" s="37"/>
      <c r="M636" s="41"/>
      <c r="N636" s="37"/>
      <c r="O636" s="37"/>
      <c r="P636" s="37"/>
      <c r="Q636" s="37"/>
      <c r="R636" s="37"/>
    </row>
    <row r="637" spans="1:18" hidden="1" outlineLevel="1" x14ac:dyDescent="0.3">
      <c r="A637" s="45" t="s">
        <v>4034</v>
      </c>
      <c r="B637" s="45" t="s">
        <v>894</v>
      </c>
      <c r="C637" s="48" t="s">
        <v>795</v>
      </c>
      <c r="D637" s="491">
        <v>0.25</v>
      </c>
      <c r="E637" s="388"/>
      <c r="H637" s="538"/>
      <c r="I637" s="538"/>
      <c r="J637" s="538"/>
      <c r="L637" s="37"/>
      <c r="M637" s="41"/>
      <c r="N637" s="37"/>
      <c r="O637" s="37"/>
      <c r="P637" s="37"/>
      <c r="Q637" s="37"/>
      <c r="R637" s="37"/>
    </row>
    <row r="638" spans="1:18" hidden="1" outlineLevel="1" x14ac:dyDescent="0.3">
      <c r="A638" s="45" t="s">
        <v>4034</v>
      </c>
      <c r="B638" s="45" t="s">
        <v>894</v>
      </c>
      <c r="C638" s="48" t="s">
        <v>797</v>
      </c>
      <c r="D638" s="491">
        <v>0.25</v>
      </c>
      <c r="E638" s="388"/>
      <c r="H638" s="538"/>
      <c r="I638" s="538"/>
      <c r="J638" s="538"/>
      <c r="L638" s="37"/>
      <c r="M638" s="41"/>
      <c r="N638" s="37"/>
      <c r="O638" s="37"/>
      <c r="P638" s="37"/>
      <c r="Q638" s="37"/>
      <c r="R638" s="37"/>
    </row>
    <row r="639" spans="1:18" hidden="1" outlineLevel="1" x14ac:dyDescent="0.3">
      <c r="A639" s="45" t="s">
        <v>4034</v>
      </c>
      <c r="B639" s="45" t="s">
        <v>915</v>
      </c>
      <c r="C639" s="48" t="s">
        <v>799</v>
      </c>
      <c r="D639" s="491">
        <v>0.25</v>
      </c>
      <c r="E639" s="388"/>
      <c r="H639" s="538"/>
      <c r="I639" s="538"/>
      <c r="J639" s="538"/>
      <c r="L639" s="37"/>
      <c r="M639" s="41"/>
      <c r="N639" s="37"/>
      <c r="O639" s="37"/>
      <c r="P639" s="37"/>
      <c r="Q639" s="37"/>
      <c r="R639" s="37"/>
    </row>
    <row r="640" spans="1:18" hidden="1" outlineLevel="1" x14ac:dyDescent="0.3">
      <c r="A640" s="45" t="s">
        <v>4034</v>
      </c>
      <c r="B640" s="45" t="s">
        <v>915</v>
      </c>
      <c r="C640" s="48" t="s">
        <v>801</v>
      </c>
      <c r="D640" s="491">
        <v>0.25</v>
      </c>
      <c r="E640" s="388"/>
      <c r="H640" s="538"/>
      <c r="I640" s="538"/>
      <c r="J640" s="538"/>
      <c r="L640" s="37"/>
      <c r="M640" s="41"/>
      <c r="N640" s="37"/>
      <c r="O640" s="37"/>
      <c r="P640" s="37"/>
      <c r="Q640" s="37"/>
      <c r="R640" s="37"/>
    </row>
    <row r="641" spans="1:18" hidden="1" outlineLevel="1" x14ac:dyDescent="0.3">
      <c r="A641" s="45" t="s">
        <v>4034</v>
      </c>
      <c r="B641" s="45" t="s">
        <v>915</v>
      </c>
      <c r="C641" s="48" t="s">
        <v>804</v>
      </c>
      <c r="D641" s="491">
        <v>0.25</v>
      </c>
      <c r="E641" s="388"/>
      <c r="H641" s="538"/>
      <c r="I641" s="538"/>
      <c r="J641" s="538"/>
      <c r="L641" s="37"/>
      <c r="M641" s="41"/>
      <c r="N641" s="37"/>
      <c r="O641" s="37"/>
      <c r="P641" s="37"/>
      <c r="Q641" s="37"/>
      <c r="R641" s="37"/>
    </row>
    <row r="642" spans="1:18" hidden="1" outlineLevel="1" x14ac:dyDescent="0.3">
      <c r="A642" s="45" t="s">
        <v>4034</v>
      </c>
      <c r="B642" s="45" t="s">
        <v>915</v>
      </c>
      <c r="C642" s="48" t="s">
        <v>806</v>
      </c>
      <c r="D642" s="491">
        <v>0.25</v>
      </c>
      <c r="E642" s="388"/>
      <c r="H642" s="538"/>
      <c r="I642" s="538"/>
      <c r="J642" s="538"/>
      <c r="L642" s="37"/>
      <c r="M642" s="41"/>
      <c r="N642" s="37"/>
      <c r="O642" s="37"/>
      <c r="P642" s="37"/>
      <c r="Q642" s="37"/>
      <c r="R642" s="37"/>
    </row>
    <row r="643" spans="1:18" hidden="1" outlineLevel="1" x14ac:dyDescent="0.3">
      <c r="A643" s="45" t="s">
        <v>4034</v>
      </c>
      <c r="B643" s="45" t="s">
        <v>915</v>
      </c>
      <c r="C643" s="48" t="s">
        <v>808</v>
      </c>
      <c r="D643" s="491">
        <v>0.25</v>
      </c>
      <c r="E643" s="388"/>
      <c r="H643" s="538"/>
      <c r="I643" s="538"/>
      <c r="J643" s="538"/>
      <c r="L643" s="37"/>
      <c r="M643" s="41"/>
      <c r="N643" s="37"/>
      <c r="O643" s="37"/>
      <c r="P643" s="37"/>
      <c r="Q643" s="37"/>
      <c r="R643" s="37"/>
    </row>
    <row r="644" spans="1:18" hidden="1" outlineLevel="1" x14ac:dyDescent="0.3">
      <c r="A644" s="45" t="s">
        <v>4034</v>
      </c>
      <c r="B644" s="45" t="s">
        <v>915</v>
      </c>
      <c r="C644" s="48" t="s">
        <v>811</v>
      </c>
      <c r="D644" s="491">
        <v>0.25</v>
      </c>
      <c r="E644" s="388"/>
      <c r="H644" s="538"/>
      <c r="I644" s="538"/>
      <c r="J644" s="538"/>
      <c r="L644" s="37"/>
      <c r="M644" s="41"/>
      <c r="N644" s="37"/>
      <c r="O644" s="37"/>
      <c r="P644" s="37"/>
      <c r="Q644" s="37"/>
      <c r="R644" s="37"/>
    </row>
    <row r="645" spans="1:18" hidden="1" outlineLevel="1" x14ac:dyDescent="0.3">
      <c r="A645" s="45" t="s">
        <v>4034</v>
      </c>
      <c r="B645" s="45" t="s">
        <v>934</v>
      </c>
      <c r="C645" s="48" t="s">
        <v>814</v>
      </c>
      <c r="D645" s="491">
        <v>0.25</v>
      </c>
      <c r="E645" s="388"/>
      <c r="H645" s="538"/>
      <c r="I645" s="538"/>
      <c r="J645" s="538"/>
      <c r="L645" s="37"/>
      <c r="M645" s="41"/>
      <c r="N645" s="37"/>
      <c r="O645" s="37"/>
      <c r="P645" s="37"/>
      <c r="Q645" s="37"/>
      <c r="R645" s="37"/>
    </row>
    <row r="646" spans="1:18" hidden="1" outlineLevel="1" x14ac:dyDescent="0.3">
      <c r="A646" s="45" t="s">
        <v>4034</v>
      </c>
      <c r="B646" s="45" t="s">
        <v>934</v>
      </c>
      <c r="C646" s="48" t="s">
        <v>815</v>
      </c>
      <c r="D646" s="491">
        <v>0.25</v>
      </c>
      <c r="E646" s="388"/>
      <c r="H646" s="538"/>
      <c r="I646" s="538"/>
      <c r="J646" s="538"/>
      <c r="L646" s="37"/>
      <c r="M646" s="41"/>
      <c r="N646" s="37"/>
      <c r="O646" s="37"/>
      <c r="P646" s="37"/>
      <c r="Q646" s="37"/>
      <c r="R646" s="37"/>
    </row>
    <row r="647" spans="1:18" hidden="1" outlineLevel="1" x14ac:dyDescent="0.3">
      <c r="A647" s="45" t="s">
        <v>4034</v>
      </c>
      <c r="B647" s="45" t="s">
        <v>940</v>
      </c>
      <c r="C647" s="48" t="s">
        <v>817</v>
      </c>
      <c r="D647" s="491">
        <v>0.25</v>
      </c>
      <c r="E647" s="388"/>
      <c r="H647" s="538"/>
      <c r="I647" s="538"/>
      <c r="J647" s="538"/>
      <c r="L647" s="37"/>
      <c r="M647" s="41"/>
      <c r="N647" s="37"/>
      <c r="O647" s="37"/>
      <c r="P647" s="37"/>
      <c r="Q647" s="37"/>
      <c r="R647" s="37"/>
    </row>
    <row r="648" spans="1:18" hidden="1" outlineLevel="1" x14ac:dyDescent="0.3">
      <c r="A648" s="45" t="s">
        <v>4034</v>
      </c>
      <c r="B648" s="45" t="s">
        <v>940</v>
      </c>
      <c r="C648" s="48" t="s">
        <v>944</v>
      </c>
      <c r="D648" s="491">
        <v>0.25</v>
      </c>
      <c r="E648" s="388"/>
      <c r="H648" s="538"/>
      <c r="I648" s="538"/>
      <c r="J648" s="538"/>
      <c r="L648" s="37"/>
      <c r="M648" s="41"/>
      <c r="N648" s="37"/>
      <c r="O648" s="37"/>
      <c r="P648" s="37"/>
      <c r="Q648" s="37"/>
      <c r="R648" s="37"/>
    </row>
    <row r="649" spans="1:18" hidden="1" outlineLevel="1" x14ac:dyDescent="0.3">
      <c r="A649" s="45" t="s">
        <v>4034</v>
      </c>
      <c r="B649" s="45" t="s">
        <v>940</v>
      </c>
      <c r="C649" s="48" t="s">
        <v>821</v>
      </c>
      <c r="D649" s="491">
        <v>0.25</v>
      </c>
      <c r="E649" s="388"/>
      <c r="H649" s="538"/>
      <c r="I649" s="538"/>
      <c r="J649" s="538"/>
      <c r="L649" s="37"/>
      <c r="M649" s="41"/>
      <c r="N649" s="37"/>
      <c r="O649" s="37"/>
      <c r="P649" s="37"/>
      <c r="Q649" s="37"/>
      <c r="R649" s="37"/>
    </row>
    <row r="650" spans="1:18" hidden="1" outlineLevel="1" x14ac:dyDescent="0.3">
      <c r="A650" s="45" t="s">
        <v>4034</v>
      </c>
      <c r="B650" s="45" t="s">
        <v>940</v>
      </c>
      <c r="C650" s="48" t="s">
        <v>823</v>
      </c>
      <c r="D650" s="491">
        <v>0.25</v>
      </c>
      <c r="E650" s="388"/>
      <c r="H650" s="538"/>
      <c r="I650" s="538"/>
      <c r="J650" s="538"/>
      <c r="L650" s="37"/>
      <c r="M650" s="41"/>
      <c r="N650" s="37"/>
      <c r="O650" s="37"/>
      <c r="P650" s="37"/>
      <c r="Q650" s="37"/>
      <c r="R650" s="37"/>
    </row>
    <row r="651" spans="1:18" hidden="1" outlineLevel="1" x14ac:dyDescent="0.3">
      <c r="A651" s="45" t="s">
        <v>4034</v>
      </c>
      <c r="B651" s="45" t="s">
        <v>940</v>
      </c>
      <c r="C651" s="48" t="s">
        <v>825</v>
      </c>
      <c r="D651" s="491">
        <v>0.25</v>
      </c>
      <c r="E651" s="388"/>
      <c r="H651" s="538"/>
      <c r="I651" s="538"/>
      <c r="J651" s="538"/>
      <c r="L651" s="37"/>
      <c r="M651" s="41"/>
      <c r="N651" s="37"/>
      <c r="O651" s="37"/>
      <c r="P651" s="37"/>
      <c r="Q651" s="37"/>
      <c r="R651" s="37"/>
    </row>
    <row r="652" spans="1:18" hidden="1" outlineLevel="1" x14ac:dyDescent="0.3">
      <c r="A652" s="45" t="s">
        <v>4034</v>
      </c>
      <c r="B652" s="45" t="s">
        <v>940</v>
      </c>
      <c r="C652" s="48" t="s">
        <v>827</v>
      </c>
      <c r="D652" s="491">
        <v>0.25</v>
      </c>
      <c r="E652" s="388"/>
      <c r="H652" s="538"/>
      <c r="I652" s="538"/>
      <c r="J652" s="538"/>
      <c r="L652" s="37"/>
      <c r="M652" s="41"/>
      <c r="N652" s="37"/>
      <c r="O652" s="37"/>
      <c r="P652" s="37"/>
      <c r="Q652" s="37"/>
      <c r="R652" s="37"/>
    </row>
    <row r="653" spans="1:18" hidden="1" outlineLevel="1" x14ac:dyDescent="0.3">
      <c r="A653" s="45" t="s">
        <v>4034</v>
      </c>
      <c r="B653" s="45" t="s">
        <v>940</v>
      </c>
      <c r="C653" s="48" t="s">
        <v>829</v>
      </c>
      <c r="D653" s="491">
        <v>0.25</v>
      </c>
      <c r="E653" s="388"/>
      <c r="H653" s="538"/>
      <c r="I653" s="538"/>
      <c r="J653" s="538"/>
      <c r="L653" s="37"/>
      <c r="M653" s="41"/>
      <c r="N653" s="37"/>
      <c r="O653" s="37"/>
      <c r="P653" s="37"/>
      <c r="Q653" s="37"/>
      <c r="R653" s="37"/>
    </row>
    <row r="654" spans="1:18" hidden="1" outlineLevel="1" x14ac:dyDescent="0.3">
      <c r="A654" s="45" t="s">
        <v>4034</v>
      </c>
      <c r="B654" s="45" t="s">
        <v>940</v>
      </c>
      <c r="C654" s="48" t="s">
        <v>833</v>
      </c>
      <c r="D654" s="491">
        <v>0.25</v>
      </c>
      <c r="E654" s="388"/>
      <c r="H654" s="538"/>
      <c r="I654" s="538"/>
      <c r="J654" s="538"/>
      <c r="L654" s="37"/>
      <c r="M654" s="41"/>
      <c r="N654" s="37"/>
      <c r="O654" s="37"/>
      <c r="P654" s="37"/>
      <c r="Q654" s="37"/>
      <c r="R654" s="37"/>
    </row>
    <row r="655" spans="1:18" hidden="1" outlineLevel="1" x14ac:dyDescent="0.3">
      <c r="A655" s="45" t="s">
        <v>4034</v>
      </c>
      <c r="B655" s="45" t="s">
        <v>940</v>
      </c>
      <c r="C655" s="48" t="s">
        <v>836</v>
      </c>
      <c r="D655" s="491">
        <v>0.25</v>
      </c>
      <c r="E655" s="388"/>
      <c r="H655" s="538"/>
      <c r="I655" s="538"/>
      <c r="J655" s="538"/>
      <c r="L655" s="37"/>
      <c r="M655" s="41"/>
      <c r="N655" s="37"/>
      <c r="O655" s="37"/>
      <c r="P655" s="37"/>
      <c r="Q655" s="37"/>
      <c r="R655" s="37"/>
    </row>
    <row r="656" spans="1:18" hidden="1" outlineLevel="1" x14ac:dyDescent="0.3">
      <c r="A656" s="45" t="s">
        <v>4034</v>
      </c>
      <c r="B656" s="45" t="s">
        <v>940</v>
      </c>
      <c r="C656" s="48" t="s">
        <v>837</v>
      </c>
      <c r="D656" s="491">
        <v>0.25</v>
      </c>
      <c r="E656" s="388"/>
      <c r="H656" s="538"/>
      <c r="I656" s="538"/>
      <c r="J656" s="538"/>
      <c r="L656" s="37"/>
      <c r="M656" s="41"/>
      <c r="N656" s="37"/>
      <c r="O656" s="37"/>
      <c r="P656" s="37"/>
      <c r="Q656" s="37"/>
      <c r="R656" s="37"/>
    </row>
    <row r="657" spans="1:18" hidden="1" outlineLevel="1" x14ac:dyDescent="0.3">
      <c r="A657" s="45" t="s">
        <v>4034</v>
      </c>
      <c r="B657" s="45" t="s">
        <v>940</v>
      </c>
      <c r="C657" s="48" t="s">
        <v>839</v>
      </c>
      <c r="D657" s="491">
        <v>0.25</v>
      </c>
      <c r="E657" s="388"/>
      <c r="H657" s="538"/>
      <c r="I657" s="538"/>
      <c r="J657" s="538"/>
      <c r="L657" s="37"/>
      <c r="M657" s="41"/>
      <c r="N657" s="37"/>
      <c r="O657" s="37"/>
      <c r="P657" s="37"/>
      <c r="Q657" s="37"/>
      <c r="R657" s="37"/>
    </row>
    <row r="658" spans="1:18" hidden="1" outlineLevel="1" x14ac:dyDescent="0.3">
      <c r="A658" s="45" t="s">
        <v>4034</v>
      </c>
      <c r="B658" s="45" t="s">
        <v>940</v>
      </c>
      <c r="C658" s="48" t="s">
        <v>840</v>
      </c>
      <c r="D658" s="491">
        <v>0.25</v>
      </c>
      <c r="E658" s="388"/>
      <c r="H658" s="538"/>
      <c r="I658" s="538"/>
      <c r="J658" s="538"/>
      <c r="L658" s="37"/>
      <c r="M658" s="41"/>
      <c r="N658" s="37"/>
      <c r="O658" s="37"/>
      <c r="P658" s="37"/>
      <c r="Q658" s="37"/>
      <c r="R658" s="37"/>
    </row>
    <row r="659" spans="1:18" collapsed="1" x14ac:dyDescent="0.3">
      <c r="A659" s="45"/>
      <c r="B659" s="45"/>
      <c r="C659" s="45"/>
      <c r="D659" s="388"/>
      <c r="E659" s="388"/>
      <c r="H659" s="538"/>
      <c r="I659" s="538"/>
      <c r="J659" s="538"/>
      <c r="L659" s="41"/>
      <c r="M659" s="41"/>
      <c r="N659" s="42"/>
      <c r="O659" s="42"/>
    </row>
    <row r="660" spans="1:18" x14ac:dyDescent="0.3">
      <c r="A660" s="48" t="s">
        <v>4035</v>
      </c>
      <c r="B660" s="69"/>
      <c r="C660" s="46" t="s">
        <v>4032</v>
      </c>
      <c r="D660" s="491">
        <v>0.25</v>
      </c>
      <c r="E660" s="388"/>
      <c r="H660" s="538"/>
      <c r="I660" s="538"/>
      <c r="J660" s="538"/>
      <c r="M660" s="41"/>
    </row>
    <row r="661" spans="1:18" x14ac:dyDescent="0.3">
      <c r="A661" s="542" t="s">
        <v>5</v>
      </c>
      <c r="B661" s="542" t="s">
        <v>847</v>
      </c>
      <c r="C661" s="542" t="s">
        <v>193</v>
      </c>
      <c r="D661" s="543" t="s">
        <v>4029</v>
      </c>
      <c r="E661" s="543" t="s">
        <v>153</v>
      </c>
      <c r="H661" s="538"/>
      <c r="I661" s="538"/>
      <c r="J661" s="538"/>
      <c r="M661" s="41"/>
      <c r="N661" s="37"/>
      <c r="O661" s="37"/>
      <c r="P661" s="37"/>
    </row>
    <row r="662" spans="1:18" hidden="1" outlineLevel="1" x14ac:dyDescent="0.3">
      <c r="A662" s="45" t="s">
        <v>4035</v>
      </c>
      <c r="B662" s="45" t="s">
        <v>855</v>
      </c>
      <c r="C662" s="48" t="s">
        <v>747</v>
      </c>
      <c r="D662" s="491">
        <v>0.25</v>
      </c>
      <c r="E662" s="388"/>
      <c r="H662" s="538"/>
      <c r="I662" s="538"/>
      <c r="J662" s="538"/>
      <c r="L662" s="37"/>
      <c r="M662" s="41"/>
      <c r="N662" s="37"/>
      <c r="O662" s="37"/>
      <c r="P662" s="37"/>
      <c r="Q662" s="37"/>
      <c r="R662" s="37"/>
    </row>
    <row r="663" spans="1:18" hidden="1" outlineLevel="1" x14ac:dyDescent="0.3">
      <c r="A663" s="45" t="s">
        <v>4035</v>
      </c>
      <c r="B663" s="45" t="s">
        <v>855</v>
      </c>
      <c r="C663" s="48" t="s">
        <v>751</v>
      </c>
      <c r="D663" s="491">
        <v>0.25</v>
      </c>
      <c r="E663" s="388"/>
      <c r="H663" s="538"/>
      <c r="I663" s="538"/>
      <c r="J663" s="538"/>
      <c r="L663" s="37"/>
      <c r="M663" s="41"/>
      <c r="N663" s="37"/>
      <c r="O663" s="37"/>
      <c r="P663" s="37"/>
      <c r="Q663" s="37"/>
      <c r="R663" s="37"/>
    </row>
    <row r="664" spans="1:18" hidden="1" outlineLevel="1" x14ac:dyDescent="0.3">
      <c r="A664" s="45" t="s">
        <v>4035</v>
      </c>
      <c r="B664" s="45" t="s">
        <v>855</v>
      </c>
      <c r="C664" s="48" t="s">
        <v>755</v>
      </c>
      <c r="D664" s="491">
        <v>0.25</v>
      </c>
      <c r="E664" s="388"/>
      <c r="H664" s="538"/>
      <c r="I664" s="538"/>
      <c r="J664" s="538"/>
      <c r="L664" s="37"/>
      <c r="M664" s="41"/>
      <c r="N664" s="37"/>
      <c r="O664" s="37"/>
      <c r="P664" s="37"/>
      <c r="Q664" s="37"/>
      <c r="R664" s="37"/>
    </row>
    <row r="665" spans="1:18" hidden="1" outlineLevel="1" x14ac:dyDescent="0.3">
      <c r="A665" s="45" t="s">
        <v>4035</v>
      </c>
      <c r="B665" s="45" t="s">
        <v>855</v>
      </c>
      <c r="C665" s="48" t="s">
        <v>758</v>
      </c>
      <c r="D665" s="491">
        <v>0.25</v>
      </c>
      <c r="E665" s="388"/>
      <c r="H665" s="538"/>
      <c r="I665" s="538"/>
      <c r="J665" s="538"/>
      <c r="L665" s="37"/>
      <c r="M665" s="41"/>
      <c r="N665" s="37"/>
      <c r="O665" s="37"/>
      <c r="P665" s="37"/>
      <c r="Q665" s="37"/>
      <c r="R665" s="37"/>
    </row>
    <row r="666" spans="1:18" hidden="1" outlineLevel="1" x14ac:dyDescent="0.3">
      <c r="A666" s="45" t="s">
        <v>4035</v>
      </c>
      <c r="B666" s="45" t="s">
        <v>855</v>
      </c>
      <c r="C666" s="48" t="s">
        <v>761</v>
      </c>
      <c r="D666" s="491">
        <v>0.25</v>
      </c>
      <c r="E666" s="388"/>
      <c r="H666" s="538"/>
      <c r="I666" s="538"/>
      <c r="J666" s="538"/>
      <c r="L666" s="37"/>
      <c r="M666" s="41"/>
      <c r="N666" s="37"/>
      <c r="O666" s="37"/>
      <c r="P666" s="37"/>
      <c r="Q666" s="37"/>
      <c r="R666" s="37"/>
    </row>
    <row r="667" spans="1:18" hidden="1" outlineLevel="1" x14ac:dyDescent="0.3">
      <c r="A667" s="45" t="s">
        <v>4035</v>
      </c>
      <c r="B667" s="45" t="s">
        <v>855</v>
      </c>
      <c r="C667" s="48" t="s">
        <v>763</v>
      </c>
      <c r="D667" s="491">
        <v>0.25</v>
      </c>
      <c r="E667" s="388"/>
      <c r="H667" s="538"/>
      <c r="I667" s="538"/>
      <c r="J667" s="538"/>
      <c r="L667" s="37"/>
      <c r="M667" s="41"/>
      <c r="N667" s="37"/>
      <c r="O667" s="37"/>
      <c r="P667" s="37"/>
      <c r="Q667" s="37"/>
      <c r="R667" s="37"/>
    </row>
    <row r="668" spans="1:18" hidden="1" outlineLevel="1" x14ac:dyDescent="0.3">
      <c r="A668" s="45" t="s">
        <v>4035</v>
      </c>
      <c r="B668" s="45" t="s">
        <v>855</v>
      </c>
      <c r="C668" s="48" t="s">
        <v>765</v>
      </c>
      <c r="D668" s="491">
        <v>0.25</v>
      </c>
      <c r="E668" s="388"/>
      <c r="H668" s="538"/>
      <c r="I668" s="538"/>
      <c r="J668" s="538"/>
      <c r="L668" s="37"/>
      <c r="M668" s="41"/>
      <c r="N668" s="37"/>
      <c r="O668" s="37"/>
      <c r="P668" s="37"/>
      <c r="Q668" s="37"/>
      <c r="R668" s="37"/>
    </row>
    <row r="669" spans="1:18" hidden="1" outlineLevel="1" x14ac:dyDescent="0.3">
      <c r="A669" s="45" t="s">
        <v>4035</v>
      </c>
      <c r="B669" s="45" t="s">
        <v>855</v>
      </c>
      <c r="C669" s="48" t="s">
        <v>768</v>
      </c>
      <c r="D669" s="491">
        <v>0.25</v>
      </c>
      <c r="E669" s="388"/>
      <c r="H669" s="538"/>
      <c r="I669" s="538"/>
      <c r="J669" s="538"/>
      <c r="L669" s="37"/>
      <c r="M669" s="41"/>
      <c r="N669" s="37"/>
      <c r="O669" s="37"/>
      <c r="P669" s="37"/>
      <c r="Q669" s="37"/>
      <c r="R669" s="37"/>
    </row>
    <row r="670" spans="1:18" hidden="1" outlineLevel="1" x14ac:dyDescent="0.3">
      <c r="A670" s="45" t="s">
        <v>4035</v>
      </c>
      <c r="B670" s="45" t="s">
        <v>855</v>
      </c>
      <c r="C670" s="48" t="s">
        <v>771</v>
      </c>
      <c r="D670" s="491">
        <v>0.25</v>
      </c>
      <c r="E670" s="388"/>
      <c r="H670" s="538"/>
      <c r="I670" s="538"/>
      <c r="J670" s="538"/>
      <c r="L670" s="37"/>
      <c r="M670" s="41"/>
      <c r="N670" s="37"/>
      <c r="O670" s="37"/>
      <c r="P670" s="37"/>
      <c r="Q670" s="37"/>
      <c r="R670" s="37"/>
    </row>
    <row r="671" spans="1:18" hidden="1" outlineLevel="1" x14ac:dyDescent="0.3">
      <c r="A671" s="45" t="s">
        <v>4035</v>
      </c>
      <c r="B671" s="45" t="s">
        <v>855</v>
      </c>
      <c r="C671" s="48" t="s">
        <v>772</v>
      </c>
      <c r="D671" s="491">
        <v>0.25</v>
      </c>
      <c r="E671" s="388"/>
      <c r="H671" s="538"/>
      <c r="I671" s="538"/>
      <c r="J671" s="538"/>
      <c r="L671" s="37"/>
      <c r="M671" s="41"/>
      <c r="N671" s="37"/>
      <c r="O671" s="37"/>
      <c r="P671" s="37"/>
      <c r="Q671" s="37"/>
      <c r="R671" s="37"/>
    </row>
    <row r="672" spans="1:18" hidden="1" outlineLevel="1" x14ac:dyDescent="0.3">
      <c r="A672" s="45" t="s">
        <v>4035</v>
      </c>
      <c r="B672" s="45" t="s">
        <v>855</v>
      </c>
      <c r="C672" s="48" t="s">
        <v>774</v>
      </c>
      <c r="D672" s="491">
        <v>0.25</v>
      </c>
      <c r="E672" s="388"/>
      <c r="H672" s="538"/>
      <c r="I672" s="538"/>
      <c r="J672" s="538"/>
      <c r="L672" s="37"/>
      <c r="M672" s="41"/>
      <c r="N672" s="37"/>
      <c r="O672" s="37"/>
      <c r="P672" s="37"/>
      <c r="Q672" s="37"/>
      <c r="R672" s="37"/>
    </row>
    <row r="673" spans="1:18" hidden="1" outlineLevel="1" x14ac:dyDescent="0.3">
      <c r="A673" s="45" t="s">
        <v>4035</v>
      </c>
      <c r="B673" s="45" t="s">
        <v>855</v>
      </c>
      <c r="C673" s="48" t="s">
        <v>775</v>
      </c>
      <c r="D673" s="491">
        <v>0.25</v>
      </c>
      <c r="E673" s="388"/>
      <c r="H673" s="538"/>
      <c r="I673" s="538"/>
      <c r="J673" s="538"/>
      <c r="L673" s="37"/>
      <c r="M673" s="41"/>
      <c r="N673" s="37"/>
      <c r="O673" s="37"/>
      <c r="P673" s="37"/>
      <c r="Q673" s="37"/>
      <c r="R673" s="37"/>
    </row>
    <row r="674" spans="1:18" hidden="1" outlineLevel="1" x14ac:dyDescent="0.3">
      <c r="A674" s="45" t="s">
        <v>4035</v>
      </c>
      <c r="B674" s="45" t="s">
        <v>855</v>
      </c>
      <c r="C674" s="48" t="s">
        <v>779</v>
      </c>
      <c r="D674" s="491">
        <v>0.25</v>
      </c>
      <c r="E674" s="388"/>
      <c r="H674" s="538"/>
      <c r="I674" s="538"/>
      <c r="J674" s="538"/>
      <c r="L674" s="37"/>
      <c r="M674" s="41"/>
      <c r="N674" s="37"/>
      <c r="O674" s="37"/>
      <c r="P674" s="37"/>
      <c r="Q674" s="37"/>
      <c r="R674" s="37"/>
    </row>
    <row r="675" spans="1:18" hidden="1" outlineLevel="1" x14ac:dyDescent="0.3">
      <c r="A675" s="45" t="s">
        <v>4035</v>
      </c>
      <c r="B675" s="45" t="s">
        <v>894</v>
      </c>
      <c r="C675" s="48" t="s">
        <v>781</v>
      </c>
      <c r="D675" s="491">
        <v>0.25</v>
      </c>
      <c r="E675" s="388"/>
      <c r="H675" s="538"/>
      <c r="I675" s="538"/>
      <c r="J675" s="538"/>
      <c r="L675" s="37"/>
      <c r="M675" s="41"/>
      <c r="N675" s="37"/>
      <c r="O675" s="37"/>
      <c r="P675" s="37"/>
      <c r="Q675" s="37"/>
      <c r="R675" s="37"/>
    </row>
    <row r="676" spans="1:18" hidden="1" outlineLevel="1" x14ac:dyDescent="0.3">
      <c r="A676" s="45" t="s">
        <v>4035</v>
      </c>
      <c r="B676" s="45" t="s">
        <v>894</v>
      </c>
      <c r="C676" s="48" t="s">
        <v>783</v>
      </c>
      <c r="D676" s="491">
        <v>0.25</v>
      </c>
      <c r="E676" s="388"/>
      <c r="H676" s="538"/>
      <c r="I676" s="538"/>
      <c r="J676" s="538"/>
      <c r="L676" s="37"/>
      <c r="M676" s="41"/>
      <c r="N676" s="37"/>
      <c r="O676" s="37"/>
      <c r="P676" s="37"/>
      <c r="Q676" s="37"/>
      <c r="R676" s="37"/>
    </row>
    <row r="677" spans="1:18" hidden="1" outlineLevel="1" x14ac:dyDescent="0.3">
      <c r="A677" s="45" t="s">
        <v>4035</v>
      </c>
      <c r="B677" s="45" t="s">
        <v>894</v>
      </c>
      <c r="C677" s="48" t="s">
        <v>785</v>
      </c>
      <c r="D677" s="491">
        <v>0.25</v>
      </c>
      <c r="E677" s="388"/>
      <c r="H677" s="538"/>
      <c r="I677" s="538"/>
      <c r="J677" s="538"/>
      <c r="L677" s="37"/>
      <c r="M677" s="41"/>
      <c r="N677" s="37"/>
      <c r="O677" s="37"/>
      <c r="P677" s="37"/>
      <c r="Q677" s="37"/>
      <c r="R677" s="37"/>
    </row>
    <row r="678" spans="1:18" hidden="1" outlineLevel="1" x14ac:dyDescent="0.3">
      <c r="A678" s="45" t="s">
        <v>4035</v>
      </c>
      <c r="B678" s="45" t="s">
        <v>894</v>
      </c>
      <c r="C678" s="48" t="s">
        <v>787</v>
      </c>
      <c r="D678" s="491">
        <v>0.25</v>
      </c>
      <c r="E678" s="388"/>
      <c r="H678" s="538"/>
      <c r="I678" s="538"/>
      <c r="J678" s="538"/>
      <c r="L678" s="37"/>
      <c r="M678" s="41"/>
      <c r="N678" s="37"/>
      <c r="O678" s="37"/>
      <c r="P678" s="37"/>
      <c r="Q678" s="37"/>
      <c r="R678" s="37"/>
    </row>
    <row r="679" spans="1:18" hidden="1" outlineLevel="1" x14ac:dyDescent="0.3">
      <c r="A679" s="45" t="s">
        <v>4035</v>
      </c>
      <c r="B679" s="45" t="s">
        <v>894</v>
      </c>
      <c r="C679" s="48" t="s">
        <v>788</v>
      </c>
      <c r="D679" s="491">
        <v>0.25</v>
      </c>
      <c r="E679" s="388"/>
      <c r="H679" s="538"/>
      <c r="I679" s="538"/>
      <c r="J679" s="538"/>
      <c r="L679" s="37"/>
      <c r="M679" s="41"/>
      <c r="N679" s="37"/>
      <c r="O679" s="37"/>
      <c r="P679" s="37"/>
      <c r="Q679" s="37"/>
      <c r="R679" s="37"/>
    </row>
    <row r="680" spans="1:18" hidden="1" outlineLevel="1" x14ac:dyDescent="0.3">
      <c r="A680" s="45" t="s">
        <v>4035</v>
      </c>
      <c r="B680" s="45" t="s">
        <v>894</v>
      </c>
      <c r="C680" s="48" t="s">
        <v>789</v>
      </c>
      <c r="D680" s="491">
        <v>0.25</v>
      </c>
      <c r="E680" s="388"/>
      <c r="H680" s="538"/>
      <c r="I680" s="538"/>
      <c r="J680" s="538"/>
      <c r="L680" s="37"/>
      <c r="M680" s="41"/>
      <c r="N680" s="37"/>
      <c r="O680" s="37"/>
      <c r="P680" s="37"/>
      <c r="Q680" s="37"/>
      <c r="R680" s="37"/>
    </row>
    <row r="681" spans="1:18" hidden="1" outlineLevel="1" x14ac:dyDescent="0.3">
      <c r="A681" s="45" t="s">
        <v>4035</v>
      </c>
      <c r="B681" s="45" t="s">
        <v>894</v>
      </c>
      <c r="C681" s="48" t="s">
        <v>790</v>
      </c>
      <c r="D681" s="491">
        <v>0.25</v>
      </c>
      <c r="E681" s="388"/>
      <c r="H681" s="538"/>
      <c r="I681" s="538"/>
      <c r="J681" s="538"/>
      <c r="L681" s="37"/>
      <c r="M681" s="41"/>
      <c r="N681" s="37"/>
      <c r="O681" s="37"/>
      <c r="P681" s="37"/>
      <c r="Q681" s="37"/>
      <c r="R681" s="37"/>
    </row>
    <row r="682" spans="1:18" hidden="1" outlineLevel="1" x14ac:dyDescent="0.3">
      <c r="A682" s="45" t="s">
        <v>4035</v>
      </c>
      <c r="B682" s="45" t="s">
        <v>894</v>
      </c>
      <c r="C682" s="48" t="s">
        <v>793</v>
      </c>
      <c r="D682" s="491">
        <v>0.25</v>
      </c>
      <c r="E682" s="388"/>
      <c r="H682" s="538"/>
      <c r="I682" s="538"/>
      <c r="J682" s="538"/>
      <c r="L682" s="37"/>
      <c r="M682" s="41"/>
      <c r="N682" s="37"/>
      <c r="O682" s="37"/>
      <c r="P682" s="37"/>
      <c r="Q682" s="37"/>
      <c r="R682" s="37"/>
    </row>
    <row r="683" spans="1:18" hidden="1" outlineLevel="1" x14ac:dyDescent="0.3">
      <c r="A683" s="45" t="s">
        <v>4035</v>
      </c>
      <c r="B683" s="45" t="s">
        <v>894</v>
      </c>
      <c r="C683" s="48" t="s">
        <v>795</v>
      </c>
      <c r="D683" s="491">
        <v>0.25</v>
      </c>
      <c r="E683" s="388"/>
      <c r="H683" s="538"/>
      <c r="I683" s="538"/>
      <c r="J683" s="538"/>
      <c r="L683" s="37"/>
      <c r="M683" s="41"/>
      <c r="N683" s="37"/>
      <c r="O683" s="37"/>
      <c r="P683" s="37"/>
      <c r="Q683" s="37"/>
      <c r="R683" s="37"/>
    </row>
    <row r="684" spans="1:18" hidden="1" outlineLevel="1" x14ac:dyDescent="0.3">
      <c r="A684" s="45" t="s">
        <v>4035</v>
      </c>
      <c r="B684" s="45" t="s">
        <v>894</v>
      </c>
      <c r="C684" s="48" t="s">
        <v>797</v>
      </c>
      <c r="D684" s="491">
        <v>0.25</v>
      </c>
      <c r="E684" s="388"/>
      <c r="H684" s="538"/>
      <c r="I684" s="538"/>
      <c r="J684" s="538"/>
      <c r="L684" s="37"/>
      <c r="M684" s="41"/>
      <c r="N684" s="37"/>
      <c r="O684" s="37"/>
      <c r="P684" s="37"/>
      <c r="Q684" s="37"/>
      <c r="R684" s="37"/>
    </row>
    <row r="685" spans="1:18" hidden="1" outlineLevel="1" x14ac:dyDescent="0.3">
      <c r="A685" s="45" t="s">
        <v>4035</v>
      </c>
      <c r="B685" s="45" t="s">
        <v>915</v>
      </c>
      <c r="C685" s="48" t="s">
        <v>799</v>
      </c>
      <c r="D685" s="491">
        <v>0.25</v>
      </c>
      <c r="E685" s="388"/>
      <c r="H685" s="538"/>
      <c r="I685" s="538"/>
      <c r="J685" s="538"/>
      <c r="L685" s="37"/>
      <c r="M685" s="41"/>
      <c r="N685" s="37"/>
      <c r="O685" s="37"/>
      <c r="P685" s="37"/>
      <c r="Q685" s="37"/>
      <c r="R685" s="37"/>
    </row>
    <row r="686" spans="1:18" hidden="1" outlineLevel="1" x14ac:dyDescent="0.3">
      <c r="A686" s="45" t="s">
        <v>4035</v>
      </c>
      <c r="B686" s="45" t="s">
        <v>915</v>
      </c>
      <c r="C686" s="48" t="s">
        <v>801</v>
      </c>
      <c r="D686" s="491">
        <v>0.25</v>
      </c>
      <c r="E686" s="388"/>
      <c r="H686" s="538"/>
      <c r="I686" s="538"/>
      <c r="J686" s="538"/>
      <c r="L686" s="37"/>
      <c r="M686" s="41"/>
      <c r="N686" s="37"/>
      <c r="O686" s="37"/>
      <c r="P686" s="37"/>
      <c r="Q686" s="37"/>
      <c r="R686" s="37"/>
    </row>
    <row r="687" spans="1:18" hidden="1" outlineLevel="1" x14ac:dyDescent="0.3">
      <c r="A687" s="45" t="s">
        <v>4035</v>
      </c>
      <c r="B687" s="45" t="s">
        <v>915</v>
      </c>
      <c r="C687" s="48" t="s">
        <v>804</v>
      </c>
      <c r="D687" s="491">
        <v>0.25</v>
      </c>
      <c r="E687" s="388"/>
      <c r="H687" s="538"/>
      <c r="I687" s="538"/>
      <c r="J687" s="538"/>
      <c r="L687" s="37"/>
      <c r="M687" s="41"/>
      <c r="N687" s="37"/>
      <c r="O687" s="37"/>
      <c r="P687" s="37"/>
      <c r="Q687" s="37"/>
      <c r="R687" s="37"/>
    </row>
    <row r="688" spans="1:18" hidden="1" outlineLevel="1" x14ac:dyDescent="0.3">
      <c r="A688" s="45" t="s">
        <v>4035</v>
      </c>
      <c r="B688" s="45" t="s">
        <v>915</v>
      </c>
      <c r="C688" s="48" t="s">
        <v>806</v>
      </c>
      <c r="D688" s="491">
        <v>0.25</v>
      </c>
      <c r="E688" s="388"/>
      <c r="H688" s="538"/>
      <c r="I688" s="538"/>
      <c r="J688" s="538"/>
      <c r="L688" s="37"/>
      <c r="M688" s="41"/>
      <c r="N688" s="37"/>
      <c r="O688" s="37"/>
      <c r="P688" s="37"/>
      <c r="Q688" s="37"/>
      <c r="R688" s="37"/>
    </row>
    <row r="689" spans="1:18" hidden="1" outlineLevel="1" x14ac:dyDescent="0.3">
      <c r="A689" s="45" t="s">
        <v>4035</v>
      </c>
      <c r="B689" s="45" t="s">
        <v>915</v>
      </c>
      <c r="C689" s="48" t="s">
        <v>808</v>
      </c>
      <c r="D689" s="491">
        <v>0.25</v>
      </c>
      <c r="E689" s="388"/>
      <c r="H689" s="538"/>
      <c r="I689" s="538"/>
      <c r="J689" s="538"/>
      <c r="L689" s="37"/>
      <c r="M689" s="41"/>
      <c r="N689" s="37"/>
      <c r="O689" s="37"/>
      <c r="P689" s="37"/>
      <c r="Q689" s="37"/>
      <c r="R689" s="37"/>
    </row>
    <row r="690" spans="1:18" hidden="1" outlineLevel="1" x14ac:dyDescent="0.3">
      <c r="A690" s="45" t="s">
        <v>4035</v>
      </c>
      <c r="B690" s="45" t="s">
        <v>915</v>
      </c>
      <c r="C690" s="48" t="s">
        <v>811</v>
      </c>
      <c r="D690" s="491">
        <v>0.25</v>
      </c>
      <c r="E690" s="388"/>
      <c r="H690" s="538"/>
      <c r="I690" s="538"/>
      <c r="J690" s="538"/>
      <c r="L690" s="37"/>
      <c r="M690" s="41"/>
      <c r="N690" s="37"/>
      <c r="O690" s="37"/>
      <c r="P690" s="37"/>
      <c r="Q690" s="37"/>
      <c r="R690" s="37"/>
    </row>
    <row r="691" spans="1:18" hidden="1" outlineLevel="1" x14ac:dyDescent="0.3">
      <c r="A691" s="45" t="s">
        <v>4035</v>
      </c>
      <c r="B691" s="45" t="s">
        <v>934</v>
      </c>
      <c r="C691" s="48" t="s">
        <v>814</v>
      </c>
      <c r="D691" s="491">
        <v>0.25</v>
      </c>
      <c r="E691" s="388"/>
      <c r="H691" s="538"/>
      <c r="I691" s="538"/>
      <c r="J691" s="538"/>
      <c r="L691" s="37"/>
      <c r="M691" s="41"/>
      <c r="N691" s="37"/>
      <c r="O691" s="37"/>
      <c r="P691" s="37"/>
      <c r="Q691" s="37"/>
      <c r="R691" s="37"/>
    </row>
    <row r="692" spans="1:18" hidden="1" outlineLevel="1" x14ac:dyDescent="0.3">
      <c r="A692" s="45" t="s">
        <v>4035</v>
      </c>
      <c r="B692" s="45" t="s">
        <v>934</v>
      </c>
      <c r="C692" s="48" t="s">
        <v>815</v>
      </c>
      <c r="D692" s="491">
        <v>0.25</v>
      </c>
      <c r="E692" s="388"/>
      <c r="H692" s="538"/>
      <c r="I692" s="538"/>
      <c r="J692" s="538"/>
      <c r="L692" s="37"/>
      <c r="M692" s="41"/>
      <c r="N692" s="37"/>
      <c r="O692" s="37"/>
      <c r="P692" s="37"/>
      <c r="Q692" s="37"/>
      <c r="R692" s="37"/>
    </row>
    <row r="693" spans="1:18" hidden="1" outlineLevel="1" x14ac:dyDescent="0.3">
      <c r="A693" s="45" t="s">
        <v>4035</v>
      </c>
      <c r="B693" s="45" t="s">
        <v>940</v>
      </c>
      <c r="C693" s="48" t="s">
        <v>817</v>
      </c>
      <c r="D693" s="491">
        <v>0.25</v>
      </c>
      <c r="E693" s="388"/>
      <c r="H693" s="538"/>
      <c r="I693" s="538"/>
      <c r="J693" s="538"/>
      <c r="L693" s="37"/>
      <c r="M693" s="41"/>
      <c r="N693" s="37"/>
      <c r="O693" s="37"/>
      <c r="P693" s="37"/>
      <c r="Q693" s="37"/>
      <c r="R693" s="37"/>
    </row>
    <row r="694" spans="1:18" hidden="1" outlineLevel="1" x14ac:dyDescent="0.3">
      <c r="A694" s="45" t="s">
        <v>4035</v>
      </c>
      <c r="B694" s="45" t="s">
        <v>940</v>
      </c>
      <c r="C694" s="48" t="s">
        <v>944</v>
      </c>
      <c r="D694" s="491">
        <v>0.25</v>
      </c>
      <c r="E694" s="388"/>
      <c r="H694" s="538"/>
      <c r="I694" s="538"/>
      <c r="J694" s="538"/>
      <c r="L694" s="37"/>
      <c r="M694" s="41"/>
      <c r="N694" s="37"/>
      <c r="O694" s="37"/>
      <c r="P694" s="37"/>
      <c r="Q694" s="37"/>
      <c r="R694" s="37"/>
    </row>
    <row r="695" spans="1:18" hidden="1" outlineLevel="1" x14ac:dyDescent="0.3">
      <c r="A695" s="45" t="s">
        <v>4035</v>
      </c>
      <c r="B695" s="45" t="s">
        <v>940</v>
      </c>
      <c r="C695" s="48" t="s">
        <v>821</v>
      </c>
      <c r="D695" s="491">
        <v>0.25</v>
      </c>
      <c r="E695" s="388"/>
      <c r="H695" s="538"/>
      <c r="I695" s="538"/>
      <c r="J695" s="538"/>
      <c r="L695" s="37"/>
      <c r="M695" s="41"/>
      <c r="N695" s="37"/>
      <c r="O695" s="37"/>
      <c r="P695" s="37"/>
      <c r="Q695" s="37"/>
      <c r="R695" s="37"/>
    </row>
    <row r="696" spans="1:18" hidden="1" outlineLevel="1" x14ac:dyDescent="0.3">
      <c r="A696" s="45" t="s">
        <v>4035</v>
      </c>
      <c r="B696" s="45" t="s">
        <v>940</v>
      </c>
      <c r="C696" s="48" t="s">
        <v>823</v>
      </c>
      <c r="D696" s="491">
        <v>0.25</v>
      </c>
      <c r="E696" s="388"/>
      <c r="H696" s="538"/>
      <c r="I696" s="538"/>
      <c r="J696" s="538"/>
      <c r="L696" s="37"/>
      <c r="M696" s="41"/>
      <c r="N696" s="37"/>
      <c r="O696" s="37"/>
      <c r="P696" s="37"/>
      <c r="Q696" s="37"/>
      <c r="R696" s="37"/>
    </row>
    <row r="697" spans="1:18" hidden="1" outlineLevel="1" x14ac:dyDescent="0.3">
      <c r="A697" s="45" t="s">
        <v>4035</v>
      </c>
      <c r="B697" s="45" t="s">
        <v>940</v>
      </c>
      <c r="C697" s="48" t="s">
        <v>825</v>
      </c>
      <c r="D697" s="491">
        <v>0.25</v>
      </c>
      <c r="E697" s="388"/>
      <c r="H697" s="538"/>
      <c r="I697" s="538"/>
      <c r="J697" s="538"/>
      <c r="L697" s="37"/>
      <c r="M697" s="41"/>
      <c r="N697" s="37"/>
      <c r="O697" s="37"/>
      <c r="P697" s="37"/>
      <c r="Q697" s="37"/>
      <c r="R697" s="37"/>
    </row>
    <row r="698" spans="1:18" hidden="1" outlineLevel="1" x14ac:dyDescent="0.3">
      <c r="A698" s="45" t="s">
        <v>4035</v>
      </c>
      <c r="B698" s="45" t="s">
        <v>940</v>
      </c>
      <c r="C698" s="48" t="s">
        <v>827</v>
      </c>
      <c r="D698" s="491">
        <v>0.25</v>
      </c>
      <c r="E698" s="388"/>
      <c r="H698" s="538"/>
      <c r="I698" s="538"/>
      <c r="J698" s="538"/>
      <c r="L698" s="37"/>
      <c r="M698" s="41"/>
      <c r="N698" s="37"/>
      <c r="O698" s="37"/>
      <c r="P698" s="37"/>
      <c r="Q698" s="37"/>
      <c r="R698" s="37"/>
    </row>
    <row r="699" spans="1:18" hidden="1" outlineLevel="1" x14ac:dyDescent="0.3">
      <c r="A699" s="45" t="s">
        <v>4035</v>
      </c>
      <c r="B699" s="45" t="s">
        <v>940</v>
      </c>
      <c r="C699" s="48" t="s">
        <v>829</v>
      </c>
      <c r="D699" s="491">
        <v>0.25</v>
      </c>
      <c r="E699" s="388"/>
      <c r="H699" s="538"/>
      <c r="I699" s="538"/>
      <c r="J699" s="538"/>
      <c r="L699" s="37"/>
      <c r="M699" s="41"/>
      <c r="N699" s="37"/>
      <c r="O699" s="37"/>
      <c r="P699" s="37"/>
      <c r="Q699" s="37"/>
      <c r="R699" s="37"/>
    </row>
    <row r="700" spans="1:18" hidden="1" outlineLevel="1" x14ac:dyDescent="0.3">
      <c r="A700" s="45" t="s">
        <v>4035</v>
      </c>
      <c r="B700" s="45" t="s">
        <v>940</v>
      </c>
      <c r="C700" s="48" t="s">
        <v>833</v>
      </c>
      <c r="D700" s="491">
        <v>0.25</v>
      </c>
      <c r="E700" s="388"/>
      <c r="H700" s="538"/>
      <c r="I700" s="538"/>
      <c r="J700" s="538"/>
      <c r="L700" s="37"/>
      <c r="M700" s="41"/>
      <c r="N700" s="37"/>
      <c r="O700" s="37"/>
      <c r="P700" s="37"/>
      <c r="Q700" s="37"/>
      <c r="R700" s="37"/>
    </row>
    <row r="701" spans="1:18" hidden="1" outlineLevel="1" x14ac:dyDescent="0.3">
      <c r="A701" s="45" t="s">
        <v>4035</v>
      </c>
      <c r="B701" s="45" t="s">
        <v>940</v>
      </c>
      <c r="C701" s="48" t="s">
        <v>836</v>
      </c>
      <c r="D701" s="491">
        <v>0.25</v>
      </c>
      <c r="E701" s="388"/>
      <c r="H701" s="538"/>
      <c r="I701" s="538"/>
      <c r="J701" s="538"/>
      <c r="L701" s="37"/>
      <c r="M701" s="41"/>
      <c r="N701" s="37"/>
      <c r="O701" s="37"/>
      <c r="P701" s="37"/>
      <c r="Q701" s="37"/>
      <c r="R701" s="37"/>
    </row>
    <row r="702" spans="1:18" hidden="1" outlineLevel="1" x14ac:dyDescent="0.3">
      <c r="A702" s="45" t="s">
        <v>4035</v>
      </c>
      <c r="B702" s="45" t="s">
        <v>940</v>
      </c>
      <c r="C702" s="48" t="s">
        <v>837</v>
      </c>
      <c r="D702" s="491">
        <v>0.25</v>
      </c>
      <c r="E702" s="388"/>
      <c r="H702" s="538"/>
      <c r="I702" s="538"/>
      <c r="J702" s="538"/>
      <c r="L702" s="37"/>
      <c r="M702" s="41"/>
      <c r="N702" s="37"/>
      <c r="O702" s="37"/>
      <c r="P702" s="37"/>
      <c r="Q702" s="37"/>
      <c r="R702" s="37"/>
    </row>
    <row r="703" spans="1:18" hidden="1" outlineLevel="1" x14ac:dyDescent="0.3">
      <c r="A703" s="45" t="s">
        <v>4035</v>
      </c>
      <c r="B703" s="45" t="s">
        <v>940</v>
      </c>
      <c r="C703" s="48" t="s">
        <v>839</v>
      </c>
      <c r="D703" s="491">
        <v>0.25</v>
      </c>
      <c r="E703" s="388"/>
      <c r="H703" s="538"/>
      <c r="I703" s="538"/>
      <c r="J703" s="538"/>
      <c r="L703" s="37"/>
      <c r="M703" s="41"/>
      <c r="N703" s="37"/>
      <c r="O703" s="37"/>
      <c r="P703" s="37"/>
      <c r="Q703" s="37"/>
      <c r="R703" s="37"/>
    </row>
    <row r="704" spans="1:18" hidden="1" outlineLevel="1" x14ac:dyDescent="0.3">
      <c r="A704" s="45" t="s">
        <v>4035</v>
      </c>
      <c r="B704" s="45" t="s">
        <v>940</v>
      </c>
      <c r="C704" s="48" t="s">
        <v>840</v>
      </c>
      <c r="D704" s="491">
        <v>0.25</v>
      </c>
      <c r="E704" s="388"/>
      <c r="H704" s="538"/>
      <c r="I704" s="538"/>
      <c r="J704" s="538"/>
      <c r="L704" s="37"/>
      <c r="M704" s="41"/>
      <c r="N704" s="37"/>
      <c r="O704" s="37"/>
      <c r="P704" s="37"/>
      <c r="Q704" s="37"/>
      <c r="R704" s="37"/>
    </row>
    <row r="705" spans="1:47" collapsed="1" x14ac:dyDescent="0.3">
      <c r="A705" s="45"/>
      <c r="B705" s="45"/>
      <c r="C705" s="45"/>
      <c r="D705" s="388"/>
      <c r="E705" s="388"/>
      <c r="H705" s="538"/>
      <c r="I705" s="538"/>
      <c r="J705" s="538"/>
      <c r="L705" s="41"/>
      <c r="M705" s="41"/>
      <c r="N705" s="42"/>
      <c r="O705" s="42"/>
    </row>
    <row r="706" spans="1:47" x14ac:dyDescent="0.3">
      <c r="A706" s="70"/>
      <c r="B706" s="70"/>
      <c r="C706" s="80"/>
      <c r="D706" s="437"/>
      <c r="E706" s="437"/>
      <c r="F706" s="490"/>
      <c r="G706" s="490"/>
      <c r="H706" s="538"/>
      <c r="I706" s="538"/>
      <c r="J706" s="538"/>
      <c r="L706" s="41"/>
      <c r="M706" s="41"/>
      <c r="N706" s="42"/>
      <c r="O706" s="42"/>
    </row>
    <row r="707" spans="1:47" ht="25.8" x14ac:dyDescent="0.5">
      <c r="A707" s="570" t="s">
        <v>4036</v>
      </c>
      <c r="B707" s="570"/>
      <c r="C707" s="570"/>
      <c r="D707" s="570"/>
      <c r="E707" s="570"/>
      <c r="F707" s="570"/>
      <c r="G707" s="570"/>
      <c r="H707" s="570"/>
      <c r="I707" s="570"/>
      <c r="J707" s="538"/>
      <c r="L707" s="41"/>
      <c r="M707" s="41"/>
      <c r="N707" s="42"/>
      <c r="O707" s="42"/>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row>
    <row r="708" spans="1:47" ht="37.5" customHeight="1" x14ac:dyDescent="0.3">
      <c r="A708" s="572" t="s">
        <v>4037</v>
      </c>
      <c r="B708" s="572"/>
      <c r="C708" s="572"/>
      <c r="D708" s="572"/>
      <c r="E708" s="572"/>
      <c r="F708" s="572"/>
      <c r="G708" s="572"/>
      <c r="H708" s="572"/>
      <c r="I708" s="572"/>
      <c r="J708" s="538"/>
      <c r="L708" s="41"/>
      <c r="M708" s="41"/>
      <c r="N708" s="42"/>
      <c r="O708" s="42"/>
    </row>
    <row r="709" spans="1:47" x14ac:dyDescent="0.3">
      <c r="A709" s="60" t="s">
        <v>4038</v>
      </c>
      <c r="B709" s="202"/>
      <c r="C709" s="426" t="s">
        <v>4032</v>
      </c>
      <c r="D709" s="492">
        <v>27.919700568741138</v>
      </c>
      <c r="E709" s="492">
        <v>27.919700568741138</v>
      </c>
      <c r="F709" s="492">
        <v>27.919700568741138</v>
      </c>
      <c r="G709" s="492">
        <v>27.919700568741138</v>
      </c>
      <c r="H709" s="492">
        <v>27.919700568741138</v>
      </c>
      <c r="I709" s="428"/>
      <c r="J709" s="538"/>
      <c r="L709" s="41"/>
      <c r="M709" s="41"/>
      <c r="N709" s="42"/>
      <c r="O709" s="42"/>
    </row>
    <row r="710" spans="1:47" x14ac:dyDescent="0.3">
      <c r="A710" s="445" t="s">
        <v>5</v>
      </c>
      <c r="B710" s="445" t="s">
        <v>847</v>
      </c>
      <c r="C710" s="429" t="s">
        <v>193</v>
      </c>
      <c r="D710" s="493">
        <v>2025</v>
      </c>
      <c r="E710" s="493">
        <v>2030</v>
      </c>
      <c r="F710" s="493">
        <v>2035</v>
      </c>
      <c r="G710" s="493">
        <v>2040</v>
      </c>
      <c r="H710" s="493">
        <v>2045</v>
      </c>
      <c r="I710" s="430" t="s">
        <v>153</v>
      </c>
      <c r="J710" s="538"/>
      <c r="N710" s="37"/>
      <c r="O710" s="37"/>
      <c r="P710" s="37"/>
    </row>
    <row r="711" spans="1:47" hidden="1" outlineLevel="1" x14ac:dyDescent="0.3">
      <c r="A711" s="58" t="s">
        <v>4038</v>
      </c>
      <c r="B711" s="58" t="s">
        <v>855</v>
      </c>
      <c r="C711" s="60" t="s">
        <v>747</v>
      </c>
      <c r="D711" s="494">
        <v>75.034195278491822</v>
      </c>
      <c r="E711" s="494">
        <v>75.034195278491822</v>
      </c>
      <c r="F711" s="494">
        <v>75.034195278491822</v>
      </c>
      <c r="G711" s="494">
        <v>75.034195278491822</v>
      </c>
      <c r="H711" s="494">
        <v>75.034195278491822</v>
      </c>
      <c r="I711" s="431"/>
      <c r="J711" s="538"/>
      <c r="L711" s="37"/>
      <c r="M711" s="37"/>
      <c r="N711" s="37"/>
      <c r="O711" s="37"/>
      <c r="P711" s="37"/>
      <c r="Q711" s="37"/>
      <c r="R711" s="37"/>
    </row>
    <row r="712" spans="1:47" hidden="1" outlineLevel="1" x14ac:dyDescent="0.3">
      <c r="A712" s="58" t="s">
        <v>4038</v>
      </c>
      <c r="B712" s="58" t="s">
        <v>855</v>
      </c>
      <c r="C712" s="60" t="s">
        <v>751</v>
      </c>
      <c r="D712" s="494">
        <v>0</v>
      </c>
      <c r="E712" s="494">
        <v>0</v>
      </c>
      <c r="F712" s="494">
        <v>0</v>
      </c>
      <c r="G712" s="494">
        <v>0</v>
      </c>
      <c r="H712" s="494">
        <v>0</v>
      </c>
      <c r="I712" s="431"/>
      <c r="J712" s="538"/>
      <c r="L712" s="37"/>
      <c r="M712" s="37"/>
      <c r="N712" s="37"/>
      <c r="O712" s="37"/>
      <c r="P712" s="37"/>
      <c r="Q712" s="37"/>
      <c r="R712" s="37"/>
    </row>
    <row r="713" spans="1:47" hidden="1" outlineLevel="1" x14ac:dyDescent="0.3">
      <c r="A713" s="58" t="s">
        <v>4038</v>
      </c>
      <c r="B713" s="58" t="s">
        <v>855</v>
      </c>
      <c r="C713" s="60" t="s">
        <v>755</v>
      </c>
      <c r="D713" s="494">
        <v>0</v>
      </c>
      <c r="E713" s="494">
        <v>0</v>
      </c>
      <c r="F713" s="494">
        <v>0</v>
      </c>
      <c r="G713" s="494">
        <v>0</v>
      </c>
      <c r="H713" s="494">
        <v>0</v>
      </c>
      <c r="I713" s="431"/>
      <c r="J713" s="538"/>
      <c r="L713" s="37"/>
      <c r="M713" s="37"/>
      <c r="N713" s="37"/>
      <c r="O713" s="37"/>
      <c r="P713" s="37"/>
      <c r="Q713" s="37"/>
      <c r="R713" s="37"/>
    </row>
    <row r="714" spans="1:47" hidden="1" outlineLevel="1" x14ac:dyDescent="0.3">
      <c r="A714" s="58" t="s">
        <v>4038</v>
      </c>
      <c r="B714" s="58" t="s">
        <v>855</v>
      </c>
      <c r="C714" s="60" t="s">
        <v>758</v>
      </c>
      <c r="D714" s="494">
        <v>0</v>
      </c>
      <c r="E714" s="494">
        <v>0</v>
      </c>
      <c r="F714" s="494">
        <v>0</v>
      </c>
      <c r="G714" s="494">
        <v>0</v>
      </c>
      <c r="H714" s="494">
        <v>0</v>
      </c>
      <c r="I714" s="431"/>
      <c r="J714" s="538"/>
      <c r="L714" s="37"/>
      <c r="M714" s="37"/>
      <c r="N714" s="37"/>
      <c r="O714" s="37"/>
      <c r="P714" s="37"/>
      <c r="Q714" s="37"/>
      <c r="R714" s="37"/>
    </row>
    <row r="715" spans="1:47" hidden="1" outlineLevel="1" x14ac:dyDescent="0.3">
      <c r="A715" s="58" t="s">
        <v>4038</v>
      </c>
      <c r="B715" s="58" t="s">
        <v>855</v>
      </c>
      <c r="C715" s="60" t="s">
        <v>761</v>
      </c>
      <c r="D715" s="494">
        <v>0</v>
      </c>
      <c r="E715" s="494">
        <v>0</v>
      </c>
      <c r="F715" s="494">
        <v>0</v>
      </c>
      <c r="G715" s="494">
        <v>0</v>
      </c>
      <c r="H715" s="494">
        <v>0</v>
      </c>
      <c r="I715" s="431"/>
      <c r="J715" s="538"/>
      <c r="L715" s="37"/>
      <c r="M715" s="37"/>
      <c r="N715" s="37"/>
      <c r="O715" s="37"/>
      <c r="P715" s="37"/>
      <c r="Q715" s="37"/>
      <c r="R715" s="37"/>
    </row>
    <row r="716" spans="1:47" hidden="1" outlineLevel="1" x14ac:dyDescent="0.3">
      <c r="A716" s="58" t="s">
        <v>4038</v>
      </c>
      <c r="B716" s="58" t="s">
        <v>855</v>
      </c>
      <c r="C716" s="60" t="s">
        <v>763</v>
      </c>
      <c r="D716" s="494">
        <v>0</v>
      </c>
      <c r="E716" s="494">
        <v>0</v>
      </c>
      <c r="F716" s="494">
        <v>0</v>
      </c>
      <c r="G716" s="494">
        <v>0</v>
      </c>
      <c r="H716" s="494">
        <v>0</v>
      </c>
      <c r="I716" s="431"/>
      <c r="J716" s="538"/>
      <c r="L716" s="37"/>
      <c r="M716" s="37"/>
      <c r="N716" s="37"/>
      <c r="O716" s="37"/>
      <c r="P716" s="37"/>
      <c r="Q716" s="37"/>
      <c r="R716" s="37"/>
    </row>
    <row r="717" spans="1:47" hidden="1" outlineLevel="1" x14ac:dyDescent="0.3">
      <c r="A717" s="58" t="s">
        <v>4038</v>
      </c>
      <c r="B717" s="58" t="s">
        <v>855</v>
      </c>
      <c r="C717" s="60" t="s">
        <v>765</v>
      </c>
      <c r="D717" s="494">
        <v>0</v>
      </c>
      <c r="E717" s="494">
        <v>0</v>
      </c>
      <c r="F717" s="494">
        <v>0</v>
      </c>
      <c r="G717" s="494">
        <v>0</v>
      </c>
      <c r="H717" s="494">
        <v>0</v>
      </c>
      <c r="I717" s="431"/>
      <c r="J717" s="538"/>
      <c r="L717" s="37"/>
      <c r="M717" s="37"/>
      <c r="N717" s="37"/>
      <c r="O717" s="37"/>
      <c r="P717" s="37"/>
      <c r="Q717" s="37"/>
      <c r="R717" s="37"/>
    </row>
    <row r="718" spans="1:47" hidden="1" outlineLevel="1" x14ac:dyDescent="0.3">
      <c r="A718" s="58" t="s">
        <v>4038</v>
      </c>
      <c r="B718" s="58" t="s">
        <v>855</v>
      </c>
      <c r="C718" s="60" t="s">
        <v>768</v>
      </c>
      <c r="D718" s="494">
        <v>0</v>
      </c>
      <c r="E718" s="494">
        <v>0</v>
      </c>
      <c r="F718" s="494">
        <v>0</v>
      </c>
      <c r="G718" s="494">
        <v>0</v>
      </c>
      <c r="H718" s="494">
        <v>0</v>
      </c>
      <c r="I718" s="431"/>
      <c r="J718" s="538"/>
      <c r="L718" s="37"/>
      <c r="M718" s="37"/>
      <c r="N718" s="37"/>
      <c r="O718" s="37"/>
      <c r="P718" s="37"/>
      <c r="Q718" s="37"/>
      <c r="R718" s="37"/>
    </row>
    <row r="719" spans="1:47" hidden="1" outlineLevel="1" x14ac:dyDescent="0.3">
      <c r="A719" s="58" t="s">
        <v>4038</v>
      </c>
      <c r="B719" s="58" t="s">
        <v>855</v>
      </c>
      <c r="C719" s="60" t="s">
        <v>771</v>
      </c>
      <c r="D719" s="494">
        <v>0</v>
      </c>
      <c r="E719" s="494">
        <v>0</v>
      </c>
      <c r="F719" s="494">
        <v>0</v>
      </c>
      <c r="G719" s="494">
        <v>0</v>
      </c>
      <c r="H719" s="494">
        <v>0</v>
      </c>
      <c r="I719" s="431"/>
      <c r="J719" s="538"/>
      <c r="L719" s="37"/>
      <c r="M719" s="37"/>
      <c r="N719" s="37"/>
      <c r="O719" s="37"/>
      <c r="P719" s="37"/>
      <c r="Q719" s="37"/>
      <c r="R719" s="37"/>
    </row>
    <row r="720" spans="1:47" hidden="1" outlineLevel="1" x14ac:dyDescent="0.3">
      <c r="A720" s="58" t="s">
        <v>4038</v>
      </c>
      <c r="B720" s="58" t="s">
        <v>855</v>
      </c>
      <c r="C720" s="60" t="s">
        <v>772</v>
      </c>
      <c r="D720" s="494">
        <v>0</v>
      </c>
      <c r="E720" s="494">
        <v>0</v>
      </c>
      <c r="F720" s="494">
        <v>0</v>
      </c>
      <c r="G720" s="494">
        <v>0</v>
      </c>
      <c r="H720" s="494">
        <v>0</v>
      </c>
      <c r="I720" s="431"/>
      <c r="J720" s="538"/>
      <c r="L720" s="37"/>
      <c r="M720" s="37"/>
      <c r="N720" s="37"/>
      <c r="O720" s="37"/>
      <c r="P720" s="37"/>
      <c r="Q720" s="37"/>
      <c r="R720" s="37"/>
    </row>
    <row r="721" spans="1:18" hidden="1" outlineLevel="1" x14ac:dyDescent="0.3">
      <c r="A721" s="58" t="s">
        <v>4038</v>
      </c>
      <c r="B721" s="58" t="s">
        <v>855</v>
      </c>
      <c r="C721" s="60" t="s">
        <v>774</v>
      </c>
      <c r="D721" s="494">
        <v>0</v>
      </c>
      <c r="E721" s="494">
        <v>0</v>
      </c>
      <c r="F721" s="494">
        <v>0</v>
      </c>
      <c r="G721" s="494">
        <v>0</v>
      </c>
      <c r="H721" s="494">
        <v>0</v>
      </c>
      <c r="I721" s="431"/>
      <c r="J721" s="538"/>
      <c r="L721" s="37"/>
      <c r="M721" s="37"/>
      <c r="N721" s="37"/>
      <c r="O721" s="37"/>
      <c r="P721" s="37"/>
      <c r="Q721" s="37"/>
      <c r="R721" s="37"/>
    </row>
    <row r="722" spans="1:18" hidden="1" outlineLevel="1" x14ac:dyDescent="0.3">
      <c r="A722" s="58" t="s">
        <v>4038</v>
      </c>
      <c r="B722" s="58" t="s">
        <v>855</v>
      </c>
      <c r="C722" s="60" t="s">
        <v>775</v>
      </c>
      <c r="D722" s="494">
        <v>0</v>
      </c>
      <c r="E722" s="494">
        <v>0</v>
      </c>
      <c r="F722" s="494">
        <v>0</v>
      </c>
      <c r="G722" s="494">
        <v>0</v>
      </c>
      <c r="H722" s="494">
        <v>0</v>
      </c>
      <c r="I722" s="431"/>
      <c r="J722" s="538"/>
      <c r="L722" s="37"/>
      <c r="M722" s="37"/>
      <c r="N722" s="37"/>
      <c r="O722" s="37"/>
      <c r="P722" s="37"/>
      <c r="Q722" s="37"/>
      <c r="R722" s="37"/>
    </row>
    <row r="723" spans="1:18" hidden="1" outlineLevel="1" x14ac:dyDescent="0.3">
      <c r="A723" s="58" t="s">
        <v>4038</v>
      </c>
      <c r="B723" s="58" t="s">
        <v>855</v>
      </c>
      <c r="C723" s="60" t="s">
        <v>779</v>
      </c>
      <c r="D723" s="494">
        <v>0</v>
      </c>
      <c r="E723" s="494">
        <v>0</v>
      </c>
      <c r="F723" s="494">
        <v>0</v>
      </c>
      <c r="G723" s="494">
        <v>0</v>
      </c>
      <c r="H723" s="494">
        <v>0</v>
      </c>
      <c r="I723" s="431"/>
      <c r="J723" s="538"/>
      <c r="L723" s="37"/>
      <c r="M723" s="37"/>
      <c r="N723" s="37"/>
      <c r="O723" s="37"/>
      <c r="P723" s="37"/>
      <c r="Q723" s="37"/>
      <c r="R723" s="37"/>
    </row>
    <row r="724" spans="1:18" hidden="1" outlineLevel="1" x14ac:dyDescent="0.3">
      <c r="A724" s="58" t="s">
        <v>4038</v>
      </c>
      <c r="B724" s="58" t="s">
        <v>894</v>
      </c>
      <c r="C724" s="60" t="s">
        <v>781</v>
      </c>
      <c r="D724" s="494">
        <v>0</v>
      </c>
      <c r="E724" s="494">
        <v>0</v>
      </c>
      <c r="F724" s="494">
        <v>0</v>
      </c>
      <c r="G724" s="494">
        <v>0</v>
      </c>
      <c r="H724" s="494">
        <v>0</v>
      </c>
      <c r="I724" s="431"/>
      <c r="J724" s="538"/>
      <c r="L724" s="37"/>
      <c r="M724" s="37"/>
      <c r="N724" s="37"/>
      <c r="O724" s="37"/>
      <c r="P724" s="37"/>
      <c r="Q724" s="37"/>
      <c r="R724" s="37"/>
    </row>
    <row r="725" spans="1:18" hidden="1" outlineLevel="1" x14ac:dyDescent="0.3">
      <c r="A725" s="58" t="s">
        <v>4038</v>
      </c>
      <c r="B725" s="58" t="s">
        <v>894</v>
      </c>
      <c r="C725" s="60" t="s">
        <v>783</v>
      </c>
      <c r="D725" s="494">
        <v>0</v>
      </c>
      <c r="E725" s="494">
        <v>0</v>
      </c>
      <c r="F725" s="494">
        <v>0</v>
      </c>
      <c r="G725" s="494">
        <v>0</v>
      </c>
      <c r="H725" s="494">
        <v>0</v>
      </c>
      <c r="I725" s="431"/>
      <c r="J725" s="538"/>
      <c r="L725" s="37"/>
      <c r="M725" s="37"/>
      <c r="N725" s="37"/>
      <c r="O725" s="37"/>
      <c r="P725" s="37"/>
      <c r="Q725" s="37"/>
      <c r="R725" s="37"/>
    </row>
    <row r="726" spans="1:18" hidden="1" outlineLevel="1" x14ac:dyDescent="0.3">
      <c r="A726" s="58" t="s">
        <v>4038</v>
      </c>
      <c r="B726" s="58" t="s">
        <v>894</v>
      </c>
      <c r="C726" s="60" t="s">
        <v>785</v>
      </c>
      <c r="D726" s="494">
        <v>0</v>
      </c>
      <c r="E726" s="494">
        <v>0</v>
      </c>
      <c r="F726" s="494">
        <v>0</v>
      </c>
      <c r="G726" s="494">
        <v>0</v>
      </c>
      <c r="H726" s="494">
        <v>0</v>
      </c>
      <c r="I726" s="431"/>
      <c r="J726" s="538"/>
      <c r="L726" s="37"/>
      <c r="M726" s="37"/>
      <c r="N726" s="37"/>
      <c r="O726" s="37"/>
      <c r="P726" s="37"/>
      <c r="Q726" s="37"/>
      <c r="R726" s="37"/>
    </row>
    <row r="727" spans="1:18" hidden="1" outlineLevel="1" x14ac:dyDescent="0.3">
      <c r="A727" s="58" t="s">
        <v>4038</v>
      </c>
      <c r="B727" s="58" t="s">
        <v>894</v>
      </c>
      <c r="C727" s="60" t="s">
        <v>787</v>
      </c>
      <c r="D727" s="494">
        <v>0</v>
      </c>
      <c r="E727" s="494">
        <v>0</v>
      </c>
      <c r="F727" s="494">
        <v>0</v>
      </c>
      <c r="G727" s="494">
        <v>0</v>
      </c>
      <c r="H727" s="494">
        <v>0</v>
      </c>
      <c r="I727" s="431"/>
      <c r="J727" s="538"/>
      <c r="L727" s="37"/>
      <c r="M727" s="37"/>
      <c r="N727" s="37"/>
      <c r="O727" s="37"/>
      <c r="P727" s="37"/>
      <c r="Q727" s="37"/>
      <c r="R727" s="37"/>
    </row>
    <row r="728" spans="1:18" hidden="1" outlineLevel="1" x14ac:dyDescent="0.3">
      <c r="A728" s="58" t="s">
        <v>4038</v>
      </c>
      <c r="B728" s="58" t="s">
        <v>894</v>
      </c>
      <c r="C728" s="60" t="s">
        <v>788</v>
      </c>
      <c r="D728" s="494">
        <v>0</v>
      </c>
      <c r="E728" s="494">
        <v>0</v>
      </c>
      <c r="F728" s="494">
        <v>0</v>
      </c>
      <c r="G728" s="494">
        <v>0</v>
      </c>
      <c r="H728" s="494">
        <v>0</v>
      </c>
      <c r="I728" s="431"/>
      <c r="J728" s="538"/>
      <c r="L728" s="37"/>
      <c r="M728" s="37"/>
      <c r="N728" s="37"/>
      <c r="O728" s="37"/>
      <c r="P728" s="37"/>
      <c r="Q728" s="37"/>
      <c r="R728" s="37"/>
    </row>
    <row r="729" spans="1:18" hidden="1" outlineLevel="1" x14ac:dyDescent="0.3">
      <c r="A729" s="58" t="s">
        <v>4038</v>
      </c>
      <c r="B729" s="58" t="s">
        <v>894</v>
      </c>
      <c r="C729" s="60" t="s">
        <v>789</v>
      </c>
      <c r="D729" s="494">
        <v>0</v>
      </c>
      <c r="E729" s="494">
        <v>0</v>
      </c>
      <c r="F729" s="494">
        <v>0</v>
      </c>
      <c r="G729" s="494">
        <v>0</v>
      </c>
      <c r="H729" s="494">
        <v>0</v>
      </c>
      <c r="I729" s="431"/>
      <c r="J729" s="538"/>
      <c r="L729" s="37"/>
      <c r="M729" s="37"/>
      <c r="N729" s="37"/>
      <c r="O729" s="37"/>
      <c r="P729" s="37"/>
      <c r="Q729" s="37"/>
      <c r="R729" s="37"/>
    </row>
    <row r="730" spans="1:18" hidden="1" outlineLevel="1" x14ac:dyDescent="0.3">
      <c r="A730" s="58" t="s">
        <v>4038</v>
      </c>
      <c r="B730" s="58" t="s">
        <v>894</v>
      </c>
      <c r="C730" s="60" t="s">
        <v>790</v>
      </c>
      <c r="D730" s="494">
        <v>75.034195278491822</v>
      </c>
      <c r="E730" s="494">
        <v>75.034195278491822</v>
      </c>
      <c r="F730" s="494">
        <v>75.034195278491822</v>
      </c>
      <c r="G730" s="494">
        <v>75.034195278491822</v>
      </c>
      <c r="H730" s="494">
        <v>75.034195278491822</v>
      </c>
      <c r="I730" s="431"/>
      <c r="J730" s="538"/>
      <c r="L730" s="37"/>
      <c r="M730" s="37"/>
      <c r="N730" s="37"/>
      <c r="O730" s="37"/>
      <c r="P730" s="37"/>
      <c r="Q730" s="37"/>
      <c r="R730" s="37"/>
    </row>
    <row r="731" spans="1:18" hidden="1" outlineLevel="1" x14ac:dyDescent="0.3">
      <c r="A731" s="58" t="s">
        <v>4038</v>
      </c>
      <c r="B731" s="58" t="s">
        <v>894</v>
      </c>
      <c r="C731" s="60" t="s">
        <v>793</v>
      </c>
      <c r="D731" s="494">
        <v>75.034195278491822</v>
      </c>
      <c r="E731" s="494">
        <v>75.034195278491822</v>
      </c>
      <c r="F731" s="494">
        <v>75.034195278491822</v>
      </c>
      <c r="G731" s="494">
        <v>75.034195278491822</v>
      </c>
      <c r="H731" s="494">
        <v>75.034195278491822</v>
      </c>
      <c r="I731" s="431"/>
      <c r="J731" s="538"/>
      <c r="L731" s="37"/>
      <c r="M731" s="37"/>
      <c r="N731" s="37"/>
      <c r="O731" s="37"/>
      <c r="P731" s="37"/>
      <c r="Q731" s="37"/>
      <c r="R731" s="37"/>
    </row>
    <row r="732" spans="1:18" hidden="1" outlineLevel="1" x14ac:dyDescent="0.3">
      <c r="A732" s="58" t="s">
        <v>4038</v>
      </c>
      <c r="B732" s="58" t="s">
        <v>894</v>
      </c>
      <c r="C732" s="60" t="s">
        <v>795</v>
      </c>
      <c r="D732" s="494">
        <v>75.034195278491822</v>
      </c>
      <c r="E732" s="494">
        <v>75.034195278491822</v>
      </c>
      <c r="F732" s="494">
        <v>75.034195278491822</v>
      </c>
      <c r="G732" s="494">
        <v>75.034195278491822</v>
      </c>
      <c r="H732" s="494">
        <v>75.034195278491822</v>
      </c>
      <c r="I732" s="431"/>
      <c r="J732" s="538"/>
      <c r="L732" s="37"/>
      <c r="M732" s="37"/>
      <c r="N732" s="37"/>
      <c r="O732" s="37"/>
      <c r="P732" s="37"/>
      <c r="Q732" s="37"/>
      <c r="R732" s="37"/>
    </row>
    <row r="733" spans="1:18" hidden="1" outlineLevel="1" x14ac:dyDescent="0.3">
      <c r="A733" s="58" t="s">
        <v>4038</v>
      </c>
      <c r="B733" s="58" t="s">
        <v>894</v>
      </c>
      <c r="C733" s="60" t="s">
        <v>797</v>
      </c>
      <c r="D733" s="494">
        <v>0</v>
      </c>
      <c r="E733" s="494">
        <v>0</v>
      </c>
      <c r="F733" s="494">
        <v>0</v>
      </c>
      <c r="G733" s="494">
        <v>0</v>
      </c>
      <c r="H733" s="494">
        <v>0</v>
      </c>
      <c r="I733" s="431"/>
      <c r="J733" s="538"/>
      <c r="L733" s="37"/>
      <c r="M733" s="37"/>
      <c r="N733" s="37"/>
      <c r="O733" s="37"/>
      <c r="P733" s="37"/>
      <c r="Q733" s="37"/>
      <c r="R733" s="37"/>
    </row>
    <row r="734" spans="1:18" hidden="1" outlineLevel="1" x14ac:dyDescent="0.3">
      <c r="A734" s="58" t="s">
        <v>4038</v>
      </c>
      <c r="B734" s="58" t="s">
        <v>915</v>
      </c>
      <c r="C734" s="60" t="s">
        <v>799</v>
      </c>
      <c r="D734" s="494">
        <v>75.034195278491822</v>
      </c>
      <c r="E734" s="494">
        <v>75.034195278491822</v>
      </c>
      <c r="F734" s="494">
        <v>75.034195278491822</v>
      </c>
      <c r="G734" s="494">
        <v>75.034195278491822</v>
      </c>
      <c r="H734" s="494">
        <v>75.034195278491822</v>
      </c>
      <c r="I734" s="431"/>
      <c r="J734" s="538"/>
      <c r="L734" s="37"/>
      <c r="M734" s="37"/>
      <c r="N734" s="37"/>
      <c r="O734" s="37"/>
      <c r="P734" s="37"/>
      <c r="Q734" s="37"/>
      <c r="R734" s="37"/>
    </row>
    <row r="735" spans="1:18" hidden="1" outlineLevel="1" x14ac:dyDescent="0.3">
      <c r="A735" s="58" t="s">
        <v>4038</v>
      </c>
      <c r="B735" s="58" t="s">
        <v>915</v>
      </c>
      <c r="C735" s="60" t="s">
        <v>801</v>
      </c>
      <c r="D735" s="494">
        <v>75.034195278491822</v>
      </c>
      <c r="E735" s="494">
        <v>75.034195278491822</v>
      </c>
      <c r="F735" s="494">
        <v>75.034195278491822</v>
      </c>
      <c r="G735" s="494">
        <v>75.034195278491822</v>
      </c>
      <c r="H735" s="494">
        <v>75.034195278491822</v>
      </c>
      <c r="I735" s="431"/>
      <c r="J735" s="538"/>
      <c r="L735" s="37"/>
      <c r="M735" s="37"/>
      <c r="N735" s="37"/>
      <c r="O735" s="37"/>
      <c r="P735" s="37"/>
      <c r="Q735" s="37"/>
      <c r="R735" s="37"/>
    </row>
    <row r="736" spans="1:18" hidden="1" outlineLevel="1" x14ac:dyDescent="0.3">
      <c r="A736" s="58" t="s">
        <v>4038</v>
      </c>
      <c r="B736" s="58" t="s">
        <v>915</v>
      </c>
      <c r="C736" s="60" t="s">
        <v>804</v>
      </c>
      <c r="D736" s="494">
        <v>0</v>
      </c>
      <c r="E736" s="494">
        <v>0</v>
      </c>
      <c r="F736" s="494">
        <v>0</v>
      </c>
      <c r="G736" s="494">
        <v>0</v>
      </c>
      <c r="H736" s="494">
        <v>0</v>
      </c>
      <c r="I736" s="431"/>
      <c r="J736" s="538"/>
      <c r="L736" s="37"/>
      <c r="M736" s="37"/>
      <c r="N736" s="37"/>
      <c r="O736" s="37"/>
      <c r="P736" s="37"/>
      <c r="Q736" s="37"/>
      <c r="R736" s="37"/>
    </row>
    <row r="737" spans="1:18" hidden="1" outlineLevel="1" x14ac:dyDescent="0.3">
      <c r="A737" s="58" t="s">
        <v>4038</v>
      </c>
      <c r="B737" s="58" t="s">
        <v>915</v>
      </c>
      <c r="C737" s="60" t="s">
        <v>806</v>
      </c>
      <c r="D737" s="494">
        <v>0</v>
      </c>
      <c r="E737" s="494">
        <v>0</v>
      </c>
      <c r="F737" s="494">
        <v>0</v>
      </c>
      <c r="G737" s="494">
        <v>0</v>
      </c>
      <c r="H737" s="494">
        <v>0</v>
      </c>
      <c r="I737" s="431"/>
      <c r="J737" s="538"/>
      <c r="L737" s="37"/>
      <c r="M737" s="37"/>
      <c r="N737" s="37"/>
      <c r="O737" s="37"/>
      <c r="P737" s="37"/>
      <c r="Q737" s="37"/>
      <c r="R737" s="37"/>
    </row>
    <row r="738" spans="1:18" hidden="1" outlineLevel="1" x14ac:dyDescent="0.3">
      <c r="A738" s="58" t="s">
        <v>4038</v>
      </c>
      <c r="B738" s="58" t="s">
        <v>915</v>
      </c>
      <c r="C738" s="60" t="s">
        <v>808</v>
      </c>
      <c r="D738" s="494">
        <v>0</v>
      </c>
      <c r="E738" s="494">
        <v>0</v>
      </c>
      <c r="F738" s="494">
        <v>0</v>
      </c>
      <c r="G738" s="494">
        <v>0</v>
      </c>
      <c r="H738" s="494">
        <v>0</v>
      </c>
      <c r="I738" s="431"/>
      <c r="J738" s="538"/>
      <c r="L738" s="37"/>
      <c r="M738" s="37"/>
      <c r="N738" s="37"/>
      <c r="O738" s="37"/>
      <c r="P738" s="37"/>
      <c r="Q738" s="37"/>
      <c r="R738" s="37"/>
    </row>
    <row r="739" spans="1:18" hidden="1" outlineLevel="1" x14ac:dyDescent="0.3">
      <c r="A739" s="58" t="s">
        <v>4038</v>
      </c>
      <c r="B739" s="58" t="s">
        <v>915</v>
      </c>
      <c r="C739" s="60" t="s">
        <v>811</v>
      </c>
      <c r="D739" s="494">
        <v>75.034195278491822</v>
      </c>
      <c r="E739" s="494">
        <v>75.034195278491822</v>
      </c>
      <c r="F739" s="494">
        <v>75.034195278491822</v>
      </c>
      <c r="G739" s="494">
        <v>75.034195278491822</v>
      </c>
      <c r="H739" s="494">
        <v>75.034195278491822</v>
      </c>
      <c r="I739" s="431"/>
      <c r="J739" s="538"/>
      <c r="L739" s="37"/>
      <c r="M739" s="37"/>
      <c r="N739" s="37"/>
      <c r="O739" s="37"/>
      <c r="P739" s="37"/>
      <c r="Q739" s="37"/>
      <c r="R739" s="37"/>
    </row>
    <row r="740" spans="1:18" hidden="1" outlineLevel="1" x14ac:dyDescent="0.3">
      <c r="A740" s="58" t="s">
        <v>4038</v>
      </c>
      <c r="B740" s="58" t="s">
        <v>934</v>
      </c>
      <c r="C740" s="60" t="s">
        <v>814</v>
      </c>
      <c r="D740" s="494">
        <v>0</v>
      </c>
      <c r="E740" s="494">
        <v>0</v>
      </c>
      <c r="F740" s="494">
        <v>0</v>
      </c>
      <c r="G740" s="494">
        <v>0</v>
      </c>
      <c r="H740" s="494">
        <v>0</v>
      </c>
      <c r="I740" s="431"/>
      <c r="J740" s="538"/>
      <c r="L740" s="37"/>
      <c r="M740" s="37"/>
      <c r="N740" s="37"/>
      <c r="O740" s="37"/>
      <c r="P740" s="37"/>
      <c r="Q740" s="37"/>
      <c r="R740" s="37"/>
    </row>
    <row r="741" spans="1:18" hidden="1" outlineLevel="1" x14ac:dyDescent="0.3">
      <c r="A741" s="58" t="s">
        <v>4038</v>
      </c>
      <c r="B741" s="58" t="s">
        <v>934</v>
      </c>
      <c r="C741" s="60" t="s">
        <v>815</v>
      </c>
      <c r="D741" s="494">
        <v>0</v>
      </c>
      <c r="E741" s="494">
        <v>0</v>
      </c>
      <c r="F741" s="494">
        <v>0</v>
      </c>
      <c r="G741" s="494">
        <v>0</v>
      </c>
      <c r="H741" s="494">
        <v>0</v>
      </c>
      <c r="I741" s="431"/>
      <c r="J741" s="538"/>
      <c r="L741" s="37"/>
      <c r="M741" s="37"/>
      <c r="N741" s="37"/>
      <c r="O741" s="37"/>
      <c r="P741" s="37"/>
      <c r="Q741" s="37"/>
      <c r="R741" s="37"/>
    </row>
    <row r="742" spans="1:18" hidden="1" outlineLevel="1" x14ac:dyDescent="0.3">
      <c r="A742" s="58" t="s">
        <v>4038</v>
      </c>
      <c r="B742" s="58" t="s">
        <v>940</v>
      </c>
      <c r="C742" s="60" t="s">
        <v>817</v>
      </c>
      <c r="D742" s="494">
        <v>75.034195278491822</v>
      </c>
      <c r="E742" s="494">
        <v>75.034195278491822</v>
      </c>
      <c r="F742" s="494">
        <v>75.034195278491822</v>
      </c>
      <c r="G742" s="494">
        <v>75.034195278491822</v>
      </c>
      <c r="H742" s="494">
        <v>75.034195278491822</v>
      </c>
      <c r="I742" s="431"/>
      <c r="J742" s="538"/>
      <c r="L742" s="37"/>
      <c r="M742" s="37"/>
      <c r="N742" s="37"/>
      <c r="O742" s="37"/>
      <c r="P742" s="37"/>
      <c r="Q742" s="37"/>
      <c r="R742" s="37"/>
    </row>
    <row r="743" spans="1:18" hidden="1" outlineLevel="1" x14ac:dyDescent="0.3">
      <c r="A743" s="58" t="s">
        <v>4038</v>
      </c>
      <c r="B743" s="58" t="s">
        <v>940</v>
      </c>
      <c r="C743" s="60" t="s">
        <v>944</v>
      </c>
      <c r="D743" s="494">
        <v>75.034195278491822</v>
      </c>
      <c r="E743" s="494">
        <v>75.034195278491822</v>
      </c>
      <c r="F743" s="494">
        <v>75.034195278491822</v>
      </c>
      <c r="G743" s="494">
        <v>75.034195278491822</v>
      </c>
      <c r="H743" s="494">
        <v>75.034195278491822</v>
      </c>
      <c r="I743" s="431"/>
      <c r="J743" s="538"/>
      <c r="L743" s="37"/>
      <c r="M743" s="37"/>
      <c r="N743" s="37"/>
      <c r="O743" s="37"/>
      <c r="P743" s="37"/>
      <c r="Q743" s="37"/>
      <c r="R743" s="37"/>
    </row>
    <row r="744" spans="1:18" hidden="1" outlineLevel="1" x14ac:dyDescent="0.3">
      <c r="A744" s="58" t="s">
        <v>4038</v>
      </c>
      <c r="B744" s="58" t="s">
        <v>940</v>
      </c>
      <c r="C744" s="60" t="s">
        <v>821</v>
      </c>
      <c r="D744" s="494">
        <v>75.034195278491822</v>
      </c>
      <c r="E744" s="494">
        <v>75.034195278491822</v>
      </c>
      <c r="F744" s="494">
        <v>75.034195278491822</v>
      </c>
      <c r="G744" s="494">
        <v>75.034195278491822</v>
      </c>
      <c r="H744" s="494">
        <v>75.034195278491822</v>
      </c>
      <c r="I744" s="431"/>
      <c r="J744" s="538"/>
      <c r="L744" s="37"/>
      <c r="M744" s="37"/>
      <c r="N744" s="37"/>
      <c r="O744" s="37"/>
      <c r="P744" s="37"/>
      <c r="Q744" s="37"/>
      <c r="R744" s="37"/>
    </row>
    <row r="745" spans="1:18" hidden="1" outlineLevel="1" x14ac:dyDescent="0.3">
      <c r="A745" s="58" t="s">
        <v>4038</v>
      </c>
      <c r="B745" s="58" t="s">
        <v>940</v>
      </c>
      <c r="C745" s="60" t="s">
        <v>823</v>
      </c>
      <c r="D745" s="494">
        <v>0</v>
      </c>
      <c r="E745" s="494">
        <v>0</v>
      </c>
      <c r="F745" s="494">
        <v>0</v>
      </c>
      <c r="G745" s="494">
        <v>0</v>
      </c>
      <c r="H745" s="494">
        <v>0</v>
      </c>
      <c r="I745" s="431"/>
      <c r="J745" s="538"/>
      <c r="L745" s="37"/>
      <c r="M745" s="37"/>
      <c r="N745" s="37"/>
      <c r="O745" s="37"/>
      <c r="P745" s="37"/>
      <c r="Q745" s="37"/>
      <c r="R745" s="37"/>
    </row>
    <row r="746" spans="1:18" hidden="1" outlineLevel="1" x14ac:dyDescent="0.3">
      <c r="A746" s="58" t="s">
        <v>4038</v>
      </c>
      <c r="B746" s="58" t="s">
        <v>940</v>
      </c>
      <c r="C746" s="60" t="s">
        <v>825</v>
      </c>
      <c r="D746" s="494">
        <v>75.034195278491822</v>
      </c>
      <c r="E746" s="494">
        <v>75.034195278491822</v>
      </c>
      <c r="F746" s="494">
        <v>75.034195278491822</v>
      </c>
      <c r="G746" s="494">
        <v>75.034195278491822</v>
      </c>
      <c r="H746" s="494">
        <v>75.034195278491822</v>
      </c>
      <c r="I746" s="431"/>
      <c r="J746" s="538"/>
      <c r="L746" s="37"/>
      <c r="M746" s="37"/>
      <c r="N746" s="37"/>
      <c r="O746" s="37"/>
      <c r="P746" s="37"/>
      <c r="Q746" s="37"/>
      <c r="R746" s="37"/>
    </row>
    <row r="747" spans="1:18" hidden="1" outlineLevel="1" x14ac:dyDescent="0.3">
      <c r="A747" s="58" t="s">
        <v>4038</v>
      </c>
      <c r="B747" s="58" t="s">
        <v>940</v>
      </c>
      <c r="C747" s="60" t="s">
        <v>827</v>
      </c>
      <c r="D747" s="494">
        <v>75.034195278491822</v>
      </c>
      <c r="E747" s="494">
        <v>75.034195278491822</v>
      </c>
      <c r="F747" s="494">
        <v>75.034195278491822</v>
      </c>
      <c r="G747" s="494">
        <v>75.034195278491822</v>
      </c>
      <c r="H747" s="494">
        <v>75.034195278491822</v>
      </c>
      <c r="I747" s="431"/>
      <c r="J747" s="538"/>
      <c r="L747" s="37"/>
      <c r="M747" s="37"/>
      <c r="N747" s="37"/>
      <c r="O747" s="37"/>
      <c r="P747" s="37"/>
      <c r="Q747" s="37"/>
      <c r="R747" s="37"/>
    </row>
    <row r="748" spans="1:18" hidden="1" outlineLevel="1" x14ac:dyDescent="0.3">
      <c r="A748" s="58" t="s">
        <v>4038</v>
      </c>
      <c r="B748" s="58" t="s">
        <v>940</v>
      </c>
      <c r="C748" s="60" t="s">
        <v>829</v>
      </c>
      <c r="D748" s="494">
        <v>75.034195278491822</v>
      </c>
      <c r="E748" s="494">
        <v>75.034195278491822</v>
      </c>
      <c r="F748" s="494">
        <v>75.034195278491822</v>
      </c>
      <c r="G748" s="494">
        <v>75.034195278491822</v>
      </c>
      <c r="H748" s="494">
        <v>75.034195278491822</v>
      </c>
      <c r="I748" s="431"/>
      <c r="J748" s="538"/>
      <c r="L748" s="37"/>
      <c r="M748" s="37"/>
      <c r="N748" s="37"/>
      <c r="O748" s="37"/>
      <c r="P748" s="37"/>
      <c r="Q748" s="37"/>
      <c r="R748" s="37"/>
    </row>
    <row r="749" spans="1:18" hidden="1" outlineLevel="1" x14ac:dyDescent="0.3">
      <c r="A749" s="58" t="s">
        <v>4038</v>
      </c>
      <c r="B749" s="58" t="s">
        <v>940</v>
      </c>
      <c r="C749" s="60" t="s">
        <v>833</v>
      </c>
      <c r="D749" s="494">
        <v>0</v>
      </c>
      <c r="E749" s="494">
        <v>0</v>
      </c>
      <c r="F749" s="494">
        <v>0</v>
      </c>
      <c r="G749" s="494">
        <v>0</v>
      </c>
      <c r="H749" s="494">
        <v>0</v>
      </c>
      <c r="I749" s="431"/>
      <c r="J749" s="538"/>
      <c r="L749" s="37"/>
      <c r="M749" s="37"/>
      <c r="N749" s="37"/>
      <c r="O749" s="37"/>
      <c r="P749" s="37"/>
      <c r="Q749" s="37"/>
      <c r="R749" s="37"/>
    </row>
    <row r="750" spans="1:18" hidden="1" outlineLevel="1" x14ac:dyDescent="0.3">
      <c r="A750" s="58" t="s">
        <v>4038</v>
      </c>
      <c r="B750" s="58" t="s">
        <v>940</v>
      </c>
      <c r="C750" s="60" t="s">
        <v>836</v>
      </c>
      <c r="D750" s="494">
        <v>75.034195278491822</v>
      </c>
      <c r="E750" s="494">
        <v>75.034195278491822</v>
      </c>
      <c r="F750" s="494">
        <v>75.034195278491822</v>
      </c>
      <c r="G750" s="494">
        <v>75.034195278491822</v>
      </c>
      <c r="H750" s="494">
        <v>75.034195278491822</v>
      </c>
      <c r="I750" s="431"/>
      <c r="J750" s="538"/>
      <c r="L750" s="37"/>
      <c r="M750" s="37"/>
      <c r="N750" s="37"/>
      <c r="O750" s="37"/>
      <c r="P750" s="37"/>
      <c r="Q750" s="37"/>
      <c r="R750" s="37"/>
    </row>
    <row r="751" spans="1:18" hidden="1" outlineLevel="1" x14ac:dyDescent="0.3">
      <c r="A751" s="58" t="s">
        <v>4038</v>
      </c>
      <c r="B751" s="58" t="s">
        <v>940</v>
      </c>
      <c r="C751" s="60" t="s">
        <v>837</v>
      </c>
      <c r="D751" s="494">
        <v>75.034195278491822</v>
      </c>
      <c r="E751" s="494">
        <v>75.034195278491822</v>
      </c>
      <c r="F751" s="494">
        <v>75.034195278491822</v>
      </c>
      <c r="G751" s="494">
        <v>75.034195278491822</v>
      </c>
      <c r="H751" s="494">
        <v>75.034195278491822</v>
      </c>
      <c r="I751" s="431"/>
      <c r="J751" s="538"/>
      <c r="L751" s="37"/>
      <c r="M751" s="37"/>
      <c r="N751" s="37"/>
      <c r="O751" s="37"/>
      <c r="P751" s="37"/>
      <c r="Q751" s="37"/>
      <c r="R751" s="37"/>
    </row>
    <row r="752" spans="1:18" hidden="1" outlineLevel="1" x14ac:dyDescent="0.3">
      <c r="A752" s="58" t="s">
        <v>4038</v>
      </c>
      <c r="B752" s="58" t="s">
        <v>940</v>
      </c>
      <c r="C752" s="60" t="s">
        <v>839</v>
      </c>
      <c r="D752" s="494">
        <v>75.034195278491822</v>
      </c>
      <c r="E752" s="494">
        <v>75.034195278491822</v>
      </c>
      <c r="F752" s="494">
        <v>75.034195278491822</v>
      </c>
      <c r="G752" s="494">
        <v>75.034195278491822</v>
      </c>
      <c r="H752" s="494">
        <v>75.034195278491822</v>
      </c>
      <c r="I752" s="431"/>
      <c r="J752" s="538"/>
      <c r="L752" s="37"/>
      <c r="M752" s="37"/>
      <c r="N752" s="37"/>
      <c r="O752" s="37"/>
      <c r="P752" s="37"/>
      <c r="Q752" s="37"/>
      <c r="R752" s="37"/>
    </row>
    <row r="753" spans="1:18" hidden="1" outlineLevel="1" x14ac:dyDescent="0.3">
      <c r="A753" s="58" t="s">
        <v>4038</v>
      </c>
      <c r="B753" s="58" t="s">
        <v>940</v>
      </c>
      <c r="C753" s="60" t="s">
        <v>840</v>
      </c>
      <c r="D753" s="494">
        <v>0</v>
      </c>
      <c r="E753" s="494">
        <v>0</v>
      </c>
      <c r="F753" s="494">
        <v>0</v>
      </c>
      <c r="G753" s="494">
        <v>0</v>
      </c>
      <c r="H753" s="494">
        <v>0</v>
      </c>
      <c r="I753" s="431"/>
      <c r="J753" s="538"/>
      <c r="L753" s="37"/>
      <c r="M753" s="37"/>
      <c r="N753" s="37"/>
      <c r="O753" s="37"/>
      <c r="P753" s="37"/>
      <c r="Q753" s="37"/>
      <c r="R753" s="37"/>
    </row>
    <row r="754" spans="1:18" collapsed="1" x14ac:dyDescent="0.3">
      <c r="A754" s="58"/>
      <c r="B754" s="58"/>
      <c r="C754" s="58"/>
      <c r="D754" s="494"/>
      <c r="E754" s="494"/>
      <c r="F754" s="426"/>
      <c r="G754" s="426"/>
      <c r="H754" s="426"/>
      <c r="I754" s="431"/>
      <c r="J754" s="538"/>
      <c r="L754" s="41"/>
      <c r="M754" s="41"/>
      <c r="N754" s="42"/>
      <c r="O754" s="42"/>
    </row>
    <row r="755" spans="1:18" x14ac:dyDescent="0.3">
      <c r="A755" s="60" t="s">
        <v>4039</v>
      </c>
      <c r="B755" s="202"/>
      <c r="C755" s="426" t="s">
        <v>4032</v>
      </c>
      <c r="D755" s="492">
        <v>86.165081189594133</v>
      </c>
      <c r="E755" s="492">
        <v>99.870962165591763</v>
      </c>
      <c r="F755" s="492">
        <v>106.31036236667559</v>
      </c>
      <c r="G755" s="492">
        <v>113.16797743815458</v>
      </c>
      <c r="H755" s="492">
        <v>117.75308286550829</v>
      </c>
      <c r="I755" s="428"/>
      <c r="J755" s="538"/>
      <c r="M755" s="41"/>
    </row>
    <row r="756" spans="1:18" x14ac:dyDescent="0.3">
      <c r="A756" s="445" t="s">
        <v>5</v>
      </c>
      <c r="B756" s="445" t="s">
        <v>847</v>
      </c>
      <c r="C756" s="429" t="s">
        <v>193</v>
      </c>
      <c r="D756" s="493">
        <v>2025</v>
      </c>
      <c r="E756" s="493">
        <v>2030</v>
      </c>
      <c r="F756" s="493">
        <v>2035</v>
      </c>
      <c r="G756" s="493">
        <v>2040</v>
      </c>
      <c r="H756" s="493">
        <v>2045</v>
      </c>
      <c r="I756" s="430" t="s">
        <v>153</v>
      </c>
      <c r="J756" s="538"/>
      <c r="M756" s="41"/>
      <c r="N756" s="37"/>
      <c r="O756" s="37"/>
      <c r="P756" s="37"/>
    </row>
    <row r="757" spans="1:18" hidden="1" outlineLevel="1" x14ac:dyDescent="0.3">
      <c r="A757" s="58" t="s">
        <v>4039</v>
      </c>
      <c r="B757" s="58" t="s">
        <v>855</v>
      </c>
      <c r="C757" s="60" t="s">
        <v>747</v>
      </c>
      <c r="D757" s="494">
        <v>208.9611504623031</v>
      </c>
      <c r="E757" s="494">
        <v>250.29077510158484</v>
      </c>
      <c r="F757" s="494">
        <v>264.77073950186877</v>
      </c>
      <c r="G757" s="494">
        <v>280.08840704542035</v>
      </c>
      <c r="H757" s="494">
        <v>291.4289511256427</v>
      </c>
      <c r="I757" s="427"/>
      <c r="J757" s="538"/>
      <c r="L757" s="37"/>
      <c r="M757" s="41"/>
      <c r="N757" s="37"/>
      <c r="O757" s="37"/>
      <c r="P757" s="37"/>
      <c r="Q757" s="37"/>
      <c r="R757" s="37"/>
    </row>
    <row r="758" spans="1:18" hidden="1" outlineLevel="1" x14ac:dyDescent="0.3">
      <c r="A758" s="58" t="s">
        <v>4039</v>
      </c>
      <c r="B758" s="58" t="s">
        <v>855</v>
      </c>
      <c r="C758" s="60" t="s">
        <v>751</v>
      </c>
      <c r="D758" s="494">
        <v>0</v>
      </c>
      <c r="E758" s="494">
        <v>0</v>
      </c>
      <c r="F758" s="494">
        <v>0</v>
      </c>
      <c r="G758" s="494">
        <v>0</v>
      </c>
      <c r="H758" s="494">
        <v>0</v>
      </c>
      <c r="I758" s="431"/>
      <c r="J758" s="538"/>
      <c r="L758" s="37"/>
      <c r="M758" s="41"/>
      <c r="N758" s="37"/>
      <c r="O758" s="37"/>
      <c r="P758" s="37"/>
      <c r="Q758" s="37"/>
      <c r="R758" s="37"/>
    </row>
    <row r="759" spans="1:18" hidden="1" outlineLevel="1" x14ac:dyDescent="0.3">
      <c r="A759" s="58" t="s">
        <v>4039</v>
      </c>
      <c r="B759" s="58" t="s">
        <v>855</v>
      </c>
      <c r="C759" s="60" t="s">
        <v>755</v>
      </c>
      <c r="D759" s="494">
        <v>0</v>
      </c>
      <c r="E759" s="494">
        <v>0</v>
      </c>
      <c r="F759" s="494">
        <v>0</v>
      </c>
      <c r="G759" s="494">
        <v>0</v>
      </c>
      <c r="H759" s="494">
        <v>0</v>
      </c>
      <c r="I759" s="431"/>
      <c r="J759" s="538"/>
      <c r="L759" s="37"/>
      <c r="M759" s="41"/>
      <c r="N759" s="37"/>
      <c r="O759" s="37"/>
      <c r="P759" s="37"/>
      <c r="Q759" s="37"/>
      <c r="R759" s="37"/>
    </row>
    <row r="760" spans="1:18" hidden="1" outlineLevel="1" x14ac:dyDescent="0.3">
      <c r="A760" s="58" t="s">
        <v>4039</v>
      </c>
      <c r="B760" s="58" t="s">
        <v>855</v>
      </c>
      <c r="C760" s="60" t="s">
        <v>758</v>
      </c>
      <c r="D760" s="494">
        <v>0</v>
      </c>
      <c r="E760" s="494">
        <v>0</v>
      </c>
      <c r="F760" s="494">
        <v>0</v>
      </c>
      <c r="G760" s="494">
        <v>0</v>
      </c>
      <c r="H760" s="494">
        <v>0</v>
      </c>
      <c r="I760" s="431"/>
      <c r="J760" s="538"/>
      <c r="L760" s="37"/>
      <c r="M760" s="41"/>
      <c r="N760" s="37"/>
      <c r="O760" s="37"/>
      <c r="P760" s="37"/>
      <c r="Q760" s="37"/>
      <c r="R760" s="37"/>
    </row>
    <row r="761" spans="1:18" hidden="1" outlineLevel="1" x14ac:dyDescent="0.3">
      <c r="A761" s="58" t="s">
        <v>4039</v>
      </c>
      <c r="B761" s="58" t="s">
        <v>855</v>
      </c>
      <c r="C761" s="60" t="s">
        <v>761</v>
      </c>
      <c r="D761" s="494">
        <v>0</v>
      </c>
      <c r="E761" s="494">
        <v>0</v>
      </c>
      <c r="F761" s="494">
        <v>0</v>
      </c>
      <c r="G761" s="494">
        <v>0</v>
      </c>
      <c r="H761" s="494">
        <v>0</v>
      </c>
      <c r="I761" s="431"/>
      <c r="J761" s="538"/>
      <c r="L761" s="37"/>
      <c r="M761" s="41"/>
      <c r="N761" s="37"/>
      <c r="O761" s="37"/>
      <c r="P761" s="37"/>
      <c r="Q761" s="37"/>
      <c r="R761" s="37"/>
    </row>
    <row r="762" spans="1:18" hidden="1" outlineLevel="1" x14ac:dyDescent="0.3">
      <c r="A762" s="58" t="s">
        <v>4039</v>
      </c>
      <c r="B762" s="58" t="s">
        <v>855</v>
      </c>
      <c r="C762" s="60" t="s">
        <v>763</v>
      </c>
      <c r="D762" s="494">
        <v>0</v>
      </c>
      <c r="E762" s="494">
        <v>0</v>
      </c>
      <c r="F762" s="494">
        <v>0</v>
      </c>
      <c r="G762" s="494">
        <v>0</v>
      </c>
      <c r="H762" s="494">
        <v>0</v>
      </c>
      <c r="I762" s="431"/>
      <c r="J762" s="538"/>
      <c r="L762" s="37"/>
      <c r="M762" s="41"/>
      <c r="N762" s="37"/>
      <c r="O762" s="37"/>
      <c r="P762" s="37"/>
      <c r="Q762" s="37"/>
      <c r="R762" s="37"/>
    </row>
    <row r="763" spans="1:18" hidden="1" outlineLevel="1" x14ac:dyDescent="0.3">
      <c r="A763" s="58" t="s">
        <v>4039</v>
      </c>
      <c r="B763" s="58" t="s">
        <v>855</v>
      </c>
      <c r="C763" s="60" t="s">
        <v>765</v>
      </c>
      <c r="D763" s="494">
        <v>0</v>
      </c>
      <c r="E763" s="494">
        <v>0</v>
      </c>
      <c r="F763" s="494">
        <v>0</v>
      </c>
      <c r="G763" s="494">
        <v>0</v>
      </c>
      <c r="H763" s="494">
        <v>0</v>
      </c>
      <c r="I763" s="431"/>
      <c r="J763" s="538"/>
      <c r="L763" s="37"/>
      <c r="M763" s="41"/>
      <c r="N763" s="37"/>
      <c r="O763" s="37"/>
      <c r="P763" s="37"/>
      <c r="Q763" s="37"/>
      <c r="R763" s="37"/>
    </row>
    <row r="764" spans="1:18" hidden="1" outlineLevel="1" x14ac:dyDescent="0.3">
      <c r="A764" s="58" t="s">
        <v>4039</v>
      </c>
      <c r="B764" s="58" t="s">
        <v>855</v>
      </c>
      <c r="C764" s="60" t="s">
        <v>768</v>
      </c>
      <c r="D764" s="494">
        <v>0</v>
      </c>
      <c r="E764" s="494">
        <v>0</v>
      </c>
      <c r="F764" s="494">
        <v>0</v>
      </c>
      <c r="G764" s="494">
        <v>0</v>
      </c>
      <c r="H764" s="494">
        <v>0</v>
      </c>
      <c r="I764" s="431"/>
      <c r="J764" s="538"/>
      <c r="L764" s="37"/>
      <c r="M764" s="41"/>
      <c r="N764" s="37"/>
      <c r="O764" s="37"/>
      <c r="P764" s="37"/>
      <c r="Q764" s="37"/>
      <c r="R764" s="37"/>
    </row>
    <row r="765" spans="1:18" hidden="1" outlineLevel="1" x14ac:dyDescent="0.3">
      <c r="A765" s="58" t="s">
        <v>4039</v>
      </c>
      <c r="B765" s="58" t="s">
        <v>855</v>
      </c>
      <c r="C765" s="60" t="s">
        <v>771</v>
      </c>
      <c r="D765" s="494">
        <v>0</v>
      </c>
      <c r="E765" s="494">
        <v>0</v>
      </c>
      <c r="F765" s="494">
        <v>0</v>
      </c>
      <c r="G765" s="494">
        <v>0</v>
      </c>
      <c r="H765" s="494">
        <v>0</v>
      </c>
      <c r="I765" s="431"/>
      <c r="J765" s="538"/>
      <c r="L765" s="37"/>
      <c r="M765" s="41"/>
      <c r="N765" s="37"/>
      <c r="O765" s="37"/>
      <c r="P765" s="37"/>
      <c r="Q765" s="37"/>
      <c r="R765" s="37"/>
    </row>
    <row r="766" spans="1:18" hidden="1" outlineLevel="1" x14ac:dyDescent="0.3">
      <c r="A766" s="58" t="s">
        <v>4039</v>
      </c>
      <c r="B766" s="58" t="s">
        <v>855</v>
      </c>
      <c r="C766" s="60" t="s">
        <v>772</v>
      </c>
      <c r="D766" s="494">
        <v>0</v>
      </c>
      <c r="E766" s="494">
        <v>0</v>
      </c>
      <c r="F766" s="494">
        <v>0</v>
      </c>
      <c r="G766" s="494">
        <v>0</v>
      </c>
      <c r="H766" s="494">
        <v>0</v>
      </c>
      <c r="I766" s="431"/>
      <c r="J766" s="538"/>
      <c r="L766" s="37"/>
      <c r="M766" s="41"/>
      <c r="N766" s="37"/>
      <c r="O766" s="37"/>
      <c r="P766" s="37"/>
      <c r="Q766" s="37"/>
      <c r="R766" s="37"/>
    </row>
    <row r="767" spans="1:18" hidden="1" outlineLevel="1" x14ac:dyDescent="0.3">
      <c r="A767" s="58" t="s">
        <v>4039</v>
      </c>
      <c r="B767" s="58" t="s">
        <v>855</v>
      </c>
      <c r="C767" s="60" t="s">
        <v>774</v>
      </c>
      <c r="D767" s="494">
        <v>0</v>
      </c>
      <c r="E767" s="494">
        <v>0</v>
      </c>
      <c r="F767" s="494">
        <v>0</v>
      </c>
      <c r="G767" s="494">
        <v>0</v>
      </c>
      <c r="H767" s="494">
        <v>0</v>
      </c>
      <c r="I767" s="431"/>
      <c r="J767" s="538"/>
      <c r="L767" s="37"/>
      <c r="M767" s="41"/>
      <c r="N767" s="37"/>
      <c r="O767" s="37"/>
      <c r="P767" s="37"/>
      <c r="Q767" s="37"/>
      <c r="R767" s="37"/>
    </row>
    <row r="768" spans="1:18" hidden="1" outlineLevel="1" x14ac:dyDescent="0.3">
      <c r="A768" s="58" t="s">
        <v>4039</v>
      </c>
      <c r="B768" s="58" t="s">
        <v>855</v>
      </c>
      <c r="C768" s="60" t="s">
        <v>775</v>
      </c>
      <c r="D768" s="494">
        <v>0</v>
      </c>
      <c r="E768" s="494">
        <v>0</v>
      </c>
      <c r="F768" s="494">
        <v>0</v>
      </c>
      <c r="G768" s="494">
        <v>0</v>
      </c>
      <c r="H768" s="494">
        <v>0</v>
      </c>
      <c r="I768" s="431"/>
      <c r="J768" s="538"/>
      <c r="L768" s="37"/>
      <c r="M768" s="41"/>
      <c r="N768" s="37"/>
      <c r="O768" s="37"/>
      <c r="P768" s="37"/>
      <c r="Q768" s="37"/>
      <c r="R768" s="37"/>
    </row>
    <row r="769" spans="1:18" hidden="1" outlineLevel="1" x14ac:dyDescent="0.3">
      <c r="A769" s="58" t="s">
        <v>4039</v>
      </c>
      <c r="B769" s="58" t="s">
        <v>855</v>
      </c>
      <c r="C769" s="60" t="s">
        <v>779</v>
      </c>
      <c r="D769" s="494">
        <v>0</v>
      </c>
      <c r="E769" s="494">
        <v>0</v>
      </c>
      <c r="F769" s="494">
        <v>0</v>
      </c>
      <c r="G769" s="494">
        <v>0</v>
      </c>
      <c r="H769" s="494">
        <v>0</v>
      </c>
      <c r="I769" s="431"/>
      <c r="J769" s="538"/>
      <c r="L769" s="37"/>
      <c r="M769" s="41"/>
      <c r="N769" s="37"/>
      <c r="O769" s="37"/>
      <c r="P769" s="37"/>
      <c r="Q769" s="37"/>
      <c r="R769" s="37"/>
    </row>
    <row r="770" spans="1:18" hidden="1" outlineLevel="1" x14ac:dyDescent="0.3">
      <c r="A770" s="58" t="s">
        <v>4039</v>
      </c>
      <c r="B770" s="58" t="s">
        <v>894</v>
      </c>
      <c r="C770" s="60" t="s">
        <v>781</v>
      </c>
      <c r="D770" s="494">
        <v>0</v>
      </c>
      <c r="E770" s="494">
        <v>0</v>
      </c>
      <c r="F770" s="494">
        <v>0</v>
      </c>
      <c r="G770" s="494">
        <v>0</v>
      </c>
      <c r="H770" s="494">
        <v>0</v>
      </c>
      <c r="I770" s="431"/>
      <c r="J770" s="538"/>
      <c r="L770" s="37"/>
      <c r="M770" s="41"/>
      <c r="N770" s="37"/>
      <c r="O770" s="37"/>
      <c r="P770" s="37"/>
      <c r="Q770" s="37"/>
      <c r="R770" s="37"/>
    </row>
    <row r="771" spans="1:18" hidden="1" outlineLevel="1" x14ac:dyDescent="0.3">
      <c r="A771" s="58" t="s">
        <v>4039</v>
      </c>
      <c r="B771" s="58" t="s">
        <v>894</v>
      </c>
      <c r="C771" s="60" t="s">
        <v>783</v>
      </c>
      <c r="D771" s="494">
        <v>0</v>
      </c>
      <c r="E771" s="494">
        <v>0</v>
      </c>
      <c r="F771" s="494">
        <v>0</v>
      </c>
      <c r="G771" s="494">
        <v>0</v>
      </c>
      <c r="H771" s="494">
        <v>0</v>
      </c>
      <c r="I771" s="431"/>
      <c r="J771" s="538"/>
      <c r="L771" s="37"/>
      <c r="M771" s="41"/>
      <c r="N771" s="37"/>
      <c r="O771" s="37"/>
      <c r="P771" s="37"/>
      <c r="Q771" s="37"/>
      <c r="R771" s="37"/>
    </row>
    <row r="772" spans="1:18" hidden="1" outlineLevel="1" x14ac:dyDescent="0.3">
      <c r="A772" s="58" t="s">
        <v>4039</v>
      </c>
      <c r="B772" s="58" t="s">
        <v>894</v>
      </c>
      <c r="C772" s="60" t="s">
        <v>785</v>
      </c>
      <c r="D772" s="494">
        <v>0</v>
      </c>
      <c r="E772" s="494">
        <v>0</v>
      </c>
      <c r="F772" s="494">
        <v>0</v>
      </c>
      <c r="G772" s="494">
        <v>0</v>
      </c>
      <c r="H772" s="494">
        <v>0</v>
      </c>
      <c r="I772" s="431"/>
      <c r="J772" s="538"/>
      <c r="L772" s="37"/>
      <c r="M772" s="41"/>
      <c r="N772" s="37"/>
      <c r="O772" s="37"/>
      <c r="P772" s="37"/>
      <c r="Q772" s="37"/>
      <c r="R772" s="37"/>
    </row>
    <row r="773" spans="1:18" hidden="1" outlineLevel="1" x14ac:dyDescent="0.3">
      <c r="A773" s="58" t="s">
        <v>4039</v>
      </c>
      <c r="B773" s="58" t="s">
        <v>894</v>
      </c>
      <c r="C773" s="60" t="s">
        <v>787</v>
      </c>
      <c r="D773" s="494">
        <v>0</v>
      </c>
      <c r="E773" s="494">
        <v>0</v>
      </c>
      <c r="F773" s="494">
        <v>0</v>
      </c>
      <c r="G773" s="494">
        <v>0</v>
      </c>
      <c r="H773" s="494">
        <v>0</v>
      </c>
      <c r="I773" s="431"/>
      <c r="J773" s="538"/>
      <c r="L773" s="37"/>
      <c r="M773" s="41"/>
      <c r="N773" s="37"/>
      <c r="O773" s="37"/>
      <c r="P773" s="37"/>
      <c r="Q773" s="37"/>
      <c r="R773" s="37"/>
    </row>
    <row r="774" spans="1:18" hidden="1" outlineLevel="1" x14ac:dyDescent="0.3">
      <c r="A774" s="58" t="s">
        <v>4039</v>
      </c>
      <c r="B774" s="58" t="s">
        <v>894</v>
      </c>
      <c r="C774" s="60" t="s">
        <v>788</v>
      </c>
      <c r="D774" s="494">
        <v>0</v>
      </c>
      <c r="E774" s="494">
        <v>0</v>
      </c>
      <c r="F774" s="494">
        <v>0</v>
      </c>
      <c r="G774" s="494">
        <v>0</v>
      </c>
      <c r="H774" s="494">
        <v>0</v>
      </c>
      <c r="I774" s="431"/>
      <c r="J774" s="538"/>
      <c r="L774" s="37"/>
      <c r="M774" s="41"/>
      <c r="N774" s="37"/>
      <c r="O774" s="37"/>
      <c r="P774" s="37"/>
      <c r="Q774" s="37"/>
      <c r="R774" s="37"/>
    </row>
    <row r="775" spans="1:18" hidden="1" outlineLevel="1" x14ac:dyDescent="0.3">
      <c r="A775" s="58" t="s">
        <v>4039</v>
      </c>
      <c r="B775" s="58" t="s">
        <v>894</v>
      </c>
      <c r="C775" s="60" t="s">
        <v>789</v>
      </c>
      <c r="D775" s="494">
        <v>0</v>
      </c>
      <c r="E775" s="494">
        <v>0</v>
      </c>
      <c r="F775" s="494">
        <v>0</v>
      </c>
      <c r="G775" s="494">
        <v>0</v>
      </c>
      <c r="H775" s="494">
        <v>0</v>
      </c>
      <c r="I775" s="431"/>
      <c r="J775" s="538"/>
      <c r="L775" s="37"/>
      <c r="M775" s="41"/>
      <c r="N775" s="37"/>
      <c r="O775" s="37"/>
      <c r="P775" s="37"/>
      <c r="Q775" s="37"/>
      <c r="R775" s="37"/>
    </row>
    <row r="776" spans="1:18" hidden="1" outlineLevel="1" x14ac:dyDescent="0.3">
      <c r="A776" s="58" t="s">
        <v>4039</v>
      </c>
      <c r="B776" s="58" t="s">
        <v>894</v>
      </c>
      <c r="C776" s="60" t="s">
        <v>790</v>
      </c>
      <c r="D776" s="494">
        <v>208.9611504623031</v>
      </c>
      <c r="E776" s="494">
        <v>250.29077510158484</v>
      </c>
      <c r="F776" s="494">
        <v>264.77073950186877</v>
      </c>
      <c r="G776" s="494">
        <v>280.08840704542035</v>
      </c>
      <c r="H776" s="494">
        <v>291.4289511256427</v>
      </c>
      <c r="I776" s="431"/>
      <c r="J776" s="538"/>
      <c r="L776" s="37"/>
      <c r="M776" s="41"/>
      <c r="N776" s="37"/>
      <c r="O776" s="37"/>
      <c r="P776" s="37"/>
      <c r="Q776" s="37"/>
      <c r="R776" s="37"/>
    </row>
    <row r="777" spans="1:18" hidden="1" outlineLevel="1" x14ac:dyDescent="0.3">
      <c r="A777" s="58" t="s">
        <v>4039</v>
      </c>
      <c r="B777" s="58" t="s">
        <v>894</v>
      </c>
      <c r="C777" s="60" t="s">
        <v>793</v>
      </c>
      <c r="D777" s="494">
        <v>208.9611504623031</v>
      </c>
      <c r="E777" s="494">
        <v>250.29077510158484</v>
      </c>
      <c r="F777" s="494">
        <v>264.77073950186877</v>
      </c>
      <c r="G777" s="494">
        <v>280.08840704542035</v>
      </c>
      <c r="H777" s="494">
        <v>291.4289511256427</v>
      </c>
      <c r="I777" s="431"/>
      <c r="J777" s="538"/>
      <c r="L777" s="37"/>
      <c r="M777" s="41"/>
      <c r="N777" s="37"/>
      <c r="O777" s="37"/>
      <c r="P777" s="37"/>
      <c r="Q777" s="37"/>
      <c r="R777" s="37"/>
    </row>
    <row r="778" spans="1:18" hidden="1" outlineLevel="1" x14ac:dyDescent="0.3">
      <c r="A778" s="58" t="s">
        <v>4039</v>
      </c>
      <c r="B778" s="58" t="s">
        <v>894</v>
      </c>
      <c r="C778" s="60" t="s">
        <v>795</v>
      </c>
      <c r="D778" s="494">
        <v>208.9611504623031</v>
      </c>
      <c r="E778" s="494">
        <v>250.29077510158484</v>
      </c>
      <c r="F778" s="494">
        <v>264.77073950186877</v>
      </c>
      <c r="G778" s="494">
        <v>280.08840704542035</v>
      </c>
      <c r="H778" s="494">
        <v>291.4289511256427</v>
      </c>
      <c r="I778" s="431"/>
      <c r="J778" s="538"/>
      <c r="L778" s="37"/>
      <c r="M778" s="41"/>
      <c r="N778" s="37"/>
      <c r="O778" s="37"/>
      <c r="P778" s="37"/>
      <c r="Q778" s="37"/>
      <c r="R778" s="37"/>
    </row>
    <row r="779" spans="1:18" hidden="1" outlineLevel="1" x14ac:dyDescent="0.3">
      <c r="A779" s="58" t="s">
        <v>4039</v>
      </c>
      <c r="B779" s="58" t="s">
        <v>894</v>
      </c>
      <c r="C779" s="60" t="s">
        <v>797</v>
      </c>
      <c r="D779" s="494">
        <v>0</v>
      </c>
      <c r="E779" s="494">
        <v>0</v>
      </c>
      <c r="F779" s="494">
        <v>0</v>
      </c>
      <c r="G779" s="494">
        <v>0</v>
      </c>
      <c r="H779" s="494">
        <v>0</v>
      </c>
      <c r="I779" s="431"/>
      <c r="J779" s="538"/>
      <c r="L779" s="37"/>
      <c r="M779" s="41"/>
      <c r="N779" s="37"/>
      <c r="O779" s="37"/>
      <c r="P779" s="37"/>
      <c r="Q779" s="37"/>
      <c r="R779" s="37"/>
    </row>
    <row r="780" spans="1:18" hidden="1" outlineLevel="1" x14ac:dyDescent="0.3">
      <c r="A780" s="58" t="s">
        <v>4039</v>
      </c>
      <c r="B780" s="58" t="s">
        <v>915</v>
      </c>
      <c r="C780" s="60" t="s">
        <v>799</v>
      </c>
      <c r="D780" s="494">
        <v>208.9611504623031</v>
      </c>
      <c r="E780" s="494">
        <v>250.29077510158484</v>
      </c>
      <c r="F780" s="494">
        <v>264.77073950186877</v>
      </c>
      <c r="G780" s="494">
        <v>280.08840704542035</v>
      </c>
      <c r="H780" s="494">
        <v>291.4289511256427</v>
      </c>
      <c r="I780" s="431"/>
      <c r="J780" s="538"/>
      <c r="L780" s="37"/>
      <c r="M780" s="41"/>
      <c r="N780" s="37"/>
      <c r="O780" s="37"/>
      <c r="P780" s="37"/>
      <c r="Q780" s="37"/>
      <c r="R780" s="37"/>
    </row>
    <row r="781" spans="1:18" hidden="1" outlineLevel="1" x14ac:dyDescent="0.3">
      <c r="A781" s="58" t="s">
        <v>4039</v>
      </c>
      <c r="B781" s="58" t="s">
        <v>915</v>
      </c>
      <c r="C781" s="60" t="s">
        <v>801</v>
      </c>
      <c r="D781" s="494">
        <v>208.9611504623031</v>
      </c>
      <c r="E781" s="494">
        <v>250.29077510158484</v>
      </c>
      <c r="F781" s="494">
        <v>264.77073950186877</v>
      </c>
      <c r="G781" s="494">
        <v>280.08840704542035</v>
      </c>
      <c r="H781" s="494">
        <v>291.4289511256427</v>
      </c>
      <c r="I781" s="431"/>
      <c r="J781" s="538"/>
      <c r="L781" s="37"/>
      <c r="M781" s="41"/>
      <c r="N781" s="37"/>
      <c r="O781" s="37"/>
      <c r="P781" s="37"/>
      <c r="Q781" s="37"/>
      <c r="R781" s="37"/>
    </row>
    <row r="782" spans="1:18" hidden="1" outlineLevel="1" x14ac:dyDescent="0.3">
      <c r="A782" s="58" t="s">
        <v>4039</v>
      </c>
      <c r="B782" s="58" t="s">
        <v>915</v>
      </c>
      <c r="C782" s="60" t="s">
        <v>804</v>
      </c>
      <c r="D782" s="494">
        <v>0</v>
      </c>
      <c r="E782" s="494">
        <v>0</v>
      </c>
      <c r="F782" s="494">
        <v>0</v>
      </c>
      <c r="G782" s="494">
        <v>0</v>
      </c>
      <c r="H782" s="494">
        <v>0</v>
      </c>
      <c r="I782" s="431"/>
      <c r="J782" s="538"/>
      <c r="L782" s="37"/>
      <c r="M782" s="41"/>
      <c r="N782" s="37"/>
      <c r="O782" s="37"/>
      <c r="P782" s="37"/>
      <c r="Q782" s="37"/>
      <c r="R782" s="37"/>
    </row>
    <row r="783" spans="1:18" hidden="1" outlineLevel="1" x14ac:dyDescent="0.3">
      <c r="A783" s="58" t="s">
        <v>4039</v>
      </c>
      <c r="B783" s="58" t="s">
        <v>915</v>
      </c>
      <c r="C783" s="60" t="s">
        <v>806</v>
      </c>
      <c r="D783" s="494">
        <v>0</v>
      </c>
      <c r="E783" s="494">
        <v>0</v>
      </c>
      <c r="F783" s="494">
        <v>0</v>
      </c>
      <c r="G783" s="494">
        <v>0</v>
      </c>
      <c r="H783" s="494">
        <v>0</v>
      </c>
      <c r="I783" s="431"/>
      <c r="J783" s="538"/>
      <c r="L783" s="37"/>
      <c r="M783" s="41"/>
      <c r="N783" s="37"/>
      <c r="O783" s="37"/>
      <c r="P783" s="37"/>
      <c r="Q783" s="37"/>
      <c r="R783" s="37"/>
    </row>
    <row r="784" spans="1:18" hidden="1" outlineLevel="1" x14ac:dyDescent="0.3">
      <c r="A784" s="58" t="s">
        <v>4039</v>
      </c>
      <c r="B784" s="58" t="s">
        <v>915</v>
      </c>
      <c r="C784" s="60" t="s">
        <v>808</v>
      </c>
      <c r="D784" s="494">
        <v>0</v>
      </c>
      <c r="E784" s="494">
        <v>0</v>
      </c>
      <c r="F784" s="494">
        <v>0</v>
      </c>
      <c r="G784" s="494">
        <v>0</v>
      </c>
      <c r="H784" s="494">
        <v>0</v>
      </c>
      <c r="I784" s="431"/>
      <c r="J784" s="538"/>
      <c r="L784" s="37"/>
      <c r="M784" s="41"/>
      <c r="N784" s="37"/>
      <c r="O784" s="37"/>
      <c r="P784" s="37"/>
      <c r="Q784" s="37"/>
      <c r="R784" s="37"/>
    </row>
    <row r="785" spans="1:18" hidden="1" outlineLevel="1" x14ac:dyDescent="0.3">
      <c r="A785" s="58" t="s">
        <v>4039</v>
      </c>
      <c r="B785" s="58" t="s">
        <v>915</v>
      </c>
      <c r="C785" s="60" t="s">
        <v>811</v>
      </c>
      <c r="D785" s="494">
        <v>208.9611504623031</v>
      </c>
      <c r="E785" s="494">
        <v>250.29077510158484</v>
      </c>
      <c r="F785" s="494">
        <v>264.77073950186877</v>
      </c>
      <c r="G785" s="494">
        <v>280.08840704542035</v>
      </c>
      <c r="H785" s="494">
        <v>291.4289511256427</v>
      </c>
      <c r="I785" s="431"/>
      <c r="J785" s="538"/>
      <c r="L785" s="37"/>
      <c r="M785" s="41"/>
      <c r="N785" s="37"/>
      <c r="O785" s="37"/>
      <c r="P785" s="37"/>
      <c r="Q785" s="37"/>
      <c r="R785" s="37"/>
    </row>
    <row r="786" spans="1:18" hidden="1" outlineLevel="1" x14ac:dyDescent="0.3">
      <c r="A786" s="58" t="s">
        <v>4039</v>
      </c>
      <c r="B786" s="58" t="s">
        <v>934</v>
      </c>
      <c r="C786" s="60" t="s">
        <v>814</v>
      </c>
      <c r="D786" s="494">
        <v>0</v>
      </c>
      <c r="E786" s="494">
        <v>0</v>
      </c>
      <c r="F786" s="494">
        <v>0</v>
      </c>
      <c r="G786" s="494">
        <v>0</v>
      </c>
      <c r="H786" s="494">
        <v>0</v>
      </c>
      <c r="I786" s="431"/>
      <c r="J786" s="538"/>
      <c r="L786" s="37"/>
      <c r="M786" s="41"/>
      <c r="N786" s="37"/>
      <c r="O786" s="37"/>
      <c r="P786" s="37"/>
      <c r="Q786" s="37"/>
      <c r="R786" s="37"/>
    </row>
    <row r="787" spans="1:18" hidden="1" outlineLevel="1" x14ac:dyDescent="0.3">
      <c r="A787" s="58" t="s">
        <v>4039</v>
      </c>
      <c r="B787" s="58" t="s">
        <v>934</v>
      </c>
      <c r="C787" s="60" t="s">
        <v>815</v>
      </c>
      <c r="D787" s="494">
        <v>0</v>
      </c>
      <c r="E787" s="494">
        <v>0</v>
      </c>
      <c r="F787" s="494">
        <v>0</v>
      </c>
      <c r="G787" s="494">
        <v>0</v>
      </c>
      <c r="H787" s="494">
        <v>0</v>
      </c>
      <c r="I787" s="431"/>
      <c r="J787" s="538"/>
      <c r="L787" s="37"/>
      <c r="M787" s="41"/>
      <c r="N787" s="37"/>
      <c r="O787" s="37"/>
      <c r="P787" s="37"/>
      <c r="Q787" s="37"/>
      <c r="R787" s="37"/>
    </row>
    <row r="788" spans="1:18" hidden="1" outlineLevel="1" x14ac:dyDescent="0.3">
      <c r="A788" s="58" t="s">
        <v>4039</v>
      </c>
      <c r="B788" s="58" t="s">
        <v>940</v>
      </c>
      <c r="C788" s="60" t="s">
        <v>817</v>
      </c>
      <c r="D788" s="494">
        <v>249.15227087960301</v>
      </c>
      <c r="E788" s="494">
        <v>282.49066082326135</v>
      </c>
      <c r="F788" s="494">
        <v>301.99448947266313</v>
      </c>
      <c r="G788" s="494">
        <v>322.84490894696728</v>
      </c>
      <c r="H788" s="494">
        <v>335.93110059303979</v>
      </c>
      <c r="I788" s="431"/>
      <c r="J788" s="538"/>
      <c r="L788" s="37"/>
      <c r="M788" s="41"/>
      <c r="N788" s="37"/>
      <c r="O788" s="37"/>
      <c r="P788" s="37"/>
      <c r="Q788" s="37"/>
      <c r="R788" s="37"/>
    </row>
    <row r="789" spans="1:18" hidden="1" outlineLevel="1" x14ac:dyDescent="0.3">
      <c r="A789" s="58" t="s">
        <v>4039</v>
      </c>
      <c r="B789" s="58" t="s">
        <v>940</v>
      </c>
      <c r="C789" s="60" t="s">
        <v>944</v>
      </c>
      <c r="D789" s="494">
        <v>249.15227087960301</v>
      </c>
      <c r="E789" s="494">
        <v>282.49066082326135</v>
      </c>
      <c r="F789" s="494">
        <v>301.99448947266313</v>
      </c>
      <c r="G789" s="494">
        <v>322.84490894696728</v>
      </c>
      <c r="H789" s="494">
        <v>335.93110059303979</v>
      </c>
      <c r="I789" s="431"/>
      <c r="J789" s="538"/>
      <c r="L789" s="37"/>
      <c r="M789" s="41"/>
      <c r="N789" s="37"/>
      <c r="O789" s="37"/>
      <c r="P789" s="37"/>
      <c r="Q789" s="37"/>
      <c r="R789" s="37"/>
    </row>
    <row r="790" spans="1:18" hidden="1" outlineLevel="1" x14ac:dyDescent="0.3">
      <c r="A790" s="58" t="s">
        <v>4039</v>
      </c>
      <c r="B790" s="58" t="s">
        <v>940</v>
      </c>
      <c r="C790" s="60" t="s">
        <v>821</v>
      </c>
      <c r="D790" s="494">
        <v>249.15227087960301</v>
      </c>
      <c r="E790" s="494">
        <v>282.49066082326135</v>
      </c>
      <c r="F790" s="494">
        <v>301.99448947266313</v>
      </c>
      <c r="G790" s="494">
        <v>322.84490894696728</v>
      </c>
      <c r="H790" s="494">
        <v>335.93110059303979</v>
      </c>
      <c r="I790" s="431"/>
      <c r="J790" s="538"/>
      <c r="L790" s="37"/>
      <c r="M790" s="41"/>
      <c r="N790" s="37"/>
      <c r="O790" s="37"/>
      <c r="P790" s="37"/>
      <c r="Q790" s="37"/>
      <c r="R790" s="37"/>
    </row>
    <row r="791" spans="1:18" hidden="1" outlineLevel="1" x14ac:dyDescent="0.3">
      <c r="A791" s="58" t="s">
        <v>4039</v>
      </c>
      <c r="B791" s="58" t="s">
        <v>940</v>
      </c>
      <c r="C791" s="60" t="s">
        <v>823</v>
      </c>
      <c r="D791" s="494">
        <v>0</v>
      </c>
      <c r="E791" s="494">
        <v>0</v>
      </c>
      <c r="F791" s="494">
        <v>0</v>
      </c>
      <c r="G791" s="494">
        <v>0</v>
      </c>
      <c r="H791" s="494">
        <v>0</v>
      </c>
      <c r="I791" s="431"/>
      <c r="J791" s="538"/>
      <c r="L791" s="37"/>
      <c r="M791" s="41"/>
      <c r="N791" s="37"/>
      <c r="O791" s="37"/>
      <c r="P791" s="37"/>
      <c r="Q791" s="37"/>
      <c r="R791" s="37"/>
    </row>
    <row r="792" spans="1:18" hidden="1" outlineLevel="1" x14ac:dyDescent="0.3">
      <c r="A792" s="58" t="s">
        <v>4039</v>
      </c>
      <c r="B792" s="58" t="s">
        <v>940</v>
      </c>
      <c r="C792" s="60" t="s">
        <v>825</v>
      </c>
      <c r="D792" s="494">
        <v>249.15227087960301</v>
      </c>
      <c r="E792" s="494">
        <v>282.49066082326135</v>
      </c>
      <c r="F792" s="494">
        <v>301.99448947266313</v>
      </c>
      <c r="G792" s="494">
        <v>322.84490894696728</v>
      </c>
      <c r="H792" s="494">
        <v>335.93110059303979</v>
      </c>
      <c r="I792" s="431"/>
      <c r="J792" s="538"/>
      <c r="L792" s="37"/>
      <c r="M792" s="41"/>
      <c r="N792" s="37"/>
      <c r="O792" s="37"/>
      <c r="P792" s="37"/>
      <c r="Q792" s="37"/>
      <c r="R792" s="37"/>
    </row>
    <row r="793" spans="1:18" hidden="1" outlineLevel="1" x14ac:dyDescent="0.3">
      <c r="A793" s="58" t="s">
        <v>4039</v>
      </c>
      <c r="B793" s="58" t="s">
        <v>940</v>
      </c>
      <c r="C793" s="60" t="s">
        <v>827</v>
      </c>
      <c r="D793" s="494">
        <v>249.15227087960301</v>
      </c>
      <c r="E793" s="494">
        <v>282.49066082326135</v>
      </c>
      <c r="F793" s="494">
        <v>301.99448947266313</v>
      </c>
      <c r="G793" s="494">
        <v>322.84490894696728</v>
      </c>
      <c r="H793" s="494">
        <v>335.93110059303979</v>
      </c>
      <c r="I793" s="431"/>
      <c r="J793" s="538"/>
      <c r="L793" s="37"/>
      <c r="M793" s="41"/>
      <c r="N793" s="37"/>
      <c r="O793" s="37"/>
      <c r="P793" s="37"/>
      <c r="Q793" s="37"/>
      <c r="R793" s="37"/>
    </row>
    <row r="794" spans="1:18" hidden="1" outlineLevel="1" x14ac:dyDescent="0.3">
      <c r="A794" s="58" t="s">
        <v>4039</v>
      </c>
      <c r="B794" s="58" t="s">
        <v>940</v>
      </c>
      <c r="C794" s="60" t="s">
        <v>829</v>
      </c>
      <c r="D794" s="494">
        <v>249.15227087960301</v>
      </c>
      <c r="E794" s="494">
        <v>282.49066082326135</v>
      </c>
      <c r="F794" s="494">
        <v>301.99448947266313</v>
      </c>
      <c r="G794" s="494">
        <v>322.84490894696728</v>
      </c>
      <c r="H794" s="494">
        <v>335.93110059303979</v>
      </c>
      <c r="I794" s="431"/>
      <c r="J794" s="538"/>
      <c r="L794" s="37"/>
      <c r="M794" s="41"/>
      <c r="N794" s="37"/>
      <c r="O794" s="37"/>
      <c r="P794" s="37"/>
      <c r="Q794" s="37"/>
      <c r="R794" s="37"/>
    </row>
    <row r="795" spans="1:18" hidden="1" outlineLevel="1" x14ac:dyDescent="0.3">
      <c r="A795" s="58" t="s">
        <v>4039</v>
      </c>
      <c r="B795" s="58" t="s">
        <v>940</v>
      </c>
      <c r="C795" s="60" t="s">
        <v>833</v>
      </c>
      <c r="D795" s="494">
        <v>0</v>
      </c>
      <c r="E795" s="494">
        <v>0</v>
      </c>
      <c r="F795" s="494">
        <v>0</v>
      </c>
      <c r="G795" s="494">
        <v>0</v>
      </c>
      <c r="H795" s="494">
        <v>0</v>
      </c>
      <c r="I795" s="431"/>
      <c r="J795" s="538"/>
      <c r="L795" s="37"/>
      <c r="M795" s="41"/>
      <c r="N795" s="37"/>
      <c r="O795" s="37"/>
      <c r="P795" s="37"/>
      <c r="Q795" s="37"/>
      <c r="R795" s="37"/>
    </row>
    <row r="796" spans="1:18" hidden="1" outlineLevel="1" x14ac:dyDescent="0.3">
      <c r="A796" s="58" t="s">
        <v>4039</v>
      </c>
      <c r="B796" s="58" t="s">
        <v>940</v>
      </c>
      <c r="C796" s="60" t="s">
        <v>836</v>
      </c>
      <c r="D796" s="494">
        <v>249.15227087960301</v>
      </c>
      <c r="E796" s="494">
        <v>282.49066082326135</v>
      </c>
      <c r="F796" s="494">
        <v>301.99448947266313</v>
      </c>
      <c r="G796" s="494">
        <v>322.84490894696728</v>
      </c>
      <c r="H796" s="494">
        <v>335.93110059303979</v>
      </c>
      <c r="I796" s="431"/>
      <c r="J796" s="538"/>
      <c r="L796" s="37"/>
      <c r="M796" s="41"/>
      <c r="N796" s="37"/>
      <c r="O796" s="37"/>
      <c r="P796" s="37"/>
      <c r="Q796" s="37"/>
      <c r="R796" s="37"/>
    </row>
    <row r="797" spans="1:18" hidden="1" outlineLevel="1" x14ac:dyDescent="0.3">
      <c r="A797" s="58" t="s">
        <v>4039</v>
      </c>
      <c r="B797" s="58" t="s">
        <v>940</v>
      </c>
      <c r="C797" s="60" t="s">
        <v>837</v>
      </c>
      <c r="D797" s="494">
        <v>249.15227087960301</v>
      </c>
      <c r="E797" s="494">
        <v>282.49066082326135</v>
      </c>
      <c r="F797" s="494">
        <v>301.99448947266313</v>
      </c>
      <c r="G797" s="494">
        <v>322.84490894696728</v>
      </c>
      <c r="H797" s="494">
        <v>335.93110059303979</v>
      </c>
      <c r="I797" s="431"/>
      <c r="J797" s="538"/>
      <c r="L797" s="37"/>
      <c r="M797" s="41"/>
      <c r="N797" s="37"/>
      <c r="O797" s="37"/>
      <c r="P797" s="37"/>
      <c r="Q797" s="37"/>
      <c r="R797" s="37"/>
    </row>
    <row r="798" spans="1:18" hidden="1" outlineLevel="1" x14ac:dyDescent="0.3">
      <c r="A798" s="58" t="s">
        <v>4039</v>
      </c>
      <c r="B798" s="58" t="s">
        <v>940</v>
      </c>
      <c r="C798" s="60" t="s">
        <v>839</v>
      </c>
      <c r="D798" s="494">
        <v>249.15227087960301</v>
      </c>
      <c r="E798" s="494">
        <v>282.49066082326135</v>
      </c>
      <c r="F798" s="494">
        <v>301.99448947266313</v>
      </c>
      <c r="G798" s="494">
        <v>322.84490894696728</v>
      </c>
      <c r="H798" s="494">
        <v>335.93110059303979</v>
      </c>
      <c r="I798" s="431"/>
      <c r="J798" s="538"/>
      <c r="L798" s="37"/>
      <c r="M798" s="41"/>
      <c r="N798" s="37"/>
      <c r="O798" s="37"/>
      <c r="P798" s="37"/>
      <c r="Q798" s="37"/>
      <c r="R798" s="37"/>
    </row>
    <row r="799" spans="1:18" hidden="1" outlineLevel="1" x14ac:dyDescent="0.3">
      <c r="A799" s="58" t="s">
        <v>4039</v>
      </c>
      <c r="B799" s="58" t="s">
        <v>940</v>
      </c>
      <c r="C799" s="60" t="s">
        <v>840</v>
      </c>
      <c r="D799" s="494">
        <v>0</v>
      </c>
      <c r="E799" s="494">
        <v>0</v>
      </c>
      <c r="F799" s="494">
        <v>0</v>
      </c>
      <c r="G799" s="494">
        <v>0</v>
      </c>
      <c r="H799" s="494">
        <v>0</v>
      </c>
      <c r="I799" s="431"/>
      <c r="J799" s="538"/>
      <c r="L799" s="37"/>
      <c r="M799" s="41"/>
      <c r="N799" s="37"/>
      <c r="O799" s="37"/>
      <c r="P799" s="37"/>
      <c r="Q799" s="37"/>
      <c r="R799" s="37"/>
    </row>
    <row r="800" spans="1:18" collapsed="1" x14ac:dyDescent="0.3">
      <c r="A800" s="58"/>
      <c r="B800" s="58"/>
      <c r="C800" s="58"/>
      <c r="D800" s="438"/>
      <c r="E800" s="494"/>
      <c r="F800" s="494"/>
      <c r="G800" s="494"/>
      <c r="H800" s="494"/>
      <c r="I800" s="494"/>
      <c r="J800" s="538"/>
      <c r="L800" s="41"/>
      <c r="M800" s="41"/>
      <c r="N800" s="42"/>
      <c r="O800" s="42"/>
    </row>
    <row r="801" spans="1:15" x14ac:dyDescent="0.3">
      <c r="A801" s="70">
        <v>89</v>
      </c>
      <c r="B801" s="70"/>
      <c r="C801" s="70"/>
      <c r="D801" s="206"/>
      <c r="E801" s="206"/>
      <c r="F801" s="488"/>
      <c r="G801" s="488"/>
      <c r="H801" s="488"/>
      <c r="I801" s="488"/>
      <c r="J801" s="538"/>
      <c r="L801" s="41"/>
      <c r="M801" s="41"/>
      <c r="N801" s="42"/>
      <c r="O801" s="42"/>
    </row>
    <row r="802" spans="1:15" ht="25.8" x14ac:dyDescent="0.5">
      <c r="A802" s="570" t="s">
        <v>4040</v>
      </c>
      <c r="B802" s="570"/>
      <c r="C802" s="570"/>
      <c r="D802" s="570"/>
      <c r="E802" s="570"/>
      <c r="F802" s="570"/>
      <c r="G802" s="570"/>
      <c r="H802" s="570"/>
      <c r="I802" s="570"/>
      <c r="J802" s="538"/>
    </row>
    <row r="803" spans="1:15" ht="136.19999999999999" customHeight="1" x14ac:dyDescent="0.3">
      <c r="A803" s="572" t="s">
        <v>4041</v>
      </c>
      <c r="B803" s="572"/>
      <c r="C803" s="572"/>
      <c r="D803" s="572"/>
      <c r="E803" s="572"/>
      <c r="F803" s="572"/>
      <c r="G803" s="572"/>
      <c r="H803" s="572"/>
      <c r="I803" s="572"/>
      <c r="J803" s="538"/>
    </row>
    <row r="804" spans="1:15" x14ac:dyDescent="0.3">
      <c r="A804" s="65" t="s">
        <v>4042</v>
      </c>
      <c r="B804" s="65"/>
      <c r="C804" s="64" t="s">
        <v>4032</v>
      </c>
      <c r="D804" s="473" t="e">
        <v>#N/A</v>
      </c>
      <c r="E804" s="473" t="e">
        <v>#N/A</v>
      </c>
      <c r="F804" s="473" t="e">
        <v>#N/A</v>
      </c>
      <c r="G804" s="473" t="e">
        <v>#N/A</v>
      </c>
      <c r="H804" s="473" t="e">
        <v>#N/A</v>
      </c>
      <c r="I804" s="224"/>
      <c r="J804" s="538"/>
    </row>
    <row r="805" spans="1:15" x14ac:dyDescent="0.3">
      <c r="A805" s="122" t="s">
        <v>5</v>
      </c>
      <c r="B805" s="122" t="s">
        <v>847</v>
      </c>
      <c r="C805" s="122" t="s">
        <v>193</v>
      </c>
      <c r="D805" s="495">
        <v>2025</v>
      </c>
      <c r="E805" s="495">
        <v>2030</v>
      </c>
      <c r="F805" s="495">
        <v>2035</v>
      </c>
      <c r="G805" s="495">
        <v>2040</v>
      </c>
      <c r="H805" s="495">
        <v>2045</v>
      </c>
      <c r="I805" s="315" t="s">
        <v>153</v>
      </c>
      <c r="J805" s="538"/>
    </row>
    <row r="806" spans="1:15" s="37" customFormat="1" hidden="1" outlineLevel="1" x14ac:dyDescent="0.3">
      <c r="A806" s="63" t="s">
        <v>4042</v>
      </c>
      <c r="B806" s="63" t="s">
        <v>855</v>
      </c>
      <c r="C806" s="65" t="s">
        <v>747</v>
      </c>
      <c r="D806" s="496">
        <v>18.376815071730913</v>
      </c>
      <c r="E806" s="496">
        <v>22.011494854550879</v>
      </c>
      <c r="F806" s="496">
        <v>23.284916385015077</v>
      </c>
      <c r="G806" s="496">
        <v>24.632008622760406</v>
      </c>
      <c r="H806" s="496">
        <v>25.629337939305561</v>
      </c>
      <c r="I806" s="66"/>
      <c r="J806" s="538"/>
      <c r="K806" s="538"/>
    </row>
    <row r="807" spans="1:15" s="37" customFormat="1" hidden="1" outlineLevel="1" x14ac:dyDescent="0.3">
      <c r="A807" s="63" t="s">
        <v>4042</v>
      </c>
      <c r="B807" s="63" t="s">
        <v>855</v>
      </c>
      <c r="C807" s="65" t="s">
        <v>751</v>
      </c>
      <c r="D807" s="496">
        <v>32.859978064109413</v>
      </c>
      <c r="E807" s="496">
        <v>39.359227116098509</v>
      </c>
      <c r="F807" s="496">
        <v>41.636259528629438</v>
      </c>
      <c r="G807" s="496">
        <v>44.045024116500656</v>
      </c>
      <c r="H807" s="496">
        <v>45.828370106349603</v>
      </c>
      <c r="I807" s="66"/>
      <c r="J807" s="538"/>
      <c r="K807" s="538"/>
    </row>
    <row r="808" spans="1:15" s="37" customFormat="1" hidden="1" outlineLevel="1" x14ac:dyDescent="0.3">
      <c r="A808" s="63" t="s">
        <v>4042</v>
      </c>
      <c r="B808" s="63" t="s">
        <v>855</v>
      </c>
      <c r="C808" s="65" t="s">
        <v>755</v>
      </c>
      <c r="D808" s="496">
        <v>23.898165864806842</v>
      </c>
      <c r="E808" s="496">
        <v>28.624892448071638</v>
      </c>
      <c r="F808" s="496">
        <v>30.280916020821401</v>
      </c>
      <c r="G808" s="496">
        <v>32.032744812000473</v>
      </c>
      <c r="H808" s="496">
        <v>33.329723713708802</v>
      </c>
      <c r="I808" s="66"/>
      <c r="J808" s="538"/>
      <c r="K808" s="538"/>
    </row>
    <row r="809" spans="1:15" s="37" customFormat="1" hidden="1" outlineLevel="1" x14ac:dyDescent="0.3">
      <c r="A809" s="63" t="s">
        <v>4042</v>
      </c>
      <c r="B809" s="63" t="s">
        <v>855</v>
      </c>
      <c r="C809" s="65" t="s">
        <v>758</v>
      </c>
      <c r="D809" s="496">
        <v>26.885436597907702</v>
      </c>
      <c r="E809" s="496">
        <v>32.203004004080597</v>
      </c>
      <c r="F809" s="496">
        <v>34.066030523424082</v>
      </c>
      <c r="G809" s="496">
        <v>36.036837913500534</v>
      </c>
      <c r="H809" s="496">
        <v>37.495939177922402</v>
      </c>
      <c r="I809" s="66"/>
      <c r="J809" s="538"/>
      <c r="K809" s="538"/>
    </row>
    <row r="810" spans="1:15" s="37" customFormat="1" hidden="1" outlineLevel="1" x14ac:dyDescent="0.3">
      <c r="A810" s="63" t="s">
        <v>4042</v>
      </c>
      <c r="B810" s="63" t="s">
        <v>855</v>
      </c>
      <c r="C810" s="65" t="s">
        <v>761</v>
      </c>
      <c r="D810" s="496">
        <v>2.9872707331008552</v>
      </c>
      <c r="E810" s="496">
        <v>3.5781115560089547</v>
      </c>
      <c r="F810" s="496">
        <v>3.7851145026026751</v>
      </c>
      <c r="G810" s="496">
        <v>4.0040931015000591</v>
      </c>
      <c r="H810" s="496">
        <v>4.1662154642136002</v>
      </c>
      <c r="I810" s="66"/>
      <c r="J810" s="538"/>
      <c r="K810" s="538"/>
    </row>
    <row r="811" spans="1:15" s="37" customFormat="1" hidden="1" outlineLevel="1" x14ac:dyDescent="0.3">
      <c r="A811" s="63" t="s">
        <v>4042</v>
      </c>
      <c r="B811" s="63" t="s">
        <v>855</v>
      </c>
      <c r="C811" s="65" t="s">
        <v>763</v>
      </c>
      <c r="D811" s="496">
        <v>4.4809060996512828</v>
      </c>
      <c r="E811" s="496">
        <v>5.3671673340134332</v>
      </c>
      <c r="F811" s="496">
        <v>5.6776717539040131</v>
      </c>
      <c r="G811" s="496">
        <v>6.0061396522500887</v>
      </c>
      <c r="H811" s="496">
        <v>6.2493231963204003</v>
      </c>
      <c r="I811" s="66"/>
      <c r="J811" s="538"/>
      <c r="K811" s="538"/>
    </row>
    <row r="812" spans="1:15" s="37" customFormat="1" hidden="1" outlineLevel="1" x14ac:dyDescent="0.3">
      <c r="A812" s="63" t="s">
        <v>4042</v>
      </c>
      <c r="B812" s="63" t="s">
        <v>855</v>
      </c>
      <c r="C812" s="65" t="s">
        <v>765</v>
      </c>
      <c r="D812" s="496">
        <v>0</v>
      </c>
      <c r="E812" s="496">
        <v>0</v>
      </c>
      <c r="F812" s="496">
        <v>0</v>
      </c>
      <c r="G812" s="496">
        <v>0</v>
      </c>
      <c r="H812" s="496">
        <v>0</v>
      </c>
      <c r="I812" s="66"/>
      <c r="J812" s="538"/>
      <c r="K812" s="538"/>
    </row>
    <row r="813" spans="1:15" s="37" customFormat="1" hidden="1" outlineLevel="1" x14ac:dyDescent="0.3">
      <c r="A813" s="63" t="s">
        <v>4042</v>
      </c>
      <c r="B813" s="63" t="s">
        <v>855</v>
      </c>
      <c r="C813" s="65" t="s">
        <v>768</v>
      </c>
      <c r="D813" s="496">
        <v>0</v>
      </c>
      <c r="E813" s="496">
        <v>0</v>
      </c>
      <c r="F813" s="496">
        <v>0</v>
      </c>
      <c r="G813" s="496">
        <v>0</v>
      </c>
      <c r="H813" s="496">
        <v>0</v>
      </c>
      <c r="I813" s="66"/>
      <c r="J813" s="538"/>
      <c r="K813" s="538"/>
    </row>
    <row r="814" spans="1:15" s="37" customFormat="1" hidden="1" outlineLevel="1" x14ac:dyDescent="0.3">
      <c r="A814" s="63" t="s">
        <v>4042</v>
      </c>
      <c r="B814" s="63" t="s">
        <v>855</v>
      </c>
      <c r="C814" s="65" t="s">
        <v>771</v>
      </c>
      <c r="D814" s="496">
        <v>17.923624398605131</v>
      </c>
      <c r="E814" s="496">
        <v>21.468669336053733</v>
      </c>
      <c r="F814" s="496">
        <v>22.710687015616053</v>
      </c>
      <c r="G814" s="496">
        <v>24.024558609000355</v>
      </c>
      <c r="H814" s="496">
        <v>24.997292785281601</v>
      </c>
      <c r="I814" s="66"/>
      <c r="J814" s="538"/>
      <c r="K814" s="538"/>
    </row>
    <row r="815" spans="1:15" s="37" customFormat="1" hidden="1" outlineLevel="1" x14ac:dyDescent="0.3">
      <c r="A815" s="63" t="s">
        <v>4042</v>
      </c>
      <c r="B815" s="63" t="s">
        <v>855</v>
      </c>
      <c r="C815" s="65" t="s">
        <v>772</v>
      </c>
      <c r="D815" s="496">
        <v>26.885436597907702</v>
      </c>
      <c r="E815" s="496">
        <v>32.203004004080597</v>
      </c>
      <c r="F815" s="496">
        <v>34.066030523424082</v>
      </c>
      <c r="G815" s="496">
        <v>36.036837913500534</v>
      </c>
      <c r="H815" s="496">
        <v>37.495939177922402</v>
      </c>
      <c r="I815" s="66"/>
      <c r="J815" s="538"/>
      <c r="K815" s="538"/>
    </row>
    <row r="816" spans="1:15" s="37" customFormat="1" hidden="1" outlineLevel="1" x14ac:dyDescent="0.3">
      <c r="A816" s="63" t="s">
        <v>4042</v>
      </c>
      <c r="B816" s="63" t="s">
        <v>855</v>
      </c>
      <c r="C816" s="65" t="s">
        <v>774</v>
      </c>
      <c r="D816" s="496">
        <v>29.872707331008556</v>
      </c>
      <c r="E816" s="496">
        <v>35.781115560089546</v>
      </c>
      <c r="F816" s="496">
        <v>37.851145026026749</v>
      </c>
      <c r="G816" s="496">
        <v>40.040931015000595</v>
      </c>
      <c r="H816" s="496">
        <v>41.662154642136002</v>
      </c>
      <c r="I816" s="66"/>
      <c r="J816" s="538"/>
      <c r="K816" s="538"/>
    </row>
    <row r="817" spans="1:11" s="37" customFormat="1" hidden="1" outlineLevel="1" x14ac:dyDescent="0.3">
      <c r="A817" s="63" t="s">
        <v>4042</v>
      </c>
      <c r="B817" s="63" t="s">
        <v>855</v>
      </c>
      <c r="C817" s="65" t="s">
        <v>775</v>
      </c>
      <c r="D817" s="496">
        <v>17.923624398605131</v>
      </c>
      <c r="E817" s="496">
        <v>21.468669336053733</v>
      </c>
      <c r="F817" s="496">
        <v>22.710687015616053</v>
      </c>
      <c r="G817" s="496">
        <v>24.024558609000355</v>
      </c>
      <c r="H817" s="496">
        <v>24.997292785281601</v>
      </c>
      <c r="I817" s="66"/>
      <c r="J817" s="538"/>
      <c r="K817" s="538"/>
    </row>
    <row r="818" spans="1:11" s="37" customFormat="1" hidden="1" outlineLevel="1" x14ac:dyDescent="0.3">
      <c r="A818" s="63" t="s">
        <v>4042</v>
      </c>
      <c r="B818" s="63" t="s">
        <v>855</v>
      </c>
      <c r="C818" s="65" t="s">
        <v>779</v>
      </c>
      <c r="D818" s="496">
        <v>8.9618121993025657</v>
      </c>
      <c r="E818" s="496">
        <v>10.734334668026866</v>
      </c>
      <c r="F818" s="496">
        <v>11.355343507808026</v>
      </c>
      <c r="G818" s="496">
        <v>12.012279304500177</v>
      </c>
      <c r="H818" s="496">
        <v>12.498646392640801</v>
      </c>
      <c r="I818" s="66"/>
      <c r="J818" s="538"/>
      <c r="K818" s="538"/>
    </row>
    <row r="819" spans="1:11" s="37" customFormat="1" hidden="1" outlineLevel="1" x14ac:dyDescent="0.3">
      <c r="A819" s="63" t="s">
        <v>4042</v>
      </c>
      <c r="B819" s="63" t="s">
        <v>894</v>
      </c>
      <c r="C819" s="65" t="s">
        <v>781</v>
      </c>
      <c r="D819" s="496">
        <v>92.605392726126524</v>
      </c>
      <c r="E819" s="496">
        <v>110.92145823627762</v>
      </c>
      <c r="F819" s="496">
        <v>117.33854958068294</v>
      </c>
      <c r="G819" s="496">
        <v>124.12688614650183</v>
      </c>
      <c r="H819" s="496">
        <v>129.15267939062161</v>
      </c>
      <c r="I819" s="66"/>
      <c r="J819" s="538"/>
      <c r="K819" s="538"/>
    </row>
    <row r="820" spans="1:11" s="37" customFormat="1" hidden="1" outlineLevel="1" x14ac:dyDescent="0.3">
      <c r="A820" s="63" t="s">
        <v>4042</v>
      </c>
      <c r="B820" s="63" t="s">
        <v>894</v>
      </c>
      <c r="C820" s="65" t="s">
        <v>783</v>
      </c>
      <c r="D820" s="496">
        <v>89.618121993025667</v>
      </c>
      <c r="E820" s="496">
        <v>107.34334668026867</v>
      </c>
      <c r="F820" s="496">
        <v>113.55343507808027</v>
      </c>
      <c r="G820" s="496">
        <v>120.12279304500179</v>
      </c>
      <c r="H820" s="496">
        <v>124.98646392640802</v>
      </c>
      <c r="I820" s="66"/>
      <c r="J820" s="538"/>
      <c r="K820" s="538"/>
    </row>
    <row r="821" spans="1:11" s="37" customFormat="1" hidden="1" outlineLevel="1" x14ac:dyDescent="0.3">
      <c r="A821" s="63" t="s">
        <v>4042</v>
      </c>
      <c r="B821" s="63" t="s">
        <v>894</v>
      </c>
      <c r="C821" s="65" t="s">
        <v>785</v>
      </c>
      <c r="D821" s="496">
        <v>38.83451953031112</v>
      </c>
      <c r="E821" s="496">
        <v>46.515450228116414</v>
      </c>
      <c r="F821" s="496">
        <v>49.206488533834779</v>
      </c>
      <c r="G821" s="496">
        <v>52.053210319500778</v>
      </c>
      <c r="H821" s="496">
        <v>54.160801034776803</v>
      </c>
      <c r="I821" s="66"/>
      <c r="J821" s="538"/>
      <c r="K821" s="538"/>
    </row>
    <row r="822" spans="1:11" s="37" customFormat="1" hidden="1" outlineLevel="1" x14ac:dyDescent="0.3">
      <c r="A822" s="63" t="s">
        <v>4042</v>
      </c>
      <c r="B822" s="63" t="s">
        <v>894</v>
      </c>
      <c r="C822" s="65" t="s">
        <v>787</v>
      </c>
      <c r="D822" s="496">
        <v>86.630851259924796</v>
      </c>
      <c r="E822" s="496">
        <v>103.76523512425969</v>
      </c>
      <c r="F822" s="496">
        <v>109.76832057547759</v>
      </c>
      <c r="G822" s="496">
        <v>116.11869994350172</v>
      </c>
      <c r="H822" s="496">
        <v>120.8202484621944</v>
      </c>
      <c r="I822" s="66"/>
      <c r="J822" s="538"/>
      <c r="K822" s="538"/>
    </row>
    <row r="823" spans="1:11" s="37" customFormat="1" hidden="1" outlineLevel="1" x14ac:dyDescent="0.3">
      <c r="A823" s="63" t="s">
        <v>4042</v>
      </c>
      <c r="B823" s="63" t="s">
        <v>894</v>
      </c>
      <c r="C823" s="65" t="s">
        <v>788</v>
      </c>
      <c r="D823" s="496">
        <v>29.872707331008556</v>
      </c>
      <c r="E823" s="496">
        <v>35.781115560089546</v>
      </c>
      <c r="F823" s="496">
        <v>37.851145026026749</v>
      </c>
      <c r="G823" s="496">
        <v>40.040931015000595</v>
      </c>
      <c r="H823" s="496">
        <v>41.662154642136002</v>
      </c>
      <c r="I823" s="66"/>
      <c r="J823" s="538"/>
      <c r="K823" s="538"/>
    </row>
    <row r="824" spans="1:11" s="37" customFormat="1" hidden="1" outlineLevel="1" x14ac:dyDescent="0.3">
      <c r="A824" s="63" t="s">
        <v>4042</v>
      </c>
      <c r="B824" s="63" t="s">
        <v>894</v>
      </c>
      <c r="C824" s="65" t="s">
        <v>789</v>
      </c>
      <c r="D824" s="496">
        <v>11.949082932403421</v>
      </c>
      <c r="E824" s="496">
        <v>14.312446224035819</v>
      </c>
      <c r="F824" s="496">
        <v>15.1404580104107</v>
      </c>
      <c r="G824" s="496">
        <v>16.016372406000237</v>
      </c>
      <c r="H824" s="496">
        <v>16.664861856854401</v>
      </c>
      <c r="I824" s="66"/>
      <c r="J824" s="538"/>
      <c r="K824" s="538"/>
    </row>
    <row r="825" spans="1:11" s="37" customFormat="1" hidden="1" outlineLevel="1" x14ac:dyDescent="0.3">
      <c r="A825" s="63" t="s">
        <v>4042</v>
      </c>
      <c r="B825" s="63" t="s">
        <v>894</v>
      </c>
      <c r="C825" s="65" t="s">
        <v>790</v>
      </c>
      <c r="D825" s="496">
        <v>53.770873195815405</v>
      </c>
      <c r="E825" s="496">
        <v>64.406008008161194</v>
      </c>
      <c r="F825" s="496">
        <v>68.132061046848165</v>
      </c>
      <c r="G825" s="496">
        <v>72.073675827001068</v>
      </c>
      <c r="H825" s="496">
        <v>74.991878355844804</v>
      </c>
      <c r="I825" s="66"/>
      <c r="J825" s="538"/>
      <c r="K825" s="538"/>
    </row>
    <row r="826" spans="1:11" s="37" customFormat="1" hidden="1" outlineLevel="1" x14ac:dyDescent="0.3">
      <c r="A826" s="63" t="s">
        <v>4042</v>
      </c>
      <c r="B826" s="63" t="s">
        <v>894</v>
      </c>
      <c r="C826" s="65" t="s">
        <v>793</v>
      </c>
      <c r="D826" s="496">
        <v>53.770873195815405</v>
      </c>
      <c r="E826" s="496">
        <v>64.406008008161194</v>
      </c>
      <c r="F826" s="496">
        <v>68.132061046848165</v>
      </c>
      <c r="G826" s="496">
        <v>72.073675827001068</v>
      </c>
      <c r="H826" s="496">
        <v>74.991878355844804</v>
      </c>
      <c r="I826" s="66"/>
      <c r="J826" s="538"/>
      <c r="K826" s="538"/>
    </row>
    <row r="827" spans="1:11" s="37" customFormat="1" hidden="1" outlineLevel="1" x14ac:dyDescent="0.3">
      <c r="A827" s="63" t="s">
        <v>4042</v>
      </c>
      <c r="B827" s="63" t="s">
        <v>894</v>
      </c>
      <c r="C827" s="65" t="s">
        <v>795</v>
      </c>
      <c r="D827" s="496">
        <v>68.707226861319683</v>
      </c>
      <c r="E827" s="496">
        <v>82.296565788205967</v>
      </c>
      <c r="F827" s="496">
        <v>87.057633559861557</v>
      </c>
      <c r="G827" s="496">
        <v>92.094141334501359</v>
      </c>
      <c r="H827" s="496">
        <v>95.822955676912812</v>
      </c>
      <c r="I827" s="66"/>
      <c r="J827" s="538"/>
      <c r="K827" s="538"/>
    </row>
    <row r="828" spans="1:11" s="37" customFormat="1" hidden="1" outlineLevel="1" x14ac:dyDescent="0.3">
      <c r="A828" s="63" t="s">
        <v>4042</v>
      </c>
      <c r="B828" s="63" t="s">
        <v>894</v>
      </c>
      <c r="C828" s="65" t="s">
        <v>797</v>
      </c>
      <c r="D828" s="496">
        <v>26.885436597907702</v>
      </c>
      <c r="E828" s="496">
        <v>32.203004004080597</v>
      </c>
      <c r="F828" s="496">
        <v>34.066030523424082</v>
      </c>
      <c r="G828" s="496">
        <v>36.036837913500534</v>
      </c>
      <c r="H828" s="496">
        <v>37.495939177922402</v>
      </c>
      <c r="I828" s="66"/>
      <c r="J828" s="538"/>
      <c r="K828" s="538"/>
    </row>
    <row r="829" spans="1:11" s="37" customFormat="1" hidden="1" outlineLevel="1" x14ac:dyDescent="0.3">
      <c r="A829" s="63" t="s">
        <v>4042</v>
      </c>
      <c r="B829" s="63" t="s">
        <v>915</v>
      </c>
      <c r="C829" s="65" t="s">
        <v>799</v>
      </c>
      <c r="D829" s="496">
        <v>0</v>
      </c>
      <c r="E829" s="496">
        <v>0</v>
      </c>
      <c r="F829" s="496">
        <v>0</v>
      </c>
      <c r="G829" s="496">
        <v>0</v>
      </c>
      <c r="H829" s="496">
        <v>0</v>
      </c>
      <c r="I829" s="66"/>
      <c r="J829" s="538"/>
      <c r="K829" s="538"/>
    </row>
    <row r="830" spans="1:11" s="37" customFormat="1" hidden="1" outlineLevel="1" x14ac:dyDescent="0.3">
      <c r="A830" s="63" t="s">
        <v>4042</v>
      </c>
      <c r="B830" s="63" t="s">
        <v>915</v>
      </c>
      <c r="C830" s="65" t="s">
        <v>801</v>
      </c>
      <c r="D830" s="496">
        <v>0</v>
      </c>
      <c r="E830" s="496">
        <v>0</v>
      </c>
      <c r="F830" s="496">
        <v>0</v>
      </c>
      <c r="G830" s="496">
        <v>0</v>
      </c>
      <c r="H830" s="496">
        <v>0</v>
      </c>
      <c r="I830" s="66"/>
      <c r="J830" s="538"/>
      <c r="K830" s="538"/>
    </row>
    <row r="831" spans="1:11" s="37" customFormat="1" hidden="1" outlineLevel="1" x14ac:dyDescent="0.3">
      <c r="A831" s="63" t="s">
        <v>4042</v>
      </c>
      <c r="B831" s="63" t="s">
        <v>915</v>
      </c>
      <c r="C831" s="65" t="s">
        <v>804</v>
      </c>
      <c r="D831" s="496">
        <v>8.9618121993025657</v>
      </c>
      <c r="E831" s="496">
        <v>10.734334668026866</v>
      </c>
      <c r="F831" s="496">
        <v>11.355343507808026</v>
      </c>
      <c r="G831" s="496">
        <v>12.012279304500177</v>
      </c>
      <c r="H831" s="496">
        <v>12.498646392640801</v>
      </c>
      <c r="I831" s="66"/>
      <c r="J831" s="538"/>
      <c r="K831" s="538"/>
    </row>
    <row r="832" spans="1:11" s="37" customFormat="1" hidden="1" outlineLevel="1" x14ac:dyDescent="0.3">
      <c r="A832" s="63" t="s">
        <v>4042</v>
      </c>
      <c r="B832" s="63" t="s">
        <v>915</v>
      </c>
      <c r="C832" s="65" t="s">
        <v>806</v>
      </c>
      <c r="D832" s="496">
        <v>9.5592663459227385</v>
      </c>
      <c r="E832" s="496">
        <v>11.449956979228658</v>
      </c>
      <c r="F832" s="496">
        <v>12.112366408328562</v>
      </c>
      <c r="G832" s="496">
        <v>12.813097924800191</v>
      </c>
      <c r="H832" s="496">
        <v>13.33188948548352</v>
      </c>
      <c r="I832" s="66"/>
      <c r="J832" s="538"/>
      <c r="K832" s="538"/>
    </row>
    <row r="833" spans="1:11" s="37" customFormat="1" hidden="1" outlineLevel="1" x14ac:dyDescent="0.3">
      <c r="A833" s="63" t="s">
        <v>4042</v>
      </c>
      <c r="B833" s="63" t="s">
        <v>915</v>
      </c>
      <c r="C833" s="65" t="s">
        <v>808</v>
      </c>
      <c r="D833" s="496">
        <v>85.734670039994541</v>
      </c>
      <c r="E833" s="496">
        <v>102.69180165745701</v>
      </c>
      <c r="F833" s="496">
        <v>108.63278622469679</v>
      </c>
      <c r="G833" s="496">
        <v>114.91747201305171</v>
      </c>
      <c r="H833" s="496">
        <v>119.57038382293032</v>
      </c>
      <c r="I833" s="66"/>
      <c r="J833" s="538"/>
      <c r="K833" s="538"/>
    </row>
    <row r="834" spans="1:11" s="37" customFormat="1" hidden="1" outlineLevel="1" x14ac:dyDescent="0.3">
      <c r="A834" s="63" t="s">
        <v>4042</v>
      </c>
      <c r="B834" s="63" t="s">
        <v>915</v>
      </c>
      <c r="C834" s="65" t="s">
        <v>811</v>
      </c>
      <c r="D834" s="496" t="e">
        <v>#N/A</v>
      </c>
      <c r="E834" s="496" t="e">
        <v>#N/A</v>
      </c>
      <c r="F834" s="496" t="e">
        <v>#N/A</v>
      </c>
      <c r="G834" s="496" t="e">
        <v>#N/A</v>
      </c>
      <c r="H834" s="496" t="e">
        <v>#N/A</v>
      </c>
      <c r="I834" s="66"/>
      <c r="J834" s="538"/>
      <c r="K834" s="538"/>
    </row>
    <row r="835" spans="1:11" s="37" customFormat="1" hidden="1" outlineLevel="1" x14ac:dyDescent="0.3">
      <c r="A835" s="63" t="s">
        <v>4042</v>
      </c>
      <c r="B835" s="63" t="s">
        <v>934</v>
      </c>
      <c r="C835" s="65" t="s">
        <v>814</v>
      </c>
      <c r="D835" s="496">
        <v>14.936353665504278</v>
      </c>
      <c r="E835" s="496">
        <v>17.890557780044773</v>
      </c>
      <c r="F835" s="496">
        <v>18.925572513013375</v>
      </c>
      <c r="G835" s="496">
        <v>20.020465507500298</v>
      </c>
      <c r="H835" s="496">
        <v>20.831077321068001</v>
      </c>
      <c r="I835" s="66"/>
      <c r="J835" s="538"/>
      <c r="K835" s="538"/>
    </row>
    <row r="836" spans="1:11" s="37" customFormat="1" hidden="1" outlineLevel="1" x14ac:dyDescent="0.3">
      <c r="A836" s="63" t="s">
        <v>4042</v>
      </c>
      <c r="B836" s="63" t="s">
        <v>934</v>
      </c>
      <c r="C836" s="65" t="s">
        <v>815</v>
      </c>
      <c r="D836" s="496">
        <v>0</v>
      </c>
      <c r="E836" s="496">
        <v>0</v>
      </c>
      <c r="F836" s="496">
        <v>0</v>
      </c>
      <c r="G836" s="496">
        <v>0</v>
      </c>
      <c r="H836" s="496">
        <v>0</v>
      </c>
      <c r="I836" s="66"/>
      <c r="J836" s="538"/>
      <c r="K836" s="538"/>
    </row>
    <row r="837" spans="1:11" s="37" customFormat="1" hidden="1" outlineLevel="1" x14ac:dyDescent="0.3">
      <c r="A837" s="63" t="s">
        <v>4042</v>
      </c>
      <c r="B837" s="63" t="s">
        <v>940</v>
      </c>
      <c r="C837" s="65" t="s">
        <v>817</v>
      </c>
      <c r="D837" s="496">
        <v>38.460478248174475</v>
      </c>
      <c r="E837" s="496">
        <v>43.606770580692803</v>
      </c>
      <c r="F837" s="496">
        <v>46.617485975251327</v>
      </c>
      <c r="G837" s="496">
        <v>49.836068337859196</v>
      </c>
      <c r="H837" s="496">
        <v>51.856122930893278</v>
      </c>
      <c r="I837" s="66"/>
      <c r="J837" s="538"/>
      <c r="K837" s="538"/>
    </row>
    <row r="838" spans="1:11" s="37" customFormat="1" hidden="1" outlineLevel="1" x14ac:dyDescent="0.3">
      <c r="A838" s="63" t="s">
        <v>4042</v>
      </c>
      <c r="B838" s="63" t="s">
        <v>940</v>
      </c>
      <c r="C838" s="65" t="s">
        <v>944</v>
      </c>
      <c r="D838" s="496">
        <v>6.5218068228940114</v>
      </c>
      <c r="E838" s="496">
        <v>7.3944721140079688</v>
      </c>
      <c r="F838" s="496">
        <v>7.9050040963541797</v>
      </c>
      <c r="G838" s="496">
        <v>8.4507844238127614</v>
      </c>
      <c r="H838" s="496">
        <v>8.7933284177396533</v>
      </c>
      <c r="I838" s="66"/>
      <c r="J838" s="538"/>
      <c r="K838" s="538"/>
    </row>
    <row r="839" spans="1:11" s="37" customFormat="1" hidden="1" outlineLevel="1" x14ac:dyDescent="0.3">
      <c r="A839" s="63" t="s">
        <v>4042</v>
      </c>
      <c r="B839" s="63" t="s">
        <v>940</v>
      </c>
      <c r="C839" s="65" t="s">
        <v>821</v>
      </c>
      <c r="D839" s="496">
        <v>0</v>
      </c>
      <c r="E839" s="496">
        <v>0</v>
      </c>
      <c r="F839" s="496">
        <v>0</v>
      </c>
      <c r="G839" s="496">
        <v>0</v>
      </c>
      <c r="H839" s="496">
        <v>0</v>
      </c>
      <c r="I839" s="66"/>
      <c r="J839" s="538"/>
      <c r="K839" s="538"/>
    </row>
    <row r="840" spans="1:11" s="37" customFormat="1" hidden="1" outlineLevel="1" x14ac:dyDescent="0.3">
      <c r="A840" s="63" t="s">
        <v>4042</v>
      </c>
      <c r="B840" s="63" t="s">
        <v>940</v>
      </c>
      <c r="C840" s="65" t="s">
        <v>823</v>
      </c>
      <c r="D840" s="496">
        <v>0</v>
      </c>
      <c r="E840" s="496">
        <v>0</v>
      </c>
      <c r="F840" s="496">
        <v>0</v>
      </c>
      <c r="G840" s="496">
        <v>0</v>
      </c>
      <c r="H840" s="496">
        <v>0</v>
      </c>
      <c r="I840" s="66"/>
      <c r="J840" s="538"/>
      <c r="K840" s="538"/>
    </row>
    <row r="841" spans="1:11" s="37" customFormat="1" hidden="1" outlineLevel="1" x14ac:dyDescent="0.3">
      <c r="A841" s="63" t="s">
        <v>4042</v>
      </c>
      <c r="B841" s="63" t="s">
        <v>940</v>
      </c>
      <c r="C841" s="65" t="s">
        <v>825</v>
      </c>
      <c r="D841" s="496">
        <v>0</v>
      </c>
      <c r="E841" s="496">
        <v>0</v>
      </c>
      <c r="F841" s="496">
        <v>0</v>
      </c>
      <c r="G841" s="496">
        <v>0</v>
      </c>
      <c r="H841" s="496">
        <v>0</v>
      </c>
      <c r="I841" s="66"/>
      <c r="J841" s="538"/>
      <c r="K841" s="538"/>
    </row>
    <row r="842" spans="1:11" s="37" customFormat="1" hidden="1" outlineLevel="1" x14ac:dyDescent="0.3">
      <c r="A842" s="63" t="s">
        <v>4042</v>
      </c>
      <c r="B842" s="63" t="s">
        <v>940</v>
      </c>
      <c r="C842" s="65" t="s">
        <v>827</v>
      </c>
      <c r="D842" s="496">
        <v>46.417477833124742</v>
      </c>
      <c r="E842" s="496">
        <v>52.628474709607616</v>
      </c>
      <c r="F842" s="496">
        <v>56.262070063960792</v>
      </c>
      <c r="G842" s="496">
        <v>60.14653750366373</v>
      </c>
      <c r="H842" s="496">
        <v>62.584516529530674</v>
      </c>
      <c r="I842" s="66"/>
      <c r="J842" s="538"/>
      <c r="K842" s="538"/>
    </row>
    <row r="843" spans="1:11" s="37" customFormat="1" hidden="1" outlineLevel="1" x14ac:dyDescent="0.3">
      <c r="A843" s="63" t="s">
        <v>4042</v>
      </c>
      <c r="B843" s="63" t="s">
        <v>940</v>
      </c>
      <c r="C843" s="65" t="s">
        <v>829</v>
      </c>
      <c r="D843" s="496">
        <v>58.117670420380129</v>
      </c>
      <c r="E843" s="496">
        <v>65.894238349106431</v>
      </c>
      <c r="F843" s="496">
        <v>70.44373364922852</v>
      </c>
      <c r="G843" s="496">
        <v>75.307336950359371</v>
      </c>
      <c r="H843" s="496">
        <v>78.359843638174723</v>
      </c>
      <c r="I843" s="66"/>
      <c r="J843" s="538"/>
      <c r="K843" s="538"/>
    </row>
    <row r="844" spans="1:11" s="37" customFormat="1" hidden="1" outlineLevel="1" x14ac:dyDescent="0.3">
      <c r="A844" s="63" t="s">
        <v>4042</v>
      </c>
      <c r="B844" s="63" t="s">
        <v>940</v>
      </c>
      <c r="C844" s="65" t="s">
        <v>833</v>
      </c>
      <c r="D844" s="496">
        <v>46.417477833124742</v>
      </c>
      <c r="E844" s="496">
        <v>52.628474709607616</v>
      </c>
      <c r="F844" s="496">
        <v>56.262070063960792</v>
      </c>
      <c r="G844" s="496">
        <v>60.14653750366373</v>
      </c>
      <c r="H844" s="496">
        <v>62.584516529530674</v>
      </c>
      <c r="I844" s="66"/>
      <c r="J844" s="538"/>
      <c r="K844" s="538"/>
    </row>
    <row r="845" spans="1:11" s="37" customFormat="1" hidden="1" outlineLevel="1" x14ac:dyDescent="0.3">
      <c r="A845" s="63" t="s">
        <v>4042</v>
      </c>
      <c r="B845" s="63" t="s">
        <v>940</v>
      </c>
      <c r="C845" s="65" t="s">
        <v>836</v>
      </c>
      <c r="D845" s="496">
        <v>58.117670420380129</v>
      </c>
      <c r="E845" s="496">
        <v>65.894238349106431</v>
      </c>
      <c r="F845" s="496">
        <v>70.44373364922852</v>
      </c>
      <c r="G845" s="496">
        <v>75.307336950359371</v>
      </c>
      <c r="H845" s="496">
        <v>78.359843638174723</v>
      </c>
      <c r="I845" s="66"/>
      <c r="J845" s="538"/>
      <c r="K845" s="538"/>
    </row>
    <row r="846" spans="1:11" s="37" customFormat="1" hidden="1" outlineLevel="1" x14ac:dyDescent="0.3">
      <c r="A846" s="63" t="s">
        <v>4042</v>
      </c>
      <c r="B846" s="63" t="s">
        <v>940</v>
      </c>
      <c r="C846" s="65" t="s">
        <v>837</v>
      </c>
      <c r="D846" s="496">
        <v>0</v>
      </c>
      <c r="E846" s="496">
        <v>0</v>
      </c>
      <c r="F846" s="496">
        <v>0</v>
      </c>
      <c r="G846" s="496">
        <v>0</v>
      </c>
      <c r="H846" s="496">
        <v>0</v>
      </c>
      <c r="I846" s="66"/>
      <c r="J846" s="538"/>
      <c r="K846" s="538"/>
    </row>
    <row r="847" spans="1:11" s="37" customFormat="1" hidden="1" outlineLevel="1" x14ac:dyDescent="0.3">
      <c r="A847" s="63" t="s">
        <v>4042</v>
      </c>
      <c r="B847" s="63" t="s">
        <v>940</v>
      </c>
      <c r="C847" s="65" t="s">
        <v>839</v>
      </c>
      <c r="D847" s="496">
        <v>58.117670420380129</v>
      </c>
      <c r="E847" s="496">
        <v>65.894238349106431</v>
      </c>
      <c r="F847" s="496">
        <v>70.44373364922852</v>
      </c>
      <c r="G847" s="496">
        <v>75.307336950359371</v>
      </c>
      <c r="H847" s="496">
        <v>78.359843638174723</v>
      </c>
      <c r="I847" s="66"/>
      <c r="J847" s="538"/>
      <c r="K847" s="538"/>
    </row>
    <row r="848" spans="1:11" s="37" customFormat="1" hidden="1" outlineLevel="1" x14ac:dyDescent="0.3">
      <c r="A848" s="63" t="s">
        <v>4042</v>
      </c>
      <c r="B848" s="63" t="s">
        <v>940</v>
      </c>
      <c r="C848" s="65" t="s">
        <v>840</v>
      </c>
      <c r="D848" s="496">
        <v>0</v>
      </c>
      <c r="E848" s="496">
        <v>0</v>
      </c>
      <c r="F848" s="496">
        <v>0</v>
      </c>
      <c r="G848" s="496">
        <v>0</v>
      </c>
      <c r="H848" s="496">
        <v>0</v>
      </c>
      <c r="I848" s="66"/>
      <c r="J848" s="538"/>
      <c r="K848" s="538"/>
    </row>
    <row r="849" spans="1:11" collapsed="1" x14ac:dyDescent="0.3">
      <c r="A849" s="65"/>
      <c r="B849" s="65"/>
      <c r="C849" s="65"/>
      <c r="D849" s="497"/>
      <c r="E849" s="497"/>
      <c r="F849" s="497"/>
      <c r="G849" s="473"/>
      <c r="H849" s="64"/>
      <c r="I849" s="63"/>
      <c r="J849" s="538"/>
    </row>
    <row r="850" spans="1:11" x14ac:dyDescent="0.3">
      <c r="A850" s="65" t="s">
        <v>4043</v>
      </c>
      <c r="B850" s="65"/>
      <c r="C850" s="64" t="s">
        <v>4032</v>
      </c>
      <c r="D850" s="473" t="e">
        <v>#N/A</v>
      </c>
      <c r="E850" s="473" t="e">
        <v>#N/A</v>
      </c>
      <c r="F850" s="473" t="e">
        <v>#N/A</v>
      </c>
      <c r="G850" s="473" t="e">
        <v>#N/A</v>
      </c>
      <c r="H850" s="473" t="e">
        <v>#N/A</v>
      </c>
      <c r="I850" s="224"/>
      <c r="J850" s="538"/>
    </row>
    <row r="851" spans="1:11" x14ac:dyDescent="0.3">
      <c r="A851" s="122" t="s">
        <v>5</v>
      </c>
      <c r="B851" s="122" t="s">
        <v>847</v>
      </c>
      <c r="C851" s="122" t="s">
        <v>193</v>
      </c>
      <c r="D851" s="495">
        <v>2025</v>
      </c>
      <c r="E851" s="495">
        <v>2030</v>
      </c>
      <c r="F851" s="495">
        <v>2035</v>
      </c>
      <c r="G851" s="495">
        <v>2040</v>
      </c>
      <c r="H851" s="495">
        <v>2045</v>
      </c>
      <c r="I851" s="315" t="s">
        <v>153</v>
      </c>
      <c r="J851" s="538"/>
    </row>
    <row r="852" spans="1:11" s="37" customFormat="1" hidden="1" outlineLevel="1" x14ac:dyDescent="0.3">
      <c r="A852" s="63" t="s">
        <v>4043</v>
      </c>
      <c r="B852" s="63" t="s">
        <v>855</v>
      </c>
      <c r="C852" s="65" t="s">
        <v>747</v>
      </c>
      <c r="D852" s="496">
        <v>18.376815071730913</v>
      </c>
      <c r="E852" s="496">
        <v>22.011494854550879</v>
      </c>
      <c r="F852" s="496">
        <v>23.284916385015077</v>
      </c>
      <c r="G852" s="496">
        <v>24.632008622760406</v>
      </c>
      <c r="H852" s="496">
        <v>25.629337939305561</v>
      </c>
      <c r="I852" s="66"/>
      <c r="J852" s="538"/>
      <c r="K852" s="538"/>
    </row>
    <row r="853" spans="1:11" s="37" customFormat="1" hidden="1" outlineLevel="1" x14ac:dyDescent="0.3">
      <c r="A853" s="63" t="s">
        <v>4043</v>
      </c>
      <c r="B853" s="63" t="s">
        <v>855</v>
      </c>
      <c r="C853" s="65" t="s">
        <v>751</v>
      </c>
      <c r="D853" s="496">
        <v>32.859978064109413</v>
      </c>
      <c r="E853" s="496">
        <v>39.359227116098509</v>
      </c>
      <c r="F853" s="496">
        <v>41.636259528629438</v>
      </c>
      <c r="G853" s="496">
        <v>44.045024116500656</v>
      </c>
      <c r="H853" s="496">
        <v>45.828370106349603</v>
      </c>
      <c r="I853" s="66"/>
      <c r="J853" s="538"/>
      <c r="K853" s="538"/>
    </row>
    <row r="854" spans="1:11" s="37" customFormat="1" hidden="1" outlineLevel="1" x14ac:dyDescent="0.3">
      <c r="A854" s="63" t="s">
        <v>4043</v>
      </c>
      <c r="B854" s="63" t="s">
        <v>855</v>
      </c>
      <c r="C854" s="65" t="s">
        <v>755</v>
      </c>
      <c r="D854" s="496">
        <v>23.898165864806842</v>
      </c>
      <c r="E854" s="496">
        <v>28.624892448071638</v>
      </c>
      <c r="F854" s="496">
        <v>30.280916020821401</v>
      </c>
      <c r="G854" s="496">
        <v>32.032744812000473</v>
      </c>
      <c r="H854" s="496">
        <v>33.329723713708802</v>
      </c>
      <c r="I854" s="66"/>
      <c r="J854" s="538"/>
      <c r="K854" s="538"/>
    </row>
    <row r="855" spans="1:11" s="37" customFormat="1" hidden="1" outlineLevel="1" x14ac:dyDescent="0.3">
      <c r="A855" s="63" t="s">
        <v>4043</v>
      </c>
      <c r="B855" s="63" t="s">
        <v>855</v>
      </c>
      <c r="C855" s="65" t="s">
        <v>758</v>
      </c>
      <c r="D855" s="496">
        <v>26.885436597907702</v>
      </c>
      <c r="E855" s="496">
        <v>32.203004004080597</v>
      </c>
      <c r="F855" s="496">
        <v>34.066030523424082</v>
      </c>
      <c r="G855" s="496">
        <v>36.036837913500534</v>
      </c>
      <c r="H855" s="496">
        <v>37.495939177922402</v>
      </c>
      <c r="I855" s="66"/>
      <c r="J855" s="538"/>
      <c r="K855" s="538"/>
    </row>
    <row r="856" spans="1:11" s="37" customFormat="1" hidden="1" outlineLevel="1" x14ac:dyDescent="0.3">
      <c r="A856" s="63" t="s">
        <v>4043</v>
      </c>
      <c r="B856" s="63" t="s">
        <v>855</v>
      </c>
      <c r="C856" s="65" t="s">
        <v>761</v>
      </c>
      <c r="D856" s="496">
        <v>2.9872707331008552</v>
      </c>
      <c r="E856" s="496">
        <v>3.5781115560089547</v>
      </c>
      <c r="F856" s="496">
        <v>3.7851145026026751</v>
      </c>
      <c r="G856" s="496">
        <v>4.0040931015000591</v>
      </c>
      <c r="H856" s="496">
        <v>4.1662154642136002</v>
      </c>
      <c r="I856" s="66"/>
      <c r="J856" s="538"/>
      <c r="K856" s="538"/>
    </row>
    <row r="857" spans="1:11" s="37" customFormat="1" hidden="1" outlineLevel="1" x14ac:dyDescent="0.3">
      <c r="A857" s="63" t="s">
        <v>4043</v>
      </c>
      <c r="B857" s="63" t="s">
        <v>855</v>
      </c>
      <c r="C857" s="65" t="s">
        <v>763</v>
      </c>
      <c r="D857" s="496">
        <v>4.4809060996512828</v>
      </c>
      <c r="E857" s="496">
        <v>5.3671673340134332</v>
      </c>
      <c r="F857" s="496">
        <v>5.6776717539040131</v>
      </c>
      <c r="G857" s="496">
        <v>6.0061396522500887</v>
      </c>
      <c r="H857" s="496">
        <v>6.2493231963204003</v>
      </c>
      <c r="I857" s="66"/>
      <c r="J857" s="538"/>
      <c r="K857" s="538"/>
    </row>
    <row r="858" spans="1:11" s="37" customFormat="1" hidden="1" outlineLevel="1" x14ac:dyDescent="0.3">
      <c r="A858" s="63" t="s">
        <v>4043</v>
      </c>
      <c r="B858" s="63" t="s">
        <v>855</v>
      </c>
      <c r="C858" s="65" t="s">
        <v>765</v>
      </c>
      <c r="D858" s="496">
        <v>0</v>
      </c>
      <c r="E858" s="496">
        <v>0</v>
      </c>
      <c r="F858" s="496">
        <v>0</v>
      </c>
      <c r="G858" s="496">
        <v>0</v>
      </c>
      <c r="H858" s="496">
        <v>0</v>
      </c>
      <c r="I858" s="66"/>
      <c r="J858" s="538"/>
      <c r="K858" s="538"/>
    </row>
    <row r="859" spans="1:11" s="37" customFormat="1" hidden="1" outlineLevel="1" x14ac:dyDescent="0.3">
      <c r="A859" s="63" t="s">
        <v>4043</v>
      </c>
      <c r="B859" s="63" t="s">
        <v>855</v>
      </c>
      <c r="C859" s="65" t="s">
        <v>768</v>
      </c>
      <c r="D859" s="496">
        <v>0</v>
      </c>
      <c r="E859" s="496">
        <v>0</v>
      </c>
      <c r="F859" s="496">
        <v>0</v>
      </c>
      <c r="G859" s="496">
        <v>0</v>
      </c>
      <c r="H859" s="496">
        <v>0</v>
      </c>
      <c r="I859" s="66"/>
      <c r="J859" s="538"/>
      <c r="K859" s="538"/>
    </row>
    <row r="860" spans="1:11" s="37" customFormat="1" hidden="1" outlineLevel="1" x14ac:dyDescent="0.3">
      <c r="A860" s="63" t="s">
        <v>4043</v>
      </c>
      <c r="B860" s="63" t="s">
        <v>855</v>
      </c>
      <c r="C860" s="65" t="s">
        <v>771</v>
      </c>
      <c r="D860" s="496">
        <v>17.923624398605131</v>
      </c>
      <c r="E860" s="496">
        <v>21.468669336053733</v>
      </c>
      <c r="F860" s="496">
        <v>22.710687015616053</v>
      </c>
      <c r="G860" s="496">
        <v>24.024558609000355</v>
      </c>
      <c r="H860" s="496">
        <v>24.997292785281601</v>
      </c>
      <c r="I860" s="66"/>
      <c r="J860" s="538"/>
      <c r="K860" s="538"/>
    </row>
    <row r="861" spans="1:11" s="37" customFormat="1" hidden="1" outlineLevel="1" x14ac:dyDescent="0.3">
      <c r="A861" s="63" t="s">
        <v>4043</v>
      </c>
      <c r="B861" s="63" t="s">
        <v>855</v>
      </c>
      <c r="C861" s="65" t="s">
        <v>772</v>
      </c>
      <c r="D861" s="496">
        <v>26.885436597907702</v>
      </c>
      <c r="E861" s="496">
        <v>32.203004004080597</v>
      </c>
      <c r="F861" s="496">
        <v>34.066030523424082</v>
      </c>
      <c r="G861" s="496">
        <v>36.036837913500534</v>
      </c>
      <c r="H861" s="496">
        <v>37.495939177922402</v>
      </c>
      <c r="I861" s="66"/>
      <c r="J861" s="538"/>
      <c r="K861" s="538"/>
    </row>
    <row r="862" spans="1:11" s="37" customFormat="1" hidden="1" outlineLevel="1" x14ac:dyDescent="0.3">
      <c r="A862" s="63" t="s">
        <v>4043</v>
      </c>
      <c r="B862" s="63" t="s">
        <v>855</v>
      </c>
      <c r="C862" s="65" t="s">
        <v>774</v>
      </c>
      <c r="D862" s="496">
        <v>29.872707331008556</v>
      </c>
      <c r="E862" s="496">
        <v>35.781115560089546</v>
      </c>
      <c r="F862" s="496">
        <v>37.851145026026749</v>
      </c>
      <c r="G862" s="496">
        <v>40.040931015000595</v>
      </c>
      <c r="H862" s="496">
        <v>41.662154642136002</v>
      </c>
      <c r="I862" s="66"/>
      <c r="J862" s="538"/>
      <c r="K862" s="538"/>
    </row>
    <row r="863" spans="1:11" s="37" customFormat="1" hidden="1" outlineLevel="1" x14ac:dyDescent="0.3">
      <c r="A863" s="63" t="s">
        <v>4043</v>
      </c>
      <c r="B863" s="63" t="s">
        <v>855</v>
      </c>
      <c r="C863" s="65" t="s">
        <v>775</v>
      </c>
      <c r="D863" s="496">
        <v>17.923624398605131</v>
      </c>
      <c r="E863" s="496">
        <v>21.468669336053733</v>
      </c>
      <c r="F863" s="496">
        <v>22.710687015616053</v>
      </c>
      <c r="G863" s="496">
        <v>24.024558609000355</v>
      </c>
      <c r="H863" s="496">
        <v>24.997292785281601</v>
      </c>
      <c r="I863" s="66"/>
      <c r="J863" s="538"/>
      <c r="K863" s="538"/>
    </row>
    <row r="864" spans="1:11" s="37" customFormat="1" hidden="1" outlineLevel="1" x14ac:dyDescent="0.3">
      <c r="A864" s="63" t="s">
        <v>4043</v>
      </c>
      <c r="B864" s="63" t="s">
        <v>855</v>
      </c>
      <c r="C864" s="65" t="s">
        <v>779</v>
      </c>
      <c r="D864" s="496">
        <v>8.9618121993025657</v>
      </c>
      <c r="E864" s="496">
        <v>10.734334668026866</v>
      </c>
      <c r="F864" s="496">
        <v>11.355343507808026</v>
      </c>
      <c r="G864" s="496">
        <v>12.012279304500177</v>
      </c>
      <c r="H864" s="496">
        <v>12.498646392640801</v>
      </c>
      <c r="I864" s="66"/>
      <c r="J864" s="538"/>
      <c r="K864" s="538"/>
    </row>
    <row r="865" spans="1:11" s="37" customFormat="1" hidden="1" outlineLevel="1" x14ac:dyDescent="0.3">
      <c r="A865" s="63" t="s">
        <v>4043</v>
      </c>
      <c r="B865" s="63" t="s">
        <v>894</v>
      </c>
      <c r="C865" s="65" t="s">
        <v>781</v>
      </c>
      <c r="D865" s="496">
        <v>92.605392726126524</v>
      </c>
      <c r="E865" s="496">
        <v>110.92145823627762</v>
      </c>
      <c r="F865" s="496">
        <v>117.33854958068294</v>
      </c>
      <c r="G865" s="496">
        <v>124.12688614650183</v>
      </c>
      <c r="H865" s="496">
        <v>129.15267939062161</v>
      </c>
      <c r="I865" s="66"/>
      <c r="J865" s="538"/>
      <c r="K865" s="538"/>
    </row>
    <row r="866" spans="1:11" s="37" customFormat="1" hidden="1" outlineLevel="1" x14ac:dyDescent="0.3">
      <c r="A866" s="63" t="s">
        <v>4043</v>
      </c>
      <c r="B866" s="63" t="s">
        <v>894</v>
      </c>
      <c r="C866" s="65" t="s">
        <v>783</v>
      </c>
      <c r="D866" s="496">
        <v>89.618121993025667</v>
      </c>
      <c r="E866" s="496">
        <v>107.34334668026867</v>
      </c>
      <c r="F866" s="496">
        <v>113.55343507808027</v>
      </c>
      <c r="G866" s="496">
        <v>120.12279304500179</v>
      </c>
      <c r="H866" s="496">
        <v>124.98646392640802</v>
      </c>
      <c r="I866" s="66"/>
      <c r="J866" s="538"/>
      <c r="K866" s="538"/>
    </row>
    <row r="867" spans="1:11" s="37" customFormat="1" hidden="1" outlineLevel="1" x14ac:dyDescent="0.3">
      <c r="A867" s="63" t="s">
        <v>4043</v>
      </c>
      <c r="B867" s="63" t="s">
        <v>894</v>
      </c>
      <c r="C867" s="65" t="s">
        <v>785</v>
      </c>
      <c r="D867" s="496">
        <v>38.83451953031112</v>
      </c>
      <c r="E867" s="496">
        <v>46.515450228116414</v>
      </c>
      <c r="F867" s="496">
        <v>49.206488533834779</v>
      </c>
      <c r="G867" s="496">
        <v>52.053210319500778</v>
      </c>
      <c r="H867" s="496">
        <v>54.160801034776803</v>
      </c>
      <c r="I867" s="66"/>
      <c r="J867" s="538"/>
      <c r="K867" s="538"/>
    </row>
    <row r="868" spans="1:11" s="37" customFormat="1" hidden="1" outlineLevel="1" x14ac:dyDescent="0.3">
      <c r="A868" s="63" t="s">
        <v>4043</v>
      </c>
      <c r="B868" s="63" t="s">
        <v>894</v>
      </c>
      <c r="C868" s="65" t="s">
        <v>787</v>
      </c>
      <c r="D868" s="496">
        <v>86.630851259924796</v>
      </c>
      <c r="E868" s="496">
        <v>103.76523512425969</v>
      </c>
      <c r="F868" s="496">
        <v>109.76832057547759</v>
      </c>
      <c r="G868" s="496">
        <v>116.11869994350172</v>
      </c>
      <c r="H868" s="496">
        <v>120.8202484621944</v>
      </c>
      <c r="I868" s="66"/>
      <c r="J868" s="538"/>
      <c r="K868" s="538"/>
    </row>
    <row r="869" spans="1:11" s="37" customFormat="1" hidden="1" outlineLevel="1" x14ac:dyDescent="0.3">
      <c r="A869" s="63" t="s">
        <v>4043</v>
      </c>
      <c r="B869" s="63" t="s">
        <v>894</v>
      </c>
      <c r="C869" s="65" t="s">
        <v>788</v>
      </c>
      <c r="D869" s="496">
        <v>29.872707331008556</v>
      </c>
      <c r="E869" s="496">
        <v>35.781115560089546</v>
      </c>
      <c r="F869" s="496">
        <v>37.851145026026749</v>
      </c>
      <c r="G869" s="496">
        <v>40.040931015000595</v>
      </c>
      <c r="H869" s="496">
        <v>41.662154642136002</v>
      </c>
      <c r="I869" s="66"/>
      <c r="J869" s="538"/>
      <c r="K869" s="538"/>
    </row>
    <row r="870" spans="1:11" s="37" customFormat="1" hidden="1" outlineLevel="1" x14ac:dyDescent="0.3">
      <c r="A870" s="63" t="s">
        <v>4043</v>
      </c>
      <c r="B870" s="63" t="s">
        <v>894</v>
      </c>
      <c r="C870" s="65" t="s">
        <v>789</v>
      </c>
      <c r="D870" s="496">
        <v>11.949082932403421</v>
      </c>
      <c r="E870" s="496">
        <v>14.312446224035819</v>
      </c>
      <c r="F870" s="496">
        <v>15.1404580104107</v>
      </c>
      <c r="G870" s="496">
        <v>16.016372406000237</v>
      </c>
      <c r="H870" s="496">
        <v>16.664861856854401</v>
      </c>
      <c r="I870" s="66"/>
      <c r="J870" s="538"/>
      <c r="K870" s="538"/>
    </row>
    <row r="871" spans="1:11" s="37" customFormat="1" hidden="1" outlineLevel="1" x14ac:dyDescent="0.3">
      <c r="A871" s="63" t="s">
        <v>4043</v>
      </c>
      <c r="B871" s="63" t="s">
        <v>894</v>
      </c>
      <c r="C871" s="65" t="s">
        <v>790</v>
      </c>
      <c r="D871" s="496">
        <v>53.770873195815405</v>
      </c>
      <c r="E871" s="496">
        <v>64.406008008161194</v>
      </c>
      <c r="F871" s="496">
        <v>68.132061046848165</v>
      </c>
      <c r="G871" s="496">
        <v>72.073675827001068</v>
      </c>
      <c r="H871" s="496">
        <v>74.991878355844804</v>
      </c>
      <c r="I871" s="66"/>
      <c r="J871" s="538"/>
      <c r="K871" s="538"/>
    </row>
    <row r="872" spans="1:11" s="37" customFormat="1" hidden="1" outlineLevel="1" x14ac:dyDescent="0.3">
      <c r="A872" s="63" t="s">
        <v>4043</v>
      </c>
      <c r="B872" s="63" t="s">
        <v>894</v>
      </c>
      <c r="C872" s="65" t="s">
        <v>793</v>
      </c>
      <c r="D872" s="496">
        <v>53.770873195815405</v>
      </c>
      <c r="E872" s="496">
        <v>64.406008008161194</v>
      </c>
      <c r="F872" s="496">
        <v>68.132061046848165</v>
      </c>
      <c r="G872" s="496">
        <v>72.073675827001068</v>
      </c>
      <c r="H872" s="496">
        <v>74.991878355844804</v>
      </c>
      <c r="I872" s="66"/>
      <c r="J872" s="538"/>
      <c r="K872" s="538"/>
    </row>
    <row r="873" spans="1:11" s="37" customFormat="1" hidden="1" outlineLevel="1" x14ac:dyDescent="0.3">
      <c r="A873" s="63" t="s">
        <v>4043</v>
      </c>
      <c r="B873" s="63" t="s">
        <v>894</v>
      </c>
      <c r="C873" s="65" t="s">
        <v>795</v>
      </c>
      <c r="D873" s="496">
        <v>68.707226861319683</v>
      </c>
      <c r="E873" s="496">
        <v>82.296565788205967</v>
      </c>
      <c r="F873" s="496">
        <v>87.057633559861557</v>
      </c>
      <c r="G873" s="496">
        <v>92.094141334501359</v>
      </c>
      <c r="H873" s="496">
        <v>95.822955676912812</v>
      </c>
      <c r="I873" s="66"/>
      <c r="J873" s="538"/>
      <c r="K873" s="538"/>
    </row>
    <row r="874" spans="1:11" s="37" customFormat="1" hidden="1" outlineLevel="1" x14ac:dyDescent="0.3">
      <c r="A874" s="63" t="s">
        <v>4043</v>
      </c>
      <c r="B874" s="63" t="s">
        <v>894</v>
      </c>
      <c r="C874" s="65" t="s">
        <v>797</v>
      </c>
      <c r="D874" s="496">
        <v>26.885436597907702</v>
      </c>
      <c r="E874" s="496">
        <v>32.203004004080597</v>
      </c>
      <c r="F874" s="496">
        <v>34.066030523424082</v>
      </c>
      <c r="G874" s="496">
        <v>36.036837913500534</v>
      </c>
      <c r="H874" s="496">
        <v>37.495939177922402</v>
      </c>
      <c r="I874" s="66"/>
      <c r="J874" s="538"/>
      <c r="K874" s="538"/>
    </row>
    <row r="875" spans="1:11" s="37" customFormat="1" hidden="1" outlineLevel="1" x14ac:dyDescent="0.3">
      <c r="A875" s="63" t="s">
        <v>4043</v>
      </c>
      <c r="B875" s="63" t="s">
        <v>915</v>
      </c>
      <c r="C875" s="65" t="s">
        <v>799</v>
      </c>
      <c r="D875" s="496">
        <v>0</v>
      </c>
      <c r="E875" s="496">
        <v>0</v>
      </c>
      <c r="F875" s="496">
        <v>0</v>
      </c>
      <c r="G875" s="496">
        <v>0</v>
      </c>
      <c r="H875" s="496">
        <v>0</v>
      </c>
      <c r="I875" s="66"/>
      <c r="J875" s="538"/>
      <c r="K875" s="538"/>
    </row>
    <row r="876" spans="1:11" s="37" customFormat="1" hidden="1" outlineLevel="1" x14ac:dyDescent="0.3">
      <c r="A876" s="63" t="s">
        <v>4043</v>
      </c>
      <c r="B876" s="63" t="s">
        <v>915</v>
      </c>
      <c r="C876" s="65" t="s">
        <v>801</v>
      </c>
      <c r="D876" s="496">
        <v>0</v>
      </c>
      <c r="E876" s="496">
        <v>0</v>
      </c>
      <c r="F876" s="496">
        <v>0</v>
      </c>
      <c r="G876" s="496">
        <v>0</v>
      </c>
      <c r="H876" s="496">
        <v>0</v>
      </c>
      <c r="I876" s="66"/>
      <c r="J876" s="538"/>
      <c r="K876" s="538"/>
    </row>
    <row r="877" spans="1:11" s="37" customFormat="1" hidden="1" outlineLevel="1" x14ac:dyDescent="0.3">
      <c r="A877" s="63" t="s">
        <v>4043</v>
      </c>
      <c r="B877" s="63" t="s">
        <v>915</v>
      </c>
      <c r="C877" s="65" t="s">
        <v>804</v>
      </c>
      <c r="D877" s="496">
        <v>8.9618121993025657</v>
      </c>
      <c r="E877" s="496">
        <v>10.734334668026866</v>
      </c>
      <c r="F877" s="496">
        <v>11.355343507808026</v>
      </c>
      <c r="G877" s="496">
        <v>12.012279304500177</v>
      </c>
      <c r="H877" s="496">
        <v>12.498646392640801</v>
      </c>
      <c r="I877" s="66"/>
      <c r="J877" s="538"/>
      <c r="K877" s="538"/>
    </row>
    <row r="878" spans="1:11" s="37" customFormat="1" hidden="1" outlineLevel="1" x14ac:dyDescent="0.3">
      <c r="A878" s="63" t="s">
        <v>4043</v>
      </c>
      <c r="B878" s="63" t="s">
        <v>915</v>
      </c>
      <c r="C878" s="65" t="s">
        <v>806</v>
      </c>
      <c r="D878" s="496">
        <v>9.5592663459227385</v>
      </c>
      <c r="E878" s="496">
        <v>11.449956979228658</v>
      </c>
      <c r="F878" s="496">
        <v>12.112366408328562</v>
      </c>
      <c r="G878" s="496">
        <v>12.813097924800191</v>
      </c>
      <c r="H878" s="496">
        <v>13.33188948548352</v>
      </c>
      <c r="I878" s="66"/>
      <c r="J878" s="538"/>
      <c r="K878" s="538"/>
    </row>
    <row r="879" spans="1:11" s="37" customFormat="1" hidden="1" outlineLevel="1" x14ac:dyDescent="0.3">
      <c r="A879" s="63" t="s">
        <v>4043</v>
      </c>
      <c r="B879" s="63" t="s">
        <v>915</v>
      </c>
      <c r="C879" s="65" t="s">
        <v>808</v>
      </c>
      <c r="D879" s="496">
        <v>85.734670039994541</v>
      </c>
      <c r="E879" s="496">
        <v>102.69180165745701</v>
      </c>
      <c r="F879" s="496">
        <v>108.63278622469679</v>
      </c>
      <c r="G879" s="496">
        <v>114.91747201305171</v>
      </c>
      <c r="H879" s="496">
        <v>119.57038382293032</v>
      </c>
      <c r="I879" s="66"/>
      <c r="J879" s="538"/>
      <c r="K879" s="538"/>
    </row>
    <row r="880" spans="1:11" s="37" customFormat="1" hidden="1" outlineLevel="1" x14ac:dyDescent="0.3">
      <c r="A880" s="63" t="s">
        <v>4043</v>
      </c>
      <c r="B880" s="63" t="s">
        <v>915</v>
      </c>
      <c r="C880" s="65" t="s">
        <v>811</v>
      </c>
      <c r="D880" s="496" t="e">
        <v>#N/A</v>
      </c>
      <c r="E880" s="496" t="e">
        <v>#N/A</v>
      </c>
      <c r="F880" s="496" t="e">
        <v>#N/A</v>
      </c>
      <c r="G880" s="496" t="e">
        <v>#N/A</v>
      </c>
      <c r="H880" s="496" t="e">
        <v>#N/A</v>
      </c>
      <c r="I880" s="66"/>
      <c r="J880" s="538"/>
      <c r="K880" s="538"/>
    </row>
    <row r="881" spans="1:11" s="37" customFormat="1" hidden="1" outlineLevel="1" x14ac:dyDescent="0.3">
      <c r="A881" s="63" t="s">
        <v>4043</v>
      </c>
      <c r="B881" s="63" t="s">
        <v>934</v>
      </c>
      <c r="C881" s="65" t="s">
        <v>814</v>
      </c>
      <c r="D881" s="496">
        <v>14.936353665504278</v>
      </c>
      <c r="E881" s="496">
        <v>17.890557780044773</v>
      </c>
      <c r="F881" s="496">
        <v>18.925572513013375</v>
      </c>
      <c r="G881" s="496">
        <v>20.020465507500298</v>
      </c>
      <c r="H881" s="496">
        <v>20.831077321068001</v>
      </c>
      <c r="I881" s="66"/>
      <c r="J881" s="538"/>
      <c r="K881" s="538"/>
    </row>
    <row r="882" spans="1:11" s="37" customFormat="1" hidden="1" outlineLevel="1" x14ac:dyDescent="0.3">
      <c r="A882" s="63" t="s">
        <v>4043</v>
      </c>
      <c r="B882" s="63" t="s">
        <v>934</v>
      </c>
      <c r="C882" s="65" t="s">
        <v>815</v>
      </c>
      <c r="D882" s="496">
        <v>0</v>
      </c>
      <c r="E882" s="496">
        <v>0</v>
      </c>
      <c r="F882" s="496">
        <v>0</v>
      </c>
      <c r="G882" s="496">
        <v>0</v>
      </c>
      <c r="H882" s="496">
        <v>0</v>
      </c>
      <c r="I882" s="66"/>
      <c r="J882" s="538"/>
      <c r="K882" s="538"/>
    </row>
    <row r="883" spans="1:11" s="37" customFormat="1" hidden="1" outlineLevel="1" x14ac:dyDescent="0.3">
      <c r="A883" s="63" t="s">
        <v>4043</v>
      </c>
      <c r="B883" s="63" t="s">
        <v>940</v>
      </c>
      <c r="C883" s="65" t="s">
        <v>817</v>
      </c>
      <c r="D883" s="496">
        <v>38.460478248174475</v>
      </c>
      <c r="E883" s="496">
        <v>43.606770580692803</v>
      </c>
      <c r="F883" s="496">
        <v>46.617485975251327</v>
      </c>
      <c r="G883" s="496">
        <v>49.836068337859196</v>
      </c>
      <c r="H883" s="496">
        <v>51.856122930893278</v>
      </c>
      <c r="I883" s="66"/>
      <c r="J883" s="538"/>
      <c r="K883" s="538"/>
    </row>
    <row r="884" spans="1:11" s="37" customFormat="1" hidden="1" outlineLevel="1" x14ac:dyDescent="0.3">
      <c r="A884" s="63" t="s">
        <v>4043</v>
      </c>
      <c r="B884" s="63" t="s">
        <v>940</v>
      </c>
      <c r="C884" s="65" t="s">
        <v>944</v>
      </c>
      <c r="D884" s="496">
        <v>6.5218068228940114</v>
      </c>
      <c r="E884" s="496">
        <v>7.3944721140079688</v>
      </c>
      <c r="F884" s="496">
        <v>7.9050040963541797</v>
      </c>
      <c r="G884" s="496">
        <v>8.4507844238127614</v>
      </c>
      <c r="H884" s="496">
        <v>8.7933284177396533</v>
      </c>
      <c r="I884" s="66"/>
      <c r="J884" s="538"/>
      <c r="K884" s="538"/>
    </row>
    <row r="885" spans="1:11" s="37" customFormat="1" hidden="1" outlineLevel="1" x14ac:dyDescent="0.3">
      <c r="A885" s="63" t="s">
        <v>4043</v>
      </c>
      <c r="B885" s="63" t="s">
        <v>940</v>
      </c>
      <c r="C885" s="65" t="s">
        <v>821</v>
      </c>
      <c r="D885" s="496">
        <v>0</v>
      </c>
      <c r="E885" s="496">
        <v>0</v>
      </c>
      <c r="F885" s="496">
        <v>0</v>
      </c>
      <c r="G885" s="496">
        <v>0</v>
      </c>
      <c r="H885" s="496">
        <v>0</v>
      </c>
      <c r="I885" s="66"/>
      <c r="J885" s="538"/>
      <c r="K885" s="538"/>
    </row>
    <row r="886" spans="1:11" s="37" customFormat="1" hidden="1" outlineLevel="1" x14ac:dyDescent="0.3">
      <c r="A886" s="63" t="s">
        <v>4043</v>
      </c>
      <c r="B886" s="63" t="s">
        <v>940</v>
      </c>
      <c r="C886" s="65" t="s">
        <v>823</v>
      </c>
      <c r="D886" s="496">
        <v>0</v>
      </c>
      <c r="E886" s="496">
        <v>0</v>
      </c>
      <c r="F886" s="496">
        <v>0</v>
      </c>
      <c r="G886" s="496">
        <v>0</v>
      </c>
      <c r="H886" s="496">
        <v>0</v>
      </c>
      <c r="I886" s="66"/>
      <c r="J886" s="538"/>
      <c r="K886" s="538"/>
    </row>
    <row r="887" spans="1:11" s="37" customFormat="1" hidden="1" outlineLevel="1" x14ac:dyDescent="0.3">
      <c r="A887" s="63" t="s">
        <v>4043</v>
      </c>
      <c r="B887" s="63" t="s">
        <v>940</v>
      </c>
      <c r="C887" s="65" t="s">
        <v>825</v>
      </c>
      <c r="D887" s="496">
        <v>0</v>
      </c>
      <c r="E887" s="496">
        <v>0</v>
      </c>
      <c r="F887" s="496">
        <v>0</v>
      </c>
      <c r="G887" s="496">
        <v>0</v>
      </c>
      <c r="H887" s="496">
        <v>0</v>
      </c>
      <c r="I887" s="66"/>
      <c r="J887" s="538"/>
      <c r="K887" s="538"/>
    </row>
    <row r="888" spans="1:11" s="37" customFormat="1" hidden="1" outlineLevel="1" x14ac:dyDescent="0.3">
      <c r="A888" s="63" t="s">
        <v>4043</v>
      </c>
      <c r="B888" s="63" t="s">
        <v>940</v>
      </c>
      <c r="C888" s="65" t="s">
        <v>827</v>
      </c>
      <c r="D888" s="496">
        <v>46.417477833124742</v>
      </c>
      <c r="E888" s="496">
        <v>52.628474709607616</v>
      </c>
      <c r="F888" s="496">
        <v>56.262070063960792</v>
      </c>
      <c r="G888" s="496">
        <v>60.14653750366373</v>
      </c>
      <c r="H888" s="496">
        <v>62.584516529530674</v>
      </c>
      <c r="I888" s="66"/>
      <c r="J888" s="538"/>
      <c r="K888" s="538"/>
    </row>
    <row r="889" spans="1:11" s="37" customFormat="1" hidden="1" outlineLevel="1" x14ac:dyDescent="0.3">
      <c r="A889" s="63" t="s">
        <v>4043</v>
      </c>
      <c r="B889" s="63" t="s">
        <v>940</v>
      </c>
      <c r="C889" s="65" t="s">
        <v>829</v>
      </c>
      <c r="D889" s="496">
        <v>58.117670420380129</v>
      </c>
      <c r="E889" s="496">
        <v>65.894238349106431</v>
      </c>
      <c r="F889" s="496">
        <v>70.44373364922852</v>
      </c>
      <c r="G889" s="496">
        <v>75.307336950359371</v>
      </c>
      <c r="H889" s="496">
        <v>78.359843638174723</v>
      </c>
      <c r="I889" s="66"/>
      <c r="J889" s="538"/>
      <c r="K889" s="538"/>
    </row>
    <row r="890" spans="1:11" s="37" customFormat="1" hidden="1" outlineLevel="1" x14ac:dyDescent="0.3">
      <c r="A890" s="63" t="s">
        <v>4043</v>
      </c>
      <c r="B890" s="63" t="s">
        <v>940</v>
      </c>
      <c r="C890" s="65" t="s">
        <v>833</v>
      </c>
      <c r="D890" s="496">
        <v>46.417477833124742</v>
      </c>
      <c r="E890" s="496">
        <v>52.628474709607616</v>
      </c>
      <c r="F890" s="496">
        <v>56.262070063960792</v>
      </c>
      <c r="G890" s="496">
        <v>60.14653750366373</v>
      </c>
      <c r="H890" s="496">
        <v>62.584516529530674</v>
      </c>
      <c r="I890" s="66"/>
      <c r="J890" s="538"/>
      <c r="K890" s="538"/>
    </row>
    <row r="891" spans="1:11" s="37" customFormat="1" hidden="1" outlineLevel="1" x14ac:dyDescent="0.3">
      <c r="A891" s="63" t="s">
        <v>4043</v>
      </c>
      <c r="B891" s="63" t="s">
        <v>940</v>
      </c>
      <c r="C891" s="65" t="s">
        <v>836</v>
      </c>
      <c r="D891" s="496">
        <v>58.117670420380129</v>
      </c>
      <c r="E891" s="496">
        <v>65.894238349106431</v>
      </c>
      <c r="F891" s="496">
        <v>70.44373364922852</v>
      </c>
      <c r="G891" s="496">
        <v>75.307336950359371</v>
      </c>
      <c r="H891" s="496">
        <v>78.359843638174723</v>
      </c>
      <c r="I891" s="66"/>
      <c r="J891" s="538"/>
      <c r="K891" s="538"/>
    </row>
    <row r="892" spans="1:11" s="37" customFormat="1" hidden="1" outlineLevel="1" x14ac:dyDescent="0.3">
      <c r="A892" s="63" t="s">
        <v>4043</v>
      </c>
      <c r="B892" s="63" t="s">
        <v>940</v>
      </c>
      <c r="C892" s="65" t="s">
        <v>837</v>
      </c>
      <c r="D892" s="496">
        <v>0</v>
      </c>
      <c r="E892" s="496">
        <v>0</v>
      </c>
      <c r="F892" s="496">
        <v>0</v>
      </c>
      <c r="G892" s="496">
        <v>0</v>
      </c>
      <c r="H892" s="496">
        <v>0</v>
      </c>
      <c r="I892" s="66"/>
      <c r="J892" s="538"/>
      <c r="K892" s="538"/>
    </row>
    <row r="893" spans="1:11" s="37" customFormat="1" hidden="1" outlineLevel="1" x14ac:dyDescent="0.3">
      <c r="A893" s="63" t="s">
        <v>4043</v>
      </c>
      <c r="B893" s="63" t="s">
        <v>940</v>
      </c>
      <c r="C893" s="65" t="s">
        <v>839</v>
      </c>
      <c r="D893" s="496">
        <v>58.117670420380129</v>
      </c>
      <c r="E893" s="496">
        <v>65.894238349106431</v>
      </c>
      <c r="F893" s="496">
        <v>70.44373364922852</v>
      </c>
      <c r="G893" s="496">
        <v>75.307336950359371</v>
      </c>
      <c r="H893" s="496">
        <v>78.359843638174723</v>
      </c>
      <c r="I893" s="66"/>
      <c r="J893" s="538"/>
      <c r="K893" s="538"/>
    </row>
    <row r="894" spans="1:11" s="37" customFormat="1" hidden="1" outlineLevel="1" x14ac:dyDescent="0.3">
      <c r="A894" s="63" t="s">
        <v>4043</v>
      </c>
      <c r="B894" s="63" t="s">
        <v>940</v>
      </c>
      <c r="C894" s="65" t="s">
        <v>840</v>
      </c>
      <c r="D894" s="496">
        <v>0</v>
      </c>
      <c r="E894" s="496">
        <v>0</v>
      </c>
      <c r="F894" s="496">
        <v>0</v>
      </c>
      <c r="G894" s="496">
        <v>0</v>
      </c>
      <c r="H894" s="496">
        <v>0</v>
      </c>
      <c r="I894" s="66"/>
      <c r="J894" s="538"/>
      <c r="K894" s="538"/>
    </row>
    <row r="895" spans="1:11" collapsed="1" x14ac:dyDescent="0.3">
      <c r="A895" s="318"/>
      <c r="B895" s="318"/>
      <c r="C895" s="120"/>
      <c r="D895" s="498"/>
      <c r="E895" s="498"/>
      <c r="F895" s="498"/>
      <c r="G895" s="64"/>
      <c r="H895" s="64"/>
      <c r="I895" s="63"/>
      <c r="J895" s="538"/>
    </row>
    <row r="896" spans="1:11" x14ac:dyDescent="0.3">
      <c r="A896" s="65" t="s">
        <v>4044</v>
      </c>
      <c r="B896" s="65"/>
      <c r="C896" s="64" t="s">
        <v>4032</v>
      </c>
      <c r="D896" s="473">
        <v>67.751211230418491</v>
      </c>
      <c r="E896" s="473">
        <v>78.519920255269923</v>
      </c>
      <c r="F896" s="473">
        <v>83.584337786764294</v>
      </c>
      <c r="G896" s="473">
        <v>88.977773851861713</v>
      </c>
      <c r="H896" s="473">
        <v>92.582798338399712</v>
      </c>
      <c r="I896" s="224"/>
      <c r="J896" s="538"/>
    </row>
    <row r="897" spans="1:11" x14ac:dyDescent="0.3">
      <c r="A897" s="122" t="s">
        <v>5</v>
      </c>
      <c r="B897" s="122" t="s">
        <v>847</v>
      </c>
      <c r="C897" s="122" t="s">
        <v>193</v>
      </c>
      <c r="D897" s="495">
        <v>2025</v>
      </c>
      <c r="E897" s="495">
        <v>2030</v>
      </c>
      <c r="F897" s="495">
        <v>2035</v>
      </c>
      <c r="G897" s="495">
        <v>2040</v>
      </c>
      <c r="H897" s="495">
        <v>2045</v>
      </c>
      <c r="I897" s="315" t="s">
        <v>153</v>
      </c>
      <c r="J897" s="538"/>
    </row>
    <row r="898" spans="1:11" s="37" customFormat="1" hidden="1" outlineLevel="1" x14ac:dyDescent="0.3">
      <c r="A898" s="63" t="s">
        <v>4044</v>
      </c>
      <c r="B898" s="63" t="s">
        <v>855</v>
      </c>
      <c r="C898" s="65" t="s">
        <v>747</v>
      </c>
      <c r="D898" s="496">
        <v>0</v>
      </c>
      <c r="E898" s="499">
        <v>0</v>
      </c>
      <c r="F898" s="499">
        <v>0</v>
      </c>
      <c r="G898" s="499">
        <v>0</v>
      </c>
      <c r="H898" s="499">
        <v>0</v>
      </c>
      <c r="I898" s="66" t="s">
        <v>4045</v>
      </c>
      <c r="J898" s="538"/>
      <c r="K898" s="538"/>
    </row>
    <row r="899" spans="1:11" s="37" customFormat="1" hidden="1" outlineLevel="1" x14ac:dyDescent="0.3">
      <c r="A899" s="63" t="s">
        <v>4044</v>
      </c>
      <c r="B899" s="63" t="s">
        <v>855</v>
      </c>
      <c r="C899" s="65" t="s">
        <v>751</v>
      </c>
      <c r="D899" s="496">
        <v>31.673746330005869</v>
      </c>
      <c r="E899" s="499">
        <v>37.938375156191086</v>
      </c>
      <c r="F899" s="499">
        <v>40.133207632311318</v>
      </c>
      <c r="G899" s="499">
        <v>42.455016806257944</v>
      </c>
      <c r="H899" s="499">
        <v>44.173984737122261</v>
      </c>
      <c r="I899" s="66" t="s">
        <v>4046</v>
      </c>
      <c r="J899" s="538"/>
      <c r="K899" s="538"/>
    </row>
    <row r="900" spans="1:11" s="37" customFormat="1" hidden="1" outlineLevel="1" x14ac:dyDescent="0.3">
      <c r="A900" s="63" t="s">
        <v>4044</v>
      </c>
      <c r="B900" s="63" t="s">
        <v>855</v>
      </c>
      <c r="C900" s="65" t="s">
        <v>755</v>
      </c>
      <c r="D900" s="496">
        <v>39.43546682325308</v>
      </c>
      <c r="E900" s="499">
        <v>47.23525658165569</v>
      </c>
      <c r="F900" s="499">
        <v>49.967937534291892</v>
      </c>
      <c r="G900" s="499">
        <v>52.858711100990469</v>
      </c>
      <c r="H900" s="499">
        <v>54.998915865578631</v>
      </c>
      <c r="I900" s="66" t="s">
        <v>4047</v>
      </c>
      <c r="J900" s="538"/>
      <c r="K900" s="538"/>
    </row>
    <row r="901" spans="1:11" s="37" customFormat="1" hidden="1" outlineLevel="1" x14ac:dyDescent="0.3">
      <c r="A901" s="63" t="s">
        <v>4044</v>
      </c>
      <c r="B901" s="63" t="s">
        <v>855</v>
      </c>
      <c r="C901" s="65" t="s">
        <v>758</v>
      </c>
      <c r="D901" s="496">
        <v>32.43738109219025</v>
      </c>
      <c r="E901" s="499">
        <v>38.853046309650892</v>
      </c>
      <c r="F901" s="499">
        <v>41.100794862021594</v>
      </c>
      <c r="G901" s="499">
        <v>43.478581443184638</v>
      </c>
      <c r="H901" s="499">
        <v>45.238992645501959</v>
      </c>
      <c r="I901" s="66" t="s">
        <v>4046</v>
      </c>
      <c r="J901" s="538"/>
      <c r="K901" s="538"/>
    </row>
    <row r="902" spans="1:11" s="37" customFormat="1" hidden="1" outlineLevel="1" x14ac:dyDescent="0.3">
      <c r="A902" s="63" t="s">
        <v>4044</v>
      </c>
      <c r="B902" s="63" t="s">
        <v>855</v>
      </c>
      <c r="C902" s="65" t="s">
        <v>761</v>
      </c>
      <c r="D902" s="496">
        <v>31.833311802701111</v>
      </c>
      <c r="E902" s="499">
        <v>38.129500471839407</v>
      </c>
      <c r="F902" s="499">
        <v>40.335390038519442</v>
      </c>
      <c r="G902" s="499">
        <v>42.668895984123232</v>
      </c>
      <c r="H902" s="499">
        <v>44.396523703052353</v>
      </c>
      <c r="I902" s="66" t="s">
        <v>4046</v>
      </c>
      <c r="J902" s="538"/>
      <c r="K902" s="538"/>
    </row>
    <row r="903" spans="1:11" s="37" customFormat="1" hidden="1" outlineLevel="1" x14ac:dyDescent="0.3">
      <c r="A903" s="63" t="s">
        <v>4044</v>
      </c>
      <c r="B903" s="63" t="s">
        <v>855</v>
      </c>
      <c r="C903" s="65" t="s">
        <v>763</v>
      </c>
      <c r="D903" s="496">
        <v>0</v>
      </c>
      <c r="E903" s="499">
        <v>0</v>
      </c>
      <c r="F903" s="499">
        <v>0</v>
      </c>
      <c r="G903" s="499">
        <v>0</v>
      </c>
      <c r="H903" s="499">
        <v>0</v>
      </c>
      <c r="I903" s="66" t="s">
        <v>4045</v>
      </c>
      <c r="J903" s="538"/>
      <c r="K903" s="538"/>
    </row>
    <row r="904" spans="1:11" s="37" customFormat="1" hidden="1" outlineLevel="1" x14ac:dyDescent="0.3">
      <c r="A904" s="63" t="s">
        <v>4044</v>
      </c>
      <c r="B904" s="63" t="s">
        <v>855</v>
      </c>
      <c r="C904" s="65" t="s">
        <v>765</v>
      </c>
      <c r="D904" s="496">
        <v>31.616758661186136</v>
      </c>
      <c r="E904" s="499">
        <v>37.870116114888113</v>
      </c>
      <c r="F904" s="499">
        <v>40.06099963009413</v>
      </c>
      <c r="G904" s="499">
        <v>42.378631385591774</v>
      </c>
      <c r="H904" s="499">
        <v>44.094506535004371</v>
      </c>
      <c r="I904" s="66" t="s">
        <v>4046</v>
      </c>
      <c r="J904" s="538"/>
      <c r="K904" s="538"/>
    </row>
    <row r="905" spans="1:11" s="37" customFormat="1" hidden="1" outlineLevel="1" x14ac:dyDescent="0.3">
      <c r="A905" s="63" t="s">
        <v>4044</v>
      </c>
      <c r="B905" s="63" t="s">
        <v>855</v>
      </c>
      <c r="C905" s="65" t="s">
        <v>768</v>
      </c>
      <c r="D905" s="496">
        <v>25.684176938262059</v>
      </c>
      <c r="E905" s="499">
        <v>30.764151802866216</v>
      </c>
      <c r="F905" s="499">
        <v>32.5439370255922</v>
      </c>
      <c r="G905" s="499">
        <v>34.426687396173769</v>
      </c>
      <c r="H905" s="499">
        <v>35.82059502009421</v>
      </c>
      <c r="I905" s="66" t="s">
        <v>4045</v>
      </c>
      <c r="J905" s="538"/>
      <c r="K905" s="538"/>
    </row>
    <row r="906" spans="1:11" s="37" customFormat="1" hidden="1" outlineLevel="1" x14ac:dyDescent="0.3">
      <c r="A906" s="63" t="s">
        <v>4044</v>
      </c>
      <c r="B906" s="63" t="s">
        <v>855</v>
      </c>
      <c r="C906" s="65" t="s">
        <v>771</v>
      </c>
      <c r="D906" s="496">
        <v>31.764926600117438</v>
      </c>
      <c r="E906" s="499">
        <v>38.047589622275844</v>
      </c>
      <c r="F906" s="499">
        <v>40.248740435858821</v>
      </c>
      <c r="G906" s="499">
        <v>42.577233479323823</v>
      </c>
      <c r="H906" s="499">
        <v>44.301149860510883</v>
      </c>
      <c r="I906" s="66" t="s">
        <v>4046</v>
      </c>
      <c r="J906" s="538"/>
      <c r="K906" s="538"/>
    </row>
    <row r="907" spans="1:11" s="37" customFormat="1" hidden="1" outlineLevel="1" x14ac:dyDescent="0.3">
      <c r="A907" s="63" t="s">
        <v>4044</v>
      </c>
      <c r="B907" s="63" t="s">
        <v>855</v>
      </c>
      <c r="C907" s="65" t="s">
        <v>772</v>
      </c>
      <c r="D907" s="496">
        <v>51.038156194950083</v>
      </c>
      <c r="E907" s="499">
        <v>61.132797390940517</v>
      </c>
      <c r="F907" s="499">
        <v>64.669486785710717</v>
      </c>
      <c r="G907" s="499">
        <v>68.410782748622921</v>
      </c>
      <c r="H907" s="499">
        <v>71.180677816780673</v>
      </c>
      <c r="I907" s="66" t="s">
        <v>4046</v>
      </c>
      <c r="J907" s="538"/>
      <c r="K907" s="538"/>
    </row>
    <row r="908" spans="1:11" s="37" customFormat="1" hidden="1" outlineLevel="1" x14ac:dyDescent="0.3">
      <c r="A908" s="63" t="s">
        <v>4044</v>
      </c>
      <c r="B908" s="63" t="s">
        <v>855</v>
      </c>
      <c r="C908" s="65" t="s">
        <v>774</v>
      </c>
      <c r="D908" s="496">
        <v>31.605361127422196</v>
      </c>
      <c r="E908" s="499">
        <v>37.856464306627522</v>
      </c>
      <c r="F908" s="499">
        <v>40.046558029650697</v>
      </c>
      <c r="G908" s="499">
        <v>42.363354301458543</v>
      </c>
      <c r="H908" s="499">
        <v>44.078610894580798</v>
      </c>
      <c r="I908" s="66" t="s">
        <v>4046</v>
      </c>
      <c r="J908" s="538"/>
      <c r="K908" s="538"/>
    </row>
    <row r="909" spans="1:11" s="37" customFormat="1" hidden="1" outlineLevel="1" x14ac:dyDescent="0.3">
      <c r="A909" s="63" t="s">
        <v>4044</v>
      </c>
      <c r="B909" s="63" t="s">
        <v>855</v>
      </c>
      <c r="C909" s="65" t="s">
        <v>775</v>
      </c>
      <c r="D909" s="496">
        <v>39.391430897346922</v>
      </c>
      <c r="E909" s="499">
        <v>47.182510958830662</v>
      </c>
      <c r="F909" s="499">
        <v>49.912140441669514</v>
      </c>
      <c r="G909" s="499">
        <v>52.799686003202964</v>
      </c>
      <c r="H909" s="499">
        <v>54.937500891214803</v>
      </c>
      <c r="I909" s="66" t="s">
        <v>4048</v>
      </c>
      <c r="J909" s="538"/>
      <c r="K909" s="538"/>
    </row>
    <row r="910" spans="1:11" s="37" customFormat="1" hidden="1" outlineLevel="1" x14ac:dyDescent="0.3">
      <c r="A910" s="63" t="s">
        <v>4044</v>
      </c>
      <c r="B910" s="63" t="s">
        <v>855</v>
      </c>
      <c r="C910" s="65" t="s">
        <v>779</v>
      </c>
      <c r="D910" s="496">
        <v>16.590054817500771</v>
      </c>
      <c r="E910" s="499">
        <v>19.871338141388811</v>
      </c>
      <c r="F910" s="499">
        <v>21.020946107389683</v>
      </c>
      <c r="G910" s="499">
        <v>22.23706184785895</v>
      </c>
      <c r="H910" s="499">
        <v>23.137421783353815</v>
      </c>
      <c r="I910" s="66" t="s">
        <v>4045</v>
      </c>
      <c r="J910" s="538"/>
      <c r="K910" s="538"/>
    </row>
    <row r="911" spans="1:11" s="37" customFormat="1" hidden="1" outlineLevel="1" x14ac:dyDescent="0.3">
      <c r="A911" s="63" t="s">
        <v>4044</v>
      </c>
      <c r="B911" s="63" t="s">
        <v>894</v>
      </c>
      <c r="C911" s="65" t="s">
        <v>781</v>
      </c>
      <c r="D911" s="496">
        <v>31.605361127422196</v>
      </c>
      <c r="E911" s="499">
        <v>37.856464306627522</v>
      </c>
      <c r="F911" s="499">
        <v>40.046558029650697</v>
      </c>
      <c r="G911" s="499">
        <v>42.363354301458543</v>
      </c>
      <c r="H911" s="499">
        <v>44.078610894580798</v>
      </c>
      <c r="I911" s="66" t="s">
        <v>4046</v>
      </c>
      <c r="J911" s="538"/>
      <c r="K911" s="538"/>
    </row>
    <row r="912" spans="1:11" s="37" customFormat="1" hidden="1" outlineLevel="1" x14ac:dyDescent="0.3">
      <c r="A912" s="63" t="s">
        <v>4044</v>
      </c>
      <c r="B912" s="63" t="s">
        <v>894</v>
      </c>
      <c r="C912" s="65" t="s">
        <v>783</v>
      </c>
      <c r="D912" s="496">
        <v>80.968079859072233</v>
      </c>
      <c r="E912" s="499">
        <v>96.982445883260709</v>
      </c>
      <c r="F912" s="499">
        <v>102.5931295501762</v>
      </c>
      <c r="G912" s="499">
        <v>108.52840568249604</v>
      </c>
      <c r="H912" s="499">
        <v>112.92262956909556</v>
      </c>
      <c r="I912" s="66" t="s">
        <v>4046</v>
      </c>
      <c r="J912" s="538"/>
      <c r="K912" s="538"/>
    </row>
    <row r="913" spans="1:11" s="37" customFormat="1" hidden="1" outlineLevel="1" x14ac:dyDescent="0.3">
      <c r="A913" s="63" t="s">
        <v>4044</v>
      </c>
      <c r="B913" s="63" t="s">
        <v>894</v>
      </c>
      <c r="C913" s="65" t="s">
        <v>785</v>
      </c>
      <c r="D913" s="496">
        <v>28.186100998238402</v>
      </c>
      <c r="E913" s="499">
        <v>33.760921828449284</v>
      </c>
      <c r="F913" s="499">
        <v>35.714077896619614</v>
      </c>
      <c r="G913" s="499">
        <v>37.780229061488278</v>
      </c>
      <c r="H913" s="499">
        <v>39.309918767507504</v>
      </c>
      <c r="I913" s="66" t="s">
        <v>4046</v>
      </c>
      <c r="J913" s="538"/>
      <c r="K913" s="538"/>
    </row>
    <row r="914" spans="1:11" s="37" customFormat="1" hidden="1" outlineLevel="1" x14ac:dyDescent="0.3">
      <c r="A914" s="63" t="s">
        <v>4044</v>
      </c>
      <c r="B914" s="63" t="s">
        <v>894</v>
      </c>
      <c r="C914" s="65" t="s">
        <v>787</v>
      </c>
      <c r="D914" s="496">
        <v>78.426429829712276</v>
      </c>
      <c r="E914" s="499">
        <v>93.938092641148216</v>
      </c>
      <c r="F914" s="499">
        <v>99.372652651289755</v>
      </c>
      <c r="G914" s="499">
        <v>105.12161592078481</v>
      </c>
      <c r="H914" s="499">
        <v>109.37790175463775</v>
      </c>
      <c r="I914" s="66" t="s">
        <v>4046</v>
      </c>
      <c r="J914" s="538"/>
      <c r="K914" s="538"/>
    </row>
    <row r="915" spans="1:11" s="37" customFormat="1" hidden="1" outlineLevel="1" x14ac:dyDescent="0.3">
      <c r="A915" s="63" t="s">
        <v>4044</v>
      </c>
      <c r="B915" s="63" t="s">
        <v>894</v>
      </c>
      <c r="C915" s="65" t="s">
        <v>788</v>
      </c>
      <c r="D915" s="496">
        <v>29.143493834409863</v>
      </c>
      <c r="E915" s="499">
        <v>34.90767372233919</v>
      </c>
      <c r="F915" s="499">
        <v>36.927172333868313</v>
      </c>
      <c r="G915" s="499">
        <v>39.063504128679945</v>
      </c>
      <c r="H915" s="499">
        <v>40.645152563088025</v>
      </c>
      <c r="I915" s="66" t="s">
        <v>4046</v>
      </c>
      <c r="J915" s="538"/>
      <c r="K915" s="538"/>
    </row>
    <row r="916" spans="1:11" s="37" customFormat="1" hidden="1" outlineLevel="1" x14ac:dyDescent="0.3">
      <c r="A916" s="63" t="s">
        <v>4044</v>
      </c>
      <c r="B916" s="63" t="s">
        <v>894</v>
      </c>
      <c r="C916" s="65" t="s">
        <v>789</v>
      </c>
      <c r="D916" s="496">
        <v>28.744580152671752</v>
      </c>
      <c r="E916" s="499">
        <v>34.429860433218394</v>
      </c>
      <c r="F916" s="499">
        <v>36.421716318348018</v>
      </c>
      <c r="G916" s="499">
        <v>38.528806184016744</v>
      </c>
      <c r="H916" s="499">
        <v>40.0888051482628</v>
      </c>
      <c r="I916" s="66" t="s">
        <v>4046</v>
      </c>
      <c r="J916" s="538"/>
      <c r="K916" s="538"/>
    </row>
    <row r="917" spans="1:11" s="37" customFormat="1" hidden="1" outlineLevel="1" x14ac:dyDescent="0.3">
      <c r="A917" s="63" t="s">
        <v>4044</v>
      </c>
      <c r="B917" s="63" t="s">
        <v>894</v>
      </c>
      <c r="C917" s="65" t="s">
        <v>790</v>
      </c>
      <c r="D917" s="496">
        <v>44.986065766294772</v>
      </c>
      <c r="E917" s="499">
        <v>53.883687204565028</v>
      </c>
      <c r="F917" s="499">
        <v>57.000996950245693</v>
      </c>
      <c r="G917" s="499">
        <v>60.29865107387554</v>
      </c>
      <c r="H917" s="499">
        <v>62.740092751860942</v>
      </c>
      <c r="I917" s="66" t="s">
        <v>4046</v>
      </c>
      <c r="J917" s="538"/>
      <c r="K917" s="538"/>
    </row>
    <row r="918" spans="1:11" s="37" customFormat="1" hidden="1" outlineLevel="1" x14ac:dyDescent="0.3">
      <c r="A918" s="63" t="s">
        <v>4044</v>
      </c>
      <c r="B918" s="63" t="s">
        <v>894</v>
      </c>
      <c r="C918" s="65" t="s">
        <v>793</v>
      </c>
      <c r="D918" s="496">
        <v>9.5467067364134852</v>
      </c>
      <c r="E918" s="499">
        <v>11.434913252717344</v>
      </c>
      <c r="F918" s="499">
        <v>12.09645236358741</v>
      </c>
      <c r="G918" s="499">
        <v>12.796263211683534</v>
      </c>
      <c r="H918" s="499">
        <v>13.314373148988764</v>
      </c>
      <c r="I918" s="66" t="s">
        <v>4045</v>
      </c>
      <c r="J918" s="538"/>
      <c r="K918" s="538"/>
    </row>
    <row r="919" spans="1:11" s="37" customFormat="1" hidden="1" outlineLevel="1" x14ac:dyDescent="0.3">
      <c r="A919" s="63" t="s">
        <v>4044</v>
      </c>
      <c r="B919" s="63" t="s">
        <v>894</v>
      </c>
      <c r="C919" s="65" t="s">
        <v>795</v>
      </c>
      <c r="D919" s="496">
        <v>28.529525143877702</v>
      </c>
      <c r="E919" s="499">
        <v>34.172270518913962</v>
      </c>
      <c r="F919" s="499">
        <v>36.149224165687073</v>
      </c>
      <c r="G919" s="499">
        <v>38.240549660222719</v>
      </c>
      <c r="H919" s="499">
        <v>39.788877360209824</v>
      </c>
      <c r="I919" s="66" t="s">
        <v>4048</v>
      </c>
      <c r="J919" s="538"/>
      <c r="K919" s="538"/>
    </row>
    <row r="920" spans="1:11" s="37" customFormat="1" hidden="1" outlineLevel="1" x14ac:dyDescent="0.3">
      <c r="A920" s="63" t="s">
        <v>4044</v>
      </c>
      <c r="B920" s="63" t="s">
        <v>894</v>
      </c>
      <c r="C920" s="65" t="s">
        <v>797</v>
      </c>
      <c r="D920" s="496">
        <v>31.605361127422196</v>
      </c>
      <c r="E920" s="499">
        <v>37.856464306627522</v>
      </c>
      <c r="F920" s="499">
        <v>40.046558029650697</v>
      </c>
      <c r="G920" s="499">
        <v>42.363354301458543</v>
      </c>
      <c r="H920" s="499">
        <v>44.078610894580798</v>
      </c>
      <c r="I920" s="66" t="s">
        <v>4046</v>
      </c>
      <c r="J920" s="538"/>
      <c r="K920" s="538"/>
    </row>
    <row r="921" spans="1:11" s="37" customFormat="1" hidden="1" outlineLevel="1" x14ac:dyDescent="0.3">
      <c r="A921" s="63" t="s">
        <v>4044</v>
      </c>
      <c r="B921" s="63" t="s">
        <v>915</v>
      </c>
      <c r="C921" s="65" t="s">
        <v>799</v>
      </c>
      <c r="D921" s="496">
        <v>29.064418286414394</v>
      </c>
      <c r="E921" s="499">
        <v>34.812958124939477</v>
      </c>
      <c r="F921" s="499">
        <v>36.826977195810571</v>
      </c>
      <c r="G921" s="499">
        <v>38.957512444458771</v>
      </c>
      <c r="H921" s="499">
        <v>40.534869364699134</v>
      </c>
      <c r="I921" s="66" t="s">
        <v>4045</v>
      </c>
      <c r="J921" s="538"/>
      <c r="K921" s="538"/>
    </row>
    <row r="922" spans="1:11" s="37" customFormat="1" hidden="1" outlineLevel="1" x14ac:dyDescent="0.3">
      <c r="A922" s="63" t="s">
        <v>4044</v>
      </c>
      <c r="B922" s="63" t="s">
        <v>915</v>
      </c>
      <c r="C922" s="65" t="s">
        <v>801</v>
      </c>
      <c r="D922" s="496">
        <v>19.107556742066098</v>
      </c>
      <c r="E922" s="499">
        <v>22.886767117660934</v>
      </c>
      <c r="F922" s="499">
        <v>24.210825397343097</v>
      </c>
      <c r="G922" s="499">
        <v>25.611483850347337</v>
      </c>
      <c r="H922" s="499">
        <v>26.648471295235286</v>
      </c>
      <c r="I922" s="66" t="s">
        <v>4045</v>
      </c>
      <c r="J922" s="538"/>
      <c r="K922" s="538"/>
    </row>
    <row r="923" spans="1:11" s="37" customFormat="1" hidden="1" outlineLevel="1" x14ac:dyDescent="0.3">
      <c r="A923" s="63" t="s">
        <v>4044</v>
      </c>
      <c r="B923" s="63" t="s">
        <v>915</v>
      </c>
      <c r="C923" s="65" t="s">
        <v>804</v>
      </c>
      <c r="D923" s="496">
        <v>29.690575455079273</v>
      </c>
      <c r="E923" s="499">
        <v>35.56296051884771</v>
      </c>
      <c r="F923" s="499">
        <v>37.620369155153291</v>
      </c>
      <c r="G923" s="499">
        <v>39.796804167075194</v>
      </c>
      <c r="H923" s="499">
        <v>41.408143303419756</v>
      </c>
      <c r="I923" s="66" t="s">
        <v>4046</v>
      </c>
      <c r="J923" s="538"/>
      <c r="K923" s="538"/>
    </row>
    <row r="924" spans="1:11" s="37" customFormat="1" hidden="1" outlineLevel="1" x14ac:dyDescent="0.3">
      <c r="A924" s="63" t="s">
        <v>4044</v>
      </c>
      <c r="B924" s="63" t="s">
        <v>915</v>
      </c>
      <c r="C924" s="65" t="s">
        <v>806</v>
      </c>
      <c r="D924" s="496">
        <v>93.368596594245446</v>
      </c>
      <c r="E924" s="499">
        <v>111.83561327078712</v>
      </c>
      <c r="F924" s="499">
        <v>118.3055908326356</v>
      </c>
      <c r="G924" s="499">
        <v>125.14987321945489</v>
      </c>
      <c r="H924" s="499">
        <v>130.21708634994803</v>
      </c>
      <c r="I924" s="66" t="s">
        <v>4046</v>
      </c>
      <c r="J924" s="538"/>
      <c r="K924" s="538"/>
    </row>
    <row r="925" spans="1:11" s="37" customFormat="1" hidden="1" outlineLevel="1" x14ac:dyDescent="0.3">
      <c r="A925" s="63" t="s">
        <v>4044</v>
      </c>
      <c r="B925" s="63" t="s">
        <v>915</v>
      </c>
      <c r="C925" s="65" t="s">
        <v>808</v>
      </c>
      <c r="D925" s="496">
        <v>31.343217850851435</v>
      </c>
      <c r="E925" s="499">
        <v>37.542472716633853</v>
      </c>
      <c r="F925" s="499">
        <v>39.714401219451645</v>
      </c>
      <c r="G925" s="499">
        <v>42.011981366394153</v>
      </c>
      <c r="H925" s="499">
        <v>43.713011164838505</v>
      </c>
      <c r="I925" s="66" t="s">
        <v>4046</v>
      </c>
      <c r="J925" s="538"/>
      <c r="K925" s="538"/>
    </row>
    <row r="926" spans="1:11" s="37" customFormat="1" hidden="1" outlineLevel="1" x14ac:dyDescent="0.3">
      <c r="A926" s="63" t="s">
        <v>4044</v>
      </c>
      <c r="B926" s="63" t="s">
        <v>915</v>
      </c>
      <c r="C926" s="65" t="s">
        <v>811</v>
      </c>
      <c r="D926" s="496">
        <v>20.330361726947952</v>
      </c>
      <c r="E926" s="499">
        <v>24.351426011369377</v>
      </c>
      <c r="F926" s="499">
        <v>25.760218571133777</v>
      </c>
      <c r="G926" s="499">
        <v>27.250513400026929</v>
      </c>
      <c r="H926" s="499">
        <v>28.353863773152437</v>
      </c>
      <c r="I926" s="66" t="s">
        <v>4049</v>
      </c>
      <c r="J926" s="538"/>
      <c r="K926" s="538"/>
    </row>
    <row r="927" spans="1:11" s="37" customFormat="1" hidden="1" outlineLevel="1" x14ac:dyDescent="0.3">
      <c r="A927" s="63" t="s">
        <v>4044</v>
      </c>
      <c r="B927" s="63" t="s">
        <v>934</v>
      </c>
      <c r="C927" s="65" t="s">
        <v>814</v>
      </c>
      <c r="D927" s="496">
        <v>166.93300682946426</v>
      </c>
      <c r="E927" s="499">
        <v>199.95004610640416</v>
      </c>
      <c r="F927" s="499">
        <v>211.51766999618104</v>
      </c>
      <c r="G927" s="499">
        <v>223.75451064814928</v>
      </c>
      <c r="H927" s="499">
        <v>232.81414263335463</v>
      </c>
      <c r="I927" s="66" t="s">
        <v>4045</v>
      </c>
      <c r="J927" s="538"/>
      <c r="K927" s="538"/>
    </row>
    <row r="928" spans="1:11" s="37" customFormat="1" hidden="1" outlineLevel="1" x14ac:dyDescent="0.3">
      <c r="A928" s="63" t="s">
        <v>4044</v>
      </c>
      <c r="B928" s="63" t="s">
        <v>934</v>
      </c>
      <c r="C928" s="65" t="s">
        <v>815</v>
      </c>
      <c r="D928" s="496">
        <v>149.32878998247313</v>
      </c>
      <c r="E928" s="499">
        <v>169.31007055709827</v>
      </c>
      <c r="F928" s="499">
        <v>180.99964144464616</v>
      </c>
      <c r="G928" s="499">
        <v>193.4962881729009</v>
      </c>
      <c r="H928" s="499">
        <v>201.33946438433125</v>
      </c>
      <c r="I928" s="66" t="s">
        <v>4045</v>
      </c>
      <c r="J928" s="538"/>
      <c r="K928" s="538"/>
    </row>
    <row r="929" spans="1:47" hidden="1" outlineLevel="1" x14ac:dyDescent="0.3">
      <c r="A929" s="63" t="s">
        <v>4044</v>
      </c>
      <c r="B929" s="63" t="s">
        <v>940</v>
      </c>
      <c r="C929" s="65" t="s">
        <v>817</v>
      </c>
      <c r="D929" s="496">
        <v>101.74944198085593</v>
      </c>
      <c r="E929" s="499">
        <v>115.36425898144671</v>
      </c>
      <c r="F929" s="499">
        <v>123.32928243702591</v>
      </c>
      <c r="G929" s="499">
        <v>131.84423009970402</v>
      </c>
      <c r="H929" s="499">
        <v>137.18840253265702</v>
      </c>
      <c r="I929" s="66" t="s">
        <v>4045</v>
      </c>
      <c r="J929" s="538"/>
      <c r="L929" s="37"/>
      <c r="M929" s="37"/>
      <c r="N929" s="37"/>
      <c r="O929" s="37"/>
      <c r="P929" s="37"/>
      <c r="Q929" s="37"/>
      <c r="R929" s="37"/>
      <c r="S929" s="37"/>
      <c r="T929" s="37"/>
      <c r="U929" s="37"/>
      <c r="V929" s="37"/>
      <c r="W929" s="37"/>
      <c r="X929" s="37"/>
      <c r="Y929" s="37"/>
      <c r="Z929" s="37"/>
      <c r="AA929" s="37"/>
      <c r="AB929" s="37"/>
      <c r="AC929" s="37"/>
      <c r="AD929" s="37"/>
      <c r="AE929" s="37"/>
      <c r="AF929" s="37"/>
      <c r="AG929" s="37"/>
      <c r="AH929" s="37"/>
      <c r="AI929" s="37"/>
      <c r="AJ929" s="37"/>
      <c r="AK929" s="37"/>
      <c r="AL929" s="37"/>
      <c r="AM929" s="37"/>
      <c r="AN929" s="37"/>
      <c r="AO929" s="37"/>
      <c r="AP929" s="37"/>
      <c r="AQ929" s="37"/>
      <c r="AR929" s="37"/>
      <c r="AS929" s="37"/>
      <c r="AT929" s="37"/>
      <c r="AU929" s="37"/>
    </row>
    <row r="930" spans="1:47" hidden="1" outlineLevel="1" x14ac:dyDescent="0.3">
      <c r="A930" s="63" t="s">
        <v>4044</v>
      </c>
      <c r="B930" s="63" t="s">
        <v>940</v>
      </c>
      <c r="C930" s="65" t="s">
        <v>944</v>
      </c>
      <c r="D930" s="496">
        <v>67.827840305825006</v>
      </c>
      <c r="E930" s="499">
        <v>76.903699743784884</v>
      </c>
      <c r="F930" s="499">
        <v>82.213314503921097</v>
      </c>
      <c r="G930" s="499">
        <v>87.889517724625293</v>
      </c>
      <c r="H930" s="499">
        <v>91.452030376216328</v>
      </c>
      <c r="I930" s="66" t="s">
        <v>4045</v>
      </c>
      <c r="J930" s="538"/>
      <c r="L930" s="37"/>
      <c r="M930" s="37"/>
      <c r="N930" s="37"/>
      <c r="O930" s="37"/>
      <c r="P930" s="37"/>
      <c r="Q930" s="37"/>
      <c r="R930" s="37"/>
      <c r="S930" s="37"/>
      <c r="T930" s="37"/>
      <c r="U930" s="37"/>
      <c r="V930" s="37"/>
      <c r="W930" s="37"/>
      <c r="X930" s="37"/>
      <c r="Y930" s="37"/>
      <c r="Z930" s="37"/>
      <c r="AA930" s="37"/>
      <c r="AB930" s="37"/>
      <c r="AC930" s="37"/>
      <c r="AD930" s="37"/>
      <c r="AE930" s="37"/>
      <c r="AF930" s="37"/>
      <c r="AG930" s="37"/>
      <c r="AH930" s="37"/>
      <c r="AI930" s="37"/>
      <c r="AJ930" s="37"/>
      <c r="AK930" s="37"/>
      <c r="AL930" s="37"/>
      <c r="AM930" s="37"/>
      <c r="AN930" s="37"/>
      <c r="AO930" s="37"/>
      <c r="AP930" s="37"/>
      <c r="AQ930" s="37"/>
      <c r="AR930" s="37"/>
      <c r="AS930" s="37"/>
      <c r="AT930" s="37"/>
      <c r="AU930" s="37"/>
    </row>
    <row r="931" spans="1:47" hidden="1" outlineLevel="1" x14ac:dyDescent="0.3">
      <c r="A931" s="63" t="s">
        <v>4044</v>
      </c>
      <c r="B931" s="63" t="s">
        <v>940</v>
      </c>
      <c r="C931" s="65" t="s">
        <v>821</v>
      </c>
      <c r="D931" s="496">
        <v>119.75492982647924</v>
      </c>
      <c r="E931" s="499">
        <v>135.77901234491577</v>
      </c>
      <c r="F931" s="499">
        <v>145.1535190391993</v>
      </c>
      <c r="G931" s="499">
        <v>155.17526402343239</v>
      </c>
      <c r="H931" s="499">
        <v>161.46513630410107</v>
      </c>
      <c r="I931" s="66" t="s">
        <v>4045</v>
      </c>
      <c r="J931" s="538"/>
      <c r="L931" s="37"/>
      <c r="M931" s="37"/>
      <c r="N931" s="37"/>
      <c r="O931" s="37"/>
      <c r="P931" s="37"/>
      <c r="Q931" s="37"/>
      <c r="R931" s="37"/>
      <c r="S931" s="37"/>
      <c r="T931" s="37"/>
      <c r="U931" s="37"/>
      <c r="V931" s="37"/>
      <c r="W931" s="37"/>
      <c r="X931" s="37"/>
      <c r="Y931" s="37"/>
      <c r="Z931" s="37"/>
      <c r="AA931" s="37"/>
      <c r="AB931" s="37"/>
      <c r="AC931" s="37"/>
      <c r="AD931" s="37"/>
      <c r="AE931" s="37"/>
      <c r="AF931" s="37"/>
      <c r="AG931" s="37"/>
      <c r="AH931" s="37"/>
      <c r="AI931" s="37"/>
      <c r="AJ931" s="37"/>
      <c r="AK931" s="37"/>
      <c r="AL931" s="37"/>
      <c r="AM931" s="37"/>
      <c r="AN931" s="37"/>
      <c r="AO931" s="37"/>
      <c r="AP931" s="37"/>
      <c r="AQ931" s="37"/>
      <c r="AR931" s="37"/>
      <c r="AS931" s="37"/>
      <c r="AT931" s="37"/>
      <c r="AU931" s="37"/>
    </row>
    <row r="932" spans="1:47" hidden="1" outlineLevel="1" x14ac:dyDescent="0.3">
      <c r="A932" s="63" t="s">
        <v>4044</v>
      </c>
      <c r="B932" s="63" t="s">
        <v>940</v>
      </c>
      <c r="C932" s="65" t="s">
        <v>823</v>
      </c>
      <c r="D932" s="496">
        <v>122.09011255048499</v>
      </c>
      <c r="E932" s="499">
        <v>138.42665953881277</v>
      </c>
      <c r="F932" s="499">
        <v>147.98396610705794</v>
      </c>
      <c r="G932" s="499">
        <v>158.20113190432548</v>
      </c>
      <c r="H932" s="499">
        <v>164.61365467718934</v>
      </c>
      <c r="I932" s="66" t="s">
        <v>4045</v>
      </c>
      <c r="J932" s="538"/>
      <c r="L932" s="37"/>
      <c r="M932" s="37"/>
      <c r="N932" s="37"/>
      <c r="O932" s="37"/>
      <c r="P932" s="37"/>
      <c r="Q932" s="37"/>
      <c r="R932" s="37"/>
      <c r="S932" s="37"/>
      <c r="T932" s="37"/>
      <c r="U932" s="37"/>
      <c r="V932" s="37"/>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7"/>
      <c r="AS932" s="37"/>
      <c r="AT932" s="37"/>
      <c r="AU932" s="37"/>
    </row>
    <row r="933" spans="1:47" hidden="1" outlineLevel="1" x14ac:dyDescent="0.3">
      <c r="A933" s="63" t="s">
        <v>4044</v>
      </c>
      <c r="B933" s="63" t="s">
        <v>940</v>
      </c>
      <c r="C933" s="65" t="s">
        <v>825</v>
      </c>
      <c r="D933" s="496">
        <v>67.904655527009396</v>
      </c>
      <c r="E933" s="499">
        <v>76.990793401478854</v>
      </c>
      <c r="F933" s="499">
        <v>82.306421315363806</v>
      </c>
      <c r="G933" s="499">
        <v>87.989052852286235</v>
      </c>
      <c r="H933" s="499">
        <v>91.55560005954159</v>
      </c>
      <c r="I933" s="66" t="s">
        <v>4045</v>
      </c>
      <c r="J933" s="538"/>
      <c r="L933" s="37"/>
      <c r="M933" s="37"/>
      <c r="N933" s="37"/>
      <c r="O933" s="37"/>
      <c r="P933" s="37"/>
      <c r="Q933" s="37"/>
      <c r="R933" s="37"/>
      <c r="S933" s="37"/>
      <c r="T933" s="37"/>
      <c r="U933" s="37"/>
      <c r="V933" s="37"/>
      <c r="W933" s="37"/>
      <c r="X933" s="37"/>
      <c r="Y933" s="37"/>
      <c r="Z933" s="37"/>
      <c r="AA933" s="37"/>
      <c r="AB933" s="37"/>
      <c r="AC933" s="37"/>
      <c r="AD933" s="37"/>
      <c r="AE933" s="37"/>
      <c r="AF933" s="37"/>
      <c r="AG933" s="37"/>
      <c r="AH933" s="37"/>
      <c r="AI933" s="37"/>
      <c r="AJ933" s="37"/>
      <c r="AK933" s="37"/>
      <c r="AL933" s="37"/>
      <c r="AM933" s="37"/>
      <c r="AN933" s="37"/>
      <c r="AO933" s="37"/>
      <c r="AP933" s="37"/>
      <c r="AQ933" s="37"/>
      <c r="AR933" s="37"/>
      <c r="AS933" s="37"/>
      <c r="AT933" s="37"/>
      <c r="AU933" s="37"/>
    </row>
    <row r="934" spans="1:47" hidden="1" outlineLevel="1" x14ac:dyDescent="0.3">
      <c r="A934" s="63" t="s">
        <v>4044</v>
      </c>
      <c r="B934" s="63" t="s">
        <v>940</v>
      </c>
      <c r="C934" s="65" t="s">
        <v>827</v>
      </c>
      <c r="D934" s="496">
        <v>64.447970573711416</v>
      </c>
      <c r="E934" s="499">
        <v>73.071578805249743</v>
      </c>
      <c r="F934" s="499">
        <v>78.116614800441454</v>
      </c>
      <c r="G934" s="499">
        <v>83.509972107543177</v>
      </c>
      <c r="H934" s="499">
        <v>86.89496430990431</v>
      </c>
      <c r="I934" s="66" t="s">
        <v>4045</v>
      </c>
      <c r="J934" s="538"/>
      <c r="L934" s="37"/>
      <c r="M934" s="37"/>
      <c r="N934" s="37"/>
      <c r="O934" s="37"/>
      <c r="P934" s="37"/>
      <c r="Q934" s="37"/>
      <c r="R934" s="37"/>
      <c r="S934" s="37"/>
      <c r="T934" s="37"/>
      <c r="U934" s="37"/>
      <c r="V934" s="37"/>
      <c r="W934" s="37"/>
      <c r="X934" s="37"/>
      <c r="Y934" s="37"/>
      <c r="Z934" s="37"/>
      <c r="AA934" s="37"/>
      <c r="AB934" s="37"/>
      <c r="AC934" s="37"/>
      <c r="AD934" s="37"/>
      <c r="AE934" s="37"/>
      <c r="AF934" s="37"/>
      <c r="AG934" s="37"/>
      <c r="AH934" s="37"/>
      <c r="AI934" s="37"/>
      <c r="AJ934" s="37"/>
      <c r="AK934" s="37"/>
      <c r="AL934" s="37"/>
      <c r="AM934" s="37"/>
      <c r="AN934" s="37"/>
      <c r="AO934" s="37"/>
      <c r="AP934" s="37"/>
      <c r="AQ934" s="37"/>
      <c r="AR934" s="37"/>
      <c r="AS934" s="37"/>
      <c r="AT934" s="37"/>
      <c r="AU934" s="37"/>
    </row>
    <row r="935" spans="1:47" hidden="1" outlineLevel="1" x14ac:dyDescent="0.3">
      <c r="A935" s="63" t="s">
        <v>4044</v>
      </c>
      <c r="B935" s="63" t="s">
        <v>940</v>
      </c>
      <c r="C935" s="65" t="s">
        <v>829</v>
      </c>
      <c r="D935" s="496">
        <v>216.41920416492792</v>
      </c>
      <c r="E935" s="499">
        <v>245.37767118702098</v>
      </c>
      <c r="F935" s="499">
        <v>262.31913055871718</v>
      </c>
      <c r="G935" s="499">
        <v>280.43026867198103</v>
      </c>
      <c r="H935" s="499">
        <v>291.79722580062497</v>
      </c>
      <c r="I935" s="66" t="s">
        <v>4045</v>
      </c>
      <c r="J935" s="538"/>
      <c r="L935" s="37"/>
      <c r="M935" s="37"/>
      <c r="N935" s="37"/>
      <c r="O935" s="37"/>
      <c r="P935" s="37"/>
      <c r="Q935" s="37"/>
      <c r="R935" s="37"/>
      <c r="S935" s="37"/>
      <c r="T935" s="37"/>
      <c r="U935" s="37"/>
      <c r="V935" s="37"/>
      <c r="W935" s="37"/>
      <c r="X935" s="37"/>
      <c r="Y935" s="37"/>
      <c r="Z935" s="37"/>
      <c r="AA935" s="37"/>
      <c r="AB935" s="37"/>
      <c r="AC935" s="37"/>
      <c r="AD935" s="37"/>
      <c r="AE935" s="37"/>
      <c r="AF935" s="37"/>
      <c r="AG935" s="37"/>
      <c r="AH935" s="37"/>
      <c r="AI935" s="37"/>
      <c r="AJ935" s="37"/>
      <c r="AK935" s="37"/>
      <c r="AL935" s="37"/>
      <c r="AM935" s="37"/>
      <c r="AN935" s="37"/>
      <c r="AO935" s="37"/>
      <c r="AP935" s="37"/>
      <c r="AQ935" s="37"/>
      <c r="AR935" s="37"/>
      <c r="AS935" s="37"/>
      <c r="AT935" s="37"/>
      <c r="AU935" s="37"/>
    </row>
    <row r="936" spans="1:47" hidden="1" outlineLevel="1" x14ac:dyDescent="0.3">
      <c r="A936" s="63" t="s">
        <v>4044</v>
      </c>
      <c r="B936" s="63" t="s">
        <v>940</v>
      </c>
      <c r="C936" s="65" t="s">
        <v>833</v>
      </c>
      <c r="D936" s="496">
        <v>148.23478267754231</v>
      </c>
      <c r="E936" s="499">
        <v>168.06967710042085</v>
      </c>
      <c r="F936" s="499">
        <v>179.67360826676037</v>
      </c>
      <c r="G936" s="499">
        <v>192.07870250329898</v>
      </c>
      <c r="H936" s="499">
        <v>199.86441831429232</v>
      </c>
      <c r="I936" s="66" t="s">
        <v>4050</v>
      </c>
      <c r="J936" s="538"/>
      <c r="L936" s="37"/>
      <c r="M936" s="37"/>
      <c r="N936" s="37"/>
      <c r="O936" s="37"/>
      <c r="P936" s="37"/>
      <c r="Q936" s="37"/>
      <c r="R936" s="37"/>
      <c r="S936" s="37"/>
      <c r="T936" s="37"/>
      <c r="U936" s="37"/>
      <c r="V936" s="37"/>
      <c r="W936" s="37"/>
      <c r="X936" s="37"/>
      <c r="Y936" s="37"/>
      <c r="Z936" s="37"/>
      <c r="AA936" s="37"/>
      <c r="AB936" s="37"/>
      <c r="AC936" s="37"/>
      <c r="AD936" s="37"/>
      <c r="AE936" s="37"/>
      <c r="AF936" s="37"/>
      <c r="AG936" s="37"/>
      <c r="AH936" s="37"/>
      <c r="AI936" s="37"/>
      <c r="AJ936" s="37"/>
      <c r="AK936" s="37"/>
      <c r="AL936" s="37"/>
      <c r="AM936" s="37"/>
      <c r="AN936" s="37"/>
      <c r="AO936" s="37"/>
      <c r="AP936" s="37"/>
      <c r="AQ936" s="37"/>
      <c r="AR936" s="37"/>
      <c r="AS936" s="37"/>
      <c r="AT936" s="37"/>
      <c r="AU936" s="37"/>
    </row>
    <row r="937" spans="1:47" hidden="1" outlineLevel="1" x14ac:dyDescent="0.3">
      <c r="A937" s="63" t="s">
        <v>4044</v>
      </c>
      <c r="B937" s="63" t="s">
        <v>940</v>
      </c>
      <c r="C937" s="65" t="s">
        <v>836</v>
      </c>
      <c r="D937" s="496">
        <v>121.72139948879989</v>
      </c>
      <c r="E937" s="499">
        <v>138.00860998188168</v>
      </c>
      <c r="F937" s="499">
        <v>147.53705341213291</v>
      </c>
      <c r="G937" s="499">
        <v>157.72336329155291</v>
      </c>
      <c r="H937" s="499">
        <v>164.11652019722808</v>
      </c>
      <c r="I937" s="66" t="s">
        <v>4045</v>
      </c>
      <c r="J937" s="538"/>
      <c r="L937" s="37"/>
      <c r="M937" s="37"/>
      <c r="N937" s="37"/>
      <c r="O937" s="37"/>
      <c r="P937" s="37"/>
      <c r="Q937" s="37"/>
      <c r="R937" s="37"/>
      <c r="S937" s="37"/>
      <c r="T937" s="37"/>
      <c r="U937" s="37"/>
      <c r="V937" s="37"/>
      <c r="W937" s="37"/>
      <c r="X937" s="37"/>
      <c r="Y937" s="37"/>
      <c r="Z937" s="37"/>
      <c r="AA937" s="37"/>
      <c r="AB937" s="37"/>
      <c r="AC937" s="37"/>
      <c r="AD937" s="37"/>
      <c r="AE937" s="37"/>
      <c r="AF937" s="37"/>
      <c r="AG937" s="37"/>
      <c r="AH937" s="37"/>
      <c r="AI937" s="37"/>
      <c r="AJ937" s="37"/>
      <c r="AK937" s="37"/>
      <c r="AL937" s="37"/>
      <c r="AM937" s="37"/>
      <c r="AN937" s="37"/>
      <c r="AO937" s="37"/>
      <c r="AP937" s="37"/>
      <c r="AQ937" s="37"/>
      <c r="AR937" s="37"/>
      <c r="AS937" s="37"/>
      <c r="AT937" s="37"/>
      <c r="AU937" s="37"/>
    </row>
    <row r="938" spans="1:47" hidden="1" outlineLevel="1" x14ac:dyDescent="0.3">
      <c r="A938" s="63" t="s">
        <v>4044</v>
      </c>
      <c r="B938" s="63" t="s">
        <v>940</v>
      </c>
      <c r="C938" s="65" t="s">
        <v>837</v>
      </c>
      <c r="D938" s="496">
        <v>76.200699414924571</v>
      </c>
      <c r="E938" s="499">
        <v>86.396908432428773</v>
      </c>
      <c r="F938" s="499">
        <v>92.36195695117749</v>
      </c>
      <c r="G938" s="499">
        <v>98.738846639669632</v>
      </c>
      <c r="H938" s="499">
        <v>102.74112585867113</v>
      </c>
      <c r="I938" s="66" t="s">
        <v>4045</v>
      </c>
      <c r="J938" s="538"/>
      <c r="L938" s="37"/>
      <c r="M938" s="37"/>
      <c r="N938" s="37"/>
      <c r="O938" s="37"/>
      <c r="P938" s="37"/>
      <c r="Q938" s="37"/>
      <c r="R938" s="37"/>
      <c r="S938" s="37"/>
      <c r="T938" s="37"/>
      <c r="U938" s="37"/>
      <c r="V938" s="37"/>
      <c r="W938" s="37"/>
      <c r="X938" s="37"/>
      <c r="Y938" s="37"/>
      <c r="Z938" s="37"/>
      <c r="AA938" s="37"/>
      <c r="AB938" s="37"/>
      <c r="AC938" s="37"/>
      <c r="AD938" s="37"/>
      <c r="AE938" s="37"/>
      <c r="AF938" s="37"/>
      <c r="AG938" s="37"/>
      <c r="AH938" s="37"/>
      <c r="AI938" s="37"/>
      <c r="AJ938" s="37"/>
      <c r="AK938" s="37"/>
      <c r="AL938" s="37"/>
      <c r="AM938" s="37"/>
      <c r="AN938" s="37"/>
      <c r="AO938" s="37"/>
      <c r="AP938" s="37"/>
      <c r="AQ938" s="37"/>
      <c r="AR938" s="37"/>
      <c r="AS938" s="37"/>
      <c r="AT938" s="37"/>
      <c r="AU938" s="37"/>
    </row>
    <row r="939" spans="1:47" hidden="1" outlineLevel="1" x14ac:dyDescent="0.3">
      <c r="A939" s="63" t="s">
        <v>4044</v>
      </c>
      <c r="B939" s="63" t="s">
        <v>940</v>
      </c>
      <c r="C939" s="65" t="s">
        <v>839</v>
      </c>
      <c r="D939" s="496">
        <v>354.85559578345317</v>
      </c>
      <c r="E939" s="499">
        <v>402.33786108311284</v>
      </c>
      <c r="F939" s="499">
        <v>430.11622614078584</v>
      </c>
      <c r="G939" s="499">
        <v>459.81247574255826</v>
      </c>
      <c r="H939" s="499">
        <v>478.45050908943256</v>
      </c>
      <c r="I939" s="66" t="s">
        <v>4045</v>
      </c>
      <c r="J939" s="538"/>
      <c r="L939" s="37"/>
      <c r="M939" s="37"/>
      <c r="N939" s="37"/>
      <c r="O939" s="37"/>
      <c r="P939" s="37"/>
      <c r="Q939" s="37"/>
      <c r="R939" s="37"/>
      <c r="S939" s="37"/>
      <c r="T939" s="37"/>
      <c r="U939" s="37"/>
      <c r="V939" s="37"/>
      <c r="W939" s="37"/>
      <c r="X939" s="37"/>
      <c r="Y939" s="37"/>
      <c r="Z939" s="37"/>
      <c r="AA939" s="37"/>
      <c r="AB939" s="37"/>
      <c r="AC939" s="37"/>
      <c r="AD939" s="37"/>
      <c r="AE939" s="37"/>
      <c r="AF939" s="37"/>
      <c r="AG939" s="37"/>
      <c r="AH939" s="37"/>
      <c r="AI939" s="37"/>
      <c r="AJ939" s="37"/>
      <c r="AK939" s="37"/>
      <c r="AL939" s="37"/>
      <c r="AM939" s="37"/>
      <c r="AN939" s="37"/>
      <c r="AO939" s="37"/>
      <c r="AP939" s="37"/>
      <c r="AQ939" s="37"/>
      <c r="AR939" s="37"/>
      <c r="AS939" s="37"/>
      <c r="AT939" s="37"/>
      <c r="AU939" s="37"/>
    </row>
    <row r="940" spans="1:47" hidden="1" outlineLevel="1" x14ac:dyDescent="0.3">
      <c r="A940" s="63" t="s">
        <v>4044</v>
      </c>
      <c r="B940" s="63" t="s">
        <v>940</v>
      </c>
      <c r="C940" s="65" t="s">
        <v>840</v>
      </c>
      <c r="D940" s="496">
        <v>158.11645128596851</v>
      </c>
      <c r="E940" s="499">
        <v>179.27358499728973</v>
      </c>
      <c r="F940" s="499">
        <v>191.65106067369334</v>
      </c>
      <c r="G940" s="499">
        <v>204.88310677731451</v>
      </c>
      <c r="H940" s="499">
        <v>213.18783615674261</v>
      </c>
      <c r="I940" s="66" t="s">
        <v>4045</v>
      </c>
      <c r="J940" s="538"/>
      <c r="L940" s="37"/>
      <c r="M940" s="37"/>
      <c r="N940" s="37"/>
    </row>
    <row r="941" spans="1:47" collapsed="1" x14ac:dyDescent="0.3">
      <c r="A941" s="63"/>
      <c r="B941" s="63"/>
      <c r="C941" s="63"/>
      <c r="D941" s="64"/>
      <c r="E941" s="64"/>
      <c r="F941" s="64"/>
      <c r="G941" s="64"/>
      <c r="H941" s="64"/>
      <c r="I941" s="63"/>
      <c r="J941" s="538"/>
    </row>
    <row r="942" spans="1:47" x14ac:dyDescent="0.3">
      <c r="A942" s="65" t="s">
        <v>4051</v>
      </c>
      <c r="B942" s="65"/>
      <c r="C942" s="64" t="s">
        <v>4032</v>
      </c>
      <c r="D942" s="473">
        <v>135.45588382227896</v>
      </c>
      <c r="E942" s="473">
        <v>158.63881490768102</v>
      </c>
      <c r="F942" s="473">
        <v>185.78944587104183</v>
      </c>
      <c r="G942" s="473">
        <v>217.58683848688796</v>
      </c>
      <c r="H942" s="473">
        <v>254.82627423078102</v>
      </c>
      <c r="I942" s="224"/>
      <c r="J942" s="538"/>
      <c r="L942" s="41"/>
      <c r="M942" s="41"/>
      <c r="N942" s="42"/>
      <c r="O942" s="42"/>
    </row>
    <row r="943" spans="1:47" x14ac:dyDescent="0.3">
      <c r="A943" s="122" t="s">
        <v>5</v>
      </c>
      <c r="B943" s="122" t="s">
        <v>847</v>
      </c>
      <c r="C943" s="122" t="s">
        <v>193</v>
      </c>
      <c r="D943" s="495">
        <v>2025</v>
      </c>
      <c r="E943" s="495">
        <v>2030</v>
      </c>
      <c r="F943" s="495">
        <v>2035</v>
      </c>
      <c r="G943" s="495">
        <v>2040</v>
      </c>
      <c r="H943" s="495">
        <v>2045</v>
      </c>
      <c r="I943" s="315" t="s">
        <v>153</v>
      </c>
      <c r="J943" s="538"/>
      <c r="L943" s="41"/>
      <c r="M943" s="41"/>
      <c r="N943" s="42"/>
      <c r="O943" s="42"/>
    </row>
    <row r="944" spans="1:47" hidden="1" outlineLevel="1" x14ac:dyDescent="0.3">
      <c r="A944" s="63" t="s">
        <v>4051</v>
      </c>
      <c r="B944" s="63" t="s">
        <v>855</v>
      </c>
      <c r="C944" s="65" t="s">
        <v>747</v>
      </c>
      <c r="D944" s="473">
        <v>135.45588382227893</v>
      </c>
      <c r="E944" s="473">
        <v>158.63881490768094</v>
      </c>
      <c r="F944" s="473">
        <v>185.78944587104203</v>
      </c>
      <c r="G944" s="473">
        <v>217.58683848688781</v>
      </c>
      <c r="H944" s="473">
        <v>254.82627423078094</v>
      </c>
      <c r="I944" s="224"/>
      <c r="J944" s="538"/>
      <c r="L944" s="41"/>
      <c r="M944" s="41"/>
      <c r="N944" s="42"/>
      <c r="O944" s="42"/>
    </row>
    <row r="945" spans="1:15" hidden="1" outlineLevel="1" x14ac:dyDescent="0.3">
      <c r="A945" s="63" t="s">
        <v>4051</v>
      </c>
      <c r="B945" s="63" t="s">
        <v>855</v>
      </c>
      <c r="C945" s="65" t="s">
        <v>751</v>
      </c>
      <c r="D945" s="473">
        <v>135.45588382227893</v>
      </c>
      <c r="E945" s="473">
        <v>158.63881490768094</v>
      </c>
      <c r="F945" s="473">
        <v>185.78944587104203</v>
      </c>
      <c r="G945" s="473">
        <v>217.58683848688781</v>
      </c>
      <c r="H945" s="473">
        <v>254.82627423078094</v>
      </c>
      <c r="I945" s="224"/>
      <c r="J945" s="538"/>
      <c r="L945" s="41"/>
      <c r="M945" s="41"/>
      <c r="N945" s="42"/>
      <c r="O945" s="42"/>
    </row>
    <row r="946" spans="1:15" hidden="1" outlineLevel="1" x14ac:dyDescent="0.3">
      <c r="A946" s="63" t="s">
        <v>4051</v>
      </c>
      <c r="B946" s="63" t="s">
        <v>855</v>
      </c>
      <c r="C946" s="65" t="s">
        <v>755</v>
      </c>
      <c r="D946" s="473">
        <v>135.45588382227893</v>
      </c>
      <c r="E946" s="473">
        <v>158.63881490768094</v>
      </c>
      <c r="F946" s="473">
        <v>185.78944587104203</v>
      </c>
      <c r="G946" s="473">
        <v>217.58683848688781</v>
      </c>
      <c r="H946" s="473">
        <v>254.82627423078094</v>
      </c>
      <c r="I946" s="224"/>
      <c r="J946" s="538"/>
      <c r="L946" s="41"/>
      <c r="M946" s="41"/>
      <c r="N946" s="42"/>
      <c r="O946" s="42"/>
    </row>
    <row r="947" spans="1:15" hidden="1" outlineLevel="1" x14ac:dyDescent="0.3">
      <c r="A947" s="63" t="s">
        <v>4051</v>
      </c>
      <c r="B947" s="63" t="s">
        <v>855</v>
      </c>
      <c r="C947" s="65" t="s">
        <v>758</v>
      </c>
      <c r="D947" s="473">
        <v>135.45588382227893</v>
      </c>
      <c r="E947" s="473">
        <v>158.63881490768094</v>
      </c>
      <c r="F947" s="473">
        <v>185.78944587104203</v>
      </c>
      <c r="G947" s="473">
        <v>217.58683848688781</v>
      </c>
      <c r="H947" s="473">
        <v>254.82627423078094</v>
      </c>
      <c r="I947" s="224"/>
      <c r="J947" s="538"/>
      <c r="L947" s="41"/>
      <c r="M947" s="41"/>
      <c r="N947" s="42"/>
      <c r="O947" s="42"/>
    </row>
    <row r="948" spans="1:15" hidden="1" outlineLevel="1" x14ac:dyDescent="0.3">
      <c r="A948" s="63" t="s">
        <v>4051</v>
      </c>
      <c r="B948" s="63" t="s">
        <v>855</v>
      </c>
      <c r="C948" s="65" t="s">
        <v>761</v>
      </c>
      <c r="D948" s="473">
        <v>135.45588382227893</v>
      </c>
      <c r="E948" s="473">
        <v>158.63881490768094</v>
      </c>
      <c r="F948" s="473">
        <v>185.78944587104203</v>
      </c>
      <c r="G948" s="473">
        <v>217.58683848688781</v>
      </c>
      <c r="H948" s="473">
        <v>254.82627423078094</v>
      </c>
      <c r="I948" s="224"/>
      <c r="J948" s="538"/>
      <c r="L948" s="41"/>
      <c r="M948" s="41"/>
      <c r="N948" s="42"/>
      <c r="O948" s="42"/>
    </row>
    <row r="949" spans="1:15" hidden="1" outlineLevel="1" x14ac:dyDescent="0.3">
      <c r="A949" s="63" t="s">
        <v>4051</v>
      </c>
      <c r="B949" s="63" t="s">
        <v>855</v>
      </c>
      <c r="C949" s="65" t="s">
        <v>763</v>
      </c>
      <c r="D949" s="473">
        <v>135.45588382227893</v>
      </c>
      <c r="E949" s="473">
        <v>158.63881490768094</v>
      </c>
      <c r="F949" s="473">
        <v>185.78944587104203</v>
      </c>
      <c r="G949" s="473">
        <v>217.58683848688781</v>
      </c>
      <c r="H949" s="473">
        <v>254.82627423078094</v>
      </c>
      <c r="I949" s="224"/>
      <c r="J949" s="538"/>
      <c r="L949" s="41"/>
      <c r="M949" s="41"/>
      <c r="N949" s="42"/>
      <c r="O949" s="42"/>
    </row>
    <row r="950" spans="1:15" hidden="1" outlineLevel="1" x14ac:dyDescent="0.3">
      <c r="A950" s="63" t="s">
        <v>4051</v>
      </c>
      <c r="B950" s="63" t="s">
        <v>855</v>
      </c>
      <c r="C950" s="65" t="s">
        <v>765</v>
      </c>
      <c r="D950" s="473">
        <v>135.45588382227893</v>
      </c>
      <c r="E950" s="473">
        <v>158.63881490768094</v>
      </c>
      <c r="F950" s="473">
        <v>185.78944587104203</v>
      </c>
      <c r="G950" s="473">
        <v>217.58683848688781</v>
      </c>
      <c r="H950" s="473">
        <v>254.82627423078094</v>
      </c>
      <c r="I950" s="224"/>
      <c r="J950" s="538"/>
      <c r="L950" s="41"/>
      <c r="M950" s="41"/>
      <c r="N950" s="42"/>
      <c r="O950" s="42"/>
    </row>
    <row r="951" spans="1:15" hidden="1" outlineLevel="1" x14ac:dyDescent="0.3">
      <c r="A951" s="63" t="s">
        <v>4051</v>
      </c>
      <c r="B951" s="63" t="s">
        <v>855</v>
      </c>
      <c r="C951" s="65" t="s">
        <v>768</v>
      </c>
      <c r="D951" s="473">
        <v>135.45588382227893</v>
      </c>
      <c r="E951" s="473">
        <v>158.63881490768094</v>
      </c>
      <c r="F951" s="473">
        <v>185.78944587104203</v>
      </c>
      <c r="G951" s="473">
        <v>217.58683848688781</v>
      </c>
      <c r="H951" s="473">
        <v>254.82627423078094</v>
      </c>
      <c r="I951" s="224"/>
      <c r="J951" s="538"/>
      <c r="L951" s="41"/>
      <c r="M951" s="41"/>
      <c r="N951" s="42"/>
      <c r="O951" s="42"/>
    </row>
    <row r="952" spans="1:15" hidden="1" outlineLevel="1" x14ac:dyDescent="0.3">
      <c r="A952" s="63" t="s">
        <v>4051</v>
      </c>
      <c r="B952" s="63" t="s">
        <v>855</v>
      </c>
      <c r="C952" s="65" t="s">
        <v>771</v>
      </c>
      <c r="D952" s="473">
        <v>135.45588382227893</v>
      </c>
      <c r="E952" s="473">
        <v>158.63881490768094</v>
      </c>
      <c r="F952" s="473">
        <v>185.78944587104203</v>
      </c>
      <c r="G952" s="473">
        <v>217.58683848688781</v>
      </c>
      <c r="H952" s="473">
        <v>254.82627423078094</v>
      </c>
      <c r="I952" s="224"/>
      <c r="J952" s="538"/>
      <c r="L952" s="41"/>
      <c r="M952" s="41"/>
      <c r="N952" s="42"/>
      <c r="O952" s="42"/>
    </row>
    <row r="953" spans="1:15" hidden="1" outlineLevel="1" x14ac:dyDescent="0.3">
      <c r="A953" s="63" t="s">
        <v>4051</v>
      </c>
      <c r="B953" s="63" t="s">
        <v>855</v>
      </c>
      <c r="C953" s="65" t="s">
        <v>772</v>
      </c>
      <c r="D953" s="473">
        <v>135.45588382227893</v>
      </c>
      <c r="E953" s="473">
        <v>158.63881490768094</v>
      </c>
      <c r="F953" s="473">
        <v>185.78944587104203</v>
      </c>
      <c r="G953" s="473">
        <v>217.58683848688781</v>
      </c>
      <c r="H953" s="473">
        <v>254.82627423078094</v>
      </c>
      <c r="I953" s="224"/>
      <c r="J953" s="538"/>
      <c r="L953" s="41"/>
      <c r="M953" s="41"/>
      <c r="N953" s="42"/>
      <c r="O953" s="42"/>
    </row>
    <row r="954" spans="1:15" hidden="1" outlineLevel="1" x14ac:dyDescent="0.3">
      <c r="A954" s="63" t="s">
        <v>4051</v>
      </c>
      <c r="B954" s="63" t="s">
        <v>855</v>
      </c>
      <c r="C954" s="65" t="s">
        <v>774</v>
      </c>
      <c r="D954" s="473">
        <v>135.45588382227893</v>
      </c>
      <c r="E954" s="473">
        <v>158.63881490768094</v>
      </c>
      <c r="F954" s="473">
        <v>185.78944587104203</v>
      </c>
      <c r="G954" s="473">
        <v>217.58683848688781</v>
      </c>
      <c r="H954" s="473">
        <v>254.82627423078094</v>
      </c>
      <c r="I954" s="224"/>
      <c r="J954" s="538"/>
      <c r="L954" s="41"/>
      <c r="M954" s="41"/>
      <c r="N954" s="42"/>
      <c r="O954" s="42"/>
    </row>
    <row r="955" spans="1:15" hidden="1" outlineLevel="1" x14ac:dyDescent="0.3">
      <c r="A955" s="63" t="s">
        <v>4051</v>
      </c>
      <c r="B955" s="63" t="s">
        <v>855</v>
      </c>
      <c r="C955" s="65" t="s">
        <v>775</v>
      </c>
      <c r="D955" s="473">
        <v>135.45588382227893</v>
      </c>
      <c r="E955" s="473">
        <v>158.63881490768094</v>
      </c>
      <c r="F955" s="473">
        <v>185.78944587104203</v>
      </c>
      <c r="G955" s="473">
        <v>217.58683848688781</v>
      </c>
      <c r="H955" s="473">
        <v>254.82627423078094</v>
      </c>
      <c r="I955" s="224"/>
      <c r="J955" s="538"/>
      <c r="L955" s="41"/>
      <c r="M955" s="41"/>
      <c r="N955" s="42"/>
      <c r="O955" s="42"/>
    </row>
    <row r="956" spans="1:15" hidden="1" outlineLevel="1" x14ac:dyDescent="0.3">
      <c r="A956" s="63" t="s">
        <v>4051</v>
      </c>
      <c r="B956" s="63" t="s">
        <v>855</v>
      </c>
      <c r="C956" s="65" t="s">
        <v>779</v>
      </c>
      <c r="D956" s="473">
        <v>135.45588382227893</v>
      </c>
      <c r="E956" s="473">
        <v>158.63881490768094</v>
      </c>
      <c r="F956" s="473">
        <v>185.78944587104203</v>
      </c>
      <c r="G956" s="473">
        <v>217.58683848688781</v>
      </c>
      <c r="H956" s="473">
        <v>254.82627423078094</v>
      </c>
      <c r="I956" s="224"/>
      <c r="J956" s="538"/>
      <c r="L956" s="41"/>
      <c r="M956" s="41"/>
      <c r="N956" s="42"/>
      <c r="O956" s="42"/>
    </row>
    <row r="957" spans="1:15" hidden="1" outlineLevel="1" x14ac:dyDescent="0.3">
      <c r="A957" s="63" t="s">
        <v>4051</v>
      </c>
      <c r="B957" s="63" t="s">
        <v>894</v>
      </c>
      <c r="C957" s="65" t="s">
        <v>781</v>
      </c>
      <c r="D957" s="473">
        <v>135.45588382227893</v>
      </c>
      <c r="E957" s="473">
        <v>158.63881490768094</v>
      </c>
      <c r="F957" s="473">
        <v>185.78944587104203</v>
      </c>
      <c r="G957" s="473">
        <v>217.58683848688781</v>
      </c>
      <c r="H957" s="473">
        <v>254.82627423078094</v>
      </c>
      <c r="I957" s="224"/>
      <c r="J957" s="538"/>
      <c r="L957" s="41"/>
      <c r="M957" s="41"/>
      <c r="N957" s="42"/>
      <c r="O957" s="42"/>
    </row>
    <row r="958" spans="1:15" hidden="1" outlineLevel="1" x14ac:dyDescent="0.3">
      <c r="A958" s="63" t="s">
        <v>4051</v>
      </c>
      <c r="B958" s="63" t="s">
        <v>894</v>
      </c>
      <c r="C958" s="65" t="s">
        <v>783</v>
      </c>
      <c r="D958" s="473">
        <v>135.45588382227893</v>
      </c>
      <c r="E958" s="473">
        <v>158.63881490768094</v>
      </c>
      <c r="F958" s="473">
        <v>185.78944587104203</v>
      </c>
      <c r="G958" s="473">
        <v>217.58683848688781</v>
      </c>
      <c r="H958" s="473">
        <v>254.82627423078094</v>
      </c>
      <c r="I958" s="224"/>
      <c r="J958" s="538"/>
      <c r="L958" s="41"/>
      <c r="M958" s="41"/>
      <c r="N958" s="42"/>
      <c r="O958" s="42"/>
    </row>
    <row r="959" spans="1:15" hidden="1" outlineLevel="1" x14ac:dyDescent="0.3">
      <c r="A959" s="63" t="s">
        <v>4051</v>
      </c>
      <c r="B959" s="63" t="s">
        <v>894</v>
      </c>
      <c r="C959" s="65" t="s">
        <v>785</v>
      </c>
      <c r="D959" s="473">
        <v>135.45588382227893</v>
      </c>
      <c r="E959" s="473">
        <v>158.63881490768094</v>
      </c>
      <c r="F959" s="473">
        <v>185.78944587104203</v>
      </c>
      <c r="G959" s="473">
        <v>217.58683848688781</v>
      </c>
      <c r="H959" s="473">
        <v>254.82627423078094</v>
      </c>
      <c r="I959" s="224"/>
      <c r="J959" s="538"/>
      <c r="L959" s="41"/>
      <c r="M959" s="41"/>
      <c r="N959" s="42"/>
      <c r="O959" s="42"/>
    </row>
    <row r="960" spans="1:15" hidden="1" outlineLevel="1" x14ac:dyDescent="0.3">
      <c r="A960" s="63" t="s">
        <v>4051</v>
      </c>
      <c r="B960" s="63" t="s">
        <v>894</v>
      </c>
      <c r="C960" s="65" t="s">
        <v>787</v>
      </c>
      <c r="D960" s="473">
        <v>135.45588382227893</v>
      </c>
      <c r="E960" s="473">
        <v>158.63881490768094</v>
      </c>
      <c r="F960" s="473">
        <v>185.78944587104203</v>
      </c>
      <c r="G960" s="473">
        <v>217.58683848688781</v>
      </c>
      <c r="H960" s="473">
        <v>254.82627423078094</v>
      </c>
      <c r="I960" s="224"/>
      <c r="J960" s="538"/>
      <c r="L960" s="41"/>
      <c r="M960" s="41"/>
      <c r="N960" s="42"/>
      <c r="O960" s="42"/>
    </row>
    <row r="961" spans="1:15" hidden="1" outlineLevel="1" x14ac:dyDescent="0.3">
      <c r="A961" s="63" t="s">
        <v>4051</v>
      </c>
      <c r="B961" s="63" t="s">
        <v>894</v>
      </c>
      <c r="C961" s="65" t="s">
        <v>788</v>
      </c>
      <c r="D961" s="473">
        <v>135.45588382227893</v>
      </c>
      <c r="E961" s="473">
        <v>158.63881490768094</v>
      </c>
      <c r="F961" s="473">
        <v>185.78944587104203</v>
      </c>
      <c r="G961" s="473">
        <v>217.58683848688781</v>
      </c>
      <c r="H961" s="473">
        <v>254.82627423078094</v>
      </c>
      <c r="I961" s="224"/>
      <c r="J961" s="538"/>
      <c r="L961" s="41"/>
      <c r="M961" s="41"/>
      <c r="N961" s="42"/>
      <c r="O961" s="42"/>
    </row>
    <row r="962" spans="1:15" hidden="1" outlineLevel="1" x14ac:dyDescent="0.3">
      <c r="A962" s="63" t="s">
        <v>4051</v>
      </c>
      <c r="B962" s="63" t="s">
        <v>894</v>
      </c>
      <c r="C962" s="65" t="s">
        <v>789</v>
      </c>
      <c r="D962" s="473">
        <v>135.45588382227893</v>
      </c>
      <c r="E962" s="473">
        <v>158.63881490768094</v>
      </c>
      <c r="F962" s="473">
        <v>185.78944587104203</v>
      </c>
      <c r="G962" s="473">
        <v>217.58683848688781</v>
      </c>
      <c r="H962" s="473">
        <v>254.82627423078094</v>
      </c>
      <c r="I962" s="224"/>
      <c r="J962" s="538"/>
      <c r="L962" s="41"/>
      <c r="M962" s="41"/>
      <c r="N962" s="42"/>
      <c r="O962" s="42"/>
    </row>
    <row r="963" spans="1:15" hidden="1" outlineLevel="1" x14ac:dyDescent="0.3">
      <c r="A963" s="63" t="s">
        <v>4051</v>
      </c>
      <c r="B963" s="63" t="s">
        <v>894</v>
      </c>
      <c r="C963" s="65" t="s">
        <v>790</v>
      </c>
      <c r="D963" s="473">
        <v>135.45588382227893</v>
      </c>
      <c r="E963" s="473">
        <v>158.63881490768094</v>
      </c>
      <c r="F963" s="473">
        <v>185.78944587104203</v>
      </c>
      <c r="G963" s="473">
        <v>217.58683848688781</v>
      </c>
      <c r="H963" s="473">
        <v>254.82627423078094</v>
      </c>
      <c r="I963" s="224"/>
      <c r="J963" s="538"/>
      <c r="L963" s="41"/>
      <c r="M963" s="41"/>
      <c r="N963" s="42"/>
      <c r="O963" s="42"/>
    </row>
    <row r="964" spans="1:15" hidden="1" outlineLevel="1" x14ac:dyDescent="0.3">
      <c r="A964" s="63" t="s">
        <v>4051</v>
      </c>
      <c r="B964" s="63" t="s">
        <v>894</v>
      </c>
      <c r="C964" s="65" t="s">
        <v>793</v>
      </c>
      <c r="D964" s="473">
        <v>48.415584961300631</v>
      </c>
      <c r="E964" s="473">
        <v>56.701789576006703</v>
      </c>
      <c r="F964" s="473">
        <v>66.406157101925317</v>
      </c>
      <c r="G964" s="473">
        <v>77.771402525742843</v>
      </c>
      <c r="H964" s="473">
        <v>91.081780888744703</v>
      </c>
      <c r="I964" s="224"/>
      <c r="J964" s="538"/>
      <c r="L964" s="41"/>
      <c r="M964" s="41"/>
      <c r="N964" s="42"/>
      <c r="O964" s="42"/>
    </row>
    <row r="965" spans="1:15" hidden="1" outlineLevel="1" x14ac:dyDescent="0.3">
      <c r="A965" s="63" t="s">
        <v>4051</v>
      </c>
      <c r="B965" s="63" t="s">
        <v>894</v>
      </c>
      <c r="C965" s="65" t="s">
        <v>795</v>
      </c>
      <c r="D965" s="473">
        <v>135.45588382227893</v>
      </c>
      <c r="E965" s="473">
        <v>158.63881490768094</v>
      </c>
      <c r="F965" s="473">
        <v>185.78944587104203</v>
      </c>
      <c r="G965" s="473">
        <v>217.58683848688781</v>
      </c>
      <c r="H965" s="473">
        <v>254.82627423078094</v>
      </c>
      <c r="I965" s="224"/>
      <c r="J965" s="538"/>
      <c r="L965" s="41"/>
      <c r="M965" s="41"/>
      <c r="N965" s="42"/>
      <c r="O965" s="42"/>
    </row>
    <row r="966" spans="1:15" hidden="1" outlineLevel="1" x14ac:dyDescent="0.3">
      <c r="A966" s="63" t="s">
        <v>4051</v>
      </c>
      <c r="B966" s="63" t="s">
        <v>894</v>
      </c>
      <c r="C966" s="65" t="s">
        <v>797</v>
      </c>
      <c r="D966" s="473">
        <v>135.45588382227893</v>
      </c>
      <c r="E966" s="473">
        <v>158.63881490768094</v>
      </c>
      <c r="F966" s="473">
        <v>185.78944587104203</v>
      </c>
      <c r="G966" s="473">
        <v>217.58683848688781</v>
      </c>
      <c r="H966" s="473">
        <v>254.82627423078094</v>
      </c>
      <c r="I966" s="224"/>
      <c r="J966" s="538"/>
      <c r="L966" s="41"/>
      <c r="M966" s="41"/>
      <c r="N966" s="42"/>
      <c r="O966" s="42"/>
    </row>
    <row r="967" spans="1:15" hidden="1" outlineLevel="1" x14ac:dyDescent="0.3">
      <c r="A967" s="63" t="s">
        <v>4051</v>
      </c>
      <c r="B967" s="63" t="s">
        <v>915</v>
      </c>
      <c r="C967" s="65" t="s">
        <v>799</v>
      </c>
      <c r="D967" s="473">
        <v>135.45588382227893</v>
      </c>
      <c r="E967" s="473">
        <v>158.63881490768094</v>
      </c>
      <c r="F967" s="473">
        <v>185.78944587104203</v>
      </c>
      <c r="G967" s="473">
        <v>217.58683848688781</v>
      </c>
      <c r="H967" s="473">
        <v>254.82627423078094</v>
      </c>
      <c r="I967" s="224"/>
      <c r="J967" s="538"/>
      <c r="L967" s="41"/>
      <c r="M967" s="41"/>
      <c r="N967" s="42"/>
      <c r="O967" s="42"/>
    </row>
    <row r="968" spans="1:15" hidden="1" outlineLevel="1" x14ac:dyDescent="0.3">
      <c r="A968" s="63" t="s">
        <v>4051</v>
      </c>
      <c r="B968" s="63" t="s">
        <v>915</v>
      </c>
      <c r="C968" s="65" t="s">
        <v>801</v>
      </c>
      <c r="D968" s="473">
        <v>135.45588382227893</v>
      </c>
      <c r="E968" s="473">
        <v>158.63881490768094</v>
      </c>
      <c r="F968" s="473">
        <v>185.78944587104203</v>
      </c>
      <c r="G968" s="473">
        <v>217.58683848688781</v>
      </c>
      <c r="H968" s="473">
        <v>254.82627423078094</v>
      </c>
      <c r="I968" s="224"/>
      <c r="J968" s="538"/>
      <c r="L968" s="41"/>
      <c r="M968" s="41"/>
      <c r="N968" s="42"/>
      <c r="O968" s="42"/>
    </row>
    <row r="969" spans="1:15" hidden="1" outlineLevel="1" x14ac:dyDescent="0.3">
      <c r="A969" s="63" t="s">
        <v>4051</v>
      </c>
      <c r="B969" s="63" t="s">
        <v>915</v>
      </c>
      <c r="C969" s="65" t="s">
        <v>804</v>
      </c>
      <c r="D969" s="473">
        <v>135.45588382227893</v>
      </c>
      <c r="E969" s="473">
        <v>158.63881490768094</v>
      </c>
      <c r="F969" s="473">
        <v>185.78944587104203</v>
      </c>
      <c r="G969" s="473">
        <v>217.58683848688781</v>
      </c>
      <c r="H969" s="473">
        <v>254.82627423078094</v>
      </c>
      <c r="I969" s="224"/>
      <c r="J969" s="538"/>
      <c r="L969" s="41"/>
      <c r="M969" s="41"/>
      <c r="N969" s="42"/>
      <c r="O969" s="42"/>
    </row>
    <row r="970" spans="1:15" hidden="1" outlineLevel="1" x14ac:dyDescent="0.3">
      <c r="A970" s="63" t="s">
        <v>4051</v>
      </c>
      <c r="B970" s="63" t="s">
        <v>915</v>
      </c>
      <c r="C970" s="65" t="s">
        <v>806</v>
      </c>
      <c r="D970" s="473">
        <v>135.45588382227893</v>
      </c>
      <c r="E970" s="473">
        <v>158.63881490768094</v>
      </c>
      <c r="F970" s="473">
        <v>185.78944587104203</v>
      </c>
      <c r="G970" s="473">
        <v>217.58683848688781</v>
      </c>
      <c r="H970" s="473">
        <v>254.82627423078094</v>
      </c>
      <c r="I970" s="224"/>
      <c r="J970" s="538"/>
      <c r="L970" s="41"/>
      <c r="M970" s="41"/>
      <c r="N970" s="42"/>
      <c r="O970" s="42"/>
    </row>
    <row r="971" spans="1:15" hidden="1" outlineLevel="1" x14ac:dyDescent="0.3">
      <c r="A971" s="63" t="s">
        <v>4051</v>
      </c>
      <c r="B971" s="63" t="s">
        <v>915</v>
      </c>
      <c r="C971" s="65" t="s">
        <v>808</v>
      </c>
      <c r="D971" s="473">
        <v>135.45588382227893</v>
      </c>
      <c r="E971" s="473">
        <v>158.63881490768094</v>
      </c>
      <c r="F971" s="473">
        <v>185.78944587104203</v>
      </c>
      <c r="G971" s="473">
        <v>217.58683848688781</v>
      </c>
      <c r="H971" s="473">
        <v>254.82627423078094</v>
      </c>
      <c r="I971" s="224"/>
      <c r="J971" s="538"/>
      <c r="L971" s="41"/>
      <c r="M971" s="41"/>
      <c r="N971" s="42"/>
      <c r="O971" s="42"/>
    </row>
    <row r="972" spans="1:15" hidden="1" outlineLevel="1" x14ac:dyDescent="0.3">
      <c r="A972" s="63" t="s">
        <v>4051</v>
      </c>
      <c r="B972" s="63" t="s">
        <v>915</v>
      </c>
      <c r="C972" s="65" t="s">
        <v>811</v>
      </c>
      <c r="D972" s="473">
        <v>135.45588382227893</v>
      </c>
      <c r="E972" s="473">
        <v>158.63881490768094</v>
      </c>
      <c r="F972" s="473">
        <v>185.78944587104203</v>
      </c>
      <c r="G972" s="473">
        <v>217.58683848688781</v>
      </c>
      <c r="H972" s="473">
        <v>254.82627423078094</v>
      </c>
      <c r="I972" s="224"/>
      <c r="J972" s="538"/>
      <c r="L972" s="41"/>
      <c r="M972" s="41"/>
      <c r="N972" s="42"/>
      <c r="O972" s="42"/>
    </row>
    <row r="973" spans="1:15" hidden="1" outlineLevel="1" x14ac:dyDescent="0.3">
      <c r="A973" s="63" t="s">
        <v>4051</v>
      </c>
      <c r="B973" s="63" t="s">
        <v>934</v>
      </c>
      <c r="C973" s="65" t="s">
        <v>814</v>
      </c>
      <c r="D973" s="473">
        <v>135.45588382227893</v>
      </c>
      <c r="E973" s="473">
        <v>158.63881490768094</v>
      </c>
      <c r="F973" s="473">
        <v>185.78944587104203</v>
      </c>
      <c r="G973" s="473">
        <v>217.58683848688781</v>
      </c>
      <c r="H973" s="473">
        <v>254.82627423078094</v>
      </c>
      <c r="I973" s="224"/>
      <c r="J973" s="538"/>
      <c r="L973" s="41"/>
      <c r="M973" s="41"/>
      <c r="N973" s="42"/>
      <c r="O973" s="42"/>
    </row>
    <row r="974" spans="1:15" hidden="1" outlineLevel="1" x14ac:dyDescent="0.3">
      <c r="A974" s="63" t="s">
        <v>4051</v>
      </c>
      <c r="B974" s="63" t="s">
        <v>934</v>
      </c>
      <c r="C974" s="65" t="s">
        <v>815</v>
      </c>
      <c r="D974" s="473">
        <v>135.45588382227893</v>
      </c>
      <c r="E974" s="473">
        <v>158.63881490768094</v>
      </c>
      <c r="F974" s="473">
        <v>185.78944587104203</v>
      </c>
      <c r="G974" s="473">
        <v>217.58683848688781</v>
      </c>
      <c r="H974" s="473">
        <v>254.82627423078094</v>
      </c>
      <c r="I974" s="224"/>
      <c r="J974" s="538"/>
      <c r="L974" s="41"/>
      <c r="M974" s="41"/>
      <c r="N974" s="42"/>
      <c r="O974" s="42"/>
    </row>
    <row r="975" spans="1:15" hidden="1" outlineLevel="1" x14ac:dyDescent="0.3">
      <c r="A975" s="63" t="s">
        <v>4051</v>
      </c>
      <c r="B975" s="63" t="s">
        <v>940</v>
      </c>
      <c r="C975" s="65" t="s">
        <v>817</v>
      </c>
      <c r="D975" s="473">
        <v>135.45588382227893</v>
      </c>
      <c r="E975" s="473">
        <v>158.63881490768094</v>
      </c>
      <c r="F975" s="473">
        <v>185.78944587104203</v>
      </c>
      <c r="G975" s="473">
        <v>217.58683848688781</v>
      </c>
      <c r="H975" s="473">
        <v>254.82627423078094</v>
      </c>
      <c r="I975" s="224"/>
      <c r="J975" s="538"/>
      <c r="L975" s="41"/>
      <c r="M975" s="41"/>
      <c r="N975" s="42"/>
      <c r="O975" s="42"/>
    </row>
    <row r="976" spans="1:15" hidden="1" outlineLevel="1" x14ac:dyDescent="0.3">
      <c r="A976" s="63" t="s">
        <v>4051</v>
      </c>
      <c r="B976" s="63" t="s">
        <v>940</v>
      </c>
      <c r="C976" s="65" t="s">
        <v>944</v>
      </c>
      <c r="D976" s="473">
        <v>135.45588382227893</v>
      </c>
      <c r="E976" s="473">
        <v>158.63881490768094</v>
      </c>
      <c r="F976" s="473">
        <v>185.78944587104203</v>
      </c>
      <c r="G976" s="473">
        <v>217.58683848688781</v>
      </c>
      <c r="H976" s="473">
        <v>254.82627423078094</v>
      </c>
      <c r="I976" s="224"/>
      <c r="J976" s="538"/>
      <c r="L976" s="41"/>
      <c r="M976" s="41"/>
      <c r="N976" s="42"/>
      <c r="O976" s="42"/>
    </row>
    <row r="977" spans="1:15" hidden="1" outlineLevel="1" x14ac:dyDescent="0.3">
      <c r="A977" s="63" t="s">
        <v>4051</v>
      </c>
      <c r="B977" s="63" t="s">
        <v>940</v>
      </c>
      <c r="C977" s="65" t="s">
        <v>821</v>
      </c>
      <c r="D977" s="473">
        <v>135.45588382227893</v>
      </c>
      <c r="E977" s="473">
        <v>158.63881490768094</v>
      </c>
      <c r="F977" s="473">
        <v>185.78944587104203</v>
      </c>
      <c r="G977" s="473">
        <v>217.58683848688781</v>
      </c>
      <c r="H977" s="473">
        <v>254.82627423078094</v>
      </c>
      <c r="I977" s="224"/>
      <c r="J977" s="538"/>
      <c r="L977" s="41"/>
      <c r="M977" s="41"/>
      <c r="N977" s="42"/>
      <c r="O977" s="42"/>
    </row>
    <row r="978" spans="1:15" hidden="1" outlineLevel="1" x14ac:dyDescent="0.3">
      <c r="A978" s="63" t="s">
        <v>4051</v>
      </c>
      <c r="B978" s="63" t="s">
        <v>940</v>
      </c>
      <c r="C978" s="65" t="s">
        <v>823</v>
      </c>
      <c r="D978" s="473">
        <v>135.45588382227893</v>
      </c>
      <c r="E978" s="473">
        <v>158.63881490768094</v>
      </c>
      <c r="F978" s="473">
        <v>185.78944587104203</v>
      </c>
      <c r="G978" s="473">
        <v>217.58683848688781</v>
      </c>
      <c r="H978" s="473">
        <v>254.82627423078094</v>
      </c>
      <c r="I978" s="224"/>
      <c r="J978" s="538"/>
      <c r="L978" s="41"/>
      <c r="M978" s="41"/>
      <c r="N978" s="42"/>
      <c r="O978" s="42"/>
    </row>
    <row r="979" spans="1:15" hidden="1" outlineLevel="1" x14ac:dyDescent="0.3">
      <c r="A979" s="63" t="s">
        <v>4051</v>
      </c>
      <c r="B979" s="63" t="s">
        <v>940</v>
      </c>
      <c r="C979" s="65" t="s">
        <v>825</v>
      </c>
      <c r="D979" s="473">
        <v>135.45588382227893</v>
      </c>
      <c r="E979" s="473">
        <v>158.63881490768094</v>
      </c>
      <c r="F979" s="473">
        <v>185.78944587104203</v>
      </c>
      <c r="G979" s="473">
        <v>217.58683848688781</v>
      </c>
      <c r="H979" s="473">
        <v>254.82627423078094</v>
      </c>
      <c r="I979" s="224"/>
      <c r="J979" s="538"/>
      <c r="L979" s="41"/>
      <c r="M979" s="41"/>
      <c r="N979" s="42"/>
      <c r="O979" s="42"/>
    </row>
    <row r="980" spans="1:15" hidden="1" outlineLevel="1" x14ac:dyDescent="0.3">
      <c r="A980" s="63" t="s">
        <v>4051</v>
      </c>
      <c r="B980" s="63" t="s">
        <v>940</v>
      </c>
      <c r="C980" s="65" t="s">
        <v>827</v>
      </c>
      <c r="D980" s="473">
        <v>222.49618268325725</v>
      </c>
      <c r="E980" s="473">
        <v>260.57584023935516</v>
      </c>
      <c r="F980" s="473">
        <v>305.17273464015875</v>
      </c>
      <c r="G980" s="473">
        <v>357.40227444803276</v>
      </c>
      <c r="H980" s="473">
        <v>418.57076757281715</v>
      </c>
      <c r="I980" s="224"/>
      <c r="J980" s="538"/>
      <c r="L980" s="41"/>
      <c r="M980" s="41"/>
      <c r="N980" s="42"/>
      <c r="O980" s="42"/>
    </row>
    <row r="981" spans="1:15" hidden="1" outlineLevel="1" x14ac:dyDescent="0.3">
      <c r="A981" s="63" t="s">
        <v>4051</v>
      </c>
      <c r="B981" s="63" t="s">
        <v>940</v>
      </c>
      <c r="C981" s="65" t="s">
        <v>829</v>
      </c>
      <c r="D981" s="473">
        <v>135.45588382227893</v>
      </c>
      <c r="E981" s="473">
        <v>158.63881490768094</v>
      </c>
      <c r="F981" s="473">
        <v>185.78944587104203</v>
      </c>
      <c r="G981" s="473">
        <v>217.58683848688781</v>
      </c>
      <c r="H981" s="473">
        <v>254.82627423078094</v>
      </c>
      <c r="I981" s="224"/>
      <c r="J981" s="538"/>
      <c r="L981" s="41"/>
      <c r="M981" s="41"/>
      <c r="N981" s="42"/>
      <c r="O981" s="42"/>
    </row>
    <row r="982" spans="1:15" hidden="1" outlineLevel="1" x14ac:dyDescent="0.3">
      <c r="A982" s="63" t="s">
        <v>4051</v>
      </c>
      <c r="B982" s="63" t="s">
        <v>940</v>
      </c>
      <c r="C982" s="65" t="s">
        <v>833</v>
      </c>
      <c r="D982" s="473">
        <v>135.45588382227893</v>
      </c>
      <c r="E982" s="473">
        <v>158.63881490768094</v>
      </c>
      <c r="F982" s="473">
        <v>185.78944587104203</v>
      </c>
      <c r="G982" s="473">
        <v>217.58683848688781</v>
      </c>
      <c r="H982" s="473">
        <v>254.82627423078094</v>
      </c>
      <c r="I982" s="224"/>
      <c r="J982" s="538"/>
      <c r="L982" s="41"/>
      <c r="M982" s="41"/>
      <c r="N982" s="42"/>
      <c r="O982" s="42"/>
    </row>
    <row r="983" spans="1:15" hidden="1" outlineLevel="1" x14ac:dyDescent="0.3">
      <c r="A983" s="63" t="s">
        <v>4051</v>
      </c>
      <c r="B983" s="63" t="s">
        <v>940</v>
      </c>
      <c r="C983" s="65" t="s">
        <v>836</v>
      </c>
      <c r="D983" s="473">
        <v>135.45588382227893</v>
      </c>
      <c r="E983" s="473">
        <v>158.63881490768094</v>
      </c>
      <c r="F983" s="473">
        <v>185.78944587104203</v>
      </c>
      <c r="G983" s="473">
        <v>217.58683848688781</v>
      </c>
      <c r="H983" s="473">
        <v>254.82627423078094</v>
      </c>
      <c r="I983" s="224"/>
      <c r="J983" s="538"/>
      <c r="L983" s="41"/>
      <c r="M983" s="41"/>
      <c r="N983" s="42"/>
      <c r="O983" s="42"/>
    </row>
    <row r="984" spans="1:15" hidden="1" outlineLevel="1" x14ac:dyDescent="0.3">
      <c r="A984" s="63" t="s">
        <v>4051</v>
      </c>
      <c r="B984" s="63" t="s">
        <v>940</v>
      </c>
      <c r="C984" s="65" t="s">
        <v>837</v>
      </c>
      <c r="D984" s="473">
        <v>135.45588382227893</v>
      </c>
      <c r="E984" s="473">
        <v>158.63881490768094</v>
      </c>
      <c r="F984" s="473">
        <v>185.78944587104203</v>
      </c>
      <c r="G984" s="473">
        <v>217.58683848688781</v>
      </c>
      <c r="H984" s="473">
        <v>254.82627423078094</v>
      </c>
      <c r="I984" s="224"/>
      <c r="J984" s="538"/>
      <c r="L984" s="41"/>
      <c r="M984" s="41"/>
      <c r="N984" s="42"/>
      <c r="O984" s="42"/>
    </row>
    <row r="985" spans="1:15" hidden="1" outlineLevel="1" x14ac:dyDescent="0.3">
      <c r="A985" s="63" t="s">
        <v>4051</v>
      </c>
      <c r="B985" s="63" t="s">
        <v>940</v>
      </c>
      <c r="C985" s="65" t="s">
        <v>839</v>
      </c>
      <c r="D985" s="473">
        <v>135.45588382227893</v>
      </c>
      <c r="E985" s="473">
        <v>158.63881490768094</v>
      </c>
      <c r="F985" s="473">
        <v>185.78944587104203</v>
      </c>
      <c r="G985" s="473">
        <v>217.58683848688781</v>
      </c>
      <c r="H985" s="473">
        <v>254.82627423078094</v>
      </c>
      <c r="I985" s="224"/>
      <c r="J985" s="538"/>
      <c r="L985" s="41"/>
      <c r="M985" s="41"/>
      <c r="N985" s="42"/>
      <c r="O985" s="42"/>
    </row>
    <row r="986" spans="1:15" hidden="1" outlineLevel="1" x14ac:dyDescent="0.3">
      <c r="A986" s="63" t="s">
        <v>4051</v>
      </c>
      <c r="B986" s="63" t="s">
        <v>940</v>
      </c>
      <c r="C986" s="65" t="s">
        <v>840</v>
      </c>
      <c r="D986" s="473">
        <v>135.45588382227893</v>
      </c>
      <c r="E986" s="473">
        <v>158.63881490768094</v>
      </c>
      <c r="F986" s="473">
        <v>185.78944587104203</v>
      </c>
      <c r="G986" s="473">
        <v>217.58683848688781</v>
      </c>
      <c r="H986" s="473">
        <v>254.82627423078094</v>
      </c>
      <c r="I986" s="224"/>
      <c r="J986" s="538"/>
      <c r="L986" s="41"/>
      <c r="M986" s="41"/>
      <c r="N986" s="42"/>
      <c r="O986" s="42"/>
    </row>
    <row r="987" spans="1:15" collapsed="1" x14ac:dyDescent="0.3">
      <c r="A987" s="63"/>
      <c r="B987" s="63"/>
      <c r="C987" s="63"/>
      <c r="D987" s="473"/>
      <c r="E987" s="473"/>
      <c r="F987" s="473"/>
      <c r="G987" s="473"/>
      <c r="H987" s="473"/>
      <c r="I987" s="224"/>
      <c r="J987" s="538"/>
      <c r="L987" s="41"/>
      <c r="M987" s="41"/>
      <c r="N987" s="42"/>
      <c r="O987" s="42"/>
    </row>
    <row r="988" spans="1:15" x14ac:dyDescent="0.3">
      <c r="A988" s="65" t="s">
        <v>4052</v>
      </c>
      <c r="B988" s="254"/>
      <c r="C988" s="64" t="s">
        <v>4032</v>
      </c>
      <c r="D988" s="473">
        <v>141.75585012982086</v>
      </c>
      <c r="E988" s="473">
        <v>173.5826913544322</v>
      </c>
      <c r="F988" s="473">
        <v>212.55525405303507</v>
      </c>
      <c r="G988" s="473">
        <v>260.277886424168</v>
      </c>
      <c r="H988" s="473">
        <v>318.71514286129553</v>
      </c>
      <c r="I988" s="224"/>
      <c r="J988" s="538"/>
      <c r="L988" s="41"/>
      <c r="M988" s="41"/>
      <c r="N988" s="42"/>
      <c r="O988" s="42"/>
    </row>
    <row r="989" spans="1:15" x14ac:dyDescent="0.3">
      <c r="A989" s="122" t="s">
        <v>5</v>
      </c>
      <c r="B989" s="122" t="s">
        <v>847</v>
      </c>
      <c r="C989" s="122" t="s">
        <v>193</v>
      </c>
      <c r="D989" s="495">
        <v>2025</v>
      </c>
      <c r="E989" s="495">
        <v>2030</v>
      </c>
      <c r="F989" s="495">
        <v>2035</v>
      </c>
      <c r="G989" s="495">
        <v>2040</v>
      </c>
      <c r="H989" s="495">
        <v>2045</v>
      </c>
      <c r="I989" s="315" t="s">
        <v>153</v>
      </c>
      <c r="L989" s="41"/>
      <c r="M989" s="41"/>
      <c r="N989" s="42"/>
      <c r="O989" s="42"/>
    </row>
    <row r="990" spans="1:15" hidden="1" outlineLevel="1" x14ac:dyDescent="0.3">
      <c r="A990" s="63" t="s">
        <v>4052</v>
      </c>
      <c r="B990" s="63" t="s">
        <v>855</v>
      </c>
      <c r="C990" s="65" t="s">
        <v>747</v>
      </c>
      <c r="D990" s="473">
        <v>141.75585012982086</v>
      </c>
      <c r="E990" s="473">
        <v>173.58269135443203</v>
      </c>
      <c r="F990" s="473">
        <v>212.55525405303493</v>
      </c>
      <c r="G990" s="473">
        <v>260.27788642416778</v>
      </c>
      <c r="H990" s="473">
        <v>318.71514286129536</v>
      </c>
      <c r="I990" s="224"/>
      <c r="L990" s="41"/>
      <c r="M990" s="41"/>
      <c r="N990" s="42"/>
      <c r="O990" s="42"/>
    </row>
    <row r="991" spans="1:15" hidden="1" outlineLevel="1" x14ac:dyDescent="0.3">
      <c r="A991" s="63" t="s">
        <v>4052</v>
      </c>
      <c r="B991" s="63" t="s">
        <v>855</v>
      </c>
      <c r="C991" s="65" t="s">
        <v>751</v>
      </c>
      <c r="D991" s="473">
        <v>141.75585012982086</v>
      </c>
      <c r="E991" s="473">
        <v>173.58269135443203</v>
      </c>
      <c r="F991" s="473">
        <v>212.55525405303493</v>
      </c>
      <c r="G991" s="473">
        <v>260.27788642416778</v>
      </c>
      <c r="H991" s="473">
        <v>318.71514286129536</v>
      </c>
      <c r="I991" s="224"/>
      <c r="L991" s="41"/>
      <c r="M991" s="41"/>
      <c r="N991" s="42"/>
      <c r="O991" s="42"/>
    </row>
    <row r="992" spans="1:15" hidden="1" outlineLevel="1" x14ac:dyDescent="0.3">
      <c r="A992" s="63" t="s">
        <v>4052</v>
      </c>
      <c r="B992" s="63" t="s">
        <v>855</v>
      </c>
      <c r="C992" s="65" t="s">
        <v>755</v>
      </c>
      <c r="D992" s="473">
        <v>141.75585012982086</v>
      </c>
      <c r="E992" s="473">
        <v>173.58269135443203</v>
      </c>
      <c r="F992" s="473">
        <v>212.55525405303493</v>
      </c>
      <c r="G992" s="473">
        <v>260.27788642416778</v>
      </c>
      <c r="H992" s="473">
        <v>318.71514286129536</v>
      </c>
      <c r="I992" s="224"/>
      <c r="L992" s="41"/>
      <c r="M992" s="41"/>
      <c r="N992" s="42"/>
      <c r="O992" s="42"/>
    </row>
    <row r="993" spans="1:15" hidden="1" outlineLevel="1" x14ac:dyDescent="0.3">
      <c r="A993" s="63" t="s">
        <v>4052</v>
      </c>
      <c r="B993" s="63" t="s">
        <v>855</v>
      </c>
      <c r="C993" s="65" t="s">
        <v>758</v>
      </c>
      <c r="D993" s="473">
        <v>141.75585012982086</v>
      </c>
      <c r="E993" s="473">
        <v>173.58269135443203</v>
      </c>
      <c r="F993" s="473">
        <v>212.55525405303493</v>
      </c>
      <c r="G993" s="473">
        <v>260.27788642416778</v>
      </c>
      <c r="H993" s="473">
        <v>318.71514286129536</v>
      </c>
      <c r="I993" s="224"/>
      <c r="L993" s="41"/>
      <c r="M993" s="41"/>
      <c r="N993" s="42"/>
      <c r="O993" s="42"/>
    </row>
    <row r="994" spans="1:15" hidden="1" outlineLevel="1" x14ac:dyDescent="0.3">
      <c r="A994" s="63" t="s">
        <v>4052</v>
      </c>
      <c r="B994" s="63" t="s">
        <v>855</v>
      </c>
      <c r="C994" s="65" t="s">
        <v>761</v>
      </c>
      <c r="D994" s="473">
        <v>141.75585012982086</v>
      </c>
      <c r="E994" s="473">
        <v>173.58269135443203</v>
      </c>
      <c r="F994" s="473">
        <v>212.55525405303493</v>
      </c>
      <c r="G994" s="473">
        <v>260.27788642416778</v>
      </c>
      <c r="H994" s="473">
        <v>318.71514286129536</v>
      </c>
      <c r="I994" s="224"/>
      <c r="L994" s="41"/>
      <c r="M994" s="41"/>
      <c r="N994" s="42"/>
      <c r="O994" s="42"/>
    </row>
    <row r="995" spans="1:15" hidden="1" outlineLevel="1" x14ac:dyDescent="0.3">
      <c r="A995" s="63" t="s">
        <v>4052</v>
      </c>
      <c r="B995" s="63" t="s">
        <v>855</v>
      </c>
      <c r="C995" s="65" t="s">
        <v>763</v>
      </c>
      <c r="D995" s="473">
        <v>141.75585012982086</v>
      </c>
      <c r="E995" s="473">
        <v>173.58269135443203</v>
      </c>
      <c r="F995" s="473">
        <v>212.55525405303493</v>
      </c>
      <c r="G995" s="473">
        <v>260.27788642416778</v>
      </c>
      <c r="H995" s="473">
        <v>318.71514286129536</v>
      </c>
      <c r="I995" s="224"/>
      <c r="L995" s="41"/>
      <c r="M995" s="41"/>
      <c r="N995" s="42"/>
      <c r="O995" s="42"/>
    </row>
    <row r="996" spans="1:15" hidden="1" outlineLevel="1" x14ac:dyDescent="0.3">
      <c r="A996" s="63" t="s">
        <v>4052</v>
      </c>
      <c r="B996" s="63" t="s">
        <v>855</v>
      </c>
      <c r="C996" s="65" t="s">
        <v>765</v>
      </c>
      <c r="D996" s="473">
        <v>141.75585012982086</v>
      </c>
      <c r="E996" s="473">
        <v>173.58269135443203</v>
      </c>
      <c r="F996" s="473">
        <v>212.55525405303493</v>
      </c>
      <c r="G996" s="473">
        <v>260.27788642416778</v>
      </c>
      <c r="H996" s="473">
        <v>318.71514286129536</v>
      </c>
      <c r="I996" s="224"/>
      <c r="L996" s="41"/>
      <c r="M996" s="41"/>
      <c r="N996" s="42"/>
      <c r="O996" s="42"/>
    </row>
    <row r="997" spans="1:15" hidden="1" outlineLevel="1" x14ac:dyDescent="0.3">
      <c r="A997" s="63" t="s">
        <v>4052</v>
      </c>
      <c r="B997" s="63" t="s">
        <v>855</v>
      </c>
      <c r="C997" s="65" t="s">
        <v>768</v>
      </c>
      <c r="D997" s="473">
        <v>141.75585012982086</v>
      </c>
      <c r="E997" s="473">
        <v>173.58269135443203</v>
      </c>
      <c r="F997" s="473">
        <v>212.55525405303493</v>
      </c>
      <c r="G997" s="473">
        <v>260.27788642416778</v>
      </c>
      <c r="H997" s="473">
        <v>318.71514286129536</v>
      </c>
      <c r="I997" s="224"/>
      <c r="L997" s="41"/>
      <c r="M997" s="41"/>
      <c r="N997" s="42"/>
      <c r="O997" s="42"/>
    </row>
    <row r="998" spans="1:15" hidden="1" outlineLevel="1" x14ac:dyDescent="0.3">
      <c r="A998" s="63" t="s">
        <v>4052</v>
      </c>
      <c r="B998" s="63" t="s">
        <v>855</v>
      </c>
      <c r="C998" s="65" t="s">
        <v>771</v>
      </c>
      <c r="D998" s="473">
        <v>141.75585012982086</v>
      </c>
      <c r="E998" s="473">
        <v>173.58269135443203</v>
      </c>
      <c r="F998" s="473">
        <v>212.55525405303493</v>
      </c>
      <c r="G998" s="473">
        <v>260.27788642416778</v>
      </c>
      <c r="H998" s="473">
        <v>318.71514286129536</v>
      </c>
      <c r="I998" s="224"/>
      <c r="L998" s="41"/>
      <c r="M998" s="41"/>
      <c r="N998" s="42"/>
      <c r="O998" s="42"/>
    </row>
    <row r="999" spans="1:15" hidden="1" outlineLevel="1" x14ac:dyDescent="0.3">
      <c r="A999" s="63" t="s">
        <v>4052</v>
      </c>
      <c r="B999" s="63" t="s">
        <v>855</v>
      </c>
      <c r="C999" s="65" t="s">
        <v>772</v>
      </c>
      <c r="D999" s="473">
        <v>141.75585012982086</v>
      </c>
      <c r="E999" s="473">
        <v>173.58269135443203</v>
      </c>
      <c r="F999" s="473">
        <v>212.55525405303493</v>
      </c>
      <c r="G999" s="473">
        <v>260.27788642416778</v>
      </c>
      <c r="H999" s="473">
        <v>318.71514286129536</v>
      </c>
      <c r="I999" s="224"/>
      <c r="L999" s="41"/>
      <c r="M999" s="41"/>
      <c r="N999" s="42"/>
      <c r="O999" s="42"/>
    </row>
    <row r="1000" spans="1:15" hidden="1" outlineLevel="1" x14ac:dyDescent="0.3">
      <c r="A1000" s="63" t="s">
        <v>4052</v>
      </c>
      <c r="B1000" s="63" t="s">
        <v>855</v>
      </c>
      <c r="C1000" s="65" t="s">
        <v>774</v>
      </c>
      <c r="D1000" s="473">
        <v>141.75585012982086</v>
      </c>
      <c r="E1000" s="473">
        <v>173.58269135443203</v>
      </c>
      <c r="F1000" s="473">
        <v>212.55525405303493</v>
      </c>
      <c r="G1000" s="473">
        <v>260.27788642416778</v>
      </c>
      <c r="H1000" s="473">
        <v>318.71514286129536</v>
      </c>
      <c r="I1000" s="224"/>
      <c r="L1000" s="41"/>
      <c r="M1000" s="41"/>
      <c r="N1000" s="42"/>
      <c r="O1000" s="42"/>
    </row>
    <row r="1001" spans="1:15" hidden="1" outlineLevel="1" x14ac:dyDescent="0.3">
      <c r="A1001" s="63" t="s">
        <v>4052</v>
      </c>
      <c r="B1001" s="63" t="s">
        <v>855</v>
      </c>
      <c r="C1001" s="65" t="s">
        <v>775</v>
      </c>
      <c r="D1001" s="473">
        <v>141.75585012982086</v>
      </c>
      <c r="E1001" s="473">
        <v>173.58269135443203</v>
      </c>
      <c r="F1001" s="473">
        <v>212.55525405303493</v>
      </c>
      <c r="G1001" s="473">
        <v>260.27788642416778</v>
      </c>
      <c r="H1001" s="473">
        <v>318.71514286129536</v>
      </c>
      <c r="I1001" s="224"/>
      <c r="L1001" s="41"/>
      <c r="M1001" s="41"/>
      <c r="N1001" s="42"/>
      <c r="O1001" s="42"/>
    </row>
    <row r="1002" spans="1:15" hidden="1" outlineLevel="1" x14ac:dyDescent="0.3">
      <c r="A1002" s="63" t="s">
        <v>4052</v>
      </c>
      <c r="B1002" s="63" t="s">
        <v>855</v>
      </c>
      <c r="C1002" s="65" t="s">
        <v>779</v>
      </c>
      <c r="D1002" s="473">
        <v>141.75585012982086</v>
      </c>
      <c r="E1002" s="473">
        <v>173.58269135443203</v>
      </c>
      <c r="F1002" s="473">
        <v>212.55525405303493</v>
      </c>
      <c r="G1002" s="473">
        <v>260.27788642416778</v>
      </c>
      <c r="H1002" s="473">
        <v>318.71514286129536</v>
      </c>
      <c r="I1002" s="224"/>
      <c r="L1002" s="41"/>
      <c r="M1002" s="41"/>
      <c r="N1002" s="42"/>
      <c r="O1002" s="42"/>
    </row>
    <row r="1003" spans="1:15" hidden="1" outlineLevel="1" x14ac:dyDescent="0.3">
      <c r="A1003" s="63" t="s">
        <v>4052</v>
      </c>
      <c r="B1003" s="63" t="s">
        <v>894</v>
      </c>
      <c r="C1003" s="65" t="s">
        <v>781</v>
      </c>
      <c r="D1003" s="473">
        <v>141.75585012982086</v>
      </c>
      <c r="E1003" s="473">
        <v>173.58269135443203</v>
      </c>
      <c r="F1003" s="473">
        <v>212.55525405303493</v>
      </c>
      <c r="G1003" s="473">
        <v>260.27788642416778</v>
      </c>
      <c r="H1003" s="473">
        <v>318.71514286129536</v>
      </c>
      <c r="I1003" s="224"/>
      <c r="L1003" s="41"/>
      <c r="M1003" s="41"/>
      <c r="N1003" s="42"/>
      <c r="O1003" s="42"/>
    </row>
    <row r="1004" spans="1:15" hidden="1" outlineLevel="1" x14ac:dyDescent="0.3">
      <c r="A1004" s="63" t="s">
        <v>4052</v>
      </c>
      <c r="B1004" s="63" t="s">
        <v>894</v>
      </c>
      <c r="C1004" s="65" t="s">
        <v>783</v>
      </c>
      <c r="D1004" s="473">
        <v>141.75585012982086</v>
      </c>
      <c r="E1004" s="473">
        <v>173.58269135443203</v>
      </c>
      <c r="F1004" s="473">
        <v>212.55525405303493</v>
      </c>
      <c r="G1004" s="473">
        <v>260.27788642416778</v>
      </c>
      <c r="H1004" s="473">
        <v>318.71514286129536</v>
      </c>
      <c r="I1004" s="224"/>
      <c r="L1004" s="41"/>
      <c r="M1004" s="41"/>
      <c r="N1004" s="42"/>
      <c r="O1004" s="42"/>
    </row>
    <row r="1005" spans="1:15" hidden="1" outlineLevel="1" x14ac:dyDescent="0.3">
      <c r="A1005" s="63" t="s">
        <v>4052</v>
      </c>
      <c r="B1005" s="63" t="s">
        <v>894</v>
      </c>
      <c r="C1005" s="65" t="s">
        <v>785</v>
      </c>
      <c r="D1005" s="473">
        <v>141.75585012982086</v>
      </c>
      <c r="E1005" s="473">
        <v>173.58269135443203</v>
      </c>
      <c r="F1005" s="473">
        <v>212.55525405303493</v>
      </c>
      <c r="G1005" s="473">
        <v>260.27788642416778</v>
      </c>
      <c r="H1005" s="473">
        <v>318.71514286129536</v>
      </c>
      <c r="I1005" s="224"/>
      <c r="L1005" s="41"/>
      <c r="M1005" s="41"/>
      <c r="N1005" s="42"/>
      <c r="O1005" s="42"/>
    </row>
    <row r="1006" spans="1:15" hidden="1" outlineLevel="1" x14ac:dyDescent="0.3">
      <c r="A1006" s="63" t="s">
        <v>4052</v>
      </c>
      <c r="B1006" s="63" t="s">
        <v>894</v>
      </c>
      <c r="C1006" s="65" t="s">
        <v>787</v>
      </c>
      <c r="D1006" s="473">
        <v>141.75585012982086</v>
      </c>
      <c r="E1006" s="473">
        <v>173.58269135443203</v>
      </c>
      <c r="F1006" s="473">
        <v>212.55525405303493</v>
      </c>
      <c r="G1006" s="473">
        <v>260.27788642416778</v>
      </c>
      <c r="H1006" s="473">
        <v>318.71514286129536</v>
      </c>
      <c r="I1006" s="224"/>
      <c r="L1006" s="41"/>
      <c r="M1006" s="41"/>
      <c r="N1006" s="42"/>
      <c r="O1006" s="42"/>
    </row>
    <row r="1007" spans="1:15" hidden="1" outlineLevel="1" x14ac:dyDescent="0.3">
      <c r="A1007" s="63" t="s">
        <v>4052</v>
      </c>
      <c r="B1007" s="63" t="s">
        <v>894</v>
      </c>
      <c r="C1007" s="65" t="s">
        <v>788</v>
      </c>
      <c r="D1007" s="473">
        <v>141.75585012982086</v>
      </c>
      <c r="E1007" s="473">
        <v>173.58269135443203</v>
      </c>
      <c r="F1007" s="473">
        <v>212.55525405303493</v>
      </c>
      <c r="G1007" s="473">
        <v>260.27788642416778</v>
      </c>
      <c r="H1007" s="473">
        <v>318.71514286129536</v>
      </c>
      <c r="I1007" s="224"/>
      <c r="L1007" s="41"/>
      <c r="M1007" s="41"/>
      <c r="N1007" s="42"/>
      <c r="O1007" s="42"/>
    </row>
    <row r="1008" spans="1:15" hidden="1" outlineLevel="1" x14ac:dyDescent="0.3">
      <c r="A1008" s="63" t="s">
        <v>4052</v>
      </c>
      <c r="B1008" s="63" t="s">
        <v>894</v>
      </c>
      <c r="C1008" s="65" t="s">
        <v>789</v>
      </c>
      <c r="D1008" s="473">
        <v>141.75585012982086</v>
      </c>
      <c r="E1008" s="473">
        <v>173.58269135443203</v>
      </c>
      <c r="F1008" s="473">
        <v>212.55525405303493</v>
      </c>
      <c r="G1008" s="473">
        <v>260.27788642416778</v>
      </c>
      <c r="H1008" s="473">
        <v>318.71514286129536</v>
      </c>
      <c r="I1008" s="224"/>
      <c r="L1008" s="41"/>
      <c r="M1008" s="41"/>
      <c r="N1008" s="42"/>
      <c r="O1008" s="42"/>
    </row>
    <row r="1009" spans="1:27" hidden="1" outlineLevel="1" x14ac:dyDescent="0.3">
      <c r="A1009" s="63" t="s">
        <v>4052</v>
      </c>
      <c r="B1009" s="63" t="s">
        <v>894</v>
      </c>
      <c r="C1009" s="65" t="s">
        <v>790</v>
      </c>
      <c r="D1009" s="473">
        <v>141.75585012982086</v>
      </c>
      <c r="E1009" s="473">
        <v>173.58269135443203</v>
      </c>
      <c r="F1009" s="473">
        <v>212.55525405303493</v>
      </c>
      <c r="G1009" s="473">
        <v>260.27788642416778</v>
      </c>
      <c r="H1009" s="473">
        <v>318.71514286129536</v>
      </c>
      <c r="I1009" s="224"/>
      <c r="L1009" s="41"/>
      <c r="M1009" s="41"/>
      <c r="N1009" s="42"/>
      <c r="O1009" s="42"/>
    </row>
    <row r="1010" spans="1:27" hidden="1" outlineLevel="1" x14ac:dyDescent="0.3">
      <c r="A1010" s="63" t="s">
        <v>4052</v>
      </c>
      <c r="B1010" s="63" t="s">
        <v>894</v>
      </c>
      <c r="C1010" s="65" t="s">
        <v>793</v>
      </c>
      <c r="D1010" s="473">
        <v>141.75585012982086</v>
      </c>
      <c r="E1010" s="473">
        <v>173.58269135443203</v>
      </c>
      <c r="F1010" s="473">
        <v>212.55525405303493</v>
      </c>
      <c r="G1010" s="473">
        <v>260.27788642416778</v>
      </c>
      <c r="H1010" s="473">
        <v>318.71514286129536</v>
      </c>
      <c r="I1010" s="224"/>
      <c r="L1010" s="41"/>
      <c r="M1010" s="41"/>
      <c r="N1010" s="42"/>
      <c r="O1010" s="42"/>
      <c r="V1010" s="44"/>
      <c r="W1010" s="44"/>
      <c r="X1010" s="44"/>
      <c r="Y1010" s="44"/>
      <c r="Z1010" s="44"/>
      <c r="AA1010" s="44"/>
    </row>
    <row r="1011" spans="1:27" hidden="1" outlineLevel="1" x14ac:dyDescent="0.3">
      <c r="A1011" s="63" t="s">
        <v>4052</v>
      </c>
      <c r="B1011" s="63" t="s">
        <v>894</v>
      </c>
      <c r="C1011" s="65" t="s">
        <v>795</v>
      </c>
      <c r="D1011" s="473">
        <v>141.75585012982086</v>
      </c>
      <c r="E1011" s="473">
        <v>173.58269135443203</v>
      </c>
      <c r="F1011" s="473">
        <v>212.55525405303493</v>
      </c>
      <c r="G1011" s="473">
        <v>260.27788642416778</v>
      </c>
      <c r="H1011" s="473">
        <v>318.71514286129536</v>
      </c>
      <c r="I1011" s="224"/>
      <c r="L1011" s="41"/>
      <c r="M1011" s="41"/>
      <c r="N1011" s="42"/>
      <c r="O1011" s="42"/>
    </row>
    <row r="1012" spans="1:27" hidden="1" outlineLevel="1" x14ac:dyDescent="0.3">
      <c r="A1012" s="63" t="s">
        <v>4052</v>
      </c>
      <c r="B1012" s="63" t="s">
        <v>894</v>
      </c>
      <c r="C1012" s="65" t="s">
        <v>797</v>
      </c>
      <c r="D1012" s="473">
        <v>141.75585012982086</v>
      </c>
      <c r="E1012" s="473">
        <v>173.58269135443203</v>
      </c>
      <c r="F1012" s="473">
        <v>212.55525405303493</v>
      </c>
      <c r="G1012" s="473">
        <v>260.27788642416778</v>
      </c>
      <c r="H1012" s="473">
        <v>318.71514286129536</v>
      </c>
      <c r="I1012" s="224"/>
      <c r="L1012" s="41"/>
      <c r="M1012" s="41"/>
      <c r="N1012" s="42"/>
      <c r="O1012" s="42"/>
    </row>
    <row r="1013" spans="1:27" hidden="1" outlineLevel="1" x14ac:dyDescent="0.3">
      <c r="A1013" s="63" t="s">
        <v>4052</v>
      </c>
      <c r="B1013" s="63" t="s">
        <v>915</v>
      </c>
      <c r="C1013" s="65" t="s">
        <v>799</v>
      </c>
      <c r="D1013" s="473">
        <v>141.75585012982086</v>
      </c>
      <c r="E1013" s="473">
        <v>173.58269135443203</v>
      </c>
      <c r="F1013" s="473">
        <v>212.55525405303493</v>
      </c>
      <c r="G1013" s="473">
        <v>260.27788642416778</v>
      </c>
      <c r="H1013" s="473">
        <v>318.71514286129536</v>
      </c>
      <c r="I1013" s="224"/>
      <c r="L1013" s="41"/>
      <c r="M1013" s="41"/>
      <c r="N1013" s="42"/>
      <c r="O1013" s="42"/>
    </row>
    <row r="1014" spans="1:27" hidden="1" outlineLevel="1" x14ac:dyDescent="0.3">
      <c r="A1014" s="63" t="s">
        <v>4052</v>
      </c>
      <c r="B1014" s="63" t="s">
        <v>915</v>
      </c>
      <c r="C1014" s="65" t="s">
        <v>801</v>
      </c>
      <c r="D1014" s="473">
        <v>141.75585012982086</v>
      </c>
      <c r="E1014" s="473">
        <v>173.58269135443203</v>
      </c>
      <c r="F1014" s="473">
        <v>212.55525405303493</v>
      </c>
      <c r="G1014" s="473">
        <v>260.27788642416778</v>
      </c>
      <c r="H1014" s="473">
        <v>318.71514286129536</v>
      </c>
      <c r="I1014" s="224"/>
      <c r="L1014" s="41"/>
      <c r="M1014" s="41"/>
      <c r="N1014" s="42"/>
      <c r="O1014" s="42"/>
    </row>
    <row r="1015" spans="1:27" hidden="1" outlineLevel="1" x14ac:dyDescent="0.3">
      <c r="A1015" s="63" t="s">
        <v>4052</v>
      </c>
      <c r="B1015" s="63" t="s">
        <v>915</v>
      </c>
      <c r="C1015" s="65" t="s">
        <v>804</v>
      </c>
      <c r="D1015" s="473">
        <v>141.75585012982086</v>
      </c>
      <c r="E1015" s="473">
        <v>173.58269135443203</v>
      </c>
      <c r="F1015" s="473">
        <v>212.55525405303493</v>
      </c>
      <c r="G1015" s="473">
        <v>260.27788642416778</v>
      </c>
      <c r="H1015" s="473">
        <v>318.71514286129536</v>
      </c>
      <c r="I1015" s="224"/>
      <c r="L1015" s="41"/>
      <c r="M1015" s="41"/>
      <c r="N1015" s="42"/>
      <c r="O1015" s="42"/>
    </row>
    <row r="1016" spans="1:27" hidden="1" outlineLevel="1" x14ac:dyDescent="0.3">
      <c r="A1016" s="63" t="s">
        <v>4052</v>
      </c>
      <c r="B1016" s="63" t="s">
        <v>915</v>
      </c>
      <c r="C1016" s="65" t="s">
        <v>806</v>
      </c>
      <c r="D1016" s="473">
        <v>141.75585012982086</v>
      </c>
      <c r="E1016" s="473">
        <v>173.58269135443203</v>
      </c>
      <c r="F1016" s="473">
        <v>212.55525405303493</v>
      </c>
      <c r="G1016" s="473">
        <v>260.27788642416778</v>
      </c>
      <c r="H1016" s="473">
        <v>318.71514286129536</v>
      </c>
      <c r="I1016" s="224"/>
      <c r="L1016" s="41"/>
      <c r="M1016" s="41"/>
      <c r="N1016" s="42"/>
      <c r="O1016" s="42"/>
    </row>
    <row r="1017" spans="1:27" hidden="1" outlineLevel="1" x14ac:dyDescent="0.3">
      <c r="A1017" s="63" t="s">
        <v>4052</v>
      </c>
      <c r="B1017" s="63" t="s">
        <v>915</v>
      </c>
      <c r="C1017" s="65" t="s">
        <v>808</v>
      </c>
      <c r="D1017" s="473">
        <v>141.75585012982086</v>
      </c>
      <c r="E1017" s="473">
        <v>173.58269135443203</v>
      </c>
      <c r="F1017" s="473">
        <v>212.55525405303493</v>
      </c>
      <c r="G1017" s="473">
        <v>260.27788642416778</v>
      </c>
      <c r="H1017" s="473">
        <v>318.71514286129536</v>
      </c>
      <c r="I1017" s="224"/>
      <c r="L1017" s="41"/>
      <c r="M1017" s="41"/>
      <c r="N1017" s="42"/>
      <c r="O1017" s="42"/>
    </row>
    <row r="1018" spans="1:27" hidden="1" outlineLevel="1" x14ac:dyDescent="0.3">
      <c r="A1018" s="63" t="s">
        <v>4052</v>
      </c>
      <c r="B1018" s="63" t="s">
        <v>915</v>
      </c>
      <c r="C1018" s="65" t="s">
        <v>811</v>
      </c>
      <c r="D1018" s="473">
        <v>141.75585012982086</v>
      </c>
      <c r="E1018" s="473">
        <v>173.58269135443203</v>
      </c>
      <c r="F1018" s="473">
        <v>212.55525405303493</v>
      </c>
      <c r="G1018" s="473">
        <v>260.27788642416778</v>
      </c>
      <c r="H1018" s="473">
        <v>318.71514286129536</v>
      </c>
      <c r="I1018" s="224"/>
      <c r="L1018" s="41"/>
      <c r="M1018" s="41"/>
      <c r="N1018" s="42"/>
      <c r="O1018" s="42"/>
    </row>
    <row r="1019" spans="1:27" hidden="1" outlineLevel="1" x14ac:dyDescent="0.3">
      <c r="A1019" s="63" t="s">
        <v>4052</v>
      </c>
      <c r="B1019" s="63" t="s">
        <v>934</v>
      </c>
      <c r="C1019" s="65" t="s">
        <v>814</v>
      </c>
      <c r="D1019" s="473">
        <v>141.75585012982086</v>
      </c>
      <c r="E1019" s="473">
        <v>173.58269135443203</v>
      </c>
      <c r="F1019" s="473">
        <v>212.55525405303493</v>
      </c>
      <c r="G1019" s="473">
        <v>260.27788642416778</v>
      </c>
      <c r="H1019" s="473">
        <v>318.71514286129536</v>
      </c>
      <c r="I1019" s="224"/>
      <c r="L1019" s="41"/>
      <c r="M1019" s="41"/>
      <c r="N1019" s="42"/>
      <c r="O1019" s="42"/>
    </row>
    <row r="1020" spans="1:27" hidden="1" outlineLevel="1" x14ac:dyDescent="0.3">
      <c r="A1020" s="63" t="s">
        <v>4052</v>
      </c>
      <c r="B1020" s="63" t="s">
        <v>934</v>
      </c>
      <c r="C1020" s="65" t="s">
        <v>815</v>
      </c>
      <c r="D1020" s="473">
        <v>141.75585012982086</v>
      </c>
      <c r="E1020" s="473">
        <v>173.58269135443203</v>
      </c>
      <c r="F1020" s="473">
        <v>212.55525405303493</v>
      </c>
      <c r="G1020" s="473">
        <v>260.27788642416778</v>
      </c>
      <c r="H1020" s="473">
        <v>318.71514286129536</v>
      </c>
      <c r="I1020" s="224"/>
      <c r="L1020" s="41"/>
      <c r="M1020" s="41"/>
      <c r="N1020" s="42"/>
      <c r="O1020" s="42"/>
    </row>
    <row r="1021" spans="1:27" hidden="1" outlineLevel="1" x14ac:dyDescent="0.3">
      <c r="A1021" s="63" t="s">
        <v>4052</v>
      </c>
      <c r="B1021" s="63" t="s">
        <v>940</v>
      </c>
      <c r="C1021" s="65" t="s">
        <v>817</v>
      </c>
      <c r="D1021" s="473">
        <v>141.75585012982086</v>
      </c>
      <c r="E1021" s="473">
        <v>173.58269135443203</v>
      </c>
      <c r="F1021" s="473">
        <v>212.55525405303493</v>
      </c>
      <c r="G1021" s="473">
        <v>260.27788642416778</v>
      </c>
      <c r="H1021" s="473">
        <v>318.71514286129536</v>
      </c>
      <c r="I1021" s="224"/>
      <c r="L1021" s="41"/>
      <c r="M1021" s="41"/>
      <c r="N1021" s="42"/>
      <c r="O1021" s="42"/>
    </row>
    <row r="1022" spans="1:27" hidden="1" outlineLevel="1" x14ac:dyDescent="0.3">
      <c r="A1022" s="63" t="s">
        <v>4052</v>
      </c>
      <c r="B1022" s="63" t="s">
        <v>940</v>
      </c>
      <c r="C1022" s="65" t="s">
        <v>944</v>
      </c>
      <c r="D1022" s="473">
        <v>141.75585012982086</v>
      </c>
      <c r="E1022" s="473">
        <v>173.58269135443203</v>
      </c>
      <c r="F1022" s="473">
        <v>212.55525405303493</v>
      </c>
      <c r="G1022" s="473">
        <v>260.27788642416778</v>
      </c>
      <c r="H1022" s="473">
        <v>318.71514286129536</v>
      </c>
      <c r="I1022" s="224"/>
      <c r="L1022" s="41"/>
      <c r="M1022" s="41"/>
      <c r="N1022" s="42"/>
      <c r="O1022" s="42"/>
    </row>
    <row r="1023" spans="1:27" hidden="1" outlineLevel="1" x14ac:dyDescent="0.3">
      <c r="A1023" s="63" t="s">
        <v>4052</v>
      </c>
      <c r="B1023" s="63" t="s">
        <v>940</v>
      </c>
      <c r="C1023" s="65" t="s">
        <v>821</v>
      </c>
      <c r="D1023" s="473">
        <v>141.75585012982086</v>
      </c>
      <c r="E1023" s="473">
        <v>173.58269135443203</v>
      </c>
      <c r="F1023" s="473">
        <v>212.55525405303493</v>
      </c>
      <c r="G1023" s="473">
        <v>260.27788642416778</v>
      </c>
      <c r="H1023" s="473">
        <v>318.71514286129536</v>
      </c>
      <c r="I1023" s="224"/>
      <c r="L1023" s="41"/>
      <c r="M1023" s="41"/>
      <c r="N1023" s="42"/>
      <c r="O1023" s="42"/>
    </row>
    <row r="1024" spans="1:27" hidden="1" outlineLevel="1" x14ac:dyDescent="0.3">
      <c r="A1024" s="63" t="s">
        <v>4052</v>
      </c>
      <c r="B1024" s="63" t="s">
        <v>940</v>
      </c>
      <c r="C1024" s="65" t="s">
        <v>823</v>
      </c>
      <c r="D1024" s="473">
        <v>141.75585012982086</v>
      </c>
      <c r="E1024" s="473">
        <v>173.58269135443203</v>
      </c>
      <c r="F1024" s="473">
        <v>212.55525405303493</v>
      </c>
      <c r="G1024" s="473">
        <v>260.27788642416778</v>
      </c>
      <c r="H1024" s="473">
        <v>318.71514286129536</v>
      </c>
      <c r="I1024" s="224"/>
      <c r="L1024" s="41"/>
      <c r="M1024" s="41"/>
      <c r="N1024" s="42"/>
      <c r="O1024" s="42"/>
    </row>
    <row r="1025" spans="1:18" hidden="1" outlineLevel="1" x14ac:dyDescent="0.3">
      <c r="A1025" s="63" t="s">
        <v>4052</v>
      </c>
      <c r="B1025" s="63" t="s">
        <v>940</v>
      </c>
      <c r="C1025" s="65" t="s">
        <v>825</v>
      </c>
      <c r="D1025" s="473">
        <v>141.75585012982086</v>
      </c>
      <c r="E1025" s="473">
        <v>173.58269135443203</v>
      </c>
      <c r="F1025" s="473">
        <v>212.55525405303493</v>
      </c>
      <c r="G1025" s="473">
        <v>260.27788642416778</v>
      </c>
      <c r="H1025" s="473">
        <v>318.71514286129536</v>
      </c>
      <c r="I1025" s="224"/>
      <c r="L1025" s="41"/>
      <c r="M1025" s="41"/>
      <c r="N1025" s="42"/>
      <c r="O1025" s="42"/>
    </row>
    <row r="1026" spans="1:18" hidden="1" outlineLevel="1" x14ac:dyDescent="0.3">
      <c r="A1026" s="63" t="s">
        <v>4052</v>
      </c>
      <c r="B1026" s="63" t="s">
        <v>940</v>
      </c>
      <c r="C1026" s="65" t="s">
        <v>827</v>
      </c>
      <c r="D1026" s="473">
        <v>141.75585012982086</v>
      </c>
      <c r="E1026" s="473">
        <v>173.58269135443203</v>
      </c>
      <c r="F1026" s="473">
        <v>212.55525405303493</v>
      </c>
      <c r="G1026" s="473">
        <v>260.27788642416778</v>
      </c>
      <c r="H1026" s="473">
        <v>318.71514286129536</v>
      </c>
      <c r="I1026" s="224"/>
      <c r="L1026" s="41"/>
      <c r="M1026" s="41"/>
      <c r="N1026" s="42"/>
      <c r="O1026" s="42"/>
    </row>
    <row r="1027" spans="1:18" hidden="1" outlineLevel="1" x14ac:dyDescent="0.3">
      <c r="A1027" s="63" t="s">
        <v>4052</v>
      </c>
      <c r="B1027" s="63" t="s">
        <v>940</v>
      </c>
      <c r="C1027" s="65" t="s">
        <v>829</v>
      </c>
      <c r="D1027" s="473">
        <v>141.75585012982086</v>
      </c>
      <c r="E1027" s="473">
        <v>173.58269135443203</v>
      </c>
      <c r="F1027" s="473">
        <v>212.55525405303493</v>
      </c>
      <c r="G1027" s="473">
        <v>260.27788642416778</v>
      </c>
      <c r="H1027" s="473">
        <v>318.71514286129536</v>
      </c>
      <c r="I1027" s="224"/>
      <c r="L1027" s="41"/>
      <c r="M1027" s="41"/>
      <c r="N1027" s="42"/>
      <c r="O1027" s="42"/>
    </row>
    <row r="1028" spans="1:18" hidden="1" outlineLevel="1" x14ac:dyDescent="0.3">
      <c r="A1028" s="63" t="s">
        <v>4052</v>
      </c>
      <c r="B1028" s="63" t="s">
        <v>940</v>
      </c>
      <c r="C1028" s="65" t="s">
        <v>833</v>
      </c>
      <c r="D1028" s="473">
        <v>141.75585012982086</v>
      </c>
      <c r="E1028" s="473">
        <v>173.58269135443203</v>
      </c>
      <c r="F1028" s="473">
        <v>212.55525405303493</v>
      </c>
      <c r="G1028" s="473">
        <v>260.27788642416778</v>
      </c>
      <c r="H1028" s="473">
        <v>318.71514286129536</v>
      </c>
      <c r="I1028" s="224"/>
      <c r="L1028" s="41"/>
      <c r="M1028" s="41"/>
      <c r="N1028" s="42"/>
      <c r="O1028" s="42"/>
    </row>
    <row r="1029" spans="1:18" hidden="1" outlineLevel="1" x14ac:dyDescent="0.3">
      <c r="A1029" s="63" t="s">
        <v>4052</v>
      </c>
      <c r="B1029" s="63" t="s">
        <v>940</v>
      </c>
      <c r="C1029" s="65" t="s">
        <v>836</v>
      </c>
      <c r="D1029" s="473">
        <v>141.75585012982086</v>
      </c>
      <c r="E1029" s="473">
        <v>173.58269135443203</v>
      </c>
      <c r="F1029" s="473">
        <v>212.55525405303493</v>
      </c>
      <c r="G1029" s="473">
        <v>260.27788642416778</v>
      </c>
      <c r="H1029" s="473">
        <v>318.71514286129536</v>
      </c>
      <c r="I1029" s="224"/>
      <c r="L1029" s="41"/>
      <c r="M1029" s="41"/>
      <c r="N1029" s="42"/>
      <c r="O1029" s="42"/>
    </row>
    <row r="1030" spans="1:18" hidden="1" outlineLevel="1" x14ac:dyDescent="0.3">
      <c r="A1030" s="63" t="s">
        <v>4052</v>
      </c>
      <c r="B1030" s="63" t="s">
        <v>940</v>
      </c>
      <c r="C1030" s="65" t="s">
        <v>837</v>
      </c>
      <c r="D1030" s="473">
        <v>141.75585012982086</v>
      </c>
      <c r="E1030" s="473">
        <v>173.58269135443203</v>
      </c>
      <c r="F1030" s="473">
        <v>212.55525405303493</v>
      </c>
      <c r="G1030" s="473">
        <v>260.27788642416778</v>
      </c>
      <c r="H1030" s="473">
        <v>318.71514286129536</v>
      </c>
      <c r="I1030" s="224"/>
      <c r="L1030" s="41"/>
      <c r="M1030" s="41"/>
      <c r="N1030" s="42"/>
      <c r="O1030" s="42"/>
    </row>
    <row r="1031" spans="1:18" hidden="1" outlineLevel="1" x14ac:dyDescent="0.3">
      <c r="A1031" s="63" t="s">
        <v>4052</v>
      </c>
      <c r="B1031" s="63" t="s">
        <v>940</v>
      </c>
      <c r="C1031" s="65" t="s">
        <v>839</v>
      </c>
      <c r="D1031" s="473">
        <v>141.75585012982086</v>
      </c>
      <c r="E1031" s="473">
        <v>173.58269135443203</v>
      </c>
      <c r="F1031" s="473">
        <v>212.55525405303493</v>
      </c>
      <c r="G1031" s="473">
        <v>260.27788642416778</v>
      </c>
      <c r="H1031" s="473">
        <v>318.71514286129536</v>
      </c>
      <c r="I1031" s="224"/>
      <c r="L1031" s="41"/>
      <c r="M1031" s="41"/>
      <c r="N1031" s="42"/>
      <c r="O1031" s="42"/>
    </row>
    <row r="1032" spans="1:18" hidden="1" outlineLevel="1" x14ac:dyDescent="0.3">
      <c r="A1032" s="63" t="s">
        <v>4052</v>
      </c>
      <c r="B1032" s="63" t="s">
        <v>940</v>
      </c>
      <c r="C1032" s="65" t="s">
        <v>840</v>
      </c>
      <c r="D1032" s="473">
        <v>141.75585012982086</v>
      </c>
      <c r="E1032" s="473">
        <v>173.58269135443203</v>
      </c>
      <c r="F1032" s="473">
        <v>212.55525405303493</v>
      </c>
      <c r="G1032" s="473">
        <v>260.27788642416778</v>
      </c>
      <c r="H1032" s="473">
        <v>318.71514286129536</v>
      </c>
      <c r="I1032" s="224"/>
      <c r="L1032" s="41"/>
      <c r="M1032" s="41"/>
      <c r="N1032" s="42"/>
      <c r="O1032" s="42"/>
    </row>
    <row r="1033" spans="1:18" collapsed="1" x14ac:dyDescent="0.3">
      <c r="A1033" s="63"/>
      <c r="B1033" s="63"/>
      <c r="C1033" s="63"/>
      <c r="D1033" s="473"/>
      <c r="E1033" s="473"/>
      <c r="F1033" s="473"/>
      <c r="G1033" s="473"/>
      <c r="H1033" s="473"/>
      <c r="I1033" s="224"/>
      <c r="L1033" s="41"/>
      <c r="M1033" s="41"/>
      <c r="N1033" s="42"/>
      <c r="O1033" s="42"/>
    </row>
    <row r="1034" spans="1:18" x14ac:dyDescent="0.3">
      <c r="A1034" s="65" t="s">
        <v>4053</v>
      </c>
      <c r="B1034" s="254"/>
      <c r="C1034" s="64" t="s">
        <v>4032</v>
      </c>
      <c r="D1034" s="473">
        <v>225.18986021684606</v>
      </c>
      <c r="E1034" s="473">
        <v>265.53855895083547</v>
      </c>
      <c r="F1034" s="473">
        <v>281.73167598680448</v>
      </c>
      <c r="G1034" s="473">
        <v>298.918982682143</v>
      </c>
      <c r="H1034" s="473">
        <v>311.02576581197923</v>
      </c>
      <c r="I1034" s="224"/>
      <c r="L1034" s="41"/>
      <c r="M1034" s="41"/>
      <c r="N1034" s="42"/>
      <c r="O1034" s="42"/>
    </row>
    <row r="1035" spans="1:18" x14ac:dyDescent="0.3">
      <c r="A1035" s="122" t="s">
        <v>5</v>
      </c>
      <c r="B1035" s="122" t="s">
        <v>847</v>
      </c>
      <c r="C1035" s="122" t="s">
        <v>193</v>
      </c>
      <c r="D1035" s="495">
        <v>2025</v>
      </c>
      <c r="E1035" s="495">
        <v>2030</v>
      </c>
      <c r="F1035" s="495">
        <v>2035</v>
      </c>
      <c r="G1035" s="495">
        <v>2040</v>
      </c>
      <c r="H1035" s="495">
        <v>2045</v>
      </c>
      <c r="I1035" s="315" t="s">
        <v>153</v>
      </c>
      <c r="N1035" s="37"/>
      <c r="O1035" s="37"/>
      <c r="P1035" s="37"/>
    </row>
    <row r="1036" spans="1:18" hidden="1" outlineLevel="1" x14ac:dyDescent="0.3">
      <c r="A1036" s="63" t="s">
        <v>4053</v>
      </c>
      <c r="B1036" s="63" t="s">
        <v>855</v>
      </c>
      <c r="C1036" s="65" t="s">
        <v>747</v>
      </c>
      <c r="D1036" s="473">
        <v>228.88602641287204</v>
      </c>
      <c r="E1036" s="473">
        <v>274.15651585979577</v>
      </c>
      <c r="F1036" s="473">
        <v>290.01717468009997</v>
      </c>
      <c r="G1036" s="473">
        <v>306.79541336322512</v>
      </c>
      <c r="H1036" s="473">
        <v>319.21730167183858</v>
      </c>
      <c r="I1036" s="224"/>
      <c r="L1036" s="37"/>
      <c r="M1036" s="37"/>
      <c r="N1036" s="37"/>
      <c r="O1036" s="37"/>
      <c r="P1036" s="37"/>
      <c r="Q1036" s="37"/>
      <c r="R1036" s="37"/>
    </row>
    <row r="1037" spans="1:18" hidden="1" outlineLevel="1" x14ac:dyDescent="0.3">
      <c r="A1037" s="63" t="s">
        <v>4053</v>
      </c>
      <c r="B1037" s="63" t="s">
        <v>855</v>
      </c>
      <c r="C1037" s="65" t="s">
        <v>751</v>
      </c>
      <c r="D1037" s="473">
        <v>228.88602641287204</v>
      </c>
      <c r="E1037" s="473">
        <v>274.15651585979577</v>
      </c>
      <c r="F1037" s="473">
        <v>290.01717468009997</v>
      </c>
      <c r="G1037" s="473">
        <v>306.79541336322512</v>
      </c>
      <c r="H1037" s="473">
        <v>319.21730167183858</v>
      </c>
      <c r="I1037" s="224"/>
      <c r="L1037" s="37"/>
      <c r="M1037" s="37"/>
      <c r="N1037" s="37"/>
      <c r="O1037" s="37"/>
      <c r="P1037" s="37"/>
      <c r="Q1037" s="37"/>
      <c r="R1037" s="37"/>
    </row>
    <row r="1038" spans="1:18" hidden="1" outlineLevel="1" x14ac:dyDescent="0.3">
      <c r="A1038" s="63" t="s">
        <v>4053</v>
      </c>
      <c r="B1038" s="63" t="s">
        <v>855</v>
      </c>
      <c r="C1038" s="65" t="s">
        <v>755</v>
      </c>
      <c r="D1038" s="473">
        <v>228.88602641287204</v>
      </c>
      <c r="E1038" s="473">
        <v>274.15651585979577</v>
      </c>
      <c r="F1038" s="473">
        <v>290.01717468009997</v>
      </c>
      <c r="G1038" s="473">
        <v>306.79541336322512</v>
      </c>
      <c r="H1038" s="473">
        <v>319.21730167183858</v>
      </c>
      <c r="I1038" s="224"/>
      <c r="L1038" s="37"/>
      <c r="M1038" s="37"/>
      <c r="N1038" s="37"/>
      <c r="O1038" s="37"/>
      <c r="P1038" s="37"/>
      <c r="Q1038" s="37"/>
      <c r="R1038" s="37"/>
    </row>
    <row r="1039" spans="1:18" hidden="1" outlineLevel="1" x14ac:dyDescent="0.3">
      <c r="A1039" s="63" t="s">
        <v>4053</v>
      </c>
      <c r="B1039" s="63" t="s">
        <v>855</v>
      </c>
      <c r="C1039" s="65" t="s">
        <v>758</v>
      </c>
      <c r="D1039" s="473">
        <v>228.88602641287204</v>
      </c>
      <c r="E1039" s="473">
        <v>274.15651585979577</v>
      </c>
      <c r="F1039" s="473">
        <v>290.01717468009997</v>
      </c>
      <c r="G1039" s="473">
        <v>306.79541336322512</v>
      </c>
      <c r="H1039" s="473">
        <v>319.21730167183858</v>
      </c>
      <c r="I1039" s="224"/>
      <c r="L1039" s="37"/>
      <c r="M1039" s="37"/>
      <c r="N1039" s="37"/>
      <c r="O1039" s="37"/>
      <c r="P1039" s="37"/>
      <c r="Q1039" s="37"/>
      <c r="R1039" s="37"/>
    </row>
    <row r="1040" spans="1:18" hidden="1" outlineLevel="1" x14ac:dyDescent="0.3">
      <c r="A1040" s="63" t="s">
        <v>4053</v>
      </c>
      <c r="B1040" s="63" t="s">
        <v>855</v>
      </c>
      <c r="C1040" s="65" t="s">
        <v>761</v>
      </c>
      <c r="D1040" s="473">
        <v>228.88602641287204</v>
      </c>
      <c r="E1040" s="473">
        <v>274.15651585979577</v>
      </c>
      <c r="F1040" s="473">
        <v>290.01717468009997</v>
      </c>
      <c r="G1040" s="473">
        <v>306.79541336322512</v>
      </c>
      <c r="H1040" s="473">
        <v>319.21730167183858</v>
      </c>
      <c r="I1040" s="224"/>
      <c r="L1040" s="37"/>
      <c r="M1040" s="37"/>
      <c r="N1040" s="37"/>
      <c r="O1040" s="37"/>
      <c r="P1040" s="37"/>
      <c r="Q1040" s="37"/>
      <c r="R1040" s="37"/>
    </row>
    <row r="1041" spans="1:18" hidden="1" outlineLevel="1" x14ac:dyDescent="0.3">
      <c r="A1041" s="63" t="s">
        <v>4053</v>
      </c>
      <c r="B1041" s="63" t="s">
        <v>855</v>
      </c>
      <c r="C1041" s="65" t="s">
        <v>763</v>
      </c>
      <c r="D1041" s="473">
        <v>228.88602641287204</v>
      </c>
      <c r="E1041" s="473">
        <v>274.15651585979577</v>
      </c>
      <c r="F1041" s="473">
        <v>290.01717468009997</v>
      </c>
      <c r="G1041" s="473">
        <v>306.79541336322512</v>
      </c>
      <c r="H1041" s="473">
        <v>319.21730167183858</v>
      </c>
      <c r="I1041" s="224"/>
      <c r="L1041" s="37"/>
      <c r="M1041" s="37"/>
      <c r="N1041" s="37"/>
      <c r="O1041" s="37"/>
      <c r="P1041" s="37"/>
      <c r="Q1041" s="37"/>
      <c r="R1041" s="37"/>
    </row>
    <row r="1042" spans="1:18" hidden="1" outlineLevel="1" x14ac:dyDescent="0.3">
      <c r="A1042" s="63" t="s">
        <v>4053</v>
      </c>
      <c r="B1042" s="63" t="s">
        <v>855</v>
      </c>
      <c r="C1042" s="65" t="s">
        <v>765</v>
      </c>
      <c r="D1042" s="473">
        <v>228.88602641287204</v>
      </c>
      <c r="E1042" s="473">
        <v>274.15651585979577</v>
      </c>
      <c r="F1042" s="473">
        <v>290.01717468009997</v>
      </c>
      <c r="G1042" s="473">
        <v>306.79541336322512</v>
      </c>
      <c r="H1042" s="473">
        <v>319.21730167183858</v>
      </c>
      <c r="I1042" s="224"/>
      <c r="L1042" s="37"/>
      <c r="M1042" s="37"/>
      <c r="N1042" s="37"/>
      <c r="O1042" s="37"/>
      <c r="P1042" s="37"/>
      <c r="Q1042" s="37"/>
      <c r="R1042" s="37"/>
    </row>
    <row r="1043" spans="1:18" hidden="1" outlineLevel="1" x14ac:dyDescent="0.3">
      <c r="A1043" s="63" t="s">
        <v>4053</v>
      </c>
      <c r="B1043" s="63" t="s">
        <v>855</v>
      </c>
      <c r="C1043" s="65" t="s">
        <v>768</v>
      </c>
      <c r="D1043" s="473">
        <v>228.88602641287204</v>
      </c>
      <c r="E1043" s="473">
        <v>274.15651585979577</v>
      </c>
      <c r="F1043" s="473">
        <v>290.01717468009997</v>
      </c>
      <c r="G1043" s="473">
        <v>306.79541336322512</v>
      </c>
      <c r="H1043" s="473">
        <v>319.21730167183858</v>
      </c>
      <c r="I1043" s="224"/>
      <c r="L1043" s="37"/>
      <c r="M1043" s="37"/>
      <c r="N1043" s="37"/>
      <c r="O1043" s="37"/>
      <c r="P1043" s="37"/>
      <c r="Q1043" s="37"/>
      <c r="R1043" s="37"/>
    </row>
    <row r="1044" spans="1:18" hidden="1" outlineLevel="1" x14ac:dyDescent="0.3">
      <c r="A1044" s="63" t="s">
        <v>4053</v>
      </c>
      <c r="B1044" s="63" t="s">
        <v>855</v>
      </c>
      <c r="C1044" s="65" t="s">
        <v>771</v>
      </c>
      <c r="D1044" s="473">
        <v>228.88602641287204</v>
      </c>
      <c r="E1044" s="473">
        <v>274.15651585979577</v>
      </c>
      <c r="F1044" s="473">
        <v>290.01717468009997</v>
      </c>
      <c r="G1044" s="473">
        <v>306.79541336322512</v>
      </c>
      <c r="H1044" s="473">
        <v>319.21730167183858</v>
      </c>
      <c r="I1044" s="224"/>
      <c r="L1044" s="37"/>
      <c r="M1044" s="37"/>
      <c r="N1044" s="37"/>
      <c r="O1044" s="37"/>
      <c r="P1044" s="37"/>
      <c r="Q1044" s="37"/>
      <c r="R1044" s="37"/>
    </row>
    <row r="1045" spans="1:18" hidden="1" outlineLevel="1" x14ac:dyDescent="0.3">
      <c r="A1045" s="63" t="s">
        <v>4053</v>
      </c>
      <c r="B1045" s="63" t="s">
        <v>855</v>
      </c>
      <c r="C1045" s="65" t="s">
        <v>772</v>
      </c>
      <c r="D1045" s="473">
        <v>228.88602641287204</v>
      </c>
      <c r="E1045" s="473">
        <v>274.15651585979577</v>
      </c>
      <c r="F1045" s="473">
        <v>290.01717468009997</v>
      </c>
      <c r="G1045" s="473">
        <v>306.79541336322512</v>
      </c>
      <c r="H1045" s="473">
        <v>319.21730167183858</v>
      </c>
      <c r="I1045" s="224"/>
      <c r="L1045" s="37"/>
      <c r="M1045" s="37"/>
      <c r="N1045" s="37"/>
      <c r="O1045" s="37"/>
      <c r="P1045" s="37"/>
      <c r="Q1045" s="37"/>
      <c r="R1045" s="37"/>
    </row>
    <row r="1046" spans="1:18" hidden="1" outlineLevel="1" x14ac:dyDescent="0.3">
      <c r="A1046" s="63" t="s">
        <v>4053</v>
      </c>
      <c r="B1046" s="63" t="s">
        <v>855</v>
      </c>
      <c r="C1046" s="65" t="s">
        <v>774</v>
      </c>
      <c r="D1046" s="473">
        <v>228.88602641287204</v>
      </c>
      <c r="E1046" s="473">
        <v>274.15651585979577</v>
      </c>
      <c r="F1046" s="473">
        <v>290.01717468009997</v>
      </c>
      <c r="G1046" s="473">
        <v>306.79541336322512</v>
      </c>
      <c r="H1046" s="473">
        <v>319.21730167183858</v>
      </c>
      <c r="I1046" s="224"/>
      <c r="L1046" s="37"/>
      <c r="M1046" s="37"/>
      <c r="N1046" s="37"/>
      <c r="O1046" s="37"/>
      <c r="P1046" s="37"/>
      <c r="Q1046" s="37"/>
      <c r="R1046" s="37"/>
    </row>
    <row r="1047" spans="1:18" hidden="1" outlineLevel="1" x14ac:dyDescent="0.3">
      <c r="A1047" s="63" t="s">
        <v>4053</v>
      </c>
      <c r="B1047" s="63" t="s">
        <v>855</v>
      </c>
      <c r="C1047" s="65" t="s">
        <v>775</v>
      </c>
      <c r="D1047" s="473">
        <v>228.88602641287204</v>
      </c>
      <c r="E1047" s="473">
        <v>274.15651585979577</v>
      </c>
      <c r="F1047" s="473">
        <v>290.01717468009997</v>
      </c>
      <c r="G1047" s="473">
        <v>306.79541336322512</v>
      </c>
      <c r="H1047" s="473">
        <v>319.21730167183858</v>
      </c>
      <c r="I1047" s="224"/>
      <c r="L1047" s="37"/>
      <c r="M1047" s="37"/>
      <c r="N1047" s="37"/>
      <c r="O1047" s="37"/>
      <c r="P1047" s="37"/>
      <c r="Q1047" s="37"/>
      <c r="R1047" s="37"/>
    </row>
    <row r="1048" spans="1:18" hidden="1" outlineLevel="1" x14ac:dyDescent="0.3">
      <c r="A1048" s="63" t="s">
        <v>4053</v>
      </c>
      <c r="B1048" s="63" t="s">
        <v>855</v>
      </c>
      <c r="C1048" s="65" t="s">
        <v>779</v>
      </c>
      <c r="D1048" s="473">
        <v>228.88602641287204</v>
      </c>
      <c r="E1048" s="473">
        <v>274.15651585979577</v>
      </c>
      <c r="F1048" s="473">
        <v>290.01717468009997</v>
      </c>
      <c r="G1048" s="473">
        <v>306.79541336322512</v>
      </c>
      <c r="H1048" s="473">
        <v>319.21730167183858</v>
      </c>
      <c r="I1048" s="224"/>
      <c r="L1048" s="37"/>
      <c r="M1048" s="37"/>
      <c r="N1048" s="37"/>
      <c r="O1048" s="37"/>
      <c r="P1048" s="37"/>
      <c r="Q1048" s="37"/>
      <c r="R1048" s="37"/>
    </row>
    <row r="1049" spans="1:18" hidden="1" outlineLevel="1" x14ac:dyDescent="0.3">
      <c r="A1049" s="63" t="s">
        <v>4053</v>
      </c>
      <c r="B1049" s="63" t="s">
        <v>894</v>
      </c>
      <c r="C1049" s="65" t="s">
        <v>781</v>
      </c>
      <c r="D1049" s="473">
        <v>228.88602641287204</v>
      </c>
      <c r="E1049" s="473">
        <v>274.15651585979577</v>
      </c>
      <c r="F1049" s="473">
        <v>290.01717468009997</v>
      </c>
      <c r="G1049" s="473">
        <v>306.79541336322512</v>
      </c>
      <c r="H1049" s="473">
        <v>319.21730167183858</v>
      </c>
      <c r="I1049" s="224"/>
      <c r="L1049" s="37"/>
      <c r="M1049" s="37"/>
      <c r="N1049" s="37"/>
      <c r="O1049" s="37"/>
      <c r="P1049" s="37"/>
      <c r="Q1049" s="37"/>
      <c r="R1049" s="37"/>
    </row>
    <row r="1050" spans="1:18" hidden="1" outlineLevel="1" x14ac:dyDescent="0.3">
      <c r="A1050" s="63" t="s">
        <v>4053</v>
      </c>
      <c r="B1050" s="63" t="s">
        <v>894</v>
      </c>
      <c r="C1050" s="65" t="s">
        <v>783</v>
      </c>
      <c r="D1050" s="473">
        <v>228.88602641287204</v>
      </c>
      <c r="E1050" s="473">
        <v>274.15651585979577</v>
      </c>
      <c r="F1050" s="473">
        <v>290.01717468009997</v>
      </c>
      <c r="G1050" s="473">
        <v>306.79541336322512</v>
      </c>
      <c r="H1050" s="473">
        <v>319.21730167183858</v>
      </c>
      <c r="I1050" s="224"/>
      <c r="L1050" s="37"/>
      <c r="M1050" s="37"/>
      <c r="N1050" s="37"/>
      <c r="O1050" s="37"/>
      <c r="P1050" s="37"/>
      <c r="Q1050" s="37"/>
      <c r="R1050" s="37"/>
    </row>
    <row r="1051" spans="1:18" hidden="1" outlineLevel="1" x14ac:dyDescent="0.3">
      <c r="A1051" s="63" t="s">
        <v>4053</v>
      </c>
      <c r="B1051" s="63" t="s">
        <v>894</v>
      </c>
      <c r="C1051" s="65" t="s">
        <v>785</v>
      </c>
      <c r="D1051" s="473">
        <v>228.88602641287204</v>
      </c>
      <c r="E1051" s="473">
        <v>274.15651585979577</v>
      </c>
      <c r="F1051" s="473">
        <v>290.01717468009997</v>
      </c>
      <c r="G1051" s="473">
        <v>306.79541336322512</v>
      </c>
      <c r="H1051" s="473">
        <v>319.21730167183858</v>
      </c>
      <c r="I1051" s="224"/>
      <c r="L1051" s="37"/>
      <c r="M1051" s="37"/>
      <c r="N1051" s="37"/>
      <c r="O1051" s="37"/>
      <c r="P1051" s="37"/>
      <c r="Q1051" s="37"/>
      <c r="R1051" s="37"/>
    </row>
    <row r="1052" spans="1:18" hidden="1" outlineLevel="1" x14ac:dyDescent="0.3">
      <c r="A1052" s="63" t="s">
        <v>4053</v>
      </c>
      <c r="B1052" s="63" t="s">
        <v>894</v>
      </c>
      <c r="C1052" s="65" t="s">
        <v>787</v>
      </c>
      <c r="D1052" s="473">
        <v>228.88602641287204</v>
      </c>
      <c r="E1052" s="473">
        <v>274.15651585979577</v>
      </c>
      <c r="F1052" s="473">
        <v>290.01717468009997</v>
      </c>
      <c r="G1052" s="473">
        <v>306.79541336322512</v>
      </c>
      <c r="H1052" s="473">
        <v>319.21730167183858</v>
      </c>
      <c r="I1052" s="224"/>
      <c r="L1052" s="37"/>
      <c r="M1052" s="37"/>
      <c r="N1052" s="37"/>
      <c r="O1052" s="37"/>
      <c r="P1052" s="37"/>
      <c r="Q1052" s="37"/>
      <c r="R1052" s="37"/>
    </row>
    <row r="1053" spans="1:18" hidden="1" outlineLevel="1" x14ac:dyDescent="0.3">
      <c r="A1053" s="63" t="s">
        <v>4053</v>
      </c>
      <c r="B1053" s="63" t="s">
        <v>894</v>
      </c>
      <c r="C1053" s="65" t="s">
        <v>788</v>
      </c>
      <c r="D1053" s="473">
        <v>228.88602641287204</v>
      </c>
      <c r="E1053" s="473">
        <v>274.15651585979577</v>
      </c>
      <c r="F1053" s="473">
        <v>290.01717468009997</v>
      </c>
      <c r="G1053" s="473">
        <v>306.79541336322512</v>
      </c>
      <c r="H1053" s="473">
        <v>319.21730167183858</v>
      </c>
      <c r="I1053" s="224"/>
      <c r="L1053" s="37"/>
      <c r="M1053" s="37"/>
      <c r="N1053" s="37"/>
      <c r="O1053" s="37"/>
      <c r="P1053" s="37"/>
      <c r="Q1053" s="37"/>
      <c r="R1053" s="37"/>
    </row>
    <row r="1054" spans="1:18" hidden="1" outlineLevel="1" x14ac:dyDescent="0.3">
      <c r="A1054" s="63" t="s">
        <v>4053</v>
      </c>
      <c r="B1054" s="63" t="s">
        <v>894</v>
      </c>
      <c r="C1054" s="65" t="s">
        <v>789</v>
      </c>
      <c r="D1054" s="473">
        <v>228.88602641287204</v>
      </c>
      <c r="E1054" s="473">
        <v>274.15651585979577</v>
      </c>
      <c r="F1054" s="473">
        <v>290.01717468009997</v>
      </c>
      <c r="G1054" s="473">
        <v>306.79541336322512</v>
      </c>
      <c r="H1054" s="473">
        <v>319.21730167183858</v>
      </c>
      <c r="I1054" s="224"/>
      <c r="L1054" s="37"/>
      <c r="M1054" s="37"/>
      <c r="N1054" s="37"/>
      <c r="O1054" s="37"/>
      <c r="P1054" s="37"/>
      <c r="Q1054" s="37"/>
      <c r="R1054" s="37"/>
    </row>
    <row r="1055" spans="1:18" hidden="1" outlineLevel="1" x14ac:dyDescent="0.3">
      <c r="A1055" s="63" t="s">
        <v>4053</v>
      </c>
      <c r="B1055" s="63" t="s">
        <v>894</v>
      </c>
      <c r="C1055" s="65" t="s">
        <v>790</v>
      </c>
      <c r="D1055" s="473">
        <v>228.88602641287204</v>
      </c>
      <c r="E1055" s="473">
        <v>274.15651585979577</v>
      </c>
      <c r="F1055" s="473">
        <v>290.01717468009997</v>
      </c>
      <c r="G1055" s="473">
        <v>306.79541336322512</v>
      </c>
      <c r="H1055" s="473">
        <v>319.21730167183858</v>
      </c>
      <c r="I1055" s="224"/>
      <c r="L1055" s="37"/>
      <c r="M1055" s="37"/>
      <c r="N1055" s="37"/>
      <c r="O1055" s="37"/>
      <c r="P1055" s="37"/>
      <c r="Q1055" s="37"/>
      <c r="R1055" s="37"/>
    </row>
    <row r="1056" spans="1:18" hidden="1" outlineLevel="1" x14ac:dyDescent="0.3">
      <c r="A1056" s="63" t="s">
        <v>4053</v>
      </c>
      <c r="B1056" s="63" t="s">
        <v>894</v>
      </c>
      <c r="C1056" s="65" t="s">
        <v>793</v>
      </c>
      <c r="D1056" s="473">
        <v>228.88602641287204</v>
      </c>
      <c r="E1056" s="473">
        <v>274.15651585979577</v>
      </c>
      <c r="F1056" s="473">
        <v>290.01717468009997</v>
      </c>
      <c r="G1056" s="473">
        <v>306.79541336322512</v>
      </c>
      <c r="H1056" s="473">
        <v>319.21730167183858</v>
      </c>
      <c r="I1056" s="224"/>
      <c r="L1056" s="37"/>
      <c r="M1056" s="37"/>
      <c r="N1056" s="37"/>
      <c r="O1056" s="37"/>
      <c r="P1056" s="37"/>
      <c r="Q1056" s="37"/>
      <c r="R1056" s="37"/>
    </row>
    <row r="1057" spans="1:18" hidden="1" outlineLevel="1" x14ac:dyDescent="0.3">
      <c r="A1057" s="63" t="s">
        <v>4053</v>
      </c>
      <c r="B1057" s="63" t="s">
        <v>894</v>
      </c>
      <c r="C1057" s="65" t="s">
        <v>795</v>
      </c>
      <c r="D1057" s="473">
        <v>228.88602641287204</v>
      </c>
      <c r="E1057" s="473">
        <v>274.15651585979577</v>
      </c>
      <c r="F1057" s="473">
        <v>290.01717468009997</v>
      </c>
      <c r="G1057" s="473">
        <v>306.79541336322512</v>
      </c>
      <c r="H1057" s="473">
        <v>319.21730167183858</v>
      </c>
      <c r="I1057" s="224"/>
      <c r="L1057" s="37"/>
      <c r="M1057" s="37"/>
      <c r="N1057" s="37"/>
      <c r="O1057" s="37"/>
      <c r="P1057" s="37"/>
      <c r="Q1057" s="37"/>
      <c r="R1057" s="37"/>
    </row>
    <row r="1058" spans="1:18" hidden="1" outlineLevel="1" x14ac:dyDescent="0.3">
      <c r="A1058" s="63" t="s">
        <v>4053</v>
      </c>
      <c r="B1058" s="63" t="s">
        <v>894</v>
      </c>
      <c r="C1058" s="65" t="s">
        <v>797</v>
      </c>
      <c r="D1058" s="473">
        <v>228.88602641287204</v>
      </c>
      <c r="E1058" s="473">
        <v>274.15651585979577</v>
      </c>
      <c r="F1058" s="473">
        <v>290.01717468009997</v>
      </c>
      <c r="G1058" s="473">
        <v>306.79541336322512</v>
      </c>
      <c r="H1058" s="473">
        <v>319.21730167183858</v>
      </c>
      <c r="I1058" s="224"/>
      <c r="L1058" s="37"/>
      <c r="M1058" s="37"/>
      <c r="N1058" s="37"/>
      <c r="O1058" s="37"/>
      <c r="P1058" s="37"/>
      <c r="Q1058" s="37"/>
      <c r="R1058" s="37"/>
    </row>
    <row r="1059" spans="1:18" hidden="1" outlineLevel="1" x14ac:dyDescent="0.3">
      <c r="A1059" s="63" t="s">
        <v>4053</v>
      </c>
      <c r="B1059" s="63" t="s">
        <v>915</v>
      </c>
      <c r="C1059" s="65" t="s">
        <v>799</v>
      </c>
      <c r="D1059" s="473">
        <v>228.88602641287204</v>
      </c>
      <c r="E1059" s="473">
        <v>274.15651585979577</v>
      </c>
      <c r="F1059" s="473">
        <v>290.01717468009997</v>
      </c>
      <c r="G1059" s="473">
        <v>306.79541336322512</v>
      </c>
      <c r="H1059" s="473">
        <v>319.21730167183858</v>
      </c>
      <c r="I1059" s="224"/>
      <c r="L1059" s="37"/>
      <c r="M1059" s="37"/>
      <c r="N1059" s="37"/>
      <c r="O1059" s="37"/>
      <c r="P1059" s="37"/>
      <c r="Q1059" s="37"/>
      <c r="R1059" s="37"/>
    </row>
    <row r="1060" spans="1:18" hidden="1" outlineLevel="1" x14ac:dyDescent="0.3">
      <c r="A1060" s="63" t="s">
        <v>4053</v>
      </c>
      <c r="B1060" s="63" t="s">
        <v>915</v>
      </c>
      <c r="C1060" s="65" t="s">
        <v>801</v>
      </c>
      <c r="D1060" s="473">
        <v>228.88602641287204</v>
      </c>
      <c r="E1060" s="473">
        <v>274.15651585979577</v>
      </c>
      <c r="F1060" s="473">
        <v>290.01717468009997</v>
      </c>
      <c r="G1060" s="473">
        <v>306.79541336322512</v>
      </c>
      <c r="H1060" s="473">
        <v>319.21730167183858</v>
      </c>
      <c r="I1060" s="224"/>
      <c r="L1060" s="37"/>
      <c r="M1060" s="37"/>
      <c r="N1060" s="37"/>
      <c r="O1060" s="37"/>
      <c r="P1060" s="37"/>
      <c r="Q1060" s="37"/>
      <c r="R1060" s="37"/>
    </row>
    <row r="1061" spans="1:18" hidden="1" outlineLevel="1" x14ac:dyDescent="0.3">
      <c r="A1061" s="63" t="s">
        <v>4053</v>
      </c>
      <c r="B1061" s="63" t="s">
        <v>915</v>
      </c>
      <c r="C1061" s="65" t="s">
        <v>804</v>
      </c>
      <c r="D1061" s="473">
        <v>228.88602641287204</v>
      </c>
      <c r="E1061" s="473">
        <v>274.15651585979577</v>
      </c>
      <c r="F1061" s="473">
        <v>290.01717468009997</v>
      </c>
      <c r="G1061" s="473">
        <v>306.79541336322512</v>
      </c>
      <c r="H1061" s="473">
        <v>319.21730167183858</v>
      </c>
      <c r="I1061" s="224"/>
      <c r="L1061" s="37"/>
      <c r="M1061" s="37"/>
      <c r="N1061" s="37"/>
      <c r="O1061" s="37"/>
      <c r="P1061" s="37"/>
      <c r="Q1061" s="37"/>
      <c r="R1061" s="37"/>
    </row>
    <row r="1062" spans="1:18" hidden="1" outlineLevel="1" x14ac:dyDescent="0.3">
      <c r="A1062" s="63" t="s">
        <v>4053</v>
      </c>
      <c r="B1062" s="63" t="s">
        <v>915</v>
      </c>
      <c r="C1062" s="65" t="s">
        <v>806</v>
      </c>
      <c r="D1062" s="473">
        <v>228.88602641287204</v>
      </c>
      <c r="E1062" s="473">
        <v>274.15651585979577</v>
      </c>
      <c r="F1062" s="473">
        <v>290.01717468009997</v>
      </c>
      <c r="G1062" s="473">
        <v>306.79541336322512</v>
      </c>
      <c r="H1062" s="473">
        <v>319.21730167183858</v>
      </c>
      <c r="I1062" s="224"/>
      <c r="L1062" s="37"/>
      <c r="M1062" s="37"/>
      <c r="N1062" s="37"/>
      <c r="O1062" s="37"/>
      <c r="P1062" s="37"/>
      <c r="Q1062" s="37"/>
      <c r="R1062" s="37"/>
    </row>
    <row r="1063" spans="1:18" hidden="1" outlineLevel="1" x14ac:dyDescent="0.3">
      <c r="A1063" s="63" t="s">
        <v>4053</v>
      </c>
      <c r="B1063" s="63" t="s">
        <v>915</v>
      </c>
      <c r="C1063" s="65" t="s">
        <v>808</v>
      </c>
      <c r="D1063" s="473">
        <v>228.88602641287204</v>
      </c>
      <c r="E1063" s="473">
        <v>274.15651585979577</v>
      </c>
      <c r="F1063" s="473">
        <v>290.01717468009997</v>
      </c>
      <c r="G1063" s="473">
        <v>306.79541336322512</v>
      </c>
      <c r="H1063" s="473">
        <v>319.21730167183858</v>
      </c>
      <c r="I1063" s="224"/>
      <c r="L1063" s="37"/>
      <c r="M1063" s="37"/>
      <c r="N1063" s="37"/>
      <c r="O1063" s="37"/>
      <c r="P1063" s="37"/>
      <c r="Q1063" s="37"/>
      <c r="R1063" s="37"/>
    </row>
    <row r="1064" spans="1:18" hidden="1" outlineLevel="1" x14ac:dyDescent="0.3">
      <c r="A1064" s="63" t="s">
        <v>4053</v>
      </c>
      <c r="B1064" s="63" t="s">
        <v>915</v>
      </c>
      <c r="C1064" s="65" t="s">
        <v>811</v>
      </c>
      <c r="D1064" s="473">
        <v>228.88602641287204</v>
      </c>
      <c r="E1064" s="473">
        <v>274.15651585979577</v>
      </c>
      <c r="F1064" s="473">
        <v>290.01717468009997</v>
      </c>
      <c r="G1064" s="473">
        <v>306.79541336322512</v>
      </c>
      <c r="H1064" s="473">
        <v>319.21730167183858</v>
      </c>
      <c r="I1064" s="224"/>
      <c r="L1064" s="37"/>
      <c r="M1064" s="37"/>
      <c r="N1064" s="37"/>
      <c r="O1064" s="37"/>
      <c r="P1064" s="37"/>
      <c r="Q1064" s="37"/>
      <c r="R1064" s="37"/>
    </row>
    <row r="1065" spans="1:18" hidden="1" outlineLevel="1" x14ac:dyDescent="0.3">
      <c r="A1065" s="63" t="s">
        <v>4053</v>
      </c>
      <c r="B1065" s="63" t="s">
        <v>934</v>
      </c>
      <c r="C1065" s="65" t="s">
        <v>814</v>
      </c>
      <c r="D1065" s="473">
        <v>228.88602641287204</v>
      </c>
      <c r="E1065" s="473">
        <v>274.15651585979577</v>
      </c>
      <c r="F1065" s="473">
        <v>290.01717468009997</v>
      </c>
      <c r="G1065" s="473">
        <v>306.79541336322512</v>
      </c>
      <c r="H1065" s="473">
        <v>319.21730167183858</v>
      </c>
      <c r="I1065" s="224"/>
      <c r="L1065" s="37"/>
      <c r="M1065" s="37"/>
      <c r="N1065" s="37"/>
      <c r="O1065" s="37"/>
      <c r="P1065" s="37"/>
      <c r="Q1065" s="37"/>
      <c r="R1065" s="37"/>
    </row>
    <row r="1066" spans="1:18" hidden="1" outlineLevel="1" x14ac:dyDescent="0.3">
      <c r="A1066" s="63" t="s">
        <v>4053</v>
      </c>
      <c r="B1066" s="63" t="s">
        <v>934</v>
      </c>
      <c r="C1066" s="65" t="s">
        <v>815</v>
      </c>
      <c r="D1066" s="473">
        <v>216.6602459183249</v>
      </c>
      <c r="E1066" s="473">
        <v>245.65096608400395</v>
      </c>
      <c r="F1066" s="473">
        <v>262.61129438689238</v>
      </c>
      <c r="G1066" s="473">
        <v>280.74260418733934</v>
      </c>
      <c r="H1066" s="473">
        <v>292.1222215199964</v>
      </c>
      <c r="I1066" s="224"/>
      <c r="L1066" s="37"/>
      <c r="M1066" s="37"/>
      <c r="N1066" s="37"/>
      <c r="O1066" s="37"/>
      <c r="P1066" s="37"/>
      <c r="Q1066" s="37"/>
      <c r="R1066" s="37"/>
    </row>
    <row r="1067" spans="1:18" hidden="1" outlineLevel="1" x14ac:dyDescent="0.3">
      <c r="A1067" s="63" t="s">
        <v>4053</v>
      </c>
      <c r="B1067" s="63" t="s">
        <v>940</v>
      </c>
      <c r="C1067" s="65" t="s">
        <v>817</v>
      </c>
      <c r="D1067" s="473">
        <v>216.6602459183249</v>
      </c>
      <c r="E1067" s="473">
        <v>245.65096608400395</v>
      </c>
      <c r="F1067" s="473">
        <v>262.61129438689238</v>
      </c>
      <c r="G1067" s="473">
        <v>280.74260418733934</v>
      </c>
      <c r="H1067" s="473">
        <v>292.1222215199964</v>
      </c>
      <c r="I1067" s="224"/>
      <c r="L1067" s="37"/>
      <c r="M1067" s="37"/>
      <c r="N1067" s="37"/>
      <c r="O1067" s="37"/>
      <c r="P1067" s="37"/>
      <c r="Q1067" s="37"/>
      <c r="R1067" s="37"/>
    </row>
    <row r="1068" spans="1:18" hidden="1" outlineLevel="1" x14ac:dyDescent="0.3">
      <c r="A1068" s="63" t="s">
        <v>4053</v>
      </c>
      <c r="B1068" s="63" t="s">
        <v>940</v>
      </c>
      <c r="C1068" s="65" t="s">
        <v>944</v>
      </c>
      <c r="D1068" s="473">
        <v>216.6602459183249</v>
      </c>
      <c r="E1068" s="473">
        <v>245.65096608400395</v>
      </c>
      <c r="F1068" s="473">
        <v>262.61129438689238</v>
      </c>
      <c r="G1068" s="473">
        <v>280.74260418733934</v>
      </c>
      <c r="H1068" s="473">
        <v>292.1222215199964</v>
      </c>
      <c r="I1068" s="224"/>
      <c r="L1068" s="37"/>
      <c r="M1068" s="37"/>
      <c r="N1068" s="37"/>
      <c r="O1068" s="37"/>
      <c r="P1068" s="37"/>
      <c r="Q1068" s="37"/>
      <c r="R1068" s="37"/>
    </row>
    <row r="1069" spans="1:18" hidden="1" outlineLevel="1" x14ac:dyDescent="0.3">
      <c r="A1069" s="63" t="s">
        <v>4053</v>
      </c>
      <c r="B1069" s="63" t="s">
        <v>940</v>
      </c>
      <c r="C1069" s="65" t="s">
        <v>821</v>
      </c>
      <c r="D1069" s="473">
        <v>216.6602459183249</v>
      </c>
      <c r="E1069" s="473">
        <v>245.65096608400395</v>
      </c>
      <c r="F1069" s="473">
        <v>262.61129438689238</v>
      </c>
      <c r="G1069" s="473">
        <v>280.74260418733934</v>
      </c>
      <c r="H1069" s="473">
        <v>292.1222215199964</v>
      </c>
      <c r="I1069" s="224"/>
      <c r="L1069" s="37"/>
      <c r="M1069" s="37"/>
      <c r="N1069" s="37"/>
      <c r="O1069" s="37"/>
      <c r="P1069" s="37"/>
      <c r="Q1069" s="37"/>
      <c r="R1069" s="37"/>
    </row>
    <row r="1070" spans="1:18" hidden="1" outlineLevel="1" x14ac:dyDescent="0.3">
      <c r="A1070" s="63" t="s">
        <v>4053</v>
      </c>
      <c r="B1070" s="63" t="s">
        <v>940</v>
      </c>
      <c r="C1070" s="65" t="s">
        <v>823</v>
      </c>
      <c r="D1070" s="473">
        <v>216.6602459183249</v>
      </c>
      <c r="E1070" s="473">
        <v>245.65096608400395</v>
      </c>
      <c r="F1070" s="473">
        <v>262.61129438689238</v>
      </c>
      <c r="G1070" s="473">
        <v>280.74260418733934</v>
      </c>
      <c r="H1070" s="473">
        <v>292.1222215199964</v>
      </c>
      <c r="I1070" s="224"/>
      <c r="L1070" s="37"/>
      <c r="M1070" s="37"/>
      <c r="N1070" s="37"/>
      <c r="O1070" s="37"/>
      <c r="P1070" s="37"/>
      <c r="Q1070" s="37"/>
      <c r="R1070" s="37"/>
    </row>
    <row r="1071" spans="1:18" hidden="1" outlineLevel="1" x14ac:dyDescent="0.3">
      <c r="A1071" s="63" t="s">
        <v>4053</v>
      </c>
      <c r="B1071" s="63" t="s">
        <v>940</v>
      </c>
      <c r="C1071" s="65" t="s">
        <v>825</v>
      </c>
      <c r="D1071" s="473">
        <v>216.6602459183249</v>
      </c>
      <c r="E1071" s="473">
        <v>245.65096608400395</v>
      </c>
      <c r="F1071" s="473">
        <v>262.61129438689238</v>
      </c>
      <c r="G1071" s="473">
        <v>280.74260418733934</v>
      </c>
      <c r="H1071" s="473">
        <v>292.1222215199964</v>
      </c>
      <c r="I1071" s="224"/>
      <c r="L1071" s="37"/>
      <c r="M1071" s="37"/>
      <c r="N1071" s="37"/>
      <c r="O1071" s="37"/>
      <c r="P1071" s="37"/>
      <c r="Q1071" s="37"/>
      <c r="R1071" s="37"/>
    </row>
    <row r="1072" spans="1:18" hidden="1" outlineLevel="1" x14ac:dyDescent="0.3">
      <c r="A1072" s="63" t="s">
        <v>4053</v>
      </c>
      <c r="B1072" s="63" t="s">
        <v>940</v>
      </c>
      <c r="C1072" s="65" t="s">
        <v>827</v>
      </c>
      <c r="D1072" s="473">
        <v>216.6602459183249</v>
      </c>
      <c r="E1072" s="473">
        <v>245.65096608400395</v>
      </c>
      <c r="F1072" s="473">
        <v>262.61129438689238</v>
      </c>
      <c r="G1072" s="473">
        <v>280.74260418733934</v>
      </c>
      <c r="H1072" s="473">
        <v>292.1222215199964</v>
      </c>
      <c r="I1072" s="224"/>
      <c r="L1072" s="37"/>
      <c r="M1072" s="37"/>
      <c r="N1072" s="37"/>
      <c r="O1072" s="37"/>
      <c r="P1072" s="37"/>
      <c r="Q1072" s="37"/>
      <c r="R1072" s="37"/>
    </row>
    <row r="1073" spans="1:18" hidden="1" outlineLevel="1" x14ac:dyDescent="0.3">
      <c r="A1073" s="63" t="s">
        <v>4053</v>
      </c>
      <c r="B1073" s="63" t="s">
        <v>940</v>
      </c>
      <c r="C1073" s="65" t="s">
        <v>829</v>
      </c>
      <c r="D1073" s="473">
        <v>216.6602459183249</v>
      </c>
      <c r="E1073" s="473">
        <v>245.65096608400395</v>
      </c>
      <c r="F1073" s="473">
        <v>262.61129438689238</v>
      </c>
      <c r="G1073" s="473">
        <v>280.74260418733934</v>
      </c>
      <c r="H1073" s="473">
        <v>292.1222215199964</v>
      </c>
      <c r="I1073" s="224"/>
      <c r="L1073" s="37"/>
      <c r="M1073" s="37"/>
      <c r="N1073" s="37"/>
      <c r="O1073" s="37"/>
      <c r="P1073" s="37"/>
      <c r="Q1073" s="37"/>
      <c r="R1073" s="37"/>
    </row>
    <row r="1074" spans="1:18" hidden="1" outlineLevel="1" x14ac:dyDescent="0.3">
      <c r="A1074" s="63" t="s">
        <v>4053</v>
      </c>
      <c r="B1074" s="63" t="s">
        <v>940</v>
      </c>
      <c r="C1074" s="65" t="s">
        <v>833</v>
      </c>
      <c r="D1074" s="473">
        <v>216.6602459183249</v>
      </c>
      <c r="E1074" s="473">
        <v>245.65096608400395</v>
      </c>
      <c r="F1074" s="473">
        <v>262.61129438689238</v>
      </c>
      <c r="G1074" s="473">
        <v>280.74260418733934</v>
      </c>
      <c r="H1074" s="473">
        <v>292.1222215199964</v>
      </c>
      <c r="I1074" s="224"/>
      <c r="L1074" s="37"/>
      <c r="M1074" s="37"/>
      <c r="N1074" s="37"/>
      <c r="O1074" s="37"/>
      <c r="P1074" s="37"/>
      <c r="Q1074" s="37"/>
      <c r="R1074" s="37"/>
    </row>
    <row r="1075" spans="1:18" hidden="1" outlineLevel="1" x14ac:dyDescent="0.3">
      <c r="A1075" s="63" t="s">
        <v>4053</v>
      </c>
      <c r="B1075" s="63" t="s">
        <v>940</v>
      </c>
      <c r="C1075" s="65" t="s">
        <v>836</v>
      </c>
      <c r="D1075" s="473">
        <v>216.6602459183249</v>
      </c>
      <c r="E1075" s="473">
        <v>245.65096608400395</v>
      </c>
      <c r="F1075" s="473">
        <v>262.61129438689238</v>
      </c>
      <c r="G1075" s="473">
        <v>280.74260418733934</v>
      </c>
      <c r="H1075" s="473">
        <v>292.1222215199964</v>
      </c>
      <c r="I1075" s="224"/>
      <c r="L1075" s="37"/>
      <c r="M1075" s="37"/>
      <c r="N1075" s="37"/>
      <c r="O1075" s="37"/>
      <c r="P1075" s="37"/>
      <c r="Q1075" s="37"/>
      <c r="R1075" s="37"/>
    </row>
    <row r="1076" spans="1:18" hidden="1" outlineLevel="1" x14ac:dyDescent="0.3">
      <c r="A1076" s="63" t="s">
        <v>4053</v>
      </c>
      <c r="B1076" s="63" t="s">
        <v>940</v>
      </c>
      <c r="C1076" s="65" t="s">
        <v>837</v>
      </c>
      <c r="D1076" s="473">
        <v>216.6602459183249</v>
      </c>
      <c r="E1076" s="473">
        <v>245.65096608400395</v>
      </c>
      <c r="F1076" s="473">
        <v>262.61129438689238</v>
      </c>
      <c r="G1076" s="473">
        <v>280.74260418733934</v>
      </c>
      <c r="H1076" s="473">
        <v>292.1222215199964</v>
      </c>
      <c r="I1076" s="224"/>
      <c r="L1076" s="37"/>
      <c r="M1076" s="37"/>
      <c r="N1076" s="37"/>
      <c r="O1076" s="37"/>
      <c r="P1076" s="37"/>
      <c r="Q1076" s="37"/>
      <c r="R1076" s="37"/>
    </row>
    <row r="1077" spans="1:18" hidden="1" outlineLevel="1" x14ac:dyDescent="0.3">
      <c r="A1077" s="63" t="s">
        <v>4053</v>
      </c>
      <c r="B1077" s="63" t="s">
        <v>940</v>
      </c>
      <c r="C1077" s="65" t="s">
        <v>839</v>
      </c>
      <c r="D1077" s="473">
        <v>216.6602459183249</v>
      </c>
      <c r="E1077" s="473">
        <v>245.65096608400395</v>
      </c>
      <c r="F1077" s="473">
        <v>262.61129438689238</v>
      </c>
      <c r="G1077" s="473">
        <v>280.74260418733934</v>
      </c>
      <c r="H1077" s="473">
        <v>292.1222215199964</v>
      </c>
      <c r="I1077" s="224"/>
      <c r="L1077" s="37"/>
      <c r="M1077" s="37"/>
      <c r="N1077" s="37"/>
      <c r="O1077" s="37"/>
      <c r="P1077" s="37"/>
      <c r="Q1077" s="37"/>
      <c r="R1077" s="37"/>
    </row>
    <row r="1078" spans="1:18" hidden="1" outlineLevel="1" x14ac:dyDescent="0.3">
      <c r="A1078" s="63" t="s">
        <v>4053</v>
      </c>
      <c r="B1078" s="63" t="s">
        <v>940</v>
      </c>
      <c r="C1078" s="65" t="s">
        <v>840</v>
      </c>
      <c r="D1078" s="473">
        <v>216.6602459183249</v>
      </c>
      <c r="E1078" s="473">
        <v>245.65096608400395</v>
      </c>
      <c r="F1078" s="473">
        <v>262.61129438689238</v>
      </c>
      <c r="G1078" s="473">
        <v>280.74260418733934</v>
      </c>
      <c r="H1078" s="473">
        <v>292.1222215199964</v>
      </c>
      <c r="I1078" s="224"/>
      <c r="L1078" s="37"/>
      <c r="M1078" s="37"/>
      <c r="N1078" s="37"/>
      <c r="O1078" s="37"/>
      <c r="P1078" s="37"/>
      <c r="Q1078" s="37"/>
      <c r="R1078" s="37"/>
    </row>
    <row r="1079" spans="1:18" collapsed="1" x14ac:dyDescent="0.3">
      <c r="A1079" s="63"/>
      <c r="B1079" s="63"/>
      <c r="C1079" s="63"/>
      <c r="D1079" s="473"/>
      <c r="E1079" s="473"/>
      <c r="F1079" s="473"/>
      <c r="G1079" s="473"/>
      <c r="H1079" s="473"/>
      <c r="I1079" s="224"/>
      <c r="L1079" s="41"/>
      <c r="M1079" s="41"/>
      <c r="N1079" s="42"/>
      <c r="O1079" s="42"/>
    </row>
    <row r="1080" spans="1:18" x14ac:dyDescent="0.3">
      <c r="A1080" s="65" t="s">
        <v>4054</v>
      </c>
      <c r="B1080" s="65"/>
      <c r="C1080" s="64" t="s">
        <v>4032</v>
      </c>
      <c r="D1080" s="500">
        <v>0</v>
      </c>
      <c r="E1080" s="500">
        <v>0</v>
      </c>
      <c r="F1080" s="500">
        <v>0</v>
      </c>
      <c r="G1080" s="500">
        <v>0</v>
      </c>
      <c r="H1080" s="500">
        <v>0</v>
      </c>
      <c r="I1080" s="224"/>
      <c r="L1080" s="41"/>
      <c r="M1080" s="41"/>
      <c r="N1080" s="42"/>
      <c r="O1080" s="42"/>
    </row>
    <row r="1081" spans="1:18" x14ac:dyDescent="0.3">
      <c r="A1081" s="122" t="s">
        <v>5</v>
      </c>
      <c r="B1081" s="122" t="s">
        <v>847</v>
      </c>
      <c r="C1081" s="122" t="s">
        <v>193</v>
      </c>
      <c r="D1081" s="495">
        <v>2025</v>
      </c>
      <c r="E1081" s="495">
        <v>2030</v>
      </c>
      <c r="F1081" s="495">
        <v>2035</v>
      </c>
      <c r="G1081" s="495">
        <v>2040</v>
      </c>
      <c r="H1081" s="495">
        <v>2045</v>
      </c>
      <c r="I1081" s="315" t="s">
        <v>153</v>
      </c>
      <c r="L1081" s="41"/>
      <c r="M1081" s="41"/>
      <c r="N1081" s="42"/>
      <c r="O1081" s="42"/>
    </row>
    <row r="1082" spans="1:18" hidden="1" outlineLevel="1" x14ac:dyDescent="0.3">
      <c r="A1082" s="63" t="s">
        <v>4054</v>
      </c>
      <c r="B1082" s="63" t="s">
        <v>855</v>
      </c>
      <c r="C1082" s="65" t="s">
        <v>747</v>
      </c>
      <c r="D1082" s="473">
        <v>0</v>
      </c>
      <c r="E1082" s="473">
        <v>0</v>
      </c>
      <c r="F1082" s="473">
        <v>0</v>
      </c>
      <c r="G1082" s="473">
        <v>0</v>
      </c>
      <c r="H1082" s="473">
        <v>0</v>
      </c>
      <c r="I1082" s="224"/>
      <c r="L1082" s="41"/>
      <c r="M1082" s="41"/>
      <c r="N1082" s="42"/>
      <c r="O1082" s="42"/>
    </row>
    <row r="1083" spans="1:18" hidden="1" outlineLevel="1" x14ac:dyDescent="0.3">
      <c r="A1083" s="63" t="s">
        <v>4054</v>
      </c>
      <c r="B1083" s="63" t="s">
        <v>855</v>
      </c>
      <c r="C1083" s="65" t="s">
        <v>751</v>
      </c>
      <c r="D1083" s="473">
        <v>0</v>
      </c>
      <c r="E1083" s="473">
        <v>0</v>
      </c>
      <c r="F1083" s="473">
        <v>0</v>
      </c>
      <c r="G1083" s="473">
        <v>0</v>
      </c>
      <c r="H1083" s="473">
        <v>0</v>
      </c>
      <c r="I1083" s="224"/>
      <c r="L1083" s="41"/>
      <c r="M1083" s="41"/>
      <c r="N1083" s="42"/>
      <c r="O1083" s="42"/>
    </row>
    <row r="1084" spans="1:18" hidden="1" outlineLevel="1" x14ac:dyDescent="0.3">
      <c r="A1084" s="63" t="s">
        <v>4054</v>
      </c>
      <c r="B1084" s="63" t="s">
        <v>855</v>
      </c>
      <c r="C1084" s="65" t="s">
        <v>755</v>
      </c>
      <c r="D1084" s="473">
        <v>0</v>
      </c>
      <c r="E1084" s="473">
        <v>0</v>
      </c>
      <c r="F1084" s="473">
        <v>0</v>
      </c>
      <c r="G1084" s="473">
        <v>0</v>
      </c>
      <c r="H1084" s="473">
        <v>0</v>
      </c>
      <c r="I1084" s="224"/>
      <c r="L1084" s="41"/>
      <c r="M1084" s="41"/>
      <c r="N1084" s="42"/>
      <c r="O1084" s="42"/>
    </row>
    <row r="1085" spans="1:18" hidden="1" outlineLevel="1" x14ac:dyDescent="0.3">
      <c r="A1085" s="63" t="s">
        <v>4054</v>
      </c>
      <c r="B1085" s="63" t="s">
        <v>855</v>
      </c>
      <c r="C1085" s="65" t="s">
        <v>758</v>
      </c>
      <c r="D1085" s="473">
        <v>0</v>
      </c>
      <c r="E1085" s="473">
        <v>0</v>
      </c>
      <c r="F1085" s="473">
        <v>0</v>
      </c>
      <c r="G1085" s="473">
        <v>0</v>
      </c>
      <c r="H1085" s="473">
        <v>0</v>
      </c>
      <c r="I1085" s="224"/>
      <c r="L1085" s="41"/>
      <c r="M1085" s="41"/>
      <c r="N1085" s="42"/>
      <c r="O1085" s="42"/>
    </row>
    <row r="1086" spans="1:18" hidden="1" outlineLevel="1" x14ac:dyDescent="0.3">
      <c r="A1086" s="63" t="s">
        <v>4054</v>
      </c>
      <c r="B1086" s="63" t="s">
        <v>855</v>
      </c>
      <c r="C1086" s="65" t="s">
        <v>761</v>
      </c>
      <c r="D1086" s="473">
        <v>0</v>
      </c>
      <c r="E1086" s="473">
        <v>0</v>
      </c>
      <c r="F1086" s="473">
        <v>0</v>
      </c>
      <c r="G1086" s="473">
        <v>0</v>
      </c>
      <c r="H1086" s="473">
        <v>0</v>
      </c>
      <c r="I1086" s="224"/>
      <c r="L1086" s="41"/>
      <c r="M1086" s="41"/>
      <c r="N1086" s="42"/>
      <c r="O1086" s="42"/>
    </row>
    <row r="1087" spans="1:18" hidden="1" outlineLevel="1" x14ac:dyDescent="0.3">
      <c r="A1087" s="63" t="s">
        <v>4054</v>
      </c>
      <c r="B1087" s="63" t="s">
        <v>855</v>
      </c>
      <c r="C1087" s="65" t="s">
        <v>763</v>
      </c>
      <c r="D1087" s="473">
        <v>0</v>
      </c>
      <c r="E1087" s="473">
        <v>0</v>
      </c>
      <c r="F1087" s="473">
        <v>0</v>
      </c>
      <c r="G1087" s="473">
        <v>0</v>
      </c>
      <c r="H1087" s="473">
        <v>0</v>
      </c>
      <c r="I1087" s="224"/>
      <c r="L1087" s="41"/>
      <c r="M1087" s="41"/>
      <c r="N1087" s="42"/>
      <c r="O1087" s="42"/>
    </row>
    <row r="1088" spans="1:18" hidden="1" outlineLevel="1" x14ac:dyDescent="0.3">
      <c r="A1088" s="63" t="s">
        <v>4054</v>
      </c>
      <c r="B1088" s="63" t="s">
        <v>855</v>
      </c>
      <c r="C1088" s="65" t="s">
        <v>765</v>
      </c>
      <c r="D1088" s="473">
        <v>0</v>
      </c>
      <c r="E1088" s="473">
        <v>0</v>
      </c>
      <c r="F1088" s="473">
        <v>0</v>
      </c>
      <c r="G1088" s="473">
        <v>0</v>
      </c>
      <c r="H1088" s="473">
        <v>0</v>
      </c>
      <c r="I1088" s="224"/>
      <c r="L1088" s="41"/>
      <c r="M1088" s="41"/>
      <c r="N1088" s="42"/>
      <c r="O1088" s="42"/>
    </row>
    <row r="1089" spans="1:15" hidden="1" outlineLevel="1" x14ac:dyDescent="0.3">
      <c r="A1089" s="63" t="s">
        <v>4054</v>
      </c>
      <c r="B1089" s="63" t="s">
        <v>855</v>
      </c>
      <c r="C1089" s="65" t="s">
        <v>768</v>
      </c>
      <c r="D1089" s="473">
        <v>0</v>
      </c>
      <c r="E1089" s="473">
        <v>0</v>
      </c>
      <c r="F1089" s="473">
        <v>0</v>
      </c>
      <c r="G1089" s="473">
        <v>0</v>
      </c>
      <c r="H1089" s="473">
        <v>0</v>
      </c>
      <c r="I1089" s="224"/>
      <c r="L1089" s="41"/>
      <c r="M1089" s="41"/>
      <c r="N1089" s="42"/>
      <c r="O1089" s="42"/>
    </row>
    <row r="1090" spans="1:15" hidden="1" outlineLevel="1" x14ac:dyDescent="0.3">
      <c r="A1090" s="63" t="s">
        <v>4054</v>
      </c>
      <c r="B1090" s="63" t="s">
        <v>855</v>
      </c>
      <c r="C1090" s="65" t="s">
        <v>771</v>
      </c>
      <c r="D1090" s="473">
        <v>0</v>
      </c>
      <c r="E1090" s="473">
        <v>0</v>
      </c>
      <c r="F1090" s="473">
        <v>0</v>
      </c>
      <c r="G1090" s="473">
        <v>0</v>
      </c>
      <c r="H1090" s="473">
        <v>0</v>
      </c>
      <c r="I1090" s="224"/>
      <c r="L1090" s="41"/>
      <c r="M1090" s="41"/>
      <c r="N1090" s="42"/>
      <c r="O1090" s="42"/>
    </row>
    <row r="1091" spans="1:15" hidden="1" outlineLevel="1" x14ac:dyDescent="0.3">
      <c r="A1091" s="63" t="s">
        <v>4054</v>
      </c>
      <c r="B1091" s="63" t="s">
        <v>855</v>
      </c>
      <c r="C1091" s="65" t="s">
        <v>772</v>
      </c>
      <c r="D1091" s="473">
        <v>0</v>
      </c>
      <c r="E1091" s="473">
        <v>0</v>
      </c>
      <c r="F1091" s="473">
        <v>0</v>
      </c>
      <c r="G1091" s="473">
        <v>0</v>
      </c>
      <c r="H1091" s="473">
        <v>0</v>
      </c>
      <c r="I1091" s="224"/>
      <c r="L1091" s="41"/>
      <c r="M1091" s="41"/>
      <c r="N1091" s="42"/>
      <c r="O1091" s="42"/>
    </row>
    <row r="1092" spans="1:15" hidden="1" outlineLevel="1" x14ac:dyDescent="0.3">
      <c r="A1092" s="63" t="s">
        <v>4054</v>
      </c>
      <c r="B1092" s="63" t="s">
        <v>855</v>
      </c>
      <c r="C1092" s="65" t="s">
        <v>774</v>
      </c>
      <c r="D1092" s="473">
        <v>0</v>
      </c>
      <c r="E1092" s="473">
        <v>0</v>
      </c>
      <c r="F1092" s="473">
        <v>0</v>
      </c>
      <c r="G1092" s="473">
        <v>0</v>
      </c>
      <c r="H1092" s="473">
        <v>0</v>
      </c>
      <c r="I1092" s="224"/>
      <c r="L1092" s="41"/>
      <c r="M1092" s="41"/>
      <c r="N1092" s="42"/>
      <c r="O1092" s="42"/>
    </row>
    <row r="1093" spans="1:15" hidden="1" outlineLevel="1" x14ac:dyDescent="0.3">
      <c r="A1093" s="63" t="s">
        <v>4054</v>
      </c>
      <c r="B1093" s="63" t="s">
        <v>855</v>
      </c>
      <c r="C1093" s="65" t="s">
        <v>775</v>
      </c>
      <c r="D1093" s="473">
        <v>0</v>
      </c>
      <c r="E1093" s="473">
        <v>0</v>
      </c>
      <c r="F1093" s="473">
        <v>0</v>
      </c>
      <c r="G1093" s="473">
        <v>0</v>
      </c>
      <c r="H1093" s="473">
        <v>0</v>
      </c>
      <c r="I1093" s="224"/>
      <c r="L1093" s="41"/>
      <c r="M1093" s="41"/>
      <c r="N1093" s="42"/>
      <c r="O1093" s="42"/>
    </row>
    <row r="1094" spans="1:15" hidden="1" outlineLevel="1" x14ac:dyDescent="0.3">
      <c r="A1094" s="63" t="s">
        <v>4054</v>
      </c>
      <c r="B1094" s="63" t="s">
        <v>855</v>
      </c>
      <c r="C1094" s="65" t="s">
        <v>779</v>
      </c>
      <c r="D1094" s="473">
        <v>0</v>
      </c>
      <c r="E1094" s="473">
        <v>0</v>
      </c>
      <c r="F1094" s="473">
        <v>0</v>
      </c>
      <c r="G1094" s="473">
        <v>0</v>
      </c>
      <c r="H1094" s="473">
        <v>0</v>
      </c>
      <c r="I1094" s="224"/>
      <c r="L1094" s="41"/>
      <c r="M1094" s="41"/>
      <c r="N1094" s="42"/>
      <c r="O1094" s="42"/>
    </row>
    <row r="1095" spans="1:15" hidden="1" outlineLevel="1" x14ac:dyDescent="0.3">
      <c r="A1095" s="63" t="s">
        <v>4054</v>
      </c>
      <c r="B1095" s="63" t="s">
        <v>894</v>
      </c>
      <c r="C1095" s="65" t="s">
        <v>781</v>
      </c>
      <c r="D1095" s="473">
        <v>0</v>
      </c>
      <c r="E1095" s="473">
        <v>0</v>
      </c>
      <c r="F1095" s="473">
        <v>0</v>
      </c>
      <c r="G1095" s="473">
        <v>0</v>
      </c>
      <c r="H1095" s="473">
        <v>0</v>
      </c>
      <c r="I1095" s="224"/>
      <c r="L1095" s="41"/>
      <c r="M1095" s="41"/>
      <c r="N1095" s="42"/>
      <c r="O1095" s="42"/>
    </row>
    <row r="1096" spans="1:15" hidden="1" outlineLevel="1" x14ac:dyDescent="0.3">
      <c r="A1096" s="63" t="s">
        <v>4054</v>
      </c>
      <c r="B1096" s="63" t="s">
        <v>894</v>
      </c>
      <c r="C1096" s="65" t="s">
        <v>783</v>
      </c>
      <c r="D1096" s="473">
        <v>0</v>
      </c>
      <c r="E1096" s="473">
        <v>0</v>
      </c>
      <c r="F1096" s="473">
        <v>0</v>
      </c>
      <c r="G1096" s="473">
        <v>0</v>
      </c>
      <c r="H1096" s="473">
        <v>0</v>
      </c>
      <c r="I1096" s="224"/>
      <c r="L1096" s="41"/>
      <c r="M1096" s="41"/>
      <c r="N1096" s="42"/>
      <c r="O1096" s="42"/>
    </row>
    <row r="1097" spans="1:15" hidden="1" outlineLevel="1" x14ac:dyDescent="0.3">
      <c r="A1097" s="63" t="s">
        <v>4054</v>
      </c>
      <c r="B1097" s="63" t="s">
        <v>894</v>
      </c>
      <c r="C1097" s="65" t="s">
        <v>785</v>
      </c>
      <c r="D1097" s="473">
        <v>0</v>
      </c>
      <c r="E1097" s="473">
        <v>0</v>
      </c>
      <c r="F1097" s="473">
        <v>0</v>
      </c>
      <c r="G1097" s="473">
        <v>0</v>
      </c>
      <c r="H1097" s="473">
        <v>0</v>
      </c>
      <c r="I1097" s="224"/>
      <c r="L1097" s="41"/>
      <c r="M1097" s="41"/>
      <c r="N1097" s="42"/>
      <c r="O1097" s="42"/>
    </row>
    <row r="1098" spans="1:15" hidden="1" outlineLevel="1" x14ac:dyDescent="0.3">
      <c r="A1098" s="63" t="s">
        <v>4054</v>
      </c>
      <c r="B1098" s="63" t="s">
        <v>894</v>
      </c>
      <c r="C1098" s="65" t="s">
        <v>787</v>
      </c>
      <c r="D1098" s="473">
        <v>0</v>
      </c>
      <c r="E1098" s="473">
        <v>0</v>
      </c>
      <c r="F1098" s="473">
        <v>0</v>
      </c>
      <c r="G1098" s="473">
        <v>0</v>
      </c>
      <c r="H1098" s="473">
        <v>0</v>
      </c>
      <c r="I1098" s="224"/>
      <c r="L1098" s="41"/>
      <c r="M1098" s="41"/>
      <c r="N1098" s="42"/>
      <c r="O1098" s="42"/>
    </row>
    <row r="1099" spans="1:15" hidden="1" outlineLevel="1" x14ac:dyDescent="0.3">
      <c r="A1099" s="63" t="s">
        <v>4054</v>
      </c>
      <c r="B1099" s="63" t="s">
        <v>894</v>
      </c>
      <c r="C1099" s="65" t="s">
        <v>788</v>
      </c>
      <c r="D1099" s="473">
        <v>0</v>
      </c>
      <c r="E1099" s="473">
        <v>0</v>
      </c>
      <c r="F1099" s="473">
        <v>0</v>
      </c>
      <c r="G1099" s="473">
        <v>0</v>
      </c>
      <c r="H1099" s="473">
        <v>0</v>
      </c>
      <c r="I1099" s="224"/>
      <c r="L1099" s="41"/>
      <c r="M1099" s="41"/>
      <c r="N1099" s="42"/>
      <c r="O1099" s="42"/>
    </row>
    <row r="1100" spans="1:15" hidden="1" outlineLevel="1" x14ac:dyDescent="0.3">
      <c r="A1100" s="63" t="s">
        <v>4054</v>
      </c>
      <c r="B1100" s="63" t="s">
        <v>894</v>
      </c>
      <c r="C1100" s="65" t="s">
        <v>789</v>
      </c>
      <c r="D1100" s="473">
        <v>0</v>
      </c>
      <c r="E1100" s="473">
        <v>0</v>
      </c>
      <c r="F1100" s="473">
        <v>0</v>
      </c>
      <c r="G1100" s="473">
        <v>0</v>
      </c>
      <c r="H1100" s="473">
        <v>0</v>
      </c>
      <c r="I1100" s="224"/>
      <c r="L1100" s="41"/>
      <c r="M1100" s="41"/>
      <c r="N1100" s="42"/>
      <c r="O1100" s="42"/>
    </row>
    <row r="1101" spans="1:15" hidden="1" outlineLevel="1" x14ac:dyDescent="0.3">
      <c r="A1101" s="63" t="s">
        <v>4054</v>
      </c>
      <c r="B1101" s="63" t="s">
        <v>894</v>
      </c>
      <c r="C1101" s="65" t="s">
        <v>790</v>
      </c>
      <c r="D1101" s="473">
        <v>0</v>
      </c>
      <c r="E1101" s="473">
        <v>0</v>
      </c>
      <c r="F1101" s="473">
        <v>0</v>
      </c>
      <c r="G1101" s="473">
        <v>0</v>
      </c>
      <c r="H1101" s="473">
        <v>0</v>
      </c>
      <c r="I1101" s="224"/>
      <c r="L1101" s="41"/>
      <c r="M1101" s="41"/>
      <c r="N1101" s="42"/>
      <c r="O1101" s="42"/>
    </row>
    <row r="1102" spans="1:15" hidden="1" outlineLevel="1" x14ac:dyDescent="0.3">
      <c r="A1102" s="63" t="s">
        <v>4054</v>
      </c>
      <c r="B1102" s="63" t="s">
        <v>894</v>
      </c>
      <c r="C1102" s="65" t="s">
        <v>793</v>
      </c>
      <c r="D1102" s="473">
        <v>0</v>
      </c>
      <c r="E1102" s="473">
        <v>0</v>
      </c>
      <c r="F1102" s="473">
        <v>0</v>
      </c>
      <c r="G1102" s="473">
        <v>0</v>
      </c>
      <c r="H1102" s="473">
        <v>0</v>
      </c>
      <c r="I1102" s="224"/>
      <c r="L1102" s="41"/>
      <c r="M1102" s="41"/>
      <c r="N1102" s="42"/>
      <c r="O1102" s="42"/>
    </row>
    <row r="1103" spans="1:15" hidden="1" outlineLevel="1" x14ac:dyDescent="0.3">
      <c r="A1103" s="63" t="s">
        <v>4054</v>
      </c>
      <c r="B1103" s="63" t="s">
        <v>894</v>
      </c>
      <c r="C1103" s="65" t="s">
        <v>795</v>
      </c>
      <c r="D1103" s="473">
        <v>0</v>
      </c>
      <c r="E1103" s="473">
        <v>0</v>
      </c>
      <c r="F1103" s="473">
        <v>0</v>
      </c>
      <c r="G1103" s="473">
        <v>0</v>
      </c>
      <c r="H1103" s="473">
        <v>0</v>
      </c>
      <c r="I1103" s="224"/>
      <c r="L1103" s="41"/>
      <c r="M1103" s="41"/>
      <c r="N1103" s="42"/>
      <c r="O1103" s="42"/>
    </row>
    <row r="1104" spans="1:15" hidden="1" outlineLevel="1" x14ac:dyDescent="0.3">
      <c r="A1104" s="63" t="s">
        <v>4054</v>
      </c>
      <c r="B1104" s="63" t="s">
        <v>894</v>
      </c>
      <c r="C1104" s="65" t="s">
        <v>797</v>
      </c>
      <c r="D1104" s="473">
        <v>0</v>
      </c>
      <c r="E1104" s="473">
        <v>0</v>
      </c>
      <c r="F1104" s="473">
        <v>0</v>
      </c>
      <c r="G1104" s="473">
        <v>0</v>
      </c>
      <c r="H1104" s="473">
        <v>0</v>
      </c>
      <c r="I1104" s="224"/>
      <c r="L1104" s="41"/>
      <c r="M1104" s="41"/>
      <c r="N1104" s="42"/>
      <c r="O1104" s="42"/>
    </row>
    <row r="1105" spans="1:15" hidden="1" outlineLevel="1" x14ac:dyDescent="0.3">
      <c r="A1105" s="63" t="s">
        <v>4054</v>
      </c>
      <c r="B1105" s="63" t="s">
        <v>915</v>
      </c>
      <c r="C1105" s="65" t="s">
        <v>799</v>
      </c>
      <c r="D1105" s="473">
        <v>0</v>
      </c>
      <c r="E1105" s="473">
        <v>0</v>
      </c>
      <c r="F1105" s="473">
        <v>0</v>
      </c>
      <c r="G1105" s="473">
        <v>0</v>
      </c>
      <c r="H1105" s="473">
        <v>0</v>
      </c>
      <c r="I1105" s="224"/>
      <c r="L1105" s="41"/>
      <c r="M1105" s="41"/>
      <c r="N1105" s="42"/>
      <c r="O1105" s="42"/>
    </row>
    <row r="1106" spans="1:15" hidden="1" outlineLevel="1" x14ac:dyDescent="0.3">
      <c r="A1106" s="63" t="s">
        <v>4054</v>
      </c>
      <c r="B1106" s="63" t="s">
        <v>915</v>
      </c>
      <c r="C1106" s="65" t="s">
        <v>801</v>
      </c>
      <c r="D1106" s="473">
        <v>0</v>
      </c>
      <c r="E1106" s="473">
        <v>0</v>
      </c>
      <c r="F1106" s="473">
        <v>0</v>
      </c>
      <c r="G1106" s="473">
        <v>0</v>
      </c>
      <c r="H1106" s="473">
        <v>0</v>
      </c>
      <c r="I1106" s="224"/>
      <c r="L1106" s="41"/>
      <c r="M1106" s="41"/>
      <c r="N1106" s="42"/>
      <c r="O1106" s="42"/>
    </row>
    <row r="1107" spans="1:15" hidden="1" outlineLevel="1" x14ac:dyDescent="0.3">
      <c r="A1107" s="63" t="s">
        <v>4054</v>
      </c>
      <c r="B1107" s="63" t="s">
        <v>915</v>
      </c>
      <c r="C1107" s="65" t="s">
        <v>804</v>
      </c>
      <c r="D1107" s="473">
        <v>0</v>
      </c>
      <c r="E1107" s="473">
        <v>0</v>
      </c>
      <c r="F1107" s="473">
        <v>0</v>
      </c>
      <c r="G1107" s="473">
        <v>0</v>
      </c>
      <c r="H1107" s="473">
        <v>0</v>
      </c>
      <c r="I1107" s="224"/>
      <c r="L1107" s="41"/>
      <c r="M1107" s="41"/>
      <c r="N1107" s="42"/>
      <c r="O1107" s="42"/>
    </row>
    <row r="1108" spans="1:15" hidden="1" outlineLevel="1" x14ac:dyDescent="0.3">
      <c r="A1108" s="63" t="s">
        <v>4054</v>
      </c>
      <c r="B1108" s="63" t="s">
        <v>915</v>
      </c>
      <c r="C1108" s="65" t="s">
        <v>806</v>
      </c>
      <c r="D1108" s="473">
        <v>0</v>
      </c>
      <c r="E1108" s="473">
        <v>0</v>
      </c>
      <c r="F1108" s="473">
        <v>0</v>
      </c>
      <c r="G1108" s="473">
        <v>0</v>
      </c>
      <c r="H1108" s="473">
        <v>0</v>
      </c>
      <c r="I1108" s="224"/>
      <c r="L1108" s="41"/>
      <c r="M1108" s="41"/>
      <c r="N1108" s="42"/>
      <c r="O1108" s="42"/>
    </row>
    <row r="1109" spans="1:15" hidden="1" outlineLevel="1" x14ac:dyDescent="0.3">
      <c r="A1109" s="63" t="s">
        <v>4054</v>
      </c>
      <c r="B1109" s="63" t="s">
        <v>915</v>
      </c>
      <c r="C1109" s="65" t="s">
        <v>808</v>
      </c>
      <c r="D1109" s="473">
        <v>0</v>
      </c>
      <c r="E1109" s="473">
        <v>0</v>
      </c>
      <c r="F1109" s="473">
        <v>0</v>
      </c>
      <c r="G1109" s="473">
        <v>0</v>
      </c>
      <c r="H1109" s="473">
        <v>0</v>
      </c>
      <c r="I1109" s="224"/>
      <c r="L1109" s="41"/>
      <c r="M1109" s="41"/>
      <c r="N1109" s="42"/>
      <c r="O1109" s="42"/>
    </row>
    <row r="1110" spans="1:15" hidden="1" outlineLevel="1" x14ac:dyDescent="0.3">
      <c r="A1110" s="63" t="s">
        <v>4054</v>
      </c>
      <c r="B1110" s="63" t="s">
        <v>915</v>
      </c>
      <c r="C1110" s="65" t="s">
        <v>811</v>
      </c>
      <c r="D1110" s="473">
        <v>0</v>
      </c>
      <c r="E1110" s="473">
        <v>0</v>
      </c>
      <c r="F1110" s="473">
        <v>0</v>
      </c>
      <c r="G1110" s="473">
        <v>0</v>
      </c>
      <c r="H1110" s="473">
        <v>0</v>
      </c>
      <c r="I1110" s="224"/>
      <c r="L1110" s="41"/>
      <c r="M1110" s="41"/>
      <c r="N1110" s="42"/>
      <c r="O1110" s="42"/>
    </row>
    <row r="1111" spans="1:15" hidden="1" outlineLevel="1" x14ac:dyDescent="0.3">
      <c r="A1111" s="63" t="s">
        <v>4054</v>
      </c>
      <c r="B1111" s="63" t="s">
        <v>934</v>
      </c>
      <c r="C1111" s="65" t="s">
        <v>814</v>
      </c>
      <c r="D1111" s="473">
        <v>0</v>
      </c>
      <c r="E1111" s="473">
        <v>0</v>
      </c>
      <c r="F1111" s="473">
        <v>0</v>
      </c>
      <c r="G1111" s="473">
        <v>0</v>
      </c>
      <c r="H1111" s="473">
        <v>0</v>
      </c>
      <c r="I1111" s="224"/>
      <c r="L1111" s="41"/>
      <c r="M1111" s="41"/>
      <c r="N1111" s="42"/>
      <c r="O1111" s="42"/>
    </row>
    <row r="1112" spans="1:15" hidden="1" outlineLevel="1" x14ac:dyDescent="0.3">
      <c r="A1112" s="63" t="s">
        <v>4054</v>
      </c>
      <c r="B1112" s="63" t="s">
        <v>934</v>
      </c>
      <c r="C1112" s="65" t="s">
        <v>815</v>
      </c>
      <c r="D1112" s="473">
        <v>0</v>
      </c>
      <c r="E1112" s="473">
        <v>0</v>
      </c>
      <c r="F1112" s="473">
        <v>0</v>
      </c>
      <c r="G1112" s="473">
        <v>0</v>
      </c>
      <c r="H1112" s="473">
        <v>0</v>
      </c>
      <c r="I1112" s="224"/>
      <c r="L1112" s="41"/>
      <c r="M1112" s="41"/>
      <c r="N1112" s="42"/>
      <c r="O1112" s="42"/>
    </row>
    <row r="1113" spans="1:15" hidden="1" outlineLevel="1" x14ac:dyDescent="0.3">
      <c r="A1113" s="63" t="s">
        <v>4054</v>
      </c>
      <c r="B1113" s="63" t="s">
        <v>940</v>
      </c>
      <c r="C1113" s="65" t="s">
        <v>817</v>
      </c>
      <c r="D1113" s="473">
        <v>0</v>
      </c>
      <c r="E1113" s="473">
        <v>0</v>
      </c>
      <c r="F1113" s="473">
        <v>0</v>
      </c>
      <c r="G1113" s="473">
        <v>0</v>
      </c>
      <c r="H1113" s="473">
        <v>0</v>
      </c>
      <c r="I1113" s="224"/>
      <c r="L1113" s="41"/>
      <c r="M1113" s="41"/>
      <c r="N1113" s="42"/>
      <c r="O1113" s="42"/>
    </row>
    <row r="1114" spans="1:15" hidden="1" outlineLevel="1" x14ac:dyDescent="0.3">
      <c r="A1114" s="63" t="s">
        <v>4054</v>
      </c>
      <c r="B1114" s="63" t="s">
        <v>940</v>
      </c>
      <c r="C1114" s="65" t="s">
        <v>944</v>
      </c>
      <c r="D1114" s="473">
        <v>0</v>
      </c>
      <c r="E1114" s="473">
        <v>0</v>
      </c>
      <c r="F1114" s="473">
        <v>0</v>
      </c>
      <c r="G1114" s="473">
        <v>0</v>
      </c>
      <c r="H1114" s="473">
        <v>0</v>
      </c>
      <c r="I1114" s="224"/>
      <c r="L1114" s="41"/>
      <c r="M1114" s="41"/>
      <c r="N1114" s="42"/>
      <c r="O1114" s="42"/>
    </row>
    <row r="1115" spans="1:15" hidden="1" outlineLevel="1" x14ac:dyDescent="0.3">
      <c r="A1115" s="63" t="s">
        <v>4054</v>
      </c>
      <c r="B1115" s="63" t="s">
        <v>940</v>
      </c>
      <c r="C1115" s="65" t="s">
        <v>821</v>
      </c>
      <c r="D1115" s="473">
        <v>0</v>
      </c>
      <c r="E1115" s="473">
        <v>0</v>
      </c>
      <c r="F1115" s="473">
        <v>0</v>
      </c>
      <c r="G1115" s="473">
        <v>0</v>
      </c>
      <c r="H1115" s="473">
        <v>0</v>
      </c>
      <c r="I1115" s="224"/>
      <c r="L1115" s="41"/>
      <c r="M1115" s="41"/>
      <c r="N1115" s="42"/>
      <c r="O1115" s="42"/>
    </row>
    <row r="1116" spans="1:15" hidden="1" outlineLevel="1" x14ac:dyDescent="0.3">
      <c r="A1116" s="63" t="s">
        <v>4054</v>
      </c>
      <c r="B1116" s="63" t="s">
        <v>940</v>
      </c>
      <c r="C1116" s="65" t="s">
        <v>823</v>
      </c>
      <c r="D1116" s="473">
        <v>0</v>
      </c>
      <c r="E1116" s="473">
        <v>0</v>
      </c>
      <c r="F1116" s="473">
        <v>0</v>
      </c>
      <c r="G1116" s="473">
        <v>0</v>
      </c>
      <c r="H1116" s="473">
        <v>0</v>
      </c>
      <c r="I1116" s="224"/>
      <c r="L1116" s="41"/>
      <c r="M1116" s="41"/>
      <c r="N1116" s="42"/>
      <c r="O1116" s="42"/>
    </row>
    <row r="1117" spans="1:15" hidden="1" outlineLevel="1" x14ac:dyDescent="0.3">
      <c r="A1117" s="63" t="s">
        <v>4054</v>
      </c>
      <c r="B1117" s="63" t="s">
        <v>940</v>
      </c>
      <c r="C1117" s="65" t="s">
        <v>825</v>
      </c>
      <c r="D1117" s="473">
        <v>0</v>
      </c>
      <c r="E1117" s="473">
        <v>0</v>
      </c>
      <c r="F1117" s="473">
        <v>0</v>
      </c>
      <c r="G1117" s="473">
        <v>0</v>
      </c>
      <c r="H1117" s="473">
        <v>0</v>
      </c>
      <c r="I1117" s="224"/>
      <c r="L1117" s="41"/>
      <c r="M1117" s="41"/>
      <c r="N1117" s="42"/>
      <c r="O1117" s="42"/>
    </row>
    <row r="1118" spans="1:15" hidden="1" outlineLevel="1" x14ac:dyDescent="0.3">
      <c r="A1118" s="63" t="s">
        <v>4054</v>
      </c>
      <c r="B1118" s="63" t="s">
        <v>940</v>
      </c>
      <c r="C1118" s="65" t="s">
        <v>827</v>
      </c>
      <c r="D1118" s="473">
        <v>0</v>
      </c>
      <c r="E1118" s="473">
        <v>0</v>
      </c>
      <c r="F1118" s="473">
        <v>0</v>
      </c>
      <c r="G1118" s="473">
        <v>0</v>
      </c>
      <c r="H1118" s="473">
        <v>0</v>
      </c>
      <c r="I1118" s="224"/>
      <c r="L1118" s="41"/>
      <c r="M1118" s="41"/>
      <c r="N1118" s="42"/>
      <c r="O1118" s="42"/>
    </row>
    <row r="1119" spans="1:15" hidden="1" outlineLevel="1" x14ac:dyDescent="0.3">
      <c r="A1119" s="63" t="s">
        <v>4054</v>
      </c>
      <c r="B1119" s="63" t="s">
        <v>940</v>
      </c>
      <c r="C1119" s="65" t="s">
        <v>829</v>
      </c>
      <c r="D1119" s="473">
        <v>0</v>
      </c>
      <c r="E1119" s="473">
        <v>0</v>
      </c>
      <c r="F1119" s="473">
        <v>0</v>
      </c>
      <c r="G1119" s="473">
        <v>0</v>
      </c>
      <c r="H1119" s="473">
        <v>0</v>
      </c>
      <c r="I1119" s="224"/>
      <c r="L1119" s="41"/>
      <c r="M1119" s="41"/>
      <c r="N1119" s="42"/>
      <c r="O1119" s="42"/>
    </row>
    <row r="1120" spans="1:15" hidden="1" outlineLevel="1" x14ac:dyDescent="0.3">
      <c r="A1120" s="63" t="s">
        <v>4054</v>
      </c>
      <c r="B1120" s="63" t="s">
        <v>940</v>
      </c>
      <c r="C1120" s="65" t="s">
        <v>833</v>
      </c>
      <c r="D1120" s="473">
        <v>0</v>
      </c>
      <c r="E1120" s="473">
        <v>0</v>
      </c>
      <c r="F1120" s="473">
        <v>0</v>
      </c>
      <c r="G1120" s="473">
        <v>0</v>
      </c>
      <c r="H1120" s="473">
        <v>0</v>
      </c>
      <c r="I1120" s="224"/>
      <c r="L1120" s="41"/>
      <c r="M1120" s="41"/>
      <c r="N1120" s="42"/>
      <c r="O1120" s="42"/>
    </row>
    <row r="1121" spans="1:15" hidden="1" outlineLevel="1" x14ac:dyDescent="0.3">
      <c r="A1121" s="63" t="s">
        <v>4054</v>
      </c>
      <c r="B1121" s="63" t="s">
        <v>940</v>
      </c>
      <c r="C1121" s="65" t="s">
        <v>836</v>
      </c>
      <c r="D1121" s="473">
        <v>0</v>
      </c>
      <c r="E1121" s="473">
        <v>0</v>
      </c>
      <c r="F1121" s="473">
        <v>0</v>
      </c>
      <c r="G1121" s="473">
        <v>0</v>
      </c>
      <c r="H1121" s="473">
        <v>0</v>
      </c>
      <c r="I1121" s="224"/>
      <c r="L1121" s="41"/>
      <c r="M1121" s="41"/>
      <c r="N1121" s="42"/>
      <c r="O1121" s="42"/>
    </row>
    <row r="1122" spans="1:15" hidden="1" outlineLevel="1" x14ac:dyDescent="0.3">
      <c r="A1122" s="63" t="s">
        <v>4054</v>
      </c>
      <c r="B1122" s="63" t="s">
        <v>940</v>
      </c>
      <c r="C1122" s="65" t="s">
        <v>837</v>
      </c>
      <c r="D1122" s="473">
        <v>0</v>
      </c>
      <c r="E1122" s="473">
        <v>0</v>
      </c>
      <c r="F1122" s="473">
        <v>0</v>
      </c>
      <c r="G1122" s="473">
        <v>0</v>
      </c>
      <c r="H1122" s="473">
        <v>0</v>
      </c>
      <c r="I1122" s="224"/>
      <c r="L1122" s="41"/>
      <c r="M1122" s="41"/>
      <c r="N1122" s="42"/>
      <c r="O1122" s="42"/>
    </row>
    <row r="1123" spans="1:15" hidden="1" outlineLevel="1" x14ac:dyDescent="0.3">
      <c r="A1123" s="63" t="s">
        <v>4054</v>
      </c>
      <c r="B1123" s="63" t="s">
        <v>940</v>
      </c>
      <c r="C1123" s="65" t="s">
        <v>839</v>
      </c>
      <c r="D1123" s="473">
        <v>0</v>
      </c>
      <c r="E1123" s="473">
        <v>0</v>
      </c>
      <c r="F1123" s="473">
        <v>0</v>
      </c>
      <c r="G1123" s="473">
        <v>0</v>
      </c>
      <c r="H1123" s="473">
        <v>0</v>
      </c>
      <c r="I1123" s="224"/>
      <c r="L1123" s="41"/>
      <c r="M1123" s="41"/>
      <c r="N1123" s="42"/>
      <c r="O1123" s="42"/>
    </row>
    <row r="1124" spans="1:15" hidden="1" outlineLevel="1" x14ac:dyDescent="0.3">
      <c r="A1124" s="63" t="s">
        <v>4054</v>
      </c>
      <c r="B1124" s="63" t="s">
        <v>940</v>
      </c>
      <c r="C1124" s="65" t="s">
        <v>840</v>
      </c>
      <c r="D1124" s="473">
        <v>0</v>
      </c>
      <c r="E1124" s="473">
        <v>0</v>
      </c>
      <c r="F1124" s="473">
        <v>0</v>
      </c>
      <c r="G1124" s="473">
        <v>0</v>
      </c>
      <c r="H1124" s="473">
        <v>0</v>
      </c>
      <c r="I1124" s="224"/>
      <c r="L1124" s="41"/>
      <c r="M1124" s="41"/>
      <c r="N1124" s="42"/>
      <c r="O1124" s="42"/>
    </row>
    <row r="1125" spans="1:15" collapsed="1" x14ac:dyDescent="0.3">
      <c r="A1125" s="63"/>
      <c r="B1125" s="63"/>
      <c r="C1125" s="63"/>
      <c r="D1125" s="189"/>
      <c r="E1125" s="473"/>
      <c r="F1125" s="473"/>
      <c r="G1125" s="473"/>
      <c r="H1125" s="473"/>
      <c r="I1125" s="473"/>
      <c r="L1125" s="41"/>
      <c r="M1125" s="41"/>
      <c r="N1125" s="42"/>
      <c r="O1125" s="42"/>
    </row>
  </sheetData>
  <mergeCells count="13">
    <mergeCell ref="A803:I803"/>
    <mergeCell ref="A288:I288"/>
    <mergeCell ref="A520:E520"/>
    <mergeCell ref="A521:E521"/>
    <mergeCell ref="A707:I707"/>
    <mergeCell ref="A708:I708"/>
    <mergeCell ref="A802:I802"/>
    <mergeCell ref="A287:I287"/>
    <mergeCell ref="A2:G2"/>
    <mergeCell ref="A4:E4"/>
    <mergeCell ref="A5:E5"/>
    <mergeCell ref="A53:I53"/>
    <mergeCell ref="A54:I54"/>
  </mergeCells>
  <pageMargins left="0.7" right="0.7" top="0.75" bottom="0.75" header="0.3" footer="0.3"/>
  <pageSetup orientation="portrait" horizontalDpi="300"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49333-C17F-4C73-B46D-B298AD0B24D5}">
  <sheetPr codeName="Sheet50"/>
  <dimension ref="A1:N45"/>
  <sheetViews>
    <sheetView workbookViewId="0">
      <selection activeCell="F17" sqref="F17"/>
    </sheetView>
  </sheetViews>
  <sheetFormatPr defaultRowHeight="14.4" x14ac:dyDescent="0.3"/>
  <cols>
    <col min="1" max="1" width="40.21875" customWidth="1"/>
    <col min="2" max="2" width="39.77734375" customWidth="1"/>
    <col min="3" max="5" width="9" customWidth="1"/>
    <col min="6" max="6" width="28.5546875" customWidth="1"/>
    <col min="7" max="10" width="11.5546875" customWidth="1"/>
    <col min="11" max="11" width="12.109375" customWidth="1"/>
    <col min="12" max="12" width="11.6640625" customWidth="1"/>
    <col min="13" max="13" width="10.88671875" customWidth="1"/>
    <col min="14" max="14" width="11.6640625" customWidth="1"/>
  </cols>
  <sheetData>
    <row r="1" spans="1:14" x14ac:dyDescent="0.3">
      <c r="F1" t="s">
        <v>4055</v>
      </c>
      <c r="K1" t="s">
        <v>4056</v>
      </c>
      <c r="L1" t="s">
        <v>4057</v>
      </c>
    </row>
    <row r="2" spans="1:14" ht="57.6" x14ac:dyDescent="0.3">
      <c r="A2" s="122" t="s">
        <v>4044</v>
      </c>
      <c r="B2" s="122" t="s">
        <v>193</v>
      </c>
      <c r="C2" s="122"/>
      <c r="D2" s="436" t="s">
        <v>4058</v>
      </c>
      <c r="E2" s="436" t="s">
        <v>4059</v>
      </c>
      <c r="F2" s="122">
        <v>2025</v>
      </c>
      <c r="G2" s="122">
        <v>2030</v>
      </c>
      <c r="H2" s="122">
        <v>2035</v>
      </c>
      <c r="I2" s="122">
        <v>2040</v>
      </c>
      <c r="J2" s="122">
        <v>2045</v>
      </c>
      <c r="K2" s="314" t="s">
        <v>4060</v>
      </c>
      <c r="L2" s="314" t="s">
        <v>4060</v>
      </c>
      <c r="M2" s="314" t="s">
        <v>4061</v>
      </c>
      <c r="N2" s="314" t="s">
        <v>153</v>
      </c>
    </row>
    <row r="3" spans="1:14" x14ac:dyDescent="0.3">
      <c r="A3" s="63" t="s">
        <v>4044</v>
      </c>
      <c r="B3" s="65" t="s">
        <v>747</v>
      </c>
      <c r="C3" s="65" t="s">
        <v>4062</v>
      </c>
      <c r="D3" s="460" t="e" cm="1">
        <f t="array" ref="D3">INDEX('Energy price forecasts'!$H$9:$M$14, MATCH('SWP_CVP Delivery Costs'!$M3, 'Energy price forecasts'!$H$9:$H$14, 0),IF('SWP_CVP Delivery Costs'!$C3="PGE",2,3))</f>
        <v>#REF!</v>
      </c>
      <c r="E3" s="460" t="e">
        <f>INDEX('Energy price forecasts'!$H$9:$M$17, 9, MATCH('SWP_CVP Delivery Costs'!$C3,'Energy price forecasts'!$H$9:$M$9,0))</f>
        <v>#REF!</v>
      </c>
      <c r="F3" s="435" t="e">
        <f>$K3/D3*E3</f>
        <v>#REF!</v>
      </c>
      <c r="G3" s="65"/>
      <c r="H3" s="65"/>
      <c r="I3" s="65"/>
      <c r="J3" s="65"/>
      <c r="K3" s="435" t="e">
        <f>$L3/INDEX(#REF!,MATCH('SWP_CVP Delivery Costs'!$M3,#REF!,0),2)*#REF!</f>
        <v>#REF!</v>
      </c>
      <c r="L3" s="316">
        <v>0</v>
      </c>
      <c r="M3" s="190">
        <v>2018</v>
      </c>
      <c r="N3" s="66" t="s">
        <v>4045</v>
      </c>
    </row>
    <row r="4" spans="1:14" x14ac:dyDescent="0.3">
      <c r="A4" s="63" t="s">
        <v>4044</v>
      </c>
      <c r="B4" s="65" t="s">
        <v>751</v>
      </c>
      <c r="C4" s="65" t="s">
        <v>4062</v>
      </c>
      <c r="D4" s="460" t="e" cm="1">
        <f t="array" ref="D4">INDEX('Energy price forecasts'!$H$9:$M$14, MATCH('SWP_CVP Delivery Costs'!$M4, 'Energy price forecasts'!$H$9:$H$14, 0),IF('SWP_CVP Delivery Costs'!$C4="PGE",2,3))</f>
        <v>#REF!</v>
      </c>
      <c r="E4" s="460" t="e">
        <f>INDEX('Energy price forecasts'!$H$9:$M$17, 9, MATCH('SWP_CVP Delivery Costs'!$C4,'Energy price forecasts'!$H$9:$M$9,0))</f>
        <v>#REF!</v>
      </c>
      <c r="F4" s="435" t="e">
        <f>$K4/D4*E4</f>
        <v>#REF!</v>
      </c>
      <c r="G4" s="65"/>
      <c r="H4" s="65"/>
      <c r="I4" s="65"/>
      <c r="J4" s="65"/>
      <c r="K4" s="435" t="e">
        <f>$L4/INDEX(#REF!,MATCH('SWP_CVP Delivery Costs'!$M4,#REF!,0),2)*#REF!</f>
        <v>#REF!</v>
      </c>
      <c r="L4" s="316">
        <v>27.79</v>
      </c>
      <c r="M4" s="190">
        <v>2022</v>
      </c>
      <c r="N4" s="66" t="s">
        <v>4046</v>
      </c>
    </row>
    <row r="5" spans="1:14" x14ac:dyDescent="0.3">
      <c r="A5" s="63" t="s">
        <v>4044</v>
      </c>
      <c r="B5" s="65" t="s">
        <v>755</v>
      </c>
      <c r="C5" s="65" t="s">
        <v>4062</v>
      </c>
      <c r="D5" s="460" t="e" cm="1">
        <f t="array" ref="D5">INDEX('Energy price forecasts'!$H$9:$M$14, MATCH('SWP_CVP Delivery Costs'!$M5, 'Energy price forecasts'!$H$9:$H$14, 0),IF('SWP_CVP Delivery Costs'!$C5="PGE",2,3))</f>
        <v>#REF!</v>
      </c>
      <c r="E5" s="460" t="e">
        <f>INDEX('Energy price forecasts'!$H$9:$M$17, 9, MATCH('SWP_CVP Delivery Costs'!$C5,'Energy price forecasts'!$H$9:$M$9,0))</f>
        <v>#REF!</v>
      </c>
      <c r="F5" s="435" t="e">
        <f t="shared" ref="F5:F45" si="0">$K5/D5*E5</f>
        <v>#REF!</v>
      </c>
      <c r="G5" s="65"/>
      <c r="H5" s="65"/>
      <c r="I5" s="65"/>
      <c r="J5" s="65"/>
      <c r="K5" s="435" t="e">
        <f>$L5/INDEX(#REF!,MATCH('SWP_CVP Delivery Costs'!$M5,#REF!,0),2)*#REF!</f>
        <v>#REF!</v>
      </c>
      <c r="L5" s="316">
        <v>34.6</v>
      </c>
      <c r="M5" s="190">
        <v>2022</v>
      </c>
      <c r="N5" s="66" t="s">
        <v>4047</v>
      </c>
    </row>
    <row r="6" spans="1:14" x14ac:dyDescent="0.3">
      <c r="A6" s="63" t="s">
        <v>4044</v>
      </c>
      <c r="B6" s="65" t="s">
        <v>758</v>
      </c>
      <c r="C6" s="65" t="s">
        <v>4062</v>
      </c>
      <c r="D6" s="460" t="e" cm="1">
        <f t="array" ref="D6">INDEX('Energy price forecasts'!$H$9:$M$14, MATCH('SWP_CVP Delivery Costs'!$M6, 'Energy price forecasts'!$H$9:$H$14, 0),IF('SWP_CVP Delivery Costs'!$C6="PGE",2,3))</f>
        <v>#REF!</v>
      </c>
      <c r="E6" s="460" t="e">
        <f>INDEX('Energy price forecasts'!$H$9:$M$17, 9, MATCH('SWP_CVP Delivery Costs'!$C6,'Energy price forecasts'!$H$9:$M$9,0))</f>
        <v>#REF!</v>
      </c>
      <c r="F6" s="435" t="e">
        <f t="shared" si="0"/>
        <v>#REF!</v>
      </c>
      <c r="G6" s="65"/>
      <c r="H6" s="65"/>
      <c r="I6" s="65"/>
      <c r="J6" s="65"/>
      <c r="K6" s="435" t="e">
        <f>$L6/INDEX(#REF!,MATCH('SWP_CVP Delivery Costs'!$M6,#REF!,0),2)*#REF!</f>
        <v>#REF!</v>
      </c>
      <c r="L6" s="317">
        <v>28.46</v>
      </c>
      <c r="M6" s="190">
        <v>2022</v>
      </c>
      <c r="N6" s="66" t="s">
        <v>4046</v>
      </c>
    </row>
    <row r="7" spans="1:14" x14ac:dyDescent="0.3">
      <c r="A7" s="63" t="s">
        <v>4044</v>
      </c>
      <c r="B7" s="65" t="s">
        <v>761</v>
      </c>
      <c r="C7" s="65" t="s">
        <v>4062</v>
      </c>
      <c r="D7" s="460" t="e" cm="1">
        <f t="array" ref="D7">INDEX('Energy price forecasts'!$H$9:$M$14, MATCH('SWP_CVP Delivery Costs'!$M7, 'Energy price forecasts'!$H$9:$H$14, 0),IF('SWP_CVP Delivery Costs'!$C7="PGE",2,3))</f>
        <v>#REF!</v>
      </c>
      <c r="E7" s="460" t="e">
        <f>INDEX('Energy price forecasts'!$H$9:$M$17, 9, MATCH('SWP_CVP Delivery Costs'!$C7,'Energy price forecasts'!$H$9:$M$9,0))</f>
        <v>#REF!</v>
      </c>
      <c r="F7" s="435" t="e">
        <f t="shared" si="0"/>
        <v>#REF!</v>
      </c>
      <c r="G7" s="65"/>
      <c r="H7" s="65"/>
      <c r="I7" s="65"/>
      <c r="J7" s="65"/>
      <c r="K7" s="435" t="e">
        <f>$L7/INDEX(#REF!,MATCH('SWP_CVP Delivery Costs'!$M7,#REF!,0),2)*#REF!</f>
        <v>#REF!</v>
      </c>
      <c r="L7" s="317">
        <v>27.93</v>
      </c>
      <c r="M7" s="190">
        <v>2022</v>
      </c>
      <c r="N7" s="66" t="s">
        <v>4046</v>
      </c>
    </row>
    <row r="8" spans="1:14" x14ac:dyDescent="0.3">
      <c r="A8" s="63" t="s">
        <v>4044</v>
      </c>
      <c r="B8" s="65" t="s">
        <v>763</v>
      </c>
      <c r="C8" s="65" t="s">
        <v>4062</v>
      </c>
      <c r="D8" s="460" t="e" cm="1">
        <f t="array" ref="D8">INDEX('Energy price forecasts'!$H$9:$M$14, MATCH('SWP_CVP Delivery Costs'!$M8, 'Energy price forecasts'!$H$9:$H$14, 0),IF('SWP_CVP Delivery Costs'!$C8="PGE",2,3))</f>
        <v>#REF!</v>
      </c>
      <c r="E8" s="460" t="e">
        <f>INDEX('Energy price forecasts'!$H$9:$M$17, 9, MATCH('SWP_CVP Delivery Costs'!$C8,'Energy price forecasts'!$H$9:$M$9,0))</f>
        <v>#REF!</v>
      </c>
      <c r="F8" s="435" t="e">
        <f t="shared" si="0"/>
        <v>#REF!</v>
      </c>
      <c r="G8" s="65"/>
      <c r="H8" s="65"/>
      <c r="I8" s="65"/>
      <c r="J8" s="65"/>
      <c r="K8" s="435" t="e">
        <f>$L8/INDEX(#REF!,MATCH('SWP_CVP Delivery Costs'!$M8,#REF!,0),2)*#REF!</f>
        <v>#REF!</v>
      </c>
      <c r="L8" s="317">
        <v>0</v>
      </c>
      <c r="M8" s="190">
        <v>2018</v>
      </c>
      <c r="N8" s="66" t="s">
        <v>4045</v>
      </c>
    </row>
    <row r="9" spans="1:14" x14ac:dyDescent="0.3">
      <c r="A9" s="63" t="s">
        <v>4044</v>
      </c>
      <c r="B9" s="65" t="s">
        <v>765</v>
      </c>
      <c r="C9" s="65" t="s">
        <v>4062</v>
      </c>
      <c r="D9" s="460" t="e" cm="1">
        <f t="array" ref="D9">INDEX('Energy price forecasts'!$H$9:$M$14, MATCH('SWP_CVP Delivery Costs'!$M9, 'Energy price forecasts'!$H$9:$H$14, 0),IF('SWP_CVP Delivery Costs'!$C9="PGE",2,3))</f>
        <v>#REF!</v>
      </c>
      <c r="E9" s="460" t="e">
        <f>INDEX('Energy price forecasts'!$H$9:$M$17, 9, MATCH('SWP_CVP Delivery Costs'!$C9,'Energy price forecasts'!$H$9:$M$9,0))</f>
        <v>#REF!</v>
      </c>
      <c r="F9" s="435" t="e">
        <f t="shared" si="0"/>
        <v>#REF!</v>
      </c>
      <c r="G9" s="65"/>
      <c r="H9" s="65"/>
      <c r="I9" s="65"/>
      <c r="J9" s="65"/>
      <c r="K9" s="435" t="e">
        <f>$L9/INDEX(#REF!,MATCH('SWP_CVP Delivery Costs'!$M9,#REF!,0),2)*#REF!</f>
        <v>#REF!</v>
      </c>
      <c r="L9" s="317">
        <v>27.74</v>
      </c>
      <c r="M9" s="190">
        <v>2022</v>
      </c>
      <c r="N9" s="66" t="s">
        <v>4046</v>
      </c>
    </row>
    <row r="10" spans="1:14" x14ac:dyDescent="0.3">
      <c r="A10" s="63" t="s">
        <v>4044</v>
      </c>
      <c r="B10" s="65" t="s">
        <v>768</v>
      </c>
      <c r="C10" s="65" t="s">
        <v>4062</v>
      </c>
      <c r="D10" s="460" t="e" cm="1">
        <f t="array" ref="D10">INDEX('Energy price forecasts'!$H$9:$M$14, MATCH('SWP_CVP Delivery Costs'!$M10, 'Energy price forecasts'!$H$9:$H$14, 0),IF('SWP_CVP Delivery Costs'!$C10="PGE",2,3))</f>
        <v>#REF!</v>
      </c>
      <c r="E10" s="460" t="e">
        <f>INDEX('Energy price forecasts'!$H$9:$M$17, 9, MATCH('SWP_CVP Delivery Costs'!$C10,'Energy price forecasts'!$H$9:$M$9,0))</f>
        <v>#REF!</v>
      </c>
      <c r="F10" s="435" t="e">
        <f t="shared" si="0"/>
        <v>#REF!</v>
      </c>
      <c r="G10" s="435"/>
      <c r="H10" s="435"/>
      <c r="I10" s="435"/>
      <c r="J10" s="435"/>
      <c r="K10" s="435" t="e">
        <f>$L10/INDEX(#REF!,MATCH('SWP_CVP Delivery Costs'!$M10,#REF!,0),2)*#REF!</f>
        <v>#REF!</v>
      </c>
      <c r="L10" s="317">
        <v>18.16</v>
      </c>
      <c r="M10" s="190">
        <v>2018</v>
      </c>
      <c r="N10" s="66" t="s">
        <v>4045</v>
      </c>
    </row>
    <row r="11" spans="1:14" x14ac:dyDescent="0.3">
      <c r="A11" s="63" t="s">
        <v>4044</v>
      </c>
      <c r="B11" s="65" t="s">
        <v>771</v>
      </c>
      <c r="C11" s="65" t="s">
        <v>4062</v>
      </c>
      <c r="D11" s="460" t="e" cm="1">
        <f t="array" ref="D11">INDEX('Energy price forecasts'!$H$9:$M$14, MATCH('SWP_CVP Delivery Costs'!$M11, 'Energy price forecasts'!$H$9:$H$14, 0),IF('SWP_CVP Delivery Costs'!$C11="PGE",2,3))</f>
        <v>#REF!</v>
      </c>
      <c r="E11" s="460" t="e">
        <f>INDEX('Energy price forecasts'!$H$9:$M$17, 9, MATCH('SWP_CVP Delivery Costs'!$C11,'Energy price forecasts'!$H$9:$M$9,0))</f>
        <v>#REF!</v>
      </c>
      <c r="F11" s="435" t="e">
        <f t="shared" si="0"/>
        <v>#REF!</v>
      </c>
      <c r="G11" s="65"/>
      <c r="H11" s="65"/>
      <c r="I11" s="65"/>
      <c r="J11" s="65"/>
      <c r="K11" s="435" t="e">
        <f>$L11/INDEX(#REF!,MATCH('SWP_CVP Delivery Costs'!$M11,#REF!,0),2)*#REF!</f>
        <v>#REF!</v>
      </c>
      <c r="L11" s="317">
        <v>27.87</v>
      </c>
      <c r="M11" s="190">
        <v>2022</v>
      </c>
      <c r="N11" s="66" t="s">
        <v>4046</v>
      </c>
    </row>
    <row r="12" spans="1:14" x14ac:dyDescent="0.3">
      <c r="A12" s="63" t="s">
        <v>4044</v>
      </c>
      <c r="B12" s="65" t="s">
        <v>772</v>
      </c>
      <c r="C12" s="65" t="s">
        <v>4062</v>
      </c>
      <c r="D12" s="460" t="e" cm="1">
        <f t="array" ref="D12">INDEX('Energy price forecasts'!$H$9:$M$14, MATCH('SWP_CVP Delivery Costs'!$M12, 'Energy price forecasts'!$H$9:$H$14, 0),IF('SWP_CVP Delivery Costs'!$C12="PGE",2,3))</f>
        <v>#REF!</v>
      </c>
      <c r="E12" s="460" t="e">
        <f>INDEX('Energy price forecasts'!$H$9:$M$17, 9, MATCH('SWP_CVP Delivery Costs'!$C12,'Energy price forecasts'!$H$9:$M$9,0))</f>
        <v>#REF!</v>
      </c>
      <c r="F12" s="435" t="e">
        <f t="shared" si="0"/>
        <v>#REF!</v>
      </c>
      <c r="G12" s="65"/>
      <c r="H12" s="65"/>
      <c r="I12" s="65"/>
      <c r="J12" s="65"/>
      <c r="K12" s="435" t="e">
        <f>$L12/INDEX(#REF!,MATCH('SWP_CVP Delivery Costs'!$M12,#REF!,0),2)*#REF!</f>
        <v>#REF!</v>
      </c>
      <c r="L12" s="317">
        <v>44.78</v>
      </c>
      <c r="M12" s="190">
        <v>2022</v>
      </c>
      <c r="N12" s="66" t="s">
        <v>4046</v>
      </c>
    </row>
    <row r="13" spans="1:14" x14ac:dyDescent="0.3">
      <c r="A13" s="63" t="s">
        <v>4044</v>
      </c>
      <c r="B13" s="65" t="s">
        <v>774</v>
      </c>
      <c r="C13" s="65" t="s">
        <v>4062</v>
      </c>
      <c r="D13" s="460" t="e" cm="1">
        <f t="array" ref="D13">INDEX('Energy price forecasts'!$H$9:$M$14, MATCH('SWP_CVP Delivery Costs'!$M13, 'Energy price forecasts'!$H$9:$H$14, 0),IF('SWP_CVP Delivery Costs'!$C13="PGE",2,3))</f>
        <v>#REF!</v>
      </c>
      <c r="E13" s="460" t="e">
        <f>INDEX('Energy price forecasts'!$H$9:$M$17, 9, MATCH('SWP_CVP Delivery Costs'!$C13,'Energy price forecasts'!$H$9:$M$9,0))</f>
        <v>#REF!</v>
      </c>
      <c r="F13" s="435" t="e">
        <f t="shared" si="0"/>
        <v>#REF!</v>
      </c>
      <c r="G13" s="65"/>
      <c r="H13" s="65"/>
      <c r="I13" s="65"/>
      <c r="J13" s="65"/>
      <c r="K13" s="435" t="e">
        <f>$L13/INDEX(#REF!,MATCH('SWP_CVP Delivery Costs'!$M13,#REF!,0),2)*#REF!</f>
        <v>#REF!</v>
      </c>
      <c r="L13" s="317">
        <v>27.73</v>
      </c>
      <c r="M13" s="190">
        <v>2022</v>
      </c>
      <c r="N13" s="66" t="s">
        <v>4046</v>
      </c>
    </row>
    <row r="14" spans="1:14" x14ac:dyDescent="0.3">
      <c r="A14" s="63" t="s">
        <v>4044</v>
      </c>
      <c r="B14" s="65" t="s">
        <v>775</v>
      </c>
      <c r="C14" s="65" t="s">
        <v>4062</v>
      </c>
      <c r="D14" s="460" t="e" cm="1">
        <f t="array" ref="D14">INDEX('Energy price forecasts'!$H$9:$M$14, MATCH('SWP_CVP Delivery Costs'!$M14, 'Energy price forecasts'!$H$9:$H$14, 0),IF('SWP_CVP Delivery Costs'!$C14="PGE",2,3))</f>
        <v>#REF!</v>
      </c>
      <c r="E14" s="460" t="e">
        <f>INDEX('Energy price forecasts'!$H$9:$M$17, 9, MATCH('SWP_CVP Delivery Costs'!$C14,'Energy price forecasts'!$H$9:$M$9,0))</f>
        <v>#REF!</v>
      </c>
      <c r="F14" s="435" t="e">
        <f t="shared" si="0"/>
        <v>#REF!</v>
      </c>
      <c r="G14" s="65"/>
      <c r="H14" s="65"/>
      <c r="I14" s="65"/>
      <c r="J14" s="65"/>
      <c r="K14" s="435" t="e">
        <f>$L14/INDEX(#REF!,MATCH('SWP_CVP Delivery Costs'!$M14,#REF!,0),2)*#REF!</f>
        <v>#REF!</v>
      </c>
      <c r="L14" s="317">
        <v>34.56136363636363</v>
      </c>
      <c r="M14" s="190">
        <v>2022</v>
      </c>
      <c r="N14" s="66" t="s">
        <v>4048</v>
      </c>
    </row>
    <row r="15" spans="1:14" x14ac:dyDescent="0.3">
      <c r="A15" s="63" t="s">
        <v>4044</v>
      </c>
      <c r="B15" s="65" t="s">
        <v>779</v>
      </c>
      <c r="C15" s="65" t="s">
        <v>4062</v>
      </c>
      <c r="D15" s="460" t="e" cm="1">
        <f t="array" ref="D15">INDEX('Energy price forecasts'!$H$9:$M$14, MATCH('SWP_CVP Delivery Costs'!$M15, 'Energy price forecasts'!$H$9:$H$14, 0),IF('SWP_CVP Delivery Costs'!$C15="PGE",2,3))</f>
        <v>#REF!</v>
      </c>
      <c r="E15" s="460" t="e">
        <f>INDEX('Energy price forecasts'!$H$9:$M$17, 9, MATCH('SWP_CVP Delivery Costs'!$C15,'Energy price forecasts'!$H$9:$M$9,0))</f>
        <v>#REF!</v>
      </c>
      <c r="F15" s="435" t="e">
        <f t="shared" si="0"/>
        <v>#REF!</v>
      </c>
      <c r="G15" s="65"/>
      <c r="H15" s="65"/>
      <c r="I15" s="65"/>
      <c r="J15" s="65"/>
      <c r="K15" s="435" t="e">
        <f>$L15/INDEX(#REF!,MATCH('SWP_CVP Delivery Costs'!$M15,#REF!,0),2)*#REF!</f>
        <v>#REF!</v>
      </c>
      <c r="L15" s="317">
        <v>11.73</v>
      </c>
      <c r="M15" s="190">
        <v>2018</v>
      </c>
      <c r="N15" s="66" t="s">
        <v>4045</v>
      </c>
    </row>
    <row r="16" spans="1:14" x14ac:dyDescent="0.3">
      <c r="A16" s="63" t="s">
        <v>4044</v>
      </c>
      <c r="B16" s="65" t="s">
        <v>781</v>
      </c>
      <c r="C16" s="65" t="s">
        <v>4062</v>
      </c>
      <c r="D16" s="460" t="e" cm="1">
        <f t="array" ref="D16">INDEX('Energy price forecasts'!$H$9:$M$14, MATCH('SWP_CVP Delivery Costs'!$M16, 'Energy price forecasts'!$H$9:$H$14, 0),IF('SWP_CVP Delivery Costs'!$C16="PGE",2,3))</f>
        <v>#REF!</v>
      </c>
      <c r="E16" s="460" t="e">
        <f>INDEX('Energy price forecasts'!$H$9:$M$17, 9, MATCH('SWP_CVP Delivery Costs'!$C16,'Energy price forecasts'!$H$9:$M$9,0))</f>
        <v>#REF!</v>
      </c>
      <c r="F16" s="435" t="e">
        <f t="shared" si="0"/>
        <v>#REF!</v>
      </c>
      <c r="G16" s="65"/>
      <c r="H16" s="65"/>
      <c r="I16" s="65"/>
      <c r="J16" s="65"/>
      <c r="K16" s="435" t="e">
        <f>$L16/INDEX(#REF!,MATCH('SWP_CVP Delivery Costs'!$M16,#REF!,0),2)*#REF!</f>
        <v>#REF!</v>
      </c>
      <c r="L16" s="317">
        <v>27.73</v>
      </c>
      <c r="M16" s="190">
        <v>2022</v>
      </c>
      <c r="N16" s="66" t="s">
        <v>4046</v>
      </c>
    </row>
    <row r="17" spans="1:14" x14ac:dyDescent="0.3">
      <c r="A17" s="63" t="s">
        <v>4044</v>
      </c>
      <c r="B17" s="65" t="s">
        <v>783</v>
      </c>
      <c r="C17" s="65" t="s">
        <v>4062</v>
      </c>
      <c r="D17" s="460" t="e" cm="1">
        <f t="array" ref="D17">INDEX('Energy price forecasts'!$H$9:$M$14, MATCH('SWP_CVP Delivery Costs'!$M17, 'Energy price forecasts'!$H$9:$H$14, 0),IF('SWP_CVP Delivery Costs'!$C17="PGE",2,3))</f>
        <v>#REF!</v>
      </c>
      <c r="E17" s="460" t="e">
        <f>INDEX('Energy price forecasts'!$H$9:$M$17, 9, MATCH('SWP_CVP Delivery Costs'!$C17,'Energy price forecasts'!$H$9:$M$9,0))</f>
        <v>#REF!</v>
      </c>
      <c r="F17" s="435" t="e">
        <f t="shared" si="0"/>
        <v>#REF!</v>
      </c>
      <c r="G17" s="65"/>
      <c r="H17" s="65"/>
      <c r="I17" s="65"/>
      <c r="J17" s="65"/>
      <c r="K17" s="435" t="e">
        <f>$L17/INDEX(#REF!,MATCH('SWP_CVP Delivery Costs'!$M17,#REF!,0),2)*#REF!</f>
        <v>#REF!</v>
      </c>
      <c r="L17" s="317">
        <v>71.040000000000006</v>
      </c>
      <c r="M17" s="190">
        <v>2022</v>
      </c>
      <c r="N17" s="66" t="s">
        <v>4046</v>
      </c>
    </row>
    <row r="18" spans="1:14" x14ac:dyDescent="0.3">
      <c r="A18" s="63" t="s">
        <v>4044</v>
      </c>
      <c r="B18" s="65" t="s">
        <v>785</v>
      </c>
      <c r="C18" s="65" t="s">
        <v>4062</v>
      </c>
      <c r="D18" s="460" t="e" cm="1">
        <f t="array" ref="D18">INDEX('Energy price forecasts'!$H$9:$M$14, MATCH('SWP_CVP Delivery Costs'!$M18, 'Energy price forecasts'!$H$9:$H$14, 0),IF('SWP_CVP Delivery Costs'!$C18="PGE",2,3))</f>
        <v>#REF!</v>
      </c>
      <c r="E18" s="460" t="e">
        <f>INDEX('Energy price forecasts'!$H$9:$M$17, 9, MATCH('SWP_CVP Delivery Costs'!$C18,'Energy price forecasts'!$H$9:$M$9,0))</f>
        <v>#REF!</v>
      </c>
      <c r="F18" s="435" t="e">
        <f t="shared" si="0"/>
        <v>#REF!</v>
      </c>
      <c r="G18" s="65"/>
      <c r="H18" s="65"/>
      <c r="I18" s="65"/>
      <c r="J18" s="65"/>
      <c r="K18" s="435" t="e">
        <f>$L18/INDEX(#REF!,MATCH('SWP_CVP Delivery Costs'!$M18,#REF!,0),2)*#REF!</f>
        <v>#REF!</v>
      </c>
      <c r="L18" s="317">
        <v>24.73</v>
      </c>
      <c r="M18" s="190">
        <v>2022</v>
      </c>
      <c r="N18" s="66" t="s">
        <v>4046</v>
      </c>
    </row>
    <row r="19" spans="1:14" x14ac:dyDescent="0.3">
      <c r="A19" s="63" t="s">
        <v>4044</v>
      </c>
      <c r="B19" s="65" t="s">
        <v>787</v>
      </c>
      <c r="C19" s="65" t="s">
        <v>4062</v>
      </c>
      <c r="D19" s="460" t="e" cm="1">
        <f t="array" ref="D19">INDEX('Energy price forecasts'!$H$9:$M$14, MATCH('SWP_CVP Delivery Costs'!$M19, 'Energy price forecasts'!$H$9:$H$14, 0),IF('SWP_CVP Delivery Costs'!$C19="PGE",2,3))</f>
        <v>#REF!</v>
      </c>
      <c r="E19" s="460" t="e">
        <f>INDEX('Energy price forecasts'!$H$9:$M$17, 9, MATCH('SWP_CVP Delivery Costs'!$C19,'Energy price forecasts'!$H$9:$M$9,0))</f>
        <v>#REF!</v>
      </c>
      <c r="F19" s="435" t="e">
        <f t="shared" si="0"/>
        <v>#REF!</v>
      </c>
      <c r="G19" s="65"/>
      <c r="H19" s="65"/>
      <c r="I19" s="65"/>
      <c r="J19" s="65"/>
      <c r="K19" s="435" t="e">
        <f>$L19/INDEX(#REF!,MATCH('SWP_CVP Delivery Costs'!$M19,#REF!,0),2)*#REF!</f>
        <v>#REF!</v>
      </c>
      <c r="L19" s="317">
        <v>68.81</v>
      </c>
      <c r="M19" s="190">
        <v>2022</v>
      </c>
      <c r="N19" s="66" t="s">
        <v>4046</v>
      </c>
    </row>
    <row r="20" spans="1:14" x14ac:dyDescent="0.3">
      <c r="A20" s="63" t="s">
        <v>4044</v>
      </c>
      <c r="B20" s="65" t="s">
        <v>788</v>
      </c>
      <c r="C20" s="65" t="s">
        <v>4062</v>
      </c>
      <c r="D20" s="460" t="e" cm="1">
        <f t="array" ref="D20">INDEX('Energy price forecasts'!$H$9:$M$14, MATCH('SWP_CVP Delivery Costs'!$M20, 'Energy price forecasts'!$H$9:$H$14, 0),IF('SWP_CVP Delivery Costs'!$C20="PGE",2,3))</f>
        <v>#REF!</v>
      </c>
      <c r="E20" s="460" t="e">
        <f>INDEX('Energy price forecasts'!$H$9:$M$17, 9, MATCH('SWP_CVP Delivery Costs'!$C20,'Energy price forecasts'!$H$9:$M$9,0))</f>
        <v>#REF!</v>
      </c>
      <c r="F20" s="435" t="e">
        <f t="shared" si="0"/>
        <v>#REF!</v>
      </c>
      <c r="G20" s="65"/>
      <c r="H20" s="65"/>
      <c r="I20" s="65"/>
      <c r="J20" s="65"/>
      <c r="K20" s="435" t="e">
        <f>$L20/INDEX(#REF!,MATCH('SWP_CVP Delivery Costs'!$M20,#REF!,0),2)*#REF!</f>
        <v>#REF!</v>
      </c>
      <c r="L20" s="317">
        <v>25.57</v>
      </c>
      <c r="M20" s="190">
        <v>2022</v>
      </c>
      <c r="N20" s="66" t="s">
        <v>4046</v>
      </c>
    </row>
    <row r="21" spans="1:14" x14ac:dyDescent="0.3">
      <c r="A21" s="63" t="s">
        <v>4044</v>
      </c>
      <c r="B21" s="65" t="s">
        <v>789</v>
      </c>
      <c r="C21" s="65" t="s">
        <v>4062</v>
      </c>
      <c r="D21" s="460" t="e" cm="1">
        <f t="array" ref="D21">INDEX('Energy price forecasts'!$H$9:$M$14, MATCH('SWP_CVP Delivery Costs'!$M21, 'Energy price forecasts'!$H$9:$H$14, 0),IF('SWP_CVP Delivery Costs'!$C21="PGE",2,3))</f>
        <v>#REF!</v>
      </c>
      <c r="E21" s="460" t="e">
        <f>INDEX('Energy price forecasts'!$H$9:$M$17, 9, MATCH('SWP_CVP Delivery Costs'!$C21,'Energy price forecasts'!$H$9:$M$9,0))</f>
        <v>#REF!</v>
      </c>
      <c r="F21" s="435" t="e">
        <f t="shared" si="0"/>
        <v>#REF!</v>
      </c>
      <c r="G21" s="65"/>
      <c r="H21" s="65"/>
      <c r="I21" s="65"/>
      <c r="J21" s="65"/>
      <c r="K21" s="435" t="e">
        <f>$L21/INDEX(#REF!,MATCH('SWP_CVP Delivery Costs'!$M21,#REF!,0),2)*#REF!</f>
        <v>#REF!</v>
      </c>
      <c r="L21" s="317">
        <v>25.22</v>
      </c>
      <c r="M21" s="190">
        <v>2022</v>
      </c>
      <c r="N21" s="66" t="s">
        <v>4046</v>
      </c>
    </row>
    <row r="22" spans="1:14" x14ac:dyDescent="0.3">
      <c r="A22" s="63" t="s">
        <v>4044</v>
      </c>
      <c r="B22" s="65" t="s">
        <v>790</v>
      </c>
      <c r="C22" s="65" t="s">
        <v>4062</v>
      </c>
      <c r="D22" s="460" t="e" cm="1">
        <f t="array" ref="D22">INDEX('Energy price forecasts'!$H$9:$M$14, MATCH('SWP_CVP Delivery Costs'!$M22, 'Energy price forecasts'!$H$9:$H$14, 0),IF('SWP_CVP Delivery Costs'!$C22="PGE",2,3))</f>
        <v>#REF!</v>
      </c>
      <c r="E22" s="460" t="e">
        <f>INDEX('Energy price forecasts'!$H$9:$M$17, 9, MATCH('SWP_CVP Delivery Costs'!$C22,'Energy price forecasts'!$H$9:$M$9,0))</f>
        <v>#REF!</v>
      </c>
      <c r="F22" s="435" t="e">
        <f t="shared" si="0"/>
        <v>#REF!</v>
      </c>
      <c r="G22" s="65"/>
      <c r="H22" s="65"/>
      <c r="I22" s="65"/>
      <c r="J22" s="65"/>
      <c r="K22" s="435" t="e">
        <f>$L22/INDEX(#REF!,MATCH('SWP_CVP Delivery Costs'!$M22,#REF!,0),2)*#REF!</f>
        <v>#REF!</v>
      </c>
      <c r="L22" s="317">
        <v>39.47</v>
      </c>
      <c r="M22" s="190">
        <v>2022</v>
      </c>
      <c r="N22" s="66" t="s">
        <v>4046</v>
      </c>
    </row>
    <row r="23" spans="1:14" x14ac:dyDescent="0.3">
      <c r="A23" s="63" t="s">
        <v>4044</v>
      </c>
      <c r="B23" s="65" t="s">
        <v>908</v>
      </c>
      <c r="C23" s="65" t="s">
        <v>4062</v>
      </c>
      <c r="D23" s="460" t="e" cm="1">
        <f t="array" ref="D23">INDEX('Energy price forecasts'!$H$9:$M$14, MATCH('SWP_CVP Delivery Costs'!$M23, 'Energy price forecasts'!$H$9:$H$14, 0),IF('SWP_CVP Delivery Costs'!$C23="PGE",2,3))</f>
        <v>#REF!</v>
      </c>
      <c r="E23" s="460" t="e">
        <f>INDEX('Energy price forecasts'!$H$9:$M$17, 9, MATCH('SWP_CVP Delivery Costs'!$C23,'Energy price forecasts'!$H$9:$M$9,0))</f>
        <v>#REF!</v>
      </c>
      <c r="F23" s="435" t="e">
        <f t="shared" si="0"/>
        <v>#REF!</v>
      </c>
      <c r="G23" s="65"/>
      <c r="H23" s="65"/>
      <c r="I23" s="65"/>
      <c r="J23" s="65"/>
      <c r="K23" s="435" t="e">
        <f>$L23/INDEX(#REF!,MATCH('SWP_CVP Delivery Costs'!$M23,#REF!,0),2)*#REF!</f>
        <v>#REF!</v>
      </c>
      <c r="L23" s="317">
        <v>6.75</v>
      </c>
      <c r="M23" s="190">
        <v>2018</v>
      </c>
      <c r="N23" s="66" t="s">
        <v>4045</v>
      </c>
    </row>
    <row r="24" spans="1:14" x14ac:dyDescent="0.3">
      <c r="A24" s="63" t="s">
        <v>4044</v>
      </c>
      <c r="B24" s="65" t="s">
        <v>795</v>
      </c>
      <c r="C24" s="65" t="s">
        <v>4062</v>
      </c>
      <c r="D24" s="460" t="e" cm="1">
        <f t="array" ref="D24">INDEX('Energy price forecasts'!$H$9:$M$14, MATCH('SWP_CVP Delivery Costs'!$M24, 'Energy price forecasts'!$H$9:$H$14, 0),IF('SWP_CVP Delivery Costs'!$C24="PGE",2,3))</f>
        <v>#REF!</v>
      </c>
      <c r="E24" s="460" t="e">
        <f>INDEX('Energy price forecasts'!$H$9:$M$17, 9, MATCH('SWP_CVP Delivery Costs'!$C24,'Energy price forecasts'!$H$9:$M$9,0))</f>
        <v>#REF!</v>
      </c>
      <c r="F24" s="435" t="e">
        <f t="shared" si="0"/>
        <v>#REF!</v>
      </c>
      <c r="G24" s="65"/>
      <c r="H24" s="65"/>
      <c r="I24" s="65"/>
      <c r="J24" s="65"/>
      <c r="K24" s="435" t="e">
        <f>$L24/INDEX(#REF!,MATCH('SWP_CVP Delivery Costs'!$M24,#REF!,0),2)*#REF!</f>
        <v>#REF!</v>
      </c>
      <c r="L24" s="317">
        <v>25.031314435870033</v>
      </c>
      <c r="M24" s="190">
        <v>2022</v>
      </c>
      <c r="N24" s="66" t="s">
        <v>4048</v>
      </c>
    </row>
    <row r="25" spans="1:14" x14ac:dyDescent="0.3">
      <c r="A25" s="63" t="s">
        <v>4044</v>
      </c>
      <c r="B25" s="65" t="s">
        <v>797</v>
      </c>
      <c r="C25" s="65" t="s">
        <v>4062</v>
      </c>
      <c r="D25" s="460" t="e" cm="1">
        <f t="array" ref="D25">INDEX('Energy price forecasts'!$H$9:$M$14, MATCH('SWP_CVP Delivery Costs'!$M25, 'Energy price forecasts'!$H$9:$H$14, 0),IF('SWP_CVP Delivery Costs'!$C25="PGE",2,3))</f>
        <v>#REF!</v>
      </c>
      <c r="E25" s="460" t="e">
        <f>INDEX('Energy price forecasts'!$H$9:$M$17, 9, MATCH('SWP_CVP Delivery Costs'!$C25,'Energy price forecasts'!$H$9:$M$9,0))</f>
        <v>#REF!</v>
      </c>
      <c r="F25" s="435" t="e">
        <f t="shared" si="0"/>
        <v>#REF!</v>
      </c>
      <c r="G25" s="65"/>
      <c r="H25" s="65"/>
      <c r="I25" s="65"/>
      <c r="J25" s="65"/>
      <c r="K25" s="435" t="e">
        <f>$L25/INDEX(#REF!,MATCH('SWP_CVP Delivery Costs'!$M25,#REF!,0),2)*#REF!</f>
        <v>#REF!</v>
      </c>
      <c r="L25" s="317">
        <v>27.73</v>
      </c>
      <c r="M25" s="190">
        <v>2022</v>
      </c>
      <c r="N25" s="66" t="s">
        <v>4046</v>
      </c>
    </row>
    <row r="26" spans="1:14" x14ac:dyDescent="0.3">
      <c r="A26" s="63" t="s">
        <v>4044</v>
      </c>
      <c r="B26" s="65" t="s">
        <v>799</v>
      </c>
      <c r="C26" s="65" t="s">
        <v>4062</v>
      </c>
      <c r="D26" s="460" t="e" cm="1">
        <f t="array" ref="D26">INDEX('Energy price forecasts'!$H$9:$M$14, MATCH('SWP_CVP Delivery Costs'!$M26, 'Energy price forecasts'!$H$9:$H$14, 0),IF('SWP_CVP Delivery Costs'!$C26="PGE",2,3))</f>
        <v>#REF!</v>
      </c>
      <c r="E26" s="460" t="e">
        <f>INDEX('Energy price forecasts'!$H$9:$M$17, 9, MATCH('SWP_CVP Delivery Costs'!$C26,'Energy price forecasts'!$H$9:$M$9,0))</f>
        <v>#REF!</v>
      </c>
      <c r="F26" s="435" t="e">
        <f t="shared" si="0"/>
        <v>#REF!</v>
      </c>
      <c r="G26" s="65"/>
      <c r="H26" s="65"/>
      <c r="I26" s="65"/>
      <c r="J26" s="65"/>
      <c r="K26" s="435" t="e">
        <f>$L26/INDEX(#REF!,MATCH('SWP_CVP Delivery Costs'!$M26,#REF!,0),2)*#REF!</f>
        <v>#REF!</v>
      </c>
      <c r="L26" s="317">
        <v>20.55</v>
      </c>
      <c r="M26" s="190">
        <v>2018</v>
      </c>
      <c r="N26" s="66" t="s">
        <v>4045</v>
      </c>
    </row>
    <row r="27" spans="1:14" x14ac:dyDescent="0.3">
      <c r="A27" s="63" t="s">
        <v>4044</v>
      </c>
      <c r="B27" s="65" t="s">
        <v>801</v>
      </c>
      <c r="C27" s="65" t="s">
        <v>4062</v>
      </c>
      <c r="D27" s="460" t="e" cm="1">
        <f t="array" ref="D27">INDEX('Energy price forecasts'!$H$9:$M$14, MATCH('SWP_CVP Delivery Costs'!$M27, 'Energy price forecasts'!$H$9:$H$14, 0),IF('SWP_CVP Delivery Costs'!$C27="PGE",2,3))</f>
        <v>#REF!</v>
      </c>
      <c r="E27" s="460" t="e">
        <f>INDEX('Energy price forecasts'!$H$9:$M$17, 9, MATCH('SWP_CVP Delivery Costs'!$C27,'Energy price forecasts'!$H$9:$M$9,0))</f>
        <v>#REF!</v>
      </c>
      <c r="F27" s="435" t="e">
        <f t="shared" si="0"/>
        <v>#REF!</v>
      </c>
      <c r="G27" s="65"/>
      <c r="H27" s="65"/>
      <c r="I27" s="65"/>
      <c r="J27" s="65"/>
      <c r="K27" s="435" t="e">
        <f>$L27/INDEX(#REF!,MATCH('SWP_CVP Delivery Costs'!$M27,#REF!,0),2)*#REF!</f>
        <v>#REF!</v>
      </c>
      <c r="L27" s="317">
        <v>13.51</v>
      </c>
      <c r="M27" s="190">
        <v>2018</v>
      </c>
      <c r="N27" s="66" t="s">
        <v>4045</v>
      </c>
    </row>
    <row r="28" spans="1:14" x14ac:dyDescent="0.3">
      <c r="A28" s="63" t="s">
        <v>4044</v>
      </c>
      <c r="B28" s="65" t="s">
        <v>804</v>
      </c>
      <c r="C28" s="65" t="s">
        <v>4062</v>
      </c>
      <c r="D28" s="460" t="e" cm="1">
        <f t="array" ref="D28">INDEX('Energy price forecasts'!$H$9:$M$14, MATCH('SWP_CVP Delivery Costs'!$M28, 'Energy price forecasts'!$H$9:$H$14, 0),IF('SWP_CVP Delivery Costs'!$C28="PGE",2,3))</f>
        <v>#REF!</v>
      </c>
      <c r="E28" s="460" t="e">
        <f>INDEX('Energy price forecasts'!$H$9:$M$17, 9, MATCH('SWP_CVP Delivery Costs'!$C28,'Energy price forecasts'!$H$9:$M$9,0))</f>
        <v>#REF!</v>
      </c>
      <c r="F28" s="435" t="e">
        <f t="shared" si="0"/>
        <v>#REF!</v>
      </c>
      <c r="G28" s="65"/>
      <c r="H28" s="65"/>
      <c r="I28" s="65"/>
      <c r="J28" s="65"/>
      <c r="K28" s="435" t="e">
        <f>$L28/INDEX(#REF!,MATCH('SWP_CVP Delivery Costs'!$M28,#REF!,0),2)*#REF!</f>
        <v>#REF!</v>
      </c>
      <c r="L28" s="317">
        <v>26.05</v>
      </c>
      <c r="M28" s="190">
        <v>2022</v>
      </c>
      <c r="N28" s="66" t="s">
        <v>4046</v>
      </c>
    </row>
    <row r="29" spans="1:14" x14ac:dyDescent="0.3">
      <c r="A29" s="63" t="s">
        <v>4044</v>
      </c>
      <c r="B29" s="65" t="s">
        <v>806</v>
      </c>
      <c r="C29" s="65" t="s">
        <v>4062</v>
      </c>
      <c r="D29" s="460" t="e" cm="1">
        <f t="array" ref="D29">INDEX('Energy price forecasts'!$H$9:$M$14, MATCH('SWP_CVP Delivery Costs'!$M29, 'Energy price forecasts'!$H$9:$H$14, 0),IF('SWP_CVP Delivery Costs'!$C29="PGE",2,3))</f>
        <v>#REF!</v>
      </c>
      <c r="E29" s="460" t="e">
        <f>INDEX('Energy price forecasts'!$H$9:$M$17, 9, MATCH('SWP_CVP Delivery Costs'!$C29,'Energy price forecasts'!$H$9:$M$9,0))</f>
        <v>#REF!</v>
      </c>
      <c r="F29" s="435" t="e">
        <f t="shared" si="0"/>
        <v>#REF!</v>
      </c>
      <c r="G29" s="65"/>
      <c r="H29" s="65"/>
      <c r="I29" s="65"/>
      <c r="J29" s="65"/>
      <c r="K29" s="435" t="e">
        <f>$L29/INDEX(#REF!,MATCH('SWP_CVP Delivery Costs'!$M29,#REF!,0),2)*#REF!</f>
        <v>#REF!</v>
      </c>
      <c r="L29" s="317">
        <v>81.92</v>
      </c>
      <c r="M29" s="190">
        <v>2022</v>
      </c>
      <c r="N29" s="66" t="s">
        <v>4046</v>
      </c>
    </row>
    <row r="30" spans="1:14" x14ac:dyDescent="0.3">
      <c r="A30" s="63" t="s">
        <v>4044</v>
      </c>
      <c r="B30" s="65" t="s">
        <v>808</v>
      </c>
      <c r="C30" s="65" t="s">
        <v>4062</v>
      </c>
      <c r="D30" s="460" t="e" cm="1">
        <f t="array" ref="D30">INDEX('Energy price forecasts'!$H$9:$M$14, MATCH('SWP_CVP Delivery Costs'!$M30, 'Energy price forecasts'!$H$9:$H$14, 0),IF('SWP_CVP Delivery Costs'!$C30="PGE",2,3))</f>
        <v>#REF!</v>
      </c>
      <c r="E30" s="460" t="e">
        <f>INDEX('Energy price forecasts'!$H$9:$M$17, 9, MATCH('SWP_CVP Delivery Costs'!$C30,'Energy price forecasts'!$H$9:$M$9,0))</f>
        <v>#REF!</v>
      </c>
      <c r="F30" s="435" t="e">
        <f t="shared" si="0"/>
        <v>#REF!</v>
      </c>
      <c r="G30" s="65"/>
      <c r="H30" s="65"/>
      <c r="I30" s="65"/>
      <c r="J30" s="65"/>
      <c r="K30" s="435" t="e">
        <f>$L30/INDEX(#REF!,MATCH('SWP_CVP Delivery Costs'!$M30,#REF!,0),2)*#REF!</f>
        <v>#REF!</v>
      </c>
      <c r="L30" s="317">
        <v>27.5</v>
      </c>
      <c r="M30" s="190">
        <v>2022</v>
      </c>
      <c r="N30" s="66" t="s">
        <v>4046</v>
      </c>
    </row>
    <row r="31" spans="1:14" x14ac:dyDescent="0.3">
      <c r="A31" s="63" t="s">
        <v>4044</v>
      </c>
      <c r="B31" s="65" t="s">
        <v>811</v>
      </c>
      <c r="C31" s="65" t="s">
        <v>4062</v>
      </c>
      <c r="D31" s="460" t="e" cm="1">
        <f t="array" ref="D31">INDEX('Energy price forecasts'!$H$9:$M$14, MATCH('SWP_CVP Delivery Costs'!$M31, 'Energy price forecasts'!$H$9:$H$14, 0),IF('SWP_CVP Delivery Costs'!$C31="PGE",2,3))</f>
        <v>#REF!</v>
      </c>
      <c r="E31" s="460" t="e">
        <f>INDEX('Energy price forecasts'!$H$9:$M$17, 9, MATCH('SWP_CVP Delivery Costs'!$C31,'Energy price forecasts'!$H$9:$M$9,0))</f>
        <v>#REF!</v>
      </c>
      <c r="F31" s="435" t="e">
        <f t="shared" si="0"/>
        <v>#REF!</v>
      </c>
      <c r="G31" s="65"/>
      <c r="H31" s="65"/>
      <c r="I31" s="65"/>
      <c r="J31" s="65"/>
      <c r="K31" s="435" t="e">
        <f>$L31/INDEX(#REF!,MATCH('SWP_CVP Delivery Costs'!$M31,#REF!,0),2)*#REF!</f>
        <v>#REF!</v>
      </c>
      <c r="L31" s="317">
        <v>17.837509541984733</v>
      </c>
      <c r="M31" s="190">
        <v>2022</v>
      </c>
      <c r="N31" s="66" t="s">
        <v>4049</v>
      </c>
    </row>
    <row r="32" spans="1:14" x14ac:dyDescent="0.3">
      <c r="A32" s="63" t="s">
        <v>4044</v>
      </c>
      <c r="B32" s="65" t="s">
        <v>814</v>
      </c>
      <c r="C32" s="65" t="s">
        <v>4062</v>
      </c>
      <c r="D32" s="460" t="e" cm="1">
        <f t="array" ref="D32">INDEX('Energy price forecasts'!$H$9:$M$14, MATCH('SWP_CVP Delivery Costs'!$M32, 'Energy price forecasts'!$H$9:$H$14, 0),IF('SWP_CVP Delivery Costs'!$C32="PGE",2,3))</f>
        <v>#REF!</v>
      </c>
      <c r="E32" s="460" t="e">
        <f>INDEX('Energy price forecasts'!$H$9:$M$17, 9, MATCH('SWP_CVP Delivery Costs'!$C32,'Energy price forecasts'!$H$9:$M$9,0))</f>
        <v>#REF!</v>
      </c>
      <c r="F32" s="435" t="e">
        <f t="shared" si="0"/>
        <v>#REF!</v>
      </c>
      <c r="G32" s="65"/>
      <c r="H32" s="65"/>
      <c r="I32" s="65"/>
      <c r="J32" s="65"/>
      <c r="K32" s="435" t="e">
        <f>$L32/INDEX(#REF!,MATCH('SWP_CVP Delivery Costs'!$M32,#REF!,0),2)*#REF!</f>
        <v>#REF!</v>
      </c>
      <c r="L32" s="317">
        <v>118.03</v>
      </c>
      <c r="M32" s="190">
        <v>2018</v>
      </c>
      <c r="N32" s="66" t="s">
        <v>4045</v>
      </c>
    </row>
    <row r="33" spans="1:14" x14ac:dyDescent="0.3">
      <c r="A33" s="63" t="s">
        <v>4044</v>
      </c>
      <c r="B33" s="65" t="s">
        <v>815</v>
      </c>
      <c r="C33" s="65" t="s">
        <v>4063</v>
      </c>
      <c r="D33" s="460" t="e" cm="1">
        <f t="array" ref="D33">INDEX('Energy price forecasts'!$H$9:$M$14, MATCH('SWP_CVP Delivery Costs'!$M33, 'Energy price forecasts'!$H$9:$H$14, 0),IF('SWP_CVP Delivery Costs'!$C33="PGE",2,3))</f>
        <v>#REF!</v>
      </c>
      <c r="E33" s="460" t="e">
        <f>INDEX('Energy price forecasts'!$H$9:$M$17, 9, MATCH('SWP_CVP Delivery Costs'!$C33,'Energy price forecasts'!$H$9:$M$9,0))</f>
        <v>#REF!</v>
      </c>
      <c r="F33" s="435" t="e">
        <f t="shared" si="0"/>
        <v>#REF!</v>
      </c>
      <c r="G33" s="65"/>
      <c r="H33" s="65"/>
      <c r="I33" s="65"/>
      <c r="J33" s="65"/>
      <c r="K33" s="435" t="e">
        <f>$L33/INDEX(#REF!,MATCH('SWP_CVP Delivery Costs'!$M33,#REF!,0),2)*#REF!</f>
        <v>#REF!</v>
      </c>
      <c r="L33" s="317">
        <v>97.2</v>
      </c>
      <c r="M33" s="190">
        <v>2018</v>
      </c>
      <c r="N33" s="66" t="s">
        <v>4045</v>
      </c>
    </row>
    <row r="34" spans="1:14" x14ac:dyDescent="0.3">
      <c r="A34" s="63" t="s">
        <v>4044</v>
      </c>
      <c r="B34" s="65" t="s">
        <v>817</v>
      </c>
      <c r="C34" s="65" t="s">
        <v>4063</v>
      </c>
      <c r="D34" s="460" t="e" cm="1">
        <f t="array" ref="D34">INDEX('Energy price forecasts'!$H$9:$M$14, MATCH('SWP_CVP Delivery Costs'!$M34, 'Energy price forecasts'!$H$9:$H$14, 0),IF('SWP_CVP Delivery Costs'!$C34="PGE",2,3))</f>
        <v>#REF!</v>
      </c>
      <c r="E34" s="460" t="e">
        <f>INDEX('Energy price forecasts'!$H$9:$M$17, 9, MATCH('SWP_CVP Delivery Costs'!$C34,'Energy price forecasts'!$H$9:$M$9,0))</f>
        <v>#REF!</v>
      </c>
      <c r="F34" s="435" t="e">
        <f t="shared" si="0"/>
        <v>#REF!</v>
      </c>
      <c r="G34" s="65"/>
      <c r="H34" s="65"/>
      <c r="I34" s="65"/>
      <c r="J34" s="65"/>
      <c r="K34" s="435" t="e">
        <f>$L34/INDEX(#REF!,MATCH('SWP_CVP Delivery Costs'!$M34,#REF!,0),2)*#REF!</f>
        <v>#REF!</v>
      </c>
      <c r="L34" s="317">
        <v>66.23</v>
      </c>
      <c r="M34" s="190">
        <v>2018</v>
      </c>
      <c r="N34" s="66" t="s">
        <v>4045</v>
      </c>
    </row>
    <row r="35" spans="1:14" x14ac:dyDescent="0.3">
      <c r="A35" s="63" t="s">
        <v>4044</v>
      </c>
      <c r="B35" s="65" t="s">
        <v>819</v>
      </c>
      <c r="C35" s="65" t="s">
        <v>4063</v>
      </c>
      <c r="D35" s="460" t="e" cm="1">
        <f t="array" ref="D35">INDEX('Energy price forecasts'!$H$9:$M$14, MATCH('SWP_CVP Delivery Costs'!$M35, 'Energy price forecasts'!$H$9:$H$14, 0),IF('SWP_CVP Delivery Costs'!$C35="PGE",2,3))</f>
        <v>#REF!</v>
      </c>
      <c r="E35" s="460" t="e">
        <f>INDEX('Energy price forecasts'!$H$9:$M$17, 9, MATCH('SWP_CVP Delivery Costs'!$C35,'Energy price forecasts'!$H$9:$M$9,0))</f>
        <v>#REF!</v>
      </c>
      <c r="F35" s="435" t="e">
        <f t="shared" si="0"/>
        <v>#REF!</v>
      </c>
      <c r="G35" s="65"/>
      <c r="H35" s="65"/>
      <c r="I35" s="65"/>
      <c r="J35" s="65"/>
      <c r="K35" s="435" t="e">
        <f>$L35/INDEX(#REF!,MATCH('SWP_CVP Delivery Costs'!$M35,#REF!,0),2)*#REF!</f>
        <v>#REF!</v>
      </c>
      <c r="L35" s="317">
        <v>44.15</v>
      </c>
      <c r="M35" s="190">
        <v>2018</v>
      </c>
      <c r="N35" s="66" t="s">
        <v>4045</v>
      </c>
    </row>
    <row r="36" spans="1:14" x14ac:dyDescent="0.3">
      <c r="A36" s="63" t="s">
        <v>4044</v>
      </c>
      <c r="B36" s="65" t="s">
        <v>821</v>
      </c>
      <c r="C36" s="65" t="s">
        <v>4063</v>
      </c>
      <c r="D36" s="460" t="e" cm="1">
        <f t="array" ref="D36">INDEX('Energy price forecasts'!$H$9:$M$14, MATCH('SWP_CVP Delivery Costs'!$M36, 'Energy price forecasts'!$H$9:$H$14, 0),IF('SWP_CVP Delivery Costs'!$C36="PGE",2,3))</f>
        <v>#REF!</v>
      </c>
      <c r="E36" s="460" t="e">
        <f>INDEX('Energy price forecasts'!$H$9:$M$17, 9, MATCH('SWP_CVP Delivery Costs'!$C36,'Energy price forecasts'!$H$9:$M$9,0))</f>
        <v>#REF!</v>
      </c>
      <c r="F36" s="435" t="e">
        <f t="shared" si="0"/>
        <v>#REF!</v>
      </c>
      <c r="G36" s="65"/>
      <c r="H36" s="65"/>
      <c r="I36" s="65"/>
      <c r="J36" s="65"/>
      <c r="K36" s="435" t="e">
        <f>$L36/INDEX(#REF!,MATCH('SWP_CVP Delivery Costs'!$M36,#REF!,0),2)*#REF!</f>
        <v>#REF!</v>
      </c>
      <c r="L36" s="317">
        <v>77.95</v>
      </c>
      <c r="M36" s="190">
        <v>2018</v>
      </c>
      <c r="N36" s="66" t="s">
        <v>4045</v>
      </c>
    </row>
    <row r="37" spans="1:14" x14ac:dyDescent="0.3">
      <c r="A37" s="63" t="s">
        <v>4044</v>
      </c>
      <c r="B37" s="65" t="s">
        <v>823</v>
      </c>
      <c r="C37" s="65" t="s">
        <v>4063</v>
      </c>
      <c r="D37" s="460" t="e" cm="1">
        <f t="array" ref="D37">INDEX('Energy price forecasts'!$H$9:$M$14, MATCH('SWP_CVP Delivery Costs'!$M37, 'Energy price forecasts'!$H$9:$H$14, 0),IF('SWP_CVP Delivery Costs'!$C37="PGE",2,3))</f>
        <v>#REF!</v>
      </c>
      <c r="E37" s="460" t="e">
        <f>INDEX('Energy price forecasts'!$H$9:$M$17, 9, MATCH('SWP_CVP Delivery Costs'!$C37,'Energy price forecasts'!$H$9:$M$9,0))</f>
        <v>#REF!</v>
      </c>
      <c r="F37" s="435" t="e">
        <f t="shared" si="0"/>
        <v>#REF!</v>
      </c>
      <c r="G37" s="65"/>
      <c r="H37" s="65"/>
      <c r="I37" s="65"/>
      <c r="J37" s="65"/>
      <c r="K37" s="435" t="e">
        <f>$L37/INDEX(#REF!,MATCH('SWP_CVP Delivery Costs'!$M37,#REF!,0),2)*#REF!</f>
        <v>#REF!</v>
      </c>
      <c r="L37" s="317">
        <v>79.47</v>
      </c>
      <c r="M37" s="190">
        <v>2018</v>
      </c>
      <c r="N37" s="66" t="s">
        <v>4045</v>
      </c>
    </row>
    <row r="38" spans="1:14" x14ac:dyDescent="0.3">
      <c r="A38" s="63" t="s">
        <v>4044</v>
      </c>
      <c r="B38" s="65" t="s">
        <v>825</v>
      </c>
      <c r="C38" s="65" t="s">
        <v>4063</v>
      </c>
      <c r="D38" s="460" t="e" cm="1">
        <f t="array" ref="D38">INDEX('Energy price forecasts'!$H$9:$M$14, MATCH('SWP_CVP Delivery Costs'!$M38, 'Energy price forecasts'!$H$9:$H$14, 0),IF('SWP_CVP Delivery Costs'!$C38="PGE",2,3))</f>
        <v>#REF!</v>
      </c>
      <c r="E38" s="460" t="e">
        <f>INDEX('Energy price forecasts'!$H$9:$M$17, 9, MATCH('SWP_CVP Delivery Costs'!$C38,'Energy price forecasts'!$H$9:$M$9,0))</f>
        <v>#REF!</v>
      </c>
      <c r="F38" s="435" t="e">
        <f t="shared" si="0"/>
        <v>#REF!</v>
      </c>
      <c r="G38" s="65"/>
      <c r="H38" s="65"/>
      <c r="I38" s="65"/>
      <c r="J38" s="65"/>
      <c r="K38" s="435" t="e">
        <f>$L38/INDEX(#REF!,MATCH('SWP_CVP Delivery Costs'!$M38,#REF!,0),2)*#REF!</f>
        <v>#REF!</v>
      </c>
      <c r="L38" s="317">
        <v>44.2</v>
      </c>
      <c r="M38" s="190">
        <v>2018</v>
      </c>
      <c r="N38" s="66" t="s">
        <v>4045</v>
      </c>
    </row>
    <row r="39" spans="1:14" x14ac:dyDescent="0.3">
      <c r="A39" s="63" t="s">
        <v>4044</v>
      </c>
      <c r="B39" s="65" t="s">
        <v>827</v>
      </c>
      <c r="C39" s="65" t="s">
        <v>4063</v>
      </c>
      <c r="D39" s="460" t="e" cm="1">
        <f t="array" ref="D39">INDEX('Energy price forecasts'!$H$9:$M$14, MATCH('SWP_CVP Delivery Costs'!$M39, 'Energy price forecasts'!$H$9:$H$14, 0),IF('SWP_CVP Delivery Costs'!$C39="PGE",2,3))</f>
        <v>#REF!</v>
      </c>
      <c r="E39" s="460" t="e">
        <f>INDEX('Energy price forecasts'!$H$9:$M$17, 9, MATCH('SWP_CVP Delivery Costs'!$C39,'Energy price forecasts'!$H$9:$M$9,0))</f>
        <v>#REF!</v>
      </c>
      <c r="F39" s="435" t="e">
        <f t="shared" si="0"/>
        <v>#REF!</v>
      </c>
      <c r="G39" s="65"/>
      <c r="H39" s="65"/>
      <c r="I39" s="65"/>
      <c r="J39" s="65"/>
      <c r="K39" s="435" t="e">
        <f>$L39/INDEX(#REF!,MATCH('SWP_CVP Delivery Costs'!$M39,#REF!,0),2)*#REF!</f>
        <v>#REF!</v>
      </c>
      <c r="L39" s="317">
        <v>41.95</v>
      </c>
      <c r="M39" s="190">
        <v>2018</v>
      </c>
      <c r="N39" s="66" t="s">
        <v>4045</v>
      </c>
    </row>
    <row r="40" spans="1:14" x14ac:dyDescent="0.3">
      <c r="A40" s="63" t="s">
        <v>4044</v>
      </c>
      <c r="B40" s="65" t="s">
        <v>829</v>
      </c>
      <c r="C40" s="65" t="s">
        <v>4063</v>
      </c>
      <c r="D40" s="460" t="e" cm="1">
        <f t="array" ref="D40">INDEX('Energy price forecasts'!$H$9:$M$14, MATCH('SWP_CVP Delivery Costs'!$M40, 'Energy price forecasts'!$H$9:$H$14, 0),IF('SWP_CVP Delivery Costs'!$C40="PGE",2,3))</f>
        <v>#REF!</v>
      </c>
      <c r="E40" s="460" t="e">
        <f>INDEX('Energy price forecasts'!$H$9:$M$17, 9, MATCH('SWP_CVP Delivery Costs'!$C40,'Energy price forecasts'!$H$9:$M$9,0))</f>
        <v>#REF!</v>
      </c>
      <c r="F40" s="435" t="e">
        <f t="shared" si="0"/>
        <v>#REF!</v>
      </c>
      <c r="G40" s="65"/>
      <c r="H40" s="65"/>
      <c r="I40" s="65"/>
      <c r="J40" s="65"/>
      <c r="K40" s="435" t="e">
        <f>$L40/INDEX(#REF!,MATCH('SWP_CVP Delivery Costs'!$M40,#REF!,0),2)*#REF!</f>
        <v>#REF!</v>
      </c>
      <c r="L40" s="317">
        <v>140.87</v>
      </c>
      <c r="M40" s="190">
        <v>2018</v>
      </c>
      <c r="N40" s="66" t="s">
        <v>4045</v>
      </c>
    </row>
    <row r="41" spans="1:14" x14ac:dyDescent="0.3">
      <c r="A41" s="63" t="s">
        <v>4044</v>
      </c>
      <c r="B41" s="65" t="s">
        <v>833</v>
      </c>
      <c r="C41" s="65" t="s">
        <v>4063</v>
      </c>
      <c r="D41" s="460" t="e" cm="1">
        <f t="array" ref="D41">INDEX('Energy price forecasts'!$H$9:$M$14, MATCH('SWP_CVP Delivery Costs'!$M41, 'Energy price forecasts'!$H$9:$H$14, 0),IF('SWP_CVP Delivery Costs'!$C41="PGE",2,3))</f>
        <v>#REF!</v>
      </c>
      <c r="E41" s="460" t="e">
        <f>INDEX('Energy price forecasts'!$H$9:$M$17, 9, MATCH('SWP_CVP Delivery Costs'!$C41,'Energy price forecasts'!$H$9:$M$9,0))</f>
        <v>#REF!</v>
      </c>
      <c r="F41" s="435" t="e">
        <f t="shared" si="0"/>
        <v>#REF!</v>
      </c>
      <c r="G41" s="65"/>
      <c r="H41" s="65"/>
      <c r="I41" s="65"/>
      <c r="J41" s="65"/>
      <c r="K41" s="435" t="e">
        <f>$L41/INDEX(#REF!,MATCH('SWP_CVP Delivery Costs'!$M41,#REF!,0),2)*#REF!</f>
        <v>#REF!</v>
      </c>
      <c r="L41" s="317">
        <v>96.487896794370599</v>
      </c>
      <c r="M41" s="190">
        <v>2018</v>
      </c>
      <c r="N41" s="66" t="s">
        <v>4050</v>
      </c>
    </row>
    <row r="42" spans="1:14" x14ac:dyDescent="0.3">
      <c r="A42" s="63" t="s">
        <v>4044</v>
      </c>
      <c r="B42" s="65" t="s">
        <v>836</v>
      </c>
      <c r="C42" s="65" t="s">
        <v>4063</v>
      </c>
      <c r="D42" s="460" t="e" cm="1">
        <f t="array" ref="D42">INDEX('Energy price forecasts'!$H$9:$M$14, MATCH('SWP_CVP Delivery Costs'!$M42, 'Energy price forecasts'!$H$9:$H$14, 0),IF('SWP_CVP Delivery Costs'!$C42="PGE",2,3))</f>
        <v>#REF!</v>
      </c>
      <c r="E42" s="460" t="e">
        <f>INDEX('Energy price forecasts'!$H$9:$M$17, 9, MATCH('SWP_CVP Delivery Costs'!$C42,'Energy price forecasts'!$H$9:$M$9,0))</f>
        <v>#REF!</v>
      </c>
      <c r="F42" s="435" t="e">
        <f t="shared" si="0"/>
        <v>#REF!</v>
      </c>
      <c r="G42" s="65"/>
      <c r="H42" s="65"/>
      <c r="I42" s="65"/>
      <c r="J42" s="65"/>
      <c r="K42" s="435" t="e">
        <f>$L42/INDEX(#REF!,MATCH('SWP_CVP Delivery Costs'!$M42,#REF!,0),2)*#REF!</f>
        <v>#REF!</v>
      </c>
      <c r="L42" s="317">
        <v>79.23</v>
      </c>
      <c r="M42" s="190">
        <v>2018</v>
      </c>
      <c r="N42" s="66" t="s">
        <v>4045</v>
      </c>
    </row>
    <row r="43" spans="1:14" x14ac:dyDescent="0.3">
      <c r="A43" s="63" t="s">
        <v>4044</v>
      </c>
      <c r="B43" s="65" t="s">
        <v>837</v>
      </c>
      <c r="C43" s="65" t="s">
        <v>4063</v>
      </c>
      <c r="D43" s="460" t="e" cm="1">
        <f t="array" ref="D43">INDEX('Energy price forecasts'!$H$9:$M$14, MATCH('SWP_CVP Delivery Costs'!$M43, 'Energy price forecasts'!$H$9:$H$14, 0),IF('SWP_CVP Delivery Costs'!$C43="PGE",2,3))</f>
        <v>#REF!</v>
      </c>
      <c r="E43" s="460" t="e">
        <f>INDEX('Energy price forecasts'!$H$9:$M$17, 9, MATCH('SWP_CVP Delivery Costs'!$C43,'Energy price forecasts'!$H$9:$M$9,0))</f>
        <v>#REF!</v>
      </c>
      <c r="F43" s="435" t="e">
        <f t="shared" si="0"/>
        <v>#REF!</v>
      </c>
      <c r="G43" s="65"/>
      <c r="H43" s="65"/>
      <c r="I43" s="65"/>
      <c r="J43" s="65"/>
      <c r="K43" s="435" t="e">
        <f>$L43/INDEX(#REF!,MATCH('SWP_CVP Delivery Costs'!$M43,#REF!,0),2)*#REF!</f>
        <v>#REF!</v>
      </c>
      <c r="L43" s="317">
        <v>49.6</v>
      </c>
      <c r="M43" s="190">
        <v>2018</v>
      </c>
      <c r="N43" s="66" t="s">
        <v>4045</v>
      </c>
    </row>
    <row r="44" spans="1:14" x14ac:dyDescent="0.3">
      <c r="A44" s="63" t="s">
        <v>4044</v>
      </c>
      <c r="B44" s="65" t="s">
        <v>839</v>
      </c>
      <c r="C44" s="65" t="s">
        <v>4063</v>
      </c>
      <c r="D44" s="460" t="e" cm="1">
        <f t="array" ref="D44">INDEX('Energy price forecasts'!$H$9:$M$14, MATCH('SWP_CVP Delivery Costs'!$M44, 'Energy price forecasts'!$H$9:$H$14, 0),IF('SWP_CVP Delivery Costs'!$C44="PGE",2,3))</f>
        <v>#REF!</v>
      </c>
      <c r="E44" s="460" t="e">
        <f>INDEX('Energy price forecasts'!$H$9:$M$17, 9, MATCH('SWP_CVP Delivery Costs'!$C44,'Energy price forecasts'!$H$9:$M$9,0))</f>
        <v>#REF!</v>
      </c>
      <c r="F44" s="435" t="e">
        <f t="shared" si="0"/>
        <v>#REF!</v>
      </c>
      <c r="G44" s="65"/>
      <c r="H44" s="65"/>
      <c r="I44" s="65"/>
      <c r="J44" s="65"/>
      <c r="K44" s="435" t="e">
        <f>$L44/INDEX(#REF!,MATCH('SWP_CVP Delivery Costs'!$M44,#REF!,0),2)*#REF!</f>
        <v>#REF!</v>
      </c>
      <c r="L44" s="317">
        <v>230.98</v>
      </c>
      <c r="M44" s="190">
        <v>2018</v>
      </c>
      <c r="N44" s="66" t="s">
        <v>4045</v>
      </c>
    </row>
    <row r="45" spans="1:14" x14ac:dyDescent="0.3">
      <c r="A45" s="63" t="s">
        <v>4044</v>
      </c>
      <c r="B45" s="65" t="s">
        <v>840</v>
      </c>
      <c r="C45" s="65" t="s">
        <v>4063</v>
      </c>
      <c r="D45" s="460" t="e" cm="1">
        <f t="array" ref="D45">INDEX('Energy price forecasts'!$H$9:$M$14, MATCH('SWP_CVP Delivery Costs'!$M45, 'Energy price forecasts'!$H$9:$H$14, 0),IF('SWP_CVP Delivery Costs'!$C45="PGE",2,3))</f>
        <v>#REF!</v>
      </c>
      <c r="E45" s="460" t="e">
        <f>INDEX('Energy price forecasts'!$H$9:$M$17, 9, MATCH('SWP_CVP Delivery Costs'!$C45,'Energy price forecasts'!$H$9:$M$9,0))</f>
        <v>#REF!</v>
      </c>
      <c r="F45" s="435" t="e">
        <f t="shared" si="0"/>
        <v>#REF!</v>
      </c>
      <c r="G45" s="65"/>
      <c r="H45" s="65"/>
      <c r="I45" s="65"/>
      <c r="J45" s="65"/>
      <c r="K45" s="435" t="e">
        <f>$L45/INDEX(#REF!,MATCH('SWP_CVP Delivery Costs'!$M45,#REF!,0),2)*#REF!</f>
        <v>#REF!</v>
      </c>
      <c r="L45" s="317">
        <v>102.92</v>
      </c>
      <c r="M45" s="190">
        <v>2018</v>
      </c>
      <c r="N45" s="66" t="s">
        <v>4045</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B949C-690E-49E6-B041-1DCCD36F316A}">
  <sheetPr codeName="Sheet51"/>
  <dimension ref="A1:AB47"/>
  <sheetViews>
    <sheetView workbookViewId="0"/>
  </sheetViews>
  <sheetFormatPr defaultRowHeight="14.4" x14ac:dyDescent="0.3"/>
  <sheetData>
    <row r="1" spans="1:28" x14ac:dyDescent="0.3">
      <c r="A1" t="s">
        <v>4064</v>
      </c>
      <c r="O1" t="s">
        <v>4065</v>
      </c>
      <c r="R1" t="s">
        <v>4066</v>
      </c>
      <c r="U1" t="s">
        <v>4067</v>
      </c>
      <c r="V1" t="s">
        <v>4068</v>
      </c>
    </row>
    <row r="2" spans="1:28" ht="15" thickBot="1" x14ac:dyDescent="0.35">
      <c r="A2" s="142" t="s">
        <v>4069</v>
      </c>
      <c r="N2" t="s">
        <v>4070</v>
      </c>
      <c r="O2" s="42" t="e">
        <f>AVERAGE(O13:O22)</f>
        <v>#REF!</v>
      </c>
      <c r="P2" s="42" t="e">
        <f>AVERAGE(P13:P22)</f>
        <v>#REF!</v>
      </c>
      <c r="Q2" s="42"/>
      <c r="R2" s="42" t="e">
        <f>AVERAGE(O2:P2)</f>
        <v>#REF!</v>
      </c>
      <c r="S2" s="42"/>
      <c r="T2" s="42"/>
      <c r="V2" t="s">
        <v>4062</v>
      </c>
      <c r="W2" t="s">
        <v>4063</v>
      </c>
    </row>
    <row r="3" spans="1:28" x14ac:dyDescent="0.3">
      <c r="A3" t="s">
        <v>4071</v>
      </c>
      <c r="N3" t="s">
        <v>4072</v>
      </c>
      <c r="O3" s="42" t="e">
        <f>AVERAGE(O23:O32)</f>
        <v>#REF!</v>
      </c>
      <c r="P3" s="42" t="e">
        <f>AVERAGE(P23:P32)</f>
        <v>#REF!</v>
      </c>
      <c r="Q3" s="42"/>
      <c r="R3" s="42" t="e">
        <f t="shared" ref="R3:R4" si="0">AVERAGE(O3:P3)</f>
        <v>#REF!</v>
      </c>
      <c r="S3" s="42"/>
      <c r="U3">
        <v>2020</v>
      </c>
      <c r="V3" s="454" t="e">
        <f>I12</f>
        <v>#REF!</v>
      </c>
      <c r="W3" s="457" t="e">
        <f>J12</f>
        <v>#REF!</v>
      </c>
      <c r="X3" s="332"/>
      <c r="Y3" s="332"/>
      <c r="Z3" s="332"/>
      <c r="AA3" s="332"/>
      <c r="AB3" s="332"/>
    </row>
    <row r="4" spans="1:28" x14ac:dyDescent="0.3">
      <c r="A4" t="s">
        <v>4073</v>
      </c>
      <c r="N4" t="s">
        <v>4074</v>
      </c>
      <c r="O4" s="42" t="e">
        <f>AVERAGE(O33:O42)</f>
        <v>#REF!</v>
      </c>
      <c r="P4" s="42" t="e">
        <f>AVERAGE(P33:P42)</f>
        <v>#REF!</v>
      </c>
      <c r="Q4" s="42"/>
      <c r="R4" s="42" t="e">
        <f t="shared" si="0"/>
        <v>#REF!</v>
      </c>
      <c r="S4" s="42"/>
      <c r="U4">
        <v>2025</v>
      </c>
      <c r="V4" s="455" t="e">
        <f>I12*(1+O2)^5</f>
        <v>#REF!</v>
      </c>
      <c r="W4" s="458" t="e">
        <f>J12*(1+P2)^5</f>
        <v>#REF!</v>
      </c>
      <c r="X4" s="332"/>
      <c r="Y4" s="332"/>
      <c r="Z4" s="332"/>
      <c r="AA4" s="332"/>
    </row>
    <row r="5" spans="1:28" ht="15" thickBot="1" x14ac:dyDescent="0.35">
      <c r="N5" t="s">
        <v>4075</v>
      </c>
      <c r="O5" s="43" t="e">
        <f>AVERAGE(O13:O42)</f>
        <v>#REF!</v>
      </c>
      <c r="P5" s="43" t="e">
        <f>AVERAGE(P13:P42)</f>
        <v>#REF!</v>
      </c>
      <c r="Q5" s="43"/>
      <c r="R5" s="43"/>
      <c r="S5" s="43"/>
      <c r="U5">
        <v>2030</v>
      </c>
      <c r="V5" s="455" t="e">
        <f>V4*(1+O2)^5</f>
        <v>#REF!</v>
      </c>
      <c r="W5" s="458" t="e">
        <f>W4*(1+P2)^5</f>
        <v>#REF!</v>
      </c>
      <c r="X5" s="332"/>
      <c r="Y5" s="332"/>
      <c r="Z5" s="332"/>
      <c r="AA5" s="332"/>
    </row>
    <row r="6" spans="1:28" ht="15" thickBot="1" x14ac:dyDescent="0.35">
      <c r="O6" s="334" t="e">
        <f>AVERAGE(O4:P4)</f>
        <v>#REF!</v>
      </c>
      <c r="U6">
        <v>2035</v>
      </c>
      <c r="V6" s="455" t="e">
        <f>V5*(1+O3)^5</f>
        <v>#REF!</v>
      </c>
      <c r="W6" s="458" t="e">
        <f>W5*(1+P3)^5</f>
        <v>#REF!</v>
      </c>
      <c r="X6" s="332"/>
      <c r="Y6" s="332"/>
      <c r="Z6" s="332"/>
      <c r="AA6" s="332"/>
    </row>
    <row r="7" spans="1:28" x14ac:dyDescent="0.3">
      <c r="B7" t="s">
        <v>4076</v>
      </c>
      <c r="I7" t="s">
        <v>4077</v>
      </c>
      <c r="U7">
        <v>2040</v>
      </c>
      <c r="V7" s="455" t="e">
        <f>V6*(1+O3)^5</f>
        <v>#REF!</v>
      </c>
      <c r="W7" s="458" t="e">
        <f>W6*(1+P3)^5</f>
        <v>#REF!</v>
      </c>
      <c r="X7" s="332"/>
      <c r="Y7" s="332"/>
      <c r="Z7" s="332"/>
      <c r="AA7" s="332"/>
    </row>
    <row r="8" spans="1:28" ht="15" thickBot="1" x14ac:dyDescent="0.35">
      <c r="B8" t="s">
        <v>4078</v>
      </c>
      <c r="I8" t="s">
        <v>4079</v>
      </c>
      <c r="O8" t="s">
        <v>4080</v>
      </c>
      <c r="U8">
        <v>2045</v>
      </c>
      <c r="V8" s="456" t="e">
        <f>V7*(1+O4)^5</f>
        <v>#REF!</v>
      </c>
      <c r="W8" s="459" t="e">
        <f>W7*(1+P4)^5</f>
        <v>#REF!</v>
      </c>
    </row>
    <row r="9" spans="1:28" x14ac:dyDescent="0.3">
      <c r="B9" t="s">
        <v>4062</v>
      </c>
      <c r="C9" t="s">
        <v>4063</v>
      </c>
      <c r="D9" t="s">
        <v>4081</v>
      </c>
      <c r="E9" t="s">
        <v>4082</v>
      </c>
      <c r="F9" t="s">
        <v>4083</v>
      </c>
      <c r="I9" t="s">
        <v>4062</v>
      </c>
      <c r="J9" t="s">
        <v>4063</v>
      </c>
      <c r="K9" t="s">
        <v>4081</v>
      </c>
      <c r="L9" t="s">
        <v>4082</v>
      </c>
      <c r="M9" t="s">
        <v>4083</v>
      </c>
      <c r="O9" t="s">
        <v>4062</v>
      </c>
      <c r="P9" t="s">
        <v>4063</v>
      </c>
      <c r="Q9" t="s">
        <v>4081</v>
      </c>
      <c r="R9" t="s">
        <v>4082</v>
      </c>
      <c r="S9" t="s">
        <v>4083</v>
      </c>
    </row>
    <row r="10" spans="1:28" x14ac:dyDescent="0.3">
      <c r="A10">
        <v>2018</v>
      </c>
      <c r="B10" s="339">
        <v>15.82</v>
      </c>
      <c r="C10" s="340">
        <v>11.3</v>
      </c>
      <c r="D10" s="339">
        <v>15.94</v>
      </c>
      <c r="E10" s="339">
        <v>16.77</v>
      </c>
      <c r="F10" s="339">
        <v>10.94</v>
      </c>
      <c r="H10">
        <v>2018</v>
      </c>
      <c r="I10" s="339" t="e">
        <f>B10/#REF!*#REF!</f>
        <v>#REF!</v>
      </c>
      <c r="J10" s="339" t="e">
        <f>C10/#REF!*#REF!</f>
        <v>#REF!</v>
      </c>
      <c r="K10" s="339" t="e">
        <f>D10/#REF!*#REF!</f>
        <v>#REF!</v>
      </c>
      <c r="L10" s="339" t="e">
        <f>E10/#REF!*#REF!</f>
        <v>#REF!</v>
      </c>
      <c r="M10" s="339" t="e">
        <f>F10/#REF!*#REF!</f>
        <v>#REF!</v>
      </c>
      <c r="N10" s="341"/>
      <c r="O10" s="342"/>
      <c r="P10" s="342"/>
      <c r="Q10" s="342"/>
      <c r="R10" s="342"/>
      <c r="S10" s="342"/>
    </row>
    <row r="11" spans="1:28" x14ac:dyDescent="0.3">
      <c r="A11">
        <v>2019</v>
      </c>
      <c r="B11" s="339">
        <v>16.190000000000001</v>
      </c>
      <c r="C11" s="340">
        <v>10.85</v>
      </c>
      <c r="D11" s="339">
        <v>16.46</v>
      </c>
      <c r="E11" s="339">
        <v>17.88</v>
      </c>
      <c r="F11" s="339">
        <v>10.86</v>
      </c>
      <c r="H11">
        <v>2019</v>
      </c>
      <c r="I11" s="339" t="e">
        <f>B11/#REF!*#REF!</f>
        <v>#REF!</v>
      </c>
      <c r="J11" s="339" t="e">
        <f>C11/#REF!*#REF!</f>
        <v>#REF!</v>
      </c>
      <c r="K11" s="339" t="e">
        <f>D11/#REF!*#REF!</f>
        <v>#REF!</v>
      </c>
      <c r="L11" s="339" t="e">
        <f>E11/#REF!*#REF!</f>
        <v>#REF!</v>
      </c>
      <c r="M11" s="339" t="e">
        <f>F11/#REF!*#REF!</f>
        <v>#REF!</v>
      </c>
      <c r="N11" s="341"/>
      <c r="O11" s="343" t="e">
        <f>(I11-I10)/I10</f>
        <v>#REF!</v>
      </c>
      <c r="P11" s="343" t="e">
        <f t="shared" ref="P11:S11" si="1">(J11-J10)/J10</f>
        <v>#REF!</v>
      </c>
      <c r="Q11" s="343" t="e">
        <f t="shared" si="1"/>
        <v>#REF!</v>
      </c>
      <c r="R11" s="343" t="e">
        <f t="shared" si="1"/>
        <v>#REF!</v>
      </c>
      <c r="S11" s="343" t="e">
        <f t="shared" si="1"/>
        <v>#REF!</v>
      </c>
    </row>
    <row r="12" spans="1:28" x14ac:dyDescent="0.3">
      <c r="A12">
        <v>2020</v>
      </c>
      <c r="B12" s="339">
        <v>15.25</v>
      </c>
      <c r="C12" s="340">
        <v>12.79</v>
      </c>
      <c r="D12" s="339">
        <v>20.16</v>
      </c>
      <c r="E12" s="339">
        <v>17.84</v>
      </c>
      <c r="F12" s="339">
        <v>10.92</v>
      </c>
      <c r="H12">
        <v>2020</v>
      </c>
      <c r="I12" s="339" t="e">
        <f>B12/#REF!*#REF!</f>
        <v>#REF!</v>
      </c>
      <c r="J12" s="339" t="e">
        <f>C12/#REF!*#REF!</f>
        <v>#REF!</v>
      </c>
      <c r="K12" s="339" t="e">
        <f>D12/#REF!*#REF!</f>
        <v>#REF!</v>
      </c>
      <c r="L12" s="339" t="e">
        <f>E12/#REF!*#REF!</f>
        <v>#REF!</v>
      </c>
      <c r="M12" s="339" t="e">
        <f>F12/#REF!*#REF!</f>
        <v>#REF!</v>
      </c>
      <c r="N12" s="341"/>
      <c r="O12" s="343" t="e">
        <f t="shared" ref="O12:O42" si="2">(I12-I11)/I11</f>
        <v>#REF!</v>
      </c>
      <c r="P12" s="343" t="e">
        <f t="shared" ref="P12:P42" si="3">(J12-J11)/J11</f>
        <v>#REF!</v>
      </c>
      <c r="Q12" s="343" t="e">
        <f t="shared" ref="Q12:Q42" si="4">(K12-K11)/K11</f>
        <v>#REF!</v>
      </c>
      <c r="R12" s="343" t="e">
        <f t="shared" ref="R12:R42" si="5">(L12-L11)/L11</f>
        <v>#REF!</v>
      </c>
      <c r="S12" s="343" t="e">
        <f t="shared" ref="S12:S42" si="6">(M12-M11)/M11</f>
        <v>#REF!</v>
      </c>
    </row>
    <row r="13" spans="1:28" x14ac:dyDescent="0.3">
      <c r="A13">
        <v>2021</v>
      </c>
      <c r="B13" s="339">
        <v>15.82</v>
      </c>
      <c r="C13" s="340">
        <v>13.78</v>
      </c>
      <c r="D13" s="339">
        <v>20.55</v>
      </c>
      <c r="E13" s="339">
        <v>17.989999999999998</v>
      </c>
      <c r="F13" s="339">
        <v>10.83</v>
      </c>
      <c r="H13">
        <v>2021</v>
      </c>
      <c r="I13" s="339" t="e">
        <f>B13/#REF!*#REF!</f>
        <v>#REF!</v>
      </c>
      <c r="J13" s="339" t="e">
        <f>C13/#REF!*#REF!</f>
        <v>#REF!</v>
      </c>
      <c r="K13" s="339" t="e">
        <f>D13/#REF!*#REF!</f>
        <v>#REF!</v>
      </c>
      <c r="L13" s="339" t="e">
        <f>E13/#REF!*#REF!</f>
        <v>#REF!</v>
      </c>
      <c r="M13" s="339" t="e">
        <f>F13/#REF!*#REF!</f>
        <v>#REF!</v>
      </c>
      <c r="N13" s="341"/>
      <c r="O13" s="343" t="e">
        <f t="shared" si="2"/>
        <v>#REF!</v>
      </c>
      <c r="P13" s="343" t="e">
        <f t="shared" si="3"/>
        <v>#REF!</v>
      </c>
      <c r="Q13" s="343" t="e">
        <f t="shared" si="4"/>
        <v>#REF!</v>
      </c>
      <c r="R13" s="343" t="e">
        <f t="shared" si="5"/>
        <v>#REF!</v>
      </c>
      <c r="S13" s="343" t="e">
        <f t="shared" si="6"/>
        <v>#REF!</v>
      </c>
    </row>
    <row r="14" spans="1:28" x14ac:dyDescent="0.3">
      <c r="A14">
        <v>2022</v>
      </c>
      <c r="B14" s="339">
        <v>17.03</v>
      </c>
      <c r="C14" s="340">
        <v>14.57</v>
      </c>
      <c r="D14" s="339">
        <v>21.37</v>
      </c>
      <c r="E14" s="339">
        <v>18.190000000000001</v>
      </c>
      <c r="F14" s="339">
        <v>10.89</v>
      </c>
      <c r="H14">
        <v>2022</v>
      </c>
      <c r="I14" s="339" t="e">
        <f>B14/#REF!*#REF!</f>
        <v>#REF!</v>
      </c>
      <c r="J14" s="339" t="e">
        <f>C14/#REF!*#REF!</f>
        <v>#REF!</v>
      </c>
      <c r="K14" s="339" t="e">
        <f>D14/#REF!*#REF!</f>
        <v>#REF!</v>
      </c>
      <c r="L14" s="339" t="e">
        <f>E14/#REF!*#REF!</f>
        <v>#REF!</v>
      </c>
      <c r="M14" s="339" t="e">
        <f>F14/#REF!*#REF!</f>
        <v>#REF!</v>
      </c>
      <c r="N14" s="341"/>
      <c r="O14" s="343" t="e">
        <f t="shared" si="2"/>
        <v>#REF!</v>
      </c>
      <c r="P14" s="343" t="e">
        <f t="shared" si="3"/>
        <v>#REF!</v>
      </c>
      <c r="Q14" s="343" t="e">
        <f t="shared" si="4"/>
        <v>#REF!</v>
      </c>
      <c r="R14" s="343" t="e">
        <f t="shared" si="5"/>
        <v>#REF!</v>
      </c>
      <c r="S14" s="343" t="e">
        <f t="shared" si="6"/>
        <v>#REF!</v>
      </c>
    </row>
    <row r="15" spans="1:28" x14ac:dyDescent="0.3">
      <c r="A15">
        <v>2023</v>
      </c>
      <c r="B15" s="339">
        <v>17.95</v>
      </c>
      <c r="C15" s="340">
        <v>14.68</v>
      </c>
      <c r="D15" s="339">
        <v>23.34</v>
      </c>
      <c r="E15" s="339">
        <v>18.43</v>
      </c>
      <c r="F15" s="339">
        <v>10.94</v>
      </c>
      <c r="H15">
        <v>2023</v>
      </c>
      <c r="I15" s="339" t="e">
        <f>B15/#REF!*#REF!</f>
        <v>#REF!</v>
      </c>
      <c r="J15" s="339" t="e">
        <f>C15/#REF!*#REF!</f>
        <v>#REF!</v>
      </c>
      <c r="K15" s="339" t="e">
        <f>D15/#REF!*#REF!</f>
        <v>#REF!</v>
      </c>
      <c r="L15" s="339" t="e">
        <f>E15/#REF!*#REF!</f>
        <v>#REF!</v>
      </c>
      <c r="M15" s="339" t="e">
        <f>F15/#REF!*#REF!</f>
        <v>#REF!</v>
      </c>
      <c r="N15" s="341"/>
      <c r="O15" s="343" t="e">
        <f t="shared" si="2"/>
        <v>#REF!</v>
      </c>
      <c r="P15" s="343" t="e">
        <f t="shared" si="3"/>
        <v>#REF!</v>
      </c>
      <c r="Q15" s="343" t="e">
        <f t="shared" si="4"/>
        <v>#REF!</v>
      </c>
      <c r="R15" s="343" t="e">
        <f t="shared" si="5"/>
        <v>#REF!</v>
      </c>
      <c r="S15" s="343" t="e">
        <f t="shared" si="6"/>
        <v>#REF!</v>
      </c>
    </row>
    <row r="16" spans="1:28" x14ac:dyDescent="0.3">
      <c r="A16">
        <v>2024</v>
      </c>
      <c r="B16" s="339">
        <v>18.53</v>
      </c>
      <c r="C16" s="340">
        <v>14.68</v>
      </c>
      <c r="D16" s="339">
        <v>23.65</v>
      </c>
      <c r="E16" s="339">
        <v>18.95</v>
      </c>
      <c r="F16" s="339">
        <v>11</v>
      </c>
      <c r="H16">
        <v>2024</v>
      </c>
      <c r="I16" s="339" t="e">
        <f>B16/#REF!*#REF!</f>
        <v>#REF!</v>
      </c>
      <c r="J16" s="339" t="e">
        <f>C16/#REF!*#REF!</f>
        <v>#REF!</v>
      </c>
      <c r="K16" s="339" t="e">
        <f>D16/#REF!*#REF!</f>
        <v>#REF!</v>
      </c>
      <c r="L16" s="339" t="e">
        <f>E16/#REF!*#REF!</f>
        <v>#REF!</v>
      </c>
      <c r="M16" s="339" t="e">
        <f>F16/#REF!*#REF!</f>
        <v>#REF!</v>
      </c>
      <c r="N16" s="341"/>
      <c r="O16" s="343" t="e">
        <f t="shared" si="2"/>
        <v>#REF!</v>
      </c>
      <c r="P16" s="343" t="e">
        <f t="shared" si="3"/>
        <v>#REF!</v>
      </c>
      <c r="Q16" s="343" t="e">
        <f t="shared" si="4"/>
        <v>#REF!</v>
      </c>
      <c r="R16" s="343" t="e">
        <f t="shared" si="5"/>
        <v>#REF!</v>
      </c>
      <c r="S16" s="343" t="e">
        <f t="shared" si="6"/>
        <v>#REF!</v>
      </c>
    </row>
    <row r="17" spans="1:26" x14ac:dyDescent="0.3">
      <c r="A17">
        <v>2025</v>
      </c>
      <c r="B17" s="339">
        <v>19.41</v>
      </c>
      <c r="C17" s="340">
        <v>15.06</v>
      </c>
      <c r="D17" s="339">
        <v>24.34</v>
      </c>
      <c r="E17" s="339">
        <v>19.48</v>
      </c>
      <c r="F17" s="339">
        <v>11.05</v>
      </c>
      <c r="H17">
        <v>2025</v>
      </c>
      <c r="I17" s="339" t="e">
        <f>B17/#REF!*#REF!</f>
        <v>#REF!</v>
      </c>
      <c r="J17" s="339" t="e">
        <f>C17/#REF!*#REF!</f>
        <v>#REF!</v>
      </c>
      <c r="K17" s="339" t="e">
        <f>D17/#REF!*#REF!</f>
        <v>#REF!</v>
      </c>
      <c r="L17" s="339" t="e">
        <f>E17/#REF!*#REF!</f>
        <v>#REF!</v>
      </c>
      <c r="M17" s="339" t="e">
        <f>F17/#REF!*#REF!</f>
        <v>#REF!</v>
      </c>
      <c r="N17" s="341"/>
      <c r="O17" s="343" t="e">
        <f t="shared" si="2"/>
        <v>#REF!</v>
      </c>
      <c r="P17" s="343" t="e">
        <f t="shared" si="3"/>
        <v>#REF!</v>
      </c>
      <c r="Q17" s="343" t="e">
        <f t="shared" si="4"/>
        <v>#REF!</v>
      </c>
      <c r="R17" s="343" t="e">
        <f t="shared" si="5"/>
        <v>#REF!</v>
      </c>
      <c r="S17" s="343" t="e">
        <f t="shared" si="6"/>
        <v>#REF!</v>
      </c>
    </row>
    <row r="18" spans="1:26" x14ac:dyDescent="0.3">
      <c r="A18">
        <v>2026</v>
      </c>
      <c r="B18" s="339">
        <v>19.89</v>
      </c>
      <c r="C18" s="340">
        <v>15.35</v>
      </c>
      <c r="D18" s="339">
        <v>24.47</v>
      </c>
      <c r="E18" s="339">
        <v>20.059999999999999</v>
      </c>
      <c r="F18" s="339">
        <v>11.1</v>
      </c>
      <c r="H18">
        <v>2026</v>
      </c>
      <c r="I18" s="339" t="e">
        <f>B18/#REF!*#REF!</f>
        <v>#REF!</v>
      </c>
      <c r="J18" s="339" t="e">
        <f>C18/#REF!*#REF!</f>
        <v>#REF!</v>
      </c>
      <c r="K18" s="339" t="e">
        <f>D18/#REF!*#REF!</f>
        <v>#REF!</v>
      </c>
      <c r="L18" s="339" t="e">
        <f>E18/#REF!*#REF!</f>
        <v>#REF!</v>
      </c>
      <c r="M18" s="339" t="e">
        <f>F18/#REF!*#REF!</f>
        <v>#REF!</v>
      </c>
      <c r="N18" s="341"/>
      <c r="O18" s="343" t="e">
        <f t="shared" si="2"/>
        <v>#REF!</v>
      </c>
      <c r="P18" s="343" t="e">
        <f t="shared" si="3"/>
        <v>#REF!</v>
      </c>
      <c r="Q18" s="343" t="e">
        <f t="shared" si="4"/>
        <v>#REF!</v>
      </c>
      <c r="R18" s="343" t="e">
        <f t="shared" si="5"/>
        <v>#REF!</v>
      </c>
      <c r="S18" s="343" t="e">
        <f t="shared" si="6"/>
        <v>#REF!</v>
      </c>
    </row>
    <row r="19" spans="1:26" x14ac:dyDescent="0.3">
      <c r="A19">
        <v>2027</v>
      </c>
      <c r="B19" s="339">
        <v>20.32</v>
      </c>
      <c r="C19" s="340">
        <v>15.34</v>
      </c>
      <c r="D19" s="339">
        <v>24.53</v>
      </c>
      <c r="E19" s="339">
        <v>20.36</v>
      </c>
      <c r="F19" s="339">
        <v>11.16</v>
      </c>
      <c r="H19">
        <v>2027</v>
      </c>
      <c r="I19" s="339" t="e">
        <f>B19/#REF!*#REF!</f>
        <v>#REF!</v>
      </c>
      <c r="J19" s="339" t="e">
        <f>C19/#REF!*#REF!</f>
        <v>#REF!</v>
      </c>
      <c r="K19" s="339" t="e">
        <f>D19/#REF!*#REF!</f>
        <v>#REF!</v>
      </c>
      <c r="L19" s="339" t="e">
        <f>E19/#REF!*#REF!</f>
        <v>#REF!</v>
      </c>
      <c r="M19" s="339" t="e">
        <f>F19/#REF!*#REF!</f>
        <v>#REF!</v>
      </c>
      <c r="N19" s="341"/>
      <c r="O19" s="343" t="e">
        <f t="shared" si="2"/>
        <v>#REF!</v>
      </c>
      <c r="P19" s="343" t="e">
        <f t="shared" si="3"/>
        <v>#REF!</v>
      </c>
      <c r="Q19" s="343" t="e">
        <f t="shared" si="4"/>
        <v>#REF!</v>
      </c>
      <c r="R19" s="343" t="e">
        <f t="shared" si="5"/>
        <v>#REF!</v>
      </c>
      <c r="S19" s="343" t="e">
        <f t="shared" si="6"/>
        <v>#REF!</v>
      </c>
    </row>
    <row r="20" spans="1:26" x14ac:dyDescent="0.3">
      <c r="A20">
        <v>2028</v>
      </c>
      <c r="B20" s="339">
        <v>20.93</v>
      </c>
      <c r="C20" s="340">
        <v>15.71</v>
      </c>
      <c r="D20" s="339">
        <v>24.95</v>
      </c>
      <c r="E20" s="339">
        <v>20.69</v>
      </c>
      <c r="F20" s="339">
        <v>11.21</v>
      </c>
      <c r="H20">
        <v>2028</v>
      </c>
      <c r="I20" s="339" t="e">
        <f>B20/#REF!*#REF!</f>
        <v>#REF!</v>
      </c>
      <c r="J20" s="339" t="e">
        <f>C20/#REF!*#REF!</f>
        <v>#REF!</v>
      </c>
      <c r="K20" s="339" t="e">
        <f>D20/#REF!*#REF!</f>
        <v>#REF!</v>
      </c>
      <c r="L20" s="339" t="e">
        <f>E20/#REF!*#REF!</f>
        <v>#REF!</v>
      </c>
      <c r="M20" s="339" t="e">
        <f>F20/#REF!*#REF!</f>
        <v>#REF!</v>
      </c>
      <c r="N20" s="341"/>
      <c r="O20" s="343" t="e">
        <f t="shared" si="2"/>
        <v>#REF!</v>
      </c>
      <c r="P20" s="343" t="e">
        <f t="shared" si="3"/>
        <v>#REF!</v>
      </c>
      <c r="Q20" s="343" t="e">
        <f t="shared" si="4"/>
        <v>#REF!</v>
      </c>
      <c r="R20" s="343" t="e">
        <f t="shared" si="5"/>
        <v>#REF!</v>
      </c>
      <c r="S20" s="343" t="e">
        <f t="shared" si="6"/>
        <v>#REF!</v>
      </c>
    </row>
    <row r="21" spans="1:26" x14ac:dyDescent="0.3">
      <c r="A21">
        <v>2029</v>
      </c>
      <c r="B21" s="339">
        <v>21.43</v>
      </c>
      <c r="C21" s="340">
        <v>16.059999999999999</v>
      </c>
      <c r="D21" s="339">
        <v>25.27</v>
      </c>
      <c r="E21" s="339">
        <v>21.03</v>
      </c>
      <c r="F21" s="339">
        <v>11.27</v>
      </c>
      <c r="H21">
        <v>2029</v>
      </c>
      <c r="I21" s="339" t="e">
        <f>B21/#REF!*#REF!</f>
        <v>#REF!</v>
      </c>
      <c r="J21" s="339" t="e">
        <f>C21/#REF!*#REF!</f>
        <v>#REF!</v>
      </c>
      <c r="K21" s="339" t="e">
        <f>D21/#REF!*#REF!</f>
        <v>#REF!</v>
      </c>
      <c r="L21" s="339" t="e">
        <f>E21/#REF!*#REF!</f>
        <v>#REF!</v>
      </c>
      <c r="M21" s="339" t="e">
        <f>F21/#REF!*#REF!</f>
        <v>#REF!</v>
      </c>
      <c r="N21" s="341"/>
      <c r="O21" s="343" t="e">
        <f t="shared" si="2"/>
        <v>#REF!</v>
      </c>
      <c r="P21" s="343" t="e">
        <f t="shared" si="3"/>
        <v>#REF!</v>
      </c>
      <c r="Q21" s="343" t="e">
        <f t="shared" si="4"/>
        <v>#REF!</v>
      </c>
      <c r="R21" s="343" t="e">
        <f t="shared" si="5"/>
        <v>#REF!</v>
      </c>
      <c r="S21" s="343" t="e">
        <f t="shared" si="6"/>
        <v>#REF!</v>
      </c>
    </row>
    <row r="22" spans="1:26" x14ac:dyDescent="0.3">
      <c r="A22">
        <v>2030</v>
      </c>
      <c r="B22" s="339">
        <v>21.85</v>
      </c>
      <c r="C22" s="340">
        <v>16.399999999999999</v>
      </c>
      <c r="D22" s="339">
        <v>25.5</v>
      </c>
      <c r="E22" s="339">
        <v>21.07</v>
      </c>
      <c r="F22" s="339">
        <v>11.32</v>
      </c>
      <c r="H22">
        <v>2030</v>
      </c>
      <c r="I22" s="339" t="e">
        <f>B22/#REF!*#REF!</f>
        <v>#REF!</v>
      </c>
      <c r="J22" s="339" t="e">
        <f>C22/#REF!*#REF!</f>
        <v>#REF!</v>
      </c>
      <c r="K22" s="339" t="e">
        <f>D22/#REF!*#REF!</f>
        <v>#REF!</v>
      </c>
      <c r="L22" s="339" t="e">
        <f>E22/#REF!*#REF!</f>
        <v>#REF!</v>
      </c>
      <c r="M22" s="339" t="e">
        <f>F22/#REF!*#REF!</f>
        <v>#REF!</v>
      </c>
      <c r="N22" s="341"/>
      <c r="O22" s="343" t="e">
        <f t="shared" si="2"/>
        <v>#REF!</v>
      </c>
      <c r="P22" s="343" t="e">
        <f t="shared" si="3"/>
        <v>#REF!</v>
      </c>
      <c r="Q22" s="343" t="e">
        <f t="shared" si="4"/>
        <v>#REF!</v>
      </c>
      <c r="R22" s="343" t="e">
        <f t="shared" si="5"/>
        <v>#REF!</v>
      </c>
      <c r="S22" s="343" t="e">
        <f t="shared" si="6"/>
        <v>#REF!</v>
      </c>
    </row>
    <row r="23" spans="1:26" x14ac:dyDescent="0.3">
      <c r="A23">
        <v>2031</v>
      </c>
      <c r="B23" s="341">
        <v>22.17</v>
      </c>
      <c r="C23" s="398">
        <v>16.71</v>
      </c>
      <c r="D23" s="341">
        <v>25.63</v>
      </c>
      <c r="E23" s="341">
        <v>21.09</v>
      </c>
      <c r="F23" s="341">
        <v>11.38</v>
      </c>
      <c r="H23">
        <v>2031</v>
      </c>
      <c r="I23" s="339" t="e">
        <f>B23/#REF!*#REF!</f>
        <v>#REF!</v>
      </c>
      <c r="J23" s="339" t="e">
        <f>C23/#REF!*#REF!</f>
        <v>#REF!</v>
      </c>
      <c r="K23" s="339" t="e">
        <f>D23/#REF!*#REF!</f>
        <v>#REF!</v>
      </c>
      <c r="L23" s="339" t="e">
        <f>E23/#REF!*#REF!</f>
        <v>#REF!</v>
      </c>
      <c r="M23" s="339" t="e">
        <f>F23/#REF!*#REF!</f>
        <v>#REF!</v>
      </c>
      <c r="N23" s="341"/>
      <c r="O23" s="343" t="e">
        <f t="shared" si="2"/>
        <v>#REF!</v>
      </c>
      <c r="P23" s="343" t="e">
        <f t="shared" si="3"/>
        <v>#REF!</v>
      </c>
      <c r="Q23" s="343" t="e">
        <f t="shared" si="4"/>
        <v>#REF!</v>
      </c>
      <c r="R23" s="343" t="e">
        <f t="shared" si="5"/>
        <v>#REF!</v>
      </c>
      <c r="S23" s="343" t="e">
        <f t="shared" si="6"/>
        <v>#REF!</v>
      </c>
    </row>
    <row r="24" spans="1:26" x14ac:dyDescent="0.3">
      <c r="A24">
        <v>2032</v>
      </c>
      <c r="B24" s="341">
        <v>22.5</v>
      </c>
      <c r="C24" s="398">
        <v>17.05</v>
      </c>
      <c r="D24" s="341">
        <v>25.77</v>
      </c>
      <c r="E24" s="341">
        <v>21.12</v>
      </c>
      <c r="F24" s="341">
        <v>11.43</v>
      </c>
      <c r="H24">
        <v>2032</v>
      </c>
      <c r="I24" s="339" t="e">
        <f>B24/#REF!*#REF!</f>
        <v>#REF!</v>
      </c>
      <c r="J24" s="339" t="e">
        <f>C24/#REF!*#REF!</f>
        <v>#REF!</v>
      </c>
      <c r="K24" s="339" t="e">
        <f>D24/#REF!*#REF!</f>
        <v>#REF!</v>
      </c>
      <c r="L24" s="339" t="e">
        <f>E24/#REF!*#REF!</f>
        <v>#REF!</v>
      </c>
      <c r="M24" s="339" t="e">
        <f>F24/#REF!*#REF!</f>
        <v>#REF!</v>
      </c>
      <c r="N24" s="341"/>
      <c r="O24" s="343" t="e">
        <f t="shared" si="2"/>
        <v>#REF!</v>
      </c>
      <c r="P24" s="343" t="e">
        <f t="shared" si="3"/>
        <v>#REF!</v>
      </c>
      <c r="Q24" s="343" t="e">
        <f t="shared" si="4"/>
        <v>#REF!</v>
      </c>
      <c r="R24" s="343" t="e">
        <f t="shared" si="5"/>
        <v>#REF!</v>
      </c>
      <c r="S24" s="343" t="e">
        <f t="shared" si="6"/>
        <v>#REF!</v>
      </c>
    </row>
    <row r="25" spans="1:26" x14ac:dyDescent="0.3">
      <c r="A25">
        <v>2033</v>
      </c>
      <c r="B25" s="341">
        <v>22.84</v>
      </c>
      <c r="C25" s="398">
        <v>17.38</v>
      </c>
      <c r="D25" s="341">
        <v>25.93</v>
      </c>
      <c r="E25" s="341">
        <v>21.14</v>
      </c>
      <c r="F25" s="341">
        <v>11.49</v>
      </c>
      <c r="H25">
        <v>2033</v>
      </c>
      <c r="I25" s="339" t="e">
        <f>B25/#REF!*#REF!</f>
        <v>#REF!</v>
      </c>
      <c r="J25" s="339" t="e">
        <f>C25/#REF!*#REF!</f>
        <v>#REF!</v>
      </c>
      <c r="K25" s="339" t="e">
        <f>D25/#REF!*#REF!</f>
        <v>#REF!</v>
      </c>
      <c r="L25" s="339" t="e">
        <f>E25/#REF!*#REF!</f>
        <v>#REF!</v>
      </c>
      <c r="M25" s="339" t="e">
        <f>F25/#REF!*#REF!</f>
        <v>#REF!</v>
      </c>
      <c r="N25" s="341"/>
      <c r="O25" s="343" t="e">
        <f t="shared" si="2"/>
        <v>#REF!</v>
      </c>
      <c r="P25" s="343" t="e">
        <f t="shared" si="3"/>
        <v>#REF!</v>
      </c>
      <c r="Q25" s="343" t="e">
        <f t="shared" si="4"/>
        <v>#REF!</v>
      </c>
      <c r="R25" s="343" t="e">
        <f t="shared" si="5"/>
        <v>#REF!</v>
      </c>
      <c r="S25" s="343" t="e">
        <f t="shared" si="6"/>
        <v>#REF!</v>
      </c>
    </row>
    <row r="26" spans="1:26" x14ac:dyDescent="0.3">
      <c r="A26">
        <v>2034</v>
      </c>
      <c r="B26" s="341">
        <v>23.16</v>
      </c>
      <c r="C26" s="398">
        <v>17.7</v>
      </c>
      <c r="D26" s="341">
        <v>26.08</v>
      </c>
      <c r="E26" s="341">
        <v>21.16</v>
      </c>
      <c r="F26" s="341">
        <v>11.55</v>
      </c>
      <c r="H26">
        <v>2034</v>
      </c>
      <c r="I26" s="339" t="e">
        <f>B26/#REF!*#REF!</f>
        <v>#REF!</v>
      </c>
      <c r="J26" s="339" t="e">
        <f>C26/#REF!*#REF!</f>
        <v>#REF!</v>
      </c>
      <c r="K26" s="339" t="e">
        <f>D26/#REF!*#REF!</f>
        <v>#REF!</v>
      </c>
      <c r="L26" s="339" t="e">
        <f>E26/#REF!*#REF!</f>
        <v>#REF!</v>
      </c>
      <c r="M26" s="339" t="e">
        <f>F26/#REF!*#REF!</f>
        <v>#REF!</v>
      </c>
      <c r="N26" s="341"/>
      <c r="O26" s="343" t="e">
        <f t="shared" si="2"/>
        <v>#REF!</v>
      </c>
      <c r="P26" s="343" t="e">
        <f t="shared" si="3"/>
        <v>#REF!</v>
      </c>
      <c r="Q26" s="343" t="e">
        <f t="shared" si="4"/>
        <v>#REF!</v>
      </c>
      <c r="R26" s="343" t="e">
        <f t="shared" si="5"/>
        <v>#REF!</v>
      </c>
      <c r="S26" s="343" t="e">
        <f t="shared" si="6"/>
        <v>#REF!</v>
      </c>
    </row>
    <row r="27" spans="1:26" x14ac:dyDescent="0.3">
      <c r="A27">
        <v>2035</v>
      </c>
      <c r="B27" s="341">
        <v>23.49</v>
      </c>
      <c r="C27" s="398">
        <v>18.010000000000002</v>
      </c>
      <c r="D27" s="341">
        <v>26.25</v>
      </c>
      <c r="E27" s="341">
        <v>21.17</v>
      </c>
      <c r="F27" s="341">
        <v>11.6</v>
      </c>
      <c r="H27">
        <v>2035</v>
      </c>
      <c r="I27" s="339" t="e">
        <f>B27/#REF!*#REF!</f>
        <v>#REF!</v>
      </c>
      <c r="J27" s="339" t="e">
        <f>C27/#REF!*#REF!</f>
        <v>#REF!</v>
      </c>
      <c r="K27" s="339" t="e">
        <f>D27/#REF!*#REF!</f>
        <v>#REF!</v>
      </c>
      <c r="L27" s="339" t="e">
        <f>E27/#REF!*#REF!</f>
        <v>#REF!</v>
      </c>
      <c r="M27" s="339" t="e">
        <f>F27/#REF!*#REF!</f>
        <v>#REF!</v>
      </c>
      <c r="N27" s="341"/>
      <c r="O27" s="343" t="e">
        <f t="shared" si="2"/>
        <v>#REF!</v>
      </c>
      <c r="P27" s="343" t="e">
        <f t="shared" si="3"/>
        <v>#REF!</v>
      </c>
      <c r="Q27" s="343" t="e">
        <f t="shared" si="4"/>
        <v>#REF!</v>
      </c>
      <c r="R27" s="343" t="e">
        <f t="shared" si="5"/>
        <v>#REF!</v>
      </c>
      <c r="S27" s="343" t="e">
        <f t="shared" si="6"/>
        <v>#REF!</v>
      </c>
    </row>
    <row r="28" spans="1:26" x14ac:dyDescent="0.3">
      <c r="A28">
        <v>2036</v>
      </c>
      <c r="B28" s="341">
        <v>23.68</v>
      </c>
      <c r="C28" s="398">
        <v>18.149999999999999</v>
      </c>
      <c r="D28" s="341">
        <v>26.46</v>
      </c>
      <c r="E28" s="341">
        <v>21.34</v>
      </c>
      <c r="F28" s="341">
        <v>11.7</v>
      </c>
      <c r="H28">
        <v>2036</v>
      </c>
      <c r="I28" s="339" t="e">
        <f>B28/#REF!*#REF!</f>
        <v>#REF!</v>
      </c>
      <c r="J28" s="339" t="e">
        <f>C28/#REF!*#REF!</f>
        <v>#REF!</v>
      </c>
      <c r="K28" s="339" t="e">
        <f>D28/#REF!*#REF!</f>
        <v>#REF!</v>
      </c>
      <c r="L28" s="339" t="e">
        <f>E28/#REF!*#REF!</f>
        <v>#REF!</v>
      </c>
      <c r="M28" s="339" t="e">
        <f>F28/#REF!*#REF!</f>
        <v>#REF!</v>
      </c>
      <c r="N28" s="341"/>
      <c r="O28" s="343" t="e">
        <f>(I28-I27)/I27</f>
        <v>#REF!</v>
      </c>
      <c r="P28" s="343" t="e">
        <f t="shared" si="3"/>
        <v>#REF!</v>
      </c>
      <c r="Q28" s="343" t="e">
        <f t="shared" si="4"/>
        <v>#REF!</v>
      </c>
      <c r="R28" s="343" t="e">
        <f t="shared" si="5"/>
        <v>#REF!</v>
      </c>
      <c r="S28" s="343" t="e">
        <f t="shared" si="6"/>
        <v>#REF!</v>
      </c>
    </row>
    <row r="29" spans="1:26" x14ac:dyDescent="0.3">
      <c r="A29">
        <v>2037</v>
      </c>
      <c r="B29" s="341">
        <v>23.87</v>
      </c>
      <c r="C29" s="398">
        <v>18.3</v>
      </c>
      <c r="D29" s="341">
        <v>26.67</v>
      </c>
      <c r="E29" s="341">
        <v>21.51</v>
      </c>
      <c r="F29" s="341">
        <v>11.79</v>
      </c>
      <c r="H29">
        <v>2037</v>
      </c>
      <c r="I29" s="339" t="e">
        <f>B29/#REF!*#REF!</f>
        <v>#REF!</v>
      </c>
      <c r="J29" s="339" t="e">
        <f>C29/#REF!*#REF!</f>
        <v>#REF!</v>
      </c>
      <c r="K29" s="339" t="e">
        <f>D29/#REF!*#REF!</f>
        <v>#REF!</v>
      </c>
      <c r="L29" s="339" t="e">
        <f>E29/#REF!*#REF!</f>
        <v>#REF!</v>
      </c>
      <c r="M29" s="339" t="e">
        <f>F29/#REF!*#REF!</f>
        <v>#REF!</v>
      </c>
      <c r="N29" s="341"/>
      <c r="O29" s="343" t="e">
        <f t="shared" si="2"/>
        <v>#REF!</v>
      </c>
      <c r="P29" s="343" t="e">
        <f t="shared" si="3"/>
        <v>#REF!</v>
      </c>
      <c r="Q29" s="343" t="e">
        <f t="shared" si="4"/>
        <v>#REF!</v>
      </c>
      <c r="R29" s="343" t="e">
        <f t="shared" si="5"/>
        <v>#REF!</v>
      </c>
      <c r="S29" s="343" t="e">
        <f t="shared" si="6"/>
        <v>#REF!</v>
      </c>
    </row>
    <row r="30" spans="1:26" x14ac:dyDescent="0.3">
      <c r="A30">
        <v>2038</v>
      </c>
      <c r="B30" s="341">
        <v>24.06</v>
      </c>
      <c r="C30" s="398">
        <v>18.440000000000001</v>
      </c>
      <c r="D30" s="341">
        <v>26.89</v>
      </c>
      <c r="E30" s="341">
        <v>21.68</v>
      </c>
      <c r="F30" s="341">
        <v>11.88</v>
      </c>
      <c r="H30">
        <v>2038</v>
      </c>
      <c r="I30" s="339" t="e">
        <f>B30/#REF!*#REF!</f>
        <v>#REF!</v>
      </c>
      <c r="J30" s="339" t="e">
        <f>C30/#REF!*#REF!</f>
        <v>#REF!</v>
      </c>
      <c r="K30" s="339" t="e">
        <f>D30/#REF!*#REF!</f>
        <v>#REF!</v>
      </c>
      <c r="L30" s="339" t="e">
        <f>E30/#REF!*#REF!</f>
        <v>#REF!</v>
      </c>
      <c r="M30" s="339" t="e">
        <f>F30/#REF!*#REF!</f>
        <v>#REF!</v>
      </c>
      <c r="N30" s="341"/>
      <c r="O30" s="343" t="e">
        <f t="shared" si="2"/>
        <v>#REF!</v>
      </c>
      <c r="P30" s="343" t="e">
        <f t="shared" si="3"/>
        <v>#REF!</v>
      </c>
      <c r="Q30" s="343" t="e">
        <f t="shared" si="4"/>
        <v>#REF!</v>
      </c>
      <c r="R30" s="343" t="e">
        <f t="shared" si="5"/>
        <v>#REF!</v>
      </c>
      <c r="S30" s="343" t="e">
        <f t="shared" si="6"/>
        <v>#REF!</v>
      </c>
    </row>
    <row r="31" spans="1:26" x14ac:dyDescent="0.3">
      <c r="A31">
        <v>2039</v>
      </c>
      <c r="B31" s="341">
        <v>24.25</v>
      </c>
      <c r="C31" s="398">
        <v>18.59</v>
      </c>
      <c r="D31" s="341">
        <v>27.1</v>
      </c>
      <c r="E31" s="341">
        <v>21.86</v>
      </c>
      <c r="F31" s="341">
        <v>11.98</v>
      </c>
      <c r="H31">
        <v>2039</v>
      </c>
      <c r="I31" s="339" t="e">
        <f>B31/#REF!*#REF!</f>
        <v>#REF!</v>
      </c>
      <c r="J31" s="339" t="e">
        <f>C31/#REF!*#REF!</f>
        <v>#REF!</v>
      </c>
      <c r="K31" s="339" t="e">
        <f>D31/#REF!*#REF!</f>
        <v>#REF!</v>
      </c>
      <c r="L31" s="339" t="e">
        <f>E31/#REF!*#REF!</f>
        <v>#REF!</v>
      </c>
      <c r="M31" s="339" t="e">
        <f>F31/#REF!*#REF!</f>
        <v>#REF!</v>
      </c>
      <c r="N31" s="341"/>
      <c r="O31" s="343" t="e">
        <f t="shared" si="2"/>
        <v>#REF!</v>
      </c>
      <c r="P31" s="343" t="e">
        <f t="shared" si="3"/>
        <v>#REF!</v>
      </c>
      <c r="Q31" s="343" t="e">
        <f t="shared" si="4"/>
        <v>#REF!</v>
      </c>
      <c r="R31" s="343" t="e">
        <f t="shared" si="5"/>
        <v>#REF!</v>
      </c>
      <c r="S31" s="343" t="e">
        <f t="shared" si="6"/>
        <v>#REF!</v>
      </c>
    </row>
    <row r="32" spans="1:26" x14ac:dyDescent="0.3">
      <c r="A32">
        <v>2040</v>
      </c>
      <c r="B32">
        <v>24.45</v>
      </c>
      <c r="C32">
        <v>18.739999999999998</v>
      </c>
      <c r="D32">
        <v>27.32</v>
      </c>
      <c r="E32">
        <v>22.03</v>
      </c>
      <c r="F32">
        <v>12.08</v>
      </c>
      <c r="H32">
        <v>2040</v>
      </c>
      <c r="I32" s="339" t="e">
        <f>B32/#REF!*#REF!</f>
        <v>#REF!</v>
      </c>
      <c r="J32" s="339" t="e">
        <f>C32/#REF!*#REF!</f>
        <v>#REF!</v>
      </c>
      <c r="K32" s="339" t="e">
        <f>D32/#REF!*#REF!</f>
        <v>#REF!</v>
      </c>
      <c r="L32" s="339" t="e">
        <f>E32/#REF!*#REF!</f>
        <v>#REF!</v>
      </c>
      <c r="M32" s="339" t="e">
        <f>F32/#REF!*#REF!</f>
        <v>#REF!</v>
      </c>
      <c r="O32" s="343" t="e">
        <f t="shared" si="2"/>
        <v>#REF!</v>
      </c>
      <c r="P32" s="343" t="e">
        <f t="shared" si="3"/>
        <v>#REF!</v>
      </c>
      <c r="Q32" s="343" t="e">
        <f t="shared" si="4"/>
        <v>#REF!</v>
      </c>
      <c r="R32" s="343" t="e">
        <f t="shared" si="5"/>
        <v>#REF!</v>
      </c>
      <c r="S32" s="343" t="e">
        <f t="shared" si="6"/>
        <v>#REF!</v>
      </c>
      <c r="Y32" s="42"/>
      <c r="Z32" s="42"/>
    </row>
    <row r="33" spans="1:26" x14ac:dyDescent="0.3">
      <c r="A33">
        <v>2041</v>
      </c>
      <c r="B33">
        <v>24.64</v>
      </c>
      <c r="C33">
        <v>18.89</v>
      </c>
      <c r="D33">
        <v>27.54</v>
      </c>
      <c r="E33">
        <v>22.21</v>
      </c>
      <c r="F33">
        <v>12.17</v>
      </c>
      <c r="H33">
        <v>2041</v>
      </c>
      <c r="I33" s="339" t="e">
        <f>B33/#REF!*#REF!</f>
        <v>#REF!</v>
      </c>
      <c r="J33" s="339" t="e">
        <f>C33/#REF!*#REF!</f>
        <v>#REF!</v>
      </c>
      <c r="K33" s="339" t="e">
        <f>D33/#REF!*#REF!</f>
        <v>#REF!</v>
      </c>
      <c r="L33" s="339" t="e">
        <f>E33/#REF!*#REF!</f>
        <v>#REF!</v>
      </c>
      <c r="M33" s="339" t="e">
        <f>F33/#REF!*#REF!</f>
        <v>#REF!</v>
      </c>
      <c r="O33" s="343" t="e">
        <f t="shared" si="2"/>
        <v>#REF!</v>
      </c>
      <c r="P33" s="343" t="e">
        <f t="shared" si="3"/>
        <v>#REF!</v>
      </c>
      <c r="Q33" s="343" t="e">
        <f t="shared" si="4"/>
        <v>#REF!</v>
      </c>
      <c r="R33" s="343" t="e">
        <f t="shared" si="5"/>
        <v>#REF!</v>
      </c>
      <c r="S33" s="343" t="e">
        <f t="shared" si="6"/>
        <v>#REF!</v>
      </c>
      <c r="X33" s="42"/>
      <c r="Y33" s="42"/>
      <c r="Z33" s="42"/>
    </row>
    <row r="34" spans="1:26" x14ac:dyDescent="0.3">
      <c r="A34">
        <v>2042</v>
      </c>
      <c r="B34">
        <v>24.84</v>
      </c>
      <c r="C34">
        <v>19.04</v>
      </c>
      <c r="D34">
        <v>27.76</v>
      </c>
      <c r="E34">
        <v>22.39</v>
      </c>
      <c r="F34">
        <v>12.27</v>
      </c>
      <c r="H34">
        <v>2042</v>
      </c>
      <c r="I34" s="339" t="e">
        <f>B34/#REF!*#REF!</f>
        <v>#REF!</v>
      </c>
      <c r="J34" s="339" t="e">
        <f>C34/#REF!*#REF!</f>
        <v>#REF!</v>
      </c>
      <c r="K34" s="339" t="e">
        <f>D34/#REF!*#REF!</f>
        <v>#REF!</v>
      </c>
      <c r="L34" s="339" t="e">
        <f>E34/#REF!*#REF!</f>
        <v>#REF!</v>
      </c>
      <c r="M34" s="339" t="e">
        <f>F34/#REF!*#REF!</f>
        <v>#REF!</v>
      </c>
      <c r="O34" s="343" t="e">
        <f t="shared" si="2"/>
        <v>#REF!</v>
      </c>
      <c r="P34" s="343" t="e">
        <f t="shared" si="3"/>
        <v>#REF!</v>
      </c>
      <c r="Q34" s="343" t="e">
        <f t="shared" si="4"/>
        <v>#REF!</v>
      </c>
      <c r="R34" s="343" t="e">
        <f t="shared" si="5"/>
        <v>#REF!</v>
      </c>
      <c r="S34" s="343" t="e">
        <f t="shared" si="6"/>
        <v>#REF!</v>
      </c>
      <c r="U34" s="42"/>
      <c r="V34" s="42"/>
      <c r="W34" s="42"/>
      <c r="X34" s="42"/>
      <c r="Y34" s="42"/>
      <c r="Z34" s="42"/>
    </row>
    <row r="35" spans="1:26" x14ac:dyDescent="0.3">
      <c r="A35">
        <v>2043</v>
      </c>
      <c r="B35">
        <v>25.04</v>
      </c>
      <c r="C35">
        <v>19.190000000000001</v>
      </c>
      <c r="D35">
        <v>27.98</v>
      </c>
      <c r="E35">
        <v>22.57</v>
      </c>
      <c r="F35">
        <v>12.37</v>
      </c>
      <c r="H35">
        <v>2043</v>
      </c>
      <c r="I35" s="339" t="e">
        <f>B35/#REF!*#REF!</f>
        <v>#REF!</v>
      </c>
      <c r="J35" s="339" t="e">
        <f>C35/#REF!*#REF!</f>
        <v>#REF!</v>
      </c>
      <c r="K35" s="339" t="e">
        <f>D35/#REF!*#REF!</f>
        <v>#REF!</v>
      </c>
      <c r="L35" s="339" t="e">
        <f>E35/#REF!*#REF!</f>
        <v>#REF!</v>
      </c>
      <c r="M35" s="339" t="e">
        <f>F35/#REF!*#REF!</f>
        <v>#REF!</v>
      </c>
      <c r="O35" s="343" t="e">
        <f t="shared" si="2"/>
        <v>#REF!</v>
      </c>
      <c r="P35" s="343" t="e">
        <f t="shared" si="3"/>
        <v>#REF!</v>
      </c>
      <c r="Q35" s="343" t="e">
        <f t="shared" si="4"/>
        <v>#REF!</v>
      </c>
      <c r="R35" s="343" t="e">
        <f t="shared" si="5"/>
        <v>#REF!</v>
      </c>
      <c r="S35" s="343" t="e">
        <f t="shared" si="6"/>
        <v>#REF!</v>
      </c>
      <c r="U35" s="42"/>
      <c r="V35" s="42"/>
      <c r="W35" s="42"/>
      <c r="X35" s="42"/>
      <c r="Y35" s="42"/>
      <c r="Z35" s="42"/>
    </row>
    <row r="36" spans="1:26" x14ac:dyDescent="0.3">
      <c r="A36">
        <v>2044</v>
      </c>
      <c r="B36">
        <v>25.24</v>
      </c>
      <c r="C36">
        <v>19.350000000000001</v>
      </c>
      <c r="D36">
        <v>28.2</v>
      </c>
      <c r="E36">
        <v>22.75</v>
      </c>
      <c r="F36">
        <v>12.47</v>
      </c>
      <c r="H36">
        <v>2044</v>
      </c>
      <c r="I36" s="339" t="e">
        <f>B36/#REF!*#REF!</f>
        <v>#REF!</v>
      </c>
      <c r="J36" s="339" t="e">
        <f>C36/#REF!*#REF!</f>
        <v>#REF!</v>
      </c>
      <c r="K36" s="339" t="e">
        <f>D36/#REF!*#REF!</f>
        <v>#REF!</v>
      </c>
      <c r="L36" s="339" t="e">
        <f>E36/#REF!*#REF!</f>
        <v>#REF!</v>
      </c>
      <c r="M36" s="339" t="e">
        <f>F36/#REF!*#REF!</f>
        <v>#REF!</v>
      </c>
      <c r="O36" s="343" t="e">
        <f t="shared" si="2"/>
        <v>#REF!</v>
      </c>
      <c r="P36" s="343" t="e">
        <f t="shared" si="3"/>
        <v>#REF!</v>
      </c>
      <c r="Q36" s="343" t="e">
        <f t="shared" si="4"/>
        <v>#REF!</v>
      </c>
      <c r="R36" s="343" t="e">
        <f t="shared" si="5"/>
        <v>#REF!</v>
      </c>
      <c r="S36" s="343" t="e">
        <f t="shared" si="6"/>
        <v>#REF!</v>
      </c>
      <c r="U36" s="42"/>
      <c r="V36" s="42"/>
      <c r="W36" s="42"/>
      <c r="X36" s="42"/>
      <c r="Y36" s="42"/>
      <c r="Z36" s="42"/>
    </row>
    <row r="37" spans="1:26" x14ac:dyDescent="0.3">
      <c r="A37">
        <v>2045</v>
      </c>
      <c r="B37">
        <v>25.44</v>
      </c>
      <c r="C37">
        <v>19.5</v>
      </c>
      <c r="D37">
        <v>28.43</v>
      </c>
      <c r="E37">
        <v>22.93</v>
      </c>
      <c r="F37">
        <v>12.57</v>
      </c>
      <c r="H37">
        <v>2045</v>
      </c>
      <c r="I37" s="339" t="e">
        <f>B37/#REF!*#REF!</f>
        <v>#REF!</v>
      </c>
      <c r="J37" s="339" t="e">
        <f>C37/#REF!*#REF!</f>
        <v>#REF!</v>
      </c>
      <c r="K37" s="339" t="e">
        <f>D37/#REF!*#REF!</f>
        <v>#REF!</v>
      </c>
      <c r="L37" s="339" t="e">
        <f>E37/#REF!*#REF!</f>
        <v>#REF!</v>
      </c>
      <c r="M37" s="339" t="e">
        <f>F37/#REF!*#REF!</f>
        <v>#REF!</v>
      </c>
      <c r="O37" s="343" t="e">
        <f t="shared" si="2"/>
        <v>#REF!</v>
      </c>
      <c r="P37" s="343" t="e">
        <f t="shared" si="3"/>
        <v>#REF!</v>
      </c>
      <c r="Q37" s="343" t="e">
        <f t="shared" si="4"/>
        <v>#REF!</v>
      </c>
      <c r="R37" s="343" t="e">
        <f t="shared" si="5"/>
        <v>#REF!</v>
      </c>
      <c r="S37" s="343" t="e">
        <f t="shared" si="6"/>
        <v>#REF!</v>
      </c>
      <c r="U37" s="42"/>
      <c r="V37" s="42"/>
      <c r="W37" s="42"/>
      <c r="X37" s="42"/>
      <c r="Y37" s="42"/>
      <c r="Z37" s="42"/>
    </row>
    <row r="38" spans="1:26" x14ac:dyDescent="0.3">
      <c r="A38">
        <v>2046</v>
      </c>
      <c r="B38">
        <v>25.64</v>
      </c>
      <c r="C38">
        <v>19.66</v>
      </c>
      <c r="D38">
        <v>28.66</v>
      </c>
      <c r="E38">
        <v>23.11</v>
      </c>
      <c r="F38">
        <v>12.67</v>
      </c>
      <c r="H38">
        <v>2046</v>
      </c>
      <c r="I38" s="339" t="e">
        <f>B38/#REF!*#REF!</f>
        <v>#REF!</v>
      </c>
      <c r="J38" s="339" t="e">
        <f>C38/#REF!*#REF!</f>
        <v>#REF!</v>
      </c>
      <c r="K38" s="339" t="e">
        <f>D38/#REF!*#REF!</f>
        <v>#REF!</v>
      </c>
      <c r="L38" s="339" t="e">
        <f>E38/#REF!*#REF!</f>
        <v>#REF!</v>
      </c>
      <c r="M38" s="339" t="e">
        <f>F38/#REF!*#REF!</f>
        <v>#REF!</v>
      </c>
      <c r="O38" s="343" t="e">
        <f t="shared" si="2"/>
        <v>#REF!</v>
      </c>
      <c r="P38" s="343" t="e">
        <f t="shared" si="3"/>
        <v>#REF!</v>
      </c>
      <c r="Q38" s="343" t="e">
        <f t="shared" si="4"/>
        <v>#REF!</v>
      </c>
      <c r="R38" s="343" t="e">
        <f t="shared" si="5"/>
        <v>#REF!</v>
      </c>
      <c r="S38" s="343" t="e">
        <f t="shared" si="6"/>
        <v>#REF!</v>
      </c>
      <c r="U38" s="42"/>
      <c r="V38" s="42"/>
      <c r="W38" s="42"/>
      <c r="X38" s="42"/>
      <c r="Y38" s="42"/>
      <c r="Z38" s="42"/>
    </row>
    <row r="39" spans="1:26" x14ac:dyDescent="0.3">
      <c r="A39">
        <v>2047</v>
      </c>
      <c r="B39">
        <v>25.85</v>
      </c>
      <c r="C39">
        <v>19.809999999999999</v>
      </c>
      <c r="D39">
        <v>28.88</v>
      </c>
      <c r="E39">
        <v>23.3</v>
      </c>
      <c r="F39">
        <v>12.77</v>
      </c>
      <c r="H39">
        <v>2047</v>
      </c>
      <c r="I39" s="339" t="e">
        <f>B39/#REF!*#REF!</f>
        <v>#REF!</v>
      </c>
      <c r="J39" s="339" t="e">
        <f>C39/#REF!*#REF!</f>
        <v>#REF!</v>
      </c>
      <c r="K39" s="339" t="e">
        <f>D39/#REF!*#REF!</f>
        <v>#REF!</v>
      </c>
      <c r="L39" s="339" t="e">
        <f>E39/#REF!*#REF!</f>
        <v>#REF!</v>
      </c>
      <c r="M39" s="339" t="e">
        <f>F39/#REF!*#REF!</f>
        <v>#REF!</v>
      </c>
      <c r="O39" s="343" t="e">
        <f t="shared" si="2"/>
        <v>#REF!</v>
      </c>
      <c r="P39" s="343" t="e">
        <f t="shared" si="3"/>
        <v>#REF!</v>
      </c>
      <c r="Q39" s="343" t="e">
        <f t="shared" si="4"/>
        <v>#REF!</v>
      </c>
      <c r="R39" s="343" t="e">
        <f t="shared" si="5"/>
        <v>#REF!</v>
      </c>
      <c r="S39" s="343" t="e">
        <f t="shared" si="6"/>
        <v>#REF!</v>
      </c>
      <c r="U39" s="42"/>
      <c r="V39" s="42"/>
      <c r="W39" s="42"/>
      <c r="X39" s="42"/>
      <c r="Y39" s="42"/>
      <c r="Z39" s="42"/>
    </row>
    <row r="40" spans="1:26" x14ac:dyDescent="0.3">
      <c r="A40">
        <v>2048</v>
      </c>
      <c r="B40">
        <v>26.05</v>
      </c>
      <c r="C40">
        <v>19.97</v>
      </c>
      <c r="D40">
        <v>29.12</v>
      </c>
      <c r="E40">
        <v>23.48</v>
      </c>
      <c r="F40">
        <v>12.87</v>
      </c>
      <c r="H40">
        <v>2048</v>
      </c>
      <c r="I40" s="339" t="e">
        <f>B40/#REF!*#REF!</f>
        <v>#REF!</v>
      </c>
      <c r="J40" s="339" t="e">
        <f>C40/#REF!*#REF!</f>
        <v>#REF!</v>
      </c>
      <c r="K40" s="339" t="e">
        <f>D40/#REF!*#REF!</f>
        <v>#REF!</v>
      </c>
      <c r="L40" s="339" t="e">
        <f>E40/#REF!*#REF!</f>
        <v>#REF!</v>
      </c>
      <c r="M40" s="339" t="e">
        <f>F40/#REF!*#REF!</f>
        <v>#REF!</v>
      </c>
      <c r="O40" s="343" t="e">
        <f t="shared" si="2"/>
        <v>#REF!</v>
      </c>
      <c r="P40" s="343" t="e">
        <f t="shared" si="3"/>
        <v>#REF!</v>
      </c>
      <c r="Q40" s="343" t="e">
        <f t="shared" si="4"/>
        <v>#REF!</v>
      </c>
      <c r="R40" s="343" t="e">
        <f t="shared" si="5"/>
        <v>#REF!</v>
      </c>
      <c r="S40" s="343" t="e">
        <f t="shared" si="6"/>
        <v>#REF!</v>
      </c>
      <c r="U40" s="42"/>
      <c r="V40" s="42"/>
      <c r="W40" s="42"/>
      <c r="X40" s="42"/>
      <c r="Y40" s="42"/>
      <c r="Z40" s="42"/>
    </row>
    <row r="41" spans="1:26" x14ac:dyDescent="0.3">
      <c r="A41">
        <v>2049</v>
      </c>
      <c r="B41">
        <v>26.26</v>
      </c>
      <c r="C41">
        <v>20.13</v>
      </c>
      <c r="D41">
        <v>29.35</v>
      </c>
      <c r="E41">
        <v>23.67</v>
      </c>
      <c r="F41">
        <v>12.97</v>
      </c>
      <c r="H41">
        <v>2049</v>
      </c>
      <c r="I41" s="339" t="e">
        <f>B41/#REF!*#REF!</f>
        <v>#REF!</v>
      </c>
      <c r="J41" s="339" t="e">
        <f>C41/#REF!*#REF!</f>
        <v>#REF!</v>
      </c>
      <c r="K41" s="339" t="e">
        <f>D41/#REF!*#REF!</f>
        <v>#REF!</v>
      </c>
      <c r="L41" s="339" t="e">
        <f>E41/#REF!*#REF!</f>
        <v>#REF!</v>
      </c>
      <c r="M41" s="339" t="e">
        <f>F41/#REF!*#REF!</f>
        <v>#REF!</v>
      </c>
      <c r="O41" s="343" t="e">
        <f t="shared" si="2"/>
        <v>#REF!</v>
      </c>
      <c r="P41" s="343" t="e">
        <f t="shared" si="3"/>
        <v>#REF!</v>
      </c>
      <c r="Q41" s="343" t="e">
        <f t="shared" si="4"/>
        <v>#REF!</v>
      </c>
      <c r="R41" s="343" t="e">
        <f t="shared" si="5"/>
        <v>#REF!</v>
      </c>
      <c r="S41" s="343" t="e">
        <f t="shared" si="6"/>
        <v>#REF!</v>
      </c>
      <c r="U41" s="42"/>
      <c r="V41" s="42"/>
      <c r="W41" s="42"/>
      <c r="X41" s="42"/>
      <c r="Y41" s="42"/>
      <c r="Z41" s="42"/>
    </row>
    <row r="42" spans="1:26" x14ac:dyDescent="0.3">
      <c r="A42">
        <v>2050</v>
      </c>
      <c r="B42">
        <v>26.47</v>
      </c>
      <c r="C42">
        <v>20.29</v>
      </c>
      <c r="D42">
        <v>29.58</v>
      </c>
      <c r="E42">
        <v>23.86</v>
      </c>
      <c r="F42">
        <v>13.08</v>
      </c>
      <c r="H42">
        <v>2050</v>
      </c>
      <c r="I42" s="339" t="e">
        <f>B42/#REF!*#REF!</f>
        <v>#REF!</v>
      </c>
      <c r="J42" s="339" t="e">
        <f>C42/#REF!*#REF!</f>
        <v>#REF!</v>
      </c>
      <c r="K42" s="339" t="e">
        <f>D42/#REF!*#REF!</f>
        <v>#REF!</v>
      </c>
      <c r="L42" s="339" t="e">
        <f>E42/#REF!*#REF!</f>
        <v>#REF!</v>
      </c>
      <c r="M42" s="339" t="e">
        <f>F42/#REF!*#REF!</f>
        <v>#REF!</v>
      </c>
      <c r="O42" s="343" t="e">
        <f t="shared" si="2"/>
        <v>#REF!</v>
      </c>
      <c r="P42" s="343" t="e">
        <f t="shared" si="3"/>
        <v>#REF!</v>
      </c>
      <c r="Q42" s="343" t="e">
        <f t="shared" si="4"/>
        <v>#REF!</v>
      </c>
      <c r="R42" s="343" t="e">
        <f t="shared" si="5"/>
        <v>#REF!</v>
      </c>
      <c r="S42" s="343" t="e">
        <f t="shared" si="6"/>
        <v>#REF!</v>
      </c>
      <c r="U42" s="42"/>
      <c r="V42" s="42"/>
      <c r="W42" s="42"/>
      <c r="X42" s="42"/>
      <c r="Y42" s="42"/>
      <c r="Z42" s="42"/>
    </row>
    <row r="43" spans="1:26" x14ac:dyDescent="0.3">
      <c r="U43" s="42"/>
      <c r="V43" s="42"/>
      <c r="W43" s="42"/>
      <c r="X43" s="42"/>
      <c r="Y43" s="42"/>
      <c r="Z43" s="42"/>
    </row>
    <row r="44" spans="1:26" x14ac:dyDescent="0.3">
      <c r="U44" s="42"/>
      <c r="V44" s="42"/>
      <c r="W44" s="42"/>
      <c r="X44" s="42"/>
      <c r="Y44" s="42"/>
      <c r="Z44" s="42"/>
    </row>
    <row r="45" spans="1:26" x14ac:dyDescent="0.3">
      <c r="A45" t="s">
        <v>4084</v>
      </c>
      <c r="U45" s="42"/>
      <c r="V45" s="42"/>
      <c r="W45" s="42"/>
      <c r="X45" s="42"/>
      <c r="Y45" s="42"/>
      <c r="Z45" s="42"/>
    </row>
    <row r="46" spans="1:26" x14ac:dyDescent="0.3">
      <c r="U46" s="42"/>
      <c r="V46" s="42"/>
      <c r="W46" s="42"/>
      <c r="X46" s="42"/>
    </row>
    <row r="47" spans="1:26" x14ac:dyDescent="0.3">
      <c r="F47" s="333"/>
      <c r="W47" s="42"/>
    </row>
  </sheetData>
  <hyperlinks>
    <hyperlink ref="A2" r:id="rId1" xr:uid="{B435E065-3C3C-4E64-9D1D-91927065D716}"/>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63333-BE4F-4BD8-A94B-7443F3C34C6A}">
  <sheetPr codeName="Sheet52"/>
  <dimension ref="A1:G13"/>
  <sheetViews>
    <sheetView workbookViewId="0"/>
  </sheetViews>
  <sheetFormatPr defaultRowHeight="14.4" x14ac:dyDescent="0.3"/>
  <cols>
    <col min="1" max="5" width="12.33203125" customWidth="1"/>
  </cols>
  <sheetData>
    <row r="1" spans="1:7" x14ac:dyDescent="0.3">
      <c r="A1" t="s">
        <v>4085</v>
      </c>
      <c r="C1" t="s">
        <v>4086</v>
      </c>
      <c r="D1" t="s">
        <v>4087</v>
      </c>
    </row>
    <row r="2" spans="1:7" ht="43.2" x14ac:dyDescent="0.3">
      <c r="A2" s="197" t="s">
        <v>4088</v>
      </c>
      <c r="B2" s="197" t="s">
        <v>4089</v>
      </c>
      <c r="C2" s="197"/>
      <c r="D2" s="197" t="s">
        <v>4088</v>
      </c>
      <c r="E2" s="197" t="s">
        <v>4089</v>
      </c>
      <c r="F2" s="197"/>
      <c r="G2" t="s">
        <v>4090</v>
      </c>
    </row>
    <row r="3" spans="1:7" x14ac:dyDescent="0.3">
      <c r="A3" s="418">
        <f>AVERAGE(30,120)</f>
        <v>75</v>
      </c>
      <c r="B3" s="418">
        <f>AVERAGE(70,225)</f>
        <v>147.5</v>
      </c>
      <c r="C3">
        <v>2017</v>
      </c>
      <c r="D3" s="418" t="e">
        <f>A3/#REF!*#REF!</f>
        <v>#REF!</v>
      </c>
      <c r="E3" s="418" t="e">
        <f>B3/#REF!*#REF!</f>
        <v>#REF!</v>
      </c>
      <c r="G3" t="s">
        <v>4091</v>
      </c>
    </row>
    <row r="4" spans="1:7" x14ac:dyDescent="0.3">
      <c r="A4" s="418"/>
      <c r="B4" s="418"/>
      <c r="D4" s="418"/>
      <c r="E4" s="418"/>
      <c r="G4" s="142" t="s">
        <v>4092</v>
      </c>
    </row>
    <row r="5" spans="1:7" x14ac:dyDescent="0.3">
      <c r="A5" s="418"/>
      <c r="B5" s="418"/>
      <c r="D5" s="418"/>
      <c r="E5" s="418"/>
    </row>
    <row r="6" spans="1:7" x14ac:dyDescent="0.3">
      <c r="A6" s="418"/>
      <c r="B6" s="418"/>
      <c r="C6">
        <v>2022</v>
      </c>
      <c r="D6" s="418">
        <v>20</v>
      </c>
      <c r="E6" s="418">
        <v>120</v>
      </c>
      <c r="G6" t="s">
        <v>4093</v>
      </c>
    </row>
    <row r="7" spans="1:7" x14ac:dyDescent="0.3">
      <c r="A7" s="418"/>
      <c r="B7" s="418"/>
      <c r="D7" s="418"/>
      <c r="E7" s="418"/>
    </row>
    <row r="8" spans="1:7" x14ac:dyDescent="0.3">
      <c r="A8" s="418">
        <f>(A3/($B$3+$A$3))*300</f>
        <v>101.12359550561797</v>
      </c>
      <c r="B8" s="418">
        <f>(B3/($B$3+$A$3))*300</f>
        <v>198.876404494382</v>
      </c>
      <c r="C8">
        <v>2018</v>
      </c>
      <c r="D8" s="418" t="e">
        <f>A8/#REF!*#REF!</f>
        <v>#REF!</v>
      </c>
      <c r="E8" s="418" t="e">
        <f>B8/#REF!*#REF!</f>
        <v>#REF!</v>
      </c>
      <c r="G8" t="s">
        <v>4094</v>
      </c>
    </row>
    <row r="9" spans="1:7" x14ac:dyDescent="0.3">
      <c r="G9" s="142" t="s">
        <v>4095</v>
      </c>
    </row>
    <row r="10" spans="1:7" ht="15" thickBot="1" x14ac:dyDescent="0.35"/>
    <row r="11" spans="1:7" ht="15" thickBot="1" x14ac:dyDescent="0.35">
      <c r="C11" t="s">
        <v>4096</v>
      </c>
      <c r="D11" s="452" t="e">
        <f>AVERAGE(D3:D8)</f>
        <v>#REF!</v>
      </c>
      <c r="E11" s="453" t="e">
        <f>AVERAGE(E3:E8)</f>
        <v>#REF!</v>
      </c>
    </row>
    <row r="13" spans="1:7" x14ac:dyDescent="0.3">
      <c r="C13" t="s">
        <v>1090</v>
      </c>
      <c r="D13" s="418" t="e">
        <f>SUM(D11:E11)</f>
        <v>#REF!</v>
      </c>
    </row>
  </sheetData>
  <hyperlinks>
    <hyperlink ref="G4" r:id="rId1" xr:uid="{A48C28B5-1D6D-415D-AC0A-2216F789287F}"/>
    <hyperlink ref="G9" r:id="rId2" location=":~:text=Groundwater%20storage%20programs%20are%20cost-competitive%20with%20other%20dry-year,lower%20than%20the%20cost%20of%20dry%20year%20transfers." xr:uid="{4869176D-9FA8-45A5-9632-AB96E7FF50C7}"/>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2A18-BBD7-42B4-BA5B-CBC0B9613CE8}">
  <sheetPr codeName="Sheet53"/>
  <dimension ref="A1:R389"/>
  <sheetViews>
    <sheetView workbookViewId="0"/>
  </sheetViews>
  <sheetFormatPr defaultRowHeight="14.4" x14ac:dyDescent="0.3"/>
  <cols>
    <col min="1" max="1" width="7.6640625" bestFit="1" customWidth="1"/>
    <col min="2" max="2" width="31.5546875" bestFit="1" customWidth="1"/>
    <col min="3" max="3" width="75.44140625" bestFit="1" customWidth="1"/>
    <col min="4" max="4" width="18.88671875" bestFit="1" customWidth="1"/>
    <col min="5" max="5" width="26.5546875" bestFit="1" customWidth="1"/>
    <col min="6" max="6" width="23" bestFit="1" customWidth="1"/>
    <col min="7" max="7" width="68.6640625" bestFit="1" customWidth="1"/>
    <col min="8" max="8" width="34.88671875" bestFit="1" customWidth="1"/>
    <col min="9" max="9" width="87.88671875" bestFit="1" customWidth="1"/>
    <col min="10" max="10" width="36.88671875" bestFit="1" customWidth="1"/>
    <col min="11" max="11" width="22.109375" bestFit="1" customWidth="1"/>
    <col min="12" max="12" width="34.88671875" bestFit="1" customWidth="1"/>
    <col min="13" max="13" width="25.33203125" bestFit="1" customWidth="1"/>
    <col min="14" max="14" width="34.88671875" bestFit="1" customWidth="1"/>
    <col min="15" max="15" width="37.109375" bestFit="1" customWidth="1"/>
    <col min="16" max="16" width="35.6640625" bestFit="1" customWidth="1"/>
    <col min="17" max="17" width="36.5546875" bestFit="1" customWidth="1"/>
    <col min="18" max="18" width="29" bestFit="1" customWidth="1"/>
  </cols>
  <sheetData>
    <row r="1" spans="1:18" x14ac:dyDescent="0.3">
      <c r="A1" t="s">
        <v>1191</v>
      </c>
      <c r="B1" t="s">
        <v>1192</v>
      </c>
      <c r="C1" t="s">
        <v>1193</v>
      </c>
      <c r="D1" t="s">
        <v>1194</v>
      </c>
      <c r="E1" t="s">
        <v>1195</v>
      </c>
      <c r="F1" t="s">
        <v>1196</v>
      </c>
      <c r="G1" t="s">
        <v>4097</v>
      </c>
      <c r="H1" t="s">
        <v>4098</v>
      </c>
      <c r="I1" t="s">
        <v>4099</v>
      </c>
      <c r="J1" t="s">
        <v>4100</v>
      </c>
      <c r="K1" t="s">
        <v>4101</v>
      </c>
      <c r="L1" t="s">
        <v>4102</v>
      </c>
      <c r="M1" t="s">
        <v>4103</v>
      </c>
      <c r="N1" t="s">
        <v>4104</v>
      </c>
      <c r="O1" t="s">
        <v>4105</v>
      </c>
      <c r="P1" t="s">
        <v>4106</v>
      </c>
      <c r="Q1" t="s">
        <v>4107</v>
      </c>
      <c r="R1" t="s">
        <v>4108</v>
      </c>
    </row>
    <row r="2" spans="1:18" x14ac:dyDescent="0.3">
      <c r="A2">
        <v>13</v>
      </c>
      <c r="B2" t="s">
        <v>1201</v>
      </c>
      <c r="C2" t="s">
        <v>4109</v>
      </c>
      <c r="D2" t="s">
        <v>159</v>
      </c>
      <c r="E2" t="s">
        <v>159</v>
      </c>
      <c r="F2">
        <v>5973</v>
      </c>
      <c r="G2" t="s">
        <v>2878</v>
      </c>
      <c r="H2" t="s">
        <v>2878</v>
      </c>
      <c r="I2" t="s">
        <v>4110</v>
      </c>
      <c r="J2" t="s">
        <v>4111</v>
      </c>
      <c r="K2" t="s">
        <v>4112</v>
      </c>
      <c r="L2" t="s">
        <v>2537</v>
      </c>
      <c r="M2" t="s">
        <v>4113</v>
      </c>
      <c r="N2">
        <v>3001</v>
      </c>
      <c r="O2">
        <v>3001</v>
      </c>
      <c r="P2">
        <v>0</v>
      </c>
      <c r="Q2">
        <v>0</v>
      </c>
    </row>
    <row r="3" spans="1:18" x14ac:dyDescent="0.3">
      <c r="A3">
        <v>23</v>
      </c>
      <c r="B3" t="s">
        <v>801</v>
      </c>
      <c r="C3" t="s">
        <v>4109</v>
      </c>
      <c r="D3" t="s">
        <v>159</v>
      </c>
      <c r="E3" t="s">
        <v>159</v>
      </c>
      <c r="F3">
        <v>6868</v>
      </c>
      <c r="G3" t="s">
        <v>4114</v>
      </c>
      <c r="H3" t="s">
        <v>4115</v>
      </c>
      <c r="I3" t="s">
        <v>4116</v>
      </c>
      <c r="J3" t="s">
        <v>2550</v>
      </c>
      <c r="K3" t="s">
        <v>4117</v>
      </c>
      <c r="L3" t="s">
        <v>2537</v>
      </c>
      <c r="M3" t="s">
        <v>4118</v>
      </c>
      <c r="N3">
        <v>26212</v>
      </c>
      <c r="O3">
        <v>26212</v>
      </c>
      <c r="P3">
        <v>0</v>
      </c>
      <c r="Q3">
        <v>0</v>
      </c>
      <c r="R3">
        <v>0</v>
      </c>
    </row>
    <row r="4" spans="1:18" x14ac:dyDescent="0.3">
      <c r="A4">
        <v>55</v>
      </c>
      <c r="B4" t="s">
        <v>1217</v>
      </c>
      <c r="C4" t="s">
        <v>4109</v>
      </c>
      <c r="D4" t="s">
        <v>159</v>
      </c>
      <c r="E4" t="s">
        <v>159</v>
      </c>
      <c r="F4">
        <v>8283</v>
      </c>
      <c r="G4" t="s">
        <v>4119</v>
      </c>
      <c r="H4" t="s">
        <v>4119</v>
      </c>
      <c r="I4" t="s">
        <v>4120</v>
      </c>
      <c r="J4" t="s">
        <v>1204</v>
      </c>
      <c r="K4" t="s">
        <v>4121</v>
      </c>
      <c r="L4" t="s">
        <v>2537</v>
      </c>
      <c r="N4">
        <v>0.96</v>
      </c>
      <c r="O4">
        <v>0.96</v>
      </c>
      <c r="P4">
        <v>0</v>
      </c>
      <c r="Q4">
        <v>0</v>
      </c>
      <c r="R4">
        <v>0</v>
      </c>
    </row>
    <row r="5" spans="1:18" x14ac:dyDescent="0.3">
      <c r="A5">
        <v>55</v>
      </c>
      <c r="B5" t="s">
        <v>1217</v>
      </c>
      <c r="C5" t="s">
        <v>4109</v>
      </c>
      <c r="D5" t="s">
        <v>159</v>
      </c>
      <c r="E5" t="s">
        <v>159</v>
      </c>
      <c r="F5">
        <v>8283</v>
      </c>
      <c r="G5" t="s">
        <v>4122</v>
      </c>
      <c r="H5" t="s">
        <v>4123</v>
      </c>
      <c r="I5" t="s">
        <v>4124</v>
      </c>
      <c r="J5" t="s">
        <v>4125</v>
      </c>
      <c r="K5" t="s">
        <v>4126</v>
      </c>
      <c r="L5" t="s">
        <v>2530</v>
      </c>
      <c r="M5" t="s">
        <v>4118</v>
      </c>
      <c r="N5">
        <v>357.38</v>
      </c>
      <c r="O5">
        <v>161.79</v>
      </c>
      <c r="P5">
        <v>195.59</v>
      </c>
      <c r="Q5">
        <v>0</v>
      </c>
      <c r="R5">
        <v>0</v>
      </c>
    </row>
    <row r="6" spans="1:18" x14ac:dyDescent="0.3">
      <c r="A6">
        <v>55</v>
      </c>
      <c r="B6" t="s">
        <v>1217</v>
      </c>
      <c r="C6" t="s">
        <v>4109</v>
      </c>
      <c r="D6" t="s">
        <v>159</v>
      </c>
      <c r="E6" t="s">
        <v>159</v>
      </c>
      <c r="F6">
        <v>8283</v>
      </c>
      <c r="G6" t="s">
        <v>4127</v>
      </c>
      <c r="I6" t="s">
        <v>4128</v>
      </c>
      <c r="J6" t="s">
        <v>4129</v>
      </c>
      <c r="K6" t="s">
        <v>4112</v>
      </c>
      <c r="L6" t="s">
        <v>2530</v>
      </c>
      <c r="M6" t="s">
        <v>4130</v>
      </c>
      <c r="N6">
        <v>535</v>
      </c>
      <c r="O6">
        <v>462</v>
      </c>
      <c r="P6">
        <v>73</v>
      </c>
      <c r="Q6">
        <v>0</v>
      </c>
      <c r="R6">
        <v>0</v>
      </c>
    </row>
    <row r="7" spans="1:18" x14ac:dyDescent="0.3">
      <c r="A7">
        <v>55</v>
      </c>
      <c r="B7" t="s">
        <v>1217</v>
      </c>
      <c r="C7" t="s">
        <v>4109</v>
      </c>
      <c r="D7" t="s">
        <v>159</v>
      </c>
      <c r="E7" t="s">
        <v>159</v>
      </c>
      <c r="F7">
        <v>8283</v>
      </c>
      <c r="G7" t="s">
        <v>4131</v>
      </c>
      <c r="H7" t="s">
        <v>4132</v>
      </c>
      <c r="I7" t="s">
        <v>4133</v>
      </c>
      <c r="J7" t="s">
        <v>4134</v>
      </c>
      <c r="K7" t="s">
        <v>4135</v>
      </c>
      <c r="L7" t="s">
        <v>2537</v>
      </c>
      <c r="M7" t="s">
        <v>4130</v>
      </c>
      <c r="N7">
        <v>504</v>
      </c>
      <c r="O7">
        <v>504</v>
      </c>
      <c r="P7">
        <v>0</v>
      </c>
      <c r="Q7">
        <v>0</v>
      </c>
      <c r="R7">
        <v>0</v>
      </c>
    </row>
    <row r="8" spans="1:18" x14ac:dyDescent="0.3">
      <c r="A8">
        <v>55</v>
      </c>
      <c r="B8" t="s">
        <v>1217</v>
      </c>
      <c r="C8" t="s">
        <v>4109</v>
      </c>
      <c r="D8" t="s">
        <v>159</v>
      </c>
      <c r="E8" t="s">
        <v>159</v>
      </c>
      <c r="F8">
        <v>8283</v>
      </c>
      <c r="G8" t="s">
        <v>4136</v>
      </c>
      <c r="H8" t="s">
        <v>4137</v>
      </c>
      <c r="I8" t="s">
        <v>3331</v>
      </c>
      <c r="J8" t="s">
        <v>4138</v>
      </c>
      <c r="K8" t="s">
        <v>4126</v>
      </c>
      <c r="L8" t="s">
        <v>2530</v>
      </c>
      <c r="M8" t="s">
        <v>4130</v>
      </c>
      <c r="N8">
        <v>361.88</v>
      </c>
      <c r="O8">
        <v>0</v>
      </c>
      <c r="P8">
        <v>362</v>
      </c>
      <c r="Q8">
        <v>0</v>
      </c>
      <c r="R8">
        <v>0</v>
      </c>
    </row>
    <row r="9" spans="1:18" x14ac:dyDescent="0.3">
      <c r="A9">
        <v>55</v>
      </c>
      <c r="B9" t="s">
        <v>1217</v>
      </c>
      <c r="C9" t="s">
        <v>4109</v>
      </c>
      <c r="D9" t="s">
        <v>159</v>
      </c>
      <c r="E9" t="s">
        <v>159</v>
      </c>
      <c r="F9">
        <v>8283</v>
      </c>
      <c r="G9" t="s">
        <v>4139</v>
      </c>
      <c r="H9" t="s">
        <v>4140</v>
      </c>
      <c r="I9" t="s">
        <v>4141</v>
      </c>
      <c r="J9" t="s">
        <v>1204</v>
      </c>
      <c r="K9" t="s">
        <v>4135</v>
      </c>
      <c r="L9" t="s">
        <v>2537</v>
      </c>
      <c r="M9" t="s">
        <v>4113</v>
      </c>
      <c r="N9">
        <v>159</v>
      </c>
      <c r="O9">
        <v>0</v>
      </c>
      <c r="P9">
        <v>159</v>
      </c>
      <c r="Q9">
        <v>0</v>
      </c>
      <c r="R9">
        <v>0</v>
      </c>
    </row>
    <row r="10" spans="1:18" x14ac:dyDescent="0.3">
      <c r="A10">
        <v>55</v>
      </c>
      <c r="B10" t="s">
        <v>1217</v>
      </c>
      <c r="C10" t="s">
        <v>4109</v>
      </c>
      <c r="D10" t="s">
        <v>159</v>
      </c>
      <c r="E10" t="s">
        <v>159</v>
      </c>
      <c r="F10">
        <v>8283</v>
      </c>
      <c r="G10" t="s">
        <v>4142</v>
      </c>
      <c r="H10" t="s">
        <v>4127</v>
      </c>
      <c r="I10" t="s">
        <v>4143</v>
      </c>
      <c r="J10" t="s">
        <v>1204</v>
      </c>
      <c r="K10" t="s">
        <v>687</v>
      </c>
      <c r="L10" t="s">
        <v>2537</v>
      </c>
      <c r="M10" t="s">
        <v>4113</v>
      </c>
      <c r="N10">
        <v>108.6</v>
      </c>
      <c r="O10">
        <v>10.5</v>
      </c>
      <c r="P10">
        <v>98</v>
      </c>
      <c r="Q10">
        <v>0</v>
      </c>
      <c r="R10">
        <v>0</v>
      </c>
    </row>
    <row r="11" spans="1:18" x14ac:dyDescent="0.3">
      <c r="A11">
        <v>55</v>
      </c>
      <c r="B11" t="s">
        <v>1217</v>
      </c>
      <c r="C11" t="s">
        <v>4109</v>
      </c>
      <c r="D11" t="s">
        <v>159</v>
      </c>
      <c r="E11" t="s">
        <v>159</v>
      </c>
      <c r="F11">
        <v>8283</v>
      </c>
      <c r="G11" t="s">
        <v>4144</v>
      </c>
      <c r="H11" t="s">
        <v>4145</v>
      </c>
      <c r="I11" t="s">
        <v>4112</v>
      </c>
      <c r="J11" t="s">
        <v>4146</v>
      </c>
      <c r="K11" t="s">
        <v>4112</v>
      </c>
      <c r="L11" t="s">
        <v>2537</v>
      </c>
      <c r="M11" t="s">
        <v>4113</v>
      </c>
      <c r="N11">
        <v>65.599999999999994</v>
      </c>
      <c r="O11">
        <v>13.6</v>
      </c>
      <c r="P11">
        <v>52</v>
      </c>
      <c r="Q11">
        <v>0</v>
      </c>
      <c r="R11">
        <v>0</v>
      </c>
    </row>
    <row r="12" spans="1:18" x14ac:dyDescent="0.3">
      <c r="A12">
        <v>55</v>
      </c>
      <c r="B12" t="s">
        <v>1217</v>
      </c>
      <c r="C12" t="s">
        <v>4109</v>
      </c>
      <c r="D12" t="s">
        <v>159</v>
      </c>
      <c r="E12" t="s">
        <v>159</v>
      </c>
      <c r="F12">
        <v>8283</v>
      </c>
      <c r="G12" t="s">
        <v>4147</v>
      </c>
      <c r="H12" t="s">
        <v>4147</v>
      </c>
      <c r="I12" t="s">
        <v>4120</v>
      </c>
      <c r="J12" t="s">
        <v>4148</v>
      </c>
      <c r="K12" t="s">
        <v>4121</v>
      </c>
      <c r="L12" t="s">
        <v>2537</v>
      </c>
      <c r="N12">
        <v>2.73</v>
      </c>
      <c r="O12">
        <v>2.73</v>
      </c>
      <c r="P12">
        <v>0</v>
      </c>
      <c r="Q12">
        <v>0</v>
      </c>
      <c r="R12">
        <v>0</v>
      </c>
    </row>
    <row r="13" spans="1:18" x14ac:dyDescent="0.3">
      <c r="A13">
        <v>55</v>
      </c>
      <c r="B13" t="s">
        <v>1217</v>
      </c>
      <c r="C13" t="s">
        <v>4109</v>
      </c>
      <c r="D13" t="s">
        <v>159</v>
      </c>
      <c r="E13" t="s">
        <v>159</v>
      </c>
      <c r="F13">
        <v>8283</v>
      </c>
      <c r="G13" t="s">
        <v>4149</v>
      </c>
      <c r="H13" t="s">
        <v>4149</v>
      </c>
      <c r="I13" t="s">
        <v>4120</v>
      </c>
      <c r="J13" t="s">
        <v>1204</v>
      </c>
      <c r="K13" t="s">
        <v>4121</v>
      </c>
      <c r="L13" t="s">
        <v>2537</v>
      </c>
      <c r="N13">
        <v>0.61</v>
      </c>
      <c r="O13">
        <v>0.61</v>
      </c>
      <c r="P13">
        <v>0</v>
      </c>
      <c r="Q13">
        <v>0</v>
      </c>
      <c r="R13">
        <v>0</v>
      </c>
    </row>
    <row r="14" spans="1:18" x14ac:dyDescent="0.3">
      <c r="A14">
        <v>55</v>
      </c>
      <c r="B14" t="s">
        <v>1217</v>
      </c>
      <c r="C14" t="s">
        <v>4109</v>
      </c>
      <c r="D14" t="s">
        <v>159</v>
      </c>
      <c r="E14" t="s">
        <v>159</v>
      </c>
      <c r="F14">
        <v>8283</v>
      </c>
      <c r="G14" t="s">
        <v>4150</v>
      </c>
      <c r="H14" t="s">
        <v>4150</v>
      </c>
      <c r="I14" t="s">
        <v>4120</v>
      </c>
      <c r="J14" t="s">
        <v>1204</v>
      </c>
      <c r="K14" t="s">
        <v>4121</v>
      </c>
      <c r="L14" t="s">
        <v>2537</v>
      </c>
      <c r="N14">
        <v>0.19</v>
      </c>
      <c r="O14">
        <v>0.19</v>
      </c>
      <c r="P14">
        <v>0</v>
      </c>
      <c r="Q14">
        <v>0</v>
      </c>
      <c r="R14">
        <v>0</v>
      </c>
    </row>
    <row r="15" spans="1:18" x14ac:dyDescent="0.3">
      <c r="A15">
        <v>55</v>
      </c>
      <c r="B15" t="s">
        <v>1217</v>
      </c>
      <c r="C15" t="s">
        <v>4109</v>
      </c>
      <c r="D15" t="s">
        <v>159</v>
      </c>
      <c r="E15" t="s">
        <v>159</v>
      </c>
      <c r="F15">
        <v>8283</v>
      </c>
      <c r="G15" t="s">
        <v>4151</v>
      </c>
      <c r="H15" t="s">
        <v>4151</v>
      </c>
      <c r="I15" t="s">
        <v>4120</v>
      </c>
      <c r="J15" t="s">
        <v>4152</v>
      </c>
      <c r="K15" t="s">
        <v>4121</v>
      </c>
      <c r="L15" t="s">
        <v>2537</v>
      </c>
      <c r="N15">
        <v>10.93</v>
      </c>
      <c r="O15">
        <v>10.93</v>
      </c>
      <c r="P15">
        <v>0</v>
      </c>
      <c r="Q15">
        <v>0</v>
      </c>
      <c r="R15">
        <v>0</v>
      </c>
    </row>
    <row r="16" spans="1:18" x14ac:dyDescent="0.3">
      <c r="A16">
        <v>55</v>
      </c>
      <c r="B16" t="s">
        <v>1217</v>
      </c>
      <c r="C16" t="s">
        <v>4109</v>
      </c>
      <c r="D16" t="s">
        <v>159</v>
      </c>
      <c r="E16" t="s">
        <v>159</v>
      </c>
      <c r="F16">
        <v>8283</v>
      </c>
      <c r="G16" t="s">
        <v>4153</v>
      </c>
      <c r="H16" t="s">
        <v>4154</v>
      </c>
      <c r="I16" t="s">
        <v>4124</v>
      </c>
      <c r="J16" t="s">
        <v>4155</v>
      </c>
      <c r="K16" t="s">
        <v>4126</v>
      </c>
      <c r="L16" t="s">
        <v>2537</v>
      </c>
      <c r="M16" t="s">
        <v>4118</v>
      </c>
      <c r="N16">
        <v>49</v>
      </c>
      <c r="O16">
        <v>49</v>
      </c>
      <c r="P16">
        <v>0</v>
      </c>
      <c r="Q16">
        <v>0</v>
      </c>
      <c r="R16">
        <v>0</v>
      </c>
    </row>
    <row r="17" spans="1:18" x14ac:dyDescent="0.3">
      <c r="A17">
        <v>55</v>
      </c>
      <c r="B17" t="s">
        <v>1217</v>
      </c>
      <c r="C17" t="s">
        <v>4109</v>
      </c>
      <c r="D17" t="s">
        <v>159</v>
      </c>
      <c r="E17" t="s">
        <v>159</v>
      </c>
      <c r="F17">
        <v>8283</v>
      </c>
      <c r="G17" t="s">
        <v>4156</v>
      </c>
      <c r="H17" t="s">
        <v>4156</v>
      </c>
      <c r="I17" t="s">
        <v>4120</v>
      </c>
      <c r="J17" t="s">
        <v>1204</v>
      </c>
      <c r="K17" t="s">
        <v>4121</v>
      </c>
      <c r="L17" t="s">
        <v>2537</v>
      </c>
      <c r="N17">
        <v>9.9</v>
      </c>
      <c r="O17">
        <v>9.9</v>
      </c>
      <c r="P17">
        <v>0</v>
      </c>
      <c r="Q17">
        <v>0</v>
      </c>
      <c r="R17">
        <v>0</v>
      </c>
    </row>
    <row r="18" spans="1:18" x14ac:dyDescent="0.3">
      <c r="A18">
        <v>55</v>
      </c>
      <c r="B18" t="s">
        <v>1217</v>
      </c>
      <c r="C18" t="s">
        <v>4109</v>
      </c>
      <c r="D18" t="s">
        <v>159</v>
      </c>
      <c r="E18" t="s">
        <v>159</v>
      </c>
      <c r="F18">
        <v>8283</v>
      </c>
      <c r="G18" t="s">
        <v>4157</v>
      </c>
      <c r="H18" t="s">
        <v>4158</v>
      </c>
      <c r="I18" t="s">
        <v>4124</v>
      </c>
      <c r="J18" t="s">
        <v>4159</v>
      </c>
      <c r="K18" t="s">
        <v>4126</v>
      </c>
      <c r="L18" t="s">
        <v>2537</v>
      </c>
      <c r="M18" t="s">
        <v>4118</v>
      </c>
      <c r="N18">
        <v>4.9000000000000004</v>
      </c>
      <c r="O18">
        <v>4.9000000000000004</v>
      </c>
      <c r="P18">
        <v>0</v>
      </c>
      <c r="Q18">
        <v>0</v>
      </c>
      <c r="R18">
        <v>0</v>
      </c>
    </row>
    <row r="19" spans="1:18" x14ac:dyDescent="0.3">
      <c r="A19">
        <v>55</v>
      </c>
      <c r="B19" t="s">
        <v>1217</v>
      </c>
      <c r="C19" t="s">
        <v>4109</v>
      </c>
      <c r="D19" t="s">
        <v>159</v>
      </c>
      <c r="E19" t="s">
        <v>159</v>
      </c>
      <c r="F19">
        <v>8283</v>
      </c>
      <c r="G19" t="s">
        <v>4145</v>
      </c>
      <c r="H19" t="s">
        <v>4145</v>
      </c>
      <c r="I19" t="s">
        <v>4120</v>
      </c>
      <c r="J19" t="s">
        <v>4160</v>
      </c>
      <c r="K19" t="s">
        <v>4121</v>
      </c>
      <c r="L19" t="s">
        <v>2537</v>
      </c>
      <c r="N19">
        <v>4.8</v>
      </c>
      <c r="O19">
        <v>4.8</v>
      </c>
      <c r="P19">
        <v>0</v>
      </c>
      <c r="Q19">
        <v>0</v>
      </c>
      <c r="R19">
        <v>0</v>
      </c>
    </row>
    <row r="20" spans="1:18" x14ac:dyDescent="0.3">
      <c r="A20">
        <v>55</v>
      </c>
      <c r="B20" t="s">
        <v>1217</v>
      </c>
      <c r="C20" t="s">
        <v>4109</v>
      </c>
      <c r="D20" t="s">
        <v>159</v>
      </c>
      <c r="E20" t="s">
        <v>159</v>
      </c>
      <c r="F20">
        <v>8283</v>
      </c>
      <c r="G20" t="s">
        <v>4161</v>
      </c>
      <c r="H20" t="s">
        <v>4161</v>
      </c>
      <c r="I20" t="s">
        <v>4120</v>
      </c>
      <c r="J20" t="s">
        <v>4160</v>
      </c>
      <c r="K20" t="s">
        <v>4121</v>
      </c>
      <c r="L20" t="s">
        <v>2537</v>
      </c>
      <c r="N20">
        <v>6.4</v>
      </c>
      <c r="O20">
        <v>6.4</v>
      </c>
      <c r="P20">
        <v>0</v>
      </c>
      <c r="Q20">
        <v>0</v>
      </c>
      <c r="R20">
        <v>0</v>
      </c>
    </row>
    <row r="21" spans="1:18" x14ac:dyDescent="0.3">
      <c r="A21">
        <v>55</v>
      </c>
      <c r="B21" t="s">
        <v>1217</v>
      </c>
      <c r="C21" t="s">
        <v>4109</v>
      </c>
      <c r="D21" t="s">
        <v>159</v>
      </c>
      <c r="E21" t="s">
        <v>159</v>
      </c>
      <c r="F21">
        <v>8283</v>
      </c>
      <c r="G21" t="s">
        <v>4162</v>
      </c>
      <c r="H21" t="s">
        <v>4162</v>
      </c>
      <c r="I21" t="s">
        <v>4120</v>
      </c>
      <c r="J21" t="s">
        <v>4163</v>
      </c>
      <c r="K21" t="s">
        <v>4121</v>
      </c>
      <c r="L21" t="s">
        <v>2537</v>
      </c>
      <c r="N21">
        <v>1.54</v>
      </c>
      <c r="O21">
        <v>1.54</v>
      </c>
      <c r="P21">
        <v>0</v>
      </c>
      <c r="Q21">
        <v>0</v>
      </c>
      <c r="R21">
        <v>0</v>
      </c>
    </row>
    <row r="22" spans="1:18" x14ac:dyDescent="0.3">
      <c r="A22">
        <v>55</v>
      </c>
      <c r="B22" t="s">
        <v>1217</v>
      </c>
      <c r="C22" t="s">
        <v>4109</v>
      </c>
      <c r="D22" t="s">
        <v>159</v>
      </c>
      <c r="E22" t="s">
        <v>159</v>
      </c>
      <c r="F22">
        <v>8283</v>
      </c>
      <c r="G22" t="s">
        <v>4164</v>
      </c>
      <c r="I22" t="s">
        <v>4124</v>
      </c>
      <c r="J22" t="s">
        <v>4165</v>
      </c>
      <c r="K22" t="s">
        <v>4126</v>
      </c>
      <c r="L22" t="s">
        <v>2537</v>
      </c>
      <c r="M22" t="s">
        <v>4118</v>
      </c>
      <c r="N22">
        <v>140</v>
      </c>
      <c r="O22">
        <v>140</v>
      </c>
      <c r="P22">
        <v>0</v>
      </c>
      <c r="Q22">
        <v>0</v>
      </c>
      <c r="R22">
        <v>0</v>
      </c>
    </row>
    <row r="23" spans="1:18" x14ac:dyDescent="0.3">
      <c r="A23">
        <v>64</v>
      </c>
      <c r="B23" t="s">
        <v>1220</v>
      </c>
      <c r="C23" t="s">
        <v>4109</v>
      </c>
      <c r="D23" t="s">
        <v>159</v>
      </c>
      <c r="E23" t="s">
        <v>159</v>
      </c>
      <c r="F23">
        <v>6851</v>
      </c>
      <c r="G23" t="s">
        <v>4166</v>
      </c>
      <c r="H23" t="s">
        <v>4167</v>
      </c>
      <c r="I23" t="s">
        <v>4167</v>
      </c>
      <c r="K23" t="s">
        <v>4168</v>
      </c>
      <c r="L23" t="s">
        <v>2537</v>
      </c>
      <c r="M23" t="s">
        <v>4130</v>
      </c>
      <c r="N23">
        <v>50</v>
      </c>
      <c r="O23">
        <v>39</v>
      </c>
      <c r="P23">
        <v>8</v>
      </c>
      <c r="Q23">
        <v>0</v>
      </c>
      <c r="R23">
        <v>0</v>
      </c>
    </row>
    <row r="24" spans="1:18" x14ac:dyDescent="0.3">
      <c r="A24">
        <v>82</v>
      </c>
      <c r="B24" t="s">
        <v>1224</v>
      </c>
      <c r="C24" t="s">
        <v>4109</v>
      </c>
      <c r="D24" t="s">
        <v>159</v>
      </c>
      <c r="E24" t="s">
        <v>159</v>
      </c>
      <c r="F24">
        <v>6783</v>
      </c>
      <c r="G24" t="s">
        <v>4169</v>
      </c>
      <c r="H24" t="s">
        <v>4170</v>
      </c>
      <c r="I24" t="s">
        <v>4171</v>
      </c>
      <c r="K24" t="s">
        <v>4117</v>
      </c>
      <c r="L24" t="s">
        <v>2530</v>
      </c>
      <c r="M24" t="s">
        <v>4113</v>
      </c>
      <c r="N24">
        <v>44584.802684800001</v>
      </c>
      <c r="O24">
        <v>30424.954144899999</v>
      </c>
      <c r="P24">
        <v>804.04861670000003</v>
      </c>
      <c r="Q24">
        <v>21196.808379949998</v>
      </c>
      <c r="R24">
        <v>0</v>
      </c>
    </row>
    <row r="25" spans="1:18" x14ac:dyDescent="0.3">
      <c r="A25">
        <v>94</v>
      </c>
      <c r="B25" t="s">
        <v>1232</v>
      </c>
      <c r="C25" t="s">
        <v>4109</v>
      </c>
      <c r="D25" t="s">
        <v>159</v>
      </c>
      <c r="E25" t="s">
        <v>159</v>
      </c>
      <c r="F25">
        <v>8740</v>
      </c>
      <c r="G25" t="s">
        <v>4172</v>
      </c>
      <c r="H25" t="s">
        <v>4173</v>
      </c>
      <c r="I25" t="s">
        <v>4174</v>
      </c>
      <c r="J25" t="s">
        <v>4175</v>
      </c>
      <c r="K25" t="s">
        <v>4176</v>
      </c>
      <c r="L25" t="s">
        <v>2530</v>
      </c>
      <c r="M25" t="s">
        <v>4118</v>
      </c>
      <c r="N25">
        <v>1181.52182225</v>
      </c>
      <c r="O25">
        <v>0</v>
      </c>
      <c r="P25">
        <v>1181.52182225</v>
      </c>
      <c r="Q25">
        <v>0</v>
      </c>
      <c r="R25">
        <v>0</v>
      </c>
    </row>
    <row r="26" spans="1:18" x14ac:dyDescent="0.3">
      <c r="A26">
        <v>94</v>
      </c>
      <c r="B26" t="s">
        <v>1232</v>
      </c>
      <c r="C26" t="s">
        <v>4109</v>
      </c>
      <c r="D26" t="s">
        <v>159</v>
      </c>
      <c r="E26" t="s">
        <v>159</v>
      </c>
      <c r="F26">
        <v>8740</v>
      </c>
      <c r="G26" t="s">
        <v>4172</v>
      </c>
      <c r="H26" t="s">
        <v>4177</v>
      </c>
      <c r="I26" t="s">
        <v>4178</v>
      </c>
      <c r="J26" t="s">
        <v>4175</v>
      </c>
      <c r="K26" t="s">
        <v>4117</v>
      </c>
      <c r="L26" t="s">
        <v>2530</v>
      </c>
      <c r="M26" t="s">
        <v>4118</v>
      </c>
      <c r="N26">
        <v>1767.6794015999999</v>
      </c>
      <c r="O26">
        <v>1767.6794015999999</v>
      </c>
      <c r="P26">
        <v>0</v>
      </c>
      <c r="Q26">
        <v>0</v>
      </c>
      <c r="R26">
        <v>0</v>
      </c>
    </row>
    <row r="27" spans="1:18" x14ac:dyDescent="0.3">
      <c r="A27">
        <v>107</v>
      </c>
      <c r="B27" t="s">
        <v>1238</v>
      </c>
      <c r="C27" t="s">
        <v>4109</v>
      </c>
      <c r="D27" t="s">
        <v>159</v>
      </c>
      <c r="E27" t="s">
        <v>159</v>
      </c>
      <c r="F27">
        <v>7175</v>
      </c>
      <c r="G27" t="s">
        <v>4179</v>
      </c>
      <c r="H27" t="s">
        <v>4180</v>
      </c>
      <c r="I27" t="s">
        <v>4180</v>
      </c>
      <c r="J27">
        <v>3400100001</v>
      </c>
      <c r="K27" t="s">
        <v>4112</v>
      </c>
      <c r="L27" t="s">
        <v>2537</v>
      </c>
      <c r="M27" t="s">
        <v>4113</v>
      </c>
      <c r="N27">
        <v>1402.4817474500001</v>
      </c>
      <c r="O27">
        <v>1402.4817474500001</v>
      </c>
      <c r="P27">
        <v>0</v>
      </c>
      <c r="Q27">
        <v>0</v>
      </c>
      <c r="R27">
        <v>0</v>
      </c>
    </row>
    <row r="28" spans="1:18" x14ac:dyDescent="0.3">
      <c r="A28">
        <v>123</v>
      </c>
      <c r="B28" t="s">
        <v>1242</v>
      </c>
      <c r="C28" t="s">
        <v>4109</v>
      </c>
      <c r="D28" t="s">
        <v>1203</v>
      </c>
      <c r="E28" t="s">
        <v>1204</v>
      </c>
      <c r="F28">
        <v>5757</v>
      </c>
      <c r="G28" t="s">
        <v>4181</v>
      </c>
      <c r="H28" t="s">
        <v>4182</v>
      </c>
      <c r="I28" t="s">
        <v>4183</v>
      </c>
      <c r="K28" t="s">
        <v>4112</v>
      </c>
      <c r="L28" t="s">
        <v>2530</v>
      </c>
      <c r="M28" t="s">
        <v>4113</v>
      </c>
      <c r="N28">
        <v>12167</v>
      </c>
      <c r="O28">
        <v>12167</v>
      </c>
      <c r="P28">
        <v>0</v>
      </c>
      <c r="Q28">
        <v>0</v>
      </c>
      <c r="R28">
        <v>0</v>
      </c>
    </row>
    <row r="29" spans="1:18" x14ac:dyDescent="0.3">
      <c r="A29">
        <v>123</v>
      </c>
      <c r="B29" t="s">
        <v>1242</v>
      </c>
      <c r="C29" t="s">
        <v>4109</v>
      </c>
      <c r="D29" t="s">
        <v>1203</v>
      </c>
      <c r="E29" t="s">
        <v>1204</v>
      </c>
      <c r="F29">
        <v>5757</v>
      </c>
      <c r="G29" t="s">
        <v>4181</v>
      </c>
      <c r="H29" t="s">
        <v>4182</v>
      </c>
      <c r="I29" t="s">
        <v>4184</v>
      </c>
      <c r="K29" t="s">
        <v>4126</v>
      </c>
      <c r="L29" t="s">
        <v>2530</v>
      </c>
      <c r="M29" t="s">
        <v>4113</v>
      </c>
      <c r="N29">
        <v>7114</v>
      </c>
      <c r="O29">
        <v>0</v>
      </c>
      <c r="P29">
        <v>0</v>
      </c>
      <c r="Q29">
        <v>7114</v>
      </c>
      <c r="R29">
        <v>0</v>
      </c>
    </row>
    <row r="30" spans="1:18" x14ac:dyDescent="0.3">
      <c r="A30">
        <v>123</v>
      </c>
      <c r="B30" t="s">
        <v>1242</v>
      </c>
      <c r="C30" t="s">
        <v>4109</v>
      </c>
      <c r="D30" t="s">
        <v>1203</v>
      </c>
      <c r="E30" t="s">
        <v>1204</v>
      </c>
      <c r="F30">
        <v>5757</v>
      </c>
      <c r="G30" t="s">
        <v>4181</v>
      </c>
      <c r="H30" t="s">
        <v>4182</v>
      </c>
      <c r="I30" t="s">
        <v>4185</v>
      </c>
      <c r="K30" t="s">
        <v>4126</v>
      </c>
      <c r="L30" t="s">
        <v>2530</v>
      </c>
      <c r="M30" t="s">
        <v>4130</v>
      </c>
      <c r="N30">
        <v>664</v>
      </c>
      <c r="O30">
        <v>0</v>
      </c>
      <c r="P30">
        <v>664</v>
      </c>
      <c r="Q30">
        <v>0</v>
      </c>
      <c r="R30">
        <v>0</v>
      </c>
    </row>
    <row r="31" spans="1:18" x14ac:dyDescent="0.3">
      <c r="A31">
        <v>129</v>
      </c>
      <c r="B31" t="s">
        <v>1250</v>
      </c>
      <c r="C31" t="s">
        <v>4109</v>
      </c>
      <c r="D31" t="s">
        <v>159</v>
      </c>
      <c r="E31" t="s">
        <v>159</v>
      </c>
      <c r="F31">
        <v>7821</v>
      </c>
      <c r="G31" t="s">
        <v>4186</v>
      </c>
      <c r="H31" t="s">
        <v>4187</v>
      </c>
      <c r="I31" t="s">
        <v>4188</v>
      </c>
      <c r="K31" t="s">
        <v>4112</v>
      </c>
      <c r="L31" t="s">
        <v>2537</v>
      </c>
      <c r="M31" t="s">
        <v>4118</v>
      </c>
      <c r="N31">
        <v>2185</v>
      </c>
      <c r="O31">
        <v>2185</v>
      </c>
      <c r="P31">
        <v>0</v>
      </c>
      <c r="Q31">
        <v>0</v>
      </c>
      <c r="R31">
        <v>0</v>
      </c>
    </row>
    <row r="32" spans="1:18" x14ac:dyDescent="0.3">
      <c r="A32">
        <v>159</v>
      </c>
      <c r="B32" t="s">
        <v>1251</v>
      </c>
      <c r="C32" t="s">
        <v>4109</v>
      </c>
      <c r="D32" t="s">
        <v>1203</v>
      </c>
      <c r="E32" t="s">
        <v>1204</v>
      </c>
      <c r="F32">
        <v>6161</v>
      </c>
      <c r="G32" t="s">
        <v>4189</v>
      </c>
      <c r="H32" t="s">
        <v>4190</v>
      </c>
      <c r="I32" t="s">
        <v>4191</v>
      </c>
      <c r="J32">
        <v>8330101001</v>
      </c>
      <c r="K32" t="s">
        <v>687</v>
      </c>
      <c r="L32" t="s">
        <v>2537</v>
      </c>
      <c r="M32" t="s">
        <v>4130</v>
      </c>
      <c r="N32">
        <v>0</v>
      </c>
      <c r="O32">
        <v>0</v>
      </c>
      <c r="P32">
        <v>0</v>
      </c>
      <c r="Q32">
        <v>0</v>
      </c>
      <c r="R32">
        <v>0</v>
      </c>
    </row>
    <row r="33" spans="1:18" x14ac:dyDescent="0.3">
      <c r="A33">
        <v>159</v>
      </c>
      <c r="B33" t="s">
        <v>1251</v>
      </c>
      <c r="C33" t="s">
        <v>4109</v>
      </c>
      <c r="D33" t="s">
        <v>1203</v>
      </c>
      <c r="E33" t="s">
        <v>1204</v>
      </c>
      <c r="F33">
        <v>6161</v>
      </c>
      <c r="G33" t="s">
        <v>4189</v>
      </c>
      <c r="H33" t="s">
        <v>4192</v>
      </c>
      <c r="I33" t="s">
        <v>4193</v>
      </c>
      <c r="J33">
        <v>8330101001</v>
      </c>
      <c r="K33" t="s">
        <v>4117</v>
      </c>
      <c r="L33" t="s">
        <v>2537</v>
      </c>
      <c r="M33" t="s">
        <v>4130</v>
      </c>
      <c r="N33">
        <v>0</v>
      </c>
      <c r="O33">
        <v>0</v>
      </c>
      <c r="P33">
        <v>0</v>
      </c>
      <c r="Q33">
        <v>0</v>
      </c>
      <c r="R33">
        <v>0</v>
      </c>
    </row>
    <row r="34" spans="1:18" x14ac:dyDescent="0.3">
      <c r="A34">
        <v>159</v>
      </c>
      <c r="B34" t="s">
        <v>1251</v>
      </c>
      <c r="C34" t="s">
        <v>4109</v>
      </c>
      <c r="D34" t="s">
        <v>1203</v>
      </c>
      <c r="E34" t="s">
        <v>1204</v>
      </c>
      <c r="F34">
        <v>6161</v>
      </c>
      <c r="G34" t="s">
        <v>4189</v>
      </c>
      <c r="H34" t="s">
        <v>4194</v>
      </c>
      <c r="I34" t="s">
        <v>4195</v>
      </c>
      <c r="J34">
        <v>8330101001</v>
      </c>
      <c r="K34" t="s">
        <v>687</v>
      </c>
      <c r="L34" t="s">
        <v>2537</v>
      </c>
      <c r="M34" t="s">
        <v>4130</v>
      </c>
      <c r="N34">
        <v>0</v>
      </c>
      <c r="O34">
        <v>0</v>
      </c>
      <c r="P34">
        <v>0</v>
      </c>
      <c r="Q34">
        <v>0</v>
      </c>
      <c r="R34">
        <v>0</v>
      </c>
    </row>
    <row r="35" spans="1:18" x14ac:dyDescent="0.3">
      <c r="A35">
        <v>159</v>
      </c>
      <c r="B35" t="s">
        <v>1251</v>
      </c>
      <c r="C35" t="s">
        <v>4109</v>
      </c>
      <c r="D35" t="s">
        <v>1203</v>
      </c>
      <c r="E35" t="s">
        <v>1204</v>
      </c>
      <c r="F35">
        <v>6161</v>
      </c>
      <c r="G35" t="s">
        <v>4189</v>
      </c>
      <c r="H35" t="s">
        <v>4196</v>
      </c>
      <c r="I35" t="s">
        <v>4197</v>
      </c>
      <c r="J35">
        <v>8330101001</v>
      </c>
      <c r="K35" t="s">
        <v>687</v>
      </c>
      <c r="L35" t="s">
        <v>2537</v>
      </c>
      <c r="M35" t="s">
        <v>4130</v>
      </c>
      <c r="N35">
        <v>0</v>
      </c>
      <c r="O35">
        <v>0</v>
      </c>
      <c r="P35">
        <v>0</v>
      </c>
      <c r="Q35">
        <v>0</v>
      </c>
      <c r="R35">
        <v>0</v>
      </c>
    </row>
    <row r="36" spans="1:18" x14ac:dyDescent="0.3">
      <c r="A36">
        <v>159</v>
      </c>
      <c r="B36" t="s">
        <v>1251</v>
      </c>
      <c r="C36" t="s">
        <v>4109</v>
      </c>
      <c r="D36" t="s">
        <v>1203</v>
      </c>
      <c r="E36" t="s">
        <v>1204</v>
      </c>
      <c r="F36">
        <v>6161</v>
      </c>
      <c r="G36" t="s">
        <v>4189</v>
      </c>
      <c r="H36" t="s">
        <v>4198</v>
      </c>
      <c r="I36" t="s">
        <v>4199</v>
      </c>
      <c r="J36">
        <v>8330101001</v>
      </c>
      <c r="K36" t="s">
        <v>4135</v>
      </c>
      <c r="L36" t="s">
        <v>2537</v>
      </c>
      <c r="M36" t="s">
        <v>4130</v>
      </c>
      <c r="N36">
        <v>4032</v>
      </c>
      <c r="O36">
        <v>4032</v>
      </c>
      <c r="P36">
        <v>0</v>
      </c>
      <c r="Q36">
        <v>0</v>
      </c>
      <c r="R36">
        <v>0</v>
      </c>
    </row>
    <row r="37" spans="1:18" x14ac:dyDescent="0.3">
      <c r="A37">
        <v>167</v>
      </c>
      <c r="B37" t="s">
        <v>1257</v>
      </c>
      <c r="C37" t="s">
        <v>4109</v>
      </c>
      <c r="D37" t="s">
        <v>1203</v>
      </c>
      <c r="E37" t="s">
        <v>1204</v>
      </c>
      <c r="F37">
        <v>8290</v>
      </c>
      <c r="G37" t="s">
        <v>4200</v>
      </c>
      <c r="H37" t="s">
        <v>4201</v>
      </c>
      <c r="I37" t="s">
        <v>4202</v>
      </c>
      <c r="K37" t="s">
        <v>4126</v>
      </c>
      <c r="L37" t="s">
        <v>2537</v>
      </c>
      <c r="M37" t="s">
        <v>4113</v>
      </c>
      <c r="N37">
        <v>33</v>
      </c>
      <c r="O37">
        <v>0</v>
      </c>
      <c r="P37">
        <v>0</v>
      </c>
      <c r="Q37">
        <v>0</v>
      </c>
    </row>
    <row r="38" spans="1:18" x14ac:dyDescent="0.3">
      <c r="A38">
        <v>178</v>
      </c>
      <c r="B38" t="s">
        <v>1261</v>
      </c>
      <c r="C38" t="s">
        <v>4109</v>
      </c>
      <c r="D38" t="s">
        <v>159</v>
      </c>
      <c r="E38" t="s">
        <v>159</v>
      </c>
      <c r="F38">
        <v>8790</v>
      </c>
      <c r="G38" t="s">
        <v>4203</v>
      </c>
      <c r="H38" t="s">
        <v>4204</v>
      </c>
      <c r="I38" t="s">
        <v>4205</v>
      </c>
      <c r="K38" t="s">
        <v>4117</v>
      </c>
      <c r="L38" t="s">
        <v>2537</v>
      </c>
      <c r="M38" t="s">
        <v>4130</v>
      </c>
      <c r="N38">
        <v>2083</v>
      </c>
      <c r="O38">
        <v>2083</v>
      </c>
      <c r="P38">
        <v>0</v>
      </c>
      <c r="Q38">
        <v>0</v>
      </c>
      <c r="R38">
        <v>0</v>
      </c>
    </row>
    <row r="39" spans="1:18" x14ac:dyDescent="0.3">
      <c r="A39">
        <v>241</v>
      </c>
      <c r="B39" t="s">
        <v>1271</v>
      </c>
      <c r="C39" t="s">
        <v>4109</v>
      </c>
      <c r="D39" t="s">
        <v>159</v>
      </c>
      <c r="E39" t="s">
        <v>159</v>
      </c>
      <c r="F39">
        <v>5667</v>
      </c>
      <c r="G39" t="s">
        <v>4206</v>
      </c>
      <c r="H39" t="s">
        <v>4207</v>
      </c>
      <c r="I39" t="s">
        <v>4208</v>
      </c>
      <c r="K39" t="s">
        <v>4112</v>
      </c>
      <c r="L39" t="s">
        <v>2537</v>
      </c>
      <c r="M39" t="s">
        <v>4118</v>
      </c>
      <c r="N39">
        <v>1562</v>
      </c>
      <c r="O39">
        <v>1562</v>
      </c>
      <c r="P39">
        <v>0</v>
      </c>
      <c r="Q39">
        <v>0</v>
      </c>
    </row>
    <row r="40" spans="1:18" x14ac:dyDescent="0.3">
      <c r="A40">
        <v>262</v>
      </c>
      <c r="B40" t="s">
        <v>1273</v>
      </c>
      <c r="C40" t="s">
        <v>4109</v>
      </c>
      <c r="D40" t="s">
        <v>159</v>
      </c>
      <c r="E40" t="s">
        <v>159</v>
      </c>
      <c r="F40">
        <v>8202</v>
      </c>
      <c r="G40" t="s">
        <v>4209</v>
      </c>
      <c r="H40">
        <v>1</v>
      </c>
      <c r="I40" t="s">
        <v>4210</v>
      </c>
      <c r="J40" t="s">
        <v>4211</v>
      </c>
      <c r="K40" t="s">
        <v>4135</v>
      </c>
      <c r="L40" t="s">
        <v>2537</v>
      </c>
      <c r="M40" t="s">
        <v>4212</v>
      </c>
      <c r="N40">
        <v>3179.3678126</v>
      </c>
      <c r="O40">
        <v>3179.3678126</v>
      </c>
      <c r="P40">
        <v>0</v>
      </c>
      <c r="Q40">
        <v>0</v>
      </c>
      <c r="R40">
        <v>0</v>
      </c>
    </row>
    <row r="41" spans="1:18" x14ac:dyDescent="0.3">
      <c r="A41">
        <v>264</v>
      </c>
      <c r="B41" t="s">
        <v>1283</v>
      </c>
      <c r="C41" t="s">
        <v>4109</v>
      </c>
      <c r="D41" t="s">
        <v>159</v>
      </c>
      <c r="E41" t="s">
        <v>159</v>
      </c>
      <c r="F41">
        <v>6905</v>
      </c>
      <c r="G41" t="s">
        <v>4213</v>
      </c>
      <c r="H41" t="s">
        <v>4214</v>
      </c>
      <c r="I41" t="s">
        <v>4215</v>
      </c>
      <c r="J41" t="s">
        <v>4216</v>
      </c>
      <c r="K41" t="s">
        <v>4135</v>
      </c>
      <c r="L41" t="s">
        <v>2537</v>
      </c>
      <c r="M41" t="s">
        <v>4130</v>
      </c>
      <c r="N41">
        <v>4465.2318217499997</v>
      </c>
      <c r="O41">
        <v>3234.6077939000002</v>
      </c>
      <c r="P41">
        <v>969.7685606</v>
      </c>
      <c r="Q41">
        <v>0</v>
      </c>
      <c r="R41">
        <v>0</v>
      </c>
    </row>
    <row r="42" spans="1:18" x14ac:dyDescent="0.3">
      <c r="A42">
        <v>285</v>
      </c>
      <c r="B42" t="s">
        <v>1290</v>
      </c>
      <c r="C42" t="s">
        <v>4109</v>
      </c>
      <c r="D42" t="s">
        <v>159</v>
      </c>
      <c r="E42" t="s">
        <v>159</v>
      </c>
      <c r="F42">
        <v>8541</v>
      </c>
      <c r="G42" t="s">
        <v>4217</v>
      </c>
      <c r="H42" t="s">
        <v>4218</v>
      </c>
      <c r="I42" t="s">
        <v>4219</v>
      </c>
      <c r="J42" t="s">
        <v>4220</v>
      </c>
      <c r="K42" t="s">
        <v>4135</v>
      </c>
      <c r="L42" t="s">
        <v>2530</v>
      </c>
      <c r="M42" t="s">
        <v>4130</v>
      </c>
      <c r="N42">
        <v>6940</v>
      </c>
      <c r="O42">
        <v>3790</v>
      </c>
      <c r="P42">
        <v>3105</v>
      </c>
      <c r="Q42">
        <v>45</v>
      </c>
      <c r="R42">
        <v>0</v>
      </c>
    </row>
    <row r="43" spans="1:18" x14ac:dyDescent="0.3">
      <c r="A43">
        <v>286</v>
      </c>
      <c r="B43" t="s">
        <v>1295</v>
      </c>
      <c r="C43" t="s">
        <v>4109</v>
      </c>
      <c r="D43" t="s">
        <v>159</v>
      </c>
      <c r="E43" t="s">
        <v>159</v>
      </c>
      <c r="F43">
        <v>5826</v>
      </c>
      <c r="G43" t="s">
        <v>4221</v>
      </c>
      <c r="H43">
        <v>2</v>
      </c>
      <c r="I43" t="s">
        <v>4222</v>
      </c>
      <c r="K43" t="s">
        <v>4117</v>
      </c>
      <c r="L43" t="s">
        <v>2530</v>
      </c>
      <c r="M43" t="s">
        <v>4118</v>
      </c>
      <c r="N43">
        <v>2881.6856911499999</v>
      </c>
      <c r="O43">
        <v>2808.0323827500001</v>
      </c>
      <c r="P43">
        <v>50.636649525000003</v>
      </c>
      <c r="Q43">
        <v>0</v>
      </c>
      <c r="R43">
        <v>0</v>
      </c>
    </row>
    <row r="44" spans="1:18" x14ac:dyDescent="0.3">
      <c r="A44">
        <v>351</v>
      </c>
      <c r="B44" t="s">
        <v>1297</v>
      </c>
      <c r="C44" t="s">
        <v>4109</v>
      </c>
      <c r="D44" t="s">
        <v>159</v>
      </c>
      <c r="E44" t="s">
        <v>159</v>
      </c>
      <c r="F44">
        <v>8180</v>
      </c>
      <c r="G44" t="s">
        <v>4223</v>
      </c>
      <c r="H44" t="s">
        <v>4224</v>
      </c>
      <c r="I44" t="s">
        <v>4225</v>
      </c>
      <c r="J44" t="s">
        <v>4226</v>
      </c>
      <c r="K44" t="s">
        <v>4126</v>
      </c>
      <c r="L44" t="s">
        <v>2537</v>
      </c>
      <c r="M44" t="s">
        <v>4130</v>
      </c>
      <c r="N44">
        <v>203</v>
      </c>
      <c r="O44">
        <v>0</v>
      </c>
      <c r="P44">
        <v>212</v>
      </c>
      <c r="Q44">
        <v>0</v>
      </c>
      <c r="R44">
        <v>0</v>
      </c>
    </row>
    <row r="45" spans="1:18" x14ac:dyDescent="0.3">
      <c r="A45">
        <v>351</v>
      </c>
      <c r="B45" t="s">
        <v>1297</v>
      </c>
      <c r="C45" t="s">
        <v>4109</v>
      </c>
      <c r="D45" t="s">
        <v>159</v>
      </c>
      <c r="E45" t="s">
        <v>159</v>
      </c>
      <c r="F45">
        <v>8180</v>
      </c>
      <c r="G45" t="s">
        <v>4227</v>
      </c>
      <c r="H45" t="s">
        <v>4228</v>
      </c>
      <c r="I45" t="s">
        <v>4229</v>
      </c>
      <c r="J45" t="s">
        <v>4230</v>
      </c>
      <c r="K45" t="s">
        <v>4126</v>
      </c>
      <c r="L45" t="s">
        <v>2537</v>
      </c>
      <c r="M45" t="s">
        <v>4130</v>
      </c>
      <c r="N45">
        <v>17</v>
      </c>
      <c r="O45">
        <v>0</v>
      </c>
      <c r="P45">
        <v>0</v>
      </c>
      <c r="Q45">
        <v>0</v>
      </c>
      <c r="R45">
        <v>0</v>
      </c>
    </row>
    <row r="46" spans="1:18" x14ac:dyDescent="0.3">
      <c r="A46">
        <v>351</v>
      </c>
      <c r="B46" t="s">
        <v>1297</v>
      </c>
      <c r="C46" t="s">
        <v>4109</v>
      </c>
      <c r="D46" t="s">
        <v>159</v>
      </c>
      <c r="E46" t="s">
        <v>159</v>
      </c>
      <c r="F46">
        <v>8180</v>
      </c>
      <c r="G46" t="s">
        <v>4231</v>
      </c>
      <c r="H46" t="s">
        <v>4228</v>
      </c>
      <c r="I46" t="s">
        <v>4229</v>
      </c>
      <c r="J46" t="s">
        <v>4232</v>
      </c>
      <c r="K46" t="s">
        <v>4126</v>
      </c>
      <c r="L46" t="s">
        <v>2537</v>
      </c>
      <c r="M46" t="s">
        <v>4118</v>
      </c>
      <c r="N46">
        <v>10</v>
      </c>
      <c r="O46">
        <v>12</v>
      </c>
      <c r="P46">
        <v>0</v>
      </c>
      <c r="Q46">
        <v>0</v>
      </c>
      <c r="R46">
        <v>0</v>
      </c>
    </row>
    <row r="47" spans="1:18" x14ac:dyDescent="0.3">
      <c r="A47">
        <v>351</v>
      </c>
      <c r="B47" t="s">
        <v>1297</v>
      </c>
      <c r="C47" t="s">
        <v>4109</v>
      </c>
      <c r="D47" t="s">
        <v>159</v>
      </c>
      <c r="E47" t="s">
        <v>159</v>
      </c>
      <c r="F47">
        <v>8180</v>
      </c>
      <c r="G47" t="s">
        <v>4233</v>
      </c>
      <c r="H47" t="s">
        <v>4234</v>
      </c>
      <c r="I47" t="s">
        <v>4235</v>
      </c>
      <c r="J47" t="s">
        <v>4236</v>
      </c>
      <c r="K47" t="s">
        <v>4126</v>
      </c>
      <c r="L47" t="s">
        <v>2537</v>
      </c>
      <c r="M47" t="s">
        <v>4118</v>
      </c>
      <c r="N47">
        <v>18</v>
      </c>
      <c r="O47">
        <v>17</v>
      </c>
      <c r="P47">
        <v>0</v>
      </c>
      <c r="Q47">
        <v>0</v>
      </c>
      <c r="R47">
        <v>0</v>
      </c>
    </row>
    <row r="48" spans="1:18" x14ac:dyDescent="0.3">
      <c r="A48">
        <v>351</v>
      </c>
      <c r="B48" t="s">
        <v>1297</v>
      </c>
      <c r="C48" t="s">
        <v>4109</v>
      </c>
      <c r="D48" t="s">
        <v>159</v>
      </c>
      <c r="E48" t="s">
        <v>159</v>
      </c>
      <c r="F48">
        <v>8180</v>
      </c>
      <c r="G48" t="s">
        <v>4237</v>
      </c>
      <c r="H48" t="s">
        <v>4238</v>
      </c>
      <c r="I48" t="s">
        <v>4239</v>
      </c>
      <c r="J48" t="s">
        <v>4240</v>
      </c>
      <c r="K48" t="s">
        <v>4126</v>
      </c>
      <c r="L48" t="s">
        <v>2537</v>
      </c>
      <c r="M48" t="s">
        <v>4118</v>
      </c>
      <c r="N48">
        <v>100</v>
      </c>
      <c r="O48">
        <v>68</v>
      </c>
      <c r="P48">
        <v>0</v>
      </c>
      <c r="Q48">
        <v>0</v>
      </c>
      <c r="R48">
        <v>0</v>
      </c>
    </row>
    <row r="49" spans="1:18" x14ac:dyDescent="0.3">
      <c r="A49">
        <v>351</v>
      </c>
      <c r="B49" t="s">
        <v>1297</v>
      </c>
      <c r="C49" t="s">
        <v>4109</v>
      </c>
      <c r="D49" t="s">
        <v>159</v>
      </c>
      <c r="E49" t="s">
        <v>159</v>
      </c>
      <c r="F49">
        <v>8180</v>
      </c>
      <c r="G49" t="s">
        <v>4241</v>
      </c>
      <c r="H49" t="s">
        <v>4242</v>
      </c>
      <c r="I49" t="s">
        <v>4243</v>
      </c>
      <c r="J49" t="s">
        <v>4244</v>
      </c>
      <c r="K49" t="s">
        <v>4126</v>
      </c>
      <c r="L49" t="s">
        <v>2537</v>
      </c>
      <c r="M49" t="s">
        <v>4130</v>
      </c>
      <c r="N49">
        <v>39</v>
      </c>
      <c r="O49">
        <v>44</v>
      </c>
      <c r="P49">
        <v>0</v>
      </c>
      <c r="Q49">
        <v>0</v>
      </c>
      <c r="R49">
        <v>0</v>
      </c>
    </row>
    <row r="50" spans="1:18" x14ac:dyDescent="0.3">
      <c r="A50">
        <v>351</v>
      </c>
      <c r="B50" t="s">
        <v>1297</v>
      </c>
      <c r="C50" t="s">
        <v>4109</v>
      </c>
      <c r="D50" t="s">
        <v>159</v>
      </c>
      <c r="E50" t="s">
        <v>159</v>
      </c>
      <c r="F50">
        <v>8180</v>
      </c>
      <c r="G50" t="s">
        <v>4245</v>
      </c>
      <c r="H50" t="s">
        <v>4246</v>
      </c>
      <c r="I50" t="s">
        <v>4247</v>
      </c>
      <c r="J50" t="s">
        <v>4248</v>
      </c>
      <c r="K50" t="s">
        <v>4126</v>
      </c>
      <c r="L50" t="s">
        <v>2537</v>
      </c>
      <c r="M50" t="s">
        <v>4130</v>
      </c>
      <c r="N50">
        <v>74</v>
      </c>
      <c r="O50">
        <v>18</v>
      </c>
      <c r="P50">
        <v>43</v>
      </c>
      <c r="Q50">
        <v>0</v>
      </c>
      <c r="R50">
        <v>0</v>
      </c>
    </row>
    <row r="51" spans="1:18" x14ac:dyDescent="0.3">
      <c r="A51">
        <v>351</v>
      </c>
      <c r="B51" t="s">
        <v>1297</v>
      </c>
      <c r="C51" t="s">
        <v>4109</v>
      </c>
      <c r="D51" t="s">
        <v>159</v>
      </c>
      <c r="E51" t="s">
        <v>159</v>
      </c>
      <c r="F51">
        <v>8180</v>
      </c>
      <c r="G51" t="s">
        <v>4249</v>
      </c>
      <c r="H51" t="s">
        <v>4242</v>
      </c>
      <c r="I51" t="s">
        <v>4250</v>
      </c>
      <c r="J51" t="s">
        <v>4226</v>
      </c>
      <c r="K51" t="s">
        <v>4126</v>
      </c>
      <c r="L51" t="s">
        <v>2537</v>
      </c>
      <c r="M51" t="s">
        <v>4118</v>
      </c>
      <c r="N51">
        <v>0</v>
      </c>
      <c r="O51">
        <v>0</v>
      </c>
      <c r="P51">
        <v>0</v>
      </c>
      <c r="Q51">
        <v>0</v>
      </c>
      <c r="R51">
        <v>0</v>
      </c>
    </row>
    <row r="52" spans="1:18" x14ac:dyDescent="0.3">
      <c r="A52">
        <v>351</v>
      </c>
      <c r="B52" t="s">
        <v>1297</v>
      </c>
      <c r="C52" t="s">
        <v>4109</v>
      </c>
      <c r="D52" t="s">
        <v>159</v>
      </c>
      <c r="E52" t="s">
        <v>159</v>
      </c>
      <c r="F52">
        <v>8180</v>
      </c>
      <c r="G52" t="s">
        <v>4251</v>
      </c>
      <c r="H52" t="s">
        <v>4252</v>
      </c>
      <c r="I52" t="s">
        <v>4253</v>
      </c>
      <c r="J52" t="s">
        <v>4254</v>
      </c>
      <c r="K52" t="s">
        <v>4126</v>
      </c>
      <c r="L52" t="s">
        <v>2537</v>
      </c>
      <c r="M52" t="s">
        <v>4130</v>
      </c>
      <c r="N52">
        <v>181</v>
      </c>
      <c r="O52">
        <v>0</v>
      </c>
      <c r="P52">
        <v>186</v>
      </c>
      <c r="Q52">
        <v>0</v>
      </c>
      <c r="R52">
        <v>0</v>
      </c>
    </row>
    <row r="53" spans="1:18" x14ac:dyDescent="0.3">
      <c r="A53">
        <v>351</v>
      </c>
      <c r="B53" t="s">
        <v>1297</v>
      </c>
      <c r="C53" t="s">
        <v>4109</v>
      </c>
      <c r="D53" t="s">
        <v>159</v>
      </c>
      <c r="E53" t="s">
        <v>159</v>
      </c>
      <c r="F53">
        <v>8180</v>
      </c>
      <c r="G53" t="s">
        <v>4255</v>
      </c>
      <c r="H53" t="s">
        <v>4256</v>
      </c>
      <c r="I53" t="s">
        <v>4257</v>
      </c>
      <c r="J53" t="s">
        <v>4258</v>
      </c>
      <c r="K53" t="s">
        <v>4112</v>
      </c>
      <c r="L53" t="s">
        <v>2537</v>
      </c>
      <c r="M53" t="s">
        <v>4113</v>
      </c>
      <c r="N53">
        <v>0</v>
      </c>
      <c r="O53">
        <v>0</v>
      </c>
      <c r="P53">
        <v>0</v>
      </c>
      <c r="Q53">
        <v>0</v>
      </c>
      <c r="R53">
        <v>0</v>
      </c>
    </row>
    <row r="54" spans="1:18" x14ac:dyDescent="0.3">
      <c r="A54">
        <v>353</v>
      </c>
      <c r="B54" t="s">
        <v>1298</v>
      </c>
      <c r="C54" t="s">
        <v>4109</v>
      </c>
      <c r="D54" t="s">
        <v>1203</v>
      </c>
      <c r="E54" t="s">
        <v>1204</v>
      </c>
      <c r="F54">
        <v>7537</v>
      </c>
      <c r="G54" t="s">
        <v>4259</v>
      </c>
      <c r="H54" t="s">
        <v>4260</v>
      </c>
      <c r="I54" t="s">
        <v>4261</v>
      </c>
      <c r="K54" t="s">
        <v>4135</v>
      </c>
      <c r="L54" t="s">
        <v>2537</v>
      </c>
      <c r="M54" t="s">
        <v>4212</v>
      </c>
      <c r="N54">
        <v>2875.5479154499999</v>
      </c>
      <c r="O54">
        <v>2875.5479154499999</v>
      </c>
      <c r="P54">
        <v>0</v>
      </c>
      <c r="Q54">
        <v>0</v>
      </c>
    </row>
    <row r="55" spans="1:18" x14ac:dyDescent="0.3">
      <c r="A55">
        <v>368</v>
      </c>
      <c r="B55" t="s">
        <v>1299</v>
      </c>
      <c r="C55" t="s">
        <v>4109</v>
      </c>
      <c r="D55" t="s">
        <v>159</v>
      </c>
      <c r="E55" t="s">
        <v>159</v>
      </c>
      <c r="F55">
        <v>5562</v>
      </c>
      <c r="G55" t="s">
        <v>4262</v>
      </c>
      <c r="I55" t="s">
        <v>4263</v>
      </c>
      <c r="K55" t="s">
        <v>4168</v>
      </c>
      <c r="L55" t="s">
        <v>2530</v>
      </c>
      <c r="M55" t="s">
        <v>4118</v>
      </c>
      <c r="N55">
        <v>9452</v>
      </c>
      <c r="O55">
        <v>7272</v>
      </c>
      <c r="P55">
        <v>0</v>
      </c>
      <c r="Q55">
        <v>2180</v>
      </c>
      <c r="R55">
        <v>0</v>
      </c>
    </row>
    <row r="56" spans="1:18" x14ac:dyDescent="0.3">
      <c r="A56">
        <v>369</v>
      </c>
      <c r="B56" t="s">
        <v>1305</v>
      </c>
      <c r="C56" t="s">
        <v>4109</v>
      </c>
      <c r="D56" t="s">
        <v>159</v>
      </c>
      <c r="E56" t="s">
        <v>159</v>
      </c>
      <c r="F56">
        <v>5748</v>
      </c>
      <c r="G56" t="s">
        <v>4264</v>
      </c>
      <c r="H56" t="s">
        <v>4265</v>
      </c>
      <c r="I56" t="s">
        <v>4266</v>
      </c>
      <c r="J56" t="s">
        <v>4267</v>
      </c>
      <c r="K56" t="s">
        <v>687</v>
      </c>
      <c r="L56" t="s">
        <v>2537</v>
      </c>
      <c r="M56" t="s">
        <v>4130</v>
      </c>
      <c r="N56">
        <v>85</v>
      </c>
      <c r="O56">
        <v>0</v>
      </c>
      <c r="P56">
        <v>85</v>
      </c>
      <c r="Q56">
        <v>0</v>
      </c>
      <c r="R56">
        <v>0</v>
      </c>
    </row>
    <row r="57" spans="1:18" x14ac:dyDescent="0.3">
      <c r="A57">
        <v>369</v>
      </c>
      <c r="B57" t="s">
        <v>1305</v>
      </c>
      <c r="C57" t="s">
        <v>4109</v>
      </c>
      <c r="D57" t="s">
        <v>159</v>
      </c>
      <c r="E57" t="s">
        <v>159</v>
      </c>
      <c r="F57">
        <v>5748</v>
      </c>
      <c r="G57" t="s">
        <v>4268</v>
      </c>
      <c r="H57" t="s">
        <v>4269</v>
      </c>
      <c r="I57" t="s">
        <v>4270</v>
      </c>
      <c r="J57" t="s">
        <v>4271</v>
      </c>
      <c r="K57" t="s">
        <v>687</v>
      </c>
      <c r="L57" t="s">
        <v>2537</v>
      </c>
      <c r="M57" t="s">
        <v>4130</v>
      </c>
      <c r="N57">
        <v>61</v>
      </c>
      <c r="O57">
        <v>0</v>
      </c>
      <c r="P57">
        <v>61</v>
      </c>
      <c r="Q57">
        <v>0</v>
      </c>
      <c r="R57">
        <v>0</v>
      </c>
    </row>
    <row r="58" spans="1:18" x14ac:dyDescent="0.3">
      <c r="A58">
        <v>369</v>
      </c>
      <c r="B58" t="s">
        <v>1305</v>
      </c>
      <c r="C58" t="s">
        <v>4109</v>
      </c>
      <c r="D58" t="s">
        <v>159</v>
      </c>
      <c r="E58" t="s">
        <v>159</v>
      </c>
      <c r="F58">
        <v>5748</v>
      </c>
      <c r="G58" t="s">
        <v>4272</v>
      </c>
      <c r="H58" t="s">
        <v>4273</v>
      </c>
      <c r="I58" t="s">
        <v>4270</v>
      </c>
      <c r="J58" t="s">
        <v>4274</v>
      </c>
      <c r="K58" t="s">
        <v>687</v>
      </c>
      <c r="L58" t="s">
        <v>2537</v>
      </c>
      <c r="M58" t="s">
        <v>4130</v>
      </c>
      <c r="N58">
        <v>69</v>
      </c>
      <c r="O58">
        <v>0</v>
      </c>
      <c r="P58">
        <v>69</v>
      </c>
      <c r="Q58">
        <v>0</v>
      </c>
      <c r="R58">
        <v>0</v>
      </c>
    </row>
    <row r="59" spans="1:18" x14ac:dyDescent="0.3">
      <c r="A59">
        <v>369</v>
      </c>
      <c r="B59" t="s">
        <v>1305</v>
      </c>
      <c r="C59" t="s">
        <v>4109</v>
      </c>
      <c r="D59" t="s">
        <v>159</v>
      </c>
      <c r="E59" t="s">
        <v>159</v>
      </c>
      <c r="F59">
        <v>5748</v>
      </c>
      <c r="G59" t="s">
        <v>4275</v>
      </c>
      <c r="H59" t="s">
        <v>4276</v>
      </c>
      <c r="I59" t="s">
        <v>4277</v>
      </c>
      <c r="J59" t="s">
        <v>4278</v>
      </c>
      <c r="K59" t="s">
        <v>4168</v>
      </c>
      <c r="L59" t="s">
        <v>2537</v>
      </c>
      <c r="M59" t="s">
        <v>4130</v>
      </c>
      <c r="N59">
        <v>1396</v>
      </c>
      <c r="O59">
        <v>457</v>
      </c>
      <c r="P59">
        <v>939</v>
      </c>
      <c r="Q59">
        <v>0</v>
      </c>
      <c r="R59">
        <v>0</v>
      </c>
    </row>
    <row r="60" spans="1:18" x14ac:dyDescent="0.3">
      <c r="A60">
        <v>369</v>
      </c>
      <c r="B60" t="s">
        <v>1305</v>
      </c>
      <c r="C60" t="s">
        <v>4109</v>
      </c>
      <c r="D60" t="s">
        <v>159</v>
      </c>
      <c r="E60" t="s">
        <v>159</v>
      </c>
      <c r="F60">
        <v>5748</v>
      </c>
      <c r="G60" t="s">
        <v>4279</v>
      </c>
      <c r="H60" t="s">
        <v>4276</v>
      </c>
      <c r="I60" t="s">
        <v>4280</v>
      </c>
      <c r="J60" t="s">
        <v>4281</v>
      </c>
      <c r="K60" t="s">
        <v>4168</v>
      </c>
      <c r="L60" t="s">
        <v>2530</v>
      </c>
      <c r="M60" t="s">
        <v>4282</v>
      </c>
      <c r="N60">
        <v>7672</v>
      </c>
      <c r="O60">
        <v>405</v>
      </c>
      <c r="P60">
        <v>1728</v>
      </c>
      <c r="Q60">
        <v>3766</v>
      </c>
      <c r="R60">
        <v>0</v>
      </c>
    </row>
    <row r="61" spans="1:18" x14ac:dyDescent="0.3">
      <c r="A61">
        <v>372</v>
      </c>
      <c r="B61" t="s">
        <v>1310</v>
      </c>
      <c r="C61" t="s">
        <v>4109</v>
      </c>
      <c r="D61" t="s">
        <v>159</v>
      </c>
      <c r="E61" t="s">
        <v>159</v>
      </c>
      <c r="F61">
        <v>8763</v>
      </c>
      <c r="G61" t="s">
        <v>4283</v>
      </c>
      <c r="H61" t="s">
        <v>4284</v>
      </c>
      <c r="I61" t="s">
        <v>4285</v>
      </c>
      <c r="K61" t="s">
        <v>4112</v>
      </c>
      <c r="L61" t="s">
        <v>2530</v>
      </c>
      <c r="M61" t="s">
        <v>4113</v>
      </c>
      <c r="N61">
        <v>1144.6951680499999</v>
      </c>
      <c r="O61">
        <v>1144.6951680499999</v>
      </c>
      <c r="P61">
        <v>0</v>
      </c>
      <c r="Q61">
        <v>0</v>
      </c>
    </row>
    <row r="62" spans="1:18" x14ac:dyDescent="0.3">
      <c r="A62">
        <v>372</v>
      </c>
      <c r="B62" t="s">
        <v>1310</v>
      </c>
      <c r="C62" t="s">
        <v>4109</v>
      </c>
      <c r="D62" t="s">
        <v>159</v>
      </c>
      <c r="E62" t="s">
        <v>159</v>
      </c>
      <c r="F62">
        <v>8763</v>
      </c>
      <c r="G62" t="s">
        <v>4286</v>
      </c>
      <c r="H62" t="s">
        <v>3603</v>
      </c>
      <c r="I62" t="s">
        <v>3603</v>
      </c>
      <c r="K62" t="s">
        <v>4135</v>
      </c>
      <c r="L62" t="s">
        <v>2530</v>
      </c>
      <c r="M62" t="s">
        <v>4118</v>
      </c>
      <c r="N62">
        <v>109280.02745065</v>
      </c>
      <c r="O62">
        <v>109280.02745065</v>
      </c>
      <c r="P62">
        <v>0</v>
      </c>
      <c r="Q62">
        <v>0</v>
      </c>
    </row>
    <row r="63" spans="1:18" x14ac:dyDescent="0.3">
      <c r="A63">
        <v>372</v>
      </c>
      <c r="B63" t="s">
        <v>1310</v>
      </c>
      <c r="C63" t="s">
        <v>4109</v>
      </c>
      <c r="D63" t="s">
        <v>159</v>
      </c>
      <c r="E63" t="s">
        <v>159</v>
      </c>
      <c r="F63">
        <v>8763</v>
      </c>
      <c r="G63" t="s">
        <v>4287</v>
      </c>
      <c r="H63" t="s">
        <v>4288</v>
      </c>
      <c r="I63" t="s">
        <v>4288</v>
      </c>
      <c r="K63" t="s">
        <v>4135</v>
      </c>
      <c r="L63" t="s">
        <v>2530</v>
      </c>
      <c r="M63" t="s">
        <v>4130</v>
      </c>
      <c r="N63">
        <v>352.92210275000002</v>
      </c>
      <c r="O63">
        <v>352.92210275000002</v>
      </c>
      <c r="P63">
        <v>0</v>
      </c>
      <c r="Q63">
        <v>0</v>
      </c>
    </row>
    <row r="64" spans="1:18" x14ac:dyDescent="0.3">
      <c r="A64">
        <v>372</v>
      </c>
      <c r="B64" t="s">
        <v>1310</v>
      </c>
      <c r="C64" t="s">
        <v>4109</v>
      </c>
      <c r="D64" t="s">
        <v>159</v>
      </c>
      <c r="E64" t="s">
        <v>159</v>
      </c>
      <c r="F64">
        <v>8763</v>
      </c>
      <c r="G64" t="s">
        <v>4289</v>
      </c>
      <c r="H64" t="s">
        <v>4284</v>
      </c>
      <c r="I64" t="s">
        <v>4285</v>
      </c>
      <c r="K64" t="s">
        <v>4112</v>
      </c>
      <c r="L64" t="s">
        <v>2537</v>
      </c>
      <c r="M64" t="s">
        <v>4113</v>
      </c>
      <c r="N64">
        <v>629.12200925000002</v>
      </c>
      <c r="O64">
        <v>629.12200925000002</v>
      </c>
      <c r="P64">
        <v>0</v>
      </c>
      <c r="Q64">
        <v>0</v>
      </c>
    </row>
    <row r="65" spans="1:18" x14ac:dyDescent="0.3">
      <c r="A65">
        <v>376</v>
      </c>
      <c r="B65" t="s">
        <v>1342</v>
      </c>
      <c r="C65" t="s">
        <v>4109</v>
      </c>
      <c r="D65" t="s">
        <v>159</v>
      </c>
      <c r="E65" t="s">
        <v>159</v>
      </c>
      <c r="F65">
        <v>5548</v>
      </c>
      <c r="G65" t="s">
        <v>4290</v>
      </c>
      <c r="H65" t="s">
        <v>4291</v>
      </c>
      <c r="I65" t="s">
        <v>4291</v>
      </c>
      <c r="J65" t="s">
        <v>4292</v>
      </c>
      <c r="K65" t="s">
        <v>4135</v>
      </c>
      <c r="L65" t="s">
        <v>2537</v>
      </c>
      <c r="M65" t="s">
        <v>4130</v>
      </c>
      <c r="N65">
        <v>5842</v>
      </c>
      <c r="O65">
        <v>5842</v>
      </c>
      <c r="P65">
        <v>0</v>
      </c>
      <c r="Q65">
        <v>0</v>
      </c>
      <c r="R65">
        <v>0</v>
      </c>
    </row>
    <row r="66" spans="1:18" x14ac:dyDescent="0.3">
      <c r="A66">
        <v>384</v>
      </c>
      <c r="B66" t="s">
        <v>1343</v>
      </c>
      <c r="C66" t="s">
        <v>4109</v>
      </c>
      <c r="D66" t="s">
        <v>159</v>
      </c>
      <c r="E66" t="s">
        <v>159</v>
      </c>
      <c r="F66">
        <v>7937</v>
      </c>
      <c r="G66" t="s">
        <v>4293</v>
      </c>
      <c r="H66" t="s">
        <v>4294</v>
      </c>
      <c r="I66" t="s">
        <v>4295</v>
      </c>
      <c r="K66" t="s">
        <v>4126</v>
      </c>
      <c r="L66" t="s">
        <v>2530</v>
      </c>
      <c r="M66" t="s">
        <v>4118</v>
      </c>
      <c r="N66">
        <v>50</v>
      </c>
      <c r="O66">
        <v>50</v>
      </c>
    </row>
    <row r="67" spans="1:18" x14ac:dyDescent="0.3">
      <c r="A67">
        <v>420</v>
      </c>
      <c r="B67" t="s">
        <v>1359</v>
      </c>
      <c r="C67" t="s">
        <v>4109</v>
      </c>
      <c r="D67" t="s">
        <v>159</v>
      </c>
      <c r="E67" t="s">
        <v>159</v>
      </c>
      <c r="F67">
        <v>7950</v>
      </c>
      <c r="G67" t="s">
        <v>4296</v>
      </c>
      <c r="H67" t="s">
        <v>4116</v>
      </c>
      <c r="I67" t="s">
        <v>4116</v>
      </c>
      <c r="K67" t="s">
        <v>4117</v>
      </c>
      <c r="L67" t="s">
        <v>2530</v>
      </c>
      <c r="M67" t="s">
        <v>4212</v>
      </c>
      <c r="N67">
        <v>13451</v>
      </c>
      <c r="O67">
        <v>13451</v>
      </c>
      <c r="P67">
        <v>0</v>
      </c>
      <c r="Q67">
        <v>0</v>
      </c>
    </row>
    <row r="68" spans="1:18" x14ac:dyDescent="0.3">
      <c r="A68">
        <v>412</v>
      </c>
      <c r="B68" t="s">
        <v>1360</v>
      </c>
      <c r="C68" t="s">
        <v>4109</v>
      </c>
      <c r="D68" t="s">
        <v>159</v>
      </c>
      <c r="E68" t="s">
        <v>159</v>
      </c>
      <c r="F68">
        <v>7951</v>
      </c>
      <c r="G68" t="s">
        <v>4297</v>
      </c>
      <c r="H68" t="s">
        <v>4298</v>
      </c>
      <c r="I68" t="s">
        <v>4298</v>
      </c>
      <c r="K68" t="s">
        <v>4135</v>
      </c>
      <c r="L68" t="s">
        <v>2530</v>
      </c>
      <c r="M68" t="s">
        <v>4118</v>
      </c>
      <c r="N68">
        <v>3587</v>
      </c>
      <c r="O68">
        <v>0</v>
      </c>
      <c r="P68">
        <v>0</v>
      </c>
      <c r="Q68">
        <v>0</v>
      </c>
    </row>
    <row r="69" spans="1:18" x14ac:dyDescent="0.3">
      <c r="A69">
        <v>422</v>
      </c>
      <c r="B69" t="s">
        <v>1365</v>
      </c>
      <c r="C69" t="s">
        <v>4109</v>
      </c>
      <c r="D69" t="s">
        <v>159</v>
      </c>
      <c r="E69" t="s">
        <v>159</v>
      </c>
      <c r="F69">
        <v>7956</v>
      </c>
      <c r="G69" t="s">
        <v>4299</v>
      </c>
      <c r="H69" t="s">
        <v>4116</v>
      </c>
      <c r="I69" t="s">
        <v>4116</v>
      </c>
      <c r="K69" t="s">
        <v>4117</v>
      </c>
      <c r="L69" t="s">
        <v>2530</v>
      </c>
      <c r="M69" t="s">
        <v>4118</v>
      </c>
      <c r="N69">
        <v>10089</v>
      </c>
      <c r="O69">
        <v>0</v>
      </c>
      <c r="P69">
        <v>0</v>
      </c>
      <c r="Q69">
        <v>0</v>
      </c>
    </row>
    <row r="70" spans="1:18" x14ac:dyDescent="0.3">
      <c r="A70">
        <v>424</v>
      </c>
      <c r="B70" t="s">
        <v>1366</v>
      </c>
      <c r="C70" t="s">
        <v>4109</v>
      </c>
      <c r="D70" t="s">
        <v>159</v>
      </c>
      <c r="E70" t="s">
        <v>159</v>
      </c>
      <c r="F70">
        <v>7957</v>
      </c>
      <c r="G70" t="s">
        <v>4300</v>
      </c>
      <c r="H70" t="s">
        <v>2904</v>
      </c>
      <c r="I70" t="s">
        <v>2904</v>
      </c>
      <c r="K70" t="s">
        <v>4135</v>
      </c>
      <c r="L70" t="s">
        <v>2530</v>
      </c>
      <c r="M70" t="s">
        <v>4130</v>
      </c>
      <c r="N70">
        <v>37000</v>
      </c>
      <c r="O70">
        <v>37000</v>
      </c>
      <c r="P70">
        <v>0</v>
      </c>
      <c r="Q70">
        <v>0</v>
      </c>
    </row>
    <row r="71" spans="1:18" x14ac:dyDescent="0.3">
      <c r="A71">
        <v>443</v>
      </c>
      <c r="B71" t="s">
        <v>1370</v>
      </c>
      <c r="C71" t="s">
        <v>4109</v>
      </c>
      <c r="D71" t="s">
        <v>159</v>
      </c>
      <c r="E71" t="s">
        <v>159</v>
      </c>
      <c r="F71">
        <v>8021</v>
      </c>
      <c r="G71" t="s">
        <v>4301</v>
      </c>
      <c r="H71" t="s">
        <v>4302</v>
      </c>
      <c r="I71" t="s">
        <v>4133</v>
      </c>
      <c r="J71" t="s">
        <v>4303</v>
      </c>
      <c r="K71" t="s">
        <v>4135</v>
      </c>
      <c r="L71" t="s">
        <v>2530</v>
      </c>
      <c r="M71" t="s">
        <v>4130</v>
      </c>
      <c r="N71">
        <v>3692</v>
      </c>
      <c r="O71">
        <v>304</v>
      </c>
      <c r="P71">
        <v>187</v>
      </c>
      <c r="Q71">
        <v>3201</v>
      </c>
    </row>
    <row r="72" spans="1:18" x14ac:dyDescent="0.3">
      <c r="A72">
        <v>445</v>
      </c>
      <c r="B72" t="s">
        <v>1371</v>
      </c>
      <c r="C72" t="s">
        <v>4109</v>
      </c>
      <c r="D72" t="s">
        <v>159</v>
      </c>
      <c r="E72" t="s">
        <v>159</v>
      </c>
      <c r="F72">
        <v>8285</v>
      </c>
      <c r="G72" t="s">
        <v>4304</v>
      </c>
      <c r="H72" t="s">
        <v>4285</v>
      </c>
      <c r="I72" t="s">
        <v>4305</v>
      </c>
      <c r="J72" t="s">
        <v>4306</v>
      </c>
      <c r="K72" t="s">
        <v>4112</v>
      </c>
      <c r="L72" t="s">
        <v>2530</v>
      </c>
      <c r="M72" t="s">
        <v>4113</v>
      </c>
      <c r="N72">
        <v>475</v>
      </c>
      <c r="O72">
        <v>0</v>
      </c>
      <c r="P72">
        <v>475</v>
      </c>
      <c r="Q72">
        <v>0</v>
      </c>
      <c r="R72">
        <v>0</v>
      </c>
    </row>
    <row r="73" spans="1:18" x14ac:dyDescent="0.3">
      <c r="A73">
        <v>467</v>
      </c>
      <c r="B73" t="s">
        <v>1374</v>
      </c>
      <c r="C73" t="s">
        <v>4109</v>
      </c>
      <c r="D73" t="s">
        <v>1203</v>
      </c>
      <c r="E73" t="s">
        <v>1204</v>
      </c>
      <c r="F73">
        <v>5746</v>
      </c>
      <c r="G73" t="s">
        <v>4307</v>
      </c>
      <c r="H73" t="s">
        <v>4308</v>
      </c>
      <c r="I73" t="s">
        <v>4309</v>
      </c>
      <c r="K73" t="s">
        <v>4126</v>
      </c>
      <c r="L73" t="s">
        <v>2537</v>
      </c>
      <c r="M73" t="s">
        <v>4130</v>
      </c>
      <c r="P73">
        <v>0</v>
      </c>
      <c r="Q73">
        <v>689</v>
      </c>
    </row>
    <row r="74" spans="1:18" x14ac:dyDescent="0.3">
      <c r="A74">
        <v>467</v>
      </c>
      <c r="B74" t="s">
        <v>1374</v>
      </c>
      <c r="C74" t="s">
        <v>4109</v>
      </c>
      <c r="D74" t="s">
        <v>1203</v>
      </c>
      <c r="E74" t="s">
        <v>1204</v>
      </c>
      <c r="F74">
        <v>5746</v>
      </c>
      <c r="G74" t="s">
        <v>4310</v>
      </c>
      <c r="H74" t="s">
        <v>4311</v>
      </c>
      <c r="I74" t="s">
        <v>4312</v>
      </c>
      <c r="K74" t="s">
        <v>4126</v>
      </c>
      <c r="L74" t="s">
        <v>2537</v>
      </c>
      <c r="M74" t="s">
        <v>4130</v>
      </c>
      <c r="N74">
        <v>1449</v>
      </c>
      <c r="O74">
        <v>1366</v>
      </c>
      <c r="P74">
        <v>523</v>
      </c>
      <c r="Q74">
        <v>504</v>
      </c>
    </row>
    <row r="75" spans="1:18" x14ac:dyDescent="0.3">
      <c r="A75">
        <v>467</v>
      </c>
      <c r="B75" t="s">
        <v>1374</v>
      </c>
      <c r="C75" t="s">
        <v>4109</v>
      </c>
      <c r="D75" t="s">
        <v>1203</v>
      </c>
      <c r="E75" t="s">
        <v>1204</v>
      </c>
      <c r="F75">
        <v>5746</v>
      </c>
      <c r="G75" t="s">
        <v>4313</v>
      </c>
      <c r="H75" t="s">
        <v>4302</v>
      </c>
      <c r="I75" t="s">
        <v>4314</v>
      </c>
      <c r="K75" t="s">
        <v>4126</v>
      </c>
      <c r="L75" t="s">
        <v>2537</v>
      </c>
      <c r="M75" t="s">
        <v>4130</v>
      </c>
      <c r="P75">
        <v>3840</v>
      </c>
      <c r="Q75">
        <v>4508</v>
      </c>
      <c r="R75">
        <v>4343.8</v>
      </c>
    </row>
    <row r="76" spans="1:18" x14ac:dyDescent="0.3">
      <c r="A76">
        <v>478</v>
      </c>
      <c r="B76" t="s">
        <v>1375</v>
      </c>
      <c r="C76" t="s">
        <v>4109</v>
      </c>
      <c r="D76" t="s">
        <v>159</v>
      </c>
      <c r="E76" t="s">
        <v>159</v>
      </c>
      <c r="F76">
        <v>6869</v>
      </c>
      <c r="G76" t="s">
        <v>4315</v>
      </c>
      <c r="H76" t="s">
        <v>4316</v>
      </c>
      <c r="I76" t="s">
        <v>4276</v>
      </c>
      <c r="K76" t="s">
        <v>4168</v>
      </c>
      <c r="L76" t="s">
        <v>2530</v>
      </c>
      <c r="M76" t="s">
        <v>4113</v>
      </c>
      <c r="N76">
        <v>26947</v>
      </c>
      <c r="O76">
        <v>25970</v>
      </c>
      <c r="P76">
        <v>0</v>
      </c>
      <c r="Q76">
        <v>0</v>
      </c>
      <c r="R76">
        <v>0</v>
      </c>
    </row>
    <row r="77" spans="1:18" x14ac:dyDescent="0.3">
      <c r="A77">
        <v>478</v>
      </c>
      <c r="B77" t="s">
        <v>1375</v>
      </c>
      <c r="C77" t="s">
        <v>4109</v>
      </c>
      <c r="D77" t="s">
        <v>159</v>
      </c>
      <c r="E77" t="s">
        <v>159</v>
      </c>
      <c r="F77">
        <v>6869</v>
      </c>
      <c r="G77" t="s">
        <v>3116</v>
      </c>
      <c r="H77" t="s">
        <v>3096</v>
      </c>
      <c r="I77" t="s">
        <v>4317</v>
      </c>
      <c r="K77" t="s">
        <v>687</v>
      </c>
      <c r="L77" t="s">
        <v>2530</v>
      </c>
      <c r="M77" t="s">
        <v>4130</v>
      </c>
      <c r="N77">
        <v>1760</v>
      </c>
      <c r="O77">
        <v>113</v>
      </c>
      <c r="P77">
        <v>1646</v>
      </c>
      <c r="Q77">
        <v>728</v>
      </c>
      <c r="R77">
        <v>0</v>
      </c>
    </row>
    <row r="78" spans="1:18" x14ac:dyDescent="0.3">
      <c r="A78">
        <v>478</v>
      </c>
      <c r="B78" t="s">
        <v>1375</v>
      </c>
      <c r="C78" t="s">
        <v>4109</v>
      </c>
      <c r="D78" t="s">
        <v>159</v>
      </c>
      <c r="E78" t="s">
        <v>159</v>
      </c>
      <c r="F78">
        <v>6869</v>
      </c>
      <c r="G78" t="s">
        <v>4315</v>
      </c>
      <c r="H78" t="s">
        <v>4318</v>
      </c>
      <c r="I78" t="s">
        <v>4318</v>
      </c>
      <c r="K78" t="s">
        <v>687</v>
      </c>
      <c r="L78" t="s">
        <v>2530</v>
      </c>
      <c r="M78" t="s">
        <v>4130</v>
      </c>
      <c r="N78">
        <v>0</v>
      </c>
      <c r="O78">
        <v>0</v>
      </c>
      <c r="P78">
        <v>193</v>
      </c>
      <c r="Q78">
        <v>0</v>
      </c>
      <c r="R78">
        <v>0</v>
      </c>
    </row>
    <row r="79" spans="1:18" x14ac:dyDescent="0.3">
      <c r="A79">
        <v>478</v>
      </c>
      <c r="B79" t="s">
        <v>1375</v>
      </c>
      <c r="C79" t="s">
        <v>4109</v>
      </c>
      <c r="D79" t="s">
        <v>159</v>
      </c>
      <c r="E79" t="s">
        <v>159</v>
      </c>
      <c r="F79">
        <v>6869</v>
      </c>
      <c r="G79" t="s">
        <v>4315</v>
      </c>
      <c r="H79" t="s">
        <v>4319</v>
      </c>
      <c r="I79" t="s">
        <v>4319</v>
      </c>
      <c r="K79" t="s">
        <v>687</v>
      </c>
      <c r="L79" t="s">
        <v>2530</v>
      </c>
      <c r="M79" t="s">
        <v>4130</v>
      </c>
      <c r="N79">
        <v>0</v>
      </c>
      <c r="O79">
        <v>0</v>
      </c>
      <c r="P79">
        <v>2118</v>
      </c>
      <c r="Q79">
        <v>0</v>
      </c>
      <c r="R79">
        <v>0</v>
      </c>
    </row>
    <row r="80" spans="1:18" x14ac:dyDescent="0.3">
      <c r="A80">
        <v>485</v>
      </c>
      <c r="B80" t="s">
        <v>1381</v>
      </c>
      <c r="C80" t="s">
        <v>4109</v>
      </c>
      <c r="D80" t="s">
        <v>159</v>
      </c>
      <c r="E80" t="s">
        <v>159</v>
      </c>
      <c r="F80">
        <v>6618</v>
      </c>
      <c r="G80" t="s">
        <v>4320</v>
      </c>
      <c r="H80" t="s">
        <v>4276</v>
      </c>
      <c r="I80" t="s">
        <v>4263</v>
      </c>
      <c r="J80" s="338">
        <v>213332</v>
      </c>
      <c r="K80" t="s">
        <v>4168</v>
      </c>
      <c r="L80" t="s">
        <v>2530</v>
      </c>
      <c r="M80" t="s">
        <v>4118</v>
      </c>
      <c r="N80">
        <v>1640</v>
      </c>
      <c r="O80">
        <v>1640</v>
      </c>
      <c r="P80">
        <v>0</v>
      </c>
      <c r="Q80">
        <v>0</v>
      </c>
    </row>
    <row r="81" spans="1:18" x14ac:dyDescent="0.3">
      <c r="A81">
        <v>495</v>
      </c>
      <c r="B81" t="s">
        <v>1382</v>
      </c>
      <c r="C81" t="s">
        <v>4109</v>
      </c>
      <c r="D81" t="s">
        <v>159</v>
      </c>
      <c r="E81" t="s">
        <v>159</v>
      </c>
      <c r="F81">
        <v>5743</v>
      </c>
      <c r="G81" t="s">
        <v>4321</v>
      </c>
      <c r="H81" t="s">
        <v>4322</v>
      </c>
      <c r="I81" t="s">
        <v>4323</v>
      </c>
      <c r="J81" t="s">
        <v>4324</v>
      </c>
      <c r="K81" t="s">
        <v>4135</v>
      </c>
      <c r="L81" t="s">
        <v>2530</v>
      </c>
      <c r="M81" t="s">
        <v>4130</v>
      </c>
      <c r="N81">
        <v>8108</v>
      </c>
      <c r="O81">
        <v>7427</v>
      </c>
      <c r="P81">
        <v>5</v>
      </c>
      <c r="Q81">
        <v>621</v>
      </c>
      <c r="R81">
        <v>28</v>
      </c>
    </row>
    <row r="82" spans="1:18" x14ac:dyDescent="0.3">
      <c r="A82">
        <v>1050</v>
      </c>
      <c r="B82" t="s">
        <v>1385</v>
      </c>
      <c r="C82" t="s">
        <v>4109</v>
      </c>
      <c r="D82" t="s">
        <v>159</v>
      </c>
      <c r="E82" t="s">
        <v>159</v>
      </c>
      <c r="F82">
        <v>5766</v>
      </c>
      <c r="G82" t="s">
        <v>4325</v>
      </c>
      <c r="H82" t="s">
        <v>3624</v>
      </c>
      <c r="I82" t="s">
        <v>4326</v>
      </c>
      <c r="J82" t="s">
        <v>4327</v>
      </c>
      <c r="K82" t="s">
        <v>4135</v>
      </c>
      <c r="L82" t="s">
        <v>2537</v>
      </c>
      <c r="M82" t="s">
        <v>4130</v>
      </c>
      <c r="N82">
        <v>1826</v>
      </c>
      <c r="O82">
        <v>1667</v>
      </c>
      <c r="P82">
        <v>0</v>
      </c>
      <c r="Q82">
        <v>0</v>
      </c>
    </row>
    <row r="83" spans="1:18" x14ac:dyDescent="0.3">
      <c r="A83">
        <v>522</v>
      </c>
      <c r="B83" t="s">
        <v>1387</v>
      </c>
      <c r="C83" t="s">
        <v>4109</v>
      </c>
      <c r="D83" t="s">
        <v>159</v>
      </c>
      <c r="E83" t="s">
        <v>159</v>
      </c>
      <c r="F83">
        <v>8977</v>
      </c>
      <c r="G83" t="s">
        <v>4328</v>
      </c>
      <c r="H83" t="s">
        <v>4285</v>
      </c>
      <c r="I83" t="s">
        <v>4329</v>
      </c>
      <c r="K83" t="s">
        <v>4112</v>
      </c>
      <c r="L83" t="s">
        <v>2537</v>
      </c>
      <c r="M83" t="s">
        <v>4113</v>
      </c>
      <c r="N83">
        <v>1666.40610255</v>
      </c>
      <c r="O83">
        <v>1666.40610255</v>
      </c>
      <c r="P83">
        <v>0</v>
      </c>
      <c r="Q83">
        <v>0</v>
      </c>
      <c r="R83">
        <v>0</v>
      </c>
    </row>
    <row r="84" spans="1:18" x14ac:dyDescent="0.3">
      <c r="A84">
        <v>545</v>
      </c>
      <c r="B84" t="s">
        <v>1390</v>
      </c>
      <c r="C84" t="s">
        <v>4109</v>
      </c>
      <c r="D84" t="s">
        <v>159</v>
      </c>
      <c r="E84" t="s">
        <v>159</v>
      </c>
      <c r="F84">
        <v>5532</v>
      </c>
      <c r="G84" t="s">
        <v>4330</v>
      </c>
      <c r="H84" t="s">
        <v>4331</v>
      </c>
      <c r="I84" t="s">
        <v>4331</v>
      </c>
      <c r="K84" t="s">
        <v>4135</v>
      </c>
      <c r="L84" t="s">
        <v>2530</v>
      </c>
      <c r="M84" t="s">
        <v>4130</v>
      </c>
      <c r="N84">
        <v>0</v>
      </c>
      <c r="O84">
        <v>0</v>
      </c>
      <c r="P84">
        <v>0</v>
      </c>
      <c r="Q84">
        <v>0</v>
      </c>
    </row>
    <row r="85" spans="1:18" x14ac:dyDescent="0.3">
      <c r="A85">
        <v>545</v>
      </c>
      <c r="B85" t="s">
        <v>1390</v>
      </c>
      <c r="C85" t="s">
        <v>4109</v>
      </c>
      <c r="D85" t="s">
        <v>159</v>
      </c>
      <c r="E85" t="s">
        <v>159</v>
      </c>
      <c r="F85">
        <v>5532</v>
      </c>
      <c r="G85" t="s">
        <v>4332</v>
      </c>
      <c r="H85" t="s">
        <v>4331</v>
      </c>
      <c r="I85" t="s">
        <v>4331</v>
      </c>
      <c r="K85" t="s">
        <v>4135</v>
      </c>
      <c r="L85" t="s">
        <v>2530</v>
      </c>
      <c r="M85" t="s">
        <v>4130</v>
      </c>
      <c r="N85">
        <v>7000</v>
      </c>
      <c r="O85">
        <v>3200</v>
      </c>
      <c r="P85">
        <v>2485</v>
      </c>
      <c r="Q85">
        <v>1315</v>
      </c>
    </row>
    <row r="86" spans="1:18" x14ac:dyDescent="0.3">
      <c r="A86">
        <v>545</v>
      </c>
      <c r="B86" t="s">
        <v>1390</v>
      </c>
      <c r="C86" t="s">
        <v>4109</v>
      </c>
      <c r="D86" t="s">
        <v>159</v>
      </c>
      <c r="E86" t="s">
        <v>159</v>
      </c>
      <c r="F86">
        <v>5532</v>
      </c>
      <c r="G86" t="s">
        <v>4333</v>
      </c>
      <c r="H86" t="s">
        <v>4331</v>
      </c>
      <c r="I86" t="s">
        <v>4331</v>
      </c>
      <c r="K86" t="s">
        <v>4135</v>
      </c>
      <c r="L86" t="s">
        <v>2530</v>
      </c>
      <c r="M86" t="s">
        <v>4130</v>
      </c>
      <c r="N86">
        <v>6600</v>
      </c>
      <c r="O86">
        <v>3000</v>
      </c>
      <c r="P86">
        <v>2343</v>
      </c>
      <c r="Q86">
        <v>1257</v>
      </c>
    </row>
    <row r="87" spans="1:18" x14ac:dyDescent="0.3">
      <c r="A87">
        <v>2979</v>
      </c>
      <c r="B87" t="s">
        <v>1396</v>
      </c>
      <c r="C87" t="s">
        <v>4109</v>
      </c>
      <c r="D87" t="s">
        <v>1203</v>
      </c>
      <c r="E87" t="s">
        <v>1204</v>
      </c>
      <c r="F87">
        <v>6904</v>
      </c>
      <c r="G87" t="s">
        <v>4334</v>
      </c>
      <c r="H87" t="s">
        <v>4335</v>
      </c>
      <c r="I87" t="s">
        <v>4336</v>
      </c>
      <c r="J87" t="s">
        <v>4337</v>
      </c>
      <c r="K87" t="s">
        <v>4112</v>
      </c>
      <c r="L87" t="s">
        <v>2537</v>
      </c>
      <c r="M87" t="s">
        <v>4113</v>
      </c>
      <c r="N87">
        <v>917.59746715000006</v>
      </c>
      <c r="O87">
        <v>917.59746715000006</v>
      </c>
      <c r="P87">
        <v>0</v>
      </c>
      <c r="Q87">
        <v>0</v>
      </c>
      <c r="R87">
        <v>0</v>
      </c>
    </row>
    <row r="88" spans="1:18" x14ac:dyDescent="0.3">
      <c r="A88">
        <v>572</v>
      </c>
      <c r="B88" t="s">
        <v>1399</v>
      </c>
      <c r="C88" t="s">
        <v>4109</v>
      </c>
      <c r="D88" t="s">
        <v>159</v>
      </c>
      <c r="E88" t="s">
        <v>159</v>
      </c>
      <c r="F88">
        <v>7827</v>
      </c>
      <c r="G88" t="s">
        <v>4338</v>
      </c>
      <c r="H88" t="s">
        <v>4339</v>
      </c>
      <c r="I88" t="s">
        <v>4340</v>
      </c>
      <c r="J88" t="s">
        <v>4341</v>
      </c>
      <c r="K88" t="s">
        <v>4112</v>
      </c>
      <c r="L88" t="s">
        <v>2537</v>
      </c>
      <c r="M88" t="s">
        <v>4118</v>
      </c>
      <c r="N88">
        <v>583.08869149999998</v>
      </c>
      <c r="O88">
        <v>533.98648590000005</v>
      </c>
      <c r="P88">
        <v>0</v>
      </c>
      <c r="Q88">
        <v>0</v>
      </c>
      <c r="R88">
        <v>0</v>
      </c>
    </row>
    <row r="89" spans="1:18" x14ac:dyDescent="0.3">
      <c r="A89">
        <v>574</v>
      </c>
      <c r="B89" t="s">
        <v>1401</v>
      </c>
      <c r="C89" t="s">
        <v>4109</v>
      </c>
      <c r="D89" t="s">
        <v>159</v>
      </c>
      <c r="E89" t="s">
        <v>159</v>
      </c>
      <c r="F89">
        <v>8883</v>
      </c>
      <c r="G89" t="s">
        <v>4342</v>
      </c>
      <c r="H89" t="s">
        <v>4343</v>
      </c>
      <c r="I89" t="s">
        <v>4344</v>
      </c>
      <c r="K89" t="s">
        <v>4135</v>
      </c>
      <c r="L89" t="s">
        <v>2537</v>
      </c>
      <c r="M89" t="s">
        <v>4130</v>
      </c>
      <c r="N89">
        <v>2496</v>
      </c>
      <c r="O89">
        <v>1786</v>
      </c>
      <c r="P89">
        <v>710</v>
      </c>
      <c r="Q89">
        <v>0</v>
      </c>
      <c r="R89">
        <v>0</v>
      </c>
    </row>
    <row r="90" spans="1:18" x14ac:dyDescent="0.3">
      <c r="A90">
        <v>575</v>
      </c>
      <c r="B90" t="s">
        <v>1403</v>
      </c>
      <c r="C90" t="s">
        <v>4109</v>
      </c>
      <c r="D90" t="s">
        <v>159</v>
      </c>
      <c r="E90" t="s">
        <v>159</v>
      </c>
      <c r="F90">
        <v>8365</v>
      </c>
      <c r="G90" t="s">
        <v>4345</v>
      </c>
      <c r="H90" t="s">
        <v>4346</v>
      </c>
      <c r="I90" t="s">
        <v>4347</v>
      </c>
      <c r="J90" t="s">
        <v>4348</v>
      </c>
      <c r="K90" t="s">
        <v>4135</v>
      </c>
      <c r="L90" t="s">
        <v>2537</v>
      </c>
      <c r="M90" t="s">
        <v>4113</v>
      </c>
      <c r="N90">
        <v>3105</v>
      </c>
      <c r="O90">
        <v>3105</v>
      </c>
      <c r="P90">
        <v>0</v>
      </c>
      <c r="Q90">
        <v>0</v>
      </c>
      <c r="R90">
        <v>0</v>
      </c>
    </row>
    <row r="91" spans="1:18" x14ac:dyDescent="0.3">
      <c r="A91">
        <v>577</v>
      </c>
      <c r="B91" t="s">
        <v>821</v>
      </c>
      <c r="C91" t="s">
        <v>4109</v>
      </c>
      <c r="D91" t="s">
        <v>159</v>
      </c>
      <c r="E91" t="s">
        <v>159</v>
      </c>
      <c r="F91">
        <v>7785</v>
      </c>
      <c r="G91" t="s">
        <v>4349</v>
      </c>
      <c r="H91" t="s">
        <v>4350</v>
      </c>
      <c r="I91" t="s">
        <v>4351</v>
      </c>
      <c r="J91" t="s">
        <v>4352</v>
      </c>
      <c r="K91" t="s">
        <v>4112</v>
      </c>
      <c r="L91" t="s">
        <v>2530</v>
      </c>
      <c r="M91" t="s">
        <v>4130</v>
      </c>
      <c r="N91">
        <v>9238</v>
      </c>
      <c r="O91">
        <v>1716</v>
      </c>
      <c r="P91">
        <v>7521</v>
      </c>
      <c r="Q91">
        <v>0</v>
      </c>
      <c r="R91">
        <v>0</v>
      </c>
    </row>
    <row r="92" spans="1:18" x14ac:dyDescent="0.3">
      <c r="A92">
        <v>577</v>
      </c>
      <c r="B92" t="s">
        <v>821</v>
      </c>
      <c r="C92" t="s">
        <v>4109</v>
      </c>
      <c r="D92" t="s">
        <v>159</v>
      </c>
      <c r="E92" t="s">
        <v>159</v>
      </c>
      <c r="F92">
        <v>7785</v>
      </c>
      <c r="G92" t="s">
        <v>4353</v>
      </c>
      <c r="H92" t="s">
        <v>4354</v>
      </c>
      <c r="I92" t="s">
        <v>4351</v>
      </c>
      <c r="J92" t="s">
        <v>4355</v>
      </c>
      <c r="K92" t="s">
        <v>4112</v>
      </c>
      <c r="L92" t="s">
        <v>2537</v>
      </c>
      <c r="M92" t="s">
        <v>4130</v>
      </c>
      <c r="N92">
        <v>3236</v>
      </c>
      <c r="O92">
        <v>1300</v>
      </c>
      <c r="P92">
        <v>1936</v>
      </c>
      <c r="Q92">
        <v>0</v>
      </c>
      <c r="R92">
        <v>0</v>
      </c>
    </row>
    <row r="93" spans="1:18" x14ac:dyDescent="0.3">
      <c r="A93">
        <v>577</v>
      </c>
      <c r="B93" t="s">
        <v>821</v>
      </c>
      <c r="C93" t="s">
        <v>4109</v>
      </c>
      <c r="D93" t="s">
        <v>159</v>
      </c>
      <c r="E93" t="s">
        <v>159</v>
      </c>
      <c r="F93">
        <v>7785</v>
      </c>
      <c r="G93" t="s">
        <v>4356</v>
      </c>
      <c r="H93" t="s">
        <v>4357</v>
      </c>
      <c r="I93" t="s">
        <v>4358</v>
      </c>
      <c r="J93" t="s">
        <v>4359</v>
      </c>
      <c r="K93" t="s">
        <v>687</v>
      </c>
      <c r="L93" t="s">
        <v>2537</v>
      </c>
      <c r="M93" t="s">
        <v>4360</v>
      </c>
      <c r="N93">
        <v>6353</v>
      </c>
      <c r="O93">
        <v>5908</v>
      </c>
      <c r="P93">
        <v>0</v>
      </c>
      <c r="Q93">
        <v>0</v>
      </c>
      <c r="R93">
        <v>0</v>
      </c>
    </row>
    <row r="94" spans="1:18" x14ac:dyDescent="0.3">
      <c r="A94">
        <v>577</v>
      </c>
      <c r="B94" t="s">
        <v>821</v>
      </c>
      <c r="C94" t="s">
        <v>4109</v>
      </c>
      <c r="D94" t="s">
        <v>159</v>
      </c>
      <c r="E94" t="s">
        <v>159</v>
      </c>
      <c r="F94">
        <v>7785</v>
      </c>
      <c r="G94" t="s">
        <v>4361</v>
      </c>
      <c r="H94" t="s">
        <v>4362</v>
      </c>
      <c r="I94" t="s">
        <v>4112</v>
      </c>
      <c r="J94" t="s">
        <v>4363</v>
      </c>
      <c r="K94" t="s">
        <v>4112</v>
      </c>
      <c r="L94" t="s">
        <v>2537</v>
      </c>
      <c r="M94" t="s">
        <v>4364</v>
      </c>
      <c r="N94">
        <v>13</v>
      </c>
      <c r="O94">
        <v>13</v>
      </c>
      <c r="P94">
        <v>0</v>
      </c>
      <c r="Q94">
        <v>0</v>
      </c>
      <c r="R94">
        <v>0</v>
      </c>
    </row>
    <row r="95" spans="1:18" x14ac:dyDescent="0.3">
      <c r="A95">
        <v>577</v>
      </c>
      <c r="B95" t="s">
        <v>821</v>
      </c>
      <c r="C95" t="s">
        <v>4109</v>
      </c>
      <c r="D95" t="s">
        <v>159</v>
      </c>
      <c r="E95" t="s">
        <v>159</v>
      </c>
      <c r="F95">
        <v>7785</v>
      </c>
      <c r="G95" t="s">
        <v>4365</v>
      </c>
      <c r="H95" t="s">
        <v>4366</v>
      </c>
      <c r="I95" t="s">
        <v>4112</v>
      </c>
      <c r="J95" t="s">
        <v>4367</v>
      </c>
      <c r="K95" t="s">
        <v>4112</v>
      </c>
      <c r="L95" t="s">
        <v>2537</v>
      </c>
      <c r="M95" t="s">
        <v>4364</v>
      </c>
      <c r="N95">
        <v>18</v>
      </c>
      <c r="O95">
        <v>18</v>
      </c>
      <c r="P95">
        <v>0</v>
      </c>
      <c r="Q95">
        <v>0</v>
      </c>
      <c r="R95">
        <v>0</v>
      </c>
    </row>
    <row r="96" spans="1:18" x14ac:dyDescent="0.3">
      <c r="A96">
        <v>578</v>
      </c>
      <c r="B96" t="s">
        <v>896</v>
      </c>
      <c r="C96" t="s">
        <v>4109</v>
      </c>
      <c r="D96" t="s">
        <v>1203</v>
      </c>
      <c r="E96" t="s">
        <v>1204</v>
      </c>
      <c r="F96">
        <v>7652</v>
      </c>
      <c r="G96" t="s">
        <v>783</v>
      </c>
      <c r="H96" t="s">
        <v>783</v>
      </c>
      <c r="I96" t="s">
        <v>4368</v>
      </c>
      <c r="J96" t="s">
        <v>4369</v>
      </c>
      <c r="K96" t="s">
        <v>4112</v>
      </c>
      <c r="L96" t="s">
        <v>2537</v>
      </c>
      <c r="M96" t="s">
        <v>4113</v>
      </c>
      <c r="N96">
        <v>966.69967274999999</v>
      </c>
      <c r="O96">
        <v>776.42862605000005</v>
      </c>
      <c r="P96">
        <v>0</v>
      </c>
      <c r="Q96">
        <v>0</v>
      </c>
    </row>
    <row r="97" spans="1:18" x14ac:dyDescent="0.3">
      <c r="A97">
        <v>583</v>
      </c>
      <c r="B97" t="s">
        <v>1406</v>
      </c>
      <c r="C97" t="s">
        <v>4109</v>
      </c>
      <c r="D97" t="s">
        <v>159</v>
      </c>
      <c r="E97" t="s">
        <v>159</v>
      </c>
      <c r="F97">
        <v>7159</v>
      </c>
      <c r="G97" t="s">
        <v>4370</v>
      </c>
      <c r="H97" t="s">
        <v>4371</v>
      </c>
      <c r="I97" t="s">
        <v>4371</v>
      </c>
      <c r="J97">
        <v>2417068001</v>
      </c>
      <c r="K97" t="s">
        <v>4168</v>
      </c>
      <c r="L97" t="s">
        <v>2530</v>
      </c>
      <c r="M97" t="s">
        <v>4212</v>
      </c>
      <c r="N97">
        <v>1516.0305979</v>
      </c>
      <c r="O97">
        <v>1516.0305979</v>
      </c>
      <c r="P97">
        <v>0</v>
      </c>
      <c r="Q97">
        <v>0</v>
      </c>
      <c r="R97">
        <v>0</v>
      </c>
    </row>
    <row r="98" spans="1:18" x14ac:dyDescent="0.3">
      <c r="A98">
        <v>596</v>
      </c>
      <c r="B98" t="s">
        <v>1413</v>
      </c>
      <c r="C98" t="s">
        <v>4109</v>
      </c>
      <c r="D98" t="s">
        <v>159</v>
      </c>
      <c r="E98" t="s">
        <v>159</v>
      </c>
      <c r="F98">
        <v>5734</v>
      </c>
      <c r="G98" t="s">
        <v>4372</v>
      </c>
      <c r="H98" t="s">
        <v>4373</v>
      </c>
      <c r="I98" t="s">
        <v>4374</v>
      </c>
      <c r="K98" t="s">
        <v>687</v>
      </c>
      <c r="L98" t="s">
        <v>2530</v>
      </c>
      <c r="M98" t="s">
        <v>4212</v>
      </c>
      <c r="N98">
        <v>5627</v>
      </c>
      <c r="O98">
        <v>5627</v>
      </c>
      <c r="P98">
        <v>0</v>
      </c>
      <c r="Q98">
        <v>0</v>
      </c>
    </row>
    <row r="99" spans="1:18" x14ac:dyDescent="0.3">
      <c r="A99">
        <v>596</v>
      </c>
      <c r="B99" t="s">
        <v>1413</v>
      </c>
      <c r="C99" t="s">
        <v>4109</v>
      </c>
      <c r="D99" t="s">
        <v>159</v>
      </c>
      <c r="E99" t="s">
        <v>159</v>
      </c>
      <c r="F99">
        <v>5734</v>
      </c>
      <c r="G99" t="s">
        <v>4373</v>
      </c>
      <c r="H99" t="s">
        <v>4331</v>
      </c>
      <c r="I99" t="s">
        <v>4331</v>
      </c>
      <c r="K99" t="s">
        <v>4135</v>
      </c>
      <c r="L99" t="s">
        <v>2530</v>
      </c>
      <c r="M99" t="s">
        <v>4130</v>
      </c>
      <c r="N99">
        <v>29816</v>
      </c>
      <c r="O99">
        <v>29816</v>
      </c>
      <c r="P99">
        <v>0</v>
      </c>
      <c r="Q99">
        <v>0</v>
      </c>
    </row>
    <row r="100" spans="1:18" x14ac:dyDescent="0.3">
      <c r="A100">
        <v>613</v>
      </c>
      <c r="B100" t="s">
        <v>804</v>
      </c>
      <c r="C100" t="s">
        <v>4109</v>
      </c>
      <c r="D100" t="s">
        <v>1203</v>
      </c>
      <c r="E100" t="s">
        <v>1204</v>
      </c>
      <c r="F100">
        <v>5673</v>
      </c>
      <c r="G100" t="s">
        <v>4375</v>
      </c>
      <c r="H100" t="s">
        <v>2904</v>
      </c>
      <c r="I100" t="s">
        <v>2904</v>
      </c>
      <c r="K100" t="s">
        <v>4135</v>
      </c>
      <c r="L100" t="s">
        <v>2530</v>
      </c>
      <c r="M100" t="s">
        <v>4130</v>
      </c>
      <c r="N100">
        <v>927</v>
      </c>
      <c r="O100">
        <v>927</v>
      </c>
      <c r="P100">
        <v>0</v>
      </c>
      <c r="Q100">
        <v>0</v>
      </c>
      <c r="R100">
        <v>0</v>
      </c>
    </row>
    <row r="101" spans="1:18" x14ac:dyDescent="0.3">
      <c r="A101">
        <v>613</v>
      </c>
      <c r="B101" t="s">
        <v>804</v>
      </c>
      <c r="C101" t="s">
        <v>4109</v>
      </c>
      <c r="D101" t="s">
        <v>1203</v>
      </c>
      <c r="E101" t="s">
        <v>1204</v>
      </c>
      <c r="F101">
        <v>5673</v>
      </c>
      <c r="G101" t="s">
        <v>4376</v>
      </c>
      <c r="H101" t="s">
        <v>4170</v>
      </c>
      <c r="I101" t="s">
        <v>4377</v>
      </c>
      <c r="K101" t="s">
        <v>4135</v>
      </c>
      <c r="L101" t="s">
        <v>2537</v>
      </c>
      <c r="M101" t="s">
        <v>4118</v>
      </c>
      <c r="N101">
        <v>14528</v>
      </c>
      <c r="O101">
        <v>7359</v>
      </c>
      <c r="P101">
        <v>7169</v>
      </c>
      <c r="Q101">
        <v>0</v>
      </c>
      <c r="R101">
        <v>0</v>
      </c>
    </row>
    <row r="102" spans="1:18" x14ac:dyDescent="0.3">
      <c r="A102">
        <v>613</v>
      </c>
      <c r="B102" t="s">
        <v>804</v>
      </c>
      <c r="C102" t="s">
        <v>4109</v>
      </c>
      <c r="D102" t="s">
        <v>1203</v>
      </c>
      <c r="E102" t="s">
        <v>1204</v>
      </c>
      <c r="F102">
        <v>5673</v>
      </c>
      <c r="G102" t="s">
        <v>4378</v>
      </c>
      <c r="H102" t="s">
        <v>4379</v>
      </c>
      <c r="I102" t="s">
        <v>4380</v>
      </c>
      <c r="K102" t="s">
        <v>4176</v>
      </c>
      <c r="L102" t="s">
        <v>2537</v>
      </c>
      <c r="M102" t="s">
        <v>4118</v>
      </c>
      <c r="N102">
        <v>1276</v>
      </c>
      <c r="O102">
        <v>0</v>
      </c>
      <c r="P102">
        <v>1276</v>
      </c>
      <c r="Q102">
        <v>0</v>
      </c>
      <c r="R102">
        <v>0</v>
      </c>
    </row>
    <row r="103" spans="1:18" x14ac:dyDescent="0.3">
      <c r="A103">
        <v>613</v>
      </c>
      <c r="B103" t="s">
        <v>804</v>
      </c>
      <c r="C103" t="s">
        <v>4109</v>
      </c>
      <c r="D103" t="s">
        <v>1203</v>
      </c>
      <c r="E103" t="s">
        <v>1204</v>
      </c>
      <c r="F103">
        <v>5673</v>
      </c>
      <c r="G103" t="s">
        <v>4381</v>
      </c>
      <c r="H103" t="s">
        <v>4382</v>
      </c>
      <c r="I103" t="s">
        <v>4383</v>
      </c>
      <c r="K103" t="s">
        <v>4117</v>
      </c>
      <c r="L103" t="s">
        <v>2530</v>
      </c>
      <c r="M103" t="s">
        <v>4118</v>
      </c>
      <c r="N103">
        <v>39703</v>
      </c>
      <c r="O103">
        <v>38134</v>
      </c>
      <c r="P103">
        <v>1569</v>
      </c>
      <c r="Q103">
        <v>0</v>
      </c>
      <c r="R103">
        <v>0</v>
      </c>
    </row>
    <row r="104" spans="1:18" x14ac:dyDescent="0.3">
      <c r="A104">
        <v>618</v>
      </c>
      <c r="B104" t="s">
        <v>4384</v>
      </c>
      <c r="C104" t="s">
        <v>4109</v>
      </c>
      <c r="D104" t="s">
        <v>1203</v>
      </c>
      <c r="E104" t="s">
        <v>1204</v>
      </c>
      <c r="F104">
        <v>7919</v>
      </c>
      <c r="G104" t="s">
        <v>4385</v>
      </c>
      <c r="H104" t="s">
        <v>4386</v>
      </c>
      <c r="I104" t="s">
        <v>4387</v>
      </c>
      <c r="K104" t="s">
        <v>4126</v>
      </c>
      <c r="L104" t="s">
        <v>2537</v>
      </c>
      <c r="M104" t="s">
        <v>4113</v>
      </c>
      <c r="N104">
        <v>1073</v>
      </c>
      <c r="O104">
        <v>0</v>
      </c>
      <c r="P104">
        <v>1073</v>
      </c>
      <c r="Q104">
        <v>0</v>
      </c>
      <c r="R104">
        <v>0</v>
      </c>
    </row>
    <row r="105" spans="1:18" x14ac:dyDescent="0.3">
      <c r="A105">
        <v>624</v>
      </c>
      <c r="B105" t="s">
        <v>1425</v>
      </c>
      <c r="C105" t="s">
        <v>4109</v>
      </c>
      <c r="D105" t="s">
        <v>159</v>
      </c>
      <c r="E105" t="s">
        <v>159</v>
      </c>
      <c r="F105">
        <v>5690</v>
      </c>
      <c r="G105" t="s">
        <v>4388</v>
      </c>
      <c r="H105" t="s">
        <v>4284</v>
      </c>
      <c r="I105" t="s">
        <v>4284</v>
      </c>
      <c r="K105" t="s">
        <v>4112</v>
      </c>
      <c r="L105" t="s">
        <v>2537</v>
      </c>
      <c r="M105" t="s">
        <v>4130</v>
      </c>
      <c r="N105">
        <v>1774</v>
      </c>
      <c r="O105">
        <v>1774</v>
      </c>
      <c r="P105">
        <v>0</v>
      </c>
      <c r="Q105">
        <v>0</v>
      </c>
      <c r="R105">
        <v>0</v>
      </c>
    </row>
    <row r="106" spans="1:18" x14ac:dyDescent="0.3">
      <c r="A106">
        <v>624</v>
      </c>
      <c r="B106" t="s">
        <v>1425</v>
      </c>
      <c r="C106" t="s">
        <v>4109</v>
      </c>
      <c r="D106" t="s">
        <v>159</v>
      </c>
      <c r="E106" t="s">
        <v>159</v>
      </c>
      <c r="F106">
        <v>5690</v>
      </c>
      <c r="G106" t="s">
        <v>4389</v>
      </c>
      <c r="H106" t="s">
        <v>4390</v>
      </c>
      <c r="I106" t="s">
        <v>4133</v>
      </c>
      <c r="K106" t="s">
        <v>4135</v>
      </c>
      <c r="L106" t="s">
        <v>2537</v>
      </c>
      <c r="M106" t="s">
        <v>4130</v>
      </c>
      <c r="N106">
        <v>1770</v>
      </c>
      <c r="O106">
        <v>1770</v>
      </c>
      <c r="P106">
        <v>0</v>
      </c>
      <c r="Q106">
        <v>0</v>
      </c>
      <c r="R106">
        <v>0</v>
      </c>
    </row>
    <row r="107" spans="1:18" x14ac:dyDescent="0.3">
      <c r="A107">
        <v>624</v>
      </c>
      <c r="B107" t="s">
        <v>1425</v>
      </c>
      <c r="C107" t="s">
        <v>4109</v>
      </c>
      <c r="D107" t="s">
        <v>159</v>
      </c>
      <c r="E107" t="s">
        <v>159</v>
      </c>
      <c r="F107">
        <v>5690</v>
      </c>
      <c r="G107" t="s">
        <v>4389</v>
      </c>
      <c r="H107" t="s">
        <v>4391</v>
      </c>
      <c r="I107" t="s">
        <v>4392</v>
      </c>
      <c r="K107" t="s">
        <v>687</v>
      </c>
      <c r="L107" t="s">
        <v>2537</v>
      </c>
      <c r="M107" t="s">
        <v>4130</v>
      </c>
      <c r="N107">
        <v>5580</v>
      </c>
      <c r="O107">
        <v>0</v>
      </c>
      <c r="P107">
        <v>5580</v>
      </c>
      <c r="Q107">
        <v>0</v>
      </c>
      <c r="R107">
        <v>0</v>
      </c>
    </row>
    <row r="108" spans="1:18" x14ac:dyDescent="0.3">
      <c r="A108">
        <v>624</v>
      </c>
      <c r="B108" t="s">
        <v>1425</v>
      </c>
      <c r="C108" t="s">
        <v>4109</v>
      </c>
      <c r="D108" t="s">
        <v>159</v>
      </c>
      <c r="E108" t="s">
        <v>159</v>
      </c>
      <c r="F108">
        <v>5690</v>
      </c>
      <c r="G108" t="s">
        <v>4393</v>
      </c>
      <c r="H108" t="s">
        <v>4391</v>
      </c>
      <c r="I108" t="s">
        <v>4392</v>
      </c>
      <c r="K108" t="s">
        <v>687</v>
      </c>
      <c r="L108" t="s">
        <v>2537</v>
      </c>
      <c r="M108" t="s">
        <v>4130</v>
      </c>
      <c r="N108">
        <v>954</v>
      </c>
      <c r="O108">
        <v>0</v>
      </c>
      <c r="P108">
        <v>954</v>
      </c>
      <c r="Q108">
        <v>0</v>
      </c>
      <c r="R108">
        <v>0</v>
      </c>
    </row>
    <row r="109" spans="1:18" x14ac:dyDescent="0.3">
      <c r="A109">
        <v>624</v>
      </c>
      <c r="B109" t="s">
        <v>1425</v>
      </c>
      <c r="C109" t="s">
        <v>4109</v>
      </c>
      <c r="D109" t="s">
        <v>159</v>
      </c>
      <c r="E109" t="s">
        <v>159</v>
      </c>
      <c r="F109">
        <v>5690</v>
      </c>
      <c r="G109" t="s">
        <v>4388</v>
      </c>
      <c r="H109" t="s">
        <v>4391</v>
      </c>
      <c r="I109" t="s">
        <v>4392</v>
      </c>
      <c r="K109" t="s">
        <v>687</v>
      </c>
      <c r="L109" t="s">
        <v>2537</v>
      </c>
      <c r="M109" t="s">
        <v>4130</v>
      </c>
      <c r="N109">
        <v>371</v>
      </c>
      <c r="O109">
        <v>0</v>
      </c>
      <c r="P109">
        <v>371</v>
      </c>
      <c r="Q109">
        <v>0</v>
      </c>
      <c r="R109">
        <v>0</v>
      </c>
    </row>
    <row r="110" spans="1:18" x14ac:dyDescent="0.3">
      <c r="A110">
        <v>624</v>
      </c>
      <c r="B110" t="s">
        <v>1425</v>
      </c>
      <c r="C110" t="s">
        <v>4109</v>
      </c>
      <c r="D110" t="s">
        <v>159</v>
      </c>
      <c r="E110" t="s">
        <v>159</v>
      </c>
      <c r="F110">
        <v>5690</v>
      </c>
      <c r="G110" t="s">
        <v>4389</v>
      </c>
      <c r="H110" t="s">
        <v>4284</v>
      </c>
      <c r="I110" t="s">
        <v>4284</v>
      </c>
      <c r="K110" t="s">
        <v>4112</v>
      </c>
      <c r="L110" t="s">
        <v>2537</v>
      </c>
      <c r="M110" t="s">
        <v>4130</v>
      </c>
      <c r="N110">
        <v>4987</v>
      </c>
      <c r="O110">
        <v>4987</v>
      </c>
      <c r="P110">
        <v>0</v>
      </c>
      <c r="Q110">
        <v>0</v>
      </c>
      <c r="R110">
        <v>0</v>
      </c>
    </row>
    <row r="111" spans="1:18" x14ac:dyDescent="0.3">
      <c r="A111">
        <v>649</v>
      </c>
      <c r="B111" t="s">
        <v>1436</v>
      </c>
      <c r="C111" t="s">
        <v>4109</v>
      </c>
      <c r="D111" t="s">
        <v>159</v>
      </c>
      <c r="E111" t="s">
        <v>159</v>
      </c>
      <c r="F111">
        <v>5683</v>
      </c>
      <c r="G111" t="s">
        <v>4335</v>
      </c>
      <c r="H111" t="s">
        <v>4276</v>
      </c>
      <c r="I111">
        <v>1</v>
      </c>
      <c r="J111" t="s">
        <v>4394</v>
      </c>
      <c r="K111" t="s">
        <v>4168</v>
      </c>
      <c r="L111" t="s">
        <v>2530</v>
      </c>
      <c r="M111" t="s">
        <v>4118</v>
      </c>
      <c r="N111">
        <v>1448.5150652</v>
      </c>
      <c r="O111">
        <v>1203.0040372000001</v>
      </c>
      <c r="P111">
        <v>0</v>
      </c>
      <c r="Q111">
        <v>0</v>
      </c>
      <c r="R111">
        <v>0</v>
      </c>
    </row>
    <row r="112" spans="1:18" x14ac:dyDescent="0.3">
      <c r="A112">
        <v>654</v>
      </c>
      <c r="B112" t="s">
        <v>1439</v>
      </c>
      <c r="C112" t="s">
        <v>4109</v>
      </c>
      <c r="D112" t="s">
        <v>159</v>
      </c>
      <c r="E112" t="s">
        <v>159</v>
      </c>
      <c r="F112">
        <v>7861</v>
      </c>
      <c r="G112" t="s">
        <v>4395</v>
      </c>
      <c r="H112" t="s">
        <v>4396</v>
      </c>
      <c r="I112" t="s">
        <v>4397</v>
      </c>
      <c r="J112">
        <v>68361018001</v>
      </c>
      <c r="K112" t="s">
        <v>4126</v>
      </c>
      <c r="L112" t="s">
        <v>2537</v>
      </c>
      <c r="M112" t="s">
        <v>4118</v>
      </c>
      <c r="N112">
        <v>484.210279734332</v>
      </c>
      <c r="O112">
        <v>484.210279734332</v>
      </c>
      <c r="P112">
        <v>0</v>
      </c>
      <c r="Q112">
        <v>0</v>
      </c>
      <c r="R112">
        <v>0</v>
      </c>
    </row>
    <row r="113" spans="1:18" x14ac:dyDescent="0.3">
      <c r="A113">
        <v>664</v>
      </c>
      <c r="B113" t="s">
        <v>1441</v>
      </c>
      <c r="C113" t="s">
        <v>4109</v>
      </c>
      <c r="D113" t="s">
        <v>159</v>
      </c>
      <c r="E113" t="s">
        <v>159</v>
      </c>
      <c r="F113">
        <v>8035</v>
      </c>
      <c r="G113" t="s">
        <v>4398</v>
      </c>
      <c r="H113" t="s">
        <v>4331</v>
      </c>
      <c r="I113" t="s">
        <v>4331</v>
      </c>
      <c r="K113" t="s">
        <v>4135</v>
      </c>
      <c r="L113" t="s">
        <v>2530</v>
      </c>
      <c r="M113" t="s">
        <v>4130</v>
      </c>
      <c r="N113">
        <v>11700</v>
      </c>
      <c r="O113">
        <v>5400</v>
      </c>
      <c r="P113">
        <v>1038</v>
      </c>
      <c r="Q113">
        <v>5262</v>
      </c>
    </row>
    <row r="114" spans="1:18" x14ac:dyDescent="0.3">
      <c r="A114">
        <v>673</v>
      </c>
      <c r="B114" t="s">
        <v>1442</v>
      </c>
      <c r="C114" t="s">
        <v>4109</v>
      </c>
      <c r="D114" t="s">
        <v>159</v>
      </c>
      <c r="E114" t="s">
        <v>159</v>
      </c>
      <c r="F114">
        <v>7793</v>
      </c>
      <c r="G114" t="s">
        <v>4399</v>
      </c>
      <c r="H114" t="s">
        <v>4400</v>
      </c>
      <c r="I114" t="s">
        <v>4276</v>
      </c>
      <c r="J114" t="s">
        <v>4401</v>
      </c>
      <c r="K114" t="s">
        <v>4168</v>
      </c>
      <c r="L114" t="s">
        <v>2530</v>
      </c>
      <c r="M114" t="s">
        <v>4130</v>
      </c>
      <c r="N114">
        <v>8006.7284006500004</v>
      </c>
      <c r="O114">
        <v>7417.5019334500003</v>
      </c>
      <c r="P114">
        <v>30.688878500000001</v>
      </c>
      <c r="Q114">
        <v>30.688878500000001</v>
      </c>
      <c r="R114">
        <v>0</v>
      </c>
    </row>
    <row r="115" spans="1:18" x14ac:dyDescent="0.3">
      <c r="A115">
        <v>678</v>
      </c>
      <c r="B115" t="s">
        <v>1445</v>
      </c>
      <c r="C115" t="s">
        <v>4109</v>
      </c>
      <c r="D115" t="s">
        <v>159</v>
      </c>
      <c r="E115" t="s">
        <v>159</v>
      </c>
      <c r="F115">
        <v>7334</v>
      </c>
      <c r="G115" t="s">
        <v>4402</v>
      </c>
      <c r="H115" t="s">
        <v>4403</v>
      </c>
      <c r="I115" t="s">
        <v>4404</v>
      </c>
      <c r="K115" t="s">
        <v>4176</v>
      </c>
      <c r="L115" t="s">
        <v>2530</v>
      </c>
      <c r="M115" t="s">
        <v>4130</v>
      </c>
      <c r="N115">
        <v>816</v>
      </c>
      <c r="O115">
        <v>0</v>
      </c>
      <c r="P115">
        <v>0</v>
      </c>
      <c r="Q115">
        <v>0</v>
      </c>
      <c r="R115">
        <v>0</v>
      </c>
    </row>
    <row r="116" spans="1:18" x14ac:dyDescent="0.3">
      <c r="A116">
        <v>678</v>
      </c>
      <c r="B116" t="s">
        <v>1445</v>
      </c>
      <c r="C116" t="s">
        <v>4109</v>
      </c>
      <c r="D116" t="s">
        <v>159</v>
      </c>
      <c r="E116" t="s">
        <v>159</v>
      </c>
      <c r="F116">
        <v>7334</v>
      </c>
      <c r="G116" t="s">
        <v>4402</v>
      </c>
      <c r="H116" t="s">
        <v>4405</v>
      </c>
      <c r="I116" t="s">
        <v>4406</v>
      </c>
      <c r="K116" t="s">
        <v>4135</v>
      </c>
      <c r="L116" t="s">
        <v>2530</v>
      </c>
      <c r="M116" t="s">
        <v>4130</v>
      </c>
      <c r="N116">
        <v>3821</v>
      </c>
      <c r="O116">
        <v>3821</v>
      </c>
      <c r="P116">
        <v>0</v>
      </c>
      <c r="Q116">
        <v>0</v>
      </c>
      <c r="R116">
        <v>0</v>
      </c>
    </row>
    <row r="117" spans="1:18" x14ac:dyDescent="0.3">
      <c r="A117">
        <v>711</v>
      </c>
      <c r="B117" t="s">
        <v>1453</v>
      </c>
      <c r="C117" t="s">
        <v>4109</v>
      </c>
      <c r="D117" t="s">
        <v>159</v>
      </c>
      <c r="E117" t="s">
        <v>159</v>
      </c>
      <c r="F117">
        <v>5970</v>
      </c>
      <c r="G117" t="s">
        <v>3183</v>
      </c>
      <c r="H117" t="s">
        <v>4407</v>
      </c>
      <c r="I117" t="s">
        <v>4408</v>
      </c>
      <c r="K117" t="s">
        <v>4126</v>
      </c>
      <c r="L117" t="s">
        <v>2537</v>
      </c>
      <c r="M117" t="s">
        <v>4113</v>
      </c>
      <c r="N117">
        <v>4608</v>
      </c>
      <c r="O117">
        <v>4424</v>
      </c>
      <c r="P117">
        <v>0</v>
      </c>
      <c r="Q117">
        <v>0</v>
      </c>
    </row>
    <row r="118" spans="1:18" x14ac:dyDescent="0.3">
      <c r="A118">
        <v>727</v>
      </c>
      <c r="B118" t="s">
        <v>825</v>
      </c>
      <c r="C118" t="s">
        <v>4109</v>
      </c>
      <c r="D118" t="s">
        <v>159</v>
      </c>
      <c r="E118" t="s">
        <v>159</v>
      </c>
      <c r="F118">
        <v>8366</v>
      </c>
      <c r="G118" t="s">
        <v>4409</v>
      </c>
      <c r="H118" t="s">
        <v>4284</v>
      </c>
      <c r="I118" t="s">
        <v>4284</v>
      </c>
      <c r="J118" t="s">
        <v>4410</v>
      </c>
      <c r="K118" t="s">
        <v>4112</v>
      </c>
      <c r="L118" t="s">
        <v>2537</v>
      </c>
      <c r="M118" t="s">
        <v>4113</v>
      </c>
      <c r="N118">
        <v>5008</v>
      </c>
      <c r="O118">
        <v>2813</v>
      </c>
      <c r="P118">
        <v>2195</v>
      </c>
      <c r="Q118">
        <v>0</v>
      </c>
      <c r="R118">
        <v>0</v>
      </c>
    </row>
    <row r="119" spans="1:18" x14ac:dyDescent="0.3">
      <c r="A119">
        <v>731</v>
      </c>
      <c r="B119" t="s">
        <v>1458</v>
      </c>
      <c r="C119" t="s">
        <v>4109</v>
      </c>
      <c r="D119" t="s">
        <v>159</v>
      </c>
      <c r="E119" t="s">
        <v>159</v>
      </c>
      <c r="F119">
        <v>8642</v>
      </c>
      <c r="G119" t="s">
        <v>4411</v>
      </c>
      <c r="H119" t="s">
        <v>2904</v>
      </c>
      <c r="I119" t="s">
        <v>4412</v>
      </c>
      <c r="K119" t="s">
        <v>4135</v>
      </c>
      <c r="L119" t="s">
        <v>2530</v>
      </c>
      <c r="M119" t="s">
        <v>4130</v>
      </c>
      <c r="N119">
        <v>2844.8590369499998</v>
      </c>
      <c r="O119">
        <v>2844.8590369499998</v>
      </c>
      <c r="P119">
        <v>0</v>
      </c>
      <c r="Q119">
        <v>0</v>
      </c>
      <c r="R119">
        <v>0</v>
      </c>
    </row>
    <row r="120" spans="1:18" x14ac:dyDescent="0.3">
      <c r="A120">
        <v>737</v>
      </c>
      <c r="B120" t="s">
        <v>1460</v>
      </c>
      <c r="C120" t="s">
        <v>4109</v>
      </c>
      <c r="D120" t="s">
        <v>1203</v>
      </c>
      <c r="E120" t="s">
        <v>1204</v>
      </c>
      <c r="F120">
        <v>7336</v>
      </c>
      <c r="G120" t="s">
        <v>4413</v>
      </c>
      <c r="H120" t="s">
        <v>4414</v>
      </c>
      <c r="I120" t="s">
        <v>4414</v>
      </c>
      <c r="K120" t="s">
        <v>4112</v>
      </c>
      <c r="L120" t="s">
        <v>2537</v>
      </c>
      <c r="M120" t="s">
        <v>4113</v>
      </c>
      <c r="N120">
        <v>2016.25931745</v>
      </c>
      <c r="O120">
        <v>2016.25931745</v>
      </c>
      <c r="P120">
        <v>0</v>
      </c>
      <c r="Q120">
        <v>0</v>
      </c>
      <c r="R120">
        <v>0</v>
      </c>
    </row>
    <row r="121" spans="1:18" x14ac:dyDescent="0.3">
      <c r="A121">
        <v>739</v>
      </c>
      <c r="B121" t="s">
        <v>1463</v>
      </c>
      <c r="C121" t="s">
        <v>4109</v>
      </c>
      <c r="D121" t="s">
        <v>159</v>
      </c>
      <c r="E121" t="s">
        <v>159</v>
      </c>
      <c r="F121">
        <v>7839</v>
      </c>
      <c r="G121" t="s">
        <v>4415</v>
      </c>
      <c r="H121" t="s">
        <v>4416</v>
      </c>
      <c r="I121" t="s">
        <v>4417</v>
      </c>
      <c r="K121" t="s">
        <v>4418</v>
      </c>
      <c r="L121" t="s">
        <v>2537</v>
      </c>
      <c r="M121" t="s">
        <v>4130</v>
      </c>
      <c r="N121">
        <v>1491.4794950999999</v>
      </c>
      <c r="O121">
        <v>1491.4794950999999</v>
      </c>
      <c r="P121">
        <v>0</v>
      </c>
      <c r="Q121">
        <v>0</v>
      </c>
    </row>
    <row r="122" spans="1:18" x14ac:dyDescent="0.3">
      <c r="A122">
        <v>2998</v>
      </c>
      <c r="B122" t="s">
        <v>1464</v>
      </c>
      <c r="C122" t="s">
        <v>4109</v>
      </c>
      <c r="D122" t="s">
        <v>1203</v>
      </c>
      <c r="E122" t="s">
        <v>1204</v>
      </c>
      <c r="F122">
        <v>7992</v>
      </c>
      <c r="G122" t="s">
        <v>4419</v>
      </c>
      <c r="H122" t="s">
        <v>4420</v>
      </c>
      <c r="I122" t="s">
        <v>4285</v>
      </c>
      <c r="J122" t="s">
        <v>4421</v>
      </c>
      <c r="K122" t="s">
        <v>4112</v>
      </c>
      <c r="L122" t="s">
        <v>2530</v>
      </c>
      <c r="M122" t="s">
        <v>4113</v>
      </c>
      <c r="N122">
        <v>1258.2440185</v>
      </c>
      <c r="O122">
        <v>1224.4862521499999</v>
      </c>
      <c r="P122">
        <v>0</v>
      </c>
      <c r="Q122">
        <v>0</v>
      </c>
      <c r="R122">
        <v>0</v>
      </c>
    </row>
    <row r="123" spans="1:18" x14ac:dyDescent="0.3">
      <c r="A123">
        <v>775</v>
      </c>
      <c r="B123" t="s">
        <v>924</v>
      </c>
      <c r="C123" t="s">
        <v>4109</v>
      </c>
      <c r="D123" t="s">
        <v>1203</v>
      </c>
      <c r="E123" t="s">
        <v>1204</v>
      </c>
      <c r="F123">
        <v>8747</v>
      </c>
      <c r="G123" t="s">
        <v>4422</v>
      </c>
      <c r="H123" t="s">
        <v>4116</v>
      </c>
      <c r="I123" t="s">
        <v>4423</v>
      </c>
      <c r="K123" t="s">
        <v>4117</v>
      </c>
      <c r="L123" t="s">
        <v>2537</v>
      </c>
      <c r="M123" t="s">
        <v>4118</v>
      </c>
      <c r="N123">
        <v>58247.491392999997</v>
      </c>
      <c r="O123">
        <v>58066.427009849998</v>
      </c>
      <c r="P123">
        <v>181.06438315</v>
      </c>
      <c r="Q123">
        <v>0</v>
      </c>
    </row>
    <row r="124" spans="1:18" x14ac:dyDescent="0.3">
      <c r="A124">
        <v>775</v>
      </c>
      <c r="B124" t="s">
        <v>924</v>
      </c>
      <c r="C124" t="s">
        <v>4109</v>
      </c>
      <c r="D124" t="s">
        <v>1203</v>
      </c>
      <c r="E124" t="s">
        <v>1204</v>
      </c>
      <c r="F124">
        <v>8747</v>
      </c>
      <c r="G124" t="s">
        <v>4424</v>
      </c>
      <c r="H124" t="s">
        <v>4116</v>
      </c>
      <c r="I124" t="s">
        <v>4425</v>
      </c>
      <c r="K124" t="s">
        <v>4117</v>
      </c>
      <c r="L124" t="s">
        <v>2530</v>
      </c>
      <c r="M124" t="s">
        <v>4118</v>
      </c>
      <c r="N124">
        <v>5490.2403636500003</v>
      </c>
      <c r="O124">
        <v>4928.6338870999998</v>
      </c>
    </row>
    <row r="125" spans="1:18" x14ac:dyDescent="0.3">
      <c r="A125">
        <v>775</v>
      </c>
      <c r="B125" t="s">
        <v>924</v>
      </c>
      <c r="C125" t="s">
        <v>4109</v>
      </c>
      <c r="D125" t="s">
        <v>1203</v>
      </c>
      <c r="E125" t="s">
        <v>1204</v>
      </c>
      <c r="F125">
        <v>8747</v>
      </c>
      <c r="G125" t="s">
        <v>4426</v>
      </c>
      <c r="H125" t="s">
        <v>4427</v>
      </c>
      <c r="I125" t="s">
        <v>4428</v>
      </c>
      <c r="K125" t="s">
        <v>4117</v>
      </c>
      <c r="L125" t="s">
        <v>2537</v>
      </c>
      <c r="M125" t="s">
        <v>4118</v>
      </c>
      <c r="N125">
        <v>257.78657939999999</v>
      </c>
      <c r="O125">
        <v>850.08193444999995</v>
      </c>
    </row>
    <row r="126" spans="1:18" x14ac:dyDescent="0.3">
      <c r="A126">
        <v>775</v>
      </c>
      <c r="B126" t="s">
        <v>924</v>
      </c>
      <c r="C126" t="s">
        <v>4109</v>
      </c>
      <c r="D126" t="s">
        <v>1203</v>
      </c>
      <c r="E126" t="s">
        <v>1204</v>
      </c>
      <c r="F126">
        <v>8747</v>
      </c>
      <c r="G126" t="s">
        <v>4429</v>
      </c>
      <c r="H126" t="s">
        <v>4116</v>
      </c>
      <c r="I126" t="s">
        <v>4425</v>
      </c>
      <c r="K126" t="s">
        <v>4117</v>
      </c>
      <c r="L126" t="s">
        <v>2530</v>
      </c>
      <c r="M126" t="s">
        <v>4118</v>
      </c>
      <c r="N126">
        <v>13441.728783</v>
      </c>
      <c r="O126">
        <v>13331.2488204</v>
      </c>
    </row>
    <row r="127" spans="1:18" x14ac:dyDescent="0.3">
      <c r="A127">
        <v>775</v>
      </c>
      <c r="B127" t="s">
        <v>924</v>
      </c>
      <c r="C127" t="s">
        <v>4109</v>
      </c>
      <c r="D127" t="s">
        <v>1203</v>
      </c>
      <c r="E127" t="s">
        <v>1204</v>
      </c>
      <c r="F127">
        <v>8747</v>
      </c>
      <c r="G127" t="s">
        <v>4430</v>
      </c>
      <c r="H127" t="s">
        <v>4116</v>
      </c>
      <c r="I127" t="s">
        <v>4425</v>
      </c>
      <c r="K127" t="s">
        <v>4117</v>
      </c>
      <c r="L127" t="s">
        <v>2530</v>
      </c>
      <c r="M127" t="s">
        <v>4118</v>
      </c>
      <c r="N127">
        <v>11539.018316</v>
      </c>
      <c r="O127">
        <v>6496.83557845</v>
      </c>
    </row>
    <row r="128" spans="1:18" x14ac:dyDescent="0.3">
      <c r="A128">
        <v>775</v>
      </c>
      <c r="B128" t="s">
        <v>924</v>
      </c>
      <c r="C128" t="s">
        <v>4109</v>
      </c>
      <c r="D128" t="s">
        <v>1203</v>
      </c>
      <c r="E128" t="s">
        <v>1204</v>
      </c>
      <c r="F128">
        <v>8747</v>
      </c>
      <c r="G128" t="s">
        <v>4431</v>
      </c>
      <c r="H128" t="s">
        <v>4116</v>
      </c>
      <c r="I128" t="s">
        <v>4432</v>
      </c>
      <c r="K128" t="s">
        <v>4117</v>
      </c>
      <c r="L128" t="s">
        <v>2537</v>
      </c>
      <c r="M128" t="s">
        <v>4118</v>
      </c>
      <c r="N128">
        <v>8402.6149332999994</v>
      </c>
      <c r="O128">
        <v>4480.5762610000002</v>
      </c>
    </row>
    <row r="129" spans="1:18" x14ac:dyDescent="0.3">
      <c r="A129">
        <v>775</v>
      </c>
      <c r="B129" t="s">
        <v>924</v>
      </c>
      <c r="C129" t="s">
        <v>4109</v>
      </c>
      <c r="D129" t="s">
        <v>1203</v>
      </c>
      <c r="E129" t="s">
        <v>1204</v>
      </c>
      <c r="F129">
        <v>8747</v>
      </c>
      <c r="G129" t="s">
        <v>4433</v>
      </c>
      <c r="H129" t="s">
        <v>4116</v>
      </c>
      <c r="I129" t="s">
        <v>4432</v>
      </c>
      <c r="K129" t="s">
        <v>4117</v>
      </c>
      <c r="L129" t="s">
        <v>2537</v>
      </c>
      <c r="M129" t="s">
        <v>4118</v>
      </c>
      <c r="N129">
        <v>5266.2115506</v>
      </c>
      <c r="O129">
        <v>5824.7491393</v>
      </c>
    </row>
    <row r="130" spans="1:18" x14ac:dyDescent="0.3">
      <c r="A130">
        <v>775</v>
      </c>
      <c r="B130" t="s">
        <v>924</v>
      </c>
      <c r="C130" t="s">
        <v>4109</v>
      </c>
      <c r="D130" t="s">
        <v>1203</v>
      </c>
      <c r="E130" t="s">
        <v>1204</v>
      </c>
      <c r="F130">
        <v>8747</v>
      </c>
      <c r="G130" t="s">
        <v>4434</v>
      </c>
      <c r="H130" t="s">
        <v>4435</v>
      </c>
      <c r="I130" t="s">
        <v>4435</v>
      </c>
      <c r="K130" t="s">
        <v>4117</v>
      </c>
      <c r="L130" t="s">
        <v>2537</v>
      </c>
      <c r="M130" t="s">
        <v>4118</v>
      </c>
      <c r="N130">
        <v>3025.9234200999999</v>
      </c>
      <c r="O130">
        <v>3922.0386723000001</v>
      </c>
    </row>
    <row r="131" spans="1:18" x14ac:dyDescent="0.3">
      <c r="A131">
        <v>775</v>
      </c>
      <c r="B131" t="s">
        <v>924</v>
      </c>
      <c r="C131" t="s">
        <v>4109</v>
      </c>
      <c r="D131" t="s">
        <v>1203</v>
      </c>
      <c r="E131" t="s">
        <v>1204</v>
      </c>
      <c r="F131">
        <v>8747</v>
      </c>
      <c r="G131" t="s">
        <v>4436</v>
      </c>
      <c r="H131" t="s">
        <v>4382</v>
      </c>
      <c r="I131" t="s">
        <v>4382</v>
      </c>
      <c r="K131" t="s">
        <v>4117</v>
      </c>
      <c r="L131" t="s">
        <v>2530</v>
      </c>
      <c r="M131" t="s">
        <v>4118</v>
      </c>
      <c r="N131">
        <v>39205.042283750001</v>
      </c>
      <c r="O131">
        <v>34948.494835799997</v>
      </c>
    </row>
    <row r="132" spans="1:18" x14ac:dyDescent="0.3">
      <c r="A132">
        <v>775</v>
      </c>
      <c r="B132" t="s">
        <v>924</v>
      </c>
      <c r="C132" t="s">
        <v>4109</v>
      </c>
      <c r="D132" t="s">
        <v>1203</v>
      </c>
      <c r="E132" t="s">
        <v>1204</v>
      </c>
      <c r="F132">
        <v>8747</v>
      </c>
      <c r="G132" t="s">
        <v>4437</v>
      </c>
      <c r="H132" t="s">
        <v>4435</v>
      </c>
      <c r="I132" t="s">
        <v>4435</v>
      </c>
      <c r="K132" t="s">
        <v>4117</v>
      </c>
      <c r="L132" t="s">
        <v>2537</v>
      </c>
      <c r="M132" t="s">
        <v>4118</v>
      </c>
      <c r="N132">
        <v>561.60647655000002</v>
      </c>
      <c r="O132">
        <v>561.60647655000002</v>
      </c>
    </row>
    <row r="133" spans="1:18" x14ac:dyDescent="0.3">
      <c r="A133">
        <v>794</v>
      </c>
      <c r="B133" t="s">
        <v>1483</v>
      </c>
      <c r="C133" t="s">
        <v>4109</v>
      </c>
      <c r="D133" t="s">
        <v>159</v>
      </c>
      <c r="E133" t="s">
        <v>159</v>
      </c>
      <c r="F133">
        <v>6888</v>
      </c>
      <c r="G133" t="s">
        <v>4438</v>
      </c>
      <c r="H133" t="s">
        <v>4439</v>
      </c>
      <c r="I133" t="s">
        <v>4390</v>
      </c>
      <c r="J133" t="s">
        <v>4440</v>
      </c>
      <c r="K133" t="s">
        <v>4135</v>
      </c>
      <c r="L133" t="s">
        <v>2537</v>
      </c>
      <c r="M133" t="s">
        <v>4130</v>
      </c>
      <c r="N133">
        <v>14612</v>
      </c>
      <c r="O133">
        <v>1600</v>
      </c>
      <c r="P133">
        <v>12407</v>
      </c>
      <c r="Q133">
        <v>0</v>
      </c>
      <c r="R133">
        <v>0</v>
      </c>
    </row>
    <row r="134" spans="1:18" x14ac:dyDescent="0.3">
      <c r="A134">
        <v>794</v>
      </c>
      <c r="B134" t="s">
        <v>1483</v>
      </c>
      <c r="C134" t="s">
        <v>4109</v>
      </c>
      <c r="D134" t="s">
        <v>159</v>
      </c>
      <c r="E134" t="s">
        <v>159</v>
      </c>
      <c r="F134">
        <v>6888</v>
      </c>
      <c r="G134" t="s">
        <v>4441</v>
      </c>
      <c r="H134" t="s">
        <v>4439</v>
      </c>
      <c r="I134" t="s">
        <v>4390</v>
      </c>
      <c r="J134" t="s">
        <v>4440</v>
      </c>
      <c r="K134" t="s">
        <v>4135</v>
      </c>
      <c r="L134" t="s">
        <v>2537</v>
      </c>
      <c r="M134" t="s">
        <v>4130</v>
      </c>
      <c r="N134">
        <v>10451</v>
      </c>
      <c r="O134">
        <v>1600</v>
      </c>
      <c r="P134">
        <v>8874</v>
      </c>
      <c r="Q134">
        <v>0</v>
      </c>
      <c r="R134">
        <v>0</v>
      </c>
    </row>
    <row r="135" spans="1:18" x14ac:dyDescent="0.3">
      <c r="A135">
        <v>794</v>
      </c>
      <c r="B135" t="s">
        <v>1483</v>
      </c>
      <c r="C135" t="s">
        <v>4109</v>
      </c>
      <c r="D135" t="s">
        <v>159</v>
      </c>
      <c r="E135" t="s">
        <v>159</v>
      </c>
      <c r="F135">
        <v>6888</v>
      </c>
      <c r="G135" t="s">
        <v>4442</v>
      </c>
      <c r="H135" t="s">
        <v>4439</v>
      </c>
      <c r="I135" t="s">
        <v>4390</v>
      </c>
      <c r="J135" t="s">
        <v>4440</v>
      </c>
      <c r="K135" t="s">
        <v>4135</v>
      </c>
      <c r="L135" t="s">
        <v>2537</v>
      </c>
      <c r="M135" t="s">
        <v>4130</v>
      </c>
      <c r="N135">
        <v>7441</v>
      </c>
      <c r="O135">
        <v>436</v>
      </c>
      <c r="P135">
        <v>6319</v>
      </c>
      <c r="Q135">
        <v>0</v>
      </c>
      <c r="R135">
        <v>0</v>
      </c>
    </row>
    <row r="136" spans="1:18" x14ac:dyDescent="0.3">
      <c r="A136">
        <v>794</v>
      </c>
      <c r="B136" t="s">
        <v>1483</v>
      </c>
      <c r="C136" t="s">
        <v>4109</v>
      </c>
      <c r="D136" t="s">
        <v>159</v>
      </c>
      <c r="E136" t="s">
        <v>159</v>
      </c>
      <c r="F136">
        <v>6888</v>
      </c>
      <c r="G136" t="s">
        <v>4443</v>
      </c>
      <c r="H136" t="s">
        <v>4439</v>
      </c>
      <c r="I136" t="s">
        <v>4390</v>
      </c>
      <c r="J136" t="s">
        <v>4440</v>
      </c>
      <c r="K136" t="s">
        <v>4135</v>
      </c>
      <c r="L136" t="s">
        <v>2537</v>
      </c>
      <c r="M136" t="s">
        <v>4130</v>
      </c>
      <c r="N136">
        <v>15696</v>
      </c>
      <c r="O136">
        <v>3637</v>
      </c>
      <c r="P136">
        <v>13327</v>
      </c>
      <c r="Q136">
        <v>0</v>
      </c>
      <c r="R136">
        <v>0</v>
      </c>
    </row>
    <row r="137" spans="1:18" x14ac:dyDescent="0.3">
      <c r="A137">
        <v>814</v>
      </c>
      <c r="B137" t="s">
        <v>1485</v>
      </c>
      <c r="C137" t="s">
        <v>4109</v>
      </c>
      <c r="D137" t="s">
        <v>159</v>
      </c>
      <c r="E137" t="s">
        <v>159</v>
      </c>
      <c r="F137">
        <v>5446</v>
      </c>
      <c r="G137" t="s">
        <v>4444</v>
      </c>
      <c r="H137" t="s">
        <v>4445</v>
      </c>
      <c r="I137" t="s">
        <v>4446</v>
      </c>
      <c r="K137" t="s">
        <v>4135</v>
      </c>
      <c r="L137" t="s">
        <v>2537</v>
      </c>
      <c r="M137" t="s">
        <v>4118</v>
      </c>
      <c r="N137">
        <v>3529</v>
      </c>
      <c r="O137">
        <v>3529</v>
      </c>
      <c r="P137">
        <v>0</v>
      </c>
      <c r="Q137">
        <v>0</v>
      </c>
      <c r="R137">
        <v>0</v>
      </c>
    </row>
    <row r="138" spans="1:18" x14ac:dyDescent="0.3">
      <c r="A138">
        <v>816</v>
      </c>
      <c r="B138" t="s">
        <v>765</v>
      </c>
      <c r="C138" t="s">
        <v>4109</v>
      </c>
      <c r="D138" t="s">
        <v>159</v>
      </c>
      <c r="E138" t="s">
        <v>159</v>
      </c>
      <c r="F138">
        <v>8872</v>
      </c>
      <c r="G138" t="s">
        <v>4447</v>
      </c>
      <c r="H138" t="s">
        <v>4447</v>
      </c>
      <c r="I138" t="s">
        <v>4133</v>
      </c>
      <c r="K138" t="s">
        <v>4135</v>
      </c>
      <c r="L138" t="s">
        <v>2537</v>
      </c>
      <c r="M138" t="s">
        <v>4130</v>
      </c>
      <c r="N138">
        <v>2599</v>
      </c>
      <c r="O138">
        <v>1506</v>
      </c>
      <c r="P138">
        <v>802</v>
      </c>
      <c r="Q138">
        <v>0</v>
      </c>
      <c r="R138">
        <v>0</v>
      </c>
    </row>
    <row r="139" spans="1:18" x14ac:dyDescent="0.3">
      <c r="A139">
        <v>816</v>
      </c>
      <c r="B139" t="s">
        <v>765</v>
      </c>
      <c r="C139" t="s">
        <v>4109</v>
      </c>
      <c r="D139" t="s">
        <v>159</v>
      </c>
      <c r="E139" t="s">
        <v>159</v>
      </c>
      <c r="F139">
        <v>8872</v>
      </c>
      <c r="G139" t="s">
        <v>4448</v>
      </c>
      <c r="H139" t="s">
        <v>4449</v>
      </c>
      <c r="I139" t="s">
        <v>4450</v>
      </c>
      <c r="K139" t="s">
        <v>4135</v>
      </c>
      <c r="L139" t="s">
        <v>2537</v>
      </c>
      <c r="M139" t="s">
        <v>4130</v>
      </c>
      <c r="N139">
        <v>3100</v>
      </c>
      <c r="O139">
        <v>793</v>
      </c>
      <c r="P139">
        <v>2598</v>
      </c>
      <c r="Q139">
        <v>0</v>
      </c>
      <c r="R139">
        <v>0</v>
      </c>
    </row>
    <row r="140" spans="1:18" x14ac:dyDescent="0.3">
      <c r="A140">
        <v>830</v>
      </c>
      <c r="B140" t="s">
        <v>1491</v>
      </c>
      <c r="C140" t="s">
        <v>4109</v>
      </c>
      <c r="D140" t="s">
        <v>159</v>
      </c>
      <c r="E140" t="s">
        <v>159</v>
      </c>
      <c r="F140">
        <v>8004</v>
      </c>
      <c r="G140" t="s">
        <v>4451</v>
      </c>
      <c r="H140" t="s">
        <v>4452</v>
      </c>
      <c r="I140" t="s">
        <v>4453</v>
      </c>
      <c r="K140" t="s">
        <v>4168</v>
      </c>
      <c r="L140" t="s">
        <v>2537</v>
      </c>
      <c r="M140" t="s">
        <v>4212</v>
      </c>
      <c r="N140">
        <v>4168</v>
      </c>
      <c r="O140">
        <v>2997</v>
      </c>
      <c r="P140">
        <v>1171</v>
      </c>
      <c r="Q140">
        <v>0</v>
      </c>
      <c r="R140">
        <v>0</v>
      </c>
    </row>
    <row r="141" spans="1:18" x14ac:dyDescent="0.3">
      <c r="A141">
        <v>842</v>
      </c>
      <c r="B141" t="s">
        <v>1495</v>
      </c>
      <c r="C141" t="s">
        <v>4109</v>
      </c>
      <c r="D141" t="s">
        <v>159</v>
      </c>
      <c r="E141" t="s">
        <v>159</v>
      </c>
      <c r="F141">
        <v>6760</v>
      </c>
      <c r="G141" t="s">
        <v>4454</v>
      </c>
      <c r="H141" t="s">
        <v>4455</v>
      </c>
      <c r="I141" t="s">
        <v>4456</v>
      </c>
      <c r="J141" t="s">
        <v>4457</v>
      </c>
      <c r="K141" t="s">
        <v>687</v>
      </c>
      <c r="L141" t="s">
        <v>2537</v>
      </c>
      <c r="M141" t="s">
        <v>4130</v>
      </c>
      <c r="N141">
        <v>783</v>
      </c>
      <c r="O141">
        <v>0</v>
      </c>
      <c r="P141">
        <v>533</v>
      </c>
      <c r="Q141">
        <v>0</v>
      </c>
      <c r="R141">
        <v>0</v>
      </c>
    </row>
    <row r="142" spans="1:18" x14ac:dyDescent="0.3">
      <c r="A142">
        <v>842</v>
      </c>
      <c r="B142" t="s">
        <v>1495</v>
      </c>
      <c r="C142" t="s">
        <v>4109</v>
      </c>
      <c r="D142" t="s">
        <v>159</v>
      </c>
      <c r="E142" t="s">
        <v>159</v>
      </c>
      <c r="F142">
        <v>6760</v>
      </c>
      <c r="G142" t="s">
        <v>4458</v>
      </c>
      <c r="H142" t="s">
        <v>4459</v>
      </c>
      <c r="I142" t="s">
        <v>4460</v>
      </c>
      <c r="J142" t="s">
        <v>4461</v>
      </c>
      <c r="K142" t="s">
        <v>687</v>
      </c>
      <c r="L142" t="s">
        <v>2530</v>
      </c>
      <c r="M142" t="s">
        <v>4130</v>
      </c>
      <c r="N142">
        <v>1082</v>
      </c>
      <c r="O142">
        <v>253</v>
      </c>
      <c r="P142">
        <v>332</v>
      </c>
      <c r="Q142">
        <v>3097</v>
      </c>
      <c r="R142">
        <v>0</v>
      </c>
    </row>
    <row r="143" spans="1:18" x14ac:dyDescent="0.3">
      <c r="A143">
        <v>842</v>
      </c>
      <c r="B143" t="s">
        <v>1495</v>
      </c>
      <c r="C143" t="s">
        <v>4109</v>
      </c>
      <c r="D143" t="s">
        <v>159</v>
      </c>
      <c r="E143" t="s">
        <v>159</v>
      </c>
      <c r="F143">
        <v>6760</v>
      </c>
      <c r="G143" t="s">
        <v>4462</v>
      </c>
      <c r="H143" t="s">
        <v>4463</v>
      </c>
      <c r="I143" t="s">
        <v>4464</v>
      </c>
      <c r="J143" t="s">
        <v>4465</v>
      </c>
      <c r="K143" t="s">
        <v>4112</v>
      </c>
      <c r="L143" t="s">
        <v>2537</v>
      </c>
      <c r="M143" t="s">
        <v>4130</v>
      </c>
      <c r="N143">
        <v>444</v>
      </c>
      <c r="O143">
        <v>180</v>
      </c>
      <c r="P143">
        <v>217</v>
      </c>
      <c r="Q143">
        <v>0</v>
      </c>
      <c r="R143">
        <v>0</v>
      </c>
    </row>
    <row r="144" spans="1:18" x14ac:dyDescent="0.3">
      <c r="A144">
        <v>842</v>
      </c>
      <c r="B144" t="s">
        <v>1495</v>
      </c>
      <c r="C144" t="s">
        <v>4109</v>
      </c>
      <c r="D144" t="s">
        <v>159</v>
      </c>
      <c r="E144" t="s">
        <v>159</v>
      </c>
      <c r="F144">
        <v>6760</v>
      </c>
      <c r="G144" t="s">
        <v>4466</v>
      </c>
      <c r="H144" t="s">
        <v>4467</v>
      </c>
      <c r="I144" t="s">
        <v>4467</v>
      </c>
      <c r="J144" t="s">
        <v>4468</v>
      </c>
      <c r="K144" t="s">
        <v>4469</v>
      </c>
      <c r="L144" t="s">
        <v>2537</v>
      </c>
      <c r="M144" t="s">
        <v>4130</v>
      </c>
      <c r="N144">
        <v>6705</v>
      </c>
      <c r="O144">
        <v>0</v>
      </c>
      <c r="P144">
        <v>4</v>
      </c>
      <c r="Q144">
        <v>0</v>
      </c>
      <c r="R144">
        <v>6585</v>
      </c>
    </row>
    <row r="145" spans="1:18" x14ac:dyDescent="0.3">
      <c r="A145">
        <v>851</v>
      </c>
      <c r="B145" t="s">
        <v>1501</v>
      </c>
      <c r="C145" t="s">
        <v>4109</v>
      </c>
      <c r="D145" t="s">
        <v>159</v>
      </c>
      <c r="E145" t="s">
        <v>159</v>
      </c>
      <c r="F145">
        <v>5582</v>
      </c>
      <c r="G145" t="s">
        <v>4470</v>
      </c>
      <c r="H145" t="s">
        <v>4471</v>
      </c>
      <c r="I145" t="s">
        <v>4472</v>
      </c>
      <c r="J145" t="s">
        <v>4473</v>
      </c>
      <c r="K145" t="s">
        <v>4168</v>
      </c>
      <c r="L145" t="s">
        <v>2530</v>
      </c>
      <c r="M145" t="s">
        <v>4130</v>
      </c>
      <c r="N145">
        <v>15580</v>
      </c>
      <c r="O145">
        <v>12730</v>
      </c>
      <c r="P145">
        <v>0</v>
      </c>
      <c r="Q145">
        <v>0</v>
      </c>
      <c r="R145">
        <v>0</v>
      </c>
    </row>
    <row r="146" spans="1:18" x14ac:dyDescent="0.3">
      <c r="A146">
        <v>851</v>
      </c>
      <c r="B146" t="s">
        <v>1501</v>
      </c>
      <c r="C146" t="s">
        <v>4109</v>
      </c>
      <c r="D146" t="s">
        <v>159</v>
      </c>
      <c r="E146" t="s">
        <v>159</v>
      </c>
      <c r="F146">
        <v>5582</v>
      </c>
      <c r="G146" t="s">
        <v>4470</v>
      </c>
      <c r="H146" t="s">
        <v>4474</v>
      </c>
      <c r="I146" t="s">
        <v>4475</v>
      </c>
      <c r="J146" t="s">
        <v>4476</v>
      </c>
      <c r="K146" t="s">
        <v>687</v>
      </c>
      <c r="L146" t="s">
        <v>2530</v>
      </c>
      <c r="M146" t="s">
        <v>4130</v>
      </c>
      <c r="N146">
        <v>0</v>
      </c>
      <c r="O146">
        <v>0</v>
      </c>
      <c r="P146">
        <v>464</v>
      </c>
      <c r="Q146">
        <v>0</v>
      </c>
      <c r="R146">
        <v>0</v>
      </c>
    </row>
    <row r="147" spans="1:18" x14ac:dyDescent="0.3">
      <c r="A147">
        <v>851</v>
      </c>
      <c r="B147" t="s">
        <v>1501</v>
      </c>
      <c r="C147" t="s">
        <v>4109</v>
      </c>
      <c r="D147" t="s">
        <v>159</v>
      </c>
      <c r="E147" t="s">
        <v>159</v>
      </c>
      <c r="F147">
        <v>5582</v>
      </c>
      <c r="G147" t="s">
        <v>4470</v>
      </c>
      <c r="H147" t="s">
        <v>4477</v>
      </c>
      <c r="I147" t="s">
        <v>4478</v>
      </c>
      <c r="J147" t="s">
        <v>4479</v>
      </c>
      <c r="K147" t="s">
        <v>4135</v>
      </c>
      <c r="L147" t="s">
        <v>2530</v>
      </c>
      <c r="M147" t="s">
        <v>4130</v>
      </c>
      <c r="N147">
        <v>0</v>
      </c>
      <c r="O147">
        <v>0</v>
      </c>
      <c r="P147">
        <v>0</v>
      </c>
      <c r="Q147">
        <v>0</v>
      </c>
      <c r="R147">
        <v>0</v>
      </c>
    </row>
    <row r="148" spans="1:18" x14ac:dyDescent="0.3">
      <c r="A148">
        <v>859</v>
      </c>
      <c r="B148" t="s">
        <v>1507</v>
      </c>
      <c r="C148" t="s">
        <v>4109</v>
      </c>
      <c r="D148" t="s">
        <v>159</v>
      </c>
      <c r="E148" t="s">
        <v>159</v>
      </c>
      <c r="F148">
        <v>8967</v>
      </c>
      <c r="G148" t="s">
        <v>4480</v>
      </c>
      <c r="H148" t="s">
        <v>4178</v>
      </c>
      <c r="I148" t="s">
        <v>4178</v>
      </c>
      <c r="J148" t="s">
        <v>4481</v>
      </c>
      <c r="K148" t="s">
        <v>4117</v>
      </c>
      <c r="L148" t="s">
        <v>2537</v>
      </c>
      <c r="M148" t="s">
        <v>4118</v>
      </c>
      <c r="N148">
        <v>4649.3650927500003</v>
      </c>
      <c r="O148">
        <v>4649.3650927500003</v>
      </c>
      <c r="P148">
        <v>0</v>
      </c>
      <c r="Q148">
        <v>0</v>
      </c>
    </row>
    <row r="149" spans="1:18" x14ac:dyDescent="0.3">
      <c r="A149">
        <v>873</v>
      </c>
      <c r="B149" t="s">
        <v>1516</v>
      </c>
      <c r="C149" t="s">
        <v>4109</v>
      </c>
      <c r="D149" t="s">
        <v>159</v>
      </c>
      <c r="E149" t="s">
        <v>159</v>
      </c>
      <c r="F149">
        <v>6762</v>
      </c>
      <c r="G149" t="s">
        <v>4482</v>
      </c>
      <c r="H149" t="s">
        <v>4483</v>
      </c>
      <c r="I149" t="s">
        <v>4484</v>
      </c>
      <c r="K149" t="s">
        <v>4168</v>
      </c>
      <c r="L149" t="s">
        <v>2530</v>
      </c>
      <c r="M149" t="s">
        <v>4130</v>
      </c>
      <c r="N149">
        <v>1741</v>
      </c>
      <c r="O149">
        <v>1186</v>
      </c>
      <c r="P149">
        <v>517</v>
      </c>
      <c r="Q149">
        <v>8</v>
      </c>
      <c r="R149">
        <v>0</v>
      </c>
    </row>
    <row r="150" spans="1:18" x14ac:dyDescent="0.3">
      <c r="A150">
        <v>920</v>
      </c>
      <c r="B150" t="s">
        <v>1519</v>
      </c>
      <c r="C150" t="s">
        <v>4109</v>
      </c>
      <c r="D150" t="s">
        <v>159</v>
      </c>
      <c r="E150" t="s">
        <v>159</v>
      </c>
      <c r="F150">
        <v>9014</v>
      </c>
      <c r="G150" t="s">
        <v>4485</v>
      </c>
      <c r="H150" t="s">
        <v>4486</v>
      </c>
      <c r="I150" t="s">
        <v>4487</v>
      </c>
      <c r="J150" t="s">
        <v>4488</v>
      </c>
      <c r="K150" t="s">
        <v>4135</v>
      </c>
      <c r="L150" t="s">
        <v>2530</v>
      </c>
      <c r="M150" t="s">
        <v>4118</v>
      </c>
      <c r="N150">
        <v>1025.0085419</v>
      </c>
      <c r="O150">
        <v>1245.9684671</v>
      </c>
      <c r="P150">
        <v>0</v>
      </c>
      <c r="Q150">
        <v>0</v>
      </c>
      <c r="R150">
        <v>0</v>
      </c>
    </row>
    <row r="151" spans="1:18" x14ac:dyDescent="0.3">
      <c r="A151">
        <v>924</v>
      </c>
      <c r="B151" t="s">
        <v>1523</v>
      </c>
      <c r="C151" t="s">
        <v>4109</v>
      </c>
      <c r="D151" t="s">
        <v>159</v>
      </c>
      <c r="E151" t="s">
        <v>159</v>
      </c>
      <c r="F151">
        <v>7854</v>
      </c>
      <c r="G151" t="s">
        <v>4489</v>
      </c>
      <c r="H151" t="s">
        <v>1204</v>
      </c>
      <c r="I151" t="s">
        <v>1204</v>
      </c>
      <c r="K151" t="s">
        <v>687</v>
      </c>
      <c r="L151" t="s">
        <v>2530</v>
      </c>
      <c r="M151" t="s">
        <v>4130</v>
      </c>
      <c r="N151">
        <v>8400</v>
      </c>
      <c r="O151">
        <v>0</v>
      </c>
      <c r="P151">
        <v>916</v>
      </c>
      <c r="Q151">
        <v>6384</v>
      </c>
      <c r="R151">
        <v>0</v>
      </c>
    </row>
    <row r="152" spans="1:18" x14ac:dyDescent="0.3">
      <c r="A152">
        <v>924</v>
      </c>
      <c r="B152" t="s">
        <v>1523</v>
      </c>
      <c r="C152" t="s">
        <v>4109</v>
      </c>
      <c r="D152" t="s">
        <v>159</v>
      </c>
      <c r="E152" t="s">
        <v>159</v>
      </c>
      <c r="F152">
        <v>7854</v>
      </c>
      <c r="G152" t="s">
        <v>4490</v>
      </c>
      <c r="H152" t="s">
        <v>4491</v>
      </c>
      <c r="I152" t="s">
        <v>2893</v>
      </c>
      <c r="K152" t="s">
        <v>4112</v>
      </c>
      <c r="L152" t="s">
        <v>2530</v>
      </c>
      <c r="M152" t="s">
        <v>4282</v>
      </c>
      <c r="N152">
        <v>131000</v>
      </c>
      <c r="O152">
        <v>94235</v>
      </c>
      <c r="P152">
        <v>2895</v>
      </c>
      <c r="Q152">
        <v>87499</v>
      </c>
      <c r="R152">
        <v>0</v>
      </c>
    </row>
    <row r="153" spans="1:18" x14ac:dyDescent="0.3">
      <c r="A153">
        <v>934</v>
      </c>
      <c r="B153" t="s">
        <v>899</v>
      </c>
      <c r="C153" t="s">
        <v>4109</v>
      </c>
      <c r="D153" t="s">
        <v>159</v>
      </c>
      <c r="E153" t="s">
        <v>159</v>
      </c>
      <c r="F153">
        <v>7328</v>
      </c>
      <c r="G153" t="s">
        <v>4492</v>
      </c>
      <c r="H153" t="s">
        <v>4493</v>
      </c>
      <c r="I153" t="s">
        <v>4494</v>
      </c>
      <c r="J153" t="s">
        <v>4495</v>
      </c>
      <c r="K153" t="s">
        <v>4112</v>
      </c>
      <c r="L153" t="s">
        <v>2537</v>
      </c>
      <c r="M153" t="s">
        <v>4130</v>
      </c>
      <c r="N153">
        <v>325</v>
      </c>
      <c r="O153">
        <v>271</v>
      </c>
      <c r="P153">
        <v>54</v>
      </c>
      <c r="Q153">
        <v>0</v>
      </c>
      <c r="R153">
        <v>0</v>
      </c>
    </row>
    <row r="154" spans="1:18" x14ac:dyDescent="0.3">
      <c r="A154">
        <v>934</v>
      </c>
      <c r="B154" t="s">
        <v>899</v>
      </c>
      <c r="C154" t="s">
        <v>4109</v>
      </c>
      <c r="D154" t="s">
        <v>159</v>
      </c>
      <c r="E154" t="s">
        <v>159</v>
      </c>
      <c r="F154">
        <v>7328</v>
      </c>
      <c r="G154" t="s">
        <v>4496</v>
      </c>
      <c r="H154" t="s">
        <v>4493</v>
      </c>
      <c r="I154" t="s">
        <v>4497</v>
      </c>
      <c r="J154" t="s">
        <v>4498</v>
      </c>
      <c r="K154" t="s">
        <v>4112</v>
      </c>
      <c r="L154" t="s">
        <v>2530</v>
      </c>
      <c r="M154" t="s">
        <v>4113</v>
      </c>
      <c r="N154">
        <v>63652</v>
      </c>
      <c r="O154">
        <v>58949</v>
      </c>
      <c r="P154">
        <v>0</v>
      </c>
      <c r="Q154">
        <v>3845</v>
      </c>
      <c r="R154">
        <v>0</v>
      </c>
    </row>
    <row r="155" spans="1:18" x14ac:dyDescent="0.3">
      <c r="A155">
        <v>934</v>
      </c>
      <c r="B155" t="s">
        <v>899</v>
      </c>
      <c r="C155" t="s">
        <v>4109</v>
      </c>
      <c r="D155" t="s">
        <v>159</v>
      </c>
      <c r="E155" t="s">
        <v>159</v>
      </c>
      <c r="F155">
        <v>7328</v>
      </c>
      <c r="G155" t="s">
        <v>4496</v>
      </c>
      <c r="H155" t="s">
        <v>4493</v>
      </c>
      <c r="I155" t="s">
        <v>4497</v>
      </c>
      <c r="J155" t="s">
        <v>4498</v>
      </c>
      <c r="K155" t="s">
        <v>4112</v>
      </c>
      <c r="L155" t="s">
        <v>2530</v>
      </c>
      <c r="M155" t="s">
        <v>4130</v>
      </c>
      <c r="N155">
        <v>0</v>
      </c>
      <c r="O155">
        <v>0</v>
      </c>
      <c r="P155">
        <v>858</v>
      </c>
      <c r="Q155">
        <v>0</v>
      </c>
      <c r="R155">
        <v>0</v>
      </c>
    </row>
    <row r="156" spans="1:18" x14ac:dyDescent="0.3">
      <c r="A156">
        <v>972</v>
      </c>
      <c r="B156" t="s">
        <v>1529</v>
      </c>
      <c r="C156" t="s">
        <v>4109</v>
      </c>
      <c r="D156" t="s">
        <v>159</v>
      </c>
      <c r="E156" t="s">
        <v>159</v>
      </c>
      <c r="F156">
        <v>5640</v>
      </c>
      <c r="G156" t="s">
        <v>4499</v>
      </c>
      <c r="H156" t="s">
        <v>4500</v>
      </c>
      <c r="I156" t="s">
        <v>4501</v>
      </c>
      <c r="K156" t="s">
        <v>4135</v>
      </c>
      <c r="L156" t="s">
        <v>2537</v>
      </c>
      <c r="M156" t="s">
        <v>4130</v>
      </c>
      <c r="N156">
        <v>1968</v>
      </c>
      <c r="O156">
        <v>1349</v>
      </c>
      <c r="P156">
        <v>655</v>
      </c>
      <c r="Q156">
        <v>0</v>
      </c>
      <c r="R156">
        <v>0</v>
      </c>
    </row>
    <row r="157" spans="1:18" x14ac:dyDescent="0.3">
      <c r="A157">
        <v>995</v>
      </c>
      <c r="B157" t="s">
        <v>1540</v>
      </c>
      <c r="C157" t="s">
        <v>4109</v>
      </c>
      <c r="D157" t="s">
        <v>1203</v>
      </c>
      <c r="E157" t="s">
        <v>1204</v>
      </c>
      <c r="F157">
        <v>6827</v>
      </c>
      <c r="G157" t="s">
        <v>4502</v>
      </c>
      <c r="H157" t="s">
        <v>4503</v>
      </c>
      <c r="I157" t="s">
        <v>4503</v>
      </c>
      <c r="K157" t="s">
        <v>4112</v>
      </c>
      <c r="L157" t="s">
        <v>2530</v>
      </c>
      <c r="M157" t="s">
        <v>4118</v>
      </c>
      <c r="N157">
        <v>5513</v>
      </c>
      <c r="O157">
        <v>5513</v>
      </c>
      <c r="P157">
        <v>0</v>
      </c>
      <c r="Q157">
        <v>0</v>
      </c>
      <c r="R157">
        <v>0</v>
      </c>
    </row>
    <row r="158" spans="1:18" x14ac:dyDescent="0.3">
      <c r="A158">
        <v>995</v>
      </c>
      <c r="B158" t="s">
        <v>1540</v>
      </c>
      <c r="C158" t="s">
        <v>4109</v>
      </c>
      <c r="D158" t="s">
        <v>1203</v>
      </c>
      <c r="E158" t="s">
        <v>1204</v>
      </c>
      <c r="F158">
        <v>6827</v>
      </c>
      <c r="G158" t="s">
        <v>4502</v>
      </c>
      <c r="H158" t="s">
        <v>4504</v>
      </c>
      <c r="I158" t="s">
        <v>4504</v>
      </c>
      <c r="K158" t="s">
        <v>687</v>
      </c>
      <c r="L158" t="s">
        <v>2530</v>
      </c>
      <c r="M158" t="s">
        <v>4130</v>
      </c>
      <c r="N158">
        <v>1278</v>
      </c>
      <c r="O158">
        <v>0</v>
      </c>
      <c r="P158">
        <v>1278</v>
      </c>
      <c r="Q158">
        <v>0</v>
      </c>
      <c r="R158">
        <v>0</v>
      </c>
    </row>
    <row r="159" spans="1:18" x14ac:dyDescent="0.3">
      <c r="A159">
        <v>1004</v>
      </c>
      <c r="B159" t="s">
        <v>1541</v>
      </c>
      <c r="C159" t="s">
        <v>4109</v>
      </c>
      <c r="D159" t="s">
        <v>159</v>
      </c>
      <c r="E159" t="s">
        <v>159</v>
      </c>
      <c r="F159">
        <v>8925</v>
      </c>
      <c r="G159" t="s">
        <v>3266</v>
      </c>
      <c r="H159" t="s">
        <v>4505</v>
      </c>
      <c r="I159" t="s">
        <v>4506</v>
      </c>
      <c r="K159" t="s">
        <v>4135</v>
      </c>
      <c r="L159" t="s">
        <v>2537</v>
      </c>
      <c r="M159" t="s">
        <v>4130</v>
      </c>
      <c r="N159">
        <v>14983</v>
      </c>
      <c r="O159">
        <v>10059</v>
      </c>
      <c r="P159">
        <v>1811</v>
      </c>
      <c r="Q159">
        <v>2805</v>
      </c>
    </row>
    <row r="160" spans="1:18" x14ac:dyDescent="0.3">
      <c r="A160">
        <v>1030</v>
      </c>
      <c r="B160" t="s">
        <v>1544</v>
      </c>
      <c r="C160" t="s">
        <v>4109</v>
      </c>
      <c r="D160" t="s">
        <v>159</v>
      </c>
      <c r="E160" t="s">
        <v>159</v>
      </c>
      <c r="F160">
        <v>8785</v>
      </c>
      <c r="G160" t="s">
        <v>4507</v>
      </c>
      <c r="H160" t="s">
        <v>4507</v>
      </c>
      <c r="I160" t="s">
        <v>4285</v>
      </c>
      <c r="K160" t="s">
        <v>4112</v>
      </c>
      <c r="L160" t="s">
        <v>2530</v>
      </c>
      <c r="M160" t="s">
        <v>4113</v>
      </c>
      <c r="N160">
        <v>2561</v>
      </c>
      <c r="O160">
        <v>2561</v>
      </c>
      <c r="P160">
        <v>0</v>
      </c>
      <c r="Q160">
        <v>0</v>
      </c>
      <c r="R160">
        <v>0</v>
      </c>
    </row>
    <row r="161" spans="1:18" x14ac:dyDescent="0.3">
      <c r="A161">
        <v>1068</v>
      </c>
      <c r="B161" t="s">
        <v>1560</v>
      </c>
      <c r="C161" t="s">
        <v>4109</v>
      </c>
      <c r="D161" t="s">
        <v>159</v>
      </c>
      <c r="E161" t="s">
        <v>159</v>
      </c>
      <c r="F161">
        <v>5489</v>
      </c>
      <c r="G161" t="s">
        <v>4508</v>
      </c>
      <c r="H161" t="s">
        <v>4276</v>
      </c>
      <c r="I161" t="s">
        <v>4509</v>
      </c>
      <c r="K161" t="s">
        <v>4168</v>
      </c>
      <c r="L161" t="s">
        <v>2537</v>
      </c>
      <c r="M161" t="s">
        <v>4212</v>
      </c>
      <c r="N161">
        <v>4930</v>
      </c>
      <c r="O161">
        <v>4054</v>
      </c>
      <c r="P161">
        <v>876</v>
      </c>
      <c r="Q161">
        <v>0</v>
      </c>
      <c r="R161">
        <v>0</v>
      </c>
    </row>
    <row r="162" spans="1:18" x14ac:dyDescent="0.3">
      <c r="A162">
        <v>1094</v>
      </c>
      <c r="B162" t="s">
        <v>1564</v>
      </c>
      <c r="C162" t="s">
        <v>4109</v>
      </c>
      <c r="D162" t="s">
        <v>159</v>
      </c>
      <c r="E162" t="s">
        <v>159</v>
      </c>
      <c r="F162">
        <v>8772</v>
      </c>
      <c r="G162" t="s">
        <v>4510</v>
      </c>
      <c r="H162" t="s">
        <v>4511</v>
      </c>
      <c r="I162" t="s">
        <v>4512</v>
      </c>
      <c r="J162" t="s">
        <v>4513</v>
      </c>
      <c r="K162" t="s">
        <v>4112</v>
      </c>
      <c r="L162" t="s">
        <v>2530</v>
      </c>
      <c r="M162" t="s">
        <v>4212</v>
      </c>
      <c r="N162">
        <v>15344.439249999999</v>
      </c>
      <c r="O162">
        <v>15344.439249999999</v>
      </c>
      <c r="P162">
        <v>0</v>
      </c>
      <c r="Q162">
        <v>0</v>
      </c>
      <c r="R162">
        <v>0</v>
      </c>
    </row>
    <row r="163" spans="1:18" x14ac:dyDescent="0.3">
      <c r="A163">
        <v>1109</v>
      </c>
      <c r="B163" t="s">
        <v>1566</v>
      </c>
      <c r="C163" t="s">
        <v>4109</v>
      </c>
      <c r="D163" t="s">
        <v>1203</v>
      </c>
      <c r="E163" t="s">
        <v>1204</v>
      </c>
      <c r="F163">
        <v>6747</v>
      </c>
      <c r="G163" t="s">
        <v>1566</v>
      </c>
      <c r="H163" t="s">
        <v>4514</v>
      </c>
      <c r="I163" t="s">
        <v>1275</v>
      </c>
      <c r="J163" t="s">
        <v>4515</v>
      </c>
      <c r="K163" t="s">
        <v>4126</v>
      </c>
      <c r="L163" t="s">
        <v>2537</v>
      </c>
      <c r="M163" t="s">
        <v>4113</v>
      </c>
      <c r="N163">
        <v>128.8932897</v>
      </c>
      <c r="O163">
        <v>0</v>
      </c>
      <c r="P163">
        <v>116.6177383</v>
      </c>
      <c r="Q163">
        <v>0</v>
      </c>
      <c r="R163">
        <v>0</v>
      </c>
    </row>
    <row r="164" spans="1:18" x14ac:dyDescent="0.3">
      <c r="A164">
        <v>1125</v>
      </c>
      <c r="B164" t="s">
        <v>1572</v>
      </c>
      <c r="C164" t="s">
        <v>4109</v>
      </c>
      <c r="D164" t="s">
        <v>1203</v>
      </c>
      <c r="E164" t="s">
        <v>1204</v>
      </c>
      <c r="F164">
        <v>6188</v>
      </c>
      <c r="G164" t="s">
        <v>4516</v>
      </c>
      <c r="I164" t="s">
        <v>4517</v>
      </c>
      <c r="K164" t="s">
        <v>4126</v>
      </c>
      <c r="L164" t="s">
        <v>2537</v>
      </c>
      <c r="M164" t="s">
        <v>4118</v>
      </c>
      <c r="N164">
        <v>4944</v>
      </c>
      <c r="Q164">
        <v>4944</v>
      </c>
    </row>
    <row r="165" spans="1:18" x14ac:dyDescent="0.3">
      <c r="A165">
        <v>1143</v>
      </c>
      <c r="B165" t="s">
        <v>1575</v>
      </c>
      <c r="C165" t="s">
        <v>4109</v>
      </c>
      <c r="D165" t="s">
        <v>159</v>
      </c>
      <c r="E165" t="s">
        <v>159</v>
      </c>
      <c r="F165">
        <v>5903</v>
      </c>
      <c r="G165" t="s">
        <v>4518</v>
      </c>
      <c r="H165" t="s">
        <v>4115</v>
      </c>
      <c r="I165" t="s">
        <v>4116</v>
      </c>
      <c r="J165" t="s">
        <v>2684</v>
      </c>
      <c r="K165" t="s">
        <v>4117</v>
      </c>
      <c r="L165" t="s">
        <v>2537</v>
      </c>
      <c r="M165" t="s">
        <v>4212</v>
      </c>
      <c r="N165">
        <v>12036.1781477</v>
      </c>
      <c r="O165">
        <v>11492.98499825</v>
      </c>
      <c r="P165">
        <v>543.19314944999996</v>
      </c>
      <c r="Q165">
        <v>0</v>
      </c>
      <c r="R165">
        <v>0</v>
      </c>
    </row>
    <row r="166" spans="1:18" x14ac:dyDescent="0.3">
      <c r="A166">
        <v>1144</v>
      </c>
      <c r="B166" t="s">
        <v>1581</v>
      </c>
      <c r="C166" t="s">
        <v>4109</v>
      </c>
      <c r="D166" t="s">
        <v>1203</v>
      </c>
      <c r="E166" t="s">
        <v>1204</v>
      </c>
      <c r="F166">
        <v>6619</v>
      </c>
      <c r="G166" t="s">
        <v>4519</v>
      </c>
      <c r="H166" t="s">
        <v>4520</v>
      </c>
      <c r="I166" t="s">
        <v>4521</v>
      </c>
      <c r="J166" t="s">
        <v>4522</v>
      </c>
      <c r="K166" t="s">
        <v>4135</v>
      </c>
      <c r="L166" t="s">
        <v>2537</v>
      </c>
      <c r="M166" t="s">
        <v>4130</v>
      </c>
      <c r="N166">
        <v>926.80413069999997</v>
      </c>
      <c r="O166">
        <v>561.60647655000002</v>
      </c>
      <c r="P166">
        <v>6.1377756999999997</v>
      </c>
      <c r="Q166">
        <v>150.37550465000001</v>
      </c>
    </row>
    <row r="167" spans="1:18" x14ac:dyDescent="0.3">
      <c r="A167">
        <v>1167</v>
      </c>
      <c r="B167" t="s">
        <v>1590</v>
      </c>
      <c r="C167" t="s">
        <v>4109</v>
      </c>
      <c r="D167" t="s">
        <v>159</v>
      </c>
      <c r="E167" t="s">
        <v>159</v>
      </c>
      <c r="F167">
        <v>8662</v>
      </c>
      <c r="G167" t="s">
        <v>4523</v>
      </c>
      <c r="H167" t="s">
        <v>4285</v>
      </c>
      <c r="I167" t="s">
        <v>4285</v>
      </c>
      <c r="K167" t="s">
        <v>4112</v>
      </c>
      <c r="L167" t="s">
        <v>2537</v>
      </c>
      <c r="M167" t="s">
        <v>4212</v>
      </c>
      <c r="N167">
        <v>223</v>
      </c>
      <c r="O167">
        <v>203</v>
      </c>
      <c r="P167">
        <v>0</v>
      </c>
      <c r="Q167">
        <v>0</v>
      </c>
      <c r="R167">
        <v>0</v>
      </c>
    </row>
    <row r="168" spans="1:18" x14ac:dyDescent="0.3">
      <c r="A168">
        <v>1188</v>
      </c>
      <c r="B168" t="s">
        <v>1593</v>
      </c>
      <c r="C168" t="s">
        <v>4109</v>
      </c>
      <c r="D168" t="s">
        <v>159</v>
      </c>
      <c r="E168" t="s">
        <v>159</v>
      </c>
      <c r="F168">
        <v>7794</v>
      </c>
      <c r="G168" t="s">
        <v>4524</v>
      </c>
      <c r="H168" t="s">
        <v>4285</v>
      </c>
      <c r="I168" t="s">
        <v>4525</v>
      </c>
      <c r="K168" t="s">
        <v>4112</v>
      </c>
      <c r="L168" t="s">
        <v>2537</v>
      </c>
      <c r="M168" t="s">
        <v>4130</v>
      </c>
      <c r="N168">
        <v>2658</v>
      </c>
      <c r="O168">
        <v>2132</v>
      </c>
      <c r="P168">
        <v>100</v>
      </c>
      <c r="Q168">
        <v>426</v>
      </c>
    </row>
    <row r="169" spans="1:18" x14ac:dyDescent="0.3">
      <c r="A169">
        <v>1215</v>
      </c>
      <c r="B169" t="s">
        <v>1596</v>
      </c>
      <c r="C169" t="s">
        <v>4109</v>
      </c>
      <c r="D169" t="s">
        <v>159</v>
      </c>
      <c r="E169" t="s">
        <v>159</v>
      </c>
      <c r="F169">
        <v>8749</v>
      </c>
      <c r="G169" t="s">
        <v>4526</v>
      </c>
      <c r="H169" t="s">
        <v>4484</v>
      </c>
      <c r="I169" t="s">
        <v>4168</v>
      </c>
      <c r="K169" t="s">
        <v>4168</v>
      </c>
      <c r="L169" t="s">
        <v>2530</v>
      </c>
      <c r="M169" t="s">
        <v>4212</v>
      </c>
      <c r="N169">
        <v>75000</v>
      </c>
      <c r="O169">
        <v>75000</v>
      </c>
      <c r="P169">
        <v>0</v>
      </c>
      <c r="Q169">
        <v>0</v>
      </c>
      <c r="R169">
        <v>0</v>
      </c>
    </row>
    <row r="170" spans="1:18" x14ac:dyDescent="0.3">
      <c r="A170">
        <v>1225</v>
      </c>
      <c r="B170" t="s">
        <v>1599</v>
      </c>
      <c r="C170" t="s">
        <v>4109</v>
      </c>
      <c r="D170" t="s">
        <v>1203</v>
      </c>
      <c r="E170" t="s">
        <v>1204</v>
      </c>
      <c r="F170">
        <v>7664</v>
      </c>
      <c r="G170" t="s">
        <v>4259</v>
      </c>
      <c r="H170" t="s">
        <v>4527</v>
      </c>
      <c r="I170" t="s">
        <v>4285</v>
      </c>
      <c r="K170" t="s">
        <v>4112</v>
      </c>
      <c r="L170" t="s">
        <v>2537</v>
      </c>
      <c r="M170" t="s">
        <v>4212</v>
      </c>
      <c r="N170">
        <v>1347.2417661500001</v>
      </c>
      <c r="O170">
        <v>1347.2417661500001</v>
      </c>
      <c r="P170">
        <v>0</v>
      </c>
      <c r="Q170">
        <v>0</v>
      </c>
    </row>
    <row r="171" spans="1:18" x14ac:dyDescent="0.3">
      <c r="A171">
        <v>1234</v>
      </c>
      <c r="B171" t="s">
        <v>1600</v>
      </c>
      <c r="C171" t="s">
        <v>4109</v>
      </c>
      <c r="D171" t="s">
        <v>1203</v>
      </c>
      <c r="E171" t="s">
        <v>1204</v>
      </c>
      <c r="F171">
        <v>5993</v>
      </c>
      <c r="G171" t="s">
        <v>4528</v>
      </c>
      <c r="K171" t="s">
        <v>687</v>
      </c>
      <c r="L171" t="s">
        <v>2537</v>
      </c>
      <c r="M171" t="s">
        <v>4118</v>
      </c>
      <c r="N171">
        <v>2464</v>
      </c>
    </row>
    <row r="172" spans="1:18" x14ac:dyDescent="0.3">
      <c r="A172">
        <v>1236</v>
      </c>
      <c r="B172" t="s">
        <v>1603</v>
      </c>
      <c r="C172" t="s">
        <v>4109</v>
      </c>
      <c r="D172" t="s">
        <v>159</v>
      </c>
      <c r="E172" t="s">
        <v>159</v>
      </c>
      <c r="F172">
        <v>8367</v>
      </c>
      <c r="G172" t="s">
        <v>4529</v>
      </c>
      <c r="H172" t="s">
        <v>4346</v>
      </c>
      <c r="I172" t="s">
        <v>4347</v>
      </c>
      <c r="J172" t="s">
        <v>4530</v>
      </c>
      <c r="K172" t="s">
        <v>687</v>
      </c>
      <c r="L172" t="s">
        <v>2530</v>
      </c>
      <c r="M172" t="s">
        <v>4113</v>
      </c>
      <c r="N172">
        <v>6261</v>
      </c>
      <c r="O172">
        <v>6261</v>
      </c>
      <c r="P172">
        <v>0</v>
      </c>
      <c r="Q172">
        <v>0</v>
      </c>
      <c r="R172">
        <v>0</v>
      </c>
    </row>
    <row r="173" spans="1:18" x14ac:dyDescent="0.3">
      <c r="A173">
        <v>1245</v>
      </c>
      <c r="B173" t="s">
        <v>1606</v>
      </c>
      <c r="C173" t="s">
        <v>4109</v>
      </c>
      <c r="D173" t="s">
        <v>159</v>
      </c>
      <c r="E173" t="s">
        <v>159</v>
      </c>
      <c r="F173">
        <v>8089</v>
      </c>
      <c r="G173" t="s">
        <v>4531</v>
      </c>
      <c r="H173" t="s">
        <v>4167</v>
      </c>
      <c r="I173" t="s">
        <v>4167</v>
      </c>
      <c r="L173" t="s">
        <v>2530</v>
      </c>
      <c r="O173">
        <v>157</v>
      </c>
    </row>
    <row r="174" spans="1:18" x14ac:dyDescent="0.3">
      <c r="A174">
        <v>1245</v>
      </c>
      <c r="B174" t="s">
        <v>1606</v>
      </c>
      <c r="C174" t="s">
        <v>4109</v>
      </c>
      <c r="D174" t="s">
        <v>159</v>
      </c>
      <c r="E174" t="s">
        <v>159</v>
      </c>
      <c r="F174">
        <v>8089</v>
      </c>
      <c r="G174" t="s">
        <v>4532</v>
      </c>
      <c r="H174" t="s">
        <v>4533</v>
      </c>
      <c r="I174" t="s">
        <v>4534</v>
      </c>
      <c r="J174" t="s">
        <v>4263</v>
      </c>
      <c r="L174" t="s">
        <v>2530</v>
      </c>
      <c r="M174" t="s">
        <v>4212</v>
      </c>
      <c r="N174">
        <v>3760</v>
      </c>
      <c r="O174">
        <v>1552</v>
      </c>
      <c r="P174">
        <v>2208</v>
      </c>
    </row>
    <row r="175" spans="1:18" x14ac:dyDescent="0.3">
      <c r="A175">
        <v>1245</v>
      </c>
      <c r="B175" t="s">
        <v>1606</v>
      </c>
      <c r="C175" t="s">
        <v>4109</v>
      </c>
      <c r="D175" t="s">
        <v>159</v>
      </c>
      <c r="E175" t="s">
        <v>159</v>
      </c>
      <c r="F175">
        <v>8089</v>
      </c>
      <c r="G175" t="s">
        <v>4531</v>
      </c>
      <c r="L175" t="s">
        <v>2530</v>
      </c>
      <c r="M175" t="s">
        <v>4130</v>
      </c>
      <c r="N175">
        <v>22575</v>
      </c>
      <c r="P175">
        <v>22418</v>
      </c>
    </row>
    <row r="176" spans="1:18" x14ac:dyDescent="0.3">
      <c r="A176">
        <v>1273</v>
      </c>
      <c r="B176" t="s">
        <v>1609</v>
      </c>
      <c r="C176" t="s">
        <v>4109</v>
      </c>
      <c r="D176" t="s">
        <v>159</v>
      </c>
      <c r="E176" t="s">
        <v>159</v>
      </c>
      <c r="F176">
        <v>5684</v>
      </c>
      <c r="G176" t="s">
        <v>4535</v>
      </c>
      <c r="H176" t="s">
        <v>4331</v>
      </c>
      <c r="I176" t="s">
        <v>4331</v>
      </c>
      <c r="K176" t="s">
        <v>4135</v>
      </c>
      <c r="L176" t="s">
        <v>2530</v>
      </c>
      <c r="M176" t="s">
        <v>4282</v>
      </c>
      <c r="N176">
        <v>28340</v>
      </c>
      <c r="O176">
        <v>27981</v>
      </c>
      <c r="P176">
        <v>0</v>
      </c>
      <c r="Q176">
        <v>185</v>
      </c>
      <c r="R176">
        <v>25000</v>
      </c>
    </row>
    <row r="177" spans="1:18" x14ac:dyDescent="0.3">
      <c r="A177">
        <v>1273</v>
      </c>
      <c r="B177" t="s">
        <v>1609</v>
      </c>
      <c r="C177" t="s">
        <v>4109</v>
      </c>
      <c r="D177" t="s">
        <v>159</v>
      </c>
      <c r="E177" t="s">
        <v>159</v>
      </c>
      <c r="F177">
        <v>5684</v>
      </c>
      <c r="G177" t="s">
        <v>4536</v>
      </c>
      <c r="H177" t="s">
        <v>4331</v>
      </c>
      <c r="I177" t="s">
        <v>4331</v>
      </c>
      <c r="K177" t="s">
        <v>4135</v>
      </c>
      <c r="L177" t="s">
        <v>2530</v>
      </c>
      <c r="M177" t="s">
        <v>4130</v>
      </c>
      <c r="N177">
        <v>9100</v>
      </c>
      <c r="O177">
        <v>9100</v>
      </c>
      <c r="P177">
        <v>0</v>
      </c>
      <c r="Q177">
        <v>0</v>
      </c>
      <c r="R177">
        <v>0</v>
      </c>
    </row>
    <row r="178" spans="1:18" x14ac:dyDescent="0.3">
      <c r="A178">
        <v>1286</v>
      </c>
      <c r="B178" t="s">
        <v>4537</v>
      </c>
      <c r="C178" t="s">
        <v>4109</v>
      </c>
      <c r="D178" t="s">
        <v>1203</v>
      </c>
      <c r="E178" t="s">
        <v>1204</v>
      </c>
      <c r="F178">
        <v>8691</v>
      </c>
      <c r="G178" t="s">
        <v>4538</v>
      </c>
      <c r="H178" t="s">
        <v>4112</v>
      </c>
      <c r="I178" t="s">
        <v>4539</v>
      </c>
      <c r="K178" t="s">
        <v>4112</v>
      </c>
      <c r="L178" t="s">
        <v>2537</v>
      </c>
      <c r="M178" t="s">
        <v>4113</v>
      </c>
      <c r="N178">
        <v>1123.2129531</v>
      </c>
      <c r="O178">
        <v>1123.2129531</v>
      </c>
      <c r="P178">
        <v>0</v>
      </c>
      <c r="Q178">
        <v>0</v>
      </c>
      <c r="R178">
        <v>0</v>
      </c>
    </row>
    <row r="179" spans="1:18" x14ac:dyDescent="0.3">
      <c r="A179">
        <v>1343</v>
      </c>
      <c r="B179" t="s">
        <v>1626</v>
      </c>
      <c r="C179" t="s">
        <v>4109</v>
      </c>
      <c r="D179" t="s">
        <v>159</v>
      </c>
      <c r="E179" t="s">
        <v>159</v>
      </c>
      <c r="F179">
        <v>7914</v>
      </c>
      <c r="G179" t="s">
        <v>4540</v>
      </c>
      <c r="H179" t="s">
        <v>4541</v>
      </c>
      <c r="I179" t="s">
        <v>4542</v>
      </c>
      <c r="J179" t="s">
        <v>4543</v>
      </c>
      <c r="K179" t="s">
        <v>4112</v>
      </c>
      <c r="L179" t="s">
        <v>2530</v>
      </c>
      <c r="M179" t="s">
        <v>4130</v>
      </c>
      <c r="N179">
        <v>1290</v>
      </c>
      <c r="O179">
        <v>1021</v>
      </c>
      <c r="P179">
        <v>269</v>
      </c>
      <c r="Q179">
        <v>0</v>
      </c>
      <c r="R179">
        <v>0</v>
      </c>
    </row>
    <row r="180" spans="1:18" x14ac:dyDescent="0.3">
      <c r="A180">
        <v>1370</v>
      </c>
      <c r="B180" t="s">
        <v>1633</v>
      </c>
      <c r="C180" t="s">
        <v>4109</v>
      </c>
      <c r="D180" t="s">
        <v>159</v>
      </c>
      <c r="E180" t="s">
        <v>159</v>
      </c>
      <c r="F180">
        <v>8099</v>
      </c>
      <c r="G180" t="s">
        <v>4544</v>
      </c>
      <c r="H180" t="s">
        <v>4545</v>
      </c>
      <c r="I180" t="s">
        <v>4546</v>
      </c>
      <c r="J180" t="s">
        <v>4547</v>
      </c>
      <c r="K180" t="s">
        <v>4135</v>
      </c>
      <c r="L180" t="s">
        <v>2530</v>
      </c>
      <c r="M180" t="s">
        <v>4130</v>
      </c>
      <c r="N180">
        <v>25938</v>
      </c>
      <c r="O180">
        <v>22301</v>
      </c>
      <c r="P180">
        <v>464</v>
      </c>
      <c r="Q180">
        <v>3173</v>
      </c>
    </row>
    <row r="181" spans="1:18" x14ac:dyDescent="0.3">
      <c r="A181">
        <v>1371</v>
      </c>
      <c r="B181" t="s">
        <v>1635</v>
      </c>
      <c r="C181" t="s">
        <v>4109</v>
      </c>
      <c r="D181" t="s">
        <v>1203</v>
      </c>
      <c r="E181" t="s">
        <v>1204</v>
      </c>
      <c r="F181">
        <v>7512</v>
      </c>
      <c r="G181" t="s">
        <v>4548</v>
      </c>
      <c r="H181" t="s">
        <v>4549</v>
      </c>
      <c r="I181" t="s">
        <v>4550</v>
      </c>
      <c r="K181" t="s">
        <v>4126</v>
      </c>
      <c r="L181" t="s">
        <v>2537</v>
      </c>
      <c r="M181" t="s">
        <v>4113</v>
      </c>
      <c r="N181">
        <v>1298.1395605499999</v>
      </c>
      <c r="O181">
        <v>1298.1395605499999</v>
      </c>
      <c r="P181">
        <v>0</v>
      </c>
      <c r="Q181">
        <v>0</v>
      </c>
      <c r="R181">
        <v>0</v>
      </c>
    </row>
    <row r="182" spans="1:18" x14ac:dyDescent="0.3">
      <c r="A182">
        <v>1384</v>
      </c>
      <c r="B182" t="s">
        <v>1637</v>
      </c>
      <c r="C182" t="s">
        <v>4109</v>
      </c>
      <c r="D182" t="s">
        <v>159</v>
      </c>
      <c r="E182" t="s">
        <v>159</v>
      </c>
      <c r="F182">
        <v>8664</v>
      </c>
      <c r="G182" t="s">
        <v>4551</v>
      </c>
      <c r="H182" t="s">
        <v>4552</v>
      </c>
      <c r="I182" t="s">
        <v>4553</v>
      </c>
      <c r="K182" t="s">
        <v>4135</v>
      </c>
      <c r="L182" t="s">
        <v>2530</v>
      </c>
      <c r="M182" t="s">
        <v>4130</v>
      </c>
      <c r="N182">
        <v>8742</v>
      </c>
      <c r="O182">
        <v>2065</v>
      </c>
      <c r="P182">
        <v>5892</v>
      </c>
      <c r="Q182">
        <v>298</v>
      </c>
      <c r="R182">
        <v>0</v>
      </c>
    </row>
    <row r="183" spans="1:18" x14ac:dyDescent="0.3">
      <c r="A183">
        <v>1384</v>
      </c>
      <c r="B183" t="s">
        <v>1637</v>
      </c>
      <c r="C183" t="s">
        <v>4109</v>
      </c>
      <c r="D183" t="s">
        <v>159</v>
      </c>
      <c r="E183" t="s">
        <v>159</v>
      </c>
      <c r="F183">
        <v>8664</v>
      </c>
      <c r="G183" t="s">
        <v>4551</v>
      </c>
      <c r="H183" t="s">
        <v>4554</v>
      </c>
      <c r="I183" t="s">
        <v>4555</v>
      </c>
      <c r="K183" t="s">
        <v>4135</v>
      </c>
      <c r="L183" t="s">
        <v>2530</v>
      </c>
      <c r="M183" t="s">
        <v>4130</v>
      </c>
      <c r="N183">
        <v>0</v>
      </c>
      <c r="O183">
        <v>149</v>
      </c>
      <c r="P183">
        <v>0</v>
      </c>
      <c r="Q183">
        <v>0</v>
      </c>
      <c r="R183">
        <v>0</v>
      </c>
    </row>
    <row r="184" spans="1:18" x14ac:dyDescent="0.3">
      <c r="A184">
        <v>1388</v>
      </c>
      <c r="B184" t="s">
        <v>1640</v>
      </c>
      <c r="C184" t="s">
        <v>4109</v>
      </c>
      <c r="D184" t="s">
        <v>159</v>
      </c>
      <c r="E184" t="s">
        <v>159</v>
      </c>
      <c r="F184">
        <v>5503</v>
      </c>
      <c r="G184" t="s">
        <v>4556</v>
      </c>
      <c r="H184" t="s">
        <v>4557</v>
      </c>
      <c r="I184" t="s">
        <v>4558</v>
      </c>
      <c r="J184" t="s">
        <v>4559</v>
      </c>
      <c r="K184" t="s">
        <v>4126</v>
      </c>
      <c r="L184" t="s">
        <v>2537</v>
      </c>
      <c r="M184" t="s">
        <v>4130</v>
      </c>
      <c r="N184">
        <v>934</v>
      </c>
      <c r="O184">
        <v>336</v>
      </c>
      <c r="P184">
        <v>527</v>
      </c>
      <c r="Q184">
        <v>0</v>
      </c>
      <c r="R184">
        <v>0</v>
      </c>
    </row>
    <row r="185" spans="1:18" x14ac:dyDescent="0.3">
      <c r="A185">
        <v>1424</v>
      </c>
      <c r="B185" t="s">
        <v>1644</v>
      </c>
      <c r="C185" t="s">
        <v>4109</v>
      </c>
      <c r="D185" t="s">
        <v>159</v>
      </c>
      <c r="E185" t="s">
        <v>159</v>
      </c>
      <c r="F185">
        <v>5558</v>
      </c>
      <c r="G185" t="s">
        <v>4560</v>
      </c>
      <c r="H185">
        <v>1</v>
      </c>
      <c r="I185" t="s">
        <v>4561</v>
      </c>
      <c r="K185" t="s">
        <v>4135</v>
      </c>
      <c r="L185" t="s">
        <v>2530</v>
      </c>
      <c r="M185" t="s">
        <v>4130</v>
      </c>
      <c r="N185">
        <v>4950</v>
      </c>
      <c r="O185">
        <v>1970</v>
      </c>
      <c r="P185">
        <v>172</v>
      </c>
      <c r="Q185">
        <v>2350</v>
      </c>
      <c r="R185">
        <v>0</v>
      </c>
    </row>
    <row r="186" spans="1:18" x14ac:dyDescent="0.3">
      <c r="A186">
        <v>1427</v>
      </c>
      <c r="B186" t="s">
        <v>1650</v>
      </c>
      <c r="C186" t="s">
        <v>4109</v>
      </c>
      <c r="D186" t="s">
        <v>159</v>
      </c>
      <c r="E186" t="s">
        <v>159</v>
      </c>
      <c r="F186">
        <v>6005</v>
      </c>
      <c r="G186" t="s">
        <v>4562</v>
      </c>
      <c r="H186" t="s">
        <v>4563</v>
      </c>
      <c r="I186" t="s">
        <v>4564</v>
      </c>
      <c r="K186" t="s">
        <v>4112</v>
      </c>
      <c r="L186" t="s">
        <v>2537</v>
      </c>
      <c r="M186" t="s">
        <v>4130</v>
      </c>
      <c r="N186">
        <v>2672</v>
      </c>
      <c r="O186">
        <v>2672</v>
      </c>
      <c r="P186">
        <v>0</v>
      </c>
      <c r="Q186">
        <v>0</v>
      </c>
      <c r="R186">
        <v>0</v>
      </c>
    </row>
    <row r="187" spans="1:18" x14ac:dyDescent="0.3">
      <c r="A187">
        <v>1443</v>
      </c>
      <c r="B187" t="s">
        <v>1651</v>
      </c>
      <c r="C187" t="s">
        <v>4109</v>
      </c>
      <c r="D187" t="s">
        <v>159</v>
      </c>
      <c r="E187" t="s">
        <v>159</v>
      </c>
      <c r="F187">
        <v>7974</v>
      </c>
      <c r="G187" t="s">
        <v>4565</v>
      </c>
      <c r="H187" t="s">
        <v>4566</v>
      </c>
      <c r="I187" t="s">
        <v>4567</v>
      </c>
      <c r="K187" t="s">
        <v>4117</v>
      </c>
      <c r="L187" t="s">
        <v>2530</v>
      </c>
      <c r="M187" t="s">
        <v>4212</v>
      </c>
      <c r="N187">
        <v>6113.2245972000001</v>
      </c>
      <c r="O187">
        <v>3839.1787003499999</v>
      </c>
      <c r="P187">
        <v>2178.9103734999999</v>
      </c>
      <c r="Q187">
        <v>95.13552335</v>
      </c>
      <c r="R187">
        <v>0</v>
      </c>
    </row>
    <row r="188" spans="1:18" x14ac:dyDescent="0.3">
      <c r="A188">
        <v>1444</v>
      </c>
      <c r="B188" t="s">
        <v>1653</v>
      </c>
      <c r="C188" t="s">
        <v>4109</v>
      </c>
      <c r="D188" t="s">
        <v>1203</v>
      </c>
      <c r="E188" t="s">
        <v>1204</v>
      </c>
      <c r="F188">
        <v>7975</v>
      </c>
      <c r="G188" t="s">
        <v>4568</v>
      </c>
      <c r="H188" t="s">
        <v>4568</v>
      </c>
      <c r="I188" t="s">
        <v>4368</v>
      </c>
      <c r="K188" t="s">
        <v>4112</v>
      </c>
      <c r="L188" t="s">
        <v>2537</v>
      </c>
      <c r="M188" t="s">
        <v>4113</v>
      </c>
      <c r="N188">
        <v>1402.4817474500001</v>
      </c>
      <c r="O188">
        <v>1402.4817474500001</v>
      </c>
      <c r="P188">
        <v>0</v>
      </c>
      <c r="Q188">
        <v>0</v>
      </c>
      <c r="R188">
        <v>0</v>
      </c>
    </row>
    <row r="189" spans="1:18" x14ac:dyDescent="0.3">
      <c r="A189">
        <v>1450</v>
      </c>
      <c r="B189" t="s">
        <v>1660</v>
      </c>
      <c r="C189" t="s">
        <v>4109</v>
      </c>
      <c r="D189" t="s">
        <v>1203</v>
      </c>
      <c r="E189" t="s">
        <v>1204</v>
      </c>
      <c r="F189">
        <v>8853</v>
      </c>
      <c r="G189" t="s">
        <v>4569</v>
      </c>
      <c r="H189" t="s">
        <v>4570</v>
      </c>
      <c r="I189" t="s">
        <v>4571</v>
      </c>
      <c r="J189" t="s">
        <v>4572</v>
      </c>
      <c r="K189" t="s">
        <v>4117</v>
      </c>
      <c r="L189" t="s">
        <v>2537</v>
      </c>
      <c r="M189" t="s">
        <v>4130</v>
      </c>
      <c r="N189">
        <v>5787</v>
      </c>
      <c r="O189">
        <v>1042</v>
      </c>
      <c r="P189">
        <v>4746</v>
      </c>
      <c r="Q189">
        <v>0</v>
      </c>
    </row>
    <row r="190" spans="1:18" x14ac:dyDescent="0.3">
      <c r="A190">
        <v>1459</v>
      </c>
      <c r="B190" t="s">
        <v>1665</v>
      </c>
      <c r="C190" t="s">
        <v>4109</v>
      </c>
      <c r="D190" t="s">
        <v>159</v>
      </c>
      <c r="E190" t="s">
        <v>159</v>
      </c>
      <c r="F190">
        <v>5681</v>
      </c>
      <c r="G190" t="s">
        <v>4573</v>
      </c>
      <c r="H190" t="s">
        <v>4574</v>
      </c>
      <c r="I190" t="s">
        <v>4575</v>
      </c>
      <c r="J190" t="s">
        <v>4576</v>
      </c>
      <c r="K190" t="s">
        <v>4135</v>
      </c>
      <c r="L190" t="s">
        <v>2530</v>
      </c>
      <c r="M190" t="s">
        <v>4130</v>
      </c>
      <c r="N190">
        <v>3133</v>
      </c>
      <c r="O190">
        <v>3132.94</v>
      </c>
      <c r="P190">
        <v>0.06</v>
      </c>
      <c r="Q190">
        <v>0</v>
      </c>
      <c r="R190">
        <v>0</v>
      </c>
    </row>
    <row r="191" spans="1:18" x14ac:dyDescent="0.3">
      <c r="A191">
        <v>1464</v>
      </c>
      <c r="B191" t="s">
        <v>1667</v>
      </c>
      <c r="C191" t="s">
        <v>4109</v>
      </c>
      <c r="D191" t="s">
        <v>159</v>
      </c>
      <c r="E191" t="s">
        <v>159</v>
      </c>
      <c r="F191">
        <v>7899</v>
      </c>
      <c r="G191" t="s">
        <v>4577</v>
      </c>
      <c r="H191" t="s">
        <v>4578</v>
      </c>
      <c r="I191" t="s">
        <v>4579</v>
      </c>
      <c r="J191" t="s">
        <v>4580</v>
      </c>
      <c r="K191" t="s">
        <v>4135</v>
      </c>
      <c r="L191" t="s">
        <v>2530</v>
      </c>
      <c r="M191" t="s">
        <v>4130</v>
      </c>
      <c r="N191">
        <v>10685</v>
      </c>
      <c r="O191">
        <v>6711</v>
      </c>
      <c r="P191">
        <v>3402</v>
      </c>
      <c r="Q191">
        <v>774</v>
      </c>
    </row>
    <row r="192" spans="1:18" x14ac:dyDescent="0.3">
      <c r="A192">
        <v>1473</v>
      </c>
      <c r="B192" t="s">
        <v>1669</v>
      </c>
      <c r="C192" t="s">
        <v>4109</v>
      </c>
      <c r="D192" t="s">
        <v>159</v>
      </c>
      <c r="E192" t="s">
        <v>159</v>
      </c>
      <c r="F192">
        <v>6646</v>
      </c>
      <c r="G192" t="s">
        <v>4581</v>
      </c>
      <c r="H192" t="s">
        <v>4582</v>
      </c>
      <c r="I192" t="s">
        <v>4276</v>
      </c>
      <c r="J192" t="s">
        <v>4583</v>
      </c>
      <c r="K192" t="s">
        <v>4168</v>
      </c>
      <c r="L192" t="s">
        <v>2530</v>
      </c>
      <c r="M192" t="s">
        <v>4113</v>
      </c>
      <c r="N192">
        <v>288000</v>
      </c>
      <c r="O192">
        <v>232200</v>
      </c>
      <c r="P192">
        <v>15800</v>
      </c>
      <c r="Q192">
        <v>40500</v>
      </c>
    </row>
    <row r="193" spans="1:18" x14ac:dyDescent="0.3">
      <c r="A193">
        <v>1473</v>
      </c>
      <c r="B193" t="s">
        <v>1669</v>
      </c>
      <c r="C193" t="s">
        <v>4109</v>
      </c>
      <c r="D193" t="s">
        <v>159</v>
      </c>
      <c r="E193" t="s">
        <v>159</v>
      </c>
      <c r="F193">
        <v>6646</v>
      </c>
      <c r="G193" t="s">
        <v>4584</v>
      </c>
      <c r="H193" t="s">
        <v>4585</v>
      </c>
      <c r="I193" t="s">
        <v>4555</v>
      </c>
      <c r="J193" t="s">
        <v>4586</v>
      </c>
      <c r="K193" t="s">
        <v>4135</v>
      </c>
      <c r="L193" t="s">
        <v>2530</v>
      </c>
      <c r="M193" t="s">
        <v>4130</v>
      </c>
      <c r="N193">
        <v>34000</v>
      </c>
      <c r="O193">
        <v>560</v>
      </c>
      <c r="P193">
        <v>32480</v>
      </c>
      <c r="Q193">
        <v>0</v>
      </c>
    </row>
    <row r="194" spans="1:18" x14ac:dyDescent="0.3">
      <c r="A194">
        <v>1473</v>
      </c>
      <c r="B194" t="s">
        <v>1669</v>
      </c>
      <c r="C194" t="s">
        <v>4109</v>
      </c>
      <c r="D194" t="s">
        <v>159</v>
      </c>
      <c r="E194" t="s">
        <v>159</v>
      </c>
      <c r="F194">
        <v>6646</v>
      </c>
      <c r="G194" t="s">
        <v>4587</v>
      </c>
      <c r="H194" t="s">
        <v>4585</v>
      </c>
      <c r="I194" t="s">
        <v>4555</v>
      </c>
      <c r="J194" t="s">
        <v>4588</v>
      </c>
      <c r="K194" t="s">
        <v>4135</v>
      </c>
      <c r="L194" t="s">
        <v>2530</v>
      </c>
      <c r="M194" t="s">
        <v>4130</v>
      </c>
      <c r="N194">
        <v>15000</v>
      </c>
      <c r="O194">
        <v>10420</v>
      </c>
      <c r="P194">
        <v>3590</v>
      </c>
      <c r="Q194">
        <v>1570</v>
      </c>
    </row>
    <row r="195" spans="1:18" x14ac:dyDescent="0.3">
      <c r="A195">
        <v>1473</v>
      </c>
      <c r="B195" t="s">
        <v>1669</v>
      </c>
      <c r="C195" t="s">
        <v>4109</v>
      </c>
      <c r="D195" t="s">
        <v>159</v>
      </c>
      <c r="E195" t="s">
        <v>159</v>
      </c>
      <c r="F195">
        <v>6646</v>
      </c>
      <c r="G195" t="s">
        <v>4589</v>
      </c>
      <c r="H195" t="s">
        <v>4590</v>
      </c>
      <c r="I195" t="s">
        <v>4591</v>
      </c>
      <c r="J195" t="s">
        <v>4592</v>
      </c>
      <c r="K195" t="s">
        <v>4117</v>
      </c>
      <c r="L195" t="s">
        <v>2530</v>
      </c>
      <c r="M195" t="s">
        <v>4130</v>
      </c>
      <c r="N195">
        <v>14000</v>
      </c>
      <c r="O195">
        <v>9200</v>
      </c>
      <c r="P195">
        <v>3800</v>
      </c>
      <c r="Q195">
        <v>0</v>
      </c>
    </row>
    <row r="196" spans="1:18" x14ac:dyDescent="0.3">
      <c r="A196">
        <v>1481</v>
      </c>
      <c r="B196" t="s">
        <v>1670</v>
      </c>
      <c r="C196" t="s">
        <v>4109</v>
      </c>
      <c r="D196" t="s">
        <v>1203</v>
      </c>
      <c r="E196" t="s">
        <v>1204</v>
      </c>
      <c r="F196">
        <v>6739</v>
      </c>
      <c r="G196" t="s">
        <v>4593</v>
      </c>
      <c r="H196" t="s">
        <v>4594</v>
      </c>
      <c r="I196" t="s">
        <v>4595</v>
      </c>
      <c r="K196" t="s">
        <v>687</v>
      </c>
      <c r="L196" t="s">
        <v>2537</v>
      </c>
      <c r="M196" t="s">
        <v>4130</v>
      </c>
      <c r="N196">
        <v>132</v>
      </c>
      <c r="O196">
        <v>0</v>
      </c>
      <c r="P196">
        <v>132</v>
      </c>
      <c r="Q196">
        <v>0</v>
      </c>
      <c r="R196">
        <v>0</v>
      </c>
    </row>
    <row r="197" spans="1:18" x14ac:dyDescent="0.3">
      <c r="A197">
        <v>1481</v>
      </c>
      <c r="B197" t="s">
        <v>1670</v>
      </c>
      <c r="C197" t="s">
        <v>4109</v>
      </c>
      <c r="D197" t="s">
        <v>1203</v>
      </c>
      <c r="E197" t="s">
        <v>1204</v>
      </c>
      <c r="F197">
        <v>6739</v>
      </c>
      <c r="G197" t="s">
        <v>4596</v>
      </c>
      <c r="H197" t="s">
        <v>4597</v>
      </c>
      <c r="I197" t="s">
        <v>4598</v>
      </c>
      <c r="K197" t="s">
        <v>687</v>
      </c>
      <c r="L197" t="s">
        <v>2537</v>
      </c>
      <c r="M197" t="s">
        <v>4130</v>
      </c>
      <c r="N197">
        <v>75</v>
      </c>
      <c r="O197">
        <v>0</v>
      </c>
      <c r="P197">
        <v>75</v>
      </c>
      <c r="Q197">
        <v>0</v>
      </c>
      <c r="R197">
        <v>0</v>
      </c>
    </row>
    <row r="198" spans="1:18" x14ac:dyDescent="0.3">
      <c r="A198">
        <v>1481</v>
      </c>
      <c r="B198" t="s">
        <v>1670</v>
      </c>
      <c r="C198" t="s">
        <v>4109</v>
      </c>
      <c r="D198" t="s">
        <v>1203</v>
      </c>
      <c r="E198" t="s">
        <v>1204</v>
      </c>
      <c r="F198">
        <v>6739</v>
      </c>
      <c r="G198" t="s">
        <v>4599</v>
      </c>
      <c r="H198" t="s">
        <v>4599</v>
      </c>
      <c r="I198" t="s">
        <v>4600</v>
      </c>
      <c r="K198" t="s">
        <v>687</v>
      </c>
      <c r="L198" t="s">
        <v>2537</v>
      </c>
      <c r="M198" t="s">
        <v>4118</v>
      </c>
      <c r="N198">
        <v>46</v>
      </c>
      <c r="O198">
        <v>46</v>
      </c>
      <c r="P198">
        <v>0</v>
      </c>
      <c r="Q198">
        <v>0</v>
      </c>
      <c r="R198">
        <v>0</v>
      </c>
    </row>
    <row r="199" spans="1:18" x14ac:dyDescent="0.3">
      <c r="A199">
        <v>1481</v>
      </c>
      <c r="B199" t="s">
        <v>1670</v>
      </c>
      <c r="C199" t="s">
        <v>4109</v>
      </c>
      <c r="D199" t="s">
        <v>1203</v>
      </c>
      <c r="E199" t="s">
        <v>1204</v>
      </c>
      <c r="F199">
        <v>6739</v>
      </c>
      <c r="G199" t="s">
        <v>4601</v>
      </c>
      <c r="H199" t="s">
        <v>4601</v>
      </c>
      <c r="I199" t="s">
        <v>4602</v>
      </c>
      <c r="K199" t="s">
        <v>687</v>
      </c>
      <c r="L199" t="s">
        <v>2537</v>
      </c>
      <c r="M199" t="s">
        <v>4118</v>
      </c>
      <c r="N199">
        <v>31</v>
      </c>
      <c r="O199">
        <v>31</v>
      </c>
      <c r="P199">
        <v>0</v>
      </c>
      <c r="Q199">
        <v>0</v>
      </c>
      <c r="R199">
        <v>0</v>
      </c>
    </row>
    <row r="200" spans="1:18" x14ac:dyDescent="0.3">
      <c r="A200">
        <v>1481</v>
      </c>
      <c r="B200" t="s">
        <v>1670</v>
      </c>
      <c r="C200" t="s">
        <v>4109</v>
      </c>
      <c r="D200" t="s">
        <v>1203</v>
      </c>
      <c r="E200" t="s">
        <v>1204</v>
      </c>
      <c r="F200">
        <v>6739</v>
      </c>
      <c r="G200" t="s">
        <v>4551</v>
      </c>
      <c r="H200" t="s">
        <v>4594</v>
      </c>
      <c r="I200" t="s">
        <v>4595</v>
      </c>
      <c r="K200" t="s">
        <v>687</v>
      </c>
      <c r="L200" t="s">
        <v>2530</v>
      </c>
      <c r="M200" t="s">
        <v>4130</v>
      </c>
      <c r="N200">
        <v>5</v>
      </c>
      <c r="O200">
        <v>0</v>
      </c>
      <c r="P200">
        <v>5</v>
      </c>
      <c r="Q200">
        <v>0</v>
      </c>
      <c r="R200">
        <v>0</v>
      </c>
    </row>
    <row r="201" spans="1:18" x14ac:dyDescent="0.3">
      <c r="A201">
        <v>1484</v>
      </c>
      <c r="B201" t="s">
        <v>1674</v>
      </c>
      <c r="C201" t="s">
        <v>4109</v>
      </c>
      <c r="D201" t="s">
        <v>1203</v>
      </c>
      <c r="E201" t="s">
        <v>1204</v>
      </c>
      <c r="F201">
        <v>6741</v>
      </c>
      <c r="G201" t="s">
        <v>4603</v>
      </c>
      <c r="M201" t="s">
        <v>4130</v>
      </c>
      <c r="N201">
        <v>16416</v>
      </c>
      <c r="O201">
        <v>0</v>
      </c>
      <c r="P201">
        <v>371</v>
      </c>
      <c r="Q201">
        <v>13145</v>
      </c>
      <c r="R201">
        <v>0</v>
      </c>
    </row>
    <row r="202" spans="1:18" x14ac:dyDescent="0.3">
      <c r="A202">
        <v>1484</v>
      </c>
      <c r="B202" t="s">
        <v>1674</v>
      </c>
      <c r="C202" t="s">
        <v>4109</v>
      </c>
      <c r="D202" t="s">
        <v>1203</v>
      </c>
      <c r="E202" t="s">
        <v>1204</v>
      </c>
      <c r="F202">
        <v>6741</v>
      </c>
      <c r="G202" t="s">
        <v>4604</v>
      </c>
      <c r="M202" t="s">
        <v>4130</v>
      </c>
      <c r="N202">
        <v>10402</v>
      </c>
      <c r="O202">
        <v>0</v>
      </c>
      <c r="P202">
        <v>0</v>
      </c>
      <c r="Q202">
        <v>8613</v>
      </c>
      <c r="R202">
        <v>0</v>
      </c>
    </row>
    <row r="203" spans="1:18" x14ac:dyDescent="0.3">
      <c r="A203">
        <v>1533</v>
      </c>
      <c r="B203" t="s">
        <v>1679</v>
      </c>
      <c r="C203" t="s">
        <v>4109</v>
      </c>
      <c r="D203" t="s">
        <v>159</v>
      </c>
      <c r="E203" t="s">
        <v>159</v>
      </c>
      <c r="F203">
        <v>8052</v>
      </c>
      <c r="G203" t="s">
        <v>4605</v>
      </c>
      <c r="H203" t="s">
        <v>4606</v>
      </c>
      <c r="I203" t="s">
        <v>4607</v>
      </c>
      <c r="J203" t="s">
        <v>4608</v>
      </c>
      <c r="K203" t="s">
        <v>687</v>
      </c>
      <c r="L203" t="s">
        <v>2530</v>
      </c>
      <c r="M203" t="s">
        <v>4212</v>
      </c>
      <c r="N203">
        <v>1045</v>
      </c>
      <c r="O203">
        <v>1045</v>
      </c>
      <c r="P203">
        <v>0</v>
      </c>
      <c r="Q203">
        <v>0</v>
      </c>
      <c r="R203">
        <v>0</v>
      </c>
    </row>
    <row r="204" spans="1:18" x14ac:dyDescent="0.3">
      <c r="A204">
        <v>1533</v>
      </c>
      <c r="B204" t="s">
        <v>1679</v>
      </c>
      <c r="C204" t="s">
        <v>4109</v>
      </c>
      <c r="D204" t="s">
        <v>159</v>
      </c>
      <c r="E204" t="s">
        <v>159</v>
      </c>
      <c r="F204">
        <v>8052</v>
      </c>
      <c r="G204" t="s">
        <v>4605</v>
      </c>
      <c r="H204" t="s">
        <v>4609</v>
      </c>
      <c r="I204" t="s">
        <v>4610</v>
      </c>
      <c r="J204" t="s">
        <v>4611</v>
      </c>
      <c r="K204" t="s">
        <v>687</v>
      </c>
      <c r="L204" t="s">
        <v>2530</v>
      </c>
      <c r="M204" t="s">
        <v>4130</v>
      </c>
      <c r="N204">
        <v>193</v>
      </c>
      <c r="O204">
        <v>0</v>
      </c>
      <c r="P204">
        <v>193</v>
      </c>
      <c r="Q204">
        <v>0</v>
      </c>
      <c r="R204">
        <v>0</v>
      </c>
    </row>
    <row r="205" spans="1:18" x14ac:dyDescent="0.3">
      <c r="A205">
        <v>1546</v>
      </c>
      <c r="B205" t="s">
        <v>1686</v>
      </c>
      <c r="C205" t="s">
        <v>4109</v>
      </c>
      <c r="D205" t="s">
        <v>159</v>
      </c>
      <c r="E205" t="s">
        <v>159</v>
      </c>
      <c r="F205">
        <v>8065</v>
      </c>
      <c r="G205" t="s">
        <v>4612</v>
      </c>
      <c r="H205" t="s">
        <v>4116</v>
      </c>
      <c r="I205" t="s">
        <v>4613</v>
      </c>
      <c r="J205" t="s">
        <v>4614</v>
      </c>
      <c r="K205" t="s">
        <v>4117</v>
      </c>
      <c r="L205" t="s">
        <v>2537</v>
      </c>
      <c r="M205" t="s">
        <v>4118</v>
      </c>
      <c r="N205">
        <v>1105.78</v>
      </c>
      <c r="O205">
        <v>1105.78</v>
      </c>
      <c r="P205">
        <v>0</v>
      </c>
      <c r="Q205">
        <v>0</v>
      </c>
      <c r="R205">
        <v>0</v>
      </c>
    </row>
    <row r="206" spans="1:18" x14ac:dyDescent="0.3">
      <c r="A206">
        <v>1546</v>
      </c>
      <c r="B206" t="s">
        <v>1686</v>
      </c>
      <c r="C206" t="s">
        <v>4109</v>
      </c>
      <c r="D206" t="s">
        <v>159</v>
      </c>
      <c r="E206" t="s">
        <v>159</v>
      </c>
      <c r="F206">
        <v>8065</v>
      </c>
      <c r="G206" t="s">
        <v>4615</v>
      </c>
      <c r="H206" t="s">
        <v>4616</v>
      </c>
      <c r="I206" t="s">
        <v>4617</v>
      </c>
      <c r="J206" t="s">
        <v>4618</v>
      </c>
      <c r="K206" t="s">
        <v>4135</v>
      </c>
      <c r="L206" t="s">
        <v>2537</v>
      </c>
      <c r="M206" t="s">
        <v>4118</v>
      </c>
      <c r="N206">
        <v>2280.25</v>
      </c>
      <c r="O206">
        <v>2402.87</v>
      </c>
      <c r="P206">
        <v>0</v>
      </c>
      <c r="Q206">
        <v>0</v>
      </c>
      <c r="R206">
        <v>0</v>
      </c>
    </row>
    <row r="207" spans="1:18" x14ac:dyDescent="0.3">
      <c r="A207">
        <v>1546</v>
      </c>
      <c r="B207" t="s">
        <v>1686</v>
      </c>
      <c r="C207" t="s">
        <v>4109</v>
      </c>
      <c r="D207" t="s">
        <v>159</v>
      </c>
      <c r="E207" t="s">
        <v>159</v>
      </c>
      <c r="F207">
        <v>8065</v>
      </c>
      <c r="G207" t="s">
        <v>4619</v>
      </c>
      <c r="H207" t="s">
        <v>4116</v>
      </c>
      <c r="I207" t="s">
        <v>4613</v>
      </c>
      <c r="J207" t="s">
        <v>4620</v>
      </c>
      <c r="K207" t="s">
        <v>4117</v>
      </c>
      <c r="L207" t="s">
        <v>2537</v>
      </c>
      <c r="M207" t="s">
        <v>4118</v>
      </c>
      <c r="N207">
        <v>10679.73</v>
      </c>
      <c r="O207">
        <v>9476.9699999999993</v>
      </c>
      <c r="P207">
        <v>0</v>
      </c>
      <c r="Q207">
        <v>1202.76</v>
      </c>
      <c r="R207">
        <v>0</v>
      </c>
    </row>
    <row r="208" spans="1:18" x14ac:dyDescent="0.3">
      <c r="A208">
        <v>1546</v>
      </c>
      <c r="B208" t="s">
        <v>1686</v>
      </c>
      <c r="C208" t="s">
        <v>4109</v>
      </c>
      <c r="D208" t="s">
        <v>159</v>
      </c>
      <c r="E208" t="s">
        <v>159</v>
      </c>
      <c r="F208">
        <v>8065</v>
      </c>
      <c r="G208" t="s">
        <v>4621</v>
      </c>
      <c r="H208" t="s">
        <v>4622</v>
      </c>
      <c r="I208" t="s">
        <v>4623</v>
      </c>
      <c r="J208" t="s">
        <v>4624</v>
      </c>
      <c r="K208" t="s">
        <v>4135</v>
      </c>
      <c r="L208" t="s">
        <v>2537</v>
      </c>
      <c r="M208" t="s">
        <v>4118</v>
      </c>
      <c r="N208">
        <v>2452.66</v>
      </c>
      <c r="O208">
        <v>2730.66</v>
      </c>
      <c r="P208">
        <v>0</v>
      </c>
      <c r="Q208">
        <v>0</v>
      </c>
      <c r="R208">
        <v>0</v>
      </c>
    </row>
    <row r="209" spans="1:18" x14ac:dyDescent="0.3">
      <c r="A209">
        <v>1546</v>
      </c>
      <c r="B209" t="s">
        <v>1686</v>
      </c>
      <c r="C209" t="s">
        <v>4109</v>
      </c>
      <c r="D209" t="s">
        <v>159</v>
      </c>
      <c r="E209" t="s">
        <v>159</v>
      </c>
      <c r="F209">
        <v>8065</v>
      </c>
      <c r="G209" t="s">
        <v>4621</v>
      </c>
      <c r="H209" t="s">
        <v>4622</v>
      </c>
      <c r="I209" t="s">
        <v>4625</v>
      </c>
      <c r="J209" t="s">
        <v>4624</v>
      </c>
      <c r="K209" t="s">
        <v>4135</v>
      </c>
      <c r="L209" t="s">
        <v>2537</v>
      </c>
      <c r="M209" t="s">
        <v>4130</v>
      </c>
      <c r="N209">
        <v>747.65</v>
      </c>
      <c r="O209">
        <v>0</v>
      </c>
      <c r="P209">
        <v>747.65</v>
      </c>
      <c r="Q209">
        <v>0</v>
      </c>
      <c r="R209">
        <v>0</v>
      </c>
    </row>
    <row r="210" spans="1:18" x14ac:dyDescent="0.3">
      <c r="A210">
        <v>1546</v>
      </c>
      <c r="B210" t="s">
        <v>1686</v>
      </c>
      <c r="C210" t="s">
        <v>4109</v>
      </c>
      <c r="D210" t="s">
        <v>159</v>
      </c>
      <c r="E210" t="s">
        <v>159</v>
      </c>
      <c r="F210">
        <v>8065</v>
      </c>
      <c r="G210" t="s">
        <v>4626</v>
      </c>
      <c r="H210" t="s">
        <v>4116</v>
      </c>
      <c r="I210" t="s">
        <v>4613</v>
      </c>
      <c r="J210" t="s">
        <v>4627</v>
      </c>
      <c r="K210" t="s">
        <v>4117</v>
      </c>
      <c r="L210" t="s">
        <v>2537</v>
      </c>
      <c r="M210" t="s">
        <v>4118</v>
      </c>
      <c r="N210">
        <v>656.7</v>
      </c>
      <c r="O210">
        <v>634.9</v>
      </c>
      <c r="P210">
        <v>0</v>
      </c>
      <c r="Q210">
        <v>0</v>
      </c>
      <c r="R210">
        <v>0</v>
      </c>
    </row>
    <row r="211" spans="1:18" x14ac:dyDescent="0.3">
      <c r="A211">
        <v>1546</v>
      </c>
      <c r="B211" t="s">
        <v>1686</v>
      </c>
      <c r="C211" t="s">
        <v>4109</v>
      </c>
      <c r="D211" t="s">
        <v>159</v>
      </c>
      <c r="E211" t="s">
        <v>159</v>
      </c>
      <c r="F211">
        <v>8065</v>
      </c>
      <c r="G211" t="s">
        <v>4628</v>
      </c>
      <c r="H211" t="s">
        <v>4116</v>
      </c>
      <c r="I211" t="s">
        <v>4613</v>
      </c>
      <c r="J211" t="s">
        <v>4629</v>
      </c>
      <c r="K211" t="s">
        <v>4117</v>
      </c>
      <c r="L211" t="s">
        <v>2537</v>
      </c>
      <c r="M211" t="s">
        <v>4118</v>
      </c>
      <c r="N211">
        <v>17.7</v>
      </c>
      <c r="O211">
        <v>16.670000000000002</v>
      </c>
      <c r="P211">
        <v>0</v>
      </c>
      <c r="Q211">
        <v>0</v>
      </c>
      <c r="R211">
        <v>0</v>
      </c>
    </row>
    <row r="212" spans="1:18" x14ac:dyDescent="0.3">
      <c r="A212">
        <v>1546</v>
      </c>
      <c r="B212" t="s">
        <v>1686</v>
      </c>
      <c r="C212" t="s">
        <v>4109</v>
      </c>
      <c r="D212" t="s">
        <v>159</v>
      </c>
      <c r="E212" t="s">
        <v>159</v>
      </c>
      <c r="F212">
        <v>8065</v>
      </c>
      <c r="G212" t="s">
        <v>4615</v>
      </c>
      <c r="H212" t="s">
        <v>4616</v>
      </c>
      <c r="I212" t="s">
        <v>4630</v>
      </c>
      <c r="J212" t="s">
        <v>4618</v>
      </c>
      <c r="K212" t="s">
        <v>4135</v>
      </c>
      <c r="L212" t="s">
        <v>2537</v>
      </c>
      <c r="M212" t="s">
        <v>4130</v>
      </c>
      <c r="N212">
        <v>18.04</v>
      </c>
      <c r="O212">
        <v>0</v>
      </c>
      <c r="P212">
        <v>0</v>
      </c>
      <c r="Q212">
        <v>0</v>
      </c>
      <c r="R212">
        <v>18.04</v>
      </c>
    </row>
    <row r="213" spans="1:18" x14ac:dyDescent="0.3">
      <c r="A213">
        <v>1570</v>
      </c>
      <c r="B213" t="s">
        <v>1697</v>
      </c>
      <c r="C213" t="s">
        <v>4109</v>
      </c>
      <c r="D213" t="s">
        <v>159</v>
      </c>
      <c r="E213" t="s">
        <v>159</v>
      </c>
      <c r="F213">
        <v>6877</v>
      </c>
      <c r="G213" t="s">
        <v>4631</v>
      </c>
      <c r="H213" t="s">
        <v>4632</v>
      </c>
      <c r="I213" t="s">
        <v>4632</v>
      </c>
      <c r="J213" t="s">
        <v>4633</v>
      </c>
      <c r="K213" t="s">
        <v>4126</v>
      </c>
      <c r="L213" t="s">
        <v>2537</v>
      </c>
      <c r="M213" t="s">
        <v>4212</v>
      </c>
      <c r="N213">
        <v>21.482214949999999</v>
      </c>
      <c r="O213">
        <v>0</v>
      </c>
      <c r="P213">
        <v>21.482214949999999</v>
      </c>
      <c r="Q213">
        <v>0</v>
      </c>
      <c r="R213">
        <v>0</v>
      </c>
    </row>
    <row r="214" spans="1:18" x14ac:dyDescent="0.3">
      <c r="A214">
        <v>1570</v>
      </c>
      <c r="B214" t="s">
        <v>1697</v>
      </c>
      <c r="C214" t="s">
        <v>4109</v>
      </c>
      <c r="D214" t="s">
        <v>159</v>
      </c>
      <c r="E214" t="s">
        <v>159</v>
      </c>
      <c r="F214">
        <v>6877</v>
      </c>
      <c r="G214" t="s">
        <v>4631</v>
      </c>
      <c r="H214" t="s">
        <v>4285</v>
      </c>
      <c r="I214" t="s">
        <v>4285</v>
      </c>
      <c r="J214" t="s">
        <v>4633</v>
      </c>
      <c r="K214" t="s">
        <v>4112</v>
      </c>
      <c r="L214" t="s">
        <v>2537</v>
      </c>
      <c r="M214" t="s">
        <v>4212</v>
      </c>
      <c r="N214">
        <v>266.99324295000002</v>
      </c>
      <c r="O214">
        <v>266.99324295000002</v>
      </c>
      <c r="P214">
        <v>0</v>
      </c>
      <c r="Q214">
        <v>0</v>
      </c>
      <c r="R214">
        <v>0</v>
      </c>
    </row>
    <row r="215" spans="1:18" x14ac:dyDescent="0.3">
      <c r="A215">
        <v>1570</v>
      </c>
      <c r="B215" t="s">
        <v>1697</v>
      </c>
      <c r="C215" t="s">
        <v>4109</v>
      </c>
      <c r="D215" t="s">
        <v>159</v>
      </c>
      <c r="E215" t="s">
        <v>159</v>
      </c>
      <c r="F215">
        <v>6877</v>
      </c>
      <c r="G215" t="s">
        <v>4631</v>
      </c>
      <c r="H215" t="s">
        <v>4634</v>
      </c>
      <c r="I215" t="s">
        <v>4635</v>
      </c>
      <c r="J215" t="s">
        <v>4633</v>
      </c>
      <c r="K215" t="s">
        <v>4126</v>
      </c>
      <c r="L215" t="s">
        <v>2537</v>
      </c>
      <c r="M215" t="s">
        <v>4212</v>
      </c>
      <c r="N215">
        <v>33.757766349999997</v>
      </c>
      <c r="O215">
        <v>0</v>
      </c>
      <c r="P215">
        <v>33.757766349999997</v>
      </c>
      <c r="Q215">
        <v>0</v>
      </c>
      <c r="R215">
        <v>0</v>
      </c>
    </row>
    <row r="216" spans="1:18" x14ac:dyDescent="0.3">
      <c r="A216">
        <v>1570</v>
      </c>
      <c r="B216" t="s">
        <v>1697</v>
      </c>
      <c r="C216" t="s">
        <v>4109</v>
      </c>
      <c r="D216" t="s">
        <v>159</v>
      </c>
      <c r="E216" t="s">
        <v>159</v>
      </c>
      <c r="F216">
        <v>6877</v>
      </c>
      <c r="G216" t="s">
        <v>4631</v>
      </c>
      <c r="H216" t="s">
        <v>4636</v>
      </c>
      <c r="I216" t="s">
        <v>4636</v>
      </c>
      <c r="J216" t="s">
        <v>4633</v>
      </c>
      <c r="K216" t="s">
        <v>4126</v>
      </c>
      <c r="L216" t="s">
        <v>2537</v>
      </c>
      <c r="M216" t="s">
        <v>4212</v>
      </c>
      <c r="N216">
        <v>12.275551399999999</v>
      </c>
      <c r="O216">
        <v>12.275551399999999</v>
      </c>
      <c r="P216">
        <v>0</v>
      </c>
      <c r="Q216">
        <v>0</v>
      </c>
      <c r="R216">
        <v>0</v>
      </c>
    </row>
    <row r="217" spans="1:18" x14ac:dyDescent="0.3">
      <c r="A217">
        <v>1570</v>
      </c>
      <c r="B217" t="s">
        <v>1697</v>
      </c>
      <c r="C217" t="s">
        <v>4109</v>
      </c>
      <c r="D217" t="s">
        <v>159</v>
      </c>
      <c r="E217" t="s">
        <v>159</v>
      </c>
      <c r="F217">
        <v>6877</v>
      </c>
      <c r="G217" t="s">
        <v>4631</v>
      </c>
      <c r="H217" t="s">
        <v>4637</v>
      </c>
      <c r="I217" t="s">
        <v>4637</v>
      </c>
      <c r="J217" t="s">
        <v>4633</v>
      </c>
      <c r="K217" t="s">
        <v>4135</v>
      </c>
      <c r="L217" t="s">
        <v>2537</v>
      </c>
      <c r="M217" t="s">
        <v>4212</v>
      </c>
      <c r="N217">
        <v>411.23097189999999</v>
      </c>
      <c r="O217">
        <v>411.23097189999999</v>
      </c>
      <c r="P217">
        <v>0</v>
      </c>
      <c r="Q217">
        <v>0</v>
      </c>
      <c r="R217">
        <v>0</v>
      </c>
    </row>
    <row r="218" spans="1:18" x14ac:dyDescent="0.3">
      <c r="A218">
        <v>1570</v>
      </c>
      <c r="B218" t="s">
        <v>1697</v>
      </c>
      <c r="C218" t="s">
        <v>4109</v>
      </c>
      <c r="D218" t="s">
        <v>159</v>
      </c>
      <c r="E218" t="s">
        <v>159</v>
      </c>
      <c r="F218">
        <v>6877</v>
      </c>
      <c r="G218" t="s">
        <v>4631</v>
      </c>
      <c r="H218" t="s">
        <v>4638</v>
      </c>
      <c r="I218" t="s">
        <v>4638</v>
      </c>
      <c r="J218" t="s">
        <v>4633</v>
      </c>
      <c r="K218" t="s">
        <v>4126</v>
      </c>
      <c r="L218" t="s">
        <v>2537</v>
      </c>
      <c r="M218" t="s">
        <v>4212</v>
      </c>
      <c r="N218">
        <v>273.13101864999999</v>
      </c>
      <c r="O218">
        <v>0</v>
      </c>
      <c r="P218">
        <v>273.13101864999999</v>
      </c>
      <c r="Q218">
        <v>0</v>
      </c>
      <c r="R218">
        <v>0</v>
      </c>
    </row>
    <row r="219" spans="1:18" x14ac:dyDescent="0.3">
      <c r="A219">
        <v>1587</v>
      </c>
      <c r="B219" t="s">
        <v>1699</v>
      </c>
      <c r="C219" t="s">
        <v>4109</v>
      </c>
      <c r="D219" t="s">
        <v>159</v>
      </c>
      <c r="E219" t="s">
        <v>159</v>
      </c>
      <c r="F219">
        <v>7799</v>
      </c>
      <c r="G219" t="s">
        <v>4639</v>
      </c>
      <c r="H219" t="s">
        <v>4640</v>
      </c>
      <c r="I219" t="s">
        <v>4640</v>
      </c>
      <c r="K219" t="s">
        <v>687</v>
      </c>
      <c r="L219" t="s">
        <v>2537</v>
      </c>
      <c r="M219" t="s">
        <v>4130</v>
      </c>
      <c r="N219">
        <v>193.33993455000001</v>
      </c>
      <c r="O219">
        <v>131.96217755000001</v>
      </c>
      <c r="P219">
        <v>61.377757000000003</v>
      </c>
      <c r="Q219">
        <v>0</v>
      </c>
      <c r="R219">
        <v>0</v>
      </c>
    </row>
    <row r="220" spans="1:18" x14ac:dyDescent="0.3">
      <c r="A220">
        <v>1613</v>
      </c>
      <c r="B220" t="s">
        <v>1707</v>
      </c>
      <c r="C220" t="s">
        <v>4109</v>
      </c>
      <c r="D220" t="s">
        <v>159</v>
      </c>
      <c r="E220" t="s">
        <v>159</v>
      </c>
      <c r="F220">
        <v>7976</v>
      </c>
      <c r="G220" t="s">
        <v>4641</v>
      </c>
      <c r="H220">
        <v>2</v>
      </c>
      <c r="I220" t="s">
        <v>4222</v>
      </c>
      <c r="K220" t="s">
        <v>4168</v>
      </c>
      <c r="L220" t="s">
        <v>2537</v>
      </c>
      <c r="M220" t="s">
        <v>4118</v>
      </c>
      <c r="N220">
        <v>1623.4416726500001</v>
      </c>
      <c r="O220">
        <v>1681.7505418000001</v>
      </c>
      <c r="P220">
        <v>27.619990649999998</v>
      </c>
      <c r="Q220">
        <v>0</v>
      </c>
      <c r="R220">
        <v>0</v>
      </c>
    </row>
    <row r="221" spans="1:18" x14ac:dyDescent="0.3">
      <c r="A221">
        <v>1626</v>
      </c>
      <c r="B221" t="s">
        <v>1716</v>
      </c>
      <c r="C221" t="s">
        <v>4109</v>
      </c>
      <c r="D221" t="s">
        <v>159</v>
      </c>
      <c r="E221" t="s">
        <v>159</v>
      </c>
      <c r="F221">
        <v>8368</v>
      </c>
      <c r="G221" t="s">
        <v>4642</v>
      </c>
      <c r="H221" t="s">
        <v>4284</v>
      </c>
      <c r="I221" t="s">
        <v>4112</v>
      </c>
      <c r="J221" t="s">
        <v>4643</v>
      </c>
      <c r="K221" t="s">
        <v>4112</v>
      </c>
      <c r="L221" t="s">
        <v>2537</v>
      </c>
      <c r="M221" t="s">
        <v>4364</v>
      </c>
      <c r="N221">
        <v>2244</v>
      </c>
      <c r="O221">
        <v>2244</v>
      </c>
      <c r="P221">
        <v>0</v>
      </c>
      <c r="Q221">
        <v>0</v>
      </c>
      <c r="R221">
        <v>0</v>
      </c>
    </row>
    <row r="222" spans="1:18" x14ac:dyDescent="0.3">
      <c r="A222">
        <v>1626</v>
      </c>
      <c r="B222" t="s">
        <v>1716</v>
      </c>
      <c r="C222" t="s">
        <v>4109</v>
      </c>
      <c r="D222" t="s">
        <v>159</v>
      </c>
      <c r="E222" t="s">
        <v>159</v>
      </c>
      <c r="F222">
        <v>8368</v>
      </c>
      <c r="G222" t="s">
        <v>4644</v>
      </c>
      <c r="H222" t="s">
        <v>4284</v>
      </c>
      <c r="I222" t="s">
        <v>4112</v>
      </c>
      <c r="J222" t="s">
        <v>4645</v>
      </c>
      <c r="K222" t="s">
        <v>4112</v>
      </c>
      <c r="L222" t="s">
        <v>2537</v>
      </c>
      <c r="M222" t="s">
        <v>4364</v>
      </c>
      <c r="N222">
        <v>51</v>
      </c>
      <c r="O222">
        <v>51</v>
      </c>
      <c r="P222">
        <v>0</v>
      </c>
      <c r="Q222">
        <v>0</v>
      </c>
      <c r="R222">
        <v>0</v>
      </c>
    </row>
    <row r="223" spans="1:18" x14ac:dyDescent="0.3">
      <c r="A223">
        <v>1631</v>
      </c>
      <c r="B223" t="s">
        <v>1717</v>
      </c>
      <c r="C223" t="s">
        <v>4109</v>
      </c>
      <c r="D223" t="s">
        <v>159</v>
      </c>
      <c r="E223" t="s">
        <v>159</v>
      </c>
      <c r="F223">
        <v>6740</v>
      </c>
      <c r="G223" t="s">
        <v>4646</v>
      </c>
      <c r="H223" t="s">
        <v>1204</v>
      </c>
      <c r="I223" t="s">
        <v>1204</v>
      </c>
      <c r="K223" t="s">
        <v>687</v>
      </c>
      <c r="L223" t="s">
        <v>2537</v>
      </c>
      <c r="M223" t="s">
        <v>4113</v>
      </c>
      <c r="N223">
        <v>153</v>
      </c>
      <c r="O223">
        <v>0</v>
      </c>
      <c r="P223">
        <v>0</v>
      </c>
      <c r="Q223">
        <v>0</v>
      </c>
      <c r="R223">
        <v>0</v>
      </c>
    </row>
    <row r="224" spans="1:18" x14ac:dyDescent="0.3">
      <c r="A224">
        <v>1631</v>
      </c>
      <c r="B224" t="s">
        <v>1717</v>
      </c>
      <c r="C224" t="s">
        <v>4109</v>
      </c>
      <c r="D224" t="s">
        <v>159</v>
      </c>
      <c r="E224" t="s">
        <v>159</v>
      </c>
      <c r="F224">
        <v>6740</v>
      </c>
      <c r="G224" t="s">
        <v>4647</v>
      </c>
      <c r="H224" t="s">
        <v>1204</v>
      </c>
      <c r="I224" t="s">
        <v>1204</v>
      </c>
      <c r="K224" t="s">
        <v>687</v>
      </c>
      <c r="L224" t="s">
        <v>2537</v>
      </c>
      <c r="M224" t="s">
        <v>4113</v>
      </c>
      <c r="N224">
        <v>20815</v>
      </c>
      <c r="O224">
        <v>0</v>
      </c>
      <c r="P224">
        <v>0</v>
      </c>
      <c r="Q224">
        <v>0</v>
      </c>
      <c r="R224">
        <v>0</v>
      </c>
    </row>
    <row r="225" spans="1:18" x14ac:dyDescent="0.3">
      <c r="A225">
        <v>1645</v>
      </c>
      <c r="B225" t="s">
        <v>1722</v>
      </c>
      <c r="C225" t="s">
        <v>4109</v>
      </c>
      <c r="D225" t="s">
        <v>159</v>
      </c>
      <c r="E225" t="s">
        <v>159</v>
      </c>
      <c r="F225">
        <v>7917</v>
      </c>
      <c r="G225" t="s">
        <v>4648</v>
      </c>
      <c r="H225" t="s">
        <v>4649</v>
      </c>
      <c r="I225" t="s">
        <v>4649</v>
      </c>
      <c r="J225" t="s">
        <v>4650</v>
      </c>
      <c r="K225" t="s">
        <v>4168</v>
      </c>
      <c r="L225" t="s">
        <v>2530</v>
      </c>
      <c r="M225" t="s">
        <v>4113</v>
      </c>
      <c r="N225">
        <v>5813</v>
      </c>
      <c r="O225">
        <v>5813</v>
      </c>
      <c r="P225">
        <v>0</v>
      </c>
      <c r="Q225">
        <v>0</v>
      </c>
    </row>
    <row r="226" spans="1:18" x14ac:dyDescent="0.3">
      <c r="A226">
        <v>1645</v>
      </c>
      <c r="B226" t="s">
        <v>1722</v>
      </c>
      <c r="C226" t="s">
        <v>4109</v>
      </c>
      <c r="D226" t="s">
        <v>159</v>
      </c>
      <c r="E226" t="s">
        <v>159</v>
      </c>
      <c r="F226">
        <v>7917</v>
      </c>
      <c r="G226" t="s">
        <v>4648</v>
      </c>
      <c r="H226" t="s">
        <v>4649</v>
      </c>
      <c r="I226" t="s">
        <v>4649</v>
      </c>
      <c r="J226" t="s">
        <v>4650</v>
      </c>
      <c r="K226" t="s">
        <v>4168</v>
      </c>
      <c r="L226" t="s">
        <v>2530</v>
      </c>
      <c r="M226" t="s">
        <v>4130</v>
      </c>
      <c r="N226">
        <v>800</v>
      </c>
      <c r="O226">
        <v>0</v>
      </c>
      <c r="P226">
        <v>0</v>
      </c>
      <c r="Q226">
        <v>800</v>
      </c>
    </row>
    <row r="227" spans="1:18" x14ac:dyDescent="0.3">
      <c r="A227">
        <v>1645</v>
      </c>
      <c r="B227" t="s">
        <v>1722</v>
      </c>
      <c r="C227" t="s">
        <v>4109</v>
      </c>
      <c r="D227" t="s">
        <v>159</v>
      </c>
      <c r="E227" t="s">
        <v>159</v>
      </c>
      <c r="F227">
        <v>7917</v>
      </c>
      <c r="G227" t="s">
        <v>4651</v>
      </c>
      <c r="H227" t="s">
        <v>4649</v>
      </c>
      <c r="I227" t="s">
        <v>4649</v>
      </c>
      <c r="J227" t="s">
        <v>4652</v>
      </c>
      <c r="K227" t="s">
        <v>4168</v>
      </c>
      <c r="L227" t="s">
        <v>2537</v>
      </c>
      <c r="M227" t="s">
        <v>4130</v>
      </c>
      <c r="N227">
        <v>73</v>
      </c>
      <c r="O227">
        <v>73</v>
      </c>
      <c r="P227">
        <v>0</v>
      </c>
      <c r="Q227">
        <v>0</v>
      </c>
    </row>
    <row r="228" spans="1:18" x14ac:dyDescent="0.3">
      <c r="A228">
        <v>1645</v>
      </c>
      <c r="B228" t="s">
        <v>1722</v>
      </c>
      <c r="C228" t="s">
        <v>4109</v>
      </c>
      <c r="D228" t="s">
        <v>159</v>
      </c>
      <c r="E228" t="s">
        <v>159</v>
      </c>
      <c r="F228">
        <v>7917</v>
      </c>
      <c r="G228" t="s">
        <v>4653</v>
      </c>
      <c r="H228" t="s">
        <v>4649</v>
      </c>
      <c r="I228" t="s">
        <v>4649</v>
      </c>
      <c r="J228" t="s">
        <v>4654</v>
      </c>
      <c r="K228" t="s">
        <v>4168</v>
      </c>
      <c r="L228" t="s">
        <v>2537</v>
      </c>
      <c r="M228" t="s">
        <v>4130</v>
      </c>
      <c r="N228">
        <v>713</v>
      </c>
      <c r="O228">
        <v>713</v>
      </c>
      <c r="P228">
        <v>0</v>
      </c>
      <c r="Q228">
        <v>0</v>
      </c>
    </row>
    <row r="229" spans="1:18" x14ac:dyDescent="0.3">
      <c r="A229">
        <v>1660</v>
      </c>
      <c r="B229" t="s">
        <v>1727</v>
      </c>
      <c r="C229" t="s">
        <v>4109</v>
      </c>
      <c r="D229" t="s">
        <v>1203</v>
      </c>
      <c r="E229" t="s">
        <v>1204</v>
      </c>
      <c r="F229">
        <v>5935</v>
      </c>
      <c r="G229" t="s">
        <v>4655</v>
      </c>
      <c r="H229">
        <v>1</v>
      </c>
      <c r="I229" t="s">
        <v>4656</v>
      </c>
      <c r="J229" t="s">
        <v>4657</v>
      </c>
      <c r="K229" t="s">
        <v>4168</v>
      </c>
      <c r="L229" t="s">
        <v>2530</v>
      </c>
      <c r="M229" t="s">
        <v>4118</v>
      </c>
      <c r="N229">
        <v>1015</v>
      </c>
      <c r="O229">
        <v>1015</v>
      </c>
      <c r="P229">
        <v>0</v>
      </c>
      <c r="Q229">
        <v>0</v>
      </c>
      <c r="R229">
        <v>0</v>
      </c>
    </row>
    <row r="230" spans="1:18" x14ac:dyDescent="0.3">
      <c r="A230">
        <v>1663</v>
      </c>
      <c r="B230" t="s">
        <v>1728</v>
      </c>
      <c r="C230" t="s">
        <v>4109</v>
      </c>
      <c r="D230" t="s">
        <v>159</v>
      </c>
      <c r="E230" t="s">
        <v>159</v>
      </c>
      <c r="F230">
        <v>7831</v>
      </c>
      <c r="G230" t="s">
        <v>4658</v>
      </c>
      <c r="H230" t="s">
        <v>4659</v>
      </c>
      <c r="I230" t="s">
        <v>4484</v>
      </c>
      <c r="K230" t="s">
        <v>4168</v>
      </c>
      <c r="L230" t="s">
        <v>2530</v>
      </c>
      <c r="M230" t="s">
        <v>4130</v>
      </c>
      <c r="N230">
        <v>1761</v>
      </c>
      <c r="O230">
        <v>957</v>
      </c>
      <c r="P230">
        <v>804</v>
      </c>
      <c r="Q230">
        <v>0</v>
      </c>
      <c r="R230">
        <v>0</v>
      </c>
    </row>
    <row r="231" spans="1:18" x14ac:dyDescent="0.3">
      <c r="A231">
        <v>1663</v>
      </c>
      <c r="B231" t="s">
        <v>1728</v>
      </c>
      <c r="C231" t="s">
        <v>4109</v>
      </c>
      <c r="D231" t="s">
        <v>159</v>
      </c>
      <c r="E231" t="s">
        <v>159</v>
      </c>
      <c r="F231">
        <v>7831</v>
      </c>
      <c r="G231" t="s">
        <v>4660</v>
      </c>
      <c r="H231" t="s">
        <v>4452</v>
      </c>
      <c r="I231" t="s">
        <v>4484</v>
      </c>
      <c r="K231" t="s">
        <v>4168</v>
      </c>
      <c r="L231" t="s">
        <v>2530</v>
      </c>
      <c r="M231" t="s">
        <v>4130</v>
      </c>
      <c r="N231">
        <v>0</v>
      </c>
      <c r="O231">
        <v>0</v>
      </c>
      <c r="P231">
        <v>0</v>
      </c>
      <c r="Q231">
        <v>0</v>
      </c>
      <c r="R231">
        <v>0</v>
      </c>
    </row>
    <row r="232" spans="1:18" x14ac:dyDescent="0.3">
      <c r="A232">
        <v>1663</v>
      </c>
      <c r="B232" t="s">
        <v>1728</v>
      </c>
      <c r="C232" t="s">
        <v>4109</v>
      </c>
      <c r="D232" t="s">
        <v>159</v>
      </c>
      <c r="E232" t="s">
        <v>159</v>
      </c>
      <c r="F232">
        <v>7831</v>
      </c>
      <c r="G232" t="s">
        <v>4661</v>
      </c>
      <c r="H232" t="s">
        <v>4452</v>
      </c>
      <c r="I232" t="s">
        <v>4484</v>
      </c>
      <c r="K232" t="s">
        <v>4168</v>
      </c>
      <c r="L232" t="s">
        <v>2537</v>
      </c>
      <c r="M232" t="s">
        <v>4130</v>
      </c>
      <c r="N232">
        <v>8680</v>
      </c>
      <c r="O232">
        <v>3995</v>
      </c>
      <c r="P232">
        <v>4685</v>
      </c>
      <c r="Q232">
        <v>0</v>
      </c>
      <c r="R232">
        <v>0</v>
      </c>
    </row>
    <row r="233" spans="1:18" x14ac:dyDescent="0.3">
      <c r="A233">
        <v>1663</v>
      </c>
      <c r="B233" t="s">
        <v>1728</v>
      </c>
      <c r="C233" t="s">
        <v>4109</v>
      </c>
      <c r="D233" t="s">
        <v>159</v>
      </c>
      <c r="E233" t="s">
        <v>159</v>
      </c>
      <c r="F233">
        <v>7831</v>
      </c>
      <c r="G233" t="s">
        <v>4662</v>
      </c>
      <c r="H233" t="s">
        <v>4659</v>
      </c>
      <c r="I233" t="s">
        <v>4484</v>
      </c>
      <c r="K233" t="s">
        <v>4168</v>
      </c>
      <c r="L233" t="s">
        <v>2530</v>
      </c>
      <c r="M233" t="s">
        <v>4113</v>
      </c>
      <c r="N233">
        <v>1149</v>
      </c>
      <c r="O233">
        <v>1149</v>
      </c>
      <c r="P233">
        <v>0</v>
      </c>
      <c r="Q233">
        <v>0</v>
      </c>
      <c r="R233">
        <v>0</v>
      </c>
    </row>
    <row r="234" spans="1:18" x14ac:dyDescent="0.3">
      <c r="A234">
        <v>4231</v>
      </c>
      <c r="B234" t="s">
        <v>1730</v>
      </c>
      <c r="C234" t="s">
        <v>4109</v>
      </c>
      <c r="D234" t="s">
        <v>1203</v>
      </c>
      <c r="E234" t="s">
        <v>1204</v>
      </c>
      <c r="F234">
        <v>5492</v>
      </c>
      <c r="G234" t="s">
        <v>4663</v>
      </c>
      <c r="H234" t="s">
        <v>4416</v>
      </c>
      <c r="I234" t="s">
        <v>4416</v>
      </c>
      <c r="J234" t="s">
        <v>4664</v>
      </c>
      <c r="K234" t="s">
        <v>4135</v>
      </c>
      <c r="L234" t="s">
        <v>2537</v>
      </c>
      <c r="M234" t="s">
        <v>4130</v>
      </c>
      <c r="N234">
        <v>1213</v>
      </c>
      <c r="O234">
        <v>1213</v>
      </c>
      <c r="P234">
        <v>0</v>
      </c>
      <c r="Q234">
        <v>0</v>
      </c>
      <c r="R234">
        <v>0</v>
      </c>
    </row>
    <row r="235" spans="1:18" x14ac:dyDescent="0.3">
      <c r="A235">
        <v>1701</v>
      </c>
      <c r="B235" t="s">
        <v>1739</v>
      </c>
      <c r="C235" t="s">
        <v>4109</v>
      </c>
      <c r="D235" t="s">
        <v>1203</v>
      </c>
      <c r="E235" t="s">
        <v>1204</v>
      </c>
      <c r="F235">
        <v>5884</v>
      </c>
      <c r="G235" t="s">
        <v>4665</v>
      </c>
      <c r="H235" t="s">
        <v>1204</v>
      </c>
      <c r="K235" t="s">
        <v>687</v>
      </c>
      <c r="L235" t="s">
        <v>2530</v>
      </c>
      <c r="M235" t="s">
        <v>4130</v>
      </c>
      <c r="N235">
        <v>3076</v>
      </c>
      <c r="O235">
        <v>0</v>
      </c>
      <c r="P235">
        <v>568</v>
      </c>
      <c r="Q235">
        <v>2508</v>
      </c>
      <c r="R235">
        <v>0</v>
      </c>
    </row>
    <row r="236" spans="1:18" x14ac:dyDescent="0.3">
      <c r="A236">
        <v>1701</v>
      </c>
      <c r="B236" t="s">
        <v>1739</v>
      </c>
      <c r="C236" t="s">
        <v>4109</v>
      </c>
      <c r="D236" t="s">
        <v>1203</v>
      </c>
      <c r="E236" t="s">
        <v>1204</v>
      </c>
      <c r="F236">
        <v>5884</v>
      </c>
      <c r="G236" t="s">
        <v>4665</v>
      </c>
      <c r="H236" t="s">
        <v>4666</v>
      </c>
      <c r="I236" t="s">
        <v>4667</v>
      </c>
      <c r="K236" t="s">
        <v>4135</v>
      </c>
      <c r="L236" t="s">
        <v>2530</v>
      </c>
      <c r="M236" t="s">
        <v>4118</v>
      </c>
      <c r="N236">
        <v>3607</v>
      </c>
      <c r="O236">
        <v>2487</v>
      </c>
      <c r="P236">
        <v>0</v>
      </c>
      <c r="Q236">
        <v>0</v>
      </c>
      <c r="R236">
        <v>0</v>
      </c>
    </row>
    <row r="237" spans="1:18" x14ac:dyDescent="0.3">
      <c r="A237">
        <v>1718</v>
      </c>
      <c r="B237" t="s">
        <v>1747</v>
      </c>
      <c r="C237" t="s">
        <v>4109</v>
      </c>
      <c r="D237" t="s">
        <v>1203</v>
      </c>
      <c r="E237" t="s">
        <v>1204</v>
      </c>
      <c r="F237">
        <v>8760</v>
      </c>
      <c r="G237" t="s">
        <v>4668</v>
      </c>
      <c r="H237" t="s">
        <v>4447</v>
      </c>
      <c r="I237" t="s">
        <v>4447</v>
      </c>
      <c r="K237" t="s">
        <v>4135</v>
      </c>
      <c r="L237" t="s">
        <v>2530</v>
      </c>
      <c r="M237" t="s">
        <v>4130</v>
      </c>
      <c r="N237">
        <v>511</v>
      </c>
      <c r="O237">
        <v>386</v>
      </c>
      <c r="P237">
        <v>187</v>
      </c>
      <c r="R237">
        <v>0</v>
      </c>
    </row>
    <row r="238" spans="1:18" x14ac:dyDescent="0.3">
      <c r="A238">
        <v>1718</v>
      </c>
      <c r="B238" t="s">
        <v>1747</v>
      </c>
      <c r="C238" t="s">
        <v>4109</v>
      </c>
      <c r="D238" t="s">
        <v>1203</v>
      </c>
      <c r="E238" t="s">
        <v>1204</v>
      </c>
      <c r="F238">
        <v>8760</v>
      </c>
      <c r="G238" t="s">
        <v>4669</v>
      </c>
      <c r="H238" t="s">
        <v>4670</v>
      </c>
      <c r="I238" t="s">
        <v>4670</v>
      </c>
      <c r="K238" t="s">
        <v>4135</v>
      </c>
      <c r="L238" t="s">
        <v>2530</v>
      </c>
      <c r="M238" t="s">
        <v>4130</v>
      </c>
      <c r="N238">
        <v>1429</v>
      </c>
      <c r="O238">
        <v>1137</v>
      </c>
      <c r="P238">
        <v>549</v>
      </c>
      <c r="R238">
        <v>0</v>
      </c>
    </row>
    <row r="239" spans="1:18" x14ac:dyDescent="0.3">
      <c r="A239">
        <v>1718</v>
      </c>
      <c r="B239" t="s">
        <v>1747</v>
      </c>
      <c r="C239" t="s">
        <v>4109</v>
      </c>
      <c r="D239" t="s">
        <v>1203</v>
      </c>
      <c r="E239" t="s">
        <v>1204</v>
      </c>
      <c r="F239">
        <v>8760</v>
      </c>
      <c r="G239" t="s">
        <v>4671</v>
      </c>
      <c r="H239" t="s">
        <v>4672</v>
      </c>
      <c r="I239" t="s">
        <v>4672</v>
      </c>
      <c r="K239" t="s">
        <v>4135</v>
      </c>
      <c r="L239" t="s">
        <v>2530</v>
      </c>
      <c r="M239" t="s">
        <v>4130</v>
      </c>
      <c r="N239">
        <v>1553</v>
      </c>
      <c r="O239">
        <v>1466</v>
      </c>
      <c r="P239">
        <v>673</v>
      </c>
      <c r="R239">
        <v>0</v>
      </c>
    </row>
    <row r="240" spans="1:18" x14ac:dyDescent="0.3">
      <c r="A240">
        <v>1729</v>
      </c>
      <c r="B240" t="s">
        <v>1751</v>
      </c>
      <c r="C240" t="s">
        <v>4109</v>
      </c>
      <c r="D240" t="s">
        <v>1203</v>
      </c>
      <c r="E240" t="s">
        <v>1204</v>
      </c>
      <c r="F240">
        <v>6758</v>
      </c>
      <c r="G240" t="s">
        <v>4673</v>
      </c>
      <c r="H240" t="s">
        <v>4673</v>
      </c>
      <c r="I240" t="s">
        <v>4674</v>
      </c>
      <c r="K240" t="s">
        <v>4112</v>
      </c>
      <c r="L240" t="s">
        <v>2537</v>
      </c>
      <c r="M240" t="s">
        <v>4113</v>
      </c>
      <c r="N240">
        <v>659.81088775000001</v>
      </c>
      <c r="O240">
        <v>659.81088775000001</v>
      </c>
      <c r="P240">
        <v>0</v>
      </c>
      <c r="Q240">
        <v>0</v>
      </c>
      <c r="R240">
        <v>0</v>
      </c>
    </row>
    <row r="241" spans="1:18" x14ac:dyDescent="0.3">
      <c r="A241">
        <v>1729</v>
      </c>
      <c r="B241" t="s">
        <v>1751</v>
      </c>
      <c r="C241" t="s">
        <v>4109</v>
      </c>
      <c r="D241" t="s">
        <v>1203</v>
      </c>
      <c r="E241" t="s">
        <v>1204</v>
      </c>
      <c r="F241">
        <v>6758</v>
      </c>
      <c r="G241" t="s">
        <v>4673</v>
      </c>
      <c r="H241" t="s">
        <v>4673</v>
      </c>
      <c r="I241" t="s">
        <v>4675</v>
      </c>
      <c r="K241" t="s">
        <v>4126</v>
      </c>
      <c r="L241" t="s">
        <v>2537</v>
      </c>
      <c r="M241" t="s">
        <v>4113</v>
      </c>
      <c r="N241">
        <v>616.84645784999998</v>
      </c>
      <c r="O241">
        <v>0</v>
      </c>
      <c r="P241">
        <v>616.84645784999998</v>
      </c>
      <c r="Q241">
        <v>0</v>
      </c>
      <c r="R241">
        <v>0</v>
      </c>
    </row>
    <row r="242" spans="1:18" x14ac:dyDescent="0.3">
      <c r="A242">
        <v>1731</v>
      </c>
      <c r="B242" t="s">
        <v>1758</v>
      </c>
      <c r="C242" t="s">
        <v>4109</v>
      </c>
      <c r="D242" t="s">
        <v>1203</v>
      </c>
      <c r="E242" t="s">
        <v>1204</v>
      </c>
      <c r="F242">
        <v>6882</v>
      </c>
      <c r="G242" t="s">
        <v>4676</v>
      </c>
      <c r="H242" t="s">
        <v>4677</v>
      </c>
      <c r="I242" t="s">
        <v>4678</v>
      </c>
      <c r="K242" t="s">
        <v>4112</v>
      </c>
      <c r="L242" t="s">
        <v>2537</v>
      </c>
      <c r="M242" t="s">
        <v>4113</v>
      </c>
      <c r="N242">
        <v>554</v>
      </c>
      <c r="O242">
        <v>554</v>
      </c>
      <c r="P242">
        <v>0</v>
      </c>
      <c r="Q242">
        <v>0</v>
      </c>
      <c r="R242">
        <v>0</v>
      </c>
    </row>
    <row r="243" spans="1:18" x14ac:dyDescent="0.3">
      <c r="A243">
        <v>1731</v>
      </c>
      <c r="B243" t="s">
        <v>1758</v>
      </c>
      <c r="C243" t="s">
        <v>4109</v>
      </c>
      <c r="D243" t="s">
        <v>1203</v>
      </c>
      <c r="E243" t="s">
        <v>1204</v>
      </c>
      <c r="F243">
        <v>6882</v>
      </c>
      <c r="G243" t="s">
        <v>4679</v>
      </c>
      <c r="H243" t="s">
        <v>4680</v>
      </c>
      <c r="I243" t="s">
        <v>687</v>
      </c>
      <c r="K243" t="s">
        <v>687</v>
      </c>
      <c r="L243" t="s">
        <v>2537</v>
      </c>
      <c r="M243" t="s">
        <v>4118</v>
      </c>
      <c r="N243">
        <v>52</v>
      </c>
      <c r="O243">
        <v>52</v>
      </c>
      <c r="P243">
        <v>0</v>
      </c>
      <c r="Q243">
        <v>0</v>
      </c>
      <c r="R243">
        <v>0</v>
      </c>
    </row>
    <row r="244" spans="1:18" x14ac:dyDescent="0.3">
      <c r="A244">
        <v>1739</v>
      </c>
      <c r="B244" t="s">
        <v>1760</v>
      </c>
      <c r="C244" t="s">
        <v>4109</v>
      </c>
      <c r="D244" t="s">
        <v>159</v>
      </c>
      <c r="E244" t="s">
        <v>159</v>
      </c>
      <c r="F244">
        <v>8064</v>
      </c>
      <c r="G244" t="s">
        <v>4681</v>
      </c>
      <c r="H244" t="s">
        <v>4682</v>
      </c>
      <c r="I244" t="s">
        <v>4683</v>
      </c>
      <c r="J244" t="s">
        <v>4684</v>
      </c>
      <c r="K244" t="s">
        <v>4135</v>
      </c>
      <c r="L244" t="s">
        <v>2537</v>
      </c>
      <c r="M244" t="s">
        <v>4130</v>
      </c>
      <c r="N244">
        <v>2393.7049030093499</v>
      </c>
      <c r="O244">
        <v>2367.6531140507</v>
      </c>
      <c r="P244">
        <v>14.301017380999999</v>
      </c>
      <c r="Q244">
        <v>11.7538404655</v>
      </c>
      <c r="R244">
        <v>0</v>
      </c>
    </row>
    <row r="245" spans="1:18" x14ac:dyDescent="0.3">
      <c r="A245">
        <v>1748</v>
      </c>
      <c r="B245" t="s">
        <v>1764</v>
      </c>
      <c r="C245" t="s">
        <v>4109</v>
      </c>
      <c r="D245" t="s">
        <v>159</v>
      </c>
      <c r="E245" t="s">
        <v>159</v>
      </c>
      <c r="F245">
        <v>8066</v>
      </c>
      <c r="G245" t="s">
        <v>4685</v>
      </c>
      <c r="H245" t="s">
        <v>4686</v>
      </c>
      <c r="I245" t="s">
        <v>4687</v>
      </c>
      <c r="K245" t="s">
        <v>687</v>
      </c>
      <c r="L245" t="s">
        <v>2537</v>
      </c>
      <c r="M245" t="s">
        <v>4118</v>
      </c>
      <c r="N245">
        <v>908.81</v>
      </c>
      <c r="O245">
        <v>0</v>
      </c>
      <c r="P245">
        <v>908.81</v>
      </c>
      <c r="Q245">
        <v>0</v>
      </c>
      <c r="R245">
        <v>0</v>
      </c>
    </row>
    <row r="246" spans="1:18" x14ac:dyDescent="0.3">
      <c r="A246">
        <v>1748</v>
      </c>
      <c r="B246" t="s">
        <v>1764</v>
      </c>
      <c r="C246" t="s">
        <v>4109</v>
      </c>
      <c r="D246" t="s">
        <v>159</v>
      </c>
      <c r="E246" t="s">
        <v>159</v>
      </c>
      <c r="F246">
        <v>8066</v>
      </c>
      <c r="G246" t="s">
        <v>4688</v>
      </c>
      <c r="H246" t="s">
        <v>4435</v>
      </c>
      <c r="I246" t="s">
        <v>204</v>
      </c>
      <c r="K246" t="s">
        <v>4117</v>
      </c>
      <c r="L246" t="s">
        <v>2537</v>
      </c>
      <c r="M246" t="s">
        <v>4118</v>
      </c>
      <c r="N246">
        <v>3225.37</v>
      </c>
      <c r="O246">
        <v>3225.37</v>
      </c>
      <c r="P246">
        <v>0</v>
      </c>
      <c r="Q246">
        <v>0</v>
      </c>
      <c r="R246">
        <v>0</v>
      </c>
    </row>
    <row r="247" spans="1:18" x14ac:dyDescent="0.3">
      <c r="A247">
        <v>1748</v>
      </c>
      <c r="B247" t="s">
        <v>1764</v>
      </c>
      <c r="C247" t="s">
        <v>4109</v>
      </c>
      <c r="D247" t="s">
        <v>159</v>
      </c>
      <c r="E247" t="s">
        <v>159</v>
      </c>
      <c r="F247">
        <v>8066</v>
      </c>
      <c r="G247" t="s">
        <v>4689</v>
      </c>
      <c r="H247" t="s">
        <v>4690</v>
      </c>
      <c r="I247" t="s">
        <v>4691</v>
      </c>
      <c r="K247" t="s">
        <v>687</v>
      </c>
      <c r="L247" t="s">
        <v>2537</v>
      </c>
      <c r="M247" t="s">
        <v>4130</v>
      </c>
      <c r="N247">
        <v>19.7</v>
      </c>
      <c r="O247">
        <v>0</v>
      </c>
      <c r="P247">
        <v>19.7</v>
      </c>
      <c r="Q247">
        <v>0</v>
      </c>
      <c r="R247">
        <v>0</v>
      </c>
    </row>
    <row r="248" spans="1:18" x14ac:dyDescent="0.3">
      <c r="A248">
        <v>1748</v>
      </c>
      <c r="B248" t="s">
        <v>1764</v>
      </c>
      <c r="C248" t="s">
        <v>4109</v>
      </c>
      <c r="D248" t="s">
        <v>159</v>
      </c>
      <c r="E248" t="s">
        <v>159</v>
      </c>
      <c r="F248">
        <v>8066</v>
      </c>
      <c r="G248" t="s">
        <v>4685</v>
      </c>
      <c r="H248" t="s">
        <v>4692</v>
      </c>
      <c r="I248" t="s">
        <v>204</v>
      </c>
      <c r="K248" t="s">
        <v>687</v>
      </c>
      <c r="L248" t="s">
        <v>2537</v>
      </c>
      <c r="M248" t="s">
        <v>4118</v>
      </c>
      <c r="N248">
        <v>60.62</v>
      </c>
      <c r="O248">
        <v>0</v>
      </c>
      <c r="P248">
        <v>60.62</v>
      </c>
      <c r="Q248">
        <v>0</v>
      </c>
      <c r="R248">
        <v>0</v>
      </c>
    </row>
    <row r="249" spans="1:18" x14ac:dyDescent="0.3">
      <c r="A249">
        <v>1748</v>
      </c>
      <c r="B249" t="s">
        <v>1764</v>
      </c>
      <c r="C249" t="s">
        <v>4109</v>
      </c>
      <c r="D249" t="s">
        <v>159</v>
      </c>
      <c r="E249" t="s">
        <v>159</v>
      </c>
      <c r="F249">
        <v>8066</v>
      </c>
      <c r="G249" t="s">
        <v>4693</v>
      </c>
      <c r="H249" t="s">
        <v>4694</v>
      </c>
      <c r="I249" t="s">
        <v>4695</v>
      </c>
      <c r="K249" t="s">
        <v>687</v>
      </c>
      <c r="L249" t="s">
        <v>2530</v>
      </c>
      <c r="M249" t="s">
        <v>4130</v>
      </c>
      <c r="N249">
        <v>144.18</v>
      </c>
      <c r="O249">
        <v>0</v>
      </c>
      <c r="P249">
        <v>144.18</v>
      </c>
      <c r="Q249">
        <v>0</v>
      </c>
      <c r="R249">
        <v>0</v>
      </c>
    </row>
    <row r="250" spans="1:18" x14ac:dyDescent="0.3">
      <c r="A250">
        <v>1748</v>
      </c>
      <c r="B250" t="s">
        <v>1764</v>
      </c>
      <c r="C250" t="s">
        <v>4109</v>
      </c>
      <c r="D250" t="s">
        <v>159</v>
      </c>
      <c r="E250" t="s">
        <v>159</v>
      </c>
      <c r="F250">
        <v>8066</v>
      </c>
      <c r="G250" t="s">
        <v>4685</v>
      </c>
      <c r="H250" t="s">
        <v>4694</v>
      </c>
      <c r="I250" t="s">
        <v>4696</v>
      </c>
      <c r="K250" t="s">
        <v>687</v>
      </c>
      <c r="L250" t="s">
        <v>2537</v>
      </c>
      <c r="M250" t="s">
        <v>4130</v>
      </c>
      <c r="N250">
        <v>554.80999999999995</v>
      </c>
      <c r="O250">
        <v>0</v>
      </c>
      <c r="P250">
        <v>554.80999999999995</v>
      </c>
      <c r="Q250">
        <v>0</v>
      </c>
      <c r="R250">
        <v>0</v>
      </c>
    </row>
    <row r="251" spans="1:18" x14ac:dyDescent="0.3">
      <c r="A251">
        <v>1777</v>
      </c>
      <c r="B251" t="s">
        <v>1773</v>
      </c>
      <c r="C251" t="s">
        <v>4109</v>
      </c>
      <c r="D251" t="s">
        <v>159</v>
      </c>
      <c r="E251" t="s">
        <v>159</v>
      </c>
      <c r="F251">
        <v>5661</v>
      </c>
      <c r="G251" t="s">
        <v>4697</v>
      </c>
      <c r="H251" t="s">
        <v>4698</v>
      </c>
      <c r="I251" t="s">
        <v>4168</v>
      </c>
      <c r="K251" t="s">
        <v>4168</v>
      </c>
      <c r="L251" t="s">
        <v>2537</v>
      </c>
      <c r="M251" t="s">
        <v>4113</v>
      </c>
      <c r="N251">
        <v>2867</v>
      </c>
      <c r="O251">
        <v>2786</v>
      </c>
      <c r="P251">
        <v>0</v>
      </c>
      <c r="Q251">
        <v>0</v>
      </c>
      <c r="R251">
        <v>0</v>
      </c>
    </row>
    <row r="252" spans="1:18" x14ac:dyDescent="0.3">
      <c r="A252">
        <v>1777</v>
      </c>
      <c r="B252" t="s">
        <v>1773</v>
      </c>
      <c r="C252" t="s">
        <v>4109</v>
      </c>
      <c r="D252" t="s">
        <v>159</v>
      </c>
      <c r="E252" t="s">
        <v>159</v>
      </c>
      <c r="F252">
        <v>5661</v>
      </c>
      <c r="G252" t="s">
        <v>4699</v>
      </c>
      <c r="H252" t="s">
        <v>4698</v>
      </c>
      <c r="I252" t="s">
        <v>4168</v>
      </c>
      <c r="K252" t="s">
        <v>4168</v>
      </c>
      <c r="L252" t="s">
        <v>2530</v>
      </c>
      <c r="M252" t="s">
        <v>4118</v>
      </c>
      <c r="N252">
        <v>8682</v>
      </c>
      <c r="O252">
        <v>8089</v>
      </c>
      <c r="P252">
        <v>0</v>
      </c>
      <c r="Q252">
        <v>0</v>
      </c>
      <c r="R252">
        <v>0</v>
      </c>
    </row>
    <row r="253" spans="1:18" x14ac:dyDescent="0.3">
      <c r="A253">
        <v>1777</v>
      </c>
      <c r="B253" t="s">
        <v>1773</v>
      </c>
      <c r="C253" t="s">
        <v>4109</v>
      </c>
      <c r="D253" t="s">
        <v>159</v>
      </c>
      <c r="E253" t="s">
        <v>159</v>
      </c>
      <c r="F253">
        <v>5661</v>
      </c>
      <c r="G253" t="s">
        <v>4699</v>
      </c>
      <c r="H253" t="s">
        <v>4700</v>
      </c>
      <c r="I253" t="s">
        <v>4701</v>
      </c>
      <c r="K253" t="s">
        <v>687</v>
      </c>
      <c r="L253" t="s">
        <v>2530</v>
      </c>
      <c r="M253" t="s">
        <v>4130</v>
      </c>
      <c r="N253">
        <v>0</v>
      </c>
      <c r="O253">
        <v>0</v>
      </c>
      <c r="P253">
        <v>249</v>
      </c>
      <c r="Q253">
        <v>0</v>
      </c>
      <c r="R253">
        <v>0</v>
      </c>
    </row>
    <row r="254" spans="1:18" x14ac:dyDescent="0.3">
      <c r="A254">
        <v>1777</v>
      </c>
      <c r="B254" t="s">
        <v>1773</v>
      </c>
      <c r="C254" t="s">
        <v>4109</v>
      </c>
      <c r="D254" t="s">
        <v>159</v>
      </c>
      <c r="E254" t="s">
        <v>159</v>
      </c>
      <c r="F254">
        <v>5661</v>
      </c>
      <c r="G254" t="s">
        <v>4702</v>
      </c>
      <c r="H254" t="s">
        <v>4698</v>
      </c>
      <c r="I254" t="s">
        <v>4168</v>
      </c>
      <c r="K254" t="s">
        <v>4168</v>
      </c>
      <c r="L254" t="s">
        <v>2530</v>
      </c>
      <c r="M254" t="s">
        <v>4130</v>
      </c>
      <c r="N254">
        <v>950</v>
      </c>
      <c r="O254">
        <v>950</v>
      </c>
      <c r="P254">
        <v>0</v>
      </c>
      <c r="Q254">
        <v>0</v>
      </c>
      <c r="R254">
        <v>0</v>
      </c>
    </row>
    <row r="255" spans="1:18" x14ac:dyDescent="0.3">
      <c r="A255">
        <v>1792</v>
      </c>
      <c r="B255" t="s">
        <v>1781</v>
      </c>
      <c r="C255" t="s">
        <v>4109</v>
      </c>
      <c r="D255" t="s">
        <v>1203</v>
      </c>
      <c r="E255" t="s">
        <v>1204</v>
      </c>
      <c r="F255">
        <v>6604</v>
      </c>
      <c r="G255" t="s">
        <v>4703</v>
      </c>
      <c r="H255" t="s">
        <v>4704</v>
      </c>
      <c r="I255" t="s">
        <v>4705</v>
      </c>
      <c r="K255" t="s">
        <v>4135</v>
      </c>
      <c r="L255" t="s">
        <v>2530</v>
      </c>
      <c r="M255" t="s">
        <v>4130</v>
      </c>
      <c r="N255">
        <v>1678.6816539500001</v>
      </c>
      <c r="O255">
        <v>1678.6816539500001</v>
      </c>
      <c r="P255">
        <v>0</v>
      </c>
      <c r="Q255">
        <v>0</v>
      </c>
    </row>
    <row r="256" spans="1:18" x14ac:dyDescent="0.3">
      <c r="A256">
        <v>1793</v>
      </c>
      <c r="B256" t="s">
        <v>1785</v>
      </c>
      <c r="C256" t="s">
        <v>4109</v>
      </c>
      <c r="D256" t="s">
        <v>159</v>
      </c>
      <c r="E256" t="s">
        <v>159</v>
      </c>
      <c r="F256">
        <v>8027</v>
      </c>
      <c r="G256" t="s">
        <v>4706</v>
      </c>
      <c r="H256" t="s">
        <v>4707</v>
      </c>
      <c r="I256" t="s">
        <v>4708</v>
      </c>
      <c r="K256" t="s">
        <v>687</v>
      </c>
      <c r="L256" t="s">
        <v>2537</v>
      </c>
      <c r="M256" t="s">
        <v>4130</v>
      </c>
      <c r="N256">
        <v>182</v>
      </c>
      <c r="O256">
        <v>182</v>
      </c>
      <c r="P256">
        <v>182</v>
      </c>
      <c r="Q256">
        <v>0</v>
      </c>
    </row>
    <row r="257" spans="1:18" x14ac:dyDescent="0.3">
      <c r="A257">
        <v>1793</v>
      </c>
      <c r="B257" t="s">
        <v>1785</v>
      </c>
      <c r="C257" t="s">
        <v>4109</v>
      </c>
      <c r="D257" t="s">
        <v>159</v>
      </c>
      <c r="E257" t="s">
        <v>159</v>
      </c>
      <c r="F257">
        <v>8027</v>
      </c>
      <c r="G257" t="s">
        <v>4709</v>
      </c>
      <c r="H257" t="s">
        <v>4710</v>
      </c>
      <c r="I257" t="s">
        <v>4711</v>
      </c>
      <c r="K257" t="s">
        <v>4112</v>
      </c>
      <c r="L257" t="s">
        <v>2530</v>
      </c>
      <c r="M257" t="s">
        <v>4212</v>
      </c>
      <c r="N257">
        <v>354</v>
      </c>
      <c r="O257">
        <v>354</v>
      </c>
      <c r="P257">
        <v>0</v>
      </c>
      <c r="Q257">
        <v>0</v>
      </c>
    </row>
    <row r="258" spans="1:18" x14ac:dyDescent="0.3">
      <c r="A258">
        <v>1793</v>
      </c>
      <c r="B258" t="s">
        <v>1785</v>
      </c>
      <c r="C258" t="s">
        <v>4109</v>
      </c>
      <c r="D258" t="s">
        <v>159</v>
      </c>
      <c r="E258" t="s">
        <v>159</v>
      </c>
      <c r="F258">
        <v>8027</v>
      </c>
      <c r="G258" t="s">
        <v>4712</v>
      </c>
      <c r="H258" t="s">
        <v>4710</v>
      </c>
      <c r="I258" t="s">
        <v>4713</v>
      </c>
      <c r="K258" t="s">
        <v>4112</v>
      </c>
      <c r="L258" t="s">
        <v>2537</v>
      </c>
      <c r="M258" t="s">
        <v>4212</v>
      </c>
      <c r="N258">
        <v>287</v>
      </c>
      <c r="O258">
        <v>287</v>
      </c>
      <c r="P258">
        <v>0</v>
      </c>
      <c r="Q258">
        <v>0</v>
      </c>
    </row>
    <row r="259" spans="1:18" x14ac:dyDescent="0.3">
      <c r="A259">
        <v>1793</v>
      </c>
      <c r="B259" t="s">
        <v>1785</v>
      </c>
      <c r="C259" t="s">
        <v>4109</v>
      </c>
      <c r="D259" t="s">
        <v>159</v>
      </c>
      <c r="E259" t="s">
        <v>159</v>
      </c>
      <c r="F259">
        <v>8027</v>
      </c>
      <c r="G259" t="s">
        <v>4714</v>
      </c>
      <c r="H259" t="s">
        <v>4707</v>
      </c>
      <c r="I259" t="s">
        <v>4708</v>
      </c>
      <c r="K259" t="s">
        <v>687</v>
      </c>
      <c r="L259" t="s">
        <v>2537</v>
      </c>
      <c r="M259" t="s">
        <v>4130</v>
      </c>
      <c r="N259">
        <v>932</v>
      </c>
      <c r="O259">
        <v>1150</v>
      </c>
      <c r="P259">
        <v>1150</v>
      </c>
      <c r="Q259">
        <v>0</v>
      </c>
    </row>
    <row r="260" spans="1:18" x14ac:dyDescent="0.3">
      <c r="A260">
        <v>1795</v>
      </c>
      <c r="B260" t="s">
        <v>1787</v>
      </c>
      <c r="C260" t="s">
        <v>4109</v>
      </c>
      <c r="D260" t="s">
        <v>159</v>
      </c>
      <c r="E260" t="s">
        <v>159</v>
      </c>
      <c r="F260">
        <v>5536</v>
      </c>
      <c r="G260" t="s">
        <v>4715</v>
      </c>
      <c r="H260" t="s">
        <v>4331</v>
      </c>
      <c r="I260" t="s">
        <v>4716</v>
      </c>
      <c r="K260" t="s">
        <v>4135</v>
      </c>
      <c r="L260" t="s">
        <v>2530</v>
      </c>
      <c r="M260" t="s">
        <v>4130</v>
      </c>
      <c r="N260">
        <v>31000</v>
      </c>
      <c r="O260">
        <v>14200</v>
      </c>
      <c r="P260">
        <v>7812</v>
      </c>
      <c r="Q260">
        <v>8988</v>
      </c>
    </row>
    <row r="261" spans="1:18" x14ac:dyDescent="0.3">
      <c r="A261">
        <v>1821</v>
      </c>
      <c r="B261" t="s">
        <v>1792</v>
      </c>
      <c r="C261" t="s">
        <v>4109</v>
      </c>
      <c r="D261" t="s">
        <v>159</v>
      </c>
      <c r="E261" t="s">
        <v>159</v>
      </c>
      <c r="F261">
        <v>7982</v>
      </c>
      <c r="G261" t="s">
        <v>4717</v>
      </c>
      <c r="H261" t="s">
        <v>4718</v>
      </c>
      <c r="I261" t="s">
        <v>4719</v>
      </c>
      <c r="K261" t="s">
        <v>687</v>
      </c>
      <c r="L261" t="s">
        <v>2537</v>
      </c>
      <c r="M261" t="s">
        <v>4130</v>
      </c>
      <c r="N261">
        <v>873</v>
      </c>
      <c r="O261">
        <v>0</v>
      </c>
      <c r="P261">
        <v>873</v>
      </c>
      <c r="Q261">
        <v>0</v>
      </c>
      <c r="R261">
        <v>0</v>
      </c>
    </row>
    <row r="262" spans="1:18" x14ac:dyDescent="0.3">
      <c r="A262">
        <v>1827</v>
      </c>
      <c r="B262" t="s">
        <v>1794</v>
      </c>
      <c r="C262" t="s">
        <v>4109</v>
      </c>
      <c r="D262" t="s">
        <v>1203</v>
      </c>
      <c r="E262" t="s">
        <v>1204</v>
      </c>
      <c r="F262">
        <v>5837</v>
      </c>
      <c r="G262" t="s">
        <v>4720</v>
      </c>
      <c r="H262" t="s">
        <v>4721</v>
      </c>
      <c r="I262" t="s">
        <v>4721</v>
      </c>
      <c r="J262" t="s">
        <v>4722</v>
      </c>
      <c r="K262" t="s">
        <v>4168</v>
      </c>
      <c r="L262" t="s">
        <v>2530</v>
      </c>
      <c r="M262" t="s">
        <v>4212</v>
      </c>
      <c r="N262">
        <v>19088</v>
      </c>
      <c r="O262">
        <v>18910</v>
      </c>
      <c r="P262">
        <v>0</v>
      </c>
      <c r="Q262">
        <v>0</v>
      </c>
      <c r="R262">
        <v>0</v>
      </c>
    </row>
    <row r="263" spans="1:18" x14ac:dyDescent="0.3">
      <c r="A263">
        <v>1827</v>
      </c>
      <c r="B263" t="s">
        <v>1794</v>
      </c>
      <c r="C263" t="s">
        <v>4109</v>
      </c>
      <c r="D263" t="s">
        <v>1203</v>
      </c>
      <c r="E263" t="s">
        <v>1204</v>
      </c>
      <c r="F263">
        <v>5837</v>
      </c>
      <c r="G263" t="s">
        <v>4723</v>
      </c>
      <c r="H263" t="s">
        <v>4724</v>
      </c>
      <c r="I263" t="s">
        <v>4724</v>
      </c>
      <c r="K263" t="s">
        <v>4168</v>
      </c>
      <c r="L263" t="s">
        <v>2537</v>
      </c>
      <c r="M263" t="s">
        <v>4282</v>
      </c>
      <c r="N263">
        <v>0</v>
      </c>
      <c r="O263">
        <v>0</v>
      </c>
      <c r="P263">
        <v>75</v>
      </c>
      <c r="Q263">
        <v>61</v>
      </c>
      <c r="R263">
        <v>0</v>
      </c>
    </row>
    <row r="264" spans="1:18" x14ac:dyDescent="0.3">
      <c r="A264">
        <v>1838</v>
      </c>
      <c r="B264" t="s">
        <v>1797</v>
      </c>
      <c r="C264" t="s">
        <v>4109</v>
      </c>
      <c r="D264" t="s">
        <v>1203</v>
      </c>
      <c r="E264" t="s">
        <v>1204</v>
      </c>
      <c r="F264">
        <v>5805</v>
      </c>
      <c r="G264" t="s">
        <v>4725</v>
      </c>
      <c r="H264" t="s">
        <v>4726</v>
      </c>
      <c r="I264" t="s">
        <v>4726</v>
      </c>
      <c r="K264" t="s">
        <v>687</v>
      </c>
      <c r="L264" t="s">
        <v>2530</v>
      </c>
      <c r="M264" t="s">
        <v>4130</v>
      </c>
      <c r="N264">
        <v>0</v>
      </c>
      <c r="O264">
        <v>0</v>
      </c>
      <c r="P264">
        <v>780</v>
      </c>
      <c r="Q264">
        <v>0</v>
      </c>
      <c r="R264">
        <v>0</v>
      </c>
    </row>
    <row r="265" spans="1:18" x14ac:dyDescent="0.3">
      <c r="A265">
        <v>1838</v>
      </c>
      <c r="B265" t="s">
        <v>1797</v>
      </c>
      <c r="C265" t="s">
        <v>4109</v>
      </c>
      <c r="D265" t="s">
        <v>1203</v>
      </c>
      <c r="E265" t="s">
        <v>1204</v>
      </c>
      <c r="F265">
        <v>5805</v>
      </c>
      <c r="G265" t="s">
        <v>4725</v>
      </c>
      <c r="H265" t="s">
        <v>2550</v>
      </c>
      <c r="I265" t="s">
        <v>4727</v>
      </c>
      <c r="J265" t="s">
        <v>4728</v>
      </c>
      <c r="K265" t="s">
        <v>687</v>
      </c>
      <c r="L265" t="s">
        <v>2530</v>
      </c>
      <c r="M265" t="s">
        <v>4130</v>
      </c>
      <c r="N265">
        <v>1856</v>
      </c>
      <c r="O265">
        <v>0</v>
      </c>
      <c r="P265">
        <v>0</v>
      </c>
      <c r="Q265">
        <v>0</v>
      </c>
      <c r="R265">
        <v>0</v>
      </c>
    </row>
    <row r="266" spans="1:18" x14ac:dyDescent="0.3">
      <c r="A266">
        <v>1838</v>
      </c>
      <c r="B266" t="s">
        <v>1797</v>
      </c>
      <c r="C266" t="s">
        <v>4109</v>
      </c>
      <c r="D266" t="s">
        <v>1203</v>
      </c>
      <c r="E266" t="s">
        <v>1204</v>
      </c>
      <c r="F266">
        <v>5805</v>
      </c>
      <c r="G266" t="s">
        <v>4725</v>
      </c>
      <c r="H266" t="s">
        <v>4729</v>
      </c>
      <c r="I266" t="s">
        <v>4729</v>
      </c>
      <c r="K266" t="s">
        <v>687</v>
      </c>
      <c r="L266" t="s">
        <v>2530</v>
      </c>
      <c r="M266" t="s">
        <v>4130</v>
      </c>
      <c r="N266">
        <v>0</v>
      </c>
      <c r="O266">
        <v>0</v>
      </c>
      <c r="P266">
        <v>970</v>
      </c>
      <c r="Q266">
        <v>0</v>
      </c>
      <c r="R266">
        <v>0</v>
      </c>
    </row>
    <row r="267" spans="1:18" x14ac:dyDescent="0.3">
      <c r="A267">
        <v>1849</v>
      </c>
      <c r="B267" t="s">
        <v>960</v>
      </c>
      <c r="C267" t="s">
        <v>4109</v>
      </c>
      <c r="D267" t="s">
        <v>159</v>
      </c>
      <c r="E267" t="s">
        <v>159</v>
      </c>
      <c r="F267">
        <v>8190</v>
      </c>
      <c r="G267" t="s">
        <v>4730</v>
      </c>
      <c r="I267" t="s">
        <v>4731</v>
      </c>
      <c r="K267" t="s">
        <v>687</v>
      </c>
      <c r="L267" t="s">
        <v>2530</v>
      </c>
      <c r="M267" t="s">
        <v>4130</v>
      </c>
      <c r="N267">
        <v>12140</v>
      </c>
      <c r="O267">
        <v>10770</v>
      </c>
      <c r="P267">
        <v>110</v>
      </c>
    </row>
    <row r="268" spans="1:18" x14ac:dyDescent="0.3">
      <c r="A268">
        <v>1851</v>
      </c>
      <c r="B268" t="s">
        <v>1800</v>
      </c>
      <c r="C268" t="s">
        <v>4109</v>
      </c>
      <c r="D268" t="s">
        <v>159</v>
      </c>
      <c r="E268" t="s">
        <v>159</v>
      </c>
      <c r="F268">
        <v>7787</v>
      </c>
      <c r="G268" t="s">
        <v>4535</v>
      </c>
      <c r="H268" t="s">
        <v>4116</v>
      </c>
      <c r="K268" t="s">
        <v>4117</v>
      </c>
      <c r="L268" t="s">
        <v>2530</v>
      </c>
      <c r="M268" t="s">
        <v>4130</v>
      </c>
      <c r="N268">
        <v>18281</v>
      </c>
      <c r="O268">
        <v>17523</v>
      </c>
      <c r="P268">
        <v>316</v>
      </c>
      <c r="Q268">
        <v>442</v>
      </c>
    </row>
    <row r="269" spans="1:18" x14ac:dyDescent="0.3">
      <c r="A269">
        <v>1851</v>
      </c>
      <c r="B269" t="s">
        <v>1800</v>
      </c>
      <c r="C269" t="s">
        <v>4109</v>
      </c>
      <c r="D269" t="s">
        <v>159</v>
      </c>
      <c r="E269" t="s">
        <v>159</v>
      </c>
      <c r="F269">
        <v>7787</v>
      </c>
      <c r="G269" t="s">
        <v>4535</v>
      </c>
      <c r="H269" t="s">
        <v>4732</v>
      </c>
      <c r="K269" t="s">
        <v>4176</v>
      </c>
      <c r="L269" t="s">
        <v>2530</v>
      </c>
      <c r="M269" t="s">
        <v>4130</v>
      </c>
      <c r="N269">
        <v>1043</v>
      </c>
      <c r="O269">
        <v>1043</v>
      </c>
    </row>
    <row r="270" spans="1:18" x14ac:dyDescent="0.3">
      <c r="A270">
        <v>1875</v>
      </c>
      <c r="B270" t="s">
        <v>1811</v>
      </c>
      <c r="C270" t="s">
        <v>4109</v>
      </c>
      <c r="D270" t="s">
        <v>159</v>
      </c>
      <c r="E270" t="s">
        <v>159</v>
      </c>
      <c r="F270">
        <v>8653</v>
      </c>
      <c r="G270" t="s">
        <v>4733</v>
      </c>
      <c r="H270" t="s">
        <v>4734</v>
      </c>
      <c r="I270" t="s">
        <v>4735</v>
      </c>
      <c r="J270" t="s">
        <v>4736</v>
      </c>
      <c r="K270" t="s">
        <v>4135</v>
      </c>
      <c r="L270" t="s">
        <v>2537</v>
      </c>
      <c r="M270" t="s">
        <v>4130</v>
      </c>
      <c r="N270">
        <v>2464</v>
      </c>
      <c r="O270">
        <v>2464</v>
      </c>
      <c r="P270">
        <v>0</v>
      </c>
      <c r="Q270">
        <v>0</v>
      </c>
      <c r="R270">
        <v>0</v>
      </c>
    </row>
    <row r="271" spans="1:18" x14ac:dyDescent="0.3">
      <c r="A271">
        <v>1877</v>
      </c>
      <c r="B271" t="s">
        <v>1812</v>
      </c>
      <c r="C271" t="s">
        <v>4109</v>
      </c>
      <c r="D271" t="s">
        <v>159</v>
      </c>
      <c r="E271" t="s">
        <v>159</v>
      </c>
      <c r="F271">
        <v>8764</v>
      </c>
      <c r="G271" t="s">
        <v>4737</v>
      </c>
      <c r="H271" t="s">
        <v>4738</v>
      </c>
      <c r="I271" t="s">
        <v>4739</v>
      </c>
      <c r="J271" t="s">
        <v>4740</v>
      </c>
      <c r="K271" t="s">
        <v>4112</v>
      </c>
      <c r="L271" t="s">
        <v>2537</v>
      </c>
      <c r="M271" t="s">
        <v>4113</v>
      </c>
      <c r="N271">
        <v>1793</v>
      </c>
      <c r="O271">
        <v>1793</v>
      </c>
      <c r="P271">
        <v>0</v>
      </c>
      <c r="Q271">
        <v>0</v>
      </c>
      <c r="R271">
        <v>0</v>
      </c>
    </row>
    <row r="272" spans="1:18" x14ac:dyDescent="0.3">
      <c r="A272">
        <v>1894</v>
      </c>
      <c r="B272" t="s">
        <v>1814</v>
      </c>
      <c r="C272" t="s">
        <v>4109</v>
      </c>
      <c r="D272" t="s">
        <v>159</v>
      </c>
      <c r="E272" t="s">
        <v>159</v>
      </c>
      <c r="F272">
        <v>8895</v>
      </c>
      <c r="G272" t="s">
        <v>4741</v>
      </c>
      <c r="H272" t="s">
        <v>4742</v>
      </c>
      <c r="I272" t="s">
        <v>4743</v>
      </c>
      <c r="K272" t="s">
        <v>4135</v>
      </c>
      <c r="L272" t="s">
        <v>2530</v>
      </c>
      <c r="M272" t="s">
        <v>4130</v>
      </c>
      <c r="N272">
        <v>5059</v>
      </c>
      <c r="O272">
        <v>2314</v>
      </c>
      <c r="P272">
        <v>651</v>
      </c>
      <c r="Q272">
        <v>1115</v>
      </c>
    </row>
    <row r="273" spans="1:18" x14ac:dyDescent="0.3">
      <c r="A273">
        <v>1923</v>
      </c>
      <c r="B273" t="s">
        <v>1823</v>
      </c>
      <c r="C273" t="s">
        <v>4109</v>
      </c>
      <c r="D273" t="s">
        <v>159</v>
      </c>
      <c r="E273" t="s">
        <v>159</v>
      </c>
      <c r="F273">
        <v>8627</v>
      </c>
      <c r="G273" t="s">
        <v>4744</v>
      </c>
      <c r="H273" t="s">
        <v>4263</v>
      </c>
      <c r="I273" t="s">
        <v>4484</v>
      </c>
      <c r="K273" t="s">
        <v>4168</v>
      </c>
      <c r="L273" t="s">
        <v>2537</v>
      </c>
      <c r="M273" t="s">
        <v>4212</v>
      </c>
      <c r="N273">
        <v>1037</v>
      </c>
      <c r="O273">
        <v>1037</v>
      </c>
      <c r="P273">
        <v>0</v>
      </c>
      <c r="Q273">
        <v>0</v>
      </c>
      <c r="R273">
        <v>0</v>
      </c>
    </row>
    <row r="274" spans="1:18" x14ac:dyDescent="0.3">
      <c r="A274">
        <v>1925</v>
      </c>
      <c r="B274" t="s">
        <v>1824</v>
      </c>
      <c r="C274" t="s">
        <v>4109</v>
      </c>
      <c r="D274" t="s">
        <v>159</v>
      </c>
      <c r="E274" t="s">
        <v>159</v>
      </c>
      <c r="F274">
        <v>6160</v>
      </c>
      <c r="G274" t="s">
        <v>4376</v>
      </c>
      <c r="H274" t="s">
        <v>4170</v>
      </c>
      <c r="I274" t="s">
        <v>4377</v>
      </c>
      <c r="K274" t="s">
        <v>4135</v>
      </c>
      <c r="L274" t="s">
        <v>2530</v>
      </c>
      <c r="M274" t="s">
        <v>4118</v>
      </c>
    </row>
    <row r="275" spans="1:18" x14ac:dyDescent="0.3">
      <c r="A275">
        <v>1940</v>
      </c>
      <c r="B275" t="s">
        <v>1828</v>
      </c>
      <c r="C275" t="s">
        <v>4109</v>
      </c>
      <c r="D275" t="s">
        <v>159</v>
      </c>
      <c r="E275" t="s">
        <v>159</v>
      </c>
      <c r="F275">
        <v>7213</v>
      </c>
      <c r="G275" t="s">
        <v>4745</v>
      </c>
      <c r="H275" t="s">
        <v>4746</v>
      </c>
      <c r="I275" t="s">
        <v>4747</v>
      </c>
      <c r="K275" t="s">
        <v>4117</v>
      </c>
      <c r="L275" t="s">
        <v>2530</v>
      </c>
      <c r="M275" t="s">
        <v>4130</v>
      </c>
      <c r="N275">
        <v>11555</v>
      </c>
      <c r="O275">
        <v>6423</v>
      </c>
      <c r="P275">
        <v>1130</v>
      </c>
      <c r="Q275">
        <v>4002</v>
      </c>
      <c r="R275">
        <v>0</v>
      </c>
    </row>
    <row r="276" spans="1:18" x14ac:dyDescent="0.3">
      <c r="A276">
        <v>1945</v>
      </c>
      <c r="B276" t="s">
        <v>1829</v>
      </c>
      <c r="C276" t="s">
        <v>4109</v>
      </c>
      <c r="D276" t="s">
        <v>159</v>
      </c>
      <c r="E276" t="s">
        <v>159</v>
      </c>
      <c r="F276">
        <v>5546</v>
      </c>
      <c r="G276" t="s">
        <v>3512</v>
      </c>
      <c r="H276" t="s">
        <v>4748</v>
      </c>
      <c r="I276" t="s">
        <v>4749</v>
      </c>
      <c r="J276" t="s">
        <v>4750</v>
      </c>
      <c r="K276" t="s">
        <v>4135</v>
      </c>
      <c r="L276" t="s">
        <v>2530</v>
      </c>
      <c r="M276" t="s">
        <v>4130</v>
      </c>
      <c r="N276">
        <v>7480</v>
      </c>
      <c r="O276">
        <v>1514</v>
      </c>
      <c r="P276">
        <v>1702</v>
      </c>
      <c r="Q276">
        <v>4264</v>
      </c>
    </row>
    <row r="277" spans="1:18" x14ac:dyDescent="0.3">
      <c r="A277">
        <v>1956</v>
      </c>
      <c r="B277" t="s">
        <v>1831</v>
      </c>
      <c r="C277" t="s">
        <v>4109</v>
      </c>
      <c r="D277" t="s">
        <v>1203</v>
      </c>
      <c r="E277" t="s">
        <v>1204</v>
      </c>
      <c r="F277">
        <v>8024</v>
      </c>
      <c r="G277" t="s">
        <v>4751</v>
      </c>
      <c r="H277" t="s">
        <v>4752</v>
      </c>
      <c r="I277" t="s">
        <v>4752</v>
      </c>
      <c r="J277" t="s">
        <v>4753</v>
      </c>
      <c r="K277" t="s">
        <v>4126</v>
      </c>
      <c r="L277" t="s">
        <v>2530</v>
      </c>
      <c r="M277" t="s">
        <v>4113</v>
      </c>
      <c r="N277">
        <v>4775.1894946000002</v>
      </c>
      <c r="O277">
        <v>1921.1237940999999</v>
      </c>
      <c r="P277">
        <v>2854.0657004999998</v>
      </c>
      <c r="Q277">
        <v>0</v>
      </c>
      <c r="R277">
        <v>0</v>
      </c>
    </row>
    <row r="278" spans="1:18" x14ac:dyDescent="0.3">
      <c r="A278">
        <v>1964</v>
      </c>
      <c r="B278" t="s">
        <v>1832</v>
      </c>
      <c r="C278" t="s">
        <v>4109</v>
      </c>
      <c r="D278" t="s">
        <v>159</v>
      </c>
      <c r="E278" t="s">
        <v>159</v>
      </c>
      <c r="F278">
        <v>8095</v>
      </c>
      <c r="Q278">
        <v>411</v>
      </c>
    </row>
    <row r="279" spans="1:18" x14ac:dyDescent="0.3">
      <c r="A279">
        <v>1996</v>
      </c>
      <c r="B279" t="s">
        <v>1838</v>
      </c>
      <c r="C279" t="s">
        <v>4109</v>
      </c>
      <c r="D279" t="s">
        <v>159</v>
      </c>
      <c r="E279" t="s">
        <v>159</v>
      </c>
      <c r="F279">
        <v>8154</v>
      </c>
      <c r="G279" t="s">
        <v>4754</v>
      </c>
      <c r="H279" t="s">
        <v>4755</v>
      </c>
      <c r="I279" t="s">
        <v>4756</v>
      </c>
      <c r="K279" t="s">
        <v>4126</v>
      </c>
      <c r="L279" t="s">
        <v>2537</v>
      </c>
      <c r="M279" t="s">
        <v>4113</v>
      </c>
      <c r="N279">
        <v>500</v>
      </c>
      <c r="O279">
        <v>500</v>
      </c>
      <c r="P279">
        <v>0</v>
      </c>
      <c r="Q279">
        <v>0</v>
      </c>
      <c r="R279">
        <v>0</v>
      </c>
    </row>
    <row r="280" spans="1:18" x14ac:dyDescent="0.3">
      <c r="A280">
        <v>1996</v>
      </c>
      <c r="B280" t="s">
        <v>1838</v>
      </c>
      <c r="C280" t="s">
        <v>4109</v>
      </c>
      <c r="D280" t="s">
        <v>159</v>
      </c>
      <c r="E280" t="s">
        <v>159</v>
      </c>
      <c r="F280">
        <v>8154</v>
      </c>
      <c r="G280" t="s">
        <v>4754</v>
      </c>
      <c r="H280" t="s">
        <v>4757</v>
      </c>
      <c r="I280" t="s">
        <v>4758</v>
      </c>
      <c r="K280" t="s">
        <v>4126</v>
      </c>
      <c r="L280" t="s">
        <v>2537</v>
      </c>
      <c r="M280" t="s">
        <v>4130</v>
      </c>
      <c r="N280">
        <v>179</v>
      </c>
      <c r="O280">
        <v>0</v>
      </c>
      <c r="P280">
        <v>179</v>
      </c>
      <c r="Q280">
        <v>0</v>
      </c>
      <c r="R280">
        <v>0</v>
      </c>
    </row>
    <row r="281" spans="1:18" x14ac:dyDescent="0.3">
      <c r="A281">
        <v>1996</v>
      </c>
      <c r="B281" t="s">
        <v>1838</v>
      </c>
      <c r="C281" t="s">
        <v>4109</v>
      </c>
      <c r="D281" t="s">
        <v>159</v>
      </c>
      <c r="E281" t="s">
        <v>159</v>
      </c>
      <c r="F281">
        <v>8154</v>
      </c>
      <c r="G281" t="s">
        <v>4759</v>
      </c>
      <c r="H281" t="s">
        <v>4760</v>
      </c>
      <c r="I281" t="s">
        <v>4760</v>
      </c>
      <c r="K281" t="s">
        <v>4126</v>
      </c>
      <c r="L281" t="s">
        <v>2537</v>
      </c>
      <c r="M281" t="s">
        <v>4212</v>
      </c>
      <c r="N281">
        <v>47</v>
      </c>
      <c r="O281">
        <v>47</v>
      </c>
      <c r="P281">
        <v>0</v>
      </c>
      <c r="Q281">
        <v>0</v>
      </c>
      <c r="R281">
        <v>0</v>
      </c>
    </row>
    <row r="282" spans="1:18" x14ac:dyDescent="0.3">
      <c r="A282">
        <v>1996</v>
      </c>
      <c r="B282" t="s">
        <v>1838</v>
      </c>
      <c r="C282" t="s">
        <v>4109</v>
      </c>
      <c r="D282" t="s">
        <v>159</v>
      </c>
      <c r="E282" t="s">
        <v>159</v>
      </c>
      <c r="F282">
        <v>8154</v>
      </c>
      <c r="G282" t="s">
        <v>4759</v>
      </c>
      <c r="H282" t="s">
        <v>4761</v>
      </c>
      <c r="I282" t="s">
        <v>4761</v>
      </c>
      <c r="K282" t="s">
        <v>4126</v>
      </c>
      <c r="L282" t="s">
        <v>2537</v>
      </c>
      <c r="M282" t="s">
        <v>4130</v>
      </c>
      <c r="N282">
        <v>341</v>
      </c>
      <c r="O282">
        <v>0</v>
      </c>
      <c r="P282">
        <v>341</v>
      </c>
      <c r="Q282">
        <v>0</v>
      </c>
      <c r="R282">
        <v>0</v>
      </c>
    </row>
    <row r="283" spans="1:18" x14ac:dyDescent="0.3">
      <c r="A283">
        <v>1996</v>
      </c>
      <c r="B283" t="s">
        <v>1838</v>
      </c>
      <c r="C283" t="s">
        <v>4109</v>
      </c>
      <c r="D283" t="s">
        <v>159</v>
      </c>
      <c r="E283" t="s">
        <v>159</v>
      </c>
      <c r="F283">
        <v>8154</v>
      </c>
      <c r="G283" t="s">
        <v>4759</v>
      </c>
      <c r="H283" t="s">
        <v>4762</v>
      </c>
      <c r="I283" t="s">
        <v>4762</v>
      </c>
      <c r="K283" t="s">
        <v>4126</v>
      </c>
      <c r="L283" t="s">
        <v>2537</v>
      </c>
      <c r="M283" t="s">
        <v>4212</v>
      </c>
      <c r="N283">
        <v>91</v>
      </c>
      <c r="O283">
        <v>0</v>
      </c>
      <c r="P283">
        <v>91</v>
      </c>
      <c r="Q283">
        <v>0</v>
      </c>
      <c r="R283">
        <v>0</v>
      </c>
    </row>
    <row r="284" spans="1:18" x14ac:dyDescent="0.3">
      <c r="A284">
        <v>2000</v>
      </c>
      <c r="B284" t="s">
        <v>1839</v>
      </c>
      <c r="C284" t="s">
        <v>4109</v>
      </c>
      <c r="D284" t="s">
        <v>159</v>
      </c>
      <c r="E284" t="s">
        <v>159</v>
      </c>
      <c r="F284">
        <v>7709</v>
      </c>
      <c r="G284" t="s">
        <v>4763</v>
      </c>
      <c r="H284" t="s">
        <v>4390</v>
      </c>
      <c r="I284" t="s">
        <v>4133</v>
      </c>
      <c r="K284" t="s">
        <v>4135</v>
      </c>
      <c r="L284" t="s">
        <v>2530</v>
      </c>
      <c r="M284" t="s">
        <v>4130</v>
      </c>
      <c r="N284">
        <v>15942</v>
      </c>
      <c r="O284">
        <v>0</v>
      </c>
      <c r="P284">
        <v>1139</v>
      </c>
      <c r="Q284">
        <v>14343</v>
      </c>
    </row>
    <row r="285" spans="1:18" x14ac:dyDescent="0.3">
      <c r="A285">
        <v>2000</v>
      </c>
      <c r="B285" t="s">
        <v>1839</v>
      </c>
      <c r="C285" t="s">
        <v>4109</v>
      </c>
      <c r="D285" t="s">
        <v>159</v>
      </c>
      <c r="E285" t="s">
        <v>159</v>
      </c>
      <c r="F285">
        <v>7709</v>
      </c>
      <c r="G285" t="s">
        <v>4764</v>
      </c>
      <c r="H285" t="s">
        <v>4390</v>
      </c>
      <c r="I285" t="s">
        <v>4133</v>
      </c>
      <c r="K285" t="s">
        <v>4135</v>
      </c>
      <c r="L285" t="s">
        <v>2530</v>
      </c>
      <c r="M285" t="s">
        <v>4130</v>
      </c>
      <c r="N285">
        <v>3338</v>
      </c>
      <c r="O285">
        <v>0</v>
      </c>
      <c r="P285">
        <v>3098</v>
      </c>
      <c r="Q285">
        <v>240</v>
      </c>
    </row>
    <row r="286" spans="1:18" x14ac:dyDescent="0.3">
      <c r="A286">
        <v>2031</v>
      </c>
      <c r="B286" t="s">
        <v>4765</v>
      </c>
      <c r="C286" t="s">
        <v>4109</v>
      </c>
      <c r="D286" t="s">
        <v>1203</v>
      </c>
      <c r="E286" t="s">
        <v>1204</v>
      </c>
      <c r="F286">
        <v>8033</v>
      </c>
      <c r="G286" t="s">
        <v>4766</v>
      </c>
      <c r="H286" t="s">
        <v>4767</v>
      </c>
      <c r="I286" t="s">
        <v>3603</v>
      </c>
      <c r="J286" t="s">
        <v>4768</v>
      </c>
      <c r="K286" t="s">
        <v>4135</v>
      </c>
      <c r="L286" t="s">
        <v>2530</v>
      </c>
      <c r="M286" t="s">
        <v>4118</v>
      </c>
      <c r="N286">
        <v>1260</v>
      </c>
      <c r="O286">
        <v>1167</v>
      </c>
      <c r="P286">
        <v>62</v>
      </c>
      <c r="Q286">
        <v>0</v>
      </c>
      <c r="R286">
        <v>0</v>
      </c>
    </row>
    <row r="287" spans="1:18" x14ac:dyDescent="0.3">
      <c r="A287">
        <v>2033</v>
      </c>
      <c r="B287" t="s">
        <v>865</v>
      </c>
      <c r="C287" t="s">
        <v>4109</v>
      </c>
      <c r="D287" t="s">
        <v>1203</v>
      </c>
      <c r="E287" t="s">
        <v>1204</v>
      </c>
      <c r="F287">
        <v>5479</v>
      </c>
      <c r="G287" t="s">
        <v>4769</v>
      </c>
      <c r="H287" t="s">
        <v>3603</v>
      </c>
      <c r="I287" t="s">
        <v>4770</v>
      </c>
      <c r="K287" t="s">
        <v>4135</v>
      </c>
      <c r="L287" t="s">
        <v>2537</v>
      </c>
      <c r="M287" t="s">
        <v>4130</v>
      </c>
      <c r="N287">
        <v>3599.80544805</v>
      </c>
      <c r="O287">
        <v>3329.74331725</v>
      </c>
      <c r="P287">
        <v>211.75326165000001</v>
      </c>
      <c r="Q287">
        <v>58.30886915</v>
      </c>
      <c r="R287">
        <v>0</v>
      </c>
    </row>
    <row r="288" spans="1:18" x14ac:dyDescent="0.3">
      <c r="A288">
        <v>2033</v>
      </c>
      <c r="B288" t="s">
        <v>865</v>
      </c>
      <c r="C288" t="s">
        <v>4109</v>
      </c>
      <c r="D288" t="s">
        <v>1203</v>
      </c>
      <c r="E288" t="s">
        <v>1204</v>
      </c>
      <c r="F288">
        <v>5479</v>
      </c>
      <c r="G288" t="s">
        <v>4771</v>
      </c>
      <c r="H288" t="s">
        <v>3603</v>
      </c>
      <c r="I288" t="s">
        <v>4772</v>
      </c>
      <c r="K288" t="s">
        <v>4135</v>
      </c>
      <c r="L288" t="s">
        <v>2537</v>
      </c>
      <c r="M288" t="s">
        <v>4130</v>
      </c>
      <c r="N288">
        <v>7693.7018399500002</v>
      </c>
      <c r="O288">
        <v>7003.2020737000003</v>
      </c>
      <c r="P288">
        <v>690.49976624999999</v>
      </c>
      <c r="Q288">
        <v>0</v>
      </c>
      <c r="R288">
        <v>0</v>
      </c>
    </row>
    <row r="289" spans="1:18" x14ac:dyDescent="0.3">
      <c r="A289">
        <v>2035</v>
      </c>
      <c r="B289" t="s">
        <v>1843</v>
      </c>
      <c r="C289" t="s">
        <v>4109</v>
      </c>
      <c r="D289" t="s">
        <v>159</v>
      </c>
      <c r="E289" t="s">
        <v>159</v>
      </c>
      <c r="F289">
        <v>5747</v>
      </c>
      <c r="G289" t="s">
        <v>4773</v>
      </c>
      <c r="H289" t="s">
        <v>2197</v>
      </c>
      <c r="I289" t="s">
        <v>4774</v>
      </c>
      <c r="K289" t="s">
        <v>4112</v>
      </c>
      <c r="L289" t="s">
        <v>2530</v>
      </c>
      <c r="M289" t="s">
        <v>4118</v>
      </c>
      <c r="N289">
        <v>6620</v>
      </c>
      <c r="O289">
        <v>3813</v>
      </c>
      <c r="P289">
        <v>1806</v>
      </c>
      <c r="Q289">
        <v>0</v>
      </c>
      <c r="R289">
        <v>0</v>
      </c>
    </row>
    <row r="290" spans="1:18" x14ac:dyDescent="0.3">
      <c r="A290">
        <v>2037</v>
      </c>
      <c r="B290" t="s">
        <v>1845</v>
      </c>
      <c r="C290" t="s">
        <v>4109</v>
      </c>
      <c r="D290" t="s">
        <v>159</v>
      </c>
      <c r="E290" t="s">
        <v>159</v>
      </c>
      <c r="F290">
        <v>5619</v>
      </c>
      <c r="G290" t="s">
        <v>4775</v>
      </c>
      <c r="H290" t="s">
        <v>4425</v>
      </c>
      <c r="I290" t="s">
        <v>4776</v>
      </c>
      <c r="J290" t="s">
        <v>4777</v>
      </c>
      <c r="K290" t="s">
        <v>4117</v>
      </c>
      <c r="L290" t="s">
        <v>2530</v>
      </c>
      <c r="M290" t="s">
        <v>4130</v>
      </c>
      <c r="N290">
        <v>14623</v>
      </c>
      <c r="O290">
        <v>13767</v>
      </c>
      <c r="P290">
        <v>856</v>
      </c>
      <c r="Q290">
        <v>0</v>
      </c>
      <c r="R290">
        <v>0</v>
      </c>
    </row>
    <row r="291" spans="1:18" x14ac:dyDescent="0.3">
      <c r="A291">
        <v>2042</v>
      </c>
      <c r="B291" t="s">
        <v>1848</v>
      </c>
      <c r="C291" t="s">
        <v>4109</v>
      </c>
      <c r="D291" t="s">
        <v>1203</v>
      </c>
      <c r="E291" t="s">
        <v>1204</v>
      </c>
      <c r="F291">
        <v>7759</v>
      </c>
      <c r="G291" t="s">
        <v>4778</v>
      </c>
      <c r="H291" t="s">
        <v>4285</v>
      </c>
      <c r="I291" t="s">
        <v>4779</v>
      </c>
      <c r="K291" t="s">
        <v>4112</v>
      </c>
      <c r="L291" t="s">
        <v>2537</v>
      </c>
      <c r="M291" t="s">
        <v>4113</v>
      </c>
      <c r="N291">
        <v>1973.2948875500001</v>
      </c>
      <c r="O291">
        <v>1973.2948875500001</v>
      </c>
      <c r="P291">
        <v>0</v>
      </c>
      <c r="Q291">
        <v>0</v>
      </c>
      <c r="R291">
        <v>0</v>
      </c>
    </row>
    <row r="292" spans="1:18" x14ac:dyDescent="0.3">
      <c r="A292">
        <v>2049</v>
      </c>
      <c r="B292" t="s">
        <v>1849</v>
      </c>
      <c r="C292" t="s">
        <v>4109</v>
      </c>
      <c r="D292" t="s">
        <v>159</v>
      </c>
      <c r="E292" t="s">
        <v>159</v>
      </c>
      <c r="F292">
        <v>5727</v>
      </c>
      <c r="G292" t="s">
        <v>3532</v>
      </c>
      <c r="H292" t="s">
        <v>4780</v>
      </c>
      <c r="I292" t="s">
        <v>4331</v>
      </c>
      <c r="K292" t="s">
        <v>4135</v>
      </c>
      <c r="L292" t="s">
        <v>2530</v>
      </c>
      <c r="M292" t="s">
        <v>4130</v>
      </c>
      <c r="N292">
        <v>8115</v>
      </c>
      <c r="O292">
        <v>8115</v>
      </c>
      <c r="P292">
        <v>0</v>
      </c>
      <c r="Q292">
        <v>0</v>
      </c>
      <c r="R292">
        <v>0</v>
      </c>
    </row>
    <row r="293" spans="1:18" x14ac:dyDescent="0.3">
      <c r="A293">
        <v>2057</v>
      </c>
      <c r="B293" t="s">
        <v>1851</v>
      </c>
      <c r="C293" t="s">
        <v>4109</v>
      </c>
      <c r="D293" t="s">
        <v>159</v>
      </c>
      <c r="E293" t="s">
        <v>159</v>
      </c>
      <c r="F293">
        <v>5680</v>
      </c>
      <c r="G293" t="s">
        <v>4470</v>
      </c>
      <c r="H293" t="s">
        <v>4781</v>
      </c>
      <c r="I293" t="s">
        <v>4782</v>
      </c>
      <c r="K293" t="s">
        <v>4168</v>
      </c>
      <c r="L293" t="s">
        <v>2530</v>
      </c>
      <c r="M293" t="s">
        <v>4130</v>
      </c>
      <c r="N293">
        <v>1255</v>
      </c>
      <c r="P293">
        <v>1699</v>
      </c>
    </row>
    <row r="294" spans="1:18" x14ac:dyDescent="0.3">
      <c r="A294">
        <v>2057</v>
      </c>
      <c r="B294" t="s">
        <v>1851</v>
      </c>
      <c r="C294" t="s">
        <v>4109</v>
      </c>
      <c r="D294" t="s">
        <v>159</v>
      </c>
      <c r="E294" t="s">
        <v>159</v>
      </c>
      <c r="F294">
        <v>5680</v>
      </c>
      <c r="G294" t="s">
        <v>4783</v>
      </c>
      <c r="H294" t="s">
        <v>4784</v>
      </c>
      <c r="I294" t="s">
        <v>4785</v>
      </c>
      <c r="K294" t="s">
        <v>687</v>
      </c>
      <c r="L294" t="s">
        <v>2537</v>
      </c>
      <c r="M294" t="s">
        <v>4130</v>
      </c>
      <c r="N294">
        <v>79</v>
      </c>
      <c r="P294">
        <v>79</v>
      </c>
    </row>
    <row r="295" spans="1:18" x14ac:dyDescent="0.3">
      <c r="A295">
        <v>2063</v>
      </c>
      <c r="B295" t="s">
        <v>1852</v>
      </c>
      <c r="C295" t="s">
        <v>4109</v>
      </c>
      <c r="D295" t="s">
        <v>159</v>
      </c>
      <c r="E295" t="s">
        <v>159</v>
      </c>
      <c r="F295">
        <v>8043</v>
      </c>
      <c r="G295" t="s">
        <v>4786</v>
      </c>
      <c r="H295" t="s">
        <v>3603</v>
      </c>
      <c r="I295" t="s">
        <v>4787</v>
      </c>
      <c r="J295" t="s">
        <v>4788</v>
      </c>
      <c r="K295" t="s">
        <v>4135</v>
      </c>
      <c r="L295" t="s">
        <v>2537</v>
      </c>
      <c r="M295" t="s">
        <v>4130</v>
      </c>
      <c r="N295">
        <v>296</v>
      </c>
      <c r="O295">
        <v>288</v>
      </c>
      <c r="P295">
        <v>0</v>
      </c>
      <c r="Q295">
        <v>0</v>
      </c>
    </row>
    <row r="296" spans="1:18" x14ac:dyDescent="0.3">
      <c r="A296">
        <v>2063</v>
      </c>
      <c r="B296" t="s">
        <v>1852</v>
      </c>
      <c r="C296" t="s">
        <v>4109</v>
      </c>
      <c r="D296" t="s">
        <v>159</v>
      </c>
      <c r="E296" t="s">
        <v>159</v>
      </c>
      <c r="F296">
        <v>8043</v>
      </c>
      <c r="G296" t="s">
        <v>4789</v>
      </c>
      <c r="H296" t="s">
        <v>3603</v>
      </c>
      <c r="I296" t="s">
        <v>4790</v>
      </c>
      <c r="J296" t="s">
        <v>4791</v>
      </c>
      <c r="K296" t="s">
        <v>4135</v>
      </c>
      <c r="L296" t="s">
        <v>2537</v>
      </c>
      <c r="M296" t="s">
        <v>4118</v>
      </c>
      <c r="N296">
        <v>503</v>
      </c>
      <c r="O296">
        <v>447</v>
      </c>
      <c r="P296">
        <v>0</v>
      </c>
      <c r="Q296">
        <v>0</v>
      </c>
    </row>
    <row r="297" spans="1:18" x14ac:dyDescent="0.3">
      <c r="A297">
        <v>2074</v>
      </c>
      <c r="B297" t="s">
        <v>1853</v>
      </c>
      <c r="C297" t="s">
        <v>4109</v>
      </c>
      <c r="D297" t="s">
        <v>1203</v>
      </c>
      <c r="E297" t="s">
        <v>1204</v>
      </c>
      <c r="F297">
        <v>6341</v>
      </c>
      <c r="G297" t="s">
        <v>4792</v>
      </c>
      <c r="H297" t="s">
        <v>4793</v>
      </c>
      <c r="I297" t="s">
        <v>4285</v>
      </c>
      <c r="J297" t="s">
        <v>4794</v>
      </c>
      <c r="K297" t="s">
        <v>4112</v>
      </c>
      <c r="L297" t="s">
        <v>2537</v>
      </c>
      <c r="M297" t="s">
        <v>4113</v>
      </c>
      <c r="N297">
        <v>1568</v>
      </c>
      <c r="O297">
        <v>1568</v>
      </c>
      <c r="P297">
        <v>0</v>
      </c>
      <c r="Q297">
        <v>0</v>
      </c>
      <c r="R297">
        <v>0</v>
      </c>
    </row>
    <row r="298" spans="1:18" x14ac:dyDescent="0.3">
      <c r="A298">
        <v>2083</v>
      </c>
      <c r="B298" t="s">
        <v>1854</v>
      </c>
      <c r="C298" t="s">
        <v>4109</v>
      </c>
      <c r="D298" t="s">
        <v>159</v>
      </c>
      <c r="E298" t="s">
        <v>159</v>
      </c>
      <c r="F298">
        <v>5706</v>
      </c>
      <c r="G298" t="s">
        <v>4795</v>
      </c>
      <c r="H298">
        <v>1</v>
      </c>
      <c r="I298" t="s">
        <v>4331</v>
      </c>
      <c r="J298" t="s">
        <v>4796</v>
      </c>
      <c r="K298" t="s">
        <v>4135</v>
      </c>
      <c r="L298" t="s">
        <v>2530</v>
      </c>
      <c r="M298" t="s">
        <v>4130</v>
      </c>
      <c r="N298">
        <v>28435</v>
      </c>
      <c r="O298">
        <v>27981</v>
      </c>
      <c r="P298">
        <v>213</v>
      </c>
      <c r="Q298">
        <v>0</v>
      </c>
      <c r="R298">
        <v>0</v>
      </c>
    </row>
    <row r="299" spans="1:18" x14ac:dyDescent="0.3">
      <c r="A299">
        <v>2103</v>
      </c>
      <c r="B299" t="s">
        <v>1862</v>
      </c>
      <c r="C299" t="s">
        <v>4109</v>
      </c>
      <c r="D299" t="s">
        <v>159</v>
      </c>
      <c r="E299" t="s">
        <v>159</v>
      </c>
      <c r="F299">
        <v>8896</v>
      </c>
      <c r="G299" t="s">
        <v>4797</v>
      </c>
      <c r="H299" t="s">
        <v>4798</v>
      </c>
      <c r="I299" t="s">
        <v>4799</v>
      </c>
      <c r="J299" t="s">
        <v>4800</v>
      </c>
      <c r="K299" t="s">
        <v>4135</v>
      </c>
      <c r="L299" t="s">
        <v>2530</v>
      </c>
      <c r="M299" t="s">
        <v>4130</v>
      </c>
      <c r="N299">
        <v>16935</v>
      </c>
      <c r="O299">
        <v>0</v>
      </c>
      <c r="P299">
        <v>1429</v>
      </c>
      <c r="Q299">
        <v>15506</v>
      </c>
      <c r="R299">
        <v>0</v>
      </c>
    </row>
    <row r="300" spans="1:18" x14ac:dyDescent="0.3">
      <c r="A300">
        <v>2111</v>
      </c>
      <c r="B300" t="s">
        <v>868</v>
      </c>
      <c r="C300" t="s">
        <v>4109</v>
      </c>
      <c r="D300" t="s">
        <v>159</v>
      </c>
      <c r="E300" t="s">
        <v>159</v>
      </c>
      <c r="F300">
        <v>6887</v>
      </c>
      <c r="G300" t="s">
        <v>4801</v>
      </c>
      <c r="H300" t="s">
        <v>4288</v>
      </c>
      <c r="I300" t="s">
        <v>4133</v>
      </c>
      <c r="K300" t="s">
        <v>4135</v>
      </c>
      <c r="L300" t="s">
        <v>2530</v>
      </c>
      <c r="M300" t="s">
        <v>4130</v>
      </c>
      <c r="N300">
        <v>10001</v>
      </c>
      <c r="O300">
        <v>7902</v>
      </c>
      <c r="P300">
        <v>956</v>
      </c>
      <c r="Q300">
        <v>378</v>
      </c>
      <c r="R300">
        <v>4481</v>
      </c>
    </row>
    <row r="301" spans="1:18" x14ac:dyDescent="0.3">
      <c r="A301">
        <v>2111</v>
      </c>
      <c r="B301" t="s">
        <v>868</v>
      </c>
      <c r="C301" t="s">
        <v>4109</v>
      </c>
      <c r="D301" t="s">
        <v>159</v>
      </c>
      <c r="E301" t="s">
        <v>159</v>
      </c>
      <c r="F301">
        <v>6887</v>
      </c>
      <c r="G301" t="s">
        <v>4802</v>
      </c>
      <c r="H301" t="s">
        <v>4803</v>
      </c>
      <c r="I301" t="s">
        <v>4133</v>
      </c>
      <c r="K301" t="s">
        <v>4135</v>
      </c>
      <c r="L301" t="s">
        <v>2530</v>
      </c>
      <c r="M301" t="s">
        <v>4130</v>
      </c>
      <c r="N301">
        <v>9166</v>
      </c>
      <c r="O301">
        <v>6491</v>
      </c>
      <c r="P301">
        <v>2434</v>
      </c>
      <c r="Q301">
        <v>0</v>
      </c>
      <c r="R301">
        <v>0</v>
      </c>
    </row>
    <row r="302" spans="1:18" x14ac:dyDescent="0.3">
      <c r="A302">
        <v>2122</v>
      </c>
      <c r="B302" t="s">
        <v>1878</v>
      </c>
      <c r="C302" t="s">
        <v>4109</v>
      </c>
      <c r="D302" t="s">
        <v>1203</v>
      </c>
      <c r="E302" t="s">
        <v>1204</v>
      </c>
      <c r="F302">
        <v>7711</v>
      </c>
      <c r="G302" t="s">
        <v>4804</v>
      </c>
      <c r="H302" t="s">
        <v>4805</v>
      </c>
      <c r="I302" t="s">
        <v>4284</v>
      </c>
      <c r="J302" t="s">
        <v>4806</v>
      </c>
      <c r="K302" t="s">
        <v>4112</v>
      </c>
      <c r="L302" t="s">
        <v>2530</v>
      </c>
      <c r="M302" t="s">
        <v>4130</v>
      </c>
      <c r="N302">
        <v>306</v>
      </c>
      <c r="O302">
        <v>306</v>
      </c>
      <c r="P302">
        <v>0</v>
      </c>
      <c r="Q302">
        <v>0</v>
      </c>
    </row>
    <row r="303" spans="1:18" x14ac:dyDescent="0.3">
      <c r="A303">
        <v>2130</v>
      </c>
      <c r="B303" t="s">
        <v>1879</v>
      </c>
      <c r="C303" t="s">
        <v>4109</v>
      </c>
      <c r="D303" t="s">
        <v>159</v>
      </c>
      <c r="E303" t="s">
        <v>159</v>
      </c>
      <c r="F303">
        <v>6776</v>
      </c>
      <c r="G303" t="s">
        <v>4807</v>
      </c>
      <c r="H303" t="s">
        <v>4808</v>
      </c>
      <c r="I303" t="s">
        <v>3603</v>
      </c>
      <c r="K303" t="s">
        <v>4135</v>
      </c>
      <c r="L303" t="s">
        <v>2537</v>
      </c>
      <c r="N303">
        <v>0</v>
      </c>
      <c r="O303">
        <v>0</v>
      </c>
      <c r="P303">
        <v>0</v>
      </c>
      <c r="Q303">
        <v>0</v>
      </c>
      <c r="R303">
        <v>0</v>
      </c>
    </row>
    <row r="304" spans="1:18" x14ac:dyDescent="0.3">
      <c r="A304">
        <v>2130</v>
      </c>
      <c r="B304" t="s">
        <v>1879</v>
      </c>
      <c r="C304" t="s">
        <v>4109</v>
      </c>
      <c r="D304" t="s">
        <v>159</v>
      </c>
      <c r="E304" t="s">
        <v>159</v>
      </c>
      <c r="F304">
        <v>6776</v>
      </c>
      <c r="G304" t="s">
        <v>4809</v>
      </c>
      <c r="H304" t="s">
        <v>4810</v>
      </c>
      <c r="I304" t="s">
        <v>3603</v>
      </c>
      <c r="K304" t="s">
        <v>4135</v>
      </c>
      <c r="L304" t="s">
        <v>2537</v>
      </c>
      <c r="N304">
        <v>0</v>
      </c>
      <c r="O304">
        <v>0</v>
      </c>
      <c r="P304">
        <v>0</v>
      </c>
      <c r="Q304">
        <v>0</v>
      </c>
      <c r="R304">
        <v>0</v>
      </c>
    </row>
    <row r="305" spans="1:18" x14ac:dyDescent="0.3">
      <c r="A305">
        <v>2132</v>
      </c>
      <c r="B305" t="s">
        <v>772</v>
      </c>
      <c r="C305" t="s">
        <v>4109</v>
      </c>
      <c r="D305" t="s">
        <v>1203</v>
      </c>
      <c r="E305" t="s">
        <v>1204</v>
      </c>
      <c r="F305">
        <v>5606</v>
      </c>
      <c r="G305" t="s">
        <v>4811</v>
      </c>
      <c r="H305" t="s">
        <v>3603</v>
      </c>
      <c r="I305" t="s">
        <v>3603</v>
      </c>
      <c r="K305" t="s">
        <v>687</v>
      </c>
      <c r="L305" t="s">
        <v>2530</v>
      </c>
      <c r="M305" t="s">
        <v>4130</v>
      </c>
      <c r="N305">
        <v>19835</v>
      </c>
      <c r="O305">
        <v>18873</v>
      </c>
      <c r="P305">
        <v>962</v>
      </c>
      <c r="Q305">
        <v>0</v>
      </c>
      <c r="R305">
        <v>0</v>
      </c>
    </row>
    <row r="306" spans="1:18" x14ac:dyDescent="0.3">
      <c r="A306">
        <v>2150</v>
      </c>
      <c r="B306" t="s">
        <v>1889</v>
      </c>
      <c r="C306" t="s">
        <v>4109</v>
      </c>
      <c r="D306" t="s">
        <v>159</v>
      </c>
      <c r="E306" t="s">
        <v>159</v>
      </c>
      <c r="F306">
        <v>5758</v>
      </c>
      <c r="G306" t="s">
        <v>4812</v>
      </c>
      <c r="H306" t="s">
        <v>4373</v>
      </c>
      <c r="I306" t="s">
        <v>4813</v>
      </c>
      <c r="K306" t="s">
        <v>687</v>
      </c>
      <c r="L306" t="s">
        <v>2530</v>
      </c>
      <c r="M306" t="s">
        <v>4118</v>
      </c>
      <c r="N306">
        <v>23763</v>
      </c>
      <c r="O306">
        <v>23763</v>
      </c>
      <c r="P306">
        <v>0</v>
      </c>
      <c r="Q306">
        <v>0</v>
      </c>
      <c r="R306">
        <v>0</v>
      </c>
    </row>
    <row r="307" spans="1:18" x14ac:dyDescent="0.3">
      <c r="A307">
        <v>2158</v>
      </c>
      <c r="B307" t="s">
        <v>1900</v>
      </c>
      <c r="C307" t="s">
        <v>4109</v>
      </c>
      <c r="D307" t="s">
        <v>159</v>
      </c>
      <c r="E307" t="s">
        <v>159</v>
      </c>
      <c r="F307">
        <v>8141</v>
      </c>
      <c r="G307" t="s">
        <v>4814</v>
      </c>
      <c r="H307" t="s">
        <v>4815</v>
      </c>
      <c r="I307" t="s">
        <v>4816</v>
      </c>
      <c r="J307" t="s">
        <v>4817</v>
      </c>
      <c r="K307" t="s">
        <v>4135</v>
      </c>
      <c r="L307" t="s">
        <v>2537</v>
      </c>
      <c r="M307" t="s">
        <v>4130</v>
      </c>
      <c r="N307">
        <v>8108</v>
      </c>
      <c r="O307">
        <v>7544</v>
      </c>
      <c r="P307">
        <v>564</v>
      </c>
      <c r="Q307">
        <v>0</v>
      </c>
      <c r="R307">
        <v>28</v>
      </c>
    </row>
    <row r="308" spans="1:18" x14ac:dyDescent="0.3">
      <c r="A308">
        <v>2159</v>
      </c>
      <c r="B308" t="s">
        <v>1902</v>
      </c>
      <c r="C308" t="s">
        <v>4109</v>
      </c>
      <c r="D308" t="s">
        <v>159</v>
      </c>
      <c r="E308" t="s">
        <v>159</v>
      </c>
      <c r="F308">
        <v>8619</v>
      </c>
      <c r="G308" t="s">
        <v>4818</v>
      </c>
      <c r="H308" t="s">
        <v>4659</v>
      </c>
      <c r="I308" t="s">
        <v>4819</v>
      </c>
      <c r="K308" t="s">
        <v>4168</v>
      </c>
      <c r="L308" t="s">
        <v>2537</v>
      </c>
      <c r="M308" t="s">
        <v>4113</v>
      </c>
      <c r="N308">
        <v>4354</v>
      </c>
      <c r="O308">
        <v>3199</v>
      </c>
      <c r="P308">
        <v>1155</v>
      </c>
      <c r="Q308">
        <v>0</v>
      </c>
      <c r="R308">
        <v>0</v>
      </c>
    </row>
    <row r="309" spans="1:18" x14ac:dyDescent="0.3">
      <c r="A309">
        <v>2160</v>
      </c>
      <c r="B309" t="s">
        <v>1904</v>
      </c>
      <c r="C309" t="s">
        <v>4109</v>
      </c>
      <c r="D309" t="s">
        <v>1203</v>
      </c>
      <c r="E309" t="s">
        <v>1204</v>
      </c>
      <c r="F309">
        <v>7256</v>
      </c>
      <c r="G309" t="s">
        <v>4820</v>
      </c>
      <c r="H309" t="s">
        <v>4276</v>
      </c>
      <c r="I309" t="s">
        <v>4276</v>
      </c>
      <c r="K309" t="s">
        <v>4168</v>
      </c>
      <c r="L309" t="s">
        <v>2530</v>
      </c>
      <c r="M309" t="s">
        <v>4130</v>
      </c>
      <c r="N309">
        <v>7323</v>
      </c>
      <c r="O309">
        <v>4942</v>
      </c>
      <c r="P309">
        <v>2093</v>
      </c>
      <c r="Q309">
        <v>1694.2</v>
      </c>
    </row>
    <row r="310" spans="1:18" x14ac:dyDescent="0.3">
      <c r="A310">
        <v>2160</v>
      </c>
      <c r="B310" t="s">
        <v>1904</v>
      </c>
      <c r="C310" t="s">
        <v>4109</v>
      </c>
      <c r="D310" t="s">
        <v>1203</v>
      </c>
      <c r="E310" t="s">
        <v>1204</v>
      </c>
      <c r="F310">
        <v>7256</v>
      </c>
      <c r="G310" t="s">
        <v>4821</v>
      </c>
      <c r="H310" t="s">
        <v>4822</v>
      </c>
      <c r="I310" t="s">
        <v>4822</v>
      </c>
      <c r="K310" t="s">
        <v>687</v>
      </c>
      <c r="L310" t="s">
        <v>2530</v>
      </c>
      <c r="M310" t="s">
        <v>4130</v>
      </c>
      <c r="N310">
        <v>18208</v>
      </c>
      <c r="O310">
        <v>9256</v>
      </c>
      <c r="P310">
        <v>8300</v>
      </c>
      <c r="Q310">
        <v>771.4</v>
      </c>
    </row>
    <row r="311" spans="1:18" x14ac:dyDescent="0.3">
      <c r="A311">
        <v>2160</v>
      </c>
      <c r="B311" t="s">
        <v>1904</v>
      </c>
      <c r="C311" t="s">
        <v>4109</v>
      </c>
      <c r="D311" t="s">
        <v>1203</v>
      </c>
      <c r="E311" t="s">
        <v>1204</v>
      </c>
      <c r="F311">
        <v>7256</v>
      </c>
      <c r="G311" t="s">
        <v>4823</v>
      </c>
      <c r="H311" t="s">
        <v>4276</v>
      </c>
      <c r="I311" t="s">
        <v>4276</v>
      </c>
      <c r="K311" t="s">
        <v>4168</v>
      </c>
      <c r="L311" t="s">
        <v>2530</v>
      </c>
      <c r="N311">
        <v>164000</v>
      </c>
      <c r="O311">
        <v>164000</v>
      </c>
      <c r="P311">
        <v>0</v>
      </c>
      <c r="Q311">
        <v>0</v>
      </c>
    </row>
    <row r="312" spans="1:18" x14ac:dyDescent="0.3">
      <c r="A312">
        <v>2162</v>
      </c>
      <c r="B312" t="s">
        <v>1907</v>
      </c>
      <c r="C312" t="s">
        <v>4109</v>
      </c>
      <c r="D312" t="s">
        <v>159</v>
      </c>
      <c r="E312" t="s">
        <v>159</v>
      </c>
      <c r="F312">
        <v>7208</v>
      </c>
      <c r="G312" t="s">
        <v>4824</v>
      </c>
      <c r="H312" t="s">
        <v>4825</v>
      </c>
      <c r="I312" t="s">
        <v>4826</v>
      </c>
      <c r="K312" t="s">
        <v>4168</v>
      </c>
      <c r="L312" t="s">
        <v>2530</v>
      </c>
      <c r="M312" t="s">
        <v>4130</v>
      </c>
      <c r="N312">
        <v>3320</v>
      </c>
      <c r="O312">
        <v>1645</v>
      </c>
      <c r="P312">
        <v>642</v>
      </c>
      <c r="Q312">
        <v>859</v>
      </c>
    </row>
    <row r="313" spans="1:18" x14ac:dyDescent="0.3">
      <c r="A313">
        <v>2162</v>
      </c>
      <c r="B313" t="s">
        <v>1907</v>
      </c>
      <c r="C313" t="s">
        <v>4109</v>
      </c>
      <c r="D313" t="s">
        <v>159</v>
      </c>
      <c r="E313" t="s">
        <v>159</v>
      </c>
      <c r="F313">
        <v>7208</v>
      </c>
      <c r="G313" t="s">
        <v>4827</v>
      </c>
      <c r="H313" t="s">
        <v>4828</v>
      </c>
      <c r="I313" t="s">
        <v>4829</v>
      </c>
      <c r="K313" t="s">
        <v>4168</v>
      </c>
      <c r="L313" t="s">
        <v>2530</v>
      </c>
      <c r="M313" t="s">
        <v>4113</v>
      </c>
      <c r="N313">
        <v>11647</v>
      </c>
      <c r="O313">
        <v>11340</v>
      </c>
      <c r="P313">
        <v>0</v>
      </c>
      <c r="Q313">
        <v>306</v>
      </c>
    </row>
    <row r="314" spans="1:18" x14ac:dyDescent="0.3">
      <c r="A314">
        <v>2164</v>
      </c>
      <c r="B314" t="s">
        <v>1909</v>
      </c>
      <c r="C314" t="s">
        <v>4109</v>
      </c>
      <c r="D314" t="s">
        <v>159</v>
      </c>
      <c r="E314" t="s">
        <v>159</v>
      </c>
      <c r="F314">
        <v>6833</v>
      </c>
      <c r="G314" t="s">
        <v>4830</v>
      </c>
      <c r="H314" t="s">
        <v>4831</v>
      </c>
      <c r="I314" t="s">
        <v>4832</v>
      </c>
      <c r="J314" t="s">
        <v>4833</v>
      </c>
      <c r="K314" t="s">
        <v>4117</v>
      </c>
      <c r="L314" t="s">
        <v>2530</v>
      </c>
      <c r="M314" t="s">
        <v>4113</v>
      </c>
      <c r="N314">
        <v>62920</v>
      </c>
      <c r="O314">
        <v>58310</v>
      </c>
      <c r="P314">
        <v>0</v>
      </c>
      <c r="Q314">
        <v>0</v>
      </c>
      <c r="R314">
        <v>0</v>
      </c>
    </row>
    <row r="315" spans="1:18" x14ac:dyDescent="0.3">
      <c r="A315">
        <v>2164</v>
      </c>
      <c r="B315" t="s">
        <v>1909</v>
      </c>
      <c r="C315" t="s">
        <v>4109</v>
      </c>
      <c r="D315" t="s">
        <v>159</v>
      </c>
      <c r="E315" t="s">
        <v>159</v>
      </c>
      <c r="F315">
        <v>6833</v>
      </c>
      <c r="G315" t="s">
        <v>4834</v>
      </c>
      <c r="H315" t="s">
        <v>4791</v>
      </c>
      <c r="I315" t="s">
        <v>4835</v>
      </c>
      <c r="J315" t="s">
        <v>4836</v>
      </c>
      <c r="K315" t="s">
        <v>4168</v>
      </c>
      <c r="L315" t="s">
        <v>2530</v>
      </c>
      <c r="M315" t="s">
        <v>4113</v>
      </c>
      <c r="N315">
        <v>16300</v>
      </c>
      <c r="O315">
        <v>16790</v>
      </c>
      <c r="P315">
        <v>0</v>
      </c>
      <c r="Q315">
        <v>0</v>
      </c>
      <c r="R315">
        <v>0</v>
      </c>
    </row>
    <row r="316" spans="1:18" x14ac:dyDescent="0.3">
      <c r="A316">
        <v>2164</v>
      </c>
      <c r="B316" t="s">
        <v>1909</v>
      </c>
      <c r="C316" t="s">
        <v>4109</v>
      </c>
      <c r="D316" t="s">
        <v>159</v>
      </c>
      <c r="E316" t="s">
        <v>159</v>
      </c>
      <c r="F316">
        <v>6833</v>
      </c>
      <c r="G316" t="s">
        <v>4837</v>
      </c>
      <c r="H316" t="s">
        <v>4791</v>
      </c>
      <c r="I316" t="s">
        <v>4432</v>
      </c>
      <c r="J316" t="s">
        <v>4838</v>
      </c>
      <c r="K316" t="s">
        <v>4117</v>
      </c>
      <c r="L316" t="s">
        <v>2537</v>
      </c>
      <c r="M316" t="s">
        <v>4113</v>
      </c>
      <c r="N316">
        <v>370</v>
      </c>
      <c r="O316">
        <v>330</v>
      </c>
      <c r="P316">
        <v>0</v>
      </c>
      <c r="Q316">
        <v>0</v>
      </c>
      <c r="R316">
        <v>0</v>
      </c>
    </row>
    <row r="317" spans="1:18" x14ac:dyDescent="0.3">
      <c r="A317">
        <v>2164</v>
      </c>
      <c r="B317" t="s">
        <v>1909</v>
      </c>
      <c r="C317" t="s">
        <v>4109</v>
      </c>
      <c r="D317" t="s">
        <v>159</v>
      </c>
      <c r="E317" t="s">
        <v>159</v>
      </c>
      <c r="F317">
        <v>6833</v>
      </c>
      <c r="G317" t="s">
        <v>4839</v>
      </c>
      <c r="H317" t="s">
        <v>4840</v>
      </c>
      <c r="I317" t="s">
        <v>4425</v>
      </c>
      <c r="J317" t="s">
        <v>4841</v>
      </c>
      <c r="K317" t="s">
        <v>4117</v>
      </c>
      <c r="L317" t="s">
        <v>2537</v>
      </c>
      <c r="M317" t="s">
        <v>4113</v>
      </c>
      <c r="N317">
        <v>430</v>
      </c>
      <c r="O317">
        <v>430</v>
      </c>
      <c r="P317">
        <v>0</v>
      </c>
      <c r="Q317">
        <v>0</v>
      </c>
      <c r="R317">
        <v>0</v>
      </c>
    </row>
    <row r="318" spans="1:18" x14ac:dyDescent="0.3">
      <c r="A318">
        <v>2167</v>
      </c>
      <c r="B318" t="s">
        <v>1914</v>
      </c>
      <c r="C318" t="s">
        <v>4109</v>
      </c>
      <c r="D318" t="s">
        <v>159</v>
      </c>
      <c r="E318" t="s">
        <v>159</v>
      </c>
      <c r="F318">
        <v>5516</v>
      </c>
      <c r="G318" t="s">
        <v>4842</v>
      </c>
      <c r="H318" t="s">
        <v>2907</v>
      </c>
      <c r="I318" t="s">
        <v>2907</v>
      </c>
      <c r="K318" t="s">
        <v>4135</v>
      </c>
      <c r="L318" t="s">
        <v>2530</v>
      </c>
      <c r="M318" t="s">
        <v>4130</v>
      </c>
      <c r="N318">
        <v>7947</v>
      </c>
      <c r="O318">
        <v>12</v>
      </c>
      <c r="P318">
        <v>199</v>
      </c>
      <c r="Q318">
        <v>7736</v>
      </c>
    </row>
    <row r="319" spans="1:18" x14ac:dyDescent="0.3">
      <c r="A319">
        <v>2167</v>
      </c>
      <c r="B319" t="s">
        <v>1914</v>
      </c>
      <c r="C319" t="s">
        <v>4109</v>
      </c>
      <c r="D319" t="s">
        <v>159</v>
      </c>
      <c r="E319" t="s">
        <v>159</v>
      </c>
      <c r="F319">
        <v>5516</v>
      </c>
      <c r="G319" t="s">
        <v>4843</v>
      </c>
      <c r="H319" t="s">
        <v>2907</v>
      </c>
      <c r="I319" t="s">
        <v>2907</v>
      </c>
      <c r="K319" t="s">
        <v>4135</v>
      </c>
      <c r="L319" t="s">
        <v>2530</v>
      </c>
      <c r="M319" t="s">
        <v>4130</v>
      </c>
      <c r="N319">
        <v>49045</v>
      </c>
      <c r="O319">
        <v>6523</v>
      </c>
      <c r="P319">
        <v>1303</v>
      </c>
      <c r="Q319">
        <v>41219</v>
      </c>
    </row>
    <row r="320" spans="1:18" x14ac:dyDescent="0.3">
      <c r="A320">
        <v>2174</v>
      </c>
      <c r="B320" t="s">
        <v>1920</v>
      </c>
      <c r="C320" t="s">
        <v>4109</v>
      </c>
      <c r="D320" t="s">
        <v>159</v>
      </c>
      <c r="E320" t="s">
        <v>159</v>
      </c>
      <c r="F320">
        <v>7800</v>
      </c>
      <c r="G320" t="s">
        <v>4844</v>
      </c>
      <c r="H320" t="s">
        <v>4845</v>
      </c>
      <c r="I320" t="s">
        <v>4846</v>
      </c>
      <c r="J320">
        <v>2438014001</v>
      </c>
      <c r="K320" t="s">
        <v>4117</v>
      </c>
      <c r="L320" t="s">
        <v>2530</v>
      </c>
      <c r="M320" t="s">
        <v>4130</v>
      </c>
      <c r="N320">
        <v>10205</v>
      </c>
      <c r="O320">
        <v>8324</v>
      </c>
      <c r="P320">
        <v>4097</v>
      </c>
      <c r="Q320">
        <v>8474</v>
      </c>
      <c r="R320">
        <v>0</v>
      </c>
    </row>
    <row r="321" spans="1:18" x14ac:dyDescent="0.3">
      <c r="A321">
        <v>2180</v>
      </c>
      <c r="B321" t="s">
        <v>1927</v>
      </c>
      <c r="C321" t="s">
        <v>4109</v>
      </c>
      <c r="D321" t="s">
        <v>159</v>
      </c>
      <c r="E321" t="s">
        <v>159</v>
      </c>
      <c r="F321">
        <v>8652</v>
      </c>
      <c r="G321" t="s">
        <v>3715</v>
      </c>
      <c r="H321" t="s">
        <v>4847</v>
      </c>
      <c r="I321" t="s">
        <v>4848</v>
      </c>
      <c r="K321" t="s">
        <v>4126</v>
      </c>
      <c r="L321" t="s">
        <v>2530</v>
      </c>
      <c r="M321" t="s">
        <v>4130</v>
      </c>
      <c r="P321">
        <v>48</v>
      </c>
      <c r="Q321">
        <v>0</v>
      </c>
      <c r="R321">
        <v>0</v>
      </c>
    </row>
    <row r="322" spans="1:18" x14ac:dyDescent="0.3">
      <c r="A322">
        <v>2180</v>
      </c>
      <c r="B322" t="s">
        <v>1927</v>
      </c>
      <c r="C322" t="s">
        <v>4109</v>
      </c>
      <c r="D322" t="s">
        <v>159</v>
      </c>
      <c r="E322" t="s">
        <v>159</v>
      </c>
      <c r="F322">
        <v>8652</v>
      </c>
      <c r="G322" t="s">
        <v>3715</v>
      </c>
      <c r="H322" t="s">
        <v>4849</v>
      </c>
      <c r="I322" t="s">
        <v>4850</v>
      </c>
      <c r="K322" t="s">
        <v>4168</v>
      </c>
      <c r="L322" t="s">
        <v>2530</v>
      </c>
      <c r="M322" t="s">
        <v>4118</v>
      </c>
      <c r="N322">
        <v>128</v>
      </c>
      <c r="O322">
        <v>80</v>
      </c>
      <c r="Q322">
        <v>0</v>
      </c>
      <c r="R322">
        <v>0</v>
      </c>
    </row>
    <row r="323" spans="1:18" x14ac:dyDescent="0.3">
      <c r="A323">
        <v>2182</v>
      </c>
      <c r="B323" t="s">
        <v>1929</v>
      </c>
      <c r="C323" t="s">
        <v>4109</v>
      </c>
      <c r="D323" t="s">
        <v>159</v>
      </c>
      <c r="E323" t="s">
        <v>159</v>
      </c>
      <c r="F323">
        <v>6091</v>
      </c>
      <c r="G323" t="s">
        <v>4851</v>
      </c>
      <c r="H323" t="s">
        <v>4852</v>
      </c>
      <c r="I323" t="s">
        <v>4853</v>
      </c>
      <c r="J323" t="s">
        <v>4854</v>
      </c>
      <c r="K323" t="s">
        <v>4135</v>
      </c>
      <c r="L323" t="s">
        <v>2530</v>
      </c>
      <c r="M323" t="s">
        <v>4130</v>
      </c>
      <c r="N323">
        <v>3248</v>
      </c>
      <c r="O323">
        <v>3003</v>
      </c>
      <c r="P323">
        <v>245</v>
      </c>
      <c r="Q323">
        <v>0</v>
      </c>
      <c r="R323">
        <v>0</v>
      </c>
    </row>
    <row r="324" spans="1:18" x14ac:dyDescent="0.3">
      <c r="A324">
        <v>2205</v>
      </c>
      <c r="B324" t="s">
        <v>1931</v>
      </c>
      <c r="C324" t="s">
        <v>4109</v>
      </c>
      <c r="D324" t="s">
        <v>1203</v>
      </c>
      <c r="E324" t="s">
        <v>1204</v>
      </c>
      <c r="F324">
        <v>7516</v>
      </c>
      <c r="G324" t="s">
        <v>4855</v>
      </c>
      <c r="H324" t="s">
        <v>4855</v>
      </c>
      <c r="I324" t="s">
        <v>4856</v>
      </c>
      <c r="K324" t="s">
        <v>4126</v>
      </c>
      <c r="L324" t="s">
        <v>2537</v>
      </c>
      <c r="M324" t="s">
        <v>4113</v>
      </c>
      <c r="N324">
        <v>954.42412134999995</v>
      </c>
      <c r="O324">
        <v>0</v>
      </c>
      <c r="P324">
        <v>954.42412134999995</v>
      </c>
      <c r="Q324">
        <v>0</v>
      </c>
      <c r="R324">
        <v>0</v>
      </c>
    </row>
    <row r="325" spans="1:18" x14ac:dyDescent="0.3">
      <c r="A325">
        <v>2205</v>
      </c>
      <c r="B325" t="s">
        <v>1931</v>
      </c>
      <c r="C325" t="s">
        <v>4109</v>
      </c>
      <c r="D325" t="s">
        <v>1203</v>
      </c>
      <c r="E325" t="s">
        <v>1204</v>
      </c>
      <c r="F325">
        <v>7516</v>
      </c>
      <c r="G325" t="s">
        <v>4855</v>
      </c>
      <c r="H325" t="s">
        <v>4855</v>
      </c>
      <c r="I325" t="s">
        <v>4368</v>
      </c>
      <c r="K325" t="s">
        <v>4112</v>
      </c>
      <c r="L325" t="s">
        <v>2537</v>
      </c>
      <c r="M325" t="s">
        <v>4113</v>
      </c>
      <c r="N325">
        <v>1746.19718665</v>
      </c>
      <c r="O325">
        <v>0</v>
      </c>
      <c r="P325">
        <v>1746.19718665</v>
      </c>
      <c r="Q325">
        <v>0</v>
      </c>
      <c r="R325">
        <v>0</v>
      </c>
    </row>
    <row r="326" spans="1:18" x14ac:dyDescent="0.3">
      <c r="A326">
        <v>2209</v>
      </c>
      <c r="B326" t="s">
        <v>1938</v>
      </c>
      <c r="C326" t="s">
        <v>4109</v>
      </c>
      <c r="D326" t="s">
        <v>159</v>
      </c>
      <c r="E326" t="s">
        <v>159</v>
      </c>
      <c r="F326">
        <v>8884</v>
      </c>
      <c r="G326" t="s">
        <v>4857</v>
      </c>
      <c r="H326" t="s">
        <v>4858</v>
      </c>
      <c r="I326" t="s">
        <v>4276</v>
      </c>
      <c r="J326" t="s">
        <v>4650</v>
      </c>
      <c r="K326" t="s">
        <v>4168</v>
      </c>
      <c r="L326" t="s">
        <v>2530</v>
      </c>
      <c r="M326" t="s">
        <v>4118</v>
      </c>
      <c r="N326">
        <v>6444</v>
      </c>
      <c r="O326">
        <v>5499</v>
      </c>
      <c r="P326">
        <v>945</v>
      </c>
      <c r="Q326">
        <v>0</v>
      </c>
      <c r="R326">
        <v>0</v>
      </c>
    </row>
    <row r="327" spans="1:18" x14ac:dyDescent="0.3">
      <c r="A327">
        <v>2210</v>
      </c>
      <c r="B327" t="s">
        <v>1940</v>
      </c>
      <c r="C327" t="s">
        <v>4109</v>
      </c>
      <c r="D327" t="s">
        <v>159</v>
      </c>
      <c r="E327" t="s">
        <v>159</v>
      </c>
      <c r="F327">
        <v>5756</v>
      </c>
      <c r="G327" t="s">
        <v>4859</v>
      </c>
      <c r="H327" t="s">
        <v>4860</v>
      </c>
      <c r="I327" t="s">
        <v>4846</v>
      </c>
      <c r="J327">
        <v>2438014001</v>
      </c>
      <c r="K327" t="s">
        <v>4117</v>
      </c>
      <c r="L327" t="s">
        <v>2537</v>
      </c>
      <c r="M327" t="s">
        <v>4282</v>
      </c>
      <c r="N327">
        <v>113393</v>
      </c>
      <c r="O327">
        <v>92845</v>
      </c>
      <c r="P327">
        <v>3499</v>
      </c>
      <c r="Q327">
        <v>9072</v>
      </c>
      <c r="R327">
        <v>0</v>
      </c>
    </row>
    <row r="328" spans="1:18" x14ac:dyDescent="0.3">
      <c r="A328">
        <v>4993</v>
      </c>
      <c r="B328" t="s">
        <v>944</v>
      </c>
      <c r="C328" t="s">
        <v>4109</v>
      </c>
      <c r="D328" t="s">
        <v>159</v>
      </c>
      <c r="E328" t="s">
        <v>159</v>
      </c>
      <c r="F328">
        <v>8149</v>
      </c>
      <c r="G328" t="s">
        <v>4861</v>
      </c>
      <c r="H328" t="s">
        <v>4322</v>
      </c>
      <c r="I328" t="s">
        <v>4862</v>
      </c>
      <c r="J328" t="s">
        <v>4863</v>
      </c>
      <c r="K328" t="s">
        <v>4135</v>
      </c>
      <c r="L328" t="s">
        <v>2537</v>
      </c>
      <c r="M328" t="s">
        <v>4130</v>
      </c>
      <c r="N328">
        <v>6631</v>
      </c>
      <c r="O328">
        <v>5153</v>
      </c>
      <c r="P328">
        <v>0</v>
      </c>
      <c r="Q328">
        <v>0</v>
      </c>
    </row>
    <row r="329" spans="1:18" x14ac:dyDescent="0.3">
      <c r="A329">
        <v>4993</v>
      </c>
      <c r="B329" t="s">
        <v>944</v>
      </c>
      <c r="C329" t="s">
        <v>4109</v>
      </c>
      <c r="D329" t="s">
        <v>159</v>
      </c>
      <c r="E329" t="s">
        <v>159</v>
      </c>
      <c r="F329">
        <v>8149</v>
      </c>
      <c r="G329" t="s">
        <v>4864</v>
      </c>
      <c r="H329" t="s">
        <v>4322</v>
      </c>
      <c r="I329" t="s">
        <v>4865</v>
      </c>
      <c r="J329" t="s">
        <v>4866</v>
      </c>
      <c r="K329" t="s">
        <v>4135</v>
      </c>
      <c r="L329" t="s">
        <v>2537</v>
      </c>
      <c r="M329" t="s">
        <v>4130</v>
      </c>
      <c r="N329">
        <v>15312</v>
      </c>
      <c r="O329">
        <v>14775</v>
      </c>
      <c r="P329">
        <v>468</v>
      </c>
      <c r="Q329">
        <v>0</v>
      </c>
    </row>
    <row r="330" spans="1:18" x14ac:dyDescent="0.3">
      <c r="A330">
        <v>2213</v>
      </c>
      <c r="B330" t="s">
        <v>1944</v>
      </c>
      <c r="C330" t="s">
        <v>4109</v>
      </c>
      <c r="D330" t="s">
        <v>1203</v>
      </c>
      <c r="E330" t="s">
        <v>1204</v>
      </c>
      <c r="F330">
        <v>6652</v>
      </c>
      <c r="G330" t="s">
        <v>4335</v>
      </c>
      <c r="H330" t="s">
        <v>4867</v>
      </c>
      <c r="I330" t="s">
        <v>4868</v>
      </c>
      <c r="J330" t="s">
        <v>4869</v>
      </c>
      <c r="K330" t="s">
        <v>4168</v>
      </c>
      <c r="L330" t="s">
        <v>2530</v>
      </c>
      <c r="M330" t="s">
        <v>4113</v>
      </c>
      <c r="N330">
        <v>8019.0039520500004</v>
      </c>
      <c r="O330">
        <v>8019.0039520500004</v>
      </c>
      <c r="P330">
        <v>0</v>
      </c>
      <c r="Q330">
        <v>0</v>
      </c>
      <c r="R330">
        <v>0</v>
      </c>
    </row>
    <row r="331" spans="1:18" x14ac:dyDescent="0.3">
      <c r="A331">
        <v>2214</v>
      </c>
      <c r="B331" t="s">
        <v>1953</v>
      </c>
      <c r="C331" t="s">
        <v>4109</v>
      </c>
      <c r="D331" t="s">
        <v>1203</v>
      </c>
      <c r="E331" t="s">
        <v>1204</v>
      </c>
      <c r="F331">
        <v>5462</v>
      </c>
      <c r="G331" t="s">
        <v>4709</v>
      </c>
      <c r="H331" t="s">
        <v>4870</v>
      </c>
      <c r="I331" t="s">
        <v>4871</v>
      </c>
      <c r="J331" t="s">
        <v>4872</v>
      </c>
      <c r="K331" t="s">
        <v>4112</v>
      </c>
      <c r="L331" t="s">
        <v>2530</v>
      </c>
      <c r="M331" t="s">
        <v>4113</v>
      </c>
      <c r="N331">
        <v>205</v>
      </c>
      <c r="O331">
        <v>205</v>
      </c>
      <c r="P331">
        <v>0</v>
      </c>
      <c r="Q331">
        <v>0</v>
      </c>
      <c r="R331">
        <v>0</v>
      </c>
    </row>
    <row r="332" spans="1:18" x14ac:dyDescent="0.3">
      <c r="A332">
        <v>2214</v>
      </c>
      <c r="B332" t="s">
        <v>1953</v>
      </c>
      <c r="C332" t="s">
        <v>4109</v>
      </c>
      <c r="D332" t="s">
        <v>1203</v>
      </c>
      <c r="E332" t="s">
        <v>1204</v>
      </c>
      <c r="F332">
        <v>5462</v>
      </c>
      <c r="G332" t="s">
        <v>4873</v>
      </c>
      <c r="H332" t="s">
        <v>1275</v>
      </c>
      <c r="I332" t="s">
        <v>4874</v>
      </c>
      <c r="J332" t="s">
        <v>4875</v>
      </c>
      <c r="K332" t="s">
        <v>4126</v>
      </c>
      <c r="L332" t="s">
        <v>2530</v>
      </c>
      <c r="M332" t="s">
        <v>4130</v>
      </c>
      <c r="N332">
        <v>1443</v>
      </c>
      <c r="O332">
        <v>0</v>
      </c>
      <c r="P332">
        <v>501</v>
      </c>
      <c r="Q332">
        <v>942</v>
      </c>
      <c r="R332">
        <v>0</v>
      </c>
    </row>
    <row r="333" spans="1:18" x14ac:dyDescent="0.3">
      <c r="A333">
        <v>2214</v>
      </c>
      <c r="B333" t="s">
        <v>1953</v>
      </c>
      <c r="C333" t="s">
        <v>4109</v>
      </c>
      <c r="D333" t="s">
        <v>1203</v>
      </c>
      <c r="E333" t="s">
        <v>1204</v>
      </c>
      <c r="F333">
        <v>5462</v>
      </c>
      <c r="G333" t="s">
        <v>4876</v>
      </c>
      <c r="H333" t="s">
        <v>4870</v>
      </c>
      <c r="I333" t="s">
        <v>4877</v>
      </c>
      <c r="J333" t="s">
        <v>4878</v>
      </c>
      <c r="K333" t="s">
        <v>4112</v>
      </c>
      <c r="L333" t="s">
        <v>2530</v>
      </c>
      <c r="M333" t="s">
        <v>4113</v>
      </c>
      <c r="N333">
        <v>76</v>
      </c>
      <c r="O333">
        <v>76</v>
      </c>
      <c r="P333">
        <v>0</v>
      </c>
      <c r="Q333">
        <v>0</v>
      </c>
      <c r="R333">
        <v>0</v>
      </c>
    </row>
    <row r="334" spans="1:18" x14ac:dyDescent="0.3">
      <c r="A334">
        <v>2214</v>
      </c>
      <c r="B334" t="s">
        <v>1953</v>
      </c>
      <c r="C334" t="s">
        <v>4109</v>
      </c>
      <c r="D334" t="s">
        <v>1203</v>
      </c>
      <c r="E334" t="s">
        <v>1204</v>
      </c>
      <c r="F334">
        <v>5462</v>
      </c>
      <c r="G334" t="s">
        <v>4873</v>
      </c>
      <c r="H334" t="s">
        <v>4263</v>
      </c>
      <c r="I334" t="s">
        <v>4276</v>
      </c>
      <c r="J334" t="s">
        <v>4879</v>
      </c>
      <c r="K334" t="s">
        <v>4263</v>
      </c>
      <c r="L334" t="s">
        <v>2530</v>
      </c>
      <c r="M334" t="s">
        <v>4113</v>
      </c>
      <c r="N334">
        <v>3088</v>
      </c>
      <c r="O334">
        <v>1645</v>
      </c>
      <c r="P334">
        <v>0</v>
      </c>
      <c r="Q334">
        <v>0</v>
      </c>
      <c r="R334">
        <v>0</v>
      </c>
    </row>
    <row r="335" spans="1:18" x14ac:dyDescent="0.3">
      <c r="A335">
        <v>2217</v>
      </c>
      <c r="B335" t="s">
        <v>1955</v>
      </c>
      <c r="C335" t="s">
        <v>4109</v>
      </c>
      <c r="D335" t="s">
        <v>159</v>
      </c>
      <c r="E335" t="s">
        <v>159</v>
      </c>
      <c r="F335">
        <v>5768</v>
      </c>
      <c r="G335" t="s">
        <v>4880</v>
      </c>
      <c r="H335" t="s">
        <v>4659</v>
      </c>
      <c r="I335" t="s">
        <v>4881</v>
      </c>
      <c r="K335" t="s">
        <v>687</v>
      </c>
      <c r="L335" t="s">
        <v>2537</v>
      </c>
      <c r="M335" t="s">
        <v>4130</v>
      </c>
      <c r="N335">
        <v>1817</v>
      </c>
      <c r="O335">
        <v>140</v>
      </c>
      <c r="P335">
        <v>1677</v>
      </c>
      <c r="Q335">
        <v>0</v>
      </c>
      <c r="R335">
        <v>0</v>
      </c>
    </row>
    <row r="336" spans="1:18" x14ac:dyDescent="0.3">
      <c r="A336">
        <v>2217</v>
      </c>
      <c r="B336" t="s">
        <v>1955</v>
      </c>
      <c r="C336" t="s">
        <v>4109</v>
      </c>
      <c r="D336" t="s">
        <v>159</v>
      </c>
      <c r="E336" t="s">
        <v>159</v>
      </c>
      <c r="F336">
        <v>5768</v>
      </c>
      <c r="G336" t="s">
        <v>4882</v>
      </c>
      <c r="H336" t="s">
        <v>4659</v>
      </c>
      <c r="I336" t="s">
        <v>4881</v>
      </c>
      <c r="K336" t="s">
        <v>4168</v>
      </c>
      <c r="L336" t="s">
        <v>2530</v>
      </c>
      <c r="M336" t="s">
        <v>4130</v>
      </c>
      <c r="N336">
        <v>6178</v>
      </c>
      <c r="O336">
        <v>1939</v>
      </c>
      <c r="P336">
        <v>4239</v>
      </c>
      <c r="Q336">
        <v>0</v>
      </c>
      <c r="R336">
        <v>0</v>
      </c>
    </row>
    <row r="337" spans="1:18" x14ac:dyDescent="0.3">
      <c r="A337">
        <v>2218</v>
      </c>
      <c r="B337" t="s">
        <v>1959</v>
      </c>
      <c r="C337" t="s">
        <v>4109</v>
      </c>
      <c r="D337" t="s">
        <v>159</v>
      </c>
      <c r="E337" t="s">
        <v>159</v>
      </c>
      <c r="F337">
        <v>5796</v>
      </c>
      <c r="G337" t="s">
        <v>4883</v>
      </c>
      <c r="H337" t="s">
        <v>4884</v>
      </c>
      <c r="I337" t="s">
        <v>4885</v>
      </c>
      <c r="J337" t="s">
        <v>4886</v>
      </c>
      <c r="K337" t="s">
        <v>4112</v>
      </c>
      <c r="L337" t="s">
        <v>2530</v>
      </c>
      <c r="M337" t="s">
        <v>4113</v>
      </c>
      <c r="N337">
        <v>8204</v>
      </c>
      <c r="O337">
        <v>8204</v>
      </c>
      <c r="P337">
        <v>0</v>
      </c>
      <c r="Q337">
        <v>0</v>
      </c>
      <c r="R337">
        <v>0</v>
      </c>
    </row>
    <row r="338" spans="1:18" x14ac:dyDescent="0.3">
      <c r="A338">
        <v>2222</v>
      </c>
      <c r="B338" t="s">
        <v>1964</v>
      </c>
      <c r="C338" t="s">
        <v>4109</v>
      </c>
      <c r="D338" t="s">
        <v>159</v>
      </c>
      <c r="E338" t="s">
        <v>159</v>
      </c>
      <c r="F338">
        <v>8142</v>
      </c>
      <c r="G338" t="s">
        <v>4887</v>
      </c>
      <c r="H338" t="s">
        <v>4888</v>
      </c>
      <c r="I338" t="s">
        <v>4889</v>
      </c>
      <c r="J338" s="338">
        <v>100000849</v>
      </c>
      <c r="K338" t="s">
        <v>4126</v>
      </c>
      <c r="L338" t="s">
        <v>2537</v>
      </c>
      <c r="M338" t="s">
        <v>4130</v>
      </c>
      <c r="N338">
        <v>2806</v>
      </c>
      <c r="O338">
        <v>2155</v>
      </c>
      <c r="P338">
        <v>53</v>
      </c>
      <c r="Q338">
        <v>0</v>
      </c>
      <c r="R338">
        <v>0</v>
      </c>
    </row>
    <row r="339" spans="1:18" x14ac:dyDescent="0.3">
      <c r="A339">
        <v>2224</v>
      </c>
      <c r="B339" t="s">
        <v>1966</v>
      </c>
      <c r="C339" t="s">
        <v>4109</v>
      </c>
      <c r="D339" t="s">
        <v>159</v>
      </c>
      <c r="E339" t="s">
        <v>159</v>
      </c>
      <c r="F339">
        <v>8051</v>
      </c>
      <c r="G339" t="s">
        <v>4797</v>
      </c>
      <c r="H339" t="s">
        <v>4890</v>
      </c>
      <c r="I339" t="s">
        <v>4799</v>
      </c>
      <c r="J339" t="s">
        <v>4891</v>
      </c>
      <c r="K339" t="s">
        <v>4135</v>
      </c>
      <c r="L339" t="s">
        <v>2530</v>
      </c>
      <c r="M339" t="s">
        <v>4130</v>
      </c>
      <c r="N339">
        <v>16935</v>
      </c>
      <c r="O339">
        <v>0</v>
      </c>
      <c r="P339">
        <v>110</v>
      </c>
      <c r="Q339">
        <v>16825</v>
      </c>
      <c r="R339">
        <v>0</v>
      </c>
    </row>
    <row r="340" spans="1:18" x14ac:dyDescent="0.3">
      <c r="A340">
        <v>2237</v>
      </c>
      <c r="B340" t="s">
        <v>1969</v>
      </c>
      <c r="C340" t="s">
        <v>4109</v>
      </c>
      <c r="D340" t="s">
        <v>159</v>
      </c>
      <c r="E340" t="s">
        <v>159</v>
      </c>
      <c r="F340">
        <v>8659</v>
      </c>
      <c r="G340" t="s">
        <v>3715</v>
      </c>
      <c r="H340" t="s">
        <v>4475</v>
      </c>
      <c r="I340" t="s">
        <v>4892</v>
      </c>
      <c r="K340" t="s">
        <v>4126</v>
      </c>
      <c r="L340" t="s">
        <v>2530</v>
      </c>
      <c r="M340" t="s">
        <v>4130</v>
      </c>
      <c r="P340">
        <v>130</v>
      </c>
    </row>
    <row r="341" spans="1:18" x14ac:dyDescent="0.3">
      <c r="A341">
        <v>2237</v>
      </c>
      <c r="B341" t="s">
        <v>1969</v>
      </c>
      <c r="C341" t="s">
        <v>4109</v>
      </c>
      <c r="D341" t="s">
        <v>159</v>
      </c>
      <c r="E341" t="s">
        <v>159</v>
      </c>
      <c r="F341">
        <v>8659</v>
      </c>
      <c r="G341" t="s">
        <v>3715</v>
      </c>
      <c r="H341" t="s">
        <v>4849</v>
      </c>
      <c r="I341" t="s">
        <v>4850</v>
      </c>
      <c r="K341" t="s">
        <v>4168</v>
      </c>
      <c r="L341" t="s">
        <v>2530</v>
      </c>
      <c r="M341" t="s">
        <v>4118</v>
      </c>
      <c r="N341">
        <v>845</v>
      </c>
      <c r="O341">
        <v>557</v>
      </c>
    </row>
    <row r="342" spans="1:18" x14ac:dyDescent="0.3">
      <c r="A342">
        <v>2237</v>
      </c>
      <c r="B342" t="s">
        <v>1969</v>
      </c>
      <c r="C342" t="s">
        <v>4109</v>
      </c>
      <c r="D342" t="s">
        <v>159</v>
      </c>
      <c r="E342" t="s">
        <v>159</v>
      </c>
      <c r="F342">
        <v>8659</v>
      </c>
      <c r="G342" t="s">
        <v>3715</v>
      </c>
      <c r="H342" t="s">
        <v>4475</v>
      </c>
      <c r="I342" t="s">
        <v>4848</v>
      </c>
      <c r="K342" t="s">
        <v>4126</v>
      </c>
      <c r="L342" t="s">
        <v>2530</v>
      </c>
      <c r="M342" t="s">
        <v>4130</v>
      </c>
      <c r="Q342">
        <v>48</v>
      </c>
    </row>
    <row r="343" spans="1:18" x14ac:dyDescent="0.3">
      <c r="A343">
        <v>2237</v>
      </c>
      <c r="B343" t="s">
        <v>1969</v>
      </c>
      <c r="C343" t="s">
        <v>4109</v>
      </c>
      <c r="D343" t="s">
        <v>159</v>
      </c>
      <c r="E343" t="s">
        <v>159</v>
      </c>
      <c r="F343">
        <v>8659</v>
      </c>
      <c r="G343" t="s">
        <v>3715</v>
      </c>
      <c r="H343" t="s">
        <v>4893</v>
      </c>
      <c r="I343" t="s">
        <v>4894</v>
      </c>
      <c r="K343" t="s">
        <v>4126</v>
      </c>
      <c r="L343" t="s">
        <v>2530</v>
      </c>
      <c r="M343" t="s">
        <v>4118</v>
      </c>
      <c r="Q343">
        <v>110</v>
      </c>
      <c r="R343">
        <v>0</v>
      </c>
    </row>
    <row r="344" spans="1:18" x14ac:dyDescent="0.3">
      <c r="A344">
        <v>2260</v>
      </c>
      <c r="B344" t="s">
        <v>1976</v>
      </c>
      <c r="C344" t="s">
        <v>4109</v>
      </c>
      <c r="D344" t="s">
        <v>159</v>
      </c>
      <c r="E344" t="s">
        <v>159</v>
      </c>
      <c r="F344">
        <v>7916</v>
      </c>
      <c r="G344" t="s">
        <v>4895</v>
      </c>
      <c r="H344" t="s">
        <v>4896</v>
      </c>
      <c r="I344" t="s">
        <v>4897</v>
      </c>
      <c r="J344" t="s">
        <v>4898</v>
      </c>
      <c r="K344" t="s">
        <v>4112</v>
      </c>
      <c r="L344" t="s">
        <v>2530</v>
      </c>
      <c r="M344" t="s">
        <v>4118</v>
      </c>
      <c r="N344">
        <v>1743.1282988</v>
      </c>
      <c r="O344">
        <v>1743.1282988</v>
      </c>
      <c r="P344">
        <v>0</v>
      </c>
      <c r="Q344">
        <v>0</v>
      </c>
      <c r="R344">
        <v>0</v>
      </c>
    </row>
    <row r="345" spans="1:18" x14ac:dyDescent="0.3">
      <c r="A345">
        <v>2273</v>
      </c>
      <c r="B345" t="s">
        <v>889</v>
      </c>
      <c r="C345" t="s">
        <v>4109</v>
      </c>
      <c r="D345" t="s">
        <v>159</v>
      </c>
      <c r="E345" t="s">
        <v>159</v>
      </c>
      <c r="F345">
        <v>5534</v>
      </c>
      <c r="G345" t="s">
        <v>4899</v>
      </c>
      <c r="H345" t="s">
        <v>4900</v>
      </c>
      <c r="I345" t="s">
        <v>4901</v>
      </c>
      <c r="K345" t="s">
        <v>4135</v>
      </c>
      <c r="L345" t="s">
        <v>2537</v>
      </c>
      <c r="M345" t="s">
        <v>4130</v>
      </c>
      <c r="N345">
        <v>849</v>
      </c>
      <c r="O345">
        <v>754</v>
      </c>
      <c r="P345">
        <v>95</v>
      </c>
      <c r="Q345">
        <v>0</v>
      </c>
      <c r="R345">
        <v>0</v>
      </c>
    </row>
    <row r="346" spans="1:18" x14ac:dyDescent="0.3">
      <c r="A346">
        <v>2323</v>
      </c>
      <c r="B346" t="s">
        <v>1983</v>
      </c>
      <c r="C346" t="s">
        <v>4109</v>
      </c>
      <c r="D346" t="s">
        <v>159</v>
      </c>
      <c r="E346" t="s">
        <v>159</v>
      </c>
      <c r="F346">
        <v>5912</v>
      </c>
      <c r="G346" t="s">
        <v>4902</v>
      </c>
      <c r="H346" t="s">
        <v>4903</v>
      </c>
      <c r="I346" t="s">
        <v>4904</v>
      </c>
      <c r="K346" t="s">
        <v>4112</v>
      </c>
      <c r="L346" t="s">
        <v>2530</v>
      </c>
      <c r="M346" t="s">
        <v>4130</v>
      </c>
      <c r="N346">
        <v>103</v>
      </c>
      <c r="O346">
        <v>99</v>
      </c>
      <c r="P346">
        <v>0</v>
      </c>
      <c r="Q346">
        <v>0</v>
      </c>
    </row>
    <row r="347" spans="1:18" x14ac:dyDescent="0.3">
      <c r="A347">
        <v>2330</v>
      </c>
      <c r="B347" t="s">
        <v>1987</v>
      </c>
      <c r="C347" t="s">
        <v>4109</v>
      </c>
      <c r="D347" t="s">
        <v>159</v>
      </c>
      <c r="E347" t="s">
        <v>159</v>
      </c>
      <c r="F347">
        <v>7828</v>
      </c>
      <c r="G347" t="s">
        <v>4905</v>
      </c>
      <c r="I347" t="s">
        <v>4906</v>
      </c>
      <c r="K347" t="s">
        <v>687</v>
      </c>
      <c r="L347" t="s">
        <v>2530</v>
      </c>
      <c r="M347" t="s">
        <v>4113</v>
      </c>
      <c r="N347">
        <v>1.2999999999999999E-5</v>
      </c>
    </row>
    <row r="348" spans="1:18" x14ac:dyDescent="0.3">
      <c r="A348">
        <v>2334</v>
      </c>
      <c r="B348" t="s">
        <v>1990</v>
      </c>
      <c r="C348" t="s">
        <v>4109</v>
      </c>
      <c r="D348" t="s">
        <v>159</v>
      </c>
      <c r="E348" t="s">
        <v>159</v>
      </c>
      <c r="F348">
        <v>5637</v>
      </c>
      <c r="G348" t="s">
        <v>4907</v>
      </c>
      <c r="H348" t="s">
        <v>4908</v>
      </c>
      <c r="I348" t="s">
        <v>4909</v>
      </c>
      <c r="K348" t="s">
        <v>4168</v>
      </c>
      <c r="L348" t="s">
        <v>2530</v>
      </c>
      <c r="M348" t="s">
        <v>4212</v>
      </c>
      <c r="N348">
        <v>3035</v>
      </c>
      <c r="O348">
        <v>2190</v>
      </c>
      <c r="P348">
        <v>845</v>
      </c>
      <c r="Q348">
        <v>0</v>
      </c>
      <c r="R348">
        <v>0</v>
      </c>
    </row>
    <row r="349" spans="1:18" x14ac:dyDescent="0.3">
      <c r="A349">
        <v>2337</v>
      </c>
      <c r="B349" t="s">
        <v>1993</v>
      </c>
      <c r="C349" t="s">
        <v>4109</v>
      </c>
      <c r="D349" t="s">
        <v>1203</v>
      </c>
      <c r="E349" t="s">
        <v>1204</v>
      </c>
      <c r="F349">
        <v>5742</v>
      </c>
      <c r="G349" t="s">
        <v>4910</v>
      </c>
      <c r="H349">
        <v>246251</v>
      </c>
      <c r="I349" t="s">
        <v>4298</v>
      </c>
      <c r="J349" t="s">
        <v>4911</v>
      </c>
      <c r="K349" t="s">
        <v>4135</v>
      </c>
      <c r="L349" t="s">
        <v>2530</v>
      </c>
      <c r="M349" t="s">
        <v>4118</v>
      </c>
      <c r="N349">
        <v>1862.81492495</v>
      </c>
      <c r="O349">
        <v>1862.81492495</v>
      </c>
      <c r="P349">
        <v>0</v>
      </c>
      <c r="Q349">
        <v>0</v>
      </c>
    </row>
    <row r="350" spans="1:18" x14ac:dyDescent="0.3">
      <c r="A350">
        <v>2348</v>
      </c>
      <c r="B350" t="s">
        <v>1998</v>
      </c>
      <c r="C350" t="s">
        <v>4109</v>
      </c>
      <c r="D350" t="s">
        <v>159</v>
      </c>
      <c r="E350" t="s">
        <v>159</v>
      </c>
      <c r="F350">
        <v>6953</v>
      </c>
      <c r="G350" t="s">
        <v>4912</v>
      </c>
      <c r="H350" t="s">
        <v>4913</v>
      </c>
      <c r="I350" t="s">
        <v>4914</v>
      </c>
      <c r="K350" t="s">
        <v>4469</v>
      </c>
      <c r="L350" t="s">
        <v>2537</v>
      </c>
      <c r="M350" t="s">
        <v>4118</v>
      </c>
      <c r="N350">
        <v>3498</v>
      </c>
      <c r="O350">
        <v>0</v>
      </c>
      <c r="P350">
        <v>0</v>
      </c>
      <c r="Q350">
        <v>3351</v>
      </c>
      <c r="R350">
        <v>0</v>
      </c>
    </row>
    <row r="351" spans="1:18" x14ac:dyDescent="0.3">
      <c r="A351">
        <v>2348</v>
      </c>
      <c r="B351" t="s">
        <v>1998</v>
      </c>
      <c r="C351" t="s">
        <v>4109</v>
      </c>
      <c r="D351" t="s">
        <v>159</v>
      </c>
      <c r="E351" t="s">
        <v>159</v>
      </c>
      <c r="F351">
        <v>6953</v>
      </c>
      <c r="G351" t="s">
        <v>4912</v>
      </c>
      <c r="H351" t="s">
        <v>4915</v>
      </c>
      <c r="I351" t="s">
        <v>4916</v>
      </c>
      <c r="K351" t="s">
        <v>4126</v>
      </c>
      <c r="L351" t="s">
        <v>2537</v>
      </c>
      <c r="M351" t="s">
        <v>4118</v>
      </c>
      <c r="N351">
        <v>0</v>
      </c>
      <c r="O351">
        <v>0</v>
      </c>
      <c r="P351">
        <v>0</v>
      </c>
      <c r="Q351">
        <v>147</v>
      </c>
      <c r="R351">
        <v>0</v>
      </c>
    </row>
    <row r="352" spans="1:18" x14ac:dyDescent="0.3">
      <c r="A352">
        <v>2381</v>
      </c>
      <c r="B352" t="s">
        <v>2000</v>
      </c>
      <c r="C352" t="s">
        <v>4109</v>
      </c>
      <c r="D352" t="s">
        <v>159</v>
      </c>
      <c r="E352" t="s">
        <v>159</v>
      </c>
      <c r="F352">
        <v>7791</v>
      </c>
      <c r="G352" t="s">
        <v>4917</v>
      </c>
      <c r="H352" t="s">
        <v>2895</v>
      </c>
      <c r="I352" t="s">
        <v>2904</v>
      </c>
      <c r="K352" t="s">
        <v>4135</v>
      </c>
      <c r="L352" t="s">
        <v>2530</v>
      </c>
      <c r="M352" t="s">
        <v>4130</v>
      </c>
      <c r="N352">
        <v>26111</v>
      </c>
      <c r="O352">
        <v>26111</v>
      </c>
      <c r="P352">
        <v>0</v>
      </c>
      <c r="Q352">
        <v>0</v>
      </c>
      <c r="R352">
        <v>0</v>
      </c>
    </row>
    <row r="353" spans="1:18" x14ac:dyDescent="0.3">
      <c r="A353">
        <v>2424</v>
      </c>
      <c r="B353" t="s">
        <v>2010</v>
      </c>
      <c r="C353" t="s">
        <v>4109</v>
      </c>
      <c r="D353" t="s">
        <v>159</v>
      </c>
      <c r="E353" t="s">
        <v>159</v>
      </c>
      <c r="F353">
        <v>7812</v>
      </c>
      <c r="G353" t="s">
        <v>4918</v>
      </c>
      <c r="H353" t="s">
        <v>4285</v>
      </c>
      <c r="I353" t="s">
        <v>4919</v>
      </c>
      <c r="K353" t="s">
        <v>4112</v>
      </c>
      <c r="L353" t="s">
        <v>2537</v>
      </c>
      <c r="M353" t="s">
        <v>4113</v>
      </c>
      <c r="N353">
        <v>180</v>
      </c>
      <c r="O353">
        <v>178</v>
      </c>
      <c r="P353">
        <v>0</v>
      </c>
      <c r="Q353">
        <v>0</v>
      </c>
      <c r="R353">
        <v>0</v>
      </c>
    </row>
    <row r="354" spans="1:18" x14ac:dyDescent="0.3">
      <c r="A354">
        <v>2425</v>
      </c>
      <c r="B354" t="s">
        <v>2012</v>
      </c>
      <c r="C354" t="s">
        <v>4109</v>
      </c>
      <c r="D354" t="s">
        <v>159</v>
      </c>
      <c r="E354" t="s">
        <v>159</v>
      </c>
      <c r="F354">
        <v>6886</v>
      </c>
      <c r="G354" t="s">
        <v>4920</v>
      </c>
      <c r="H354" t="s">
        <v>4921</v>
      </c>
      <c r="I354" t="s">
        <v>4922</v>
      </c>
      <c r="K354" t="s">
        <v>4117</v>
      </c>
      <c r="L354" t="s">
        <v>2537</v>
      </c>
      <c r="M354" t="s">
        <v>4130</v>
      </c>
      <c r="N354">
        <v>14332</v>
      </c>
      <c r="O354">
        <v>12183</v>
      </c>
      <c r="P354">
        <v>713</v>
      </c>
      <c r="Q354">
        <v>281</v>
      </c>
    </row>
    <row r="355" spans="1:18" x14ac:dyDescent="0.3">
      <c r="A355">
        <v>2438</v>
      </c>
      <c r="B355" t="s">
        <v>2016</v>
      </c>
      <c r="C355" t="s">
        <v>4109</v>
      </c>
      <c r="D355" t="s">
        <v>1203</v>
      </c>
      <c r="E355" t="s">
        <v>1204</v>
      </c>
      <c r="F355">
        <v>7986</v>
      </c>
      <c r="G355" t="s">
        <v>4923</v>
      </c>
      <c r="H355" t="s">
        <v>4924</v>
      </c>
      <c r="I355" t="s">
        <v>4135</v>
      </c>
      <c r="J355" t="s">
        <v>1203</v>
      </c>
      <c r="K355" t="s">
        <v>4135</v>
      </c>
      <c r="L355" t="s">
        <v>2537</v>
      </c>
      <c r="M355" t="s">
        <v>4130</v>
      </c>
      <c r="N355">
        <v>393</v>
      </c>
      <c r="O355">
        <v>246</v>
      </c>
      <c r="P355">
        <v>61</v>
      </c>
      <c r="Q355">
        <v>0</v>
      </c>
      <c r="R355">
        <v>0</v>
      </c>
    </row>
    <row r="356" spans="1:18" x14ac:dyDescent="0.3">
      <c r="A356">
        <v>1408</v>
      </c>
      <c r="B356" t="s">
        <v>2021</v>
      </c>
      <c r="C356" t="s">
        <v>4109</v>
      </c>
      <c r="D356" t="s">
        <v>1203</v>
      </c>
      <c r="E356" t="s">
        <v>1204</v>
      </c>
      <c r="F356">
        <v>5825</v>
      </c>
      <c r="G356" t="s">
        <v>4925</v>
      </c>
      <c r="H356" t="s">
        <v>4926</v>
      </c>
      <c r="I356" t="s">
        <v>4927</v>
      </c>
      <c r="K356" t="s">
        <v>4112</v>
      </c>
      <c r="L356" t="s">
        <v>2537</v>
      </c>
      <c r="M356" t="s">
        <v>4130</v>
      </c>
      <c r="N356">
        <v>1302</v>
      </c>
      <c r="O356">
        <v>1147</v>
      </c>
      <c r="P356">
        <v>155</v>
      </c>
    </row>
    <row r="357" spans="1:18" x14ac:dyDescent="0.3">
      <c r="B357" t="s">
        <v>2023</v>
      </c>
      <c r="C357" t="s">
        <v>4109</v>
      </c>
      <c r="D357" t="s">
        <v>159</v>
      </c>
      <c r="E357" t="s">
        <v>159</v>
      </c>
      <c r="F357">
        <v>7911</v>
      </c>
      <c r="G357" t="s">
        <v>4166</v>
      </c>
      <c r="H357" t="s">
        <v>4167</v>
      </c>
      <c r="I357" t="s">
        <v>4167</v>
      </c>
      <c r="K357" t="s">
        <v>4168</v>
      </c>
      <c r="L357" t="s">
        <v>2537</v>
      </c>
      <c r="M357" t="s">
        <v>4130</v>
      </c>
      <c r="N357">
        <v>50</v>
      </c>
      <c r="O357">
        <v>39</v>
      </c>
      <c r="P357">
        <v>11</v>
      </c>
      <c r="Q357">
        <v>0</v>
      </c>
    </row>
    <row r="358" spans="1:18" x14ac:dyDescent="0.3">
      <c r="B358" t="s">
        <v>2025</v>
      </c>
      <c r="C358" t="s">
        <v>4109</v>
      </c>
      <c r="D358" t="s">
        <v>1203</v>
      </c>
      <c r="E358" t="s">
        <v>1204</v>
      </c>
      <c r="F358">
        <v>7912</v>
      </c>
      <c r="G358" t="s">
        <v>4928</v>
      </c>
      <c r="H358" t="s">
        <v>4929</v>
      </c>
      <c r="I358" t="s">
        <v>4930</v>
      </c>
      <c r="K358" t="s">
        <v>4135</v>
      </c>
      <c r="L358" t="s">
        <v>2537</v>
      </c>
      <c r="M358" t="s">
        <v>4130</v>
      </c>
      <c r="N358">
        <v>200000</v>
      </c>
      <c r="O358">
        <v>199000</v>
      </c>
      <c r="P358">
        <v>1000</v>
      </c>
      <c r="Q358">
        <v>0</v>
      </c>
      <c r="R358">
        <v>100000</v>
      </c>
    </row>
    <row r="359" spans="1:18" x14ac:dyDescent="0.3">
      <c r="A359">
        <v>440</v>
      </c>
      <c r="B359" t="s">
        <v>2026</v>
      </c>
      <c r="C359" t="s">
        <v>4109</v>
      </c>
      <c r="D359" t="s">
        <v>159</v>
      </c>
      <c r="E359" t="s">
        <v>159</v>
      </c>
      <c r="F359">
        <v>7913</v>
      </c>
      <c r="N359">
        <v>1.3774104542940001E-2</v>
      </c>
      <c r="O359">
        <v>1.6069788633430001E-2</v>
      </c>
      <c r="P359">
        <v>1.8365472723920001E-2</v>
      </c>
      <c r="Q359">
        <v>2.0661156814410001E-2</v>
      </c>
      <c r="R359">
        <v>10</v>
      </c>
    </row>
    <row r="360" spans="1:18" x14ac:dyDescent="0.3">
      <c r="A360">
        <v>2469</v>
      </c>
      <c r="B360" t="s">
        <v>2028</v>
      </c>
      <c r="C360" t="s">
        <v>4109</v>
      </c>
      <c r="D360" t="s">
        <v>159</v>
      </c>
      <c r="E360" t="s">
        <v>159</v>
      </c>
      <c r="F360">
        <v>8029</v>
      </c>
      <c r="G360" t="s">
        <v>4931</v>
      </c>
      <c r="H360" t="s">
        <v>4932</v>
      </c>
      <c r="I360" t="s">
        <v>4933</v>
      </c>
      <c r="K360" t="s">
        <v>4135</v>
      </c>
      <c r="L360" t="s">
        <v>2530</v>
      </c>
      <c r="M360" t="s">
        <v>4130</v>
      </c>
      <c r="N360">
        <v>10170</v>
      </c>
      <c r="O360">
        <v>10170</v>
      </c>
      <c r="P360">
        <v>0</v>
      </c>
      <c r="Q360">
        <v>9287</v>
      </c>
    </row>
    <row r="361" spans="1:18" x14ac:dyDescent="0.3">
      <c r="A361">
        <v>2490</v>
      </c>
      <c r="B361" t="s">
        <v>2030</v>
      </c>
      <c r="C361" t="s">
        <v>4109</v>
      </c>
      <c r="D361" t="s">
        <v>159</v>
      </c>
      <c r="E361" t="s">
        <v>159</v>
      </c>
      <c r="F361">
        <v>7931</v>
      </c>
      <c r="G361" t="s">
        <v>4934</v>
      </c>
      <c r="H361" t="s">
        <v>4659</v>
      </c>
      <c r="I361" t="s">
        <v>4935</v>
      </c>
      <c r="K361" t="s">
        <v>4168</v>
      </c>
      <c r="L361" t="s">
        <v>2530</v>
      </c>
      <c r="M361" t="s">
        <v>4130</v>
      </c>
      <c r="N361">
        <v>173</v>
      </c>
      <c r="O361">
        <v>0</v>
      </c>
      <c r="P361">
        <v>0</v>
      </c>
      <c r="Q361">
        <v>173</v>
      </c>
      <c r="R361">
        <v>0</v>
      </c>
    </row>
    <row r="362" spans="1:18" x14ac:dyDescent="0.3">
      <c r="A362">
        <v>2490</v>
      </c>
      <c r="B362" t="s">
        <v>2030</v>
      </c>
      <c r="C362" t="s">
        <v>4109</v>
      </c>
      <c r="D362" t="s">
        <v>159</v>
      </c>
      <c r="E362" t="s">
        <v>159</v>
      </c>
      <c r="F362">
        <v>7931</v>
      </c>
      <c r="G362" t="s">
        <v>4936</v>
      </c>
      <c r="H362" t="s">
        <v>4937</v>
      </c>
      <c r="I362" t="s">
        <v>4937</v>
      </c>
      <c r="K362" t="s">
        <v>687</v>
      </c>
      <c r="L362" t="s">
        <v>2537</v>
      </c>
      <c r="M362" t="s">
        <v>4130</v>
      </c>
      <c r="N362">
        <v>672</v>
      </c>
      <c r="O362">
        <v>0</v>
      </c>
      <c r="P362">
        <v>672</v>
      </c>
      <c r="Q362">
        <v>0</v>
      </c>
      <c r="R362">
        <v>0</v>
      </c>
    </row>
    <row r="363" spans="1:18" x14ac:dyDescent="0.3">
      <c r="A363">
        <v>2496</v>
      </c>
      <c r="B363" t="s">
        <v>905</v>
      </c>
      <c r="C363" t="s">
        <v>4109</v>
      </c>
      <c r="D363" t="s">
        <v>159</v>
      </c>
      <c r="E363" t="s">
        <v>159</v>
      </c>
      <c r="F363">
        <v>5568</v>
      </c>
      <c r="G363" t="s">
        <v>4938</v>
      </c>
      <c r="H363" t="s">
        <v>4416</v>
      </c>
      <c r="I363" t="s">
        <v>4939</v>
      </c>
      <c r="J363" t="s">
        <v>1898</v>
      </c>
      <c r="K363" t="s">
        <v>4135</v>
      </c>
      <c r="L363" t="s">
        <v>2537</v>
      </c>
      <c r="M363" t="s">
        <v>4130</v>
      </c>
      <c r="N363">
        <v>11277</v>
      </c>
      <c r="O363">
        <v>10740</v>
      </c>
      <c r="P363">
        <v>0</v>
      </c>
      <c r="Q363">
        <v>0</v>
      </c>
      <c r="R363">
        <v>0</v>
      </c>
    </row>
    <row r="364" spans="1:18" x14ac:dyDescent="0.3">
      <c r="A364">
        <v>2512</v>
      </c>
      <c r="B364" t="s">
        <v>2039</v>
      </c>
      <c r="C364" t="s">
        <v>4109</v>
      </c>
      <c r="D364" t="s">
        <v>1203</v>
      </c>
      <c r="E364" t="s">
        <v>1204</v>
      </c>
      <c r="F364">
        <v>5501</v>
      </c>
      <c r="G364" t="s">
        <v>4940</v>
      </c>
      <c r="H364" t="s">
        <v>4941</v>
      </c>
      <c r="I364" t="s">
        <v>4942</v>
      </c>
      <c r="J364">
        <v>262840</v>
      </c>
      <c r="K364" t="s">
        <v>4121</v>
      </c>
      <c r="L364" t="s">
        <v>2530</v>
      </c>
      <c r="M364" t="s">
        <v>4130</v>
      </c>
      <c r="N364">
        <v>3673.4587564499998</v>
      </c>
      <c r="O364">
        <v>3673.4587564499998</v>
      </c>
      <c r="P364">
        <v>0</v>
      </c>
      <c r="Q364">
        <v>0</v>
      </c>
      <c r="R364">
        <v>0</v>
      </c>
    </row>
    <row r="365" spans="1:18" x14ac:dyDescent="0.3">
      <c r="A365">
        <v>2516</v>
      </c>
      <c r="B365" t="s">
        <v>2041</v>
      </c>
      <c r="C365" t="s">
        <v>4109</v>
      </c>
      <c r="D365" t="s">
        <v>1203</v>
      </c>
      <c r="E365" t="s">
        <v>1204</v>
      </c>
      <c r="F365">
        <v>6666</v>
      </c>
      <c r="G365" t="s">
        <v>3788</v>
      </c>
      <c r="H365" t="s">
        <v>4943</v>
      </c>
      <c r="I365" t="s">
        <v>4944</v>
      </c>
      <c r="K365" t="s">
        <v>4126</v>
      </c>
      <c r="L365" t="s">
        <v>2537</v>
      </c>
      <c r="M365" t="s">
        <v>4113</v>
      </c>
      <c r="N365">
        <v>12999.808932600001</v>
      </c>
      <c r="O365">
        <v>0</v>
      </c>
      <c r="P365">
        <v>12999.808932600001</v>
      </c>
      <c r="Q365">
        <v>0</v>
      </c>
    </row>
    <row r="366" spans="1:18" x14ac:dyDescent="0.3">
      <c r="A366">
        <v>2523</v>
      </c>
      <c r="B366" t="s">
        <v>2042</v>
      </c>
      <c r="C366" t="s">
        <v>4109</v>
      </c>
      <c r="D366" t="s">
        <v>1203</v>
      </c>
      <c r="E366" t="s">
        <v>1204</v>
      </c>
      <c r="F366">
        <v>8631</v>
      </c>
      <c r="G366" t="s">
        <v>4945</v>
      </c>
      <c r="H366" t="s">
        <v>4946</v>
      </c>
      <c r="I366" t="s">
        <v>4947</v>
      </c>
      <c r="J366" t="s">
        <v>4948</v>
      </c>
      <c r="K366" t="s">
        <v>4126</v>
      </c>
      <c r="L366" t="s">
        <v>2530</v>
      </c>
      <c r="M366" t="s">
        <v>4212</v>
      </c>
      <c r="N366">
        <v>179</v>
      </c>
      <c r="O366">
        <v>179</v>
      </c>
      <c r="P366">
        <v>0</v>
      </c>
      <c r="Q366">
        <v>0</v>
      </c>
      <c r="R366">
        <v>0</v>
      </c>
    </row>
    <row r="367" spans="1:18" x14ac:dyDescent="0.3">
      <c r="A367">
        <v>2523</v>
      </c>
      <c r="B367" t="s">
        <v>2042</v>
      </c>
      <c r="C367" t="s">
        <v>4109</v>
      </c>
      <c r="D367" t="s">
        <v>1203</v>
      </c>
      <c r="E367" t="s">
        <v>1204</v>
      </c>
      <c r="F367">
        <v>8631</v>
      </c>
      <c r="G367" t="s">
        <v>4949</v>
      </c>
      <c r="H367" t="s">
        <v>4950</v>
      </c>
      <c r="I367" t="s">
        <v>4947</v>
      </c>
      <c r="J367" t="s">
        <v>4951</v>
      </c>
      <c r="K367" t="s">
        <v>4126</v>
      </c>
      <c r="L367" t="s">
        <v>2530</v>
      </c>
      <c r="M367" t="s">
        <v>4212</v>
      </c>
      <c r="N367">
        <v>1412</v>
      </c>
      <c r="O367">
        <v>1412</v>
      </c>
      <c r="P367">
        <v>0</v>
      </c>
      <c r="Q367">
        <v>0</v>
      </c>
      <c r="R367">
        <v>0</v>
      </c>
    </row>
    <row r="368" spans="1:18" x14ac:dyDescent="0.3">
      <c r="A368">
        <v>2524</v>
      </c>
      <c r="B368" t="s">
        <v>2043</v>
      </c>
      <c r="C368" t="s">
        <v>4109</v>
      </c>
      <c r="D368" t="s">
        <v>159</v>
      </c>
      <c r="E368" t="s">
        <v>159</v>
      </c>
      <c r="F368">
        <v>6055</v>
      </c>
      <c r="G368" t="s">
        <v>4952</v>
      </c>
      <c r="H368" t="s">
        <v>4953</v>
      </c>
      <c r="I368" t="s">
        <v>2904</v>
      </c>
      <c r="K368" t="s">
        <v>4135</v>
      </c>
      <c r="L368" t="s">
        <v>2530</v>
      </c>
      <c r="M368" t="s">
        <v>4130</v>
      </c>
      <c r="N368">
        <v>13030.4978111</v>
      </c>
      <c r="O368">
        <v>2381.4569716000001</v>
      </c>
      <c r="P368">
        <v>914.52857930000005</v>
      </c>
      <c r="Q368">
        <v>9734.5122601999992</v>
      </c>
      <c r="R368">
        <v>0</v>
      </c>
    </row>
    <row r="369" spans="1:18" x14ac:dyDescent="0.3">
      <c r="A369">
        <v>2536</v>
      </c>
      <c r="B369" t="s">
        <v>2050</v>
      </c>
      <c r="C369" t="s">
        <v>4109</v>
      </c>
      <c r="D369" t="s">
        <v>159</v>
      </c>
      <c r="E369" t="s">
        <v>159</v>
      </c>
      <c r="F369">
        <v>8005</v>
      </c>
      <c r="G369" t="s">
        <v>4954</v>
      </c>
      <c r="H369" t="s">
        <v>4112</v>
      </c>
      <c r="I369" t="s">
        <v>4955</v>
      </c>
      <c r="K369" t="s">
        <v>4112</v>
      </c>
      <c r="L369" t="s">
        <v>2530</v>
      </c>
      <c r="M369" t="s">
        <v>4130</v>
      </c>
      <c r="N369">
        <v>2671</v>
      </c>
      <c r="O369">
        <v>1929</v>
      </c>
      <c r="P369">
        <v>742</v>
      </c>
      <c r="Q369">
        <v>0</v>
      </c>
    </row>
    <row r="370" spans="1:18" x14ac:dyDescent="0.3">
      <c r="A370">
        <v>2597</v>
      </c>
      <c r="B370" t="s">
        <v>2053</v>
      </c>
      <c r="C370" t="s">
        <v>4109</v>
      </c>
      <c r="D370" t="s">
        <v>1203</v>
      </c>
      <c r="E370" t="s">
        <v>1204</v>
      </c>
      <c r="F370">
        <v>8054</v>
      </c>
      <c r="G370" t="s">
        <v>4956</v>
      </c>
      <c r="H370" t="s">
        <v>4957</v>
      </c>
      <c r="I370" t="s">
        <v>4958</v>
      </c>
      <c r="J370" t="s">
        <v>4959</v>
      </c>
      <c r="K370" t="s">
        <v>4135</v>
      </c>
      <c r="L370" t="s">
        <v>2530</v>
      </c>
      <c r="M370" t="s">
        <v>4130</v>
      </c>
      <c r="N370">
        <v>8412</v>
      </c>
      <c r="O370">
        <v>8154</v>
      </c>
      <c r="P370">
        <v>0</v>
      </c>
      <c r="Q370">
        <v>0</v>
      </c>
      <c r="R370">
        <v>0</v>
      </c>
    </row>
    <row r="371" spans="1:18" x14ac:dyDescent="0.3">
      <c r="A371">
        <v>2602</v>
      </c>
      <c r="B371" t="s">
        <v>2054</v>
      </c>
      <c r="C371" t="s">
        <v>4109</v>
      </c>
      <c r="D371" t="s">
        <v>159</v>
      </c>
      <c r="E371" t="s">
        <v>159</v>
      </c>
      <c r="F371">
        <v>5701</v>
      </c>
      <c r="G371" t="s">
        <v>4960</v>
      </c>
      <c r="H371" t="s">
        <v>4961</v>
      </c>
      <c r="I371" t="s">
        <v>4962</v>
      </c>
      <c r="J371" t="s">
        <v>4963</v>
      </c>
      <c r="K371" t="s">
        <v>4168</v>
      </c>
      <c r="L371" t="s">
        <v>2537</v>
      </c>
      <c r="M371" t="s">
        <v>4130</v>
      </c>
      <c r="N371">
        <v>1933.3993455</v>
      </c>
      <c r="O371">
        <v>343.71543919999999</v>
      </c>
      <c r="P371">
        <v>0</v>
      </c>
      <c r="Q371">
        <v>1589.6839063</v>
      </c>
      <c r="R371">
        <v>0</v>
      </c>
    </row>
    <row r="372" spans="1:18" x14ac:dyDescent="0.3">
      <c r="A372">
        <v>2603</v>
      </c>
      <c r="B372" t="s">
        <v>2058</v>
      </c>
      <c r="C372" t="s">
        <v>4109</v>
      </c>
      <c r="D372" t="s">
        <v>1203</v>
      </c>
      <c r="E372" t="s">
        <v>1204</v>
      </c>
      <c r="F372">
        <v>6625</v>
      </c>
      <c r="G372" t="s">
        <v>4964</v>
      </c>
      <c r="H372" t="s">
        <v>4428</v>
      </c>
      <c r="I372" t="s">
        <v>4428</v>
      </c>
      <c r="K372" t="s">
        <v>4117</v>
      </c>
      <c r="L372" t="s">
        <v>2537</v>
      </c>
      <c r="M372" t="s">
        <v>4212</v>
      </c>
      <c r="N372">
        <v>9207</v>
      </c>
      <c r="O372">
        <v>9207</v>
      </c>
      <c r="P372">
        <v>0</v>
      </c>
      <c r="Q372">
        <v>0</v>
      </c>
      <c r="R372">
        <v>0</v>
      </c>
    </row>
    <row r="373" spans="1:18" x14ac:dyDescent="0.3">
      <c r="A373">
        <v>2604</v>
      </c>
      <c r="B373" t="s">
        <v>2063</v>
      </c>
      <c r="C373" t="s">
        <v>4109</v>
      </c>
      <c r="D373" t="s">
        <v>159</v>
      </c>
      <c r="E373" t="s">
        <v>159</v>
      </c>
      <c r="F373">
        <v>8195</v>
      </c>
      <c r="G373" t="s">
        <v>4965</v>
      </c>
      <c r="H373" t="s">
        <v>4966</v>
      </c>
      <c r="I373" t="s">
        <v>4967</v>
      </c>
      <c r="J373" t="s">
        <v>4968</v>
      </c>
      <c r="K373" t="s">
        <v>4112</v>
      </c>
      <c r="L373" t="s">
        <v>2537</v>
      </c>
      <c r="M373" t="s">
        <v>4113</v>
      </c>
      <c r="N373">
        <v>346</v>
      </c>
      <c r="O373">
        <v>331</v>
      </c>
      <c r="P373">
        <v>0</v>
      </c>
      <c r="Q373">
        <v>0</v>
      </c>
      <c r="R373">
        <v>0</v>
      </c>
    </row>
    <row r="374" spans="1:18" x14ac:dyDescent="0.3">
      <c r="A374">
        <v>2604</v>
      </c>
      <c r="B374" t="s">
        <v>2063</v>
      </c>
      <c r="C374" t="s">
        <v>4109</v>
      </c>
      <c r="D374" t="s">
        <v>159</v>
      </c>
      <c r="E374" t="s">
        <v>159</v>
      </c>
      <c r="F374">
        <v>8195</v>
      </c>
      <c r="G374" t="s">
        <v>4969</v>
      </c>
      <c r="H374" t="s">
        <v>4970</v>
      </c>
      <c r="I374" t="s">
        <v>1723</v>
      </c>
      <c r="J374" t="s">
        <v>4971</v>
      </c>
      <c r="K374" t="s">
        <v>4126</v>
      </c>
      <c r="L374" t="s">
        <v>2537</v>
      </c>
      <c r="M374" t="s">
        <v>4130</v>
      </c>
      <c r="N374">
        <v>57</v>
      </c>
      <c r="O374">
        <v>0</v>
      </c>
      <c r="P374">
        <v>57</v>
      </c>
      <c r="Q374">
        <v>0</v>
      </c>
      <c r="R374">
        <v>0</v>
      </c>
    </row>
    <row r="375" spans="1:18" x14ac:dyDescent="0.3">
      <c r="A375">
        <v>2629</v>
      </c>
      <c r="B375" t="s">
        <v>2073</v>
      </c>
      <c r="C375" t="s">
        <v>4109</v>
      </c>
      <c r="D375" t="s">
        <v>1203</v>
      </c>
      <c r="E375" t="s">
        <v>1204</v>
      </c>
      <c r="F375">
        <v>8904</v>
      </c>
      <c r="G375" t="s">
        <v>4972</v>
      </c>
      <c r="H375" t="s">
        <v>3831</v>
      </c>
      <c r="I375" t="s">
        <v>4285</v>
      </c>
      <c r="K375" t="s">
        <v>4112</v>
      </c>
      <c r="L375" t="s">
        <v>2537</v>
      </c>
      <c r="M375" t="s">
        <v>4130</v>
      </c>
      <c r="N375">
        <v>2206</v>
      </c>
      <c r="O375">
        <v>1242</v>
      </c>
      <c r="P375">
        <v>941</v>
      </c>
      <c r="Q375">
        <v>0</v>
      </c>
    </row>
    <row r="376" spans="1:18" x14ac:dyDescent="0.3">
      <c r="A376">
        <v>2631</v>
      </c>
      <c r="B376" t="s">
        <v>2075</v>
      </c>
      <c r="C376" t="s">
        <v>4109</v>
      </c>
      <c r="D376" t="s">
        <v>159</v>
      </c>
      <c r="E376" t="s">
        <v>159</v>
      </c>
      <c r="F376">
        <v>5420</v>
      </c>
      <c r="G376" t="s">
        <v>4973</v>
      </c>
      <c r="H376" t="s">
        <v>4974</v>
      </c>
      <c r="I376" t="s">
        <v>4975</v>
      </c>
      <c r="K376" t="s">
        <v>4135</v>
      </c>
      <c r="L376" t="s">
        <v>2537</v>
      </c>
      <c r="M376" t="s">
        <v>4130</v>
      </c>
      <c r="N376">
        <v>8876</v>
      </c>
      <c r="O376">
        <v>7918</v>
      </c>
      <c r="P376">
        <v>56</v>
      </c>
      <c r="Q376">
        <v>0</v>
      </c>
    </row>
    <row r="377" spans="1:18" x14ac:dyDescent="0.3">
      <c r="A377">
        <v>2635</v>
      </c>
      <c r="B377" t="s">
        <v>2078</v>
      </c>
      <c r="C377" t="s">
        <v>4109</v>
      </c>
      <c r="D377" t="s">
        <v>159</v>
      </c>
      <c r="E377" t="s">
        <v>159</v>
      </c>
      <c r="F377">
        <v>5692</v>
      </c>
      <c r="G377" t="s">
        <v>4976</v>
      </c>
      <c r="H377" t="s">
        <v>4977</v>
      </c>
      <c r="I377" t="s">
        <v>4978</v>
      </c>
      <c r="K377" t="s">
        <v>4135</v>
      </c>
      <c r="L377" t="s">
        <v>2530</v>
      </c>
      <c r="M377" t="s">
        <v>4130</v>
      </c>
      <c r="N377">
        <v>7297</v>
      </c>
      <c r="O377">
        <v>7297</v>
      </c>
      <c r="P377">
        <v>0</v>
      </c>
      <c r="Q377">
        <v>0</v>
      </c>
      <c r="R377">
        <v>0</v>
      </c>
    </row>
    <row r="378" spans="1:18" x14ac:dyDescent="0.3">
      <c r="A378">
        <v>2635</v>
      </c>
      <c r="B378" t="s">
        <v>2078</v>
      </c>
      <c r="C378" t="s">
        <v>4109</v>
      </c>
      <c r="D378" t="s">
        <v>159</v>
      </c>
      <c r="E378" t="s">
        <v>159</v>
      </c>
      <c r="F378">
        <v>5692</v>
      </c>
      <c r="G378" t="s">
        <v>4979</v>
      </c>
      <c r="H378" t="s">
        <v>4977</v>
      </c>
      <c r="I378" t="s">
        <v>4285</v>
      </c>
      <c r="K378" t="s">
        <v>4112</v>
      </c>
      <c r="L378" t="s">
        <v>2537</v>
      </c>
      <c r="M378" t="s">
        <v>4130</v>
      </c>
      <c r="N378">
        <v>2335</v>
      </c>
      <c r="O378">
        <v>1613</v>
      </c>
      <c r="P378">
        <v>722</v>
      </c>
      <c r="Q378">
        <v>0</v>
      </c>
      <c r="R378">
        <v>0</v>
      </c>
    </row>
    <row r="379" spans="1:18" x14ac:dyDescent="0.3">
      <c r="A379">
        <v>2649</v>
      </c>
      <c r="B379" t="s">
        <v>2079</v>
      </c>
      <c r="C379" t="s">
        <v>4109</v>
      </c>
      <c r="D379" t="s">
        <v>159</v>
      </c>
      <c r="E379" t="s">
        <v>159</v>
      </c>
      <c r="F379">
        <v>8639</v>
      </c>
      <c r="G379" t="s">
        <v>4315</v>
      </c>
      <c r="H379" t="s">
        <v>4316</v>
      </c>
      <c r="I379" t="s">
        <v>4276</v>
      </c>
      <c r="K379" t="s">
        <v>4168</v>
      </c>
      <c r="L379" t="s">
        <v>2530</v>
      </c>
      <c r="M379" t="s">
        <v>4113</v>
      </c>
      <c r="N379">
        <v>3007600000</v>
      </c>
      <c r="O379">
        <v>3007600000</v>
      </c>
      <c r="P379">
        <v>0</v>
      </c>
      <c r="Q379">
        <v>0</v>
      </c>
    </row>
    <row r="380" spans="1:18" x14ac:dyDescent="0.3">
      <c r="A380">
        <v>2662</v>
      </c>
      <c r="B380" t="s">
        <v>4980</v>
      </c>
      <c r="C380" t="s">
        <v>4109</v>
      </c>
      <c r="D380" t="s">
        <v>1203</v>
      </c>
      <c r="E380" t="s">
        <v>1204</v>
      </c>
      <c r="F380">
        <v>8092</v>
      </c>
      <c r="G380" t="s">
        <v>4981</v>
      </c>
      <c r="H380" t="s">
        <v>4982</v>
      </c>
      <c r="I380" t="s">
        <v>4983</v>
      </c>
      <c r="K380" t="s">
        <v>4126</v>
      </c>
      <c r="L380" t="s">
        <v>2537</v>
      </c>
      <c r="M380" t="s">
        <v>4113</v>
      </c>
      <c r="N380">
        <v>1476.1350558500001</v>
      </c>
      <c r="O380">
        <v>1476.1350558500001</v>
      </c>
      <c r="P380">
        <v>0</v>
      </c>
      <c r="Q380">
        <v>0</v>
      </c>
      <c r="R380">
        <v>0</v>
      </c>
    </row>
    <row r="381" spans="1:18" x14ac:dyDescent="0.3">
      <c r="A381">
        <v>2669</v>
      </c>
      <c r="B381" t="s">
        <v>2085</v>
      </c>
      <c r="C381" t="s">
        <v>4109</v>
      </c>
      <c r="D381" t="s">
        <v>159</v>
      </c>
      <c r="E381" t="s">
        <v>159</v>
      </c>
      <c r="F381">
        <v>5913</v>
      </c>
      <c r="G381" t="s">
        <v>4143</v>
      </c>
      <c r="H381" t="s">
        <v>4874</v>
      </c>
      <c r="I381" t="s">
        <v>4984</v>
      </c>
      <c r="K381" t="s">
        <v>687</v>
      </c>
      <c r="L381" t="s">
        <v>2530</v>
      </c>
      <c r="M381" t="s">
        <v>4130</v>
      </c>
      <c r="P381">
        <v>103</v>
      </c>
      <c r="Q381">
        <v>3331</v>
      </c>
    </row>
    <row r="382" spans="1:18" x14ac:dyDescent="0.3">
      <c r="A382">
        <v>2669</v>
      </c>
      <c r="B382" t="s">
        <v>2085</v>
      </c>
      <c r="C382" t="s">
        <v>4109</v>
      </c>
      <c r="D382" t="s">
        <v>159</v>
      </c>
      <c r="E382" t="s">
        <v>159</v>
      </c>
      <c r="F382">
        <v>5913</v>
      </c>
      <c r="G382" t="s">
        <v>4143</v>
      </c>
      <c r="H382" t="s">
        <v>4276</v>
      </c>
      <c r="I382" t="s">
        <v>4985</v>
      </c>
      <c r="K382" t="s">
        <v>4168</v>
      </c>
      <c r="L382" t="s">
        <v>2530</v>
      </c>
      <c r="M382" t="s">
        <v>4113</v>
      </c>
      <c r="N382">
        <v>5510</v>
      </c>
      <c r="O382">
        <v>2076</v>
      </c>
    </row>
    <row r="383" spans="1:18" x14ac:dyDescent="0.3">
      <c r="A383">
        <v>2679</v>
      </c>
      <c r="B383" t="s">
        <v>2086</v>
      </c>
      <c r="C383" t="s">
        <v>4109</v>
      </c>
      <c r="D383" t="s">
        <v>1203</v>
      </c>
      <c r="E383" t="s">
        <v>1204</v>
      </c>
      <c r="F383">
        <v>5778</v>
      </c>
      <c r="G383" t="s">
        <v>4986</v>
      </c>
      <c r="H383" t="s">
        <v>4987</v>
      </c>
      <c r="I383" t="s">
        <v>4988</v>
      </c>
      <c r="K383" t="s">
        <v>4126</v>
      </c>
      <c r="L383" t="s">
        <v>2537</v>
      </c>
      <c r="M383" t="s">
        <v>4113</v>
      </c>
      <c r="N383">
        <v>1085</v>
      </c>
      <c r="O383">
        <v>1085</v>
      </c>
      <c r="P383">
        <v>1085</v>
      </c>
      <c r="Q383">
        <v>0</v>
      </c>
      <c r="R383">
        <v>0</v>
      </c>
    </row>
    <row r="384" spans="1:18" x14ac:dyDescent="0.3">
      <c r="A384">
        <v>2697</v>
      </c>
      <c r="B384" t="s">
        <v>2092</v>
      </c>
      <c r="C384" t="s">
        <v>4109</v>
      </c>
      <c r="D384" t="s">
        <v>159</v>
      </c>
      <c r="E384" t="s">
        <v>159</v>
      </c>
      <c r="F384">
        <v>8063</v>
      </c>
      <c r="G384" t="s">
        <v>4989</v>
      </c>
      <c r="H384" t="s">
        <v>4990</v>
      </c>
      <c r="I384" t="s">
        <v>4991</v>
      </c>
      <c r="K384" t="s">
        <v>4126</v>
      </c>
      <c r="L384" t="s">
        <v>2537</v>
      </c>
      <c r="M384" t="s">
        <v>4130</v>
      </c>
      <c r="N384">
        <v>1758</v>
      </c>
      <c r="O384">
        <v>0</v>
      </c>
      <c r="P384">
        <v>1758</v>
      </c>
      <c r="Q384">
        <v>0</v>
      </c>
    </row>
    <row r="385" spans="1:18" x14ac:dyDescent="0.3">
      <c r="A385">
        <v>2751</v>
      </c>
      <c r="B385" t="s">
        <v>2099</v>
      </c>
      <c r="C385" t="s">
        <v>4109</v>
      </c>
      <c r="D385" t="s">
        <v>159</v>
      </c>
      <c r="E385" t="s">
        <v>159</v>
      </c>
      <c r="F385">
        <v>5933</v>
      </c>
      <c r="G385" t="s">
        <v>4992</v>
      </c>
      <c r="H385" t="s">
        <v>4993</v>
      </c>
      <c r="I385" t="s">
        <v>4994</v>
      </c>
      <c r="K385" t="s">
        <v>4135</v>
      </c>
      <c r="L385" t="s">
        <v>2537</v>
      </c>
      <c r="M385" t="s">
        <v>4130</v>
      </c>
      <c r="N385">
        <v>1643</v>
      </c>
      <c r="O385">
        <v>384</v>
      </c>
      <c r="P385">
        <v>489</v>
      </c>
      <c r="Q385">
        <v>770</v>
      </c>
      <c r="R385">
        <v>0</v>
      </c>
    </row>
    <row r="386" spans="1:18" x14ac:dyDescent="0.3">
      <c r="A386">
        <v>2766</v>
      </c>
      <c r="B386" t="s">
        <v>2101</v>
      </c>
      <c r="C386" t="s">
        <v>4109</v>
      </c>
      <c r="D386" t="s">
        <v>159</v>
      </c>
      <c r="E386" t="s">
        <v>159</v>
      </c>
      <c r="F386">
        <v>5594</v>
      </c>
      <c r="G386" t="s">
        <v>4995</v>
      </c>
      <c r="H386" t="s">
        <v>4996</v>
      </c>
      <c r="I386" t="s">
        <v>4997</v>
      </c>
      <c r="K386" t="s">
        <v>4135</v>
      </c>
      <c r="L386" t="s">
        <v>2537</v>
      </c>
      <c r="M386" t="s">
        <v>4130</v>
      </c>
      <c r="N386">
        <v>4587</v>
      </c>
      <c r="O386">
        <v>3909</v>
      </c>
      <c r="P386">
        <v>151</v>
      </c>
      <c r="Q386">
        <v>0</v>
      </c>
      <c r="R386">
        <v>0</v>
      </c>
    </row>
    <row r="387" spans="1:18" x14ac:dyDescent="0.3">
      <c r="A387">
        <v>2789</v>
      </c>
      <c r="B387" t="s">
        <v>2106</v>
      </c>
      <c r="C387" t="s">
        <v>4109</v>
      </c>
      <c r="D387" t="s">
        <v>1203</v>
      </c>
      <c r="E387" t="s">
        <v>1204</v>
      </c>
      <c r="F387">
        <v>5726</v>
      </c>
      <c r="G387" t="s">
        <v>4998</v>
      </c>
      <c r="H387" t="s">
        <v>4998</v>
      </c>
      <c r="I387" t="s">
        <v>4999</v>
      </c>
      <c r="K387" t="s">
        <v>4121</v>
      </c>
      <c r="L387" t="s">
        <v>2537</v>
      </c>
      <c r="M387" t="s">
        <v>4212</v>
      </c>
      <c r="N387">
        <v>837</v>
      </c>
      <c r="O387">
        <v>837</v>
      </c>
      <c r="P387">
        <v>0</v>
      </c>
      <c r="Q387">
        <v>0</v>
      </c>
    </row>
    <row r="388" spans="1:18" x14ac:dyDescent="0.3">
      <c r="A388">
        <v>2790</v>
      </c>
      <c r="B388" t="s">
        <v>763</v>
      </c>
      <c r="C388" t="s">
        <v>4109</v>
      </c>
      <c r="D388" t="s">
        <v>1203</v>
      </c>
      <c r="E388" t="s">
        <v>1204</v>
      </c>
      <c r="F388">
        <v>5830</v>
      </c>
      <c r="G388" t="s">
        <v>5000</v>
      </c>
      <c r="H388" t="s">
        <v>5001</v>
      </c>
      <c r="I388" t="s">
        <v>5002</v>
      </c>
      <c r="K388" t="s">
        <v>4112</v>
      </c>
      <c r="L388" t="s">
        <v>2537</v>
      </c>
      <c r="M388" t="s">
        <v>4118</v>
      </c>
      <c r="N388">
        <v>7280</v>
      </c>
      <c r="O388">
        <v>6750</v>
      </c>
      <c r="P388">
        <v>530</v>
      </c>
      <c r="Q388">
        <v>0</v>
      </c>
      <c r="R388">
        <v>0</v>
      </c>
    </row>
    <row r="389" spans="1:18" x14ac:dyDescent="0.3">
      <c r="A389">
        <v>2793</v>
      </c>
      <c r="B389" t="s">
        <v>2107</v>
      </c>
      <c r="C389" t="s">
        <v>4109</v>
      </c>
      <c r="D389" t="s">
        <v>1203</v>
      </c>
      <c r="E389" t="s">
        <v>1204</v>
      </c>
      <c r="F389">
        <v>5881</v>
      </c>
      <c r="G389" t="s">
        <v>3875</v>
      </c>
      <c r="H389" t="s">
        <v>5003</v>
      </c>
      <c r="I389" t="s">
        <v>4133</v>
      </c>
      <c r="J389" t="s">
        <v>5004</v>
      </c>
      <c r="K389" t="s">
        <v>4135</v>
      </c>
      <c r="L389" t="s">
        <v>2537</v>
      </c>
      <c r="M389" t="s">
        <v>4130</v>
      </c>
      <c r="N389">
        <v>4237</v>
      </c>
      <c r="O389">
        <v>1677</v>
      </c>
      <c r="P389">
        <v>1280</v>
      </c>
      <c r="Q389">
        <v>0</v>
      </c>
      <c r="R389">
        <v>1792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A8CC-9F7E-4572-BF4F-80762A4CE19F}">
  <sheetPr codeName="Sheet54"/>
  <dimension ref="A1:AA46"/>
  <sheetViews>
    <sheetView topLeftCell="A17" workbookViewId="0">
      <selection activeCell="E31" sqref="E31"/>
    </sheetView>
  </sheetViews>
  <sheetFormatPr defaultRowHeight="14.4" x14ac:dyDescent="0.3"/>
  <cols>
    <col min="1" max="1" width="40.44140625" customWidth="1"/>
    <col min="2" max="2" width="14.5546875" customWidth="1"/>
    <col min="3" max="3" width="12.21875" customWidth="1"/>
    <col min="5" max="5" width="11.33203125" customWidth="1"/>
    <col min="7" max="7" width="11.6640625" customWidth="1"/>
    <col min="8" max="10" width="10.44140625" bestFit="1" customWidth="1"/>
    <col min="11" max="11" width="22.109375" customWidth="1"/>
    <col min="12" max="12" width="14.109375" customWidth="1"/>
    <col min="16" max="21" width="10.44140625" bestFit="1" customWidth="1"/>
  </cols>
  <sheetData>
    <row r="1" spans="1:16" x14ac:dyDescent="0.3">
      <c r="A1" s="60" t="s">
        <v>5005</v>
      </c>
      <c r="B1" s="58"/>
      <c r="C1" s="58"/>
      <c r="D1" s="58"/>
      <c r="E1" s="58"/>
      <c r="F1" s="58"/>
      <c r="G1" s="58"/>
      <c r="H1" s="58"/>
      <c r="I1" s="58"/>
      <c r="J1" s="58"/>
      <c r="K1" s="58"/>
      <c r="L1" s="58"/>
    </row>
    <row r="2" spans="1:16" x14ac:dyDescent="0.3">
      <c r="A2" s="142" t="s">
        <v>5006</v>
      </c>
    </row>
    <row r="3" spans="1:16" x14ac:dyDescent="0.3">
      <c r="A3" t="s">
        <v>5007</v>
      </c>
      <c r="O3" t="s">
        <v>5991</v>
      </c>
    </row>
    <row r="4" spans="1:16" ht="72.599999999999994" thickBot="1" x14ac:dyDescent="0.35">
      <c r="B4" t="s">
        <v>5008</v>
      </c>
      <c r="C4" t="s">
        <v>5009</v>
      </c>
      <c r="D4" t="s">
        <v>5010</v>
      </c>
      <c r="E4" t="s">
        <v>5011</v>
      </c>
      <c r="F4" t="s">
        <v>5012</v>
      </c>
      <c r="G4" t="s">
        <v>5013</v>
      </c>
      <c r="H4" t="s">
        <v>5014</v>
      </c>
      <c r="I4" t="s">
        <v>5015</v>
      </c>
      <c r="J4" t="s">
        <v>5016</v>
      </c>
      <c r="L4" s="15" t="s">
        <v>5017</v>
      </c>
      <c r="M4" s="15" t="s">
        <v>5018</v>
      </c>
      <c r="O4" s="15" t="s">
        <v>5017</v>
      </c>
      <c r="P4" s="15" t="s">
        <v>5018</v>
      </c>
    </row>
    <row r="5" spans="1:16" ht="15" thickBot="1" x14ac:dyDescent="0.35">
      <c r="A5">
        <v>2012</v>
      </c>
      <c r="B5" s="338">
        <v>1004474</v>
      </c>
      <c r="C5" s="338">
        <v>2483452</v>
      </c>
      <c r="D5" s="338">
        <v>388139</v>
      </c>
      <c r="E5" s="338">
        <v>1069633</v>
      </c>
      <c r="F5" s="338">
        <v>493580</v>
      </c>
      <c r="G5" s="338">
        <v>5439278</v>
      </c>
      <c r="H5" s="338">
        <v>41209</v>
      </c>
      <c r="I5">
        <v>134</v>
      </c>
      <c r="J5" s="399">
        <v>185569</v>
      </c>
      <c r="L5" s="449">
        <f>(B5+D5+J5)/H5</f>
        <v>38.297022495086026</v>
      </c>
      <c r="M5" s="450" t="e">
        <f>L5/#REF!*#REF!</f>
        <v>#REF!</v>
      </c>
      <c r="O5" s="449">
        <f t="shared" ref="O5:O13" si="0">G5/H5</f>
        <v>131.99247737144799</v>
      </c>
      <c r="P5" s="450" t="e">
        <f>O5/#REF!*#REF!</f>
        <v>#REF!</v>
      </c>
    </row>
    <row r="6" spans="1:16" ht="15" thickBot="1" x14ac:dyDescent="0.35">
      <c r="A6">
        <v>2013</v>
      </c>
      <c r="B6" s="338">
        <v>571682</v>
      </c>
      <c r="C6" s="338">
        <v>2648915</v>
      </c>
      <c r="D6" s="338">
        <v>368357</v>
      </c>
      <c r="E6" s="338">
        <v>1090748</v>
      </c>
      <c r="F6" s="338">
        <v>1041009</v>
      </c>
      <c r="G6" s="338">
        <v>5720711</v>
      </c>
      <c r="H6" s="338">
        <v>36294</v>
      </c>
      <c r="I6">
        <v>157</v>
      </c>
      <c r="J6" s="399">
        <v>149595</v>
      </c>
      <c r="L6" s="448">
        <f t="shared" ref="L6:L13" si="1">(B6+D6+J6)/H6</f>
        <v>30.022427949523337</v>
      </c>
      <c r="M6" s="450" t="e">
        <f>L6/#REF!*#REF!</f>
        <v>#REF!</v>
      </c>
      <c r="O6" s="449">
        <f t="shared" si="0"/>
        <v>157.62139747616686</v>
      </c>
      <c r="P6" s="450" t="e">
        <f>O6/#REF!*#REF!</f>
        <v>#REF!</v>
      </c>
    </row>
    <row r="7" spans="1:16" ht="15" thickBot="1" x14ac:dyDescent="0.35">
      <c r="A7">
        <v>2014</v>
      </c>
      <c r="B7" s="338">
        <v>438238</v>
      </c>
      <c r="C7" s="338">
        <v>2735526</v>
      </c>
      <c r="D7" s="338">
        <v>463511</v>
      </c>
      <c r="E7" s="338">
        <v>1193138</v>
      </c>
      <c r="F7" s="338">
        <v>468392</v>
      </c>
      <c r="G7" s="338">
        <v>5298805</v>
      </c>
      <c r="H7" s="338">
        <v>31332</v>
      </c>
      <c r="I7">
        <v>176</v>
      </c>
      <c r="J7" s="399">
        <v>150121</v>
      </c>
      <c r="L7" s="448">
        <f t="shared" si="1"/>
        <v>33.571747733946125</v>
      </c>
      <c r="M7" s="450" t="e">
        <f>L7/#REF!*#REF!</f>
        <v>#REF!</v>
      </c>
      <c r="O7" s="449">
        <f t="shared" si="0"/>
        <v>169.11799438273968</v>
      </c>
      <c r="P7" s="450" t="e">
        <f>O7/#REF!*#REF!</f>
        <v>#REF!</v>
      </c>
    </row>
    <row r="8" spans="1:16" ht="15" thickBot="1" x14ac:dyDescent="0.35">
      <c r="A8">
        <v>2015</v>
      </c>
      <c r="B8" s="338">
        <v>403424</v>
      </c>
      <c r="C8" s="338">
        <v>2769409</v>
      </c>
      <c r="D8" s="338">
        <v>275214</v>
      </c>
      <c r="E8" s="338">
        <v>1606540</v>
      </c>
      <c r="F8" s="338">
        <v>121114</v>
      </c>
      <c r="G8" s="338">
        <v>5175701</v>
      </c>
      <c r="H8" s="338">
        <v>27877</v>
      </c>
      <c r="I8">
        <v>186</v>
      </c>
      <c r="J8" s="399">
        <v>118018</v>
      </c>
      <c r="L8" s="448">
        <f t="shared" si="1"/>
        <v>28.57753703770133</v>
      </c>
      <c r="M8" s="450" t="e">
        <f>L8/#REF!*#REF!</f>
        <v>#REF!</v>
      </c>
      <c r="O8" s="449">
        <f t="shared" si="0"/>
        <v>185.66205115328049</v>
      </c>
      <c r="P8" s="450" t="e">
        <f>O8/#REF!*#REF!</f>
        <v>#REF!</v>
      </c>
    </row>
    <row r="9" spans="1:16" ht="15" thickBot="1" x14ac:dyDescent="0.35">
      <c r="A9">
        <v>2016</v>
      </c>
      <c r="B9" s="338">
        <v>647088</v>
      </c>
      <c r="C9" s="338">
        <v>2614321</v>
      </c>
      <c r="D9" s="338">
        <v>305148</v>
      </c>
      <c r="E9" s="338">
        <v>1393931</v>
      </c>
      <c r="F9" s="338">
        <v>48165</v>
      </c>
      <c r="G9" s="338">
        <v>5008653</v>
      </c>
      <c r="H9" s="338">
        <v>32364</v>
      </c>
      <c r="I9">
        <v>155</v>
      </c>
      <c r="J9" s="399">
        <v>135294</v>
      </c>
      <c r="L9" s="448">
        <f t="shared" si="1"/>
        <v>33.603077493511307</v>
      </c>
      <c r="M9" s="450" t="e">
        <f>L9/#REF!*#REF!</f>
        <v>#REF!</v>
      </c>
      <c r="O9" s="449">
        <f t="shared" si="0"/>
        <v>154.76001112347052</v>
      </c>
      <c r="P9" s="450" t="e">
        <f>O9/#REF!*#REF!</f>
        <v>#REF!</v>
      </c>
    </row>
    <row r="10" spans="1:16" ht="15" thickBot="1" x14ac:dyDescent="0.35">
      <c r="A10">
        <v>2017</v>
      </c>
      <c r="B10" s="338">
        <v>912336</v>
      </c>
      <c r="C10" s="338">
        <v>2636823</v>
      </c>
      <c r="D10" s="338">
        <v>317412</v>
      </c>
      <c r="E10" s="338">
        <v>1448409</v>
      </c>
      <c r="F10" s="338">
        <v>85733</v>
      </c>
      <c r="G10" s="338">
        <v>5400713</v>
      </c>
      <c r="H10" s="338">
        <v>37993</v>
      </c>
      <c r="I10">
        <v>142</v>
      </c>
      <c r="J10" s="399">
        <v>156814</v>
      </c>
      <c r="L10" s="448">
        <f t="shared" si="1"/>
        <v>36.495196483562765</v>
      </c>
      <c r="M10" s="450" t="e">
        <f>L10/#REF!*#REF!</f>
        <v>#REF!</v>
      </c>
      <c r="O10" s="449">
        <f t="shared" si="0"/>
        <v>142.15021188113599</v>
      </c>
      <c r="P10" s="450" t="e">
        <f>O10/#REF!*#REF!</f>
        <v>#REF!</v>
      </c>
    </row>
    <row r="11" spans="1:16" ht="15" thickBot="1" x14ac:dyDescent="0.35">
      <c r="A11">
        <v>2018</v>
      </c>
      <c r="B11" s="338">
        <v>960812</v>
      </c>
      <c r="C11" s="338">
        <v>2884463</v>
      </c>
      <c r="D11" s="338">
        <v>326469</v>
      </c>
      <c r="E11" s="338">
        <v>1794815</v>
      </c>
      <c r="F11" s="338">
        <v>251590</v>
      </c>
      <c r="G11" s="338">
        <v>6218149</v>
      </c>
      <c r="H11" s="338">
        <v>36752</v>
      </c>
      <c r="I11">
        <v>169</v>
      </c>
      <c r="J11" s="399">
        <v>139018</v>
      </c>
      <c r="L11" s="448">
        <f t="shared" si="1"/>
        <v>38.808745102307356</v>
      </c>
      <c r="M11" s="450" t="e">
        <f>L11/#REF!*#REF!</f>
        <v>#REF!</v>
      </c>
      <c r="O11" s="449">
        <f t="shared" si="0"/>
        <v>169.19212559860688</v>
      </c>
      <c r="P11" s="450" t="e">
        <f>O11/#REF!*#REF!</f>
        <v>#REF!</v>
      </c>
    </row>
    <row r="12" spans="1:16" ht="15" thickBot="1" x14ac:dyDescent="0.35">
      <c r="A12">
        <v>2019</v>
      </c>
      <c r="B12" s="338">
        <v>1051166</v>
      </c>
      <c r="C12" s="338">
        <v>2589461</v>
      </c>
      <c r="D12" s="338">
        <v>368039</v>
      </c>
      <c r="E12" s="338">
        <v>1706382</v>
      </c>
      <c r="F12" s="338">
        <v>192483</v>
      </c>
      <c r="G12" s="338">
        <v>5907531</v>
      </c>
      <c r="H12" s="338">
        <v>38215</v>
      </c>
      <c r="I12">
        <v>155</v>
      </c>
      <c r="J12" s="399">
        <v>227283</v>
      </c>
      <c r="L12" s="448">
        <f t="shared" si="1"/>
        <v>43.084861965196914</v>
      </c>
      <c r="M12" s="450" t="e">
        <f>L12/#REF!*#REF!</f>
        <v>#REF!</v>
      </c>
      <c r="O12" s="449">
        <f t="shared" si="0"/>
        <v>154.58670679052727</v>
      </c>
      <c r="P12" s="450" t="e">
        <f>O12/#REF!*#REF!</f>
        <v>#REF!</v>
      </c>
    </row>
    <row r="13" spans="1:16" ht="15" thickBot="1" x14ac:dyDescent="0.35">
      <c r="A13">
        <v>2020</v>
      </c>
      <c r="B13" s="338">
        <v>840715</v>
      </c>
      <c r="C13" s="338">
        <v>2442894</v>
      </c>
      <c r="D13" s="338">
        <v>539972</v>
      </c>
      <c r="E13" s="338">
        <v>1711079</v>
      </c>
      <c r="F13" s="338">
        <v>35177</v>
      </c>
      <c r="G13" s="338">
        <v>5569837</v>
      </c>
      <c r="H13" s="338">
        <v>39823</v>
      </c>
      <c r="I13">
        <v>140</v>
      </c>
      <c r="J13" s="399">
        <v>76778</v>
      </c>
      <c r="L13" s="448">
        <f t="shared" si="1"/>
        <v>36.598573688571932</v>
      </c>
      <c r="M13" s="450" t="e">
        <f>L13/#REF!*#REF!</f>
        <v>#REF!</v>
      </c>
      <c r="O13" s="449">
        <f t="shared" si="0"/>
        <v>139.86482685885042</v>
      </c>
      <c r="P13" s="450" t="e">
        <f>O13/#REF!*#REF!</f>
        <v>#REF!</v>
      </c>
    </row>
    <row r="14" spans="1:16" ht="15" thickBot="1" x14ac:dyDescent="0.35">
      <c r="A14">
        <v>2021</v>
      </c>
      <c r="B14" s="338">
        <v>905968</v>
      </c>
      <c r="C14" s="338">
        <v>2555994</v>
      </c>
      <c r="D14" s="338">
        <v>515649</v>
      </c>
      <c r="E14" s="338">
        <v>1621925</v>
      </c>
      <c r="F14" s="338">
        <v>200572</v>
      </c>
      <c r="G14" s="338">
        <v>5800108</v>
      </c>
      <c r="H14" s="338">
        <v>34377</v>
      </c>
      <c r="I14">
        <v>169</v>
      </c>
      <c r="J14" s="399">
        <v>75210</v>
      </c>
      <c r="L14" s="449">
        <f>(B14+D14+J14)/H14</f>
        <v>43.541524856735606</v>
      </c>
      <c r="M14" s="450" t="e">
        <f>L14/#REF!*#REF!</f>
        <v>#REF!</v>
      </c>
      <c r="O14" s="449">
        <f>G14/H14</f>
        <v>168.72059807429386</v>
      </c>
      <c r="P14" s="450" t="e">
        <f>O14/#REF!*#REF!</f>
        <v>#REF!</v>
      </c>
    </row>
    <row r="15" spans="1:16" ht="15" thickBot="1" x14ac:dyDescent="0.35">
      <c r="B15" s="338"/>
      <c r="C15" s="338"/>
      <c r="E15" s="338"/>
      <c r="F15" s="338"/>
      <c r="G15" s="338"/>
      <c r="H15" s="338"/>
    </row>
    <row r="16" spans="1:16" ht="15" thickBot="1" x14ac:dyDescent="0.35">
      <c r="B16" s="338"/>
      <c r="C16" s="338"/>
      <c r="D16" s="338"/>
      <c r="E16" s="338"/>
      <c r="F16" s="338"/>
      <c r="G16" s="338"/>
      <c r="H16" s="338"/>
      <c r="K16" t="s">
        <v>5019</v>
      </c>
      <c r="M16" s="449" t="e">
        <f>AVERAGE(M5:M14)</f>
        <v>#REF!</v>
      </c>
      <c r="P16" s="503" t="e">
        <f>AVERAGE(P5:P14)</f>
        <v>#REF!</v>
      </c>
    </row>
    <row r="17" spans="1:13" x14ac:dyDescent="0.3">
      <c r="B17" s="338"/>
      <c r="C17" s="338"/>
      <c r="D17" s="338"/>
      <c r="E17" s="338"/>
      <c r="F17" s="338"/>
      <c r="G17" s="338"/>
      <c r="H17" s="338"/>
      <c r="J17" s="338"/>
      <c r="M17" s="450"/>
    </row>
    <row r="18" spans="1:13" x14ac:dyDescent="0.3">
      <c r="H18" s="338"/>
    </row>
    <row r="21" spans="1:13" s="58" customFormat="1" x14ac:dyDescent="0.3">
      <c r="A21" s="60" t="s">
        <v>5020</v>
      </c>
      <c r="C21" s="447" t="s">
        <v>5021</v>
      </c>
    </row>
    <row r="22" spans="1:13" x14ac:dyDescent="0.3">
      <c r="C22" t="s">
        <v>5022</v>
      </c>
      <c r="H22" t="s">
        <v>5023</v>
      </c>
    </row>
    <row r="23" spans="1:13" x14ac:dyDescent="0.3">
      <c r="C23">
        <v>2020</v>
      </c>
      <c r="D23">
        <v>2021</v>
      </c>
      <c r="E23">
        <v>2022</v>
      </c>
      <c r="H23">
        <v>2020</v>
      </c>
      <c r="I23">
        <v>2021</v>
      </c>
      <c r="J23">
        <v>2022</v>
      </c>
      <c r="K23" s="390" t="s">
        <v>5024</v>
      </c>
      <c r="L23" s="390"/>
      <c r="M23" s="390"/>
    </row>
    <row r="24" spans="1:13" x14ac:dyDescent="0.3">
      <c r="K24" s="378" t="s">
        <v>5021</v>
      </c>
      <c r="L24" s="379"/>
      <c r="M24" s="390" t="s">
        <v>5025</v>
      </c>
    </row>
    <row r="25" spans="1:13" x14ac:dyDescent="0.3">
      <c r="A25" t="s">
        <v>5026</v>
      </c>
      <c r="K25" s="390" t="s">
        <v>5025</v>
      </c>
      <c r="L25" s="390" t="s">
        <v>5025</v>
      </c>
      <c r="M25" s="390" t="s">
        <v>5025</v>
      </c>
    </row>
    <row r="26" spans="1:13" x14ac:dyDescent="0.3">
      <c r="A26" s="369" t="s">
        <v>5027</v>
      </c>
      <c r="B26" s="369"/>
      <c r="C26">
        <v>755</v>
      </c>
      <c r="D26">
        <v>777</v>
      </c>
      <c r="E26">
        <v>799</v>
      </c>
      <c r="H26" s="37"/>
      <c r="I26" s="37"/>
      <c r="J26" s="37"/>
      <c r="K26" s="390" t="s">
        <v>5028</v>
      </c>
      <c r="L26" s="391">
        <v>243870584</v>
      </c>
      <c r="M26" s="390" t="s">
        <v>5025</v>
      </c>
    </row>
    <row r="27" spans="1:13" x14ac:dyDescent="0.3">
      <c r="A27" s="369" t="s">
        <v>5029</v>
      </c>
      <c r="B27" s="369"/>
      <c r="C27">
        <v>842</v>
      </c>
      <c r="D27">
        <v>819</v>
      </c>
      <c r="E27">
        <v>841</v>
      </c>
      <c r="H27" s="37"/>
      <c r="I27" s="37"/>
      <c r="J27" s="37"/>
      <c r="K27" s="390" t="s">
        <v>5025</v>
      </c>
      <c r="L27" s="390" t="s">
        <v>5025</v>
      </c>
      <c r="M27" s="390" t="s">
        <v>5025</v>
      </c>
    </row>
    <row r="28" spans="1:13" ht="15" thickBot="1" x14ac:dyDescent="0.35">
      <c r="I28" s="37"/>
      <c r="K28" s="390" t="s">
        <v>5030</v>
      </c>
      <c r="L28" s="391">
        <v>136930314</v>
      </c>
      <c r="M28" s="392">
        <v>0.56000000000000005</v>
      </c>
    </row>
    <row r="29" spans="1:13" ht="15" thickBot="1" x14ac:dyDescent="0.35">
      <c r="A29" t="s">
        <v>5031</v>
      </c>
      <c r="C29">
        <v>323</v>
      </c>
      <c r="D29">
        <v>327</v>
      </c>
      <c r="E29">
        <v>344</v>
      </c>
      <c r="H29" s="37"/>
      <c r="I29" s="37"/>
      <c r="J29" s="504">
        <f>E29</f>
        <v>344</v>
      </c>
      <c r="K29" s="390" t="s">
        <v>5032</v>
      </c>
      <c r="L29" s="391">
        <v>2714766</v>
      </c>
      <c r="M29" s="392">
        <v>0.01</v>
      </c>
    </row>
    <row r="30" spans="1:13" x14ac:dyDescent="0.3">
      <c r="A30" t="s">
        <v>5033</v>
      </c>
      <c r="H30" s="37"/>
      <c r="J30" s="502">
        <f>M30*J29</f>
        <v>147.91999999999999</v>
      </c>
      <c r="K30" s="390" t="s">
        <v>5034</v>
      </c>
      <c r="L30" s="391">
        <v>105544356</v>
      </c>
      <c r="M30" s="393">
        <v>0.43</v>
      </c>
    </row>
    <row r="31" spans="1:13" x14ac:dyDescent="0.3">
      <c r="A31" t="s">
        <v>5035</v>
      </c>
      <c r="H31" s="37"/>
      <c r="J31" s="502">
        <f>SUM(M28:M29)*J29</f>
        <v>196.08</v>
      </c>
      <c r="K31" s="390" t="s">
        <v>5036</v>
      </c>
      <c r="L31" s="391">
        <v>-1318852</v>
      </c>
      <c r="M31" s="390" t="s">
        <v>5025</v>
      </c>
    </row>
    <row r="32" spans="1:13" x14ac:dyDescent="0.3">
      <c r="H32" s="37"/>
      <c r="I32" s="37"/>
    </row>
    <row r="33" spans="1:27" x14ac:dyDescent="0.3">
      <c r="A33" t="s">
        <v>5037</v>
      </c>
      <c r="B33" s="43">
        <f>AVERAGE(C38:H38)</f>
        <v>3.2101279650112093E-2</v>
      </c>
      <c r="I33" s="37"/>
    </row>
    <row r="34" spans="1:27" x14ac:dyDescent="0.3">
      <c r="B34" s="369"/>
      <c r="H34" s="37"/>
      <c r="I34" s="37"/>
    </row>
    <row r="35" spans="1:27" s="58" customFormat="1" x14ac:dyDescent="0.3">
      <c r="A35" s="445" t="s">
        <v>5038</v>
      </c>
      <c r="B35" s="446">
        <v>2020</v>
      </c>
      <c r="C35" s="446">
        <v>2021</v>
      </c>
      <c r="D35" s="446">
        <v>2022</v>
      </c>
      <c r="E35" s="446">
        <v>2023</v>
      </c>
      <c r="F35" s="446">
        <v>2024</v>
      </c>
      <c r="G35" s="446">
        <v>2025</v>
      </c>
      <c r="H35" s="446">
        <v>2026</v>
      </c>
      <c r="I35" s="446">
        <v>2027</v>
      </c>
      <c r="J35" s="446">
        <v>2028</v>
      </c>
      <c r="K35" s="446">
        <v>2029</v>
      </c>
      <c r="L35" s="446">
        <v>2030</v>
      </c>
      <c r="M35" s="446">
        <v>2031</v>
      </c>
      <c r="N35" s="446">
        <v>2032</v>
      </c>
      <c r="O35" s="446">
        <v>2033</v>
      </c>
      <c r="P35" s="446">
        <v>2034</v>
      </c>
      <c r="Q35" s="446">
        <v>2035</v>
      </c>
      <c r="R35" s="446">
        <v>2036</v>
      </c>
      <c r="S35" s="446">
        <v>2037</v>
      </c>
      <c r="T35" s="446">
        <v>2038</v>
      </c>
      <c r="U35" s="446">
        <v>2039</v>
      </c>
      <c r="V35" s="446">
        <v>2040</v>
      </c>
      <c r="W35" s="446">
        <v>2041</v>
      </c>
      <c r="X35" s="446">
        <v>2042</v>
      </c>
      <c r="Y35" s="446">
        <v>2043</v>
      </c>
      <c r="Z35" s="446">
        <v>2044</v>
      </c>
      <c r="AA35" s="446">
        <v>2045</v>
      </c>
    </row>
    <row r="36" spans="1:27" x14ac:dyDescent="0.3">
      <c r="A36" t="s">
        <v>5039</v>
      </c>
      <c r="B36" s="399">
        <f>'Met water rate forecast'!C14</f>
        <v>323</v>
      </c>
      <c r="C36" s="399">
        <f>'Met water rate forecast'!D14</f>
        <v>327</v>
      </c>
      <c r="D36" s="399">
        <f>'Met water rate forecast'!E14</f>
        <v>344</v>
      </c>
      <c r="E36" s="399">
        <f>'Met water rate forecast'!F14</f>
        <v>344</v>
      </c>
      <c r="F36" s="399">
        <f>'Met water rate forecast'!G14</f>
        <v>361</v>
      </c>
      <c r="G36" s="399">
        <f>'Met water rate forecast'!H14</f>
        <v>373</v>
      </c>
      <c r="H36" s="399">
        <f>'Met water rate forecast'!I14</f>
        <v>390</v>
      </c>
      <c r="I36" s="399">
        <f>'Met water rate forecast'!J14</f>
        <v>390</v>
      </c>
      <c r="J36" s="399">
        <f>'Met water rate forecast'!K14</f>
        <v>390</v>
      </c>
      <c r="K36" s="399">
        <f>'Met water rate forecast'!L14</f>
        <v>390</v>
      </c>
      <c r="L36" s="399">
        <f>'Met water rate forecast'!M14</f>
        <v>390</v>
      </c>
    </row>
    <row r="37" spans="1:27" x14ac:dyDescent="0.3">
      <c r="B37" s="399"/>
      <c r="C37" s="399"/>
      <c r="D37" s="399"/>
      <c r="E37" s="399"/>
      <c r="F37" s="399"/>
      <c r="G37" s="399"/>
      <c r="H37" s="399"/>
      <c r="I37" s="399"/>
      <c r="J37" s="399"/>
      <c r="K37" s="399"/>
      <c r="L37" s="399"/>
    </row>
    <row r="38" spans="1:27" x14ac:dyDescent="0.3">
      <c r="A38" t="s">
        <v>5040</v>
      </c>
      <c r="C38" s="42">
        <f t="shared" ref="C38:L38" si="2">(C36-B36)/B36</f>
        <v>1.238390092879257E-2</v>
      </c>
      <c r="D38" s="42">
        <f t="shared" si="2"/>
        <v>5.1987767584097858E-2</v>
      </c>
      <c r="E38" s="42">
        <f t="shared" si="2"/>
        <v>0</v>
      </c>
      <c r="F38" s="42">
        <f t="shared" si="2"/>
        <v>4.9418604651162788E-2</v>
      </c>
      <c r="G38" s="42">
        <f t="shared" si="2"/>
        <v>3.3240997229916899E-2</v>
      </c>
      <c r="H38" s="42">
        <f t="shared" si="2"/>
        <v>4.5576407506702415E-2</v>
      </c>
      <c r="I38" s="42">
        <f t="shared" si="2"/>
        <v>0</v>
      </c>
      <c r="J38" s="42">
        <f t="shared" si="2"/>
        <v>0</v>
      </c>
      <c r="K38" s="42">
        <f t="shared" si="2"/>
        <v>0</v>
      </c>
      <c r="L38" s="42">
        <f t="shared" si="2"/>
        <v>0</v>
      </c>
    </row>
    <row r="43" spans="1:27" x14ac:dyDescent="0.3">
      <c r="A43" t="s">
        <v>5041</v>
      </c>
      <c r="C43" s="37">
        <f>J31</f>
        <v>196.08</v>
      </c>
      <c r="D43" s="37">
        <f>C43*(1+$B$33)</f>
        <v>202.37441891379399</v>
      </c>
      <c r="E43" s="37">
        <f t="shared" ref="E43:Y44" si="3">D43*(1+$B$33)</f>
        <v>208.87089672937464</v>
      </c>
      <c r="F43" s="37">
        <f>E43*(1+$B$33)</f>
        <v>215.57591979605397</v>
      </c>
      <c r="G43" s="37">
        <f>F43*(1+$B$33)</f>
        <v>222.49618268325725</v>
      </c>
      <c r="H43" s="37">
        <f t="shared" si="3"/>
        <v>229.63859486465492</v>
      </c>
      <c r="I43" s="37">
        <f t="shared" si="3"/>
        <v>237.01028761686402</v>
      </c>
      <c r="J43" s="37">
        <f t="shared" si="3"/>
        <v>244.61862113960649</v>
      </c>
      <c r="K43" s="37">
        <f t="shared" si="3"/>
        <v>252.47119190443382</v>
      </c>
      <c r="L43" s="37">
        <f>K43*(1+$B$33)</f>
        <v>260.57584023935516</v>
      </c>
      <c r="M43" s="37">
        <f>L43*(1+$B$33)</f>
        <v>268.94065815694165</v>
      </c>
      <c r="N43" s="37">
        <f t="shared" si="3"/>
        <v>277.57399743372287</v>
      </c>
      <c r="O43" s="37">
        <f t="shared" si="3"/>
        <v>286.4844779489423</v>
      </c>
      <c r="P43" s="37">
        <f t="shared" si="3"/>
        <v>295.68099629099765</v>
      </c>
      <c r="Q43" s="37">
        <f t="shared" si="3"/>
        <v>305.17273464015875</v>
      </c>
      <c r="R43" s="37">
        <f t="shared" si="3"/>
        <v>314.96916993643197</v>
      </c>
      <c r="S43" s="37">
        <f t="shared" si="3"/>
        <v>325.08008334172507</v>
      </c>
      <c r="T43" s="37">
        <f t="shared" si="3"/>
        <v>335.51557000575951</v>
      </c>
      <c r="U43" s="37">
        <f t="shared" si="3"/>
        <v>346.28604914548117</v>
      </c>
      <c r="V43" s="37">
        <f t="shared" si="3"/>
        <v>357.40227444803276</v>
      </c>
      <c r="W43" s="37">
        <f t="shared" si="3"/>
        <v>368.87534480767516</v>
      </c>
      <c r="X43" s="37">
        <f t="shared" si="3"/>
        <v>380.71671540737788</v>
      </c>
      <c r="Y43" s="37">
        <f t="shared" si="3"/>
        <v>392.93820915614225</v>
      </c>
      <c r="Z43" s="37">
        <f t="shared" ref="Z43:Z44" si="4">Y43*(1+$B$33)</f>
        <v>405.55202849347779</v>
      </c>
      <c r="AA43" s="37">
        <f>Z43*(1+$B$33)</f>
        <v>418.57076757281715</v>
      </c>
    </row>
    <row r="44" spans="1:27" x14ac:dyDescent="0.3">
      <c r="A44" t="s">
        <v>5042</v>
      </c>
      <c r="C44" s="337" t="e">
        <f>M16</f>
        <v>#REF!</v>
      </c>
      <c r="D44" s="337" t="e">
        <f>C44*(1+$B$33)</f>
        <v>#REF!</v>
      </c>
      <c r="E44" s="337" t="e">
        <f t="shared" si="3"/>
        <v>#REF!</v>
      </c>
      <c r="F44" s="337" t="e">
        <f t="shared" ref="F44:G44" si="5">E44*(1+$B$33)</f>
        <v>#REF!</v>
      </c>
      <c r="G44" s="337" t="e">
        <f t="shared" si="5"/>
        <v>#REF!</v>
      </c>
      <c r="H44" s="337" t="e">
        <f t="shared" si="3"/>
        <v>#REF!</v>
      </c>
      <c r="I44" s="337" t="e">
        <f t="shared" si="3"/>
        <v>#REF!</v>
      </c>
      <c r="J44" s="337" t="e">
        <f t="shared" si="3"/>
        <v>#REF!</v>
      </c>
      <c r="K44" s="337" t="e">
        <f t="shared" si="3"/>
        <v>#REF!</v>
      </c>
      <c r="L44" s="337" t="e">
        <f t="shared" ref="L44:M44" si="6">K44*(1+$B$33)</f>
        <v>#REF!</v>
      </c>
      <c r="M44" s="337" t="e">
        <f t="shared" si="6"/>
        <v>#REF!</v>
      </c>
      <c r="N44" s="337" t="e">
        <f t="shared" si="3"/>
        <v>#REF!</v>
      </c>
      <c r="O44" s="337" t="e">
        <f t="shared" si="3"/>
        <v>#REF!</v>
      </c>
      <c r="P44" s="337" t="e">
        <f t="shared" si="3"/>
        <v>#REF!</v>
      </c>
      <c r="Q44" s="337" t="e">
        <f t="shared" si="3"/>
        <v>#REF!</v>
      </c>
      <c r="R44" s="337" t="e">
        <f t="shared" si="3"/>
        <v>#REF!</v>
      </c>
      <c r="S44" s="337" t="e">
        <f t="shared" si="3"/>
        <v>#REF!</v>
      </c>
      <c r="T44" s="337" t="e">
        <f t="shared" si="3"/>
        <v>#REF!</v>
      </c>
      <c r="U44" s="337" t="e">
        <f t="shared" si="3"/>
        <v>#REF!</v>
      </c>
      <c r="V44" s="337" t="e">
        <f t="shared" si="3"/>
        <v>#REF!</v>
      </c>
      <c r="W44" s="337" t="e">
        <f t="shared" si="3"/>
        <v>#REF!</v>
      </c>
      <c r="X44" s="337" t="e">
        <f t="shared" si="3"/>
        <v>#REF!</v>
      </c>
      <c r="Y44" s="337" t="e">
        <f t="shared" si="3"/>
        <v>#REF!</v>
      </c>
      <c r="Z44" s="337" t="e">
        <f t="shared" si="4"/>
        <v>#REF!</v>
      </c>
      <c r="AA44" s="337" t="e">
        <f t="shared" ref="AA44" si="7">Z44*(1+$B$33)</f>
        <v>#REF!</v>
      </c>
    </row>
    <row r="46" spans="1:27" x14ac:dyDescent="0.3">
      <c r="A46" t="s">
        <v>5019</v>
      </c>
      <c r="C46" s="37" t="e">
        <f>AVERAGE(C43:C44)</f>
        <v>#REF!</v>
      </c>
      <c r="D46" s="37" t="e">
        <f t="shared" ref="D46:AA46" si="8">AVERAGE(D43:D44)</f>
        <v>#REF!</v>
      </c>
      <c r="E46" s="37" t="e">
        <f t="shared" si="8"/>
        <v>#REF!</v>
      </c>
      <c r="F46" s="37" t="e">
        <f t="shared" si="8"/>
        <v>#REF!</v>
      </c>
      <c r="G46" s="37" t="e">
        <f>AVERAGE(G43:G44)</f>
        <v>#REF!</v>
      </c>
      <c r="H46" s="37" t="e">
        <f t="shared" si="8"/>
        <v>#REF!</v>
      </c>
      <c r="I46" s="37" t="e">
        <f t="shared" si="8"/>
        <v>#REF!</v>
      </c>
      <c r="J46" s="37" t="e">
        <f t="shared" si="8"/>
        <v>#REF!</v>
      </c>
      <c r="K46" s="37" t="e">
        <f t="shared" si="8"/>
        <v>#REF!</v>
      </c>
      <c r="L46" s="37" t="e">
        <f t="shared" si="8"/>
        <v>#REF!</v>
      </c>
      <c r="M46" s="37" t="e">
        <f t="shared" si="8"/>
        <v>#REF!</v>
      </c>
      <c r="N46" s="37" t="e">
        <f t="shared" si="8"/>
        <v>#REF!</v>
      </c>
      <c r="O46" s="37" t="e">
        <f t="shared" si="8"/>
        <v>#REF!</v>
      </c>
      <c r="P46" s="37" t="e">
        <f t="shared" si="8"/>
        <v>#REF!</v>
      </c>
      <c r="Q46" s="37" t="e">
        <f t="shared" si="8"/>
        <v>#REF!</v>
      </c>
      <c r="R46" s="37" t="e">
        <f t="shared" si="8"/>
        <v>#REF!</v>
      </c>
      <c r="S46" s="37" t="e">
        <f t="shared" si="8"/>
        <v>#REF!</v>
      </c>
      <c r="T46" s="37" t="e">
        <f t="shared" si="8"/>
        <v>#REF!</v>
      </c>
      <c r="U46" s="37" t="e">
        <f t="shared" si="8"/>
        <v>#REF!</v>
      </c>
      <c r="V46" s="37" t="e">
        <f t="shared" si="8"/>
        <v>#REF!</v>
      </c>
      <c r="W46" s="37" t="e">
        <f t="shared" si="8"/>
        <v>#REF!</v>
      </c>
      <c r="X46" s="37" t="e">
        <f t="shared" si="8"/>
        <v>#REF!</v>
      </c>
      <c r="Y46" s="37" t="e">
        <f t="shared" si="8"/>
        <v>#REF!</v>
      </c>
      <c r="Z46" s="37" t="e">
        <f t="shared" si="8"/>
        <v>#REF!</v>
      </c>
      <c r="AA46" s="37" t="e">
        <f t="shared" si="8"/>
        <v>#REF!</v>
      </c>
    </row>
  </sheetData>
  <hyperlinks>
    <hyperlink ref="K24" r:id="rId1" location="budget-rates-charges" xr:uid="{29639265-6F61-46D8-8B74-17C304D00ED8}"/>
    <hyperlink ref="C21" r:id="rId2" location="budget-rates-charges" xr:uid="{52D974AC-911A-4104-8AD9-4611CA860C04}"/>
    <hyperlink ref="A2" r:id="rId3" display="https://www.kcwa.com/wp-content/uploads/2022/02/ROWC2021_FINAL.pdf" xr:uid="{D384D778-927E-4702-A369-F201880DFDCE}"/>
  </hyperlinks>
  <pageMargins left="0.7" right="0.7" top="0.75" bottom="0.75" header="0.3" footer="0.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963A5-55AA-4E39-BF13-32A0C6035B69}">
  <sheetPr codeName="Sheet55"/>
  <dimension ref="A1:AA41"/>
  <sheetViews>
    <sheetView workbookViewId="0"/>
  </sheetViews>
  <sheetFormatPr defaultRowHeight="14.4" x14ac:dyDescent="0.3"/>
  <cols>
    <col min="1" max="1" width="25.5546875" customWidth="1"/>
    <col min="2" max="2" width="16.88671875" bestFit="1" customWidth="1"/>
    <col min="3" max="3" width="16.109375" customWidth="1"/>
    <col min="4" max="4" width="10.88671875" customWidth="1"/>
    <col min="5" max="5" width="14.44140625" customWidth="1"/>
    <col min="6" max="6" width="11.44140625" customWidth="1"/>
  </cols>
  <sheetData>
    <row r="1" spans="1:12" x14ac:dyDescent="0.3">
      <c r="A1" t="s">
        <v>5043</v>
      </c>
    </row>
    <row r="2" spans="1:12" x14ac:dyDescent="0.3">
      <c r="A2" t="s">
        <v>5044</v>
      </c>
    </row>
    <row r="3" spans="1:12" x14ac:dyDescent="0.3">
      <c r="A3" t="s">
        <v>5045</v>
      </c>
    </row>
    <row r="4" spans="1:12" x14ac:dyDescent="0.3">
      <c r="B4" t="s">
        <v>5046</v>
      </c>
      <c r="D4" t="s">
        <v>5047</v>
      </c>
      <c r="F4" s="419" t="s">
        <v>5048</v>
      </c>
      <c r="G4" s="420"/>
      <c r="H4" s="420"/>
      <c r="I4" s="420"/>
      <c r="J4" s="420"/>
      <c r="K4" s="420"/>
      <c r="L4" s="420"/>
    </row>
    <row r="5" spans="1:12" x14ac:dyDescent="0.3">
      <c r="A5" t="s">
        <v>5049</v>
      </c>
      <c r="B5" s="413">
        <v>1920000000</v>
      </c>
      <c r="C5" s="413"/>
      <c r="D5" s="414">
        <f>B5*3.068883*(10^(-6))</f>
        <v>5892.2553600000001</v>
      </c>
      <c r="F5" s="420" t="s">
        <v>5050</v>
      </c>
      <c r="G5" s="420"/>
      <c r="H5" s="420"/>
      <c r="I5" s="420"/>
      <c r="J5" s="420"/>
      <c r="K5" s="420"/>
      <c r="L5" s="420"/>
    </row>
    <row r="6" spans="1:12" x14ac:dyDescent="0.3">
      <c r="F6" s="420" t="s">
        <v>5051</v>
      </c>
      <c r="G6" s="420" t="s">
        <v>5052</v>
      </c>
      <c r="H6" s="420"/>
      <c r="I6" s="420"/>
      <c r="J6" s="420"/>
      <c r="K6" s="420"/>
      <c r="L6" s="420"/>
    </row>
    <row r="7" spans="1:12" x14ac:dyDescent="0.3">
      <c r="F7" s="420">
        <v>8.36</v>
      </c>
      <c r="G7" s="420">
        <v>18</v>
      </c>
      <c r="H7" s="420"/>
      <c r="I7" s="420"/>
      <c r="J7" s="420"/>
      <c r="K7" s="420"/>
      <c r="L7" s="420"/>
    </row>
    <row r="8" spans="1:12" x14ac:dyDescent="0.3">
      <c r="A8" t="s">
        <v>5053</v>
      </c>
      <c r="B8" t="s">
        <v>5054</v>
      </c>
      <c r="D8" t="s">
        <v>5055</v>
      </c>
      <c r="F8" t="s">
        <v>5056</v>
      </c>
    </row>
    <row r="9" spans="1:12" x14ac:dyDescent="0.3">
      <c r="A9" t="s">
        <v>5057</v>
      </c>
      <c r="B9" s="418">
        <v>283510.81</v>
      </c>
      <c r="C9" s="335">
        <f>B9/B12</f>
        <v>0.46615444905177117</v>
      </c>
      <c r="F9" s="418">
        <f>B9</f>
        <v>283510.81</v>
      </c>
      <c r="G9" s="335">
        <f>F9/F12</f>
        <v>0.28146647546018094</v>
      </c>
    </row>
    <row r="10" spans="1:12" x14ac:dyDescent="0.3">
      <c r="A10" t="s">
        <v>5058</v>
      </c>
      <c r="B10" s="418">
        <v>324679.90999999997</v>
      </c>
      <c r="C10" s="335">
        <f>B10/B12</f>
        <v>0.53384555094822883</v>
      </c>
      <c r="D10" s="240">
        <f>B10/D33</f>
        <v>4020846.3591619553</v>
      </c>
      <c r="F10" s="418">
        <f>D10*(G7/100)</f>
        <v>723752.3446491519</v>
      </c>
      <c r="G10" s="335">
        <f>F10/F12</f>
        <v>0.718533524539819</v>
      </c>
    </row>
    <row r="11" spans="1:12" x14ac:dyDescent="0.3">
      <c r="B11" s="418"/>
      <c r="C11" s="418"/>
    </row>
    <row r="12" spans="1:12" x14ac:dyDescent="0.3">
      <c r="A12" t="s">
        <v>5059</v>
      </c>
      <c r="B12" s="418">
        <f>SUM(B9:B10)</f>
        <v>608190.71999999997</v>
      </c>
      <c r="C12" s="418"/>
      <c r="F12" s="418">
        <f>F10+B9</f>
        <v>1007263.154649152</v>
      </c>
    </row>
    <row r="13" spans="1:12" x14ac:dyDescent="0.3">
      <c r="B13" s="418"/>
      <c r="C13" s="418"/>
    </row>
    <row r="14" spans="1:12" x14ac:dyDescent="0.3">
      <c r="A14" t="s">
        <v>5060</v>
      </c>
      <c r="B14" s="418">
        <f>B12/D5</f>
        <v>103.21866294674642</v>
      </c>
      <c r="C14" s="418"/>
      <c r="F14" s="418">
        <f>F12/D5</f>
        <v>170.94696225948223</v>
      </c>
    </row>
    <row r="18" spans="1:4" x14ac:dyDescent="0.3">
      <c r="A18" t="s">
        <v>5061</v>
      </c>
    </row>
    <row r="19" spans="1:4" x14ac:dyDescent="0.3">
      <c r="A19" t="s">
        <v>5062</v>
      </c>
      <c r="B19" t="s">
        <v>5055</v>
      </c>
      <c r="C19" t="s">
        <v>5063</v>
      </c>
      <c r="D19" t="s">
        <v>5064</v>
      </c>
    </row>
    <row r="20" spans="1:4" x14ac:dyDescent="0.3">
      <c r="A20" s="417">
        <v>44440</v>
      </c>
      <c r="B20" s="240">
        <v>596344</v>
      </c>
      <c r="C20" s="418">
        <v>32997.81</v>
      </c>
      <c r="D20">
        <f>C20/B20</f>
        <v>5.5333515554780457E-2</v>
      </c>
    </row>
    <row r="21" spans="1:4" x14ac:dyDescent="0.3">
      <c r="A21" s="417">
        <v>44470</v>
      </c>
      <c r="B21" s="240">
        <v>365328</v>
      </c>
      <c r="C21" s="418">
        <v>29437</v>
      </c>
      <c r="D21">
        <f t="shared" ref="D21:D31" si="0">C21/B21</f>
        <v>8.0576906232207771E-2</v>
      </c>
    </row>
    <row r="22" spans="1:4" x14ac:dyDescent="0.3">
      <c r="A22" s="417">
        <v>44501</v>
      </c>
      <c r="B22" s="240">
        <v>360432</v>
      </c>
      <c r="C22" s="418">
        <v>29142.98</v>
      </c>
      <c r="D22">
        <f t="shared" si="0"/>
        <v>8.0855695387756915E-2</v>
      </c>
    </row>
    <row r="23" spans="1:4" x14ac:dyDescent="0.3">
      <c r="A23" s="417">
        <v>44531</v>
      </c>
      <c r="B23" s="240">
        <v>342432</v>
      </c>
      <c r="C23" s="418">
        <v>27953.61</v>
      </c>
      <c r="D23">
        <f t="shared" si="0"/>
        <v>8.1632586907765634E-2</v>
      </c>
    </row>
    <row r="24" spans="1:4" x14ac:dyDescent="0.3">
      <c r="A24" s="417">
        <v>44562</v>
      </c>
      <c r="B24" s="240">
        <v>347232</v>
      </c>
      <c r="C24" s="418">
        <v>28338.97</v>
      </c>
      <c r="D24">
        <f t="shared" si="0"/>
        <v>8.1613935351580499E-2</v>
      </c>
    </row>
    <row r="25" spans="1:4" x14ac:dyDescent="0.3">
      <c r="A25" s="417">
        <v>44593</v>
      </c>
      <c r="B25" s="240">
        <v>347808</v>
      </c>
      <c r="C25" s="418">
        <v>28297.84</v>
      </c>
      <c r="D25">
        <f t="shared" si="0"/>
        <v>8.1360520747078849E-2</v>
      </c>
    </row>
    <row r="26" spans="1:4" x14ac:dyDescent="0.3">
      <c r="A26" s="417">
        <v>44621</v>
      </c>
      <c r="B26" s="240">
        <v>359760</v>
      </c>
      <c r="C26" s="418">
        <v>29229.22</v>
      </c>
      <c r="D26">
        <f t="shared" si="0"/>
        <v>8.1246442072492778E-2</v>
      </c>
    </row>
    <row r="27" spans="1:4" x14ac:dyDescent="0.3">
      <c r="A27" s="417">
        <v>44652</v>
      </c>
      <c r="B27" s="240">
        <v>376368</v>
      </c>
      <c r="C27" s="418">
        <v>30375.599999999999</v>
      </c>
      <c r="D27">
        <f t="shared" si="0"/>
        <v>8.0707180206606291E-2</v>
      </c>
    </row>
    <row r="28" spans="1:4" x14ac:dyDescent="0.3">
      <c r="A28" s="417">
        <v>44682</v>
      </c>
      <c r="B28" s="240">
        <v>366144</v>
      </c>
      <c r="C28" s="418">
        <v>29528.83</v>
      </c>
      <c r="D28">
        <f t="shared" si="0"/>
        <v>8.064813297500438E-2</v>
      </c>
    </row>
    <row r="29" spans="1:4" x14ac:dyDescent="0.3">
      <c r="A29" s="417">
        <v>44713</v>
      </c>
      <c r="B29" s="240">
        <v>392736</v>
      </c>
      <c r="C29" s="418">
        <v>31422.83</v>
      </c>
      <c r="D29">
        <f t="shared" si="0"/>
        <v>8.0010057646867111E-2</v>
      </c>
    </row>
    <row r="30" spans="1:4" x14ac:dyDescent="0.3">
      <c r="A30" s="417">
        <v>44743</v>
      </c>
      <c r="B30" s="240">
        <v>376176</v>
      </c>
      <c r="C30" s="418">
        <v>30011.16</v>
      </c>
      <c r="D30">
        <f t="shared" si="0"/>
        <v>7.9779571264514487E-2</v>
      </c>
    </row>
    <row r="31" spans="1:4" x14ac:dyDescent="0.3">
      <c r="A31" s="417">
        <v>44774</v>
      </c>
      <c r="B31" s="240">
        <v>384672</v>
      </c>
      <c r="C31" s="418">
        <v>30700.51</v>
      </c>
      <c r="D31">
        <f t="shared" si="0"/>
        <v>7.9809578030113959E-2</v>
      </c>
    </row>
    <row r="32" spans="1:4" x14ac:dyDescent="0.3">
      <c r="A32" s="417"/>
    </row>
    <row r="33" spans="1:27" x14ac:dyDescent="0.3">
      <c r="A33" s="417"/>
      <c r="C33" t="s">
        <v>5019</v>
      </c>
      <c r="D33">
        <f>AVERAGE(D21:D31)</f>
        <v>8.0749146074726261E-2</v>
      </c>
    </row>
    <row r="36" spans="1:27" x14ac:dyDescent="0.3">
      <c r="A36" t="s">
        <v>5065</v>
      </c>
      <c r="B36">
        <v>2020</v>
      </c>
      <c r="C36">
        <v>2021</v>
      </c>
      <c r="D36">
        <v>2022</v>
      </c>
      <c r="E36">
        <v>2023</v>
      </c>
      <c r="F36">
        <v>2024</v>
      </c>
      <c r="G36">
        <v>2025</v>
      </c>
      <c r="H36">
        <v>2026</v>
      </c>
      <c r="I36">
        <v>2027</v>
      </c>
      <c r="J36">
        <v>2028</v>
      </c>
      <c r="K36">
        <v>2029</v>
      </c>
      <c r="L36">
        <v>2030</v>
      </c>
      <c r="M36">
        <v>2031</v>
      </c>
      <c r="N36">
        <v>2032</v>
      </c>
      <c r="O36">
        <v>2033</v>
      </c>
      <c r="P36">
        <v>2034</v>
      </c>
      <c r="Q36">
        <v>2035</v>
      </c>
      <c r="R36">
        <v>2036</v>
      </c>
      <c r="S36">
        <v>2037</v>
      </c>
      <c r="T36">
        <v>2038</v>
      </c>
      <c r="U36">
        <v>2039</v>
      </c>
      <c r="V36">
        <v>2040</v>
      </c>
      <c r="W36">
        <v>2041</v>
      </c>
      <c r="X36">
        <v>2042</v>
      </c>
      <c r="Y36">
        <v>2043</v>
      </c>
      <c r="Z36">
        <v>2044</v>
      </c>
      <c r="AA36">
        <v>2045</v>
      </c>
    </row>
    <row r="37" spans="1:27" x14ac:dyDescent="0.3">
      <c r="A37" t="s">
        <v>5057</v>
      </c>
      <c r="B37" s="418">
        <f>F9/D5</f>
        <v>48.115838957801039</v>
      </c>
      <c r="C37" s="418">
        <f>$B$37</f>
        <v>48.115838957801039</v>
      </c>
      <c r="D37" s="418">
        <f t="shared" ref="D37:AA37" si="1">$B$37</f>
        <v>48.115838957801039</v>
      </c>
      <c r="E37" s="418">
        <f t="shared" si="1"/>
        <v>48.115838957801039</v>
      </c>
      <c r="F37" s="418">
        <f t="shared" si="1"/>
        <v>48.115838957801039</v>
      </c>
      <c r="G37" s="418">
        <f t="shared" si="1"/>
        <v>48.115838957801039</v>
      </c>
      <c r="H37" s="418">
        <f t="shared" si="1"/>
        <v>48.115838957801039</v>
      </c>
      <c r="I37" s="418">
        <f t="shared" si="1"/>
        <v>48.115838957801039</v>
      </c>
      <c r="J37" s="418">
        <f t="shared" si="1"/>
        <v>48.115838957801039</v>
      </c>
      <c r="K37" s="418">
        <f t="shared" si="1"/>
        <v>48.115838957801039</v>
      </c>
      <c r="L37" s="418">
        <f t="shared" si="1"/>
        <v>48.115838957801039</v>
      </c>
      <c r="M37" s="418">
        <f t="shared" si="1"/>
        <v>48.115838957801039</v>
      </c>
      <c r="N37" s="418">
        <f t="shared" si="1"/>
        <v>48.115838957801039</v>
      </c>
      <c r="O37" s="418">
        <f t="shared" si="1"/>
        <v>48.115838957801039</v>
      </c>
      <c r="P37" s="418">
        <f t="shared" si="1"/>
        <v>48.115838957801039</v>
      </c>
      <c r="Q37" s="418">
        <f t="shared" si="1"/>
        <v>48.115838957801039</v>
      </c>
      <c r="R37" s="418">
        <f t="shared" si="1"/>
        <v>48.115838957801039</v>
      </c>
      <c r="S37" s="418">
        <f t="shared" si="1"/>
        <v>48.115838957801039</v>
      </c>
      <c r="T37" s="418">
        <f t="shared" si="1"/>
        <v>48.115838957801039</v>
      </c>
      <c r="U37" s="418">
        <f t="shared" si="1"/>
        <v>48.115838957801039</v>
      </c>
      <c r="V37" s="418">
        <f t="shared" si="1"/>
        <v>48.115838957801039</v>
      </c>
      <c r="W37" s="418">
        <f t="shared" si="1"/>
        <v>48.115838957801039</v>
      </c>
      <c r="X37" s="418">
        <f t="shared" si="1"/>
        <v>48.115838957801039</v>
      </c>
      <c r="Y37" s="418">
        <f t="shared" si="1"/>
        <v>48.115838957801039</v>
      </c>
      <c r="Z37" s="418">
        <f t="shared" si="1"/>
        <v>48.115838957801039</v>
      </c>
      <c r="AA37" s="418">
        <f t="shared" si="1"/>
        <v>48.115838957801039</v>
      </c>
    </row>
    <row r="38" spans="1:27" x14ac:dyDescent="0.3">
      <c r="A38" t="s">
        <v>5066</v>
      </c>
      <c r="B38" s="418">
        <f>F10/D5</f>
        <v>122.83112330168119</v>
      </c>
      <c r="C38" s="418" t="e">
        <f>B38*(1+'Energy price forecasts'!$R$2)</f>
        <v>#REF!</v>
      </c>
      <c r="D38" s="418" t="e">
        <f>C38*(1+'Energy price forecasts'!$R$2)</f>
        <v>#REF!</v>
      </c>
      <c r="E38" s="418" t="e">
        <f>D38*(1+'Energy price forecasts'!$R$2)</f>
        <v>#REF!</v>
      </c>
      <c r="F38" s="418" t="e">
        <f>E38*(1+'Energy price forecasts'!$R$2)</f>
        <v>#REF!</v>
      </c>
      <c r="G38" s="418" t="e">
        <f>F38*(1+'Energy price forecasts'!$R$2)</f>
        <v>#REF!</v>
      </c>
      <c r="H38" s="418" t="e">
        <f>G38*(1+'Energy price forecasts'!$R$2)</f>
        <v>#REF!</v>
      </c>
      <c r="I38" s="418" t="e">
        <f>H38*(1+'Energy price forecasts'!$R$2)</f>
        <v>#REF!</v>
      </c>
      <c r="J38" s="418" t="e">
        <f>I38*(1+'Energy price forecasts'!$R$2)</f>
        <v>#REF!</v>
      </c>
      <c r="K38" s="418" t="e">
        <f>J38*(1+'Energy price forecasts'!$R$2)</f>
        <v>#REF!</v>
      </c>
      <c r="L38" s="418" t="e">
        <f>K38*(1+'Energy price forecasts'!$R$2)</f>
        <v>#REF!</v>
      </c>
      <c r="M38" s="418" t="e">
        <f>L38*(1+'Energy price forecasts'!$R$3)</f>
        <v>#REF!</v>
      </c>
      <c r="N38" s="418" t="e">
        <f>M38*(1+'Energy price forecasts'!$R$3)</f>
        <v>#REF!</v>
      </c>
      <c r="O38" s="418" t="e">
        <f>N38*(1+'Energy price forecasts'!$R$3)</f>
        <v>#REF!</v>
      </c>
      <c r="P38" s="418" t="e">
        <f>O38*(1+'Energy price forecasts'!$R$3)</f>
        <v>#REF!</v>
      </c>
      <c r="Q38" s="418" t="e">
        <f>P38*(1+'Energy price forecasts'!$R$3)</f>
        <v>#REF!</v>
      </c>
      <c r="R38" s="418" t="e">
        <f>Q38*(1+'Energy price forecasts'!$R$3)</f>
        <v>#REF!</v>
      </c>
      <c r="S38" s="418" t="e">
        <f>R38*(1+'Energy price forecasts'!$R$3)</f>
        <v>#REF!</v>
      </c>
      <c r="T38" s="418" t="e">
        <f>S38*(1+'Energy price forecasts'!$R$3)</f>
        <v>#REF!</v>
      </c>
      <c r="U38" s="418" t="e">
        <f>T38*(1+'Energy price forecasts'!$R$3)</f>
        <v>#REF!</v>
      </c>
      <c r="V38" s="418" t="e">
        <f>U38*(1+'Energy price forecasts'!$R$3)</f>
        <v>#REF!</v>
      </c>
      <c r="W38" s="418" t="e">
        <f>V38*(1+'Energy price forecasts'!$R$4)</f>
        <v>#REF!</v>
      </c>
      <c r="X38" s="418" t="e">
        <f>W38*(1+'Energy price forecasts'!$R$4)</f>
        <v>#REF!</v>
      </c>
      <c r="Y38" s="418" t="e">
        <f>X38*(1+'Energy price forecasts'!$R$4)</f>
        <v>#REF!</v>
      </c>
      <c r="Z38" s="418" t="e">
        <f>Y38*(1+'Energy price forecasts'!$R$4)</f>
        <v>#REF!</v>
      </c>
      <c r="AA38" s="418" t="e">
        <f>Z38*(1+'Energy price forecasts'!$R$4)</f>
        <v>#REF!</v>
      </c>
    </row>
    <row r="39" spans="1:27" x14ac:dyDescent="0.3">
      <c r="A39" t="s">
        <v>5067</v>
      </c>
      <c r="B39" s="418">
        <f>SUM(B37:B38)</f>
        <v>170.94696225948223</v>
      </c>
      <c r="C39" s="418" t="e">
        <f t="shared" ref="C39:AA39" si="2">SUM(C37:C38)</f>
        <v>#REF!</v>
      </c>
      <c r="D39" s="418" t="e">
        <f t="shared" si="2"/>
        <v>#REF!</v>
      </c>
      <c r="E39" s="418" t="e">
        <f t="shared" si="2"/>
        <v>#REF!</v>
      </c>
      <c r="F39" s="418" t="e">
        <f t="shared" si="2"/>
        <v>#REF!</v>
      </c>
      <c r="G39" s="418" t="e">
        <f t="shared" si="2"/>
        <v>#REF!</v>
      </c>
      <c r="H39" s="418" t="e">
        <f t="shared" si="2"/>
        <v>#REF!</v>
      </c>
      <c r="I39" s="418" t="e">
        <f t="shared" si="2"/>
        <v>#REF!</v>
      </c>
      <c r="J39" s="418" t="e">
        <f t="shared" si="2"/>
        <v>#REF!</v>
      </c>
      <c r="K39" s="418" t="e">
        <f t="shared" si="2"/>
        <v>#REF!</v>
      </c>
      <c r="L39" s="418" t="e">
        <f t="shared" si="2"/>
        <v>#REF!</v>
      </c>
      <c r="M39" s="418" t="e">
        <f t="shared" si="2"/>
        <v>#REF!</v>
      </c>
      <c r="N39" s="418" t="e">
        <f t="shared" si="2"/>
        <v>#REF!</v>
      </c>
      <c r="O39" s="418" t="e">
        <f t="shared" si="2"/>
        <v>#REF!</v>
      </c>
      <c r="P39" s="418" t="e">
        <f t="shared" si="2"/>
        <v>#REF!</v>
      </c>
      <c r="Q39" s="418" t="e">
        <f t="shared" si="2"/>
        <v>#REF!</v>
      </c>
      <c r="R39" s="418" t="e">
        <f t="shared" si="2"/>
        <v>#REF!</v>
      </c>
      <c r="S39" s="418" t="e">
        <f t="shared" si="2"/>
        <v>#REF!</v>
      </c>
      <c r="T39" s="418" t="e">
        <f t="shared" si="2"/>
        <v>#REF!</v>
      </c>
      <c r="U39" s="418" t="e">
        <f t="shared" si="2"/>
        <v>#REF!</v>
      </c>
      <c r="V39" s="418" t="e">
        <f t="shared" si="2"/>
        <v>#REF!</v>
      </c>
      <c r="W39" s="418" t="e">
        <f t="shared" si="2"/>
        <v>#REF!</v>
      </c>
      <c r="X39" s="418" t="e">
        <f t="shared" si="2"/>
        <v>#REF!</v>
      </c>
      <c r="Y39" s="418" t="e">
        <f t="shared" si="2"/>
        <v>#REF!</v>
      </c>
      <c r="Z39" s="418" t="e">
        <f t="shared" si="2"/>
        <v>#REF!</v>
      </c>
      <c r="AA39" s="418" t="e">
        <f t="shared" si="2"/>
        <v>#REF!</v>
      </c>
    </row>
    <row r="40" spans="1:27" x14ac:dyDescent="0.3">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row>
    <row r="41" spans="1:27" x14ac:dyDescent="0.3">
      <c r="A41" t="s">
        <v>5068</v>
      </c>
      <c r="B41" s="418" t="e">
        <f>B39/#REF!*#REF!</f>
        <v>#REF!</v>
      </c>
      <c r="C41" s="418" t="e">
        <f>C39/#REF!*#REF!</f>
        <v>#REF!</v>
      </c>
      <c r="D41" s="418" t="e">
        <f>D39/#REF!*#REF!</f>
        <v>#REF!</v>
      </c>
      <c r="E41" s="418" t="e">
        <f>E39/#REF!*#REF!</f>
        <v>#REF!</v>
      </c>
      <c r="F41" s="418" t="e">
        <f>F39/#REF!*#REF!</f>
        <v>#REF!</v>
      </c>
      <c r="G41" s="418" t="e">
        <f>G39/#REF!*#REF!</f>
        <v>#REF!</v>
      </c>
      <c r="H41" s="418" t="e">
        <f>H39/#REF!*#REF!</f>
        <v>#REF!</v>
      </c>
      <c r="I41" s="418" t="e">
        <f>I39/#REF!*#REF!</f>
        <v>#REF!</v>
      </c>
      <c r="J41" s="418" t="e">
        <f>J39/#REF!*#REF!</f>
        <v>#REF!</v>
      </c>
      <c r="K41" s="418" t="e">
        <f>K39/#REF!*#REF!</f>
        <v>#REF!</v>
      </c>
      <c r="L41" s="418" t="e">
        <f>L39/#REF!*#REF!</f>
        <v>#REF!</v>
      </c>
      <c r="M41" s="418" t="e">
        <f>M39/#REF!*#REF!</f>
        <v>#REF!</v>
      </c>
      <c r="N41" s="418" t="e">
        <f>N39/#REF!*#REF!</f>
        <v>#REF!</v>
      </c>
      <c r="O41" s="418" t="e">
        <f>O39/#REF!*#REF!</f>
        <v>#REF!</v>
      </c>
      <c r="P41" s="418" t="e">
        <f>P39/#REF!*#REF!</f>
        <v>#REF!</v>
      </c>
      <c r="Q41" s="418" t="e">
        <f>Q39/#REF!*#REF!</f>
        <v>#REF!</v>
      </c>
      <c r="R41" s="418" t="e">
        <f>R39/#REF!*#REF!</f>
        <v>#REF!</v>
      </c>
      <c r="S41" s="418" t="e">
        <f>S39/#REF!*#REF!</f>
        <v>#REF!</v>
      </c>
      <c r="T41" s="418" t="e">
        <f>T39/#REF!*#REF!</f>
        <v>#REF!</v>
      </c>
      <c r="U41" s="418" t="e">
        <f>U39/#REF!*#REF!</f>
        <v>#REF!</v>
      </c>
      <c r="V41" s="418" t="e">
        <f>V39/#REF!*#REF!</f>
        <v>#REF!</v>
      </c>
      <c r="W41" s="418" t="e">
        <f>W39/#REF!*#REF!</f>
        <v>#REF!</v>
      </c>
      <c r="X41" s="418" t="e">
        <f>X39/#REF!*#REF!</f>
        <v>#REF!</v>
      </c>
      <c r="Y41" s="418" t="e">
        <f>Y39/#REF!*#REF!</f>
        <v>#REF!</v>
      </c>
      <c r="Z41" s="418" t="e">
        <f>Z39/#REF!*#REF!</f>
        <v>#REF!</v>
      </c>
      <c r="AA41" s="418" t="e">
        <f>AA39/#REF!*#REF!</f>
        <v>#REF!</v>
      </c>
    </row>
  </sheetData>
  <hyperlinks>
    <hyperlink ref="F4" r:id="rId1" xr:uid="{6E0BC73F-4E4A-49CE-B898-DE3FE8277DDA}"/>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C810D-B17B-4F03-A95A-FA9911770E8B}">
  <sheetPr codeName="Sheet56"/>
  <dimension ref="A1:F7"/>
  <sheetViews>
    <sheetView workbookViewId="0"/>
  </sheetViews>
  <sheetFormatPr defaultRowHeight="14.4" x14ac:dyDescent="0.3"/>
  <cols>
    <col min="5" max="5" width="15.88671875" bestFit="1" customWidth="1"/>
    <col min="6" max="6" width="14.44140625" customWidth="1"/>
  </cols>
  <sheetData>
    <row r="1" spans="1:6" x14ac:dyDescent="0.3">
      <c r="E1" t="s">
        <v>5046</v>
      </c>
      <c r="F1" t="s">
        <v>5047</v>
      </c>
    </row>
    <row r="2" spans="1:6" x14ac:dyDescent="0.3">
      <c r="A2" t="s">
        <v>5069</v>
      </c>
      <c r="E2" s="240">
        <v>87900000</v>
      </c>
      <c r="F2" s="240">
        <f>E2*3.068883*(10^(-6))</f>
        <v>269.75481569999999</v>
      </c>
    </row>
    <row r="3" spans="1:6" x14ac:dyDescent="0.3">
      <c r="A3" t="s">
        <v>5070</v>
      </c>
      <c r="F3" s="240">
        <f>F2*365</f>
        <v>98460.507730500001</v>
      </c>
    </row>
    <row r="4" spans="1:6" x14ac:dyDescent="0.3">
      <c r="A4" t="s">
        <v>5071</v>
      </c>
    </row>
    <row r="5" spans="1:6" x14ac:dyDescent="0.3">
      <c r="A5" t="s">
        <v>5072</v>
      </c>
      <c r="E5" s="418">
        <v>60674994</v>
      </c>
    </row>
    <row r="7" spans="1:6" x14ac:dyDescent="0.3">
      <c r="E7" s="418">
        <f>E5/F3</f>
        <v>616.23685880308312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3FE02-1A69-4FB2-85A5-25EC8F1C2940}">
  <sheetPr codeName="Sheet57"/>
  <dimension ref="A1:F13"/>
  <sheetViews>
    <sheetView workbookViewId="0">
      <selection activeCell="D24" sqref="D24"/>
    </sheetView>
  </sheetViews>
  <sheetFormatPr defaultRowHeight="14.4" x14ac:dyDescent="0.3"/>
  <cols>
    <col min="1" max="1" width="32.44140625" bestFit="1" customWidth="1"/>
    <col min="2" max="2" width="29.44140625" bestFit="1" customWidth="1"/>
    <col min="3" max="3" width="27.88671875" bestFit="1" customWidth="1"/>
    <col min="4" max="4" width="28.88671875" bestFit="1" customWidth="1"/>
    <col min="5" max="5" width="13.88671875" customWidth="1"/>
    <col min="6" max="6" width="35.109375" bestFit="1" customWidth="1"/>
  </cols>
  <sheetData>
    <row r="1" spans="1:6" x14ac:dyDescent="0.3">
      <c r="A1" s="1" t="s">
        <v>5073</v>
      </c>
      <c r="B1" s="1" t="s">
        <v>5074</v>
      </c>
      <c r="C1" s="1" t="s">
        <v>5075</v>
      </c>
      <c r="D1" s="1" t="s">
        <v>5076</v>
      </c>
      <c r="E1" s="1" t="s">
        <v>5077</v>
      </c>
      <c r="F1" s="1" t="s">
        <v>5078</v>
      </c>
    </row>
    <row r="2" spans="1:6" x14ac:dyDescent="0.3">
      <c r="A2" t="s">
        <v>5079</v>
      </c>
      <c r="B2">
        <v>3.38</v>
      </c>
      <c r="C2" s="338">
        <v>10000</v>
      </c>
      <c r="D2" s="338">
        <v>1610</v>
      </c>
      <c r="E2" s="338">
        <v>5</v>
      </c>
      <c r="F2" t="s">
        <v>5080</v>
      </c>
    </row>
    <row r="3" spans="1:6" x14ac:dyDescent="0.3">
      <c r="A3" t="s">
        <v>5081</v>
      </c>
      <c r="B3">
        <v>2.9</v>
      </c>
      <c r="C3" s="338">
        <v>10000</v>
      </c>
      <c r="D3" s="338">
        <v>630</v>
      </c>
      <c r="E3" s="338"/>
      <c r="F3" t="s">
        <v>5082</v>
      </c>
    </row>
    <row r="4" spans="1:6" x14ac:dyDescent="0.3">
      <c r="A4" t="s">
        <v>5083</v>
      </c>
      <c r="B4">
        <v>6.4</v>
      </c>
      <c r="C4" s="338">
        <v>10000</v>
      </c>
      <c r="D4" s="338">
        <v>5090</v>
      </c>
      <c r="E4" s="338"/>
      <c r="F4" t="s">
        <v>5084</v>
      </c>
    </row>
    <row r="5" spans="1:6" x14ac:dyDescent="0.3">
      <c r="A5" t="s">
        <v>5085</v>
      </c>
      <c r="B5">
        <v>1.6</v>
      </c>
      <c r="C5" s="338">
        <v>10000</v>
      </c>
      <c r="D5" s="338">
        <v>7630</v>
      </c>
      <c r="E5" s="338"/>
      <c r="F5" t="s">
        <v>5084</v>
      </c>
    </row>
    <row r="6" spans="1:6" x14ac:dyDescent="0.3">
      <c r="A6" t="s">
        <v>5086</v>
      </c>
      <c r="B6">
        <v>1.5</v>
      </c>
      <c r="C6" s="338">
        <v>10000</v>
      </c>
      <c r="D6" s="338">
        <v>1600</v>
      </c>
      <c r="E6" s="338"/>
      <c r="F6" t="s">
        <v>5087</v>
      </c>
    </row>
    <row r="8" spans="1:6" x14ac:dyDescent="0.3">
      <c r="D8" s="338"/>
      <c r="E8" s="338"/>
    </row>
    <row r="9" spans="1:6" x14ac:dyDescent="0.3">
      <c r="A9" t="s">
        <v>5088</v>
      </c>
      <c r="B9">
        <v>14</v>
      </c>
      <c r="C9" s="338">
        <v>10000</v>
      </c>
      <c r="D9" s="338">
        <v>4000</v>
      </c>
      <c r="E9" s="338"/>
      <c r="F9" t="s">
        <v>5089</v>
      </c>
    </row>
    <row r="12" spans="1:6" x14ac:dyDescent="0.3">
      <c r="B12" t="s">
        <v>5090</v>
      </c>
      <c r="C12" t="s">
        <v>5091</v>
      </c>
      <c r="D12" t="s">
        <v>5092</v>
      </c>
      <c r="E12" t="s">
        <v>7</v>
      </c>
    </row>
    <row r="13" spans="1:6" x14ac:dyDescent="0.3">
      <c r="A13" t="s">
        <v>5093</v>
      </c>
      <c r="B13">
        <v>57542</v>
      </c>
      <c r="C13">
        <v>2501342</v>
      </c>
      <c r="D13">
        <f>C13/B13</f>
        <v>43.469848110945051</v>
      </c>
      <c r="E13" t="s">
        <v>5094</v>
      </c>
    </row>
  </sheetData>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7CD81-04DC-46EB-896F-B9C39D32ABD9}">
  <sheetPr codeName="Sheet58"/>
  <dimension ref="A1:AA32"/>
  <sheetViews>
    <sheetView workbookViewId="0"/>
  </sheetViews>
  <sheetFormatPr defaultRowHeight="14.4" x14ac:dyDescent="0.3"/>
  <cols>
    <col min="1" max="1" width="22.88671875" customWidth="1"/>
    <col min="2" max="2" width="15" bestFit="1" customWidth="1"/>
    <col min="3" max="3" width="17.6640625" customWidth="1"/>
    <col min="4" max="4" width="12" customWidth="1"/>
    <col min="5" max="27" width="7.33203125" customWidth="1"/>
  </cols>
  <sheetData>
    <row r="1" spans="1:3" x14ac:dyDescent="0.3">
      <c r="A1" t="s">
        <v>5095</v>
      </c>
    </row>
    <row r="2" spans="1:3" x14ac:dyDescent="0.3">
      <c r="A2" s="142" t="s">
        <v>5096</v>
      </c>
    </row>
    <row r="3" spans="1:3" x14ac:dyDescent="0.3">
      <c r="A3" s="382" t="s">
        <v>153</v>
      </c>
    </row>
    <row r="4" spans="1:3" s="383" customFormat="1" x14ac:dyDescent="0.3">
      <c r="A4" s="383" t="s">
        <v>5097</v>
      </c>
    </row>
    <row r="5" spans="1:3" s="383" customFormat="1" x14ac:dyDescent="0.3">
      <c r="A5" s="383" t="s">
        <v>5098</v>
      </c>
    </row>
    <row r="6" spans="1:3" s="383" customFormat="1" x14ac:dyDescent="0.3">
      <c r="A6" s="383" t="s">
        <v>5099</v>
      </c>
    </row>
    <row r="7" spans="1:3" s="383" customFormat="1" x14ac:dyDescent="0.3">
      <c r="A7" s="383" t="s">
        <v>5100</v>
      </c>
    </row>
    <row r="8" spans="1:3" s="383" customFormat="1" x14ac:dyDescent="0.3">
      <c r="B8" s="383" t="s">
        <v>5101</v>
      </c>
    </row>
    <row r="9" spans="1:3" s="383" customFormat="1" x14ac:dyDescent="0.3">
      <c r="B9" s="383" t="s">
        <v>5102</v>
      </c>
    </row>
    <row r="11" spans="1:3" x14ac:dyDescent="0.3">
      <c r="A11" s="380" t="s">
        <v>5103</v>
      </c>
      <c r="B11" s="380"/>
    </row>
    <row r="12" spans="1:3" x14ac:dyDescent="0.3">
      <c r="B12" t="s">
        <v>5104</v>
      </c>
    </row>
    <row r="13" spans="1:3" x14ac:dyDescent="0.3">
      <c r="A13" t="s">
        <v>5105</v>
      </c>
      <c r="B13" s="337">
        <v>167928144</v>
      </c>
      <c r="C13" s="42">
        <f>B13/B15</f>
        <v>0.29759522783047621</v>
      </c>
    </row>
    <row r="14" spans="1:3" x14ac:dyDescent="0.3">
      <c r="B14" s="337"/>
    </row>
    <row r="15" spans="1:3" x14ac:dyDescent="0.3">
      <c r="A15" t="s">
        <v>5106</v>
      </c>
      <c r="B15" s="337">
        <v>564283726</v>
      </c>
    </row>
    <row r="18" spans="1:27" x14ac:dyDescent="0.3">
      <c r="A18" s="380" t="s">
        <v>5107</v>
      </c>
      <c r="B18" s="380"/>
    </row>
    <row r="20" spans="1:27" s="15" customFormat="1" ht="58.2" thickBot="1" x14ac:dyDescent="0.35">
      <c r="B20" s="15" t="s">
        <v>5108</v>
      </c>
      <c r="C20" s="15" t="s">
        <v>5109</v>
      </c>
      <c r="D20" s="15" t="s">
        <v>5023</v>
      </c>
    </row>
    <row r="21" spans="1:27" ht="15" thickBot="1" x14ac:dyDescent="0.35">
      <c r="A21" t="s">
        <v>5104</v>
      </c>
      <c r="B21">
        <v>389</v>
      </c>
      <c r="C21" s="332">
        <f>B21*C13</f>
        <v>115.76454362605524</v>
      </c>
      <c r="D21" s="381" t="e">
        <f>C21/#REF!*#REF!</f>
        <v>#REF!</v>
      </c>
    </row>
    <row r="25" spans="1:27" x14ac:dyDescent="0.3">
      <c r="A25" t="s">
        <v>5110</v>
      </c>
      <c r="B25" s="43">
        <f>AVERAGE(C30:L30)</f>
        <v>4.1341281656047238E-2</v>
      </c>
    </row>
    <row r="28" spans="1:27" x14ac:dyDescent="0.3">
      <c r="A28" s="400" t="s">
        <v>5111</v>
      </c>
      <c r="B28" s="16">
        <v>2020</v>
      </c>
      <c r="C28" s="16">
        <v>2021</v>
      </c>
      <c r="D28" s="16">
        <v>2022</v>
      </c>
      <c r="E28" s="16">
        <v>2023</v>
      </c>
      <c r="F28" s="16">
        <v>2024</v>
      </c>
      <c r="G28" s="16">
        <v>2025</v>
      </c>
      <c r="H28" s="16">
        <v>2026</v>
      </c>
      <c r="I28" s="16">
        <v>2027</v>
      </c>
      <c r="J28" s="16">
        <v>2028</v>
      </c>
      <c r="K28" s="16">
        <v>2029</v>
      </c>
      <c r="L28" s="16">
        <v>2030</v>
      </c>
      <c r="M28" s="16">
        <v>2031</v>
      </c>
      <c r="N28" s="16">
        <v>2032</v>
      </c>
      <c r="O28" s="16">
        <v>2033</v>
      </c>
      <c r="P28" s="16">
        <v>2034</v>
      </c>
      <c r="Q28" s="16">
        <v>2035</v>
      </c>
      <c r="R28" s="16">
        <v>2036</v>
      </c>
      <c r="S28" s="16">
        <v>2037</v>
      </c>
      <c r="T28" s="16">
        <v>2038</v>
      </c>
      <c r="U28" s="16">
        <v>2039</v>
      </c>
      <c r="V28" s="16">
        <v>2040</v>
      </c>
      <c r="W28" s="16">
        <v>2041</v>
      </c>
      <c r="X28" s="16">
        <v>2042</v>
      </c>
      <c r="Y28" s="16">
        <v>2043</v>
      </c>
      <c r="Z28" s="16">
        <v>2044</v>
      </c>
      <c r="AA28" s="16">
        <v>2045</v>
      </c>
    </row>
    <row r="29" spans="1:27" x14ac:dyDescent="0.3">
      <c r="A29" t="s">
        <v>5112</v>
      </c>
      <c r="B29" s="399">
        <f>'Met water rate forecast'!C9</f>
        <v>346</v>
      </c>
      <c r="C29" s="399">
        <f>'Met water rate forecast'!D9</f>
        <v>373</v>
      </c>
      <c r="D29" s="399">
        <f>'Met water rate forecast'!E9</f>
        <v>389</v>
      </c>
      <c r="E29" s="399">
        <f>'Met water rate forecast'!F9</f>
        <v>389</v>
      </c>
      <c r="F29" s="399">
        <f>'Met water rate forecast'!G9</f>
        <v>406</v>
      </c>
      <c r="G29" s="399">
        <f>'Met water rate forecast'!H9</f>
        <v>428</v>
      </c>
      <c r="H29" s="399">
        <f>'Met water rate forecast'!I9</f>
        <v>441</v>
      </c>
      <c r="I29" s="399">
        <f>'Met water rate forecast'!J9</f>
        <v>459</v>
      </c>
      <c r="J29" s="399">
        <f>'Met water rate forecast'!K9</f>
        <v>478</v>
      </c>
      <c r="K29" s="399">
        <f>'Met water rate forecast'!L9</f>
        <v>499</v>
      </c>
      <c r="L29" s="399">
        <f>'Met water rate forecast'!M9</f>
        <v>518</v>
      </c>
    </row>
    <row r="30" spans="1:27" x14ac:dyDescent="0.3">
      <c r="A30" t="s">
        <v>5040</v>
      </c>
      <c r="C30" s="41">
        <f>(C29-B29)/B29</f>
        <v>7.8034682080924858E-2</v>
      </c>
      <c r="D30" s="41">
        <f t="shared" ref="D30:H30" si="0">(D29-C29)/C29</f>
        <v>4.2895442359249331E-2</v>
      </c>
      <c r="E30" s="41">
        <f t="shared" si="0"/>
        <v>0</v>
      </c>
      <c r="F30" s="41">
        <f t="shared" si="0"/>
        <v>4.3701799485861184E-2</v>
      </c>
      <c r="G30" s="41">
        <f t="shared" si="0"/>
        <v>5.4187192118226604E-2</v>
      </c>
      <c r="H30" s="41">
        <f t="shared" si="0"/>
        <v>3.0373831775700934E-2</v>
      </c>
      <c r="I30" s="41">
        <f t="shared" ref="I30" si="1">(I29-H29)/H29</f>
        <v>4.0816326530612242E-2</v>
      </c>
      <c r="J30" s="41">
        <f t="shared" ref="J30" si="2">(J29-I29)/I29</f>
        <v>4.1394335511982572E-2</v>
      </c>
      <c r="K30" s="41">
        <f t="shared" ref="K30" si="3">(K29-J29)/J29</f>
        <v>4.3933054393305436E-2</v>
      </c>
      <c r="L30" s="41">
        <f>(L29-K29)/K29</f>
        <v>3.8076152304609222E-2</v>
      </c>
    </row>
    <row r="32" spans="1:27" ht="43.2" x14ac:dyDescent="0.3">
      <c r="A32" s="15" t="s">
        <v>5113</v>
      </c>
      <c r="B32" s="37" t="e">
        <f>D21</f>
        <v>#REF!</v>
      </c>
      <c r="C32" s="37" t="e">
        <f t="shared" ref="C32:AA32" si="4">B32*(1+$B$25)</f>
        <v>#REF!</v>
      </c>
      <c r="D32" s="37" t="e">
        <f>C32*(1+$B$25)</f>
        <v>#REF!</v>
      </c>
      <c r="E32" s="37" t="e">
        <f t="shared" si="4"/>
        <v>#REF!</v>
      </c>
      <c r="F32" s="37" t="e">
        <f t="shared" si="4"/>
        <v>#REF!</v>
      </c>
      <c r="G32" s="37" t="e">
        <f>F32*(1+$B$25)</f>
        <v>#REF!</v>
      </c>
      <c r="H32" s="37" t="e">
        <f t="shared" si="4"/>
        <v>#REF!</v>
      </c>
      <c r="I32" s="37" t="e">
        <f t="shared" si="4"/>
        <v>#REF!</v>
      </c>
      <c r="J32" s="37" t="e">
        <f t="shared" si="4"/>
        <v>#REF!</v>
      </c>
      <c r="K32" s="37" t="e">
        <f t="shared" si="4"/>
        <v>#REF!</v>
      </c>
      <c r="L32" s="37" t="e">
        <f t="shared" si="4"/>
        <v>#REF!</v>
      </c>
      <c r="M32" s="37" t="e">
        <f t="shared" si="4"/>
        <v>#REF!</v>
      </c>
      <c r="N32" s="37" t="e">
        <f t="shared" si="4"/>
        <v>#REF!</v>
      </c>
      <c r="O32" s="37" t="e">
        <f t="shared" si="4"/>
        <v>#REF!</v>
      </c>
      <c r="P32" s="37" t="e">
        <f t="shared" si="4"/>
        <v>#REF!</v>
      </c>
      <c r="Q32" s="37" t="e">
        <f t="shared" si="4"/>
        <v>#REF!</v>
      </c>
      <c r="R32" s="37" t="e">
        <f t="shared" si="4"/>
        <v>#REF!</v>
      </c>
      <c r="S32" s="37" t="e">
        <f t="shared" si="4"/>
        <v>#REF!</v>
      </c>
      <c r="T32" s="37" t="e">
        <f t="shared" si="4"/>
        <v>#REF!</v>
      </c>
      <c r="U32" s="37" t="e">
        <f t="shared" si="4"/>
        <v>#REF!</v>
      </c>
      <c r="V32" s="37" t="e">
        <f t="shared" si="4"/>
        <v>#REF!</v>
      </c>
      <c r="W32" s="37" t="e">
        <f t="shared" si="4"/>
        <v>#REF!</v>
      </c>
      <c r="X32" s="37" t="e">
        <f t="shared" si="4"/>
        <v>#REF!</v>
      </c>
      <c r="Y32" s="37" t="e">
        <f t="shared" si="4"/>
        <v>#REF!</v>
      </c>
      <c r="Z32" s="37" t="e">
        <f t="shared" si="4"/>
        <v>#REF!</v>
      </c>
      <c r="AA32" s="37" t="e">
        <f t="shared" si="4"/>
        <v>#REF!</v>
      </c>
    </row>
  </sheetData>
  <hyperlinks>
    <hyperlink ref="A2" r:id="rId1" display="C:\Users\stryjel\AppData\Local\Temp\MicrosoftEdgeDownloads\b293241a-4253-4c26-96ee-6867d067b985\final-for-bdms-cos-fy2022-23-and-fy2023-24-option-4_5.pdf" xr:uid="{47FC336D-5620-458E-89A1-AA436C13E458}"/>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E841B-4F17-40FF-AE9A-CD521E681081}">
  <sheetPr codeName="Sheet59"/>
  <dimension ref="A4:M25"/>
  <sheetViews>
    <sheetView workbookViewId="0"/>
  </sheetViews>
  <sheetFormatPr defaultRowHeight="14.4" x14ac:dyDescent="0.3"/>
  <cols>
    <col min="1" max="1" width="38.109375" customWidth="1"/>
    <col min="2" max="2" width="6.88671875" customWidth="1"/>
  </cols>
  <sheetData>
    <row r="4" spans="1:13" x14ac:dyDescent="0.3">
      <c r="A4" t="s">
        <v>5114</v>
      </c>
    </row>
    <row r="6" spans="1:13" x14ac:dyDescent="0.3">
      <c r="C6">
        <v>2020</v>
      </c>
      <c r="D6">
        <v>2021</v>
      </c>
      <c r="E6">
        <v>2022</v>
      </c>
      <c r="F6">
        <v>2023</v>
      </c>
      <c r="G6">
        <v>2024</v>
      </c>
      <c r="H6">
        <v>2025</v>
      </c>
      <c r="I6">
        <v>2026</v>
      </c>
      <c r="J6">
        <v>2027</v>
      </c>
      <c r="K6">
        <v>2028</v>
      </c>
      <c r="L6">
        <v>2029</v>
      </c>
      <c r="M6">
        <v>2030</v>
      </c>
    </row>
    <row r="7" spans="1:13" x14ac:dyDescent="0.3">
      <c r="A7" t="s">
        <v>5115</v>
      </c>
      <c r="C7" s="399">
        <v>208</v>
      </c>
      <c r="D7" s="399">
        <v>243</v>
      </c>
      <c r="E7" s="399">
        <v>243</v>
      </c>
      <c r="F7" s="399">
        <v>243</v>
      </c>
      <c r="G7" s="399">
        <v>243</v>
      </c>
      <c r="H7" s="399">
        <v>243</v>
      </c>
      <c r="I7" s="399">
        <v>247</v>
      </c>
      <c r="J7" s="399">
        <v>250</v>
      </c>
      <c r="K7" s="399">
        <v>260</v>
      </c>
      <c r="L7" s="399">
        <v>269</v>
      </c>
      <c r="M7" s="399">
        <v>278</v>
      </c>
    </row>
    <row r="8" spans="1:13" x14ac:dyDescent="0.3">
      <c r="A8" t="s">
        <v>5116</v>
      </c>
      <c r="C8" s="399">
        <v>295</v>
      </c>
      <c r="D8" s="399">
        <v>285</v>
      </c>
      <c r="E8" s="399">
        <v>285</v>
      </c>
      <c r="F8" s="399">
        <v>285</v>
      </c>
      <c r="G8" s="399">
        <v>285</v>
      </c>
      <c r="H8" s="399">
        <v>285</v>
      </c>
      <c r="I8" s="399">
        <v>285</v>
      </c>
      <c r="J8" s="399">
        <v>285</v>
      </c>
      <c r="K8" s="399">
        <v>285</v>
      </c>
      <c r="L8" s="399">
        <v>285</v>
      </c>
      <c r="M8" s="399">
        <v>285</v>
      </c>
    </row>
    <row r="9" spans="1:13" x14ac:dyDescent="0.3">
      <c r="A9" t="s">
        <v>5117</v>
      </c>
      <c r="C9" s="399">
        <v>346</v>
      </c>
      <c r="D9" s="399">
        <v>373</v>
      </c>
      <c r="E9" s="399">
        <v>389</v>
      </c>
      <c r="F9" s="399">
        <v>389</v>
      </c>
      <c r="G9" s="399">
        <v>406</v>
      </c>
      <c r="H9" s="399">
        <v>428</v>
      </c>
      <c r="I9" s="399">
        <v>441</v>
      </c>
      <c r="J9" s="399">
        <v>459</v>
      </c>
      <c r="K9" s="399">
        <v>478</v>
      </c>
      <c r="L9" s="399">
        <v>499</v>
      </c>
      <c r="M9" s="399">
        <v>518</v>
      </c>
    </row>
    <row r="10" spans="1:13" x14ac:dyDescent="0.3">
      <c r="A10" t="s">
        <v>5118</v>
      </c>
      <c r="C10" s="399">
        <v>65</v>
      </c>
      <c r="D10" t="s">
        <v>5119</v>
      </c>
      <c r="E10" t="s">
        <v>5119</v>
      </c>
      <c r="F10" s="399">
        <v>53</v>
      </c>
      <c r="G10" s="399">
        <v>65</v>
      </c>
      <c r="H10" s="399">
        <v>71</v>
      </c>
      <c r="I10" s="399">
        <v>73</v>
      </c>
      <c r="J10" s="399">
        <v>79</v>
      </c>
      <c r="K10" s="399">
        <v>82</v>
      </c>
      <c r="L10" s="399">
        <v>84</v>
      </c>
      <c r="M10" s="399">
        <v>89</v>
      </c>
    </row>
    <row r="11" spans="1:13" x14ac:dyDescent="0.3">
      <c r="A11" t="s">
        <v>5120</v>
      </c>
      <c r="C11" s="399">
        <v>136</v>
      </c>
      <c r="D11" s="399">
        <v>161</v>
      </c>
      <c r="E11" s="399">
        <v>167</v>
      </c>
      <c r="F11" s="399">
        <v>167</v>
      </c>
      <c r="G11" s="399">
        <v>178</v>
      </c>
      <c r="H11" s="399">
        <v>181</v>
      </c>
      <c r="I11" s="399">
        <v>185</v>
      </c>
      <c r="J11" s="399">
        <v>192</v>
      </c>
      <c r="K11" s="399">
        <v>193</v>
      </c>
      <c r="L11" s="399">
        <v>200</v>
      </c>
      <c r="M11" s="399">
        <v>211</v>
      </c>
    </row>
    <row r="12" spans="1:13" x14ac:dyDescent="0.3">
      <c r="A12" t="s">
        <v>5026</v>
      </c>
      <c r="B12" t="s">
        <v>5027</v>
      </c>
      <c r="C12" s="399">
        <v>755</v>
      </c>
      <c r="D12" s="399">
        <v>777</v>
      </c>
      <c r="E12" s="399">
        <v>799</v>
      </c>
      <c r="F12" s="399">
        <v>852</v>
      </c>
      <c r="G12" s="399">
        <v>892</v>
      </c>
      <c r="H12" s="399">
        <v>923</v>
      </c>
      <c r="I12" s="399">
        <v>946</v>
      </c>
      <c r="J12" s="399">
        <v>980</v>
      </c>
      <c r="K12" s="399">
        <v>1013</v>
      </c>
      <c r="L12" s="399">
        <v>1052</v>
      </c>
      <c r="M12" s="399">
        <v>1096</v>
      </c>
    </row>
    <row r="13" spans="1:13" x14ac:dyDescent="0.3">
      <c r="B13" t="s">
        <v>5121</v>
      </c>
      <c r="C13" s="399">
        <v>842</v>
      </c>
      <c r="D13" s="399">
        <v>819</v>
      </c>
      <c r="E13" s="399">
        <v>841</v>
      </c>
      <c r="F13" s="399">
        <v>894</v>
      </c>
      <c r="G13" s="399">
        <v>934</v>
      </c>
      <c r="H13" s="399">
        <v>965</v>
      </c>
      <c r="I13" s="399">
        <v>984</v>
      </c>
      <c r="J13" s="399">
        <v>1015</v>
      </c>
      <c r="K13" s="399">
        <v>1038</v>
      </c>
      <c r="L13" s="399">
        <v>1068</v>
      </c>
      <c r="M13" s="399">
        <v>1103</v>
      </c>
    </row>
    <row r="14" spans="1:13" x14ac:dyDescent="0.3">
      <c r="A14" t="s">
        <v>5031</v>
      </c>
      <c r="C14" s="399">
        <v>323</v>
      </c>
      <c r="D14" s="399">
        <v>327</v>
      </c>
      <c r="E14" s="399">
        <v>344</v>
      </c>
      <c r="F14" s="399">
        <v>344</v>
      </c>
      <c r="G14" s="399">
        <v>361</v>
      </c>
      <c r="H14" s="399">
        <v>373</v>
      </c>
      <c r="I14" s="399">
        <v>390</v>
      </c>
      <c r="J14" s="399">
        <v>390</v>
      </c>
      <c r="K14" s="399">
        <v>390</v>
      </c>
      <c r="L14" s="399">
        <v>390</v>
      </c>
      <c r="M14" s="399">
        <v>390</v>
      </c>
    </row>
    <row r="15" spans="1:13" x14ac:dyDescent="0.3">
      <c r="A15" t="s">
        <v>5122</v>
      </c>
      <c r="B15" t="s">
        <v>5027</v>
      </c>
      <c r="C15" s="399">
        <v>1078</v>
      </c>
      <c r="D15" s="399">
        <v>1104</v>
      </c>
      <c r="E15" s="399">
        <v>1143</v>
      </c>
      <c r="F15" s="399">
        <v>1196</v>
      </c>
      <c r="G15" s="399">
        <v>1253</v>
      </c>
      <c r="H15" s="399">
        <v>1296</v>
      </c>
      <c r="I15" s="399">
        <v>1336</v>
      </c>
      <c r="J15" s="399">
        <v>1370</v>
      </c>
      <c r="K15" s="399">
        <v>1403</v>
      </c>
      <c r="L15" s="399">
        <v>1442</v>
      </c>
      <c r="M15" s="399">
        <v>1486</v>
      </c>
    </row>
    <row r="16" spans="1:13" x14ac:dyDescent="0.3">
      <c r="B16" t="s">
        <v>5029</v>
      </c>
      <c r="C16" s="399">
        <v>1165</v>
      </c>
      <c r="D16" s="399">
        <v>1146</v>
      </c>
      <c r="E16" s="399">
        <v>1185</v>
      </c>
      <c r="F16" s="399">
        <v>1238</v>
      </c>
      <c r="G16" s="399">
        <v>1295</v>
      </c>
      <c r="H16" s="399">
        <v>1338</v>
      </c>
      <c r="I16" s="399">
        <v>1374</v>
      </c>
      <c r="J16" s="399">
        <v>1405</v>
      </c>
      <c r="K16" s="399">
        <v>1428</v>
      </c>
      <c r="L16" s="399">
        <v>1458</v>
      </c>
      <c r="M16" s="399">
        <v>1493</v>
      </c>
    </row>
    <row r="17" spans="1:13" x14ac:dyDescent="0.3">
      <c r="A17" t="s">
        <v>5123</v>
      </c>
      <c r="C17" s="399">
        <v>136</v>
      </c>
      <c r="D17" s="399">
        <v>130</v>
      </c>
      <c r="E17" s="399">
        <v>140</v>
      </c>
      <c r="F17" s="399">
        <v>140</v>
      </c>
      <c r="G17" s="399">
        <v>143</v>
      </c>
      <c r="H17" s="399">
        <v>155</v>
      </c>
      <c r="I17" s="399">
        <v>163</v>
      </c>
      <c r="J17" s="399">
        <v>166</v>
      </c>
      <c r="K17" s="399">
        <v>177</v>
      </c>
      <c r="L17" s="399">
        <v>179</v>
      </c>
      <c r="M17" s="399">
        <v>179</v>
      </c>
    </row>
    <row r="18" spans="1:13" x14ac:dyDescent="0.3">
      <c r="A18" t="s">
        <v>5124</v>
      </c>
      <c r="C18" s="399">
        <v>8800</v>
      </c>
      <c r="D18" s="399">
        <v>10700</v>
      </c>
      <c r="E18" s="399">
        <v>12200</v>
      </c>
      <c r="F18" s="399">
        <v>12200</v>
      </c>
      <c r="G18" s="399">
        <v>14400</v>
      </c>
      <c r="H18" s="399">
        <v>15400</v>
      </c>
      <c r="I18" s="399">
        <v>15300</v>
      </c>
      <c r="J18" s="399">
        <v>16000</v>
      </c>
      <c r="K18" s="399">
        <v>16000</v>
      </c>
      <c r="L18" s="399">
        <v>16000</v>
      </c>
      <c r="M18" s="399">
        <v>16000</v>
      </c>
    </row>
    <row r="21" spans="1:13" x14ac:dyDescent="0.3">
      <c r="A21" t="s">
        <v>5125</v>
      </c>
      <c r="D21" s="434">
        <f>(D7-C7)/C7</f>
        <v>0.16826923076923078</v>
      </c>
      <c r="E21" s="434">
        <f t="shared" ref="E21:M21" si="0">(E7-D7)/D7</f>
        <v>0</v>
      </c>
      <c r="F21" s="434">
        <f t="shared" si="0"/>
        <v>0</v>
      </c>
      <c r="G21" s="434">
        <f t="shared" si="0"/>
        <v>0</v>
      </c>
      <c r="H21" s="434">
        <f t="shared" si="0"/>
        <v>0</v>
      </c>
      <c r="I21" s="434">
        <f t="shared" si="0"/>
        <v>1.646090534979424E-2</v>
      </c>
      <c r="J21" s="434">
        <f t="shared" si="0"/>
        <v>1.2145748987854251E-2</v>
      </c>
      <c r="K21" s="434">
        <f t="shared" si="0"/>
        <v>0.04</v>
      </c>
      <c r="L21" s="434">
        <f t="shared" si="0"/>
        <v>3.4615384615384617E-2</v>
      </c>
      <c r="M21" s="434">
        <f t="shared" si="0"/>
        <v>3.3457249070631967E-2</v>
      </c>
    </row>
    <row r="24" spans="1:13" x14ac:dyDescent="0.3">
      <c r="A24" t="s">
        <v>5126</v>
      </c>
      <c r="B24" t="s">
        <v>5127</v>
      </c>
      <c r="C24" t="s">
        <v>5128</v>
      </c>
      <c r="D24" t="s">
        <v>5129</v>
      </c>
    </row>
    <row r="25" spans="1:13" x14ac:dyDescent="0.3">
      <c r="B25" s="434">
        <f>AVERAGE(D21:H21)</f>
        <v>3.3653846153846159E-2</v>
      </c>
      <c r="C25" s="434">
        <f>AVERAGE(I21:M21)</f>
        <v>2.7335857604733015E-2</v>
      </c>
      <c r="D25" s="434">
        <f>AVERAGE(D21:M21)</f>
        <v>3.0494851879289585E-2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4C5FF-C008-4D2A-8C47-9D3CCFD652E7}">
  <sheetPr codeName="Sheet60"/>
  <dimension ref="A1:M67"/>
  <sheetViews>
    <sheetView workbookViewId="0"/>
  </sheetViews>
  <sheetFormatPr defaultRowHeight="14.4" x14ac:dyDescent="0.3"/>
  <cols>
    <col min="1" max="1" width="86.44140625" bestFit="1" customWidth="1"/>
    <col min="2" max="2" width="13.6640625" bestFit="1" customWidth="1"/>
    <col min="3" max="3" width="12.109375" bestFit="1" customWidth="1"/>
    <col min="4" max="4" width="15.109375" bestFit="1" customWidth="1"/>
    <col min="5" max="5" width="14.44140625" customWidth="1"/>
    <col min="6" max="6" width="9.88671875" bestFit="1" customWidth="1"/>
    <col min="7" max="7" width="22.33203125" customWidth="1"/>
    <col min="8" max="8" width="17.109375" customWidth="1"/>
    <col min="9" max="9" width="11.5546875" customWidth="1"/>
    <col min="10" max="10" width="16.109375" customWidth="1"/>
    <col min="11" max="11" width="16" customWidth="1"/>
    <col min="12" max="12" width="12" customWidth="1"/>
    <col min="13" max="13" width="39" customWidth="1"/>
    <col min="14" max="14" width="14.109375" customWidth="1"/>
    <col min="15" max="15" width="16.88671875" customWidth="1"/>
    <col min="16" max="16" width="12.88671875" customWidth="1"/>
    <col min="17" max="17" width="15.5546875" customWidth="1"/>
    <col min="18" max="18" width="18.6640625" customWidth="1"/>
    <col min="21" max="21" width="33.33203125" bestFit="1" customWidth="1"/>
  </cols>
  <sheetData>
    <row r="1" spans="1:13" ht="15" thickBot="1" x14ac:dyDescent="0.35">
      <c r="A1" t="s">
        <v>5130</v>
      </c>
    </row>
    <row r="2" spans="1:13" s="336" customFormat="1" ht="21.6" thickBot="1" x14ac:dyDescent="0.45">
      <c r="A2" s="576" t="s">
        <v>5131</v>
      </c>
      <c r="B2" s="577"/>
      <c r="C2" s="577"/>
      <c r="D2" s="577"/>
      <c r="E2" s="578"/>
    </row>
    <row r="3" spans="1:13" x14ac:dyDescent="0.3">
      <c r="B3" s="1" t="s">
        <v>5132</v>
      </c>
      <c r="C3" s="1" t="s">
        <v>5133</v>
      </c>
      <c r="D3" s="1" t="s">
        <v>5134</v>
      </c>
      <c r="E3" s="1" t="s">
        <v>4090</v>
      </c>
    </row>
    <row r="4" spans="1:13" x14ac:dyDescent="0.3">
      <c r="A4" s="369" t="s">
        <v>5135</v>
      </c>
      <c r="B4" s="337">
        <v>179000</v>
      </c>
      <c r="C4" s="337">
        <v>44000</v>
      </c>
      <c r="D4" s="337">
        <v>810000</v>
      </c>
      <c r="E4" t="s">
        <v>5136</v>
      </c>
    </row>
    <row r="5" spans="1:13" x14ac:dyDescent="0.3">
      <c r="A5" s="369" t="s">
        <v>5137</v>
      </c>
      <c r="B5" s="192">
        <v>8000</v>
      </c>
      <c r="C5" s="192">
        <v>8000</v>
      </c>
      <c r="D5" s="192">
        <v>704000</v>
      </c>
      <c r="E5" t="s">
        <v>5138</v>
      </c>
    </row>
    <row r="6" spans="1:13" x14ac:dyDescent="0.3">
      <c r="A6" s="369" t="s">
        <v>5139</v>
      </c>
      <c r="B6" s="192">
        <v>100000</v>
      </c>
      <c r="C6" s="192">
        <v>10000</v>
      </c>
      <c r="D6" s="192">
        <v>400000</v>
      </c>
      <c r="E6" t="s">
        <v>5140</v>
      </c>
    </row>
    <row r="7" spans="1:13" x14ac:dyDescent="0.3">
      <c r="A7" s="369" t="s">
        <v>5141</v>
      </c>
      <c r="B7" s="192">
        <v>100000</v>
      </c>
      <c r="C7" s="192">
        <v>10000</v>
      </c>
      <c r="D7" s="337">
        <v>447000</v>
      </c>
      <c r="E7" t="s">
        <v>5138</v>
      </c>
    </row>
    <row r="8" spans="1:13" x14ac:dyDescent="0.3">
      <c r="A8" s="369" t="s">
        <v>5142</v>
      </c>
      <c r="B8" s="367">
        <v>20000</v>
      </c>
      <c r="C8" s="367">
        <v>20000</v>
      </c>
      <c r="D8" s="192">
        <v>20000</v>
      </c>
      <c r="E8" t="s">
        <v>5143</v>
      </c>
    </row>
    <row r="9" spans="1:13" x14ac:dyDescent="0.3">
      <c r="A9" s="369" t="s">
        <v>5144</v>
      </c>
      <c r="B9" s="367">
        <v>0</v>
      </c>
      <c r="C9" s="367">
        <v>0</v>
      </c>
      <c r="D9" s="367">
        <v>0</v>
      </c>
      <c r="E9" t="s">
        <v>5145</v>
      </c>
    </row>
    <row r="12" spans="1:13" ht="15" thickBot="1" x14ac:dyDescent="0.35"/>
    <row r="13" spans="1:13" ht="21.6" thickBot="1" x14ac:dyDescent="0.45">
      <c r="A13" s="573" t="s">
        <v>5146</v>
      </c>
      <c r="B13" s="574"/>
      <c r="C13" s="574"/>
      <c r="D13" s="574"/>
      <c r="E13" s="574"/>
      <c r="F13" s="574"/>
      <c r="G13" s="574"/>
      <c r="H13" s="574"/>
      <c r="I13" s="574"/>
      <c r="J13" s="574"/>
      <c r="K13" s="574"/>
      <c r="L13" s="575"/>
    </row>
    <row r="14" spans="1:13" ht="21.6" thickBot="1" x14ac:dyDescent="0.45">
      <c r="A14" s="51"/>
      <c r="B14" s="579" t="s">
        <v>5147</v>
      </c>
      <c r="C14" s="580"/>
      <c r="D14" s="580"/>
      <c r="E14" s="580"/>
      <c r="F14" s="580"/>
      <c r="G14" s="580"/>
      <c r="H14" s="581"/>
      <c r="I14" s="582" t="s">
        <v>5148</v>
      </c>
      <c r="J14" s="583"/>
      <c r="K14" s="583"/>
      <c r="L14" s="584"/>
    </row>
    <row r="15" spans="1:13" ht="57.6" x14ac:dyDescent="0.3">
      <c r="B15" s="368" t="s">
        <v>5149</v>
      </c>
      <c r="C15" s="373" t="s">
        <v>5150</v>
      </c>
      <c r="D15" s="374" t="s">
        <v>5151</v>
      </c>
      <c r="E15" s="368" t="s">
        <v>5152</v>
      </c>
      <c r="F15" s="373" t="s">
        <v>5153</v>
      </c>
      <c r="G15" s="368" t="s">
        <v>5154</v>
      </c>
      <c r="H15" s="368" t="s">
        <v>5155</v>
      </c>
      <c r="I15" s="368" t="s">
        <v>5156</v>
      </c>
      <c r="J15" s="368" t="s">
        <v>5157</v>
      </c>
      <c r="K15" s="368" t="s">
        <v>5158</v>
      </c>
      <c r="L15" s="368" t="s">
        <v>5159</v>
      </c>
      <c r="M15" s="1" t="s">
        <v>5160</v>
      </c>
    </row>
    <row r="16" spans="1:13" x14ac:dyDescent="0.3">
      <c r="A16" s="369" t="s">
        <v>3985</v>
      </c>
      <c r="B16" s="337">
        <v>350000</v>
      </c>
      <c r="C16" s="163">
        <v>350000</v>
      </c>
      <c r="D16" s="192">
        <v>0</v>
      </c>
      <c r="E16" s="337">
        <v>250000</v>
      </c>
      <c r="F16" s="163">
        <v>390000</v>
      </c>
      <c r="G16" s="337">
        <v>30000</v>
      </c>
      <c r="H16" s="337">
        <v>280000</v>
      </c>
      <c r="I16" s="337">
        <v>0</v>
      </c>
      <c r="J16" s="337">
        <v>0</v>
      </c>
      <c r="K16" s="337">
        <v>212000</v>
      </c>
      <c r="L16" s="192"/>
      <c r="M16" t="s">
        <v>5161</v>
      </c>
    </row>
    <row r="17" spans="1:13" x14ac:dyDescent="0.3">
      <c r="A17" s="369" t="s">
        <v>5162</v>
      </c>
      <c r="B17" s="338">
        <v>261000</v>
      </c>
      <c r="C17" s="163">
        <v>143000</v>
      </c>
      <c r="D17" s="85">
        <v>0</v>
      </c>
      <c r="E17" s="85">
        <v>177000</v>
      </c>
      <c r="F17" s="163">
        <v>19000</v>
      </c>
      <c r="G17" s="85">
        <v>27000</v>
      </c>
      <c r="H17" s="85">
        <v>0</v>
      </c>
      <c r="I17" s="85">
        <v>0</v>
      </c>
      <c r="J17" s="85">
        <v>0</v>
      </c>
      <c r="K17" s="365">
        <v>37000</v>
      </c>
      <c r="L17" s="85"/>
      <c r="M17" t="s">
        <v>5163</v>
      </c>
    </row>
    <row r="18" spans="1:13" x14ac:dyDescent="0.3">
      <c r="A18" s="369" t="s">
        <v>4008</v>
      </c>
      <c r="B18" s="337">
        <v>447000</v>
      </c>
      <c r="C18" s="163">
        <v>100000</v>
      </c>
      <c r="D18" s="85">
        <v>0</v>
      </c>
      <c r="E18" s="85">
        <v>50000</v>
      </c>
      <c r="F18" s="163">
        <v>75000</v>
      </c>
      <c r="G18" s="192">
        <v>30000</v>
      </c>
      <c r="H18" s="367">
        <v>70000</v>
      </c>
      <c r="I18" s="85">
        <v>0</v>
      </c>
      <c r="J18" s="85">
        <v>0</v>
      </c>
      <c r="K18" s="85">
        <v>50000</v>
      </c>
      <c r="L18" s="85"/>
    </row>
    <row r="19" spans="1:13" x14ac:dyDescent="0.3">
      <c r="A19" s="369" t="s">
        <v>4018</v>
      </c>
      <c r="B19" s="192">
        <v>133000</v>
      </c>
      <c r="C19" s="163">
        <v>75000</v>
      </c>
      <c r="D19" s="337">
        <v>0</v>
      </c>
      <c r="E19" s="337">
        <v>50000</v>
      </c>
      <c r="F19" s="163">
        <v>75000</v>
      </c>
      <c r="G19" s="337">
        <v>10000</v>
      </c>
      <c r="H19" s="367">
        <v>70000</v>
      </c>
      <c r="I19" s="365">
        <v>0</v>
      </c>
      <c r="J19" s="85">
        <v>0</v>
      </c>
      <c r="K19" s="192">
        <v>70300</v>
      </c>
      <c r="L19" s="337">
        <v>0</v>
      </c>
      <c r="M19" t="s">
        <v>5164</v>
      </c>
    </row>
    <row r="20" spans="1:13" x14ac:dyDescent="0.3">
      <c r="A20" s="369" t="s">
        <v>621</v>
      </c>
      <c r="B20" s="337">
        <v>90</v>
      </c>
      <c r="C20" s="163">
        <v>90</v>
      </c>
      <c r="D20" s="337">
        <v>0</v>
      </c>
      <c r="E20" s="337">
        <v>89</v>
      </c>
      <c r="F20" s="163">
        <v>100</v>
      </c>
      <c r="G20" s="337">
        <v>90</v>
      </c>
      <c r="H20" s="337">
        <v>90</v>
      </c>
      <c r="I20" s="337">
        <v>0</v>
      </c>
      <c r="J20" s="337">
        <v>0</v>
      </c>
      <c r="K20" s="337">
        <v>90</v>
      </c>
      <c r="L20" s="337">
        <v>0</v>
      </c>
      <c r="M20" t="s">
        <v>130</v>
      </c>
    </row>
    <row r="21" spans="1:13" x14ac:dyDescent="0.3">
      <c r="A21" s="369" t="s">
        <v>5165</v>
      </c>
      <c r="B21" s="371">
        <v>74</v>
      </c>
      <c r="C21" s="163">
        <v>0</v>
      </c>
      <c r="D21" s="371"/>
      <c r="E21" s="371">
        <v>47</v>
      </c>
      <c r="F21" s="372">
        <v>0</v>
      </c>
      <c r="G21" s="371"/>
      <c r="H21" s="371"/>
      <c r="I21" s="371"/>
      <c r="J21" s="371"/>
      <c r="K21" s="371">
        <v>0</v>
      </c>
      <c r="L21" s="371"/>
      <c r="M21" t="s">
        <v>5140</v>
      </c>
    </row>
    <row r="22" spans="1:13" x14ac:dyDescent="0.3">
      <c r="A22" s="369" t="s">
        <v>5166</v>
      </c>
      <c r="B22" s="371">
        <v>159</v>
      </c>
      <c r="C22" s="163">
        <v>0</v>
      </c>
      <c r="D22" s="371"/>
      <c r="E22" s="371">
        <v>113</v>
      </c>
      <c r="F22" s="372">
        <v>0</v>
      </c>
      <c r="G22" s="371"/>
      <c r="H22" s="371"/>
      <c r="I22" s="371"/>
      <c r="J22" s="371"/>
      <c r="K22" s="371">
        <v>100</v>
      </c>
      <c r="L22" s="371"/>
    </row>
    <row r="23" spans="1:13" x14ac:dyDescent="0.3">
      <c r="A23" s="369" t="s">
        <v>5167</v>
      </c>
      <c r="B23" s="85"/>
      <c r="C23" s="85"/>
      <c r="D23" s="85"/>
      <c r="E23" s="85"/>
      <c r="F23" s="85"/>
      <c r="G23" s="85"/>
      <c r="H23" s="85"/>
      <c r="I23" s="85"/>
      <c r="J23" s="85"/>
      <c r="K23" s="85"/>
      <c r="L23" s="85"/>
    </row>
    <row r="24" spans="1:13" x14ac:dyDescent="0.3">
      <c r="A24" s="369" t="s">
        <v>5168</v>
      </c>
      <c r="B24" s="85"/>
      <c r="C24" s="85"/>
      <c r="D24" s="85"/>
      <c r="E24" s="85"/>
      <c r="F24" s="85"/>
      <c r="G24" s="85"/>
      <c r="H24" s="85"/>
      <c r="I24" s="85"/>
      <c r="J24" s="85"/>
      <c r="K24" s="85"/>
      <c r="L24" s="85"/>
    </row>
    <row r="25" spans="1:13" x14ac:dyDescent="0.3">
      <c r="A25" s="369" t="s">
        <v>5169</v>
      </c>
      <c r="B25" s="85"/>
      <c r="C25" s="85"/>
      <c r="D25" s="85"/>
      <c r="E25" s="85"/>
      <c r="F25" s="85"/>
      <c r="G25" s="85"/>
      <c r="H25" s="85"/>
      <c r="I25" s="85"/>
      <c r="J25" s="85"/>
      <c r="K25" s="85"/>
      <c r="L25" s="85"/>
    </row>
    <row r="26" spans="1:13" ht="43.2" x14ac:dyDescent="0.3">
      <c r="A26" s="370" t="s">
        <v>5170</v>
      </c>
      <c r="B26" s="15"/>
      <c r="C26" s="15"/>
      <c r="D26" s="15"/>
      <c r="E26" s="15"/>
      <c r="F26" s="15"/>
      <c r="G26" s="15" t="s">
        <v>5171</v>
      </c>
      <c r="H26" s="15" t="s">
        <v>5172</v>
      </c>
      <c r="I26" s="15"/>
      <c r="J26" s="15" t="s">
        <v>5173</v>
      </c>
      <c r="K26" s="15"/>
      <c r="L26" s="15" t="s">
        <v>5173</v>
      </c>
      <c r="M26" s="15"/>
    </row>
    <row r="28" spans="1:13" x14ac:dyDescent="0.3">
      <c r="A28" s="368" t="s">
        <v>5174</v>
      </c>
    </row>
    <row r="29" spans="1:13" x14ac:dyDescent="0.3">
      <c r="A29" t="s">
        <v>5175</v>
      </c>
    </row>
    <row r="30" spans="1:13" x14ac:dyDescent="0.3">
      <c r="A30" t="s">
        <v>5176</v>
      </c>
    </row>
    <row r="31" spans="1:13" x14ac:dyDescent="0.3">
      <c r="A31" s="142" t="s">
        <v>5177</v>
      </c>
    </row>
    <row r="32" spans="1:13" x14ac:dyDescent="0.3">
      <c r="A32" t="s">
        <v>5178</v>
      </c>
    </row>
    <row r="35" spans="1:12" ht="15" thickBot="1" x14ac:dyDescent="0.35"/>
    <row r="36" spans="1:12" ht="21.6" thickBot="1" x14ac:dyDescent="0.45">
      <c r="A36" s="573" t="s">
        <v>5179</v>
      </c>
      <c r="B36" s="574"/>
      <c r="C36" s="574"/>
      <c r="D36" s="574"/>
      <c r="E36" s="574"/>
      <c r="F36" s="574"/>
      <c r="G36" s="574"/>
      <c r="H36" s="574"/>
      <c r="I36" s="574"/>
      <c r="J36" s="574"/>
      <c r="K36" s="574"/>
      <c r="L36" s="575"/>
    </row>
    <row r="37" spans="1:12" x14ac:dyDescent="0.3">
      <c r="B37" t="s">
        <v>5180</v>
      </c>
      <c r="C37" t="s">
        <v>5181</v>
      </c>
      <c r="D37" t="s">
        <v>5182</v>
      </c>
      <c r="E37" t="s">
        <v>5183</v>
      </c>
      <c r="F37" t="s">
        <v>5184</v>
      </c>
    </row>
    <row r="38" spans="1:12" x14ac:dyDescent="0.3">
      <c r="A38" t="s">
        <v>5185</v>
      </c>
      <c r="B38" s="337">
        <v>150000</v>
      </c>
      <c r="C38" s="337">
        <v>50000</v>
      </c>
      <c r="D38" s="337">
        <v>36000</v>
      </c>
      <c r="E38" s="337"/>
      <c r="F38" s="425">
        <v>0.1</v>
      </c>
    </row>
    <row r="39" spans="1:12" x14ac:dyDescent="0.3">
      <c r="A39" t="s">
        <v>5186</v>
      </c>
      <c r="B39" s="337">
        <v>6700</v>
      </c>
      <c r="C39" s="337">
        <v>2000</v>
      </c>
      <c r="D39" s="337">
        <v>1800</v>
      </c>
      <c r="E39" s="337"/>
      <c r="F39" s="425">
        <v>0.1</v>
      </c>
    </row>
    <row r="40" spans="1:12" x14ac:dyDescent="0.3">
      <c r="A40" t="s">
        <v>5187</v>
      </c>
      <c r="B40" s="337">
        <v>2350</v>
      </c>
      <c r="C40" s="337">
        <v>2350</v>
      </c>
      <c r="D40" s="337">
        <v>2350</v>
      </c>
      <c r="E40" s="337"/>
      <c r="F40" s="425">
        <v>0.1</v>
      </c>
    </row>
    <row r="41" spans="1:12" x14ac:dyDescent="0.3">
      <c r="A41" t="s">
        <v>5155</v>
      </c>
      <c r="B41" s="337">
        <v>280000</v>
      </c>
      <c r="C41" s="337">
        <v>70000</v>
      </c>
      <c r="D41" s="337">
        <v>70000</v>
      </c>
      <c r="E41" s="337"/>
      <c r="F41" s="425">
        <v>0.1</v>
      </c>
    </row>
    <row r="42" spans="1:12" x14ac:dyDescent="0.3">
      <c r="A42" t="s">
        <v>1090</v>
      </c>
      <c r="B42" s="240">
        <f>SUM(B38:B41)</f>
        <v>439050</v>
      </c>
      <c r="C42" s="240">
        <f t="shared" ref="C42:D42" si="0">SUM(C38:C41)</f>
        <v>124350</v>
      </c>
      <c r="D42" s="240">
        <f t="shared" si="0"/>
        <v>110150</v>
      </c>
      <c r="E42" s="240">
        <v>90000</v>
      </c>
    </row>
    <row r="43" spans="1:12" x14ac:dyDescent="0.3">
      <c r="B43" s="337"/>
    </row>
    <row r="44" spans="1:12" ht="15" thickBot="1" x14ac:dyDescent="0.35">
      <c r="B44" s="337"/>
      <c r="C44" s="337"/>
      <c r="D44" s="337"/>
      <c r="E44" s="337"/>
      <c r="F44" s="337"/>
    </row>
    <row r="45" spans="1:12" ht="21.6" thickBot="1" x14ac:dyDescent="0.45">
      <c r="A45" s="573" t="s">
        <v>5188</v>
      </c>
      <c r="B45" s="574"/>
      <c r="C45" s="574"/>
      <c r="D45" s="574"/>
      <c r="E45" s="574"/>
      <c r="F45" s="574"/>
      <c r="G45" s="574"/>
      <c r="H45" s="574"/>
      <c r="I45" s="574"/>
      <c r="J45" s="574"/>
      <c r="K45" s="574"/>
      <c r="L45" s="575"/>
    </row>
    <row r="46" spans="1:12" x14ac:dyDescent="0.3">
      <c r="B46" t="s">
        <v>5180</v>
      </c>
      <c r="C46" t="s">
        <v>5181</v>
      </c>
      <c r="D46" t="s">
        <v>5182</v>
      </c>
      <c r="E46" t="s">
        <v>5183</v>
      </c>
      <c r="F46" t="s">
        <v>5184</v>
      </c>
    </row>
    <row r="47" spans="1:12" x14ac:dyDescent="0.3">
      <c r="A47" t="s">
        <v>5189</v>
      </c>
      <c r="B47" s="337"/>
      <c r="C47" s="337"/>
      <c r="D47" s="337" t="s">
        <v>5190</v>
      </c>
      <c r="E47" s="337">
        <v>25451</v>
      </c>
    </row>
    <row r="48" spans="1:12" x14ac:dyDescent="0.3">
      <c r="A48" t="s">
        <v>5191</v>
      </c>
      <c r="B48" s="337"/>
      <c r="C48" s="337">
        <v>43290</v>
      </c>
      <c r="D48" s="337">
        <v>28860</v>
      </c>
      <c r="E48" s="337">
        <v>174235</v>
      </c>
    </row>
    <row r="49" spans="1:12" x14ac:dyDescent="0.3">
      <c r="A49" t="s">
        <v>5192</v>
      </c>
      <c r="B49" s="337"/>
      <c r="C49" s="337">
        <v>14600</v>
      </c>
      <c r="D49" s="337">
        <v>10000</v>
      </c>
      <c r="E49" s="337">
        <v>44108</v>
      </c>
    </row>
    <row r="50" spans="1:12" x14ac:dyDescent="0.3">
      <c r="A50" t="s">
        <v>5193</v>
      </c>
      <c r="B50" s="337"/>
      <c r="C50" s="337"/>
      <c r="D50" s="337">
        <v>36000</v>
      </c>
      <c r="E50" s="337"/>
    </row>
    <row r="51" spans="1:12" x14ac:dyDescent="0.3">
      <c r="A51" t="s">
        <v>5194</v>
      </c>
      <c r="B51" s="337"/>
      <c r="C51" s="337"/>
      <c r="D51" s="337"/>
      <c r="E51" s="337">
        <v>6388</v>
      </c>
    </row>
    <row r="52" spans="1:12" x14ac:dyDescent="0.3">
      <c r="A52" t="s">
        <v>1090</v>
      </c>
      <c r="B52" s="365">
        <v>150083</v>
      </c>
      <c r="C52" s="337">
        <v>90000</v>
      </c>
      <c r="D52" s="337">
        <v>79645</v>
      </c>
      <c r="E52" s="240">
        <f>SUM(E47:E51)</f>
        <v>250182</v>
      </c>
    </row>
    <row r="53" spans="1:12" ht="15" thickBot="1" x14ac:dyDescent="0.35"/>
    <row r="54" spans="1:12" ht="21.6" thickBot="1" x14ac:dyDescent="0.45">
      <c r="A54" s="573" t="s">
        <v>799</v>
      </c>
      <c r="B54" s="574"/>
      <c r="C54" s="574"/>
      <c r="D54" s="574"/>
      <c r="E54" s="574"/>
      <c r="F54" s="574"/>
      <c r="G54" s="574"/>
      <c r="H54" s="574"/>
      <c r="I54" s="574"/>
      <c r="J54" s="574"/>
      <c r="K54" s="574"/>
      <c r="L54" s="575"/>
    </row>
    <row r="55" spans="1:12" x14ac:dyDescent="0.3">
      <c r="A55" t="s">
        <v>5195</v>
      </c>
      <c r="B55" t="s">
        <v>5180</v>
      </c>
      <c r="C55" t="s">
        <v>5181</v>
      </c>
      <c r="D55" t="s">
        <v>5182</v>
      </c>
      <c r="E55" t="s">
        <v>5183</v>
      </c>
      <c r="F55" t="s">
        <v>5184</v>
      </c>
    </row>
    <row r="56" spans="1:12" x14ac:dyDescent="0.3">
      <c r="A56" t="s">
        <v>4009</v>
      </c>
      <c r="B56" s="337">
        <v>78000</v>
      </c>
      <c r="C56" s="337">
        <v>8260.9090909090901</v>
      </c>
      <c r="D56" s="337">
        <v>14043.939393939394</v>
      </c>
      <c r="E56" s="337">
        <v>86230</v>
      </c>
      <c r="F56">
        <v>10</v>
      </c>
    </row>
    <row r="57" spans="1:12" x14ac:dyDescent="0.3">
      <c r="A57" t="s">
        <v>5196</v>
      </c>
      <c r="B57" s="337">
        <v>120000</v>
      </c>
      <c r="C57" s="337">
        <v>5000</v>
      </c>
      <c r="D57" s="337">
        <v>10000</v>
      </c>
      <c r="E57" s="337">
        <v>29900</v>
      </c>
    </row>
    <row r="58" spans="1:12" x14ac:dyDescent="0.3">
      <c r="A58" t="s">
        <v>1090</v>
      </c>
      <c r="B58" s="337">
        <f>SUM(B56:B57)</f>
        <v>198000</v>
      </c>
      <c r="C58" s="337">
        <f t="shared" ref="C58:E58" si="1">SUM(C56:C57)</f>
        <v>13260.90909090909</v>
      </c>
      <c r="D58" s="337">
        <f t="shared" si="1"/>
        <v>24043.939393939392</v>
      </c>
      <c r="E58" s="337">
        <f t="shared" si="1"/>
        <v>116130</v>
      </c>
    </row>
    <row r="59" spans="1:12" ht="15" thickBot="1" x14ac:dyDescent="0.35"/>
    <row r="60" spans="1:12" ht="21.6" thickBot="1" x14ac:dyDescent="0.45">
      <c r="A60" s="573" t="s">
        <v>5197</v>
      </c>
      <c r="B60" s="574"/>
      <c r="C60" s="574"/>
      <c r="D60" s="574"/>
      <c r="E60" s="574"/>
      <c r="F60" s="574"/>
      <c r="G60" s="574"/>
      <c r="H60" s="574"/>
      <c r="I60" s="574"/>
      <c r="J60" s="574"/>
      <c r="K60" s="574"/>
      <c r="L60" s="575"/>
    </row>
    <row r="61" spans="1:12" x14ac:dyDescent="0.3">
      <c r="A61" t="s">
        <v>5195</v>
      </c>
      <c r="B61" t="s">
        <v>5180</v>
      </c>
      <c r="C61" t="s">
        <v>5181</v>
      </c>
      <c r="D61" t="s">
        <v>5182</v>
      </c>
      <c r="E61" t="s">
        <v>5183</v>
      </c>
    </row>
    <row r="62" spans="1:12" x14ac:dyDescent="0.3">
      <c r="A62" t="s">
        <v>5198</v>
      </c>
      <c r="B62" s="337">
        <v>100000</v>
      </c>
      <c r="C62" s="337">
        <v>100000</v>
      </c>
      <c r="D62" s="337">
        <v>10000</v>
      </c>
      <c r="E62" s="337">
        <v>98800</v>
      </c>
    </row>
    <row r="63" spans="1:12" x14ac:dyDescent="0.3">
      <c r="A63" t="s">
        <v>5199</v>
      </c>
      <c r="B63" s="337">
        <v>15000</v>
      </c>
      <c r="C63" s="337">
        <v>15000</v>
      </c>
      <c r="D63" s="337">
        <v>5000</v>
      </c>
      <c r="E63" s="337">
        <v>40270</v>
      </c>
    </row>
    <row r="64" spans="1:12" x14ac:dyDescent="0.3">
      <c r="A64" t="s">
        <v>5200</v>
      </c>
      <c r="B64" s="337">
        <v>5000</v>
      </c>
      <c r="C64" s="337">
        <v>5000</v>
      </c>
      <c r="D64" s="192">
        <v>5000</v>
      </c>
      <c r="E64" s="337">
        <v>0</v>
      </c>
    </row>
    <row r="65" spans="1:5" x14ac:dyDescent="0.3">
      <c r="A65" t="s">
        <v>5201</v>
      </c>
      <c r="B65" s="337" t="s">
        <v>5202</v>
      </c>
      <c r="C65" s="337" t="s">
        <v>5202</v>
      </c>
      <c r="D65" s="337">
        <v>10000</v>
      </c>
      <c r="E65" s="337">
        <v>0</v>
      </c>
    </row>
    <row r="66" spans="1:5" x14ac:dyDescent="0.3">
      <c r="A66" t="s">
        <v>1090</v>
      </c>
      <c r="B66" s="240">
        <f>SUM(B62:B64)</f>
        <v>120000</v>
      </c>
      <c r="C66" s="240">
        <f t="shared" ref="C66:E66" si="2">SUM(C62:C64)</f>
        <v>120000</v>
      </c>
      <c r="D66" s="240">
        <f>SUM(D62:D65)</f>
        <v>30000</v>
      </c>
      <c r="E66" s="240">
        <f t="shared" si="2"/>
        <v>139070</v>
      </c>
    </row>
    <row r="67" spans="1:5" x14ac:dyDescent="0.3">
      <c r="A67" t="s">
        <v>5203</v>
      </c>
    </row>
  </sheetData>
  <mergeCells count="8">
    <mergeCell ref="A60:L60"/>
    <mergeCell ref="A45:L45"/>
    <mergeCell ref="A54:L54"/>
    <mergeCell ref="A2:E2"/>
    <mergeCell ref="A13:L13"/>
    <mergeCell ref="B14:H14"/>
    <mergeCell ref="I14:L14"/>
    <mergeCell ref="A36:L36"/>
  </mergeCells>
  <hyperlinks>
    <hyperlink ref="A31" r:id="rId1" xr:uid="{953137A8-4B7E-411A-8DFC-2D941B49B68B}"/>
  </hyperlinks>
  <pageMargins left="0.7" right="0.7" top="0.75" bottom="0.75" header="0.3" footer="0.3"/>
  <pageSetup orientation="portrait"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A52C9-74DB-4EC7-93DC-864430708EC8}">
  <sheetPr codeName="Sheet61"/>
  <dimension ref="A1:I20"/>
  <sheetViews>
    <sheetView workbookViewId="0"/>
  </sheetViews>
  <sheetFormatPr defaultRowHeight="14.4" x14ac:dyDescent="0.3"/>
  <cols>
    <col min="1" max="1" width="47.109375" bestFit="1" customWidth="1"/>
    <col min="2" max="2" width="12.44140625" bestFit="1" customWidth="1"/>
    <col min="3" max="3" width="8.88671875" bestFit="1" customWidth="1"/>
    <col min="4" max="4" width="12.88671875" bestFit="1" customWidth="1"/>
    <col min="5" max="5" width="9.33203125" bestFit="1" customWidth="1"/>
    <col min="7" max="7" width="47.109375" bestFit="1" customWidth="1"/>
  </cols>
  <sheetData>
    <row r="1" spans="1:9" x14ac:dyDescent="0.3">
      <c r="A1" s="1" t="s">
        <v>193</v>
      </c>
      <c r="B1" s="1" t="s">
        <v>5204</v>
      </c>
      <c r="C1" s="1" t="s">
        <v>5205</v>
      </c>
      <c r="G1" s="1" t="s">
        <v>193</v>
      </c>
      <c r="H1" s="1" t="s">
        <v>5206</v>
      </c>
      <c r="I1" s="1" t="s">
        <v>5207</v>
      </c>
    </row>
    <row r="2" spans="1:9" x14ac:dyDescent="0.3">
      <c r="A2" t="s">
        <v>5208</v>
      </c>
      <c r="B2" s="229">
        <v>0.3</v>
      </c>
      <c r="C2">
        <v>70.97</v>
      </c>
      <c r="G2" t="s">
        <v>5209</v>
      </c>
      <c r="H2" s="229">
        <v>119.4</v>
      </c>
      <c r="I2">
        <v>25.16</v>
      </c>
    </row>
    <row r="3" spans="1:9" x14ac:dyDescent="0.3">
      <c r="A3" t="s">
        <v>5210</v>
      </c>
      <c r="B3" s="229">
        <v>0.5</v>
      </c>
      <c r="C3">
        <v>27.9</v>
      </c>
      <c r="G3" t="s">
        <v>5211</v>
      </c>
      <c r="H3" s="229">
        <v>132.12</v>
      </c>
      <c r="I3">
        <v>11.22</v>
      </c>
    </row>
    <row r="4" spans="1:9" x14ac:dyDescent="0.3">
      <c r="A4" t="s">
        <v>5212</v>
      </c>
      <c r="B4">
        <v>0</v>
      </c>
      <c r="C4">
        <v>27.76</v>
      </c>
      <c r="G4" t="s">
        <v>5213</v>
      </c>
      <c r="H4">
        <v>23.28</v>
      </c>
      <c r="I4">
        <v>99.83</v>
      </c>
    </row>
    <row r="5" spans="1:9" x14ac:dyDescent="0.3">
      <c r="A5" t="s">
        <v>5214</v>
      </c>
      <c r="B5" s="229">
        <v>0.4</v>
      </c>
      <c r="C5">
        <v>29.41</v>
      </c>
      <c r="G5" t="s">
        <v>5215</v>
      </c>
      <c r="H5">
        <v>2.2999999999999998</v>
      </c>
      <c r="I5">
        <v>62.66</v>
      </c>
    </row>
    <row r="6" spans="1:9" x14ac:dyDescent="0.3">
      <c r="A6" t="s">
        <v>5216</v>
      </c>
      <c r="B6" s="229">
        <v>1</v>
      </c>
      <c r="C6">
        <v>29.03</v>
      </c>
    </row>
    <row r="8" spans="1:9" x14ac:dyDescent="0.3">
      <c r="A8" t="s">
        <v>5217</v>
      </c>
      <c r="B8" s="229">
        <v>24.870555555555555</v>
      </c>
      <c r="C8">
        <v>24.73</v>
      </c>
    </row>
    <row r="9" spans="1:9" x14ac:dyDescent="0.3">
      <c r="A9" t="s">
        <v>5218</v>
      </c>
      <c r="B9" s="229">
        <v>9.2306666666666661</v>
      </c>
      <c r="C9">
        <v>24.73</v>
      </c>
    </row>
    <row r="10" spans="1:9" x14ac:dyDescent="0.3">
      <c r="A10" t="s">
        <v>5219</v>
      </c>
      <c r="B10" s="229">
        <v>4.6733333333333329</v>
      </c>
      <c r="C10">
        <v>27.23</v>
      </c>
    </row>
    <row r="16" spans="1:9" x14ac:dyDescent="0.3">
      <c r="B16" t="s">
        <v>5220</v>
      </c>
    </row>
    <row r="17" spans="1:2" x14ac:dyDescent="0.3">
      <c r="A17" s="1" t="s">
        <v>775</v>
      </c>
      <c r="B17" s="330">
        <f t="array" ref="B17">SUMPRODUCT(B2:B6,C2:C6)/SUM(B2:B6)</f>
        <v>34.56136363636363</v>
      </c>
    </row>
    <row r="18" spans="1:2" x14ac:dyDescent="0.3">
      <c r="A18" s="1" t="s">
        <v>5221</v>
      </c>
      <c r="B18" s="330">
        <f>SUMPRODUCT(B8:B10,C8:C10)/SUM(B8:B10)</f>
        <v>25.031314435870033</v>
      </c>
    </row>
    <row r="19" spans="1:2" x14ac:dyDescent="0.3">
      <c r="A19" s="1" t="s">
        <v>811</v>
      </c>
      <c r="B19" s="330">
        <f>SUMPRODUCT(H2:H3,I2:I3)/SUM(H2:H3)</f>
        <v>17.837509541984733</v>
      </c>
    </row>
    <row r="20" spans="1:2" x14ac:dyDescent="0.3">
      <c r="A20" s="1" t="s">
        <v>833</v>
      </c>
      <c r="B20" s="330">
        <f>SUMPRODUCT(H4:H5,I4:I5)/SUM(H4:H5)</f>
        <v>96.487896794370599</v>
      </c>
    </row>
  </sheetData>
  <pageMargins left="0.7" right="0.7" top="0.75" bottom="0.75" header="0.3" footer="0.3"/>
  <pageSetup orientation="portrait" r:id="rId1"/>
  <legacy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C8CDB-B24D-44E5-920D-EF279AF8F5B7}">
  <sheetPr codeName="Sheet62"/>
  <dimension ref="A1:L64"/>
  <sheetViews>
    <sheetView workbookViewId="0"/>
  </sheetViews>
  <sheetFormatPr defaultRowHeight="14.4" x14ac:dyDescent="0.3"/>
  <cols>
    <col min="1" max="1" width="65.109375" bestFit="1" customWidth="1"/>
    <col min="2" max="2" width="25.109375" customWidth="1"/>
    <col min="3" max="3" width="22.5546875" customWidth="1"/>
    <col min="4" max="4" width="58.6640625" customWidth="1"/>
    <col min="5" max="5" width="19" customWidth="1"/>
    <col min="6" max="6" width="18.6640625" customWidth="1"/>
    <col min="8" max="9" width="17.109375" customWidth="1"/>
    <col min="10" max="10" width="22" customWidth="1"/>
  </cols>
  <sheetData>
    <row r="1" spans="1:12" ht="57.6" x14ac:dyDescent="0.3">
      <c r="A1" s="15" t="s">
        <v>5222</v>
      </c>
    </row>
    <row r="4" spans="1:12" x14ac:dyDescent="0.3">
      <c r="J4" s="15" t="s">
        <v>5223</v>
      </c>
      <c r="K4">
        <v>325851</v>
      </c>
      <c r="L4" t="s">
        <v>5046</v>
      </c>
    </row>
    <row r="5" spans="1:12" x14ac:dyDescent="0.3">
      <c r="A5" s="15"/>
      <c r="J5" s="15" t="s">
        <v>5224</v>
      </c>
      <c r="K5">
        <v>8.3450000000000006</v>
      </c>
      <c r="L5" t="s">
        <v>5225</v>
      </c>
    </row>
    <row r="6" spans="1:12" x14ac:dyDescent="0.3">
      <c r="A6" s="15"/>
      <c r="J6" s="15" t="s">
        <v>5226</v>
      </c>
      <c r="K6">
        <f>K5*K4</f>
        <v>2719226.5950000002</v>
      </c>
      <c r="L6" t="s">
        <v>5225</v>
      </c>
    </row>
    <row r="7" spans="1:12" x14ac:dyDescent="0.3">
      <c r="A7" s="15"/>
      <c r="J7" s="15" t="s">
        <v>5227</v>
      </c>
      <c r="K7">
        <f>1*K6</f>
        <v>2719226.5950000002</v>
      </c>
      <c r="L7" t="s">
        <v>5228</v>
      </c>
    </row>
    <row r="8" spans="1:12" x14ac:dyDescent="0.3">
      <c r="A8" s="15"/>
      <c r="J8" s="15" t="s">
        <v>5229</v>
      </c>
      <c r="K8">
        <v>2655220</v>
      </c>
      <c r="L8" t="s">
        <v>5230</v>
      </c>
    </row>
    <row r="9" spans="1:12" ht="43.2" x14ac:dyDescent="0.3">
      <c r="B9" s="368" t="s">
        <v>5231</v>
      </c>
      <c r="C9" s="368" t="s">
        <v>5231</v>
      </c>
      <c r="D9" s="1" t="s">
        <v>153</v>
      </c>
      <c r="E9" s="15" t="s">
        <v>5232</v>
      </c>
      <c r="F9" s="15" t="s">
        <v>5233</v>
      </c>
      <c r="H9" s="15" t="s">
        <v>5234</v>
      </c>
      <c r="I9" s="15" t="s">
        <v>5235</v>
      </c>
      <c r="J9" s="15" t="s">
        <v>5236</v>
      </c>
      <c r="K9">
        <f>K7/K8</f>
        <v>1.0241059479063883</v>
      </c>
      <c r="L9" t="s">
        <v>5055</v>
      </c>
    </row>
    <row r="10" spans="1:12" ht="27" customHeight="1" x14ac:dyDescent="0.3">
      <c r="A10" s="1" t="s">
        <v>1080</v>
      </c>
      <c r="B10" s="368" t="s">
        <v>5237</v>
      </c>
      <c r="C10" s="368" t="s">
        <v>5238</v>
      </c>
      <c r="J10" s="15" t="s">
        <v>5239</v>
      </c>
      <c r="K10">
        <f>K9/0.7</f>
        <v>1.4630084970091262</v>
      </c>
      <c r="L10" t="s">
        <v>5055</v>
      </c>
    </row>
    <row r="11" spans="1:12" x14ac:dyDescent="0.3">
      <c r="A11" s="154" t="s">
        <v>747</v>
      </c>
      <c r="B11" s="154">
        <v>30</v>
      </c>
      <c r="C11" s="154">
        <v>50</v>
      </c>
      <c r="D11" s="154" t="s">
        <v>5240</v>
      </c>
      <c r="E11" s="154">
        <f>450/5</f>
        <v>90</v>
      </c>
      <c r="F11" s="152">
        <f>$K$10*C11</f>
        <v>73.150424850456304</v>
      </c>
    </row>
    <row r="12" spans="1:12" x14ac:dyDescent="0.3">
      <c r="A12" t="s">
        <v>751</v>
      </c>
      <c r="B12">
        <v>110</v>
      </c>
      <c r="C12">
        <v>120</v>
      </c>
      <c r="E12" s="37">
        <f>$K$10*B12</f>
        <v>160.93093467100388</v>
      </c>
      <c r="F12" s="37">
        <f>$K$10*C12</f>
        <v>175.56101964109513</v>
      </c>
    </row>
    <row r="13" spans="1:12" x14ac:dyDescent="0.3">
      <c r="A13" t="s">
        <v>755</v>
      </c>
      <c r="B13">
        <v>80</v>
      </c>
      <c r="C13">
        <v>110</v>
      </c>
      <c r="E13" s="37">
        <f>$K$10*B13</f>
        <v>117.04067976073009</v>
      </c>
      <c r="F13" s="37">
        <f t="shared" ref="E13:F53" si="0">$K$10*C13</f>
        <v>160.93093467100388</v>
      </c>
    </row>
    <row r="14" spans="1:12" x14ac:dyDescent="0.3">
      <c r="A14" t="s">
        <v>758</v>
      </c>
      <c r="B14">
        <v>90</v>
      </c>
      <c r="C14">
        <v>110</v>
      </c>
      <c r="E14" s="37">
        <f t="shared" si="0"/>
        <v>131.67076473082136</v>
      </c>
      <c r="F14" s="37">
        <f t="shared" si="0"/>
        <v>160.93093467100388</v>
      </c>
    </row>
    <row r="15" spans="1:12" x14ac:dyDescent="0.3">
      <c r="A15" t="s">
        <v>761</v>
      </c>
      <c r="B15">
        <v>10</v>
      </c>
      <c r="C15">
        <v>20</v>
      </c>
      <c r="E15" s="37">
        <f>$K$10*B15</f>
        <v>14.630084970091261</v>
      </c>
      <c r="F15" s="37">
        <f t="shared" si="0"/>
        <v>29.260169940182521</v>
      </c>
    </row>
    <row r="16" spans="1:12" x14ac:dyDescent="0.3">
      <c r="A16" s="294" t="s">
        <v>763</v>
      </c>
      <c r="B16" s="58">
        <v>15</v>
      </c>
      <c r="C16" s="58">
        <v>25</v>
      </c>
      <c r="D16" s="58" t="s">
        <v>5241</v>
      </c>
      <c r="E16" s="37">
        <f t="shared" si="0"/>
        <v>21.945127455136891</v>
      </c>
      <c r="F16" s="37">
        <f t="shared" si="0"/>
        <v>36.575212425228152</v>
      </c>
    </row>
    <row r="17" spans="1:9" x14ac:dyDescent="0.3">
      <c r="A17" s="308" t="s">
        <v>765</v>
      </c>
      <c r="E17" s="37">
        <f t="shared" si="0"/>
        <v>0</v>
      </c>
      <c r="F17" s="37">
        <f t="shared" si="0"/>
        <v>0</v>
      </c>
    </row>
    <row r="18" spans="1:9" x14ac:dyDescent="0.3">
      <c r="A18" s="475" t="s">
        <v>768</v>
      </c>
      <c r="B18" s="154"/>
      <c r="C18" s="154"/>
      <c r="D18" s="154" t="s">
        <v>5240</v>
      </c>
      <c r="E18" s="152">
        <f t="shared" si="0"/>
        <v>0</v>
      </c>
      <c r="F18" s="152">
        <f t="shared" si="0"/>
        <v>0</v>
      </c>
    </row>
    <row r="19" spans="1:9" x14ac:dyDescent="0.3">
      <c r="A19" t="s">
        <v>771</v>
      </c>
      <c r="B19">
        <v>60</v>
      </c>
      <c r="C19">
        <v>70</v>
      </c>
      <c r="E19" s="37">
        <f t="shared" si="0"/>
        <v>87.780509820547564</v>
      </c>
      <c r="F19" s="37">
        <f t="shared" si="0"/>
        <v>102.41059479063883</v>
      </c>
    </row>
    <row r="20" spans="1:9" x14ac:dyDescent="0.3">
      <c r="A20" t="s">
        <v>772</v>
      </c>
      <c r="B20">
        <v>90</v>
      </c>
      <c r="C20">
        <v>100</v>
      </c>
      <c r="E20" s="37">
        <f t="shared" si="0"/>
        <v>131.67076473082136</v>
      </c>
      <c r="F20" s="37">
        <f t="shared" si="0"/>
        <v>146.30084970091261</v>
      </c>
    </row>
    <row r="21" spans="1:9" x14ac:dyDescent="0.3">
      <c r="A21" t="s">
        <v>774</v>
      </c>
      <c r="B21">
        <v>100</v>
      </c>
      <c r="C21">
        <v>110</v>
      </c>
      <c r="E21" s="37">
        <f t="shared" si="0"/>
        <v>146.30084970091261</v>
      </c>
      <c r="F21" s="37">
        <f t="shared" si="0"/>
        <v>160.93093467100388</v>
      </c>
    </row>
    <row r="22" spans="1:9" x14ac:dyDescent="0.3">
      <c r="A22" s="154" t="s">
        <v>775</v>
      </c>
      <c r="B22" s="154">
        <v>60</v>
      </c>
      <c r="C22" s="154">
        <v>80</v>
      </c>
      <c r="D22" s="154" t="s">
        <v>5240</v>
      </c>
      <c r="E22" s="152">
        <f t="shared" si="0"/>
        <v>87.780509820547564</v>
      </c>
      <c r="F22" s="152">
        <f t="shared" si="0"/>
        <v>117.04067976073009</v>
      </c>
    </row>
    <row r="23" spans="1:9" x14ac:dyDescent="0.3">
      <c r="A23" s="154" t="s">
        <v>779</v>
      </c>
      <c r="B23" s="154">
        <v>30</v>
      </c>
      <c r="C23" s="154">
        <v>50</v>
      </c>
      <c r="D23" s="154" t="s">
        <v>5240</v>
      </c>
      <c r="E23" s="152">
        <f t="shared" si="0"/>
        <v>43.890254910273782</v>
      </c>
      <c r="F23" s="152">
        <f t="shared" si="0"/>
        <v>73.150424850456304</v>
      </c>
    </row>
    <row r="24" spans="1:9" x14ac:dyDescent="0.3">
      <c r="A24" s="154" t="s">
        <v>781</v>
      </c>
      <c r="B24" s="154">
        <f>C24-30</f>
        <v>310</v>
      </c>
      <c r="C24" s="154">
        <v>340</v>
      </c>
      <c r="D24" s="154" t="s">
        <v>5240</v>
      </c>
      <c r="E24" s="152">
        <f t="shared" si="0"/>
        <v>453.53263407282913</v>
      </c>
      <c r="F24" s="152">
        <f t="shared" si="0"/>
        <v>497.42288898310289</v>
      </c>
    </row>
    <row r="25" spans="1:9" x14ac:dyDescent="0.3">
      <c r="A25" t="s">
        <v>783</v>
      </c>
      <c r="B25">
        <v>300</v>
      </c>
      <c r="C25">
        <v>370</v>
      </c>
      <c r="E25" s="37">
        <f t="shared" si="0"/>
        <v>438.90254910273785</v>
      </c>
      <c r="F25" s="37">
        <f t="shared" si="0"/>
        <v>541.31314389337672</v>
      </c>
    </row>
    <row r="26" spans="1:9" x14ac:dyDescent="0.3">
      <c r="A26" s="58" t="s">
        <v>785</v>
      </c>
      <c r="B26" s="58">
        <v>130</v>
      </c>
      <c r="C26" s="58">
        <v>90</v>
      </c>
      <c r="D26" s="58" t="s">
        <v>5241</v>
      </c>
      <c r="E26" s="37">
        <f t="shared" si="0"/>
        <v>190.1911046111864</v>
      </c>
      <c r="F26" s="37">
        <f t="shared" si="0"/>
        <v>131.67076473082136</v>
      </c>
    </row>
    <row r="27" spans="1:9" x14ac:dyDescent="0.3">
      <c r="A27" s="154" t="s">
        <v>787</v>
      </c>
      <c r="B27" s="154">
        <v>290</v>
      </c>
      <c r="C27" s="154">
        <v>370</v>
      </c>
      <c r="D27" s="154" t="s">
        <v>5240</v>
      </c>
      <c r="E27" s="152">
        <f t="shared" si="0"/>
        <v>424.27246413264658</v>
      </c>
      <c r="F27" s="152">
        <f t="shared" si="0"/>
        <v>541.31314389337672</v>
      </c>
    </row>
    <row r="28" spans="1:9" x14ac:dyDescent="0.3">
      <c r="A28" s="475" t="s">
        <v>788</v>
      </c>
      <c r="B28" s="154">
        <v>100</v>
      </c>
      <c r="C28" s="154">
        <v>160</v>
      </c>
      <c r="D28" s="154" t="s">
        <v>5240</v>
      </c>
      <c r="E28" s="152">
        <f t="shared" si="0"/>
        <v>146.30084970091261</v>
      </c>
      <c r="F28" s="152">
        <f t="shared" si="0"/>
        <v>234.08135952146017</v>
      </c>
    </row>
    <row r="29" spans="1:9" x14ac:dyDescent="0.3">
      <c r="A29" s="475" t="s">
        <v>789</v>
      </c>
      <c r="B29" s="154">
        <v>40</v>
      </c>
      <c r="C29" s="154">
        <v>45</v>
      </c>
      <c r="D29" s="154" t="s">
        <v>5240</v>
      </c>
      <c r="E29" s="152">
        <f t="shared" si="0"/>
        <v>58.520339880365043</v>
      </c>
      <c r="F29" s="152">
        <f t="shared" si="0"/>
        <v>65.83538236541068</v>
      </c>
    </row>
    <row r="30" spans="1:9" x14ac:dyDescent="0.3">
      <c r="A30" s="308" t="s">
        <v>790</v>
      </c>
      <c r="B30">
        <v>180</v>
      </c>
      <c r="C30">
        <v>190</v>
      </c>
      <c r="E30" s="37">
        <f t="shared" si="0"/>
        <v>263.34152946164272</v>
      </c>
      <c r="F30" s="37">
        <f t="shared" si="0"/>
        <v>277.971614431734</v>
      </c>
    </row>
    <row r="31" spans="1:9" x14ac:dyDescent="0.3">
      <c r="A31" s="475" t="s">
        <v>793</v>
      </c>
      <c r="B31" s="154">
        <v>180</v>
      </c>
      <c r="C31" s="154">
        <v>200</v>
      </c>
      <c r="D31" s="154" t="s">
        <v>5240</v>
      </c>
      <c r="E31" s="152">
        <f t="shared" si="0"/>
        <v>263.34152946164272</v>
      </c>
      <c r="F31" s="152">
        <f t="shared" si="0"/>
        <v>292.60169940182521</v>
      </c>
      <c r="H31" t="e">
        <f>(2501342/57542)/#REF!*#REF!</f>
        <v>#REF!</v>
      </c>
      <c r="I31" t="s">
        <v>5242</v>
      </c>
    </row>
    <row r="32" spans="1:9" x14ac:dyDescent="0.3">
      <c r="A32" s="475" t="s">
        <v>795</v>
      </c>
      <c r="B32" s="154">
        <v>230</v>
      </c>
      <c r="C32" s="154">
        <v>270</v>
      </c>
      <c r="D32" s="154" t="s">
        <v>5240</v>
      </c>
      <c r="E32" s="152">
        <f t="shared" si="0"/>
        <v>336.49195431209904</v>
      </c>
      <c r="F32" s="152">
        <f t="shared" si="0"/>
        <v>395.01229419246408</v>
      </c>
    </row>
    <row r="33" spans="1:6" x14ac:dyDescent="0.3">
      <c r="A33" s="308" t="s">
        <v>797</v>
      </c>
      <c r="B33">
        <v>90</v>
      </c>
      <c r="C33">
        <v>100</v>
      </c>
      <c r="E33" s="37">
        <f t="shared" si="0"/>
        <v>131.67076473082136</v>
      </c>
      <c r="F33" s="37">
        <f t="shared" si="0"/>
        <v>146.30084970091261</v>
      </c>
    </row>
    <row r="34" spans="1:6" x14ac:dyDescent="0.3">
      <c r="A34" s="308" t="s">
        <v>799</v>
      </c>
      <c r="E34" s="37">
        <f t="shared" si="0"/>
        <v>0</v>
      </c>
      <c r="F34" s="37">
        <f t="shared" si="0"/>
        <v>0</v>
      </c>
    </row>
    <row r="35" spans="1:6" x14ac:dyDescent="0.3">
      <c r="A35" s="308" t="s">
        <v>801</v>
      </c>
      <c r="E35" s="37">
        <f t="shared" si="0"/>
        <v>0</v>
      </c>
      <c r="F35" s="37">
        <f t="shared" si="0"/>
        <v>0</v>
      </c>
    </row>
    <row r="36" spans="1:6" x14ac:dyDescent="0.3">
      <c r="A36" s="294" t="s">
        <v>804</v>
      </c>
      <c r="B36" s="58">
        <v>30</v>
      </c>
      <c r="C36" s="58">
        <v>40</v>
      </c>
      <c r="D36" s="58" t="s">
        <v>5241</v>
      </c>
      <c r="E36" s="37">
        <f t="shared" si="0"/>
        <v>43.890254910273782</v>
      </c>
      <c r="F36" s="37">
        <f t="shared" si="0"/>
        <v>58.520339880365043</v>
      </c>
    </row>
    <row r="37" spans="1:6" x14ac:dyDescent="0.3">
      <c r="A37" s="308" t="s">
        <v>806</v>
      </c>
      <c r="B37">
        <v>32</v>
      </c>
      <c r="C37">
        <v>36</v>
      </c>
      <c r="E37" s="37">
        <f t="shared" si="0"/>
        <v>46.816271904292037</v>
      </c>
      <c r="F37" s="37">
        <f t="shared" si="0"/>
        <v>52.66830589232854</v>
      </c>
    </row>
    <row r="38" spans="1:6" x14ac:dyDescent="0.3">
      <c r="A38" s="308" t="s">
        <v>808</v>
      </c>
      <c r="B38">
        <v>287</v>
      </c>
      <c r="C38">
        <v>272</v>
      </c>
      <c r="D38" s="58" t="s">
        <v>5241</v>
      </c>
      <c r="E38" s="37">
        <f t="shared" si="0"/>
        <v>419.88343864161919</v>
      </c>
      <c r="F38" s="37">
        <f t="shared" si="0"/>
        <v>397.93831118648234</v>
      </c>
    </row>
    <row r="39" spans="1:6" ht="86.4" x14ac:dyDescent="0.3">
      <c r="A39" s="308" t="s">
        <v>811</v>
      </c>
      <c r="B39" s="37">
        <v>27.5</v>
      </c>
      <c r="C39">
        <v>56</v>
      </c>
      <c r="D39" s="15" t="s">
        <v>5243</v>
      </c>
      <c r="E39" s="37">
        <f t="shared" si="0"/>
        <v>40.232733667750971</v>
      </c>
      <c r="F39" s="37">
        <f t="shared" si="0"/>
        <v>81.928475832511069</v>
      </c>
    </row>
    <row r="40" spans="1:6" x14ac:dyDescent="0.3">
      <c r="A40" s="308" t="s">
        <v>814</v>
      </c>
      <c r="B40">
        <v>50</v>
      </c>
      <c r="C40">
        <v>51</v>
      </c>
      <c r="D40" s="15" t="s">
        <v>5244</v>
      </c>
      <c r="E40" s="37">
        <f t="shared" si="0"/>
        <v>73.150424850456304</v>
      </c>
      <c r="F40" s="37">
        <f t="shared" si="0"/>
        <v>74.613433347465431</v>
      </c>
    </row>
    <row r="41" spans="1:6" x14ac:dyDescent="0.3">
      <c r="A41" s="475" t="s">
        <v>815</v>
      </c>
      <c r="B41" s="154"/>
      <c r="C41" s="154"/>
      <c r="D41" s="154" t="s">
        <v>5240</v>
      </c>
      <c r="E41" s="152">
        <f t="shared" si="0"/>
        <v>0</v>
      </c>
      <c r="F41" s="152">
        <f t="shared" si="0"/>
        <v>0</v>
      </c>
    </row>
    <row r="42" spans="1:6" ht="28.8" x14ac:dyDescent="0.3">
      <c r="A42" s="294" t="s">
        <v>817</v>
      </c>
      <c r="B42" s="476">
        <f>AVERAGE(2590 - 2419, 2360 - 2194, 2680 - 2530.48)</f>
        <v>162.17333333333332</v>
      </c>
      <c r="C42" s="476">
        <f>AVERAGE(2590 - 2417, 2360 - 2195)</f>
        <v>169</v>
      </c>
      <c r="D42" s="478" t="s">
        <v>5245</v>
      </c>
      <c r="E42" s="37">
        <f t="shared" si="0"/>
        <v>237.26096465495999</v>
      </c>
      <c r="F42" s="37">
        <f t="shared" si="0"/>
        <v>247.24843599454232</v>
      </c>
    </row>
    <row r="43" spans="1:6" ht="43.2" x14ac:dyDescent="0.3">
      <c r="A43" s="294" t="s">
        <v>819</v>
      </c>
      <c r="B43" s="477">
        <f>AVERAGE(1210 - 1161, 1195-1045, 1127-1082.73)</f>
        <v>81.089999999999989</v>
      </c>
      <c r="C43" s="477">
        <f>AVERAGE(1210 - 1140, 1195-1050, 1127-1068.43)</f>
        <v>91.189999999999984</v>
      </c>
      <c r="D43" s="478" t="s">
        <v>5246</v>
      </c>
      <c r="E43" s="37">
        <f t="shared" si="0"/>
        <v>118.63535902247003</v>
      </c>
      <c r="F43" s="37">
        <f t="shared" si="0"/>
        <v>133.41174484226218</v>
      </c>
    </row>
    <row r="44" spans="1:6" x14ac:dyDescent="0.3">
      <c r="A44" s="475" t="s">
        <v>821</v>
      </c>
      <c r="B44" s="154"/>
      <c r="C44" s="154"/>
      <c r="D44" s="154" t="s">
        <v>5240</v>
      </c>
      <c r="E44" s="152">
        <f t="shared" si="0"/>
        <v>0</v>
      </c>
      <c r="F44" s="152">
        <f t="shared" si="0"/>
        <v>0</v>
      </c>
    </row>
    <row r="45" spans="1:6" x14ac:dyDescent="0.3">
      <c r="A45" s="475" t="s">
        <v>823</v>
      </c>
      <c r="B45" s="154"/>
      <c r="C45" s="154"/>
      <c r="D45" s="154" t="s">
        <v>5240</v>
      </c>
      <c r="E45" s="152">
        <f t="shared" si="0"/>
        <v>0</v>
      </c>
      <c r="F45" s="152">
        <f t="shared" si="0"/>
        <v>0</v>
      </c>
    </row>
    <row r="46" spans="1:6" x14ac:dyDescent="0.3">
      <c r="A46" s="475" t="s">
        <v>825</v>
      </c>
      <c r="B46" s="154"/>
      <c r="C46" s="154"/>
      <c r="D46" s="154" t="s">
        <v>5240</v>
      </c>
      <c r="E46" s="152">
        <f t="shared" si="0"/>
        <v>0</v>
      </c>
      <c r="F46" s="152">
        <f t="shared" si="0"/>
        <v>0</v>
      </c>
    </row>
    <row r="47" spans="1:6" x14ac:dyDescent="0.3">
      <c r="A47" s="308" t="s">
        <v>827</v>
      </c>
      <c r="B47" s="463">
        <v>195.72499999999999</v>
      </c>
      <c r="C47" s="421"/>
      <c r="E47" s="37">
        <f t="shared" si="0"/>
        <v>286.3473380771112</v>
      </c>
      <c r="F47" s="37">
        <f t="shared" si="0"/>
        <v>0</v>
      </c>
    </row>
    <row r="48" spans="1:6" x14ac:dyDescent="0.3">
      <c r="A48" s="308" t="s">
        <v>829</v>
      </c>
      <c r="B48" s="463">
        <v>245.06030000000001</v>
      </c>
      <c r="C48" s="421">
        <v>259.77350000000001</v>
      </c>
      <c r="E48" s="37">
        <f t="shared" si="0"/>
        <v>358.52530117960561</v>
      </c>
      <c r="F48" s="37">
        <f t="shared" si="0"/>
        <v>380.05083779780023</v>
      </c>
    </row>
    <row r="49" spans="1:6" x14ac:dyDescent="0.3">
      <c r="A49" s="308" t="s">
        <v>833</v>
      </c>
      <c r="B49" s="463">
        <v>195.72499999999999</v>
      </c>
      <c r="C49" s="421"/>
      <c r="E49" s="37">
        <f t="shared" si="0"/>
        <v>286.3473380771112</v>
      </c>
      <c r="F49" s="37">
        <f t="shared" si="0"/>
        <v>0</v>
      </c>
    </row>
    <row r="50" spans="1:6" x14ac:dyDescent="0.3">
      <c r="A50" s="308" t="s">
        <v>836</v>
      </c>
      <c r="B50" s="463">
        <v>245.06030000000001</v>
      </c>
      <c r="C50" s="421">
        <v>259.77350000000001</v>
      </c>
      <c r="E50" s="37">
        <f t="shared" si="0"/>
        <v>358.52530117960561</v>
      </c>
      <c r="F50" s="37">
        <f t="shared" si="0"/>
        <v>380.05083779780023</v>
      </c>
    </row>
    <row r="51" spans="1:6" x14ac:dyDescent="0.3">
      <c r="A51" s="475" t="s">
        <v>837</v>
      </c>
      <c r="B51" s="154"/>
      <c r="C51" s="154"/>
      <c r="D51" s="154" t="s">
        <v>5240</v>
      </c>
      <c r="E51" s="152">
        <f t="shared" si="0"/>
        <v>0</v>
      </c>
      <c r="F51" s="152">
        <f t="shared" si="0"/>
        <v>0</v>
      </c>
    </row>
    <row r="52" spans="1:6" x14ac:dyDescent="0.3">
      <c r="A52" s="308" t="s">
        <v>839</v>
      </c>
      <c r="B52" s="463">
        <v>245.06030000000001</v>
      </c>
      <c r="C52" s="463">
        <v>259.77350000000001</v>
      </c>
      <c r="D52" t="s">
        <v>5247</v>
      </c>
      <c r="E52" s="37">
        <f t="shared" si="0"/>
        <v>358.52530117960561</v>
      </c>
      <c r="F52" s="37">
        <f t="shared" si="0"/>
        <v>380.05083779780023</v>
      </c>
    </row>
    <row r="53" spans="1:6" x14ac:dyDescent="0.3">
      <c r="A53" s="475" t="s">
        <v>840</v>
      </c>
      <c r="B53" s="475"/>
      <c r="C53" s="475"/>
      <c r="D53" s="154" t="s">
        <v>5240</v>
      </c>
      <c r="E53" s="152">
        <f t="shared" si="0"/>
        <v>0</v>
      </c>
      <c r="F53" s="152">
        <f t="shared" si="0"/>
        <v>0</v>
      </c>
    </row>
    <row r="54" spans="1:6" x14ac:dyDescent="0.3">
      <c r="A54" s="308"/>
    </row>
    <row r="55" spans="1:6" x14ac:dyDescent="0.3">
      <c r="A55" s="308"/>
    </row>
    <row r="56" spans="1:6" x14ac:dyDescent="0.3">
      <c r="A56" s="475" t="s">
        <v>5248</v>
      </c>
    </row>
    <row r="57" spans="1:6" x14ac:dyDescent="0.3">
      <c r="A57" s="58" t="s">
        <v>5249</v>
      </c>
    </row>
    <row r="58" spans="1:6" x14ac:dyDescent="0.3">
      <c r="A58" t="s">
        <v>5250</v>
      </c>
    </row>
    <row r="61" spans="1:6" x14ac:dyDescent="0.3">
      <c r="A61" s="1" t="s">
        <v>5251</v>
      </c>
    </row>
    <row r="62" spans="1:6" x14ac:dyDescent="0.3">
      <c r="A62" t="s">
        <v>5252</v>
      </c>
    </row>
    <row r="63" spans="1:6" ht="158.4" x14ac:dyDescent="0.3">
      <c r="A63" s="15" t="s">
        <v>5253</v>
      </c>
    </row>
    <row r="64" spans="1:6" x14ac:dyDescent="0.3">
      <c r="A64" s="432" t="s">
        <v>5254</v>
      </c>
    </row>
  </sheetData>
  <hyperlinks>
    <hyperlink ref="A64" r:id="rId1" location="gwlevels" xr:uid="{1E150090-405F-4C44-91CB-366E8028C1A5}"/>
  </hyperlinks>
  <pageMargins left="0.7" right="0.7" top="0.75" bottom="0.75" header="0.3" footer="0.3"/>
  <pageSetup orientation="portrait"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DA88-7CE9-4B2D-88F1-17D2568DBB68}">
  <sheetPr codeName="Sheet63">
    <tabColor rgb="FF7030A0"/>
  </sheetPr>
  <dimension ref="A1:M616"/>
  <sheetViews>
    <sheetView workbookViewId="0"/>
  </sheetViews>
  <sheetFormatPr defaultRowHeight="14.4" x14ac:dyDescent="0.3"/>
  <cols>
    <col min="1" max="1" width="7.6640625" bestFit="1" customWidth="1"/>
    <col min="2" max="2" width="63.5546875" bestFit="1" customWidth="1"/>
    <col min="3" max="3" width="61.33203125" bestFit="1" customWidth="1"/>
    <col min="4" max="4" width="18.88671875" bestFit="1" customWidth="1"/>
    <col min="5" max="5" width="26.5546875" bestFit="1" customWidth="1"/>
    <col min="6" max="6" width="23" bestFit="1" customWidth="1"/>
    <col min="7" max="7" width="83.88671875" bestFit="1" customWidth="1"/>
    <col min="8" max="8" width="32.88671875" bestFit="1" customWidth="1"/>
    <col min="9" max="9" width="28.109375" bestFit="1" customWidth="1"/>
    <col min="10" max="10" width="64.33203125" bestFit="1" customWidth="1"/>
    <col min="11" max="11" width="81.109375" bestFit="1" customWidth="1"/>
    <col min="12" max="12" width="37.109375" bestFit="1" customWidth="1"/>
    <col min="13" max="13" width="35" bestFit="1" customWidth="1"/>
  </cols>
  <sheetData>
    <row r="1" spans="1:13" x14ac:dyDescent="0.3">
      <c r="A1" t="s">
        <v>1191</v>
      </c>
      <c r="B1" t="s">
        <v>1192</v>
      </c>
      <c r="C1" t="s">
        <v>1193</v>
      </c>
      <c r="D1" t="s">
        <v>1194</v>
      </c>
      <c r="E1" t="s">
        <v>1195</v>
      </c>
      <c r="F1" t="s">
        <v>1196</v>
      </c>
      <c r="G1" t="s">
        <v>5255</v>
      </c>
      <c r="H1" t="s">
        <v>5256</v>
      </c>
      <c r="I1" t="s">
        <v>5257</v>
      </c>
      <c r="J1" t="s">
        <v>5258</v>
      </c>
      <c r="K1" t="s">
        <v>5259</v>
      </c>
      <c r="L1" t="s">
        <v>5260</v>
      </c>
      <c r="M1" t="s">
        <v>5261</v>
      </c>
    </row>
    <row r="2" spans="1:13" x14ac:dyDescent="0.3">
      <c r="A2">
        <v>13</v>
      </c>
      <c r="B2" t="s">
        <v>1201</v>
      </c>
      <c r="C2" t="s">
        <v>5262</v>
      </c>
      <c r="D2" t="s">
        <v>1203</v>
      </c>
      <c r="E2" t="s">
        <v>1204</v>
      </c>
      <c r="F2">
        <v>5973</v>
      </c>
      <c r="G2" t="s">
        <v>5263</v>
      </c>
      <c r="H2" t="s">
        <v>5264</v>
      </c>
      <c r="I2">
        <v>3001</v>
      </c>
      <c r="J2" t="s">
        <v>5265</v>
      </c>
      <c r="K2" t="s">
        <v>2878</v>
      </c>
      <c r="L2" t="s">
        <v>2530</v>
      </c>
      <c r="M2" t="s">
        <v>2530</v>
      </c>
    </row>
    <row r="3" spans="1:13" x14ac:dyDescent="0.3">
      <c r="A3">
        <v>23</v>
      </c>
      <c r="B3" t="s">
        <v>801</v>
      </c>
      <c r="C3" t="s">
        <v>5262</v>
      </c>
      <c r="D3" t="s">
        <v>159</v>
      </c>
      <c r="E3" t="s">
        <v>159</v>
      </c>
      <c r="F3">
        <v>6868</v>
      </c>
      <c r="G3" t="s">
        <v>5266</v>
      </c>
      <c r="H3" t="s">
        <v>5264</v>
      </c>
      <c r="I3">
        <v>26212</v>
      </c>
      <c r="J3" t="s">
        <v>5266</v>
      </c>
      <c r="K3" t="s">
        <v>4114</v>
      </c>
      <c r="L3" t="s">
        <v>2530</v>
      </c>
      <c r="M3" t="s">
        <v>2537</v>
      </c>
    </row>
    <row r="4" spans="1:13" x14ac:dyDescent="0.3">
      <c r="A4">
        <v>30</v>
      </c>
      <c r="B4" t="s">
        <v>1213</v>
      </c>
      <c r="C4" t="s">
        <v>5262</v>
      </c>
      <c r="D4" t="s">
        <v>159</v>
      </c>
      <c r="E4" t="s">
        <v>159</v>
      </c>
      <c r="F4">
        <v>5557</v>
      </c>
      <c r="G4" t="s">
        <v>5267</v>
      </c>
      <c r="H4" t="s">
        <v>1254</v>
      </c>
      <c r="I4">
        <v>130</v>
      </c>
      <c r="J4" t="s">
        <v>5268</v>
      </c>
      <c r="K4" t="s">
        <v>5269</v>
      </c>
      <c r="L4" t="s">
        <v>2537</v>
      </c>
      <c r="M4" t="s">
        <v>2537</v>
      </c>
    </row>
    <row r="5" spans="1:13" x14ac:dyDescent="0.3">
      <c r="A5">
        <v>30</v>
      </c>
      <c r="B5" t="s">
        <v>1213</v>
      </c>
      <c r="C5" t="s">
        <v>5262</v>
      </c>
      <c r="D5" t="s">
        <v>159</v>
      </c>
      <c r="E5" t="s">
        <v>159</v>
      </c>
      <c r="F5">
        <v>5557</v>
      </c>
      <c r="G5" t="s">
        <v>5267</v>
      </c>
      <c r="H5" t="s">
        <v>1254</v>
      </c>
      <c r="I5">
        <v>6370</v>
      </c>
      <c r="J5" t="s">
        <v>5268</v>
      </c>
      <c r="K5" t="s">
        <v>5270</v>
      </c>
      <c r="L5" t="s">
        <v>2537</v>
      </c>
      <c r="M5" t="s">
        <v>2537</v>
      </c>
    </row>
    <row r="6" spans="1:13" x14ac:dyDescent="0.3">
      <c r="A6">
        <v>55</v>
      </c>
      <c r="B6" t="s">
        <v>1217</v>
      </c>
      <c r="C6" t="s">
        <v>5262</v>
      </c>
      <c r="D6" t="s">
        <v>159</v>
      </c>
      <c r="E6" t="s">
        <v>159</v>
      </c>
      <c r="F6">
        <v>8283</v>
      </c>
      <c r="G6" t="s">
        <v>5271</v>
      </c>
      <c r="H6" t="s">
        <v>5264</v>
      </c>
      <c r="I6">
        <v>123</v>
      </c>
      <c r="J6" t="s">
        <v>5272</v>
      </c>
      <c r="K6" t="s">
        <v>4127</v>
      </c>
      <c r="L6" t="s">
        <v>2530</v>
      </c>
      <c r="M6" t="s">
        <v>2537</v>
      </c>
    </row>
    <row r="7" spans="1:13" x14ac:dyDescent="0.3">
      <c r="A7">
        <v>55</v>
      </c>
      <c r="B7" t="s">
        <v>1217</v>
      </c>
      <c r="C7" t="s">
        <v>5262</v>
      </c>
      <c r="D7" t="s">
        <v>159</v>
      </c>
      <c r="E7" t="s">
        <v>159</v>
      </c>
      <c r="F7">
        <v>8283</v>
      </c>
      <c r="G7" t="s">
        <v>5273</v>
      </c>
      <c r="H7" t="s">
        <v>5264</v>
      </c>
      <c r="I7">
        <v>140</v>
      </c>
      <c r="J7" t="s">
        <v>5273</v>
      </c>
      <c r="K7" t="s">
        <v>4164</v>
      </c>
      <c r="L7" t="s">
        <v>2530</v>
      </c>
      <c r="M7" t="s">
        <v>2537</v>
      </c>
    </row>
    <row r="8" spans="1:13" x14ac:dyDescent="0.3">
      <c r="A8">
        <v>55</v>
      </c>
      <c r="B8" t="s">
        <v>1217</v>
      </c>
      <c r="C8" t="s">
        <v>5262</v>
      </c>
      <c r="D8" t="s">
        <v>159</v>
      </c>
      <c r="E8" t="s">
        <v>159</v>
      </c>
      <c r="F8">
        <v>8283</v>
      </c>
      <c r="G8" t="s">
        <v>5274</v>
      </c>
      <c r="H8" t="s">
        <v>5264</v>
      </c>
      <c r="I8">
        <v>13</v>
      </c>
      <c r="J8" t="s">
        <v>5275</v>
      </c>
      <c r="K8" t="s">
        <v>4122</v>
      </c>
      <c r="L8" t="s">
        <v>2530</v>
      </c>
      <c r="M8" t="s">
        <v>2537</v>
      </c>
    </row>
    <row r="9" spans="1:13" x14ac:dyDescent="0.3">
      <c r="A9">
        <v>55</v>
      </c>
      <c r="B9" t="s">
        <v>1217</v>
      </c>
      <c r="C9" t="s">
        <v>5262</v>
      </c>
      <c r="D9" t="s">
        <v>159</v>
      </c>
      <c r="E9" t="s">
        <v>159</v>
      </c>
      <c r="F9">
        <v>8283</v>
      </c>
      <c r="G9" t="s">
        <v>5272</v>
      </c>
      <c r="H9" t="s">
        <v>5264</v>
      </c>
      <c r="I9">
        <v>174</v>
      </c>
      <c r="J9" t="s">
        <v>5272</v>
      </c>
      <c r="K9" t="s">
        <v>4127</v>
      </c>
      <c r="L9" t="s">
        <v>2530</v>
      </c>
      <c r="M9" t="s">
        <v>2537</v>
      </c>
    </row>
    <row r="10" spans="1:13" x14ac:dyDescent="0.3">
      <c r="A10">
        <v>55</v>
      </c>
      <c r="B10" t="s">
        <v>1217</v>
      </c>
      <c r="C10" t="s">
        <v>5262</v>
      </c>
      <c r="D10" t="s">
        <v>159</v>
      </c>
      <c r="E10" t="s">
        <v>159</v>
      </c>
      <c r="F10">
        <v>8283</v>
      </c>
      <c r="G10" t="s">
        <v>5276</v>
      </c>
      <c r="H10" t="s">
        <v>5264</v>
      </c>
      <c r="I10">
        <v>504</v>
      </c>
      <c r="J10" t="s">
        <v>5276</v>
      </c>
      <c r="K10" t="s">
        <v>4131</v>
      </c>
      <c r="L10" t="s">
        <v>2530</v>
      </c>
      <c r="M10" t="s">
        <v>2537</v>
      </c>
    </row>
    <row r="11" spans="1:13" x14ac:dyDescent="0.3">
      <c r="A11">
        <v>55</v>
      </c>
      <c r="B11" t="s">
        <v>1217</v>
      </c>
      <c r="C11" t="s">
        <v>5262</v>
      </c>
      <c r="D11" t="s">
        <v>159</v>
      </c>
      <c r="E11" t="s">
        <v>159</v>
      </c>
      <c r="F11">
        <v>8283</v>
      </c>
      <c r="G11" t="s">
        <v>5277</v>
      </c>
      <c r="H11" t="s">
        <v>5264</v>
      </c>
      <c r="I11">
        <v>3</v>
      </c>
      <c r="J11" t="s">
        <v>5277</v>
      </c>
      <c r="K11" t="s">
        <v>4147</v>
      </c>
      <c r="L11" t="s">
        <v>2530</v>
      </c>
      <c r="M11" t="s">
        <v>2537</v>
      </c>
    </row>
    <row r="12" spans="1:13" x14ac:dyDescent="0.3">
      <c r="A12">
        <v>55</v>
      </c>
      <c r="B12" t="s">
        <v>1217</v>
      </c>
      <c r="C12" t="s">
        <v>5262</v>
      </c>
      <c r="D12" t="s">
        <v>159</v>
      </c>
      <c r="E12" t="s">
        <v>159</v>
      </c>
      <c r="F12">
        <v>8283</v>
      </c>
      <c r="G12" t="s">
        <v>5278</v>
      </c>
      <c r="H12" t="s">
        <v>5264</v>
      </c>
      <c r="I12">
        <v>1</v>
      </c>
      <c r="J12" t="s">
        <v>5278</v>
      </c>
      <c r="K12" t="s">
        <v>4149</v>
      </c>
      <c r="L12" t="s">
        <v>2530</v>
      </c>
      <c r="M12" t="s">
        <v>2537</v>
      </c>
    </row>
    <row r="13" spans="1:13" x14ac:dyDescent="0.3">
      <c r="A13">
        <v>55</v>
      </c>
      <c r="B13" t="s">
        <v>1217</v>
      </c>
      <c r="C13" t="s">
        <v>5262</v>
      </c>
      <c r="D13" t="s">
        <v>159</v>
      </c>
      <c r="E13" t="s">
        <v>159</v>
      </c>
      <c r="F13">
        <v>8283</v>
      </c>
      <c r="G13" t="s">
        <v>5279</v>
      </c>
      <c r="H13" t="s">
        <v>5264</v>
      </c>
      <c r="I13">
        <v>0</v>
      </c>
      <c r="J13" t="s">
        <v>5279</v>
      </c>
      <c r="K13" t="s">
        <v>4150</v>
      </c>
      <c r="L13" t="s">
        <v>2530</v>
      </c>
      <c r="M13" t="s">
        <v>2537</v>
      </c>
    </row>
    <row r="14" spans="1:13" x14ac:dyDescent="0.3">
      <c r="A14">
        <v>55</v>
      </c>
      <c r="B14" t="s">
        <v>1217</v>
      </c>
      <c r="C14" t="s">
        <v>5262</v>
      </c>
      <c r="D14" t="s">
        <v>159</v>
      </c>
      <c r="E14" t="s">
        <v>159</v>
      </c>
      <c r="F14">
        <v>8283</v>
      </c>
      <c r="G14" t="s">
        <v>5280</v>
      </c>
      <c r="H14" t="s">
        <v>5264</v>
      </c>
      <c r="I14">
        <v>1</v>
      </c>
      <c r="J14" t="s">
        <v>5280</v>
      </c>
      <c r="K14" t="s">
        <v>4119</v>
      </c>
      <c r="L14" t="s">
        <v>2530</v>
      </c>
      <c r="M14" t="s">
        <v>2537</v>
      </c>
    </row>
    <row r="15" spans="1:13" x14ac:dyDescent="0.3">
      <c r="A15">
        <v>55</v>
      </c>
      <c r="B15" t="s">
        <v>1217</v>
      </c>
      <c r="C15" t="s">
        <v>5262</v>
      </c>
      <c r="D15" t="s">
        <v>159</v>
      </c>
      <c r="E15" t="s">
        <v>159</v>
      </c>
      <c r="F15">
        <v>8283</v>
      </c>
      <c r="G15" t="s">
        <v>5281</v>
      </c>
      <c r="H15" t="s">
        <v>5264</v>
      </c>
      <c r="I15">
        <v>11</v>
      </c>
      <c r="J15" t="s">
        <v>5281</v>
      </c>
      <c r="K15" t="s">
        <v>4151</v>
      </c>
      <c r="L15" t="s">
        <v>2530</v>
      </c>
      <c r="M15" t="s">
        <v>2537</v>
      </c>
    </row>
    <row r="16" spans="1:13" x14ac:dyDescent="0.3">
      <c r="A16">
        <v>55</v>
      </c>
      <c r="B16" t="s">
        <v>1217</v>
      </c>
      <c r="C16" t="s">
        <v>5262</v>
      </c>
      <c r="D16" t="s">
        <v>159</v>
      </c>
      <c r="E16" t="s">
        <v>159</v>
      </c>
      <c r="F16">
        <v>8283</v>
      </c>
      <c r="G16" t="s">
        <v>5282</v>
      </c>
      <c r="H16" t="s">
        <v>5264</v>
      </c>
      <c r="I16">
        <v>49</v>
      </c>
      <c r="J16" t="s">
        <v>5282</v>
      </c>
      <c r="K16" t="s">
        <v>4154</v>
      </c>
      <c r="L16" t="s">
        <v>2530</v>
      </c>
      <c r="M16" t="s">
        <v>2537</v>
      </c>
    </row>
    <row r="17" spans="1:13" x14ac:dyDescent="0.3">
      <c r="A17">
        <v>55</v>
      </c>
      <c r="B17" t="s">
        <v>1217</v>
      </c>
      <c r="C17" t="s">
        <v>5262</v>
      </c>
      <c r="D17" t="s">
        <v>159</v>
      </c>
      <c r="E17" t="s">
        <v>159</v>
      </c>
      <c r="F17">
        <v>8283</v>
      </c>
      <c r="G17" t="s">
        <v>5283</v>
      </c>
      <c r="H17" t="s">
        <v>5264</v>
      </c>
      <c r="I17">
        <v>10</v>
      </c>
      <c r="J17" t="s">
        <v>5283</v>
      </c>
      <c r="K17" t="s">
        <v>4156</v>
      </c>
      <c r="L17" t="s">
        <v>2530</v>
      </c>
      <c r="M17" t="s">
        <v>2537</v>
      </c>
    </row>
    <row r="18" spans="1:13" x14ac:dyDescent="0.3">
      <c r="A18">
        <v>55</v>
      </c>
      <c r="B18" t="s">
        <v>1217</v>
      </c>
      <c r="C18" t="s">
        <v>5262</v>
      </c>
      <c r="D18" t="s">
        <v>159</v>
      </c>
      <c r="E18" t="s">
        <v>159</v>
      </c>
      <c r="F18">
        <v>8283</v>
      </c>
      <c r="G18" t="s">
        <v>5284</v>
      </c>
      <c r="H18" t="s">
        <v>5264</v>
      </c>
      <c r="I18">
        <v>5</v>
      </c>
      <c r="J18" t="s">
        <v>5284</v>
      </c>
      <c r="K18" t="s">
        <v>4158</v>
      </c>
      <c r="L18" t="s">
        <v>2530</v>
      </c>
      <c r="M18" t="s">
        <v>2537</v>
      </c>
    </row>
    <row r="19" spans="1:13" x14ac:dyDescent="0.3">
      <c r="A19">
        <v>55</v>
      </c>
      <c r="B19" t="s">
        <v>1217</v>
      </c>
      <c r="C19" t="s">
        <v>5262</v>
      </c>
      <c r="D19" t="s">
        <v>159</v>
      </c>
      <c r="E19" t="s">
        <v>159</v>
      </c>
      <c r="F19">
        <v>8283</v>
      </c>
      <c r="G19" t="s">
        <v>5285</v>
      </c>
      <c r="H19" t="s">
        <v>5264</v>
      </c>
      <c r="I19">
        <v>11</v>
      </c>
      <c r="J19" t="s">
        <v>5286</v>
      </c>
      <c r="K19" t="s">
        <v>5287</v>
      </c>
      <c r="L19" t="s">
        <v>2530</v>
      </c>
      <c r="M19" t="s">
        <v>2537</v>
      </c>
    </row>
    <row r="20" spans="1:13" x14ac:dyDescent="0.3">
      <c r="A20">
        <v>55</v>
      </c>
      <c r="B20" t="s">
        <v>1217</v>
      </c>
      <c r="C20" t="s">
        <v>5262</v>
      </c>
      <c r="D20" t="s">
        <v>159</v>
      </c>
      <c r="E20" t="s">
        <v>159</v>
      </c>
      <c r="F20">
        <v>8283</v>
      </c>
      <c r="G20" t="s">
        <v>5288</v>
      </c>
      <c r="H20" t="s">
        <v>5264</v>
      </c>
      <c r="I20">
        <v>2</v>
      </c>
      <c r="J20" t="s">
        <v>5288</v>
      </c>
      <c r="K20" t="s">
        <v>4162</v>
      </c>
      <c r="L20" t="s">
        <v>2530</v>
      </c>
      <c r="M20" t="s">
        <v>2537</v>
      </c>
    </row>
    <row r="21" spans="1:13" x14ac:dyDescent="0.3">
      <c r="A21">
        <v>55</v>
      </c>
      <c r="B21" t="s">
        <v>1217</v>
      </c>
      <c r="C21" t="s">
        <v>5262</v>
      </c>
      <c r="D21" t="s">
        <v>159</v>
      </c>
      <c r="E21" t="s">
        <v>159</v>
      </c>
      <c r="F21">
        <v>8283</v>
      </c>
      <c r="G21" t="s">
        <v>5271</v>
      </c>
      <c r="H21" t="s">
        <v>5264</v>
      </c>
      <c r="I21">
        <v>215</v>
      </c>
      <c r="J21" t="s">
        <v>5272</v>
      </c>
      <c r="K21" t="s">
        <v>4136</v>
      </c>
      <c r="L21" t="s">
        <v>2530</v>
      </c>
      <c r="M21" t="s">
        <v>2537</v>
      </c>
    </row>
    <row r="22" spans="1:13" x14ac:dyDescent="0.3">
      <c r="A22">
        <v>64</v>
      </c>
      <c r="B22" t="s">
        <v>1220</v>
      </c>
      <c r="C22" t="s">
        <v>5262</v>
      </c>
      <c r="D22" t="s">
        <v>159</v>
      </c>
      <c r="E22" t="s">
        <v>159</v>
      </c>
      <c r="F22">
        <v>6851</v>
      </c>
      <c r="G22" t="s">
        <v>5289</v>
      </c>
      <c r="H22" t="s">
        <v>1254</v>
      </c>
      <c r="I22">
        <v>36700</v>
      </c>
      <c r="J22" t="s">
        <v>4167</v>
      </c>
      <c r="K22" t="s">
        <v>5290</v>
      </c>
      <c r="L22" t="s">
        <v>2537</v>
      </c>
    </row>
    <row r="23" spans="1:13" x14ac:dyDescent="0.3">
      <c r="A23">
        <v>82</v>
      </c>
      <c r="B23" t="s">
        <v>1224</v>
      </c>
      <c r="C23" t="s">
        <v>5262</v>
      </c>
      <c r="D23" t="s">
        <v>159</v>
      </c>
      <c r="E23" t="s">
        <v>159</v>
      </c>
      <c r="F23">
        <v>6783</v>
      </c>
      <c r="G23" t="s">
        <v>5291</v>
      </c>
      <c r="H23" t="s">
        <v>5264</v>
      </c>
      <c r="I23">
        <v>6555.1444475999997</v>
      </c>
      <c r="J23" t="s">
        <v>4169</v>
      </c>
      <c r="K23" t="s">
        <v>5292</v>
      </c>
      <c r="L23" t="s">
        <v>2530</v>
      </c>
      <c r="M23" t="s">
        <v>2537</v>
      </c>
    </row>
    <row r="24" spans="1:13" x14ac:dyDescent="0.3">
      <c r="A24">
        <v>87</v>
      </c>
      <c r="B24" t="s">
        <v>1228</v>
      </c>
      <c r="C24" t="s">
        <v>5262</v>
      </c>
      <c r="D24" t="s">
        <v>159</v>
      </c>
      <c r="E24" t="s">
        <v>159</v>
      </c>
      <c r="F24">
        <v>5448</v>
      </c>
      <c r="G24" t="s">
        <v>5293</v>
      </c>
      <c r="H24" t="s">
        <v>1254</v>
      </c>
      <c r="I24">
        <v>4100</v>
      </c>
      <c r="J24" t="s">
        <v>5294</v>
      </c>
      <c r="K24" t="s">
        <v>5295</v>
      </c>
      <c r="L24" t="s">
        <v>2537</v>
      </c>
      <c r="M24" t="s">
        <v>2537</v>
      </c>
    </row>
    <row r="25" spans="1:13" x14ac:dyDescent="0.3">
      <c r="A25">
        <v>93</v>
      </c>
      <c r="B25" t="s">
        <v>1231</v>
      </c>
      <c r="C25" t="s">
        <v>5262</v>
      </c>
      <c r="D25" t="s">
        <v>159</v>
      </c>
      <c r="E25" t="s">
        <v>159</v>
      </c>
      <c r="F25">
        <v>5447</v>
      </c>
      <c r="G25" t="s">
        <v>5296</v>
      </c>
      <c r="H25" t="s">
        <v>1254</v>
      </c>
      <c r="I25">
        <v>4200</v>
      </c>
      <c r="J25" t="s">
        <v>5297</v>
      </c>
      <c r="K25" t="s">
        <v>5298</v>
      </c>
      <c r="L25" t="s">
        <v>2537</v>
      </c>
      <c r="M25" t="s">
        <v>2537</v>
      </c>
    </row>
    <row r="26" spans="1:13" x14ac:dyDescent="0.3">
      <c r="A26">
        <v>94</v>
      </c>
      <c r="B26" t="s">
        <v>1232</v>
      </c>
      <c r="C26" t="s">
        <v>5262</v>
      </c>
      <c r="D26" t="s">
        <v>159</v>
      </c>
      <c r="E26" t="s">
        <v>159</v>
      </c>
      <c r="F26">
        <v>8740</v>
      </c>
      <c r="G26" t="s">
        <v>2168</v>
      </c>
      <c r="H26" t="s">
        <v>5264</v>
      </c>
      <c r="I26">
        <v>1574.3394670499999</v>
      </c>
      <c r="J26" t="s">
        <v>2168</v>
      </c>
      <c r="K26" t="s">
        <v>5299</v>
      </c>
      <c r="L26" t="s">
        <v>2530</v>
      </c>
      <c r="M26" t="s">
        <v>2537</v>
      </c>
    </row>
    <row r="27" spans="1:13" x14ac:dyDescent="0.3">
      <c r="A27">
        <v>102</v>
      </c>
      <c r="B27" t="s">
        <v>1237</v>
      </c>
      <c r="C27" t="s">
        <v>5262</v>
      </c>
      <c r="D27" t="s">
        <v>1203</v>
      </c>
      <c r="E27" t="s">
        <v>1204</v>
      </c>
      <c r="F27">
        <v>5765</v>
      </c>
      <c r="G27" t="s">
        <v>5300</v>
      </c>
      <c r="H27" t="s">
        <v>5264</v>
      </c>
      <c r="I27">
        <v>1187.65959795</v>
      </c>
      <c r="J27" t="s">
        <v>1204</v>
      </c>
      <c r="L27" t="s">
        <v>2537</v>
      </c>
      <c r="M27" t="s">
        <v>2537</v>
      </c>
    </row>
    <row r="28" spans="1:13" x14ac:dyDescent="0.3">
      <c r="A28">
        <v>107</v>
      </c>
      <c r="B28" t="s">
        <v>1238</v>
      </c>
      <c r="C28" t="s">
        <v>5262</v>
      </c>
      <c r="D28" t="s">
        <v>159</v>
      </c>
      <c r="E28" t="s">
        <v>159</v>
      </c>
      <c r="F28">
        <v>7175</v>
      </c>
      <c r="G28" t="s">
        <v>5301</v>
      </c>
      <c r="H28" t="s">
        <v>5264</v>
      </c>
      <c r="I28">
        <v>1402.4817474500001</v>
      </c>
      <c r="J28" t="s">
        <v>5301</v>
      </c>
      <c r="K28" t="s">
        <v>4179</v>
      </c>
      <c r="L28" t="s">
        <v>2530</v>
      </c>
      <c r="M28" t="s">
        <v>2537</v>
      </c>
    </row>
    <row r="29" spans="1:13" x14ac:dyDescent="0.3">
      <c r="A29">
        <v>110</v>
      </c>
      <c r="B29" t="s">
        <v>1239</v>
      </c>
      <c r="C29" t="s">
        <v>5262</v>
      </c>
      <c r="D29" t="s">
        <v>1203</v>
      </c>
      <c r="E29" t="s">
        <v>1204</v>
      </c>
      <c r="F29">
        <v>7792</v>
      </c>
      <c r="G29" t="s">
        <v>5302</v>
      </c>
      <c r="H29" t="s">
        <v>5264</v>
      </c>
      <c r="I29">
        <v>3663</v>
      </c>
      <c r="J29" t="s">
        <v>5302</v>
      </c>
      <c r="K29" t="s">
        <v>5303</v>
      </c>
      <c r="L29" t="s">
        <v>2537</v>
      </c>
    </row>
    <row r="30" spans="1:13" x14ac:dyDescent="0.3">
      <c r="A30">
        <v>117</v>
      </c>
      <c r="B30" t="s">
        <v>1240</v>
      </c>
      <c r="C30" t="s">
        <v>5262</v>
      </c>
      <c r="D30" t="s">
        <v>159</v>
      </c>
      <c r="E30" t="s">
        <v>159</v>
      </c>
      <c r="F30">
        <v>7816</v>
      </c>
      <c r="G30" t="s">
        <v>5304</v>
      </c>
      <c r="H30" t="s">
        <v>1254</v>
      </c>
      <c r="I30">
        <v>4356</v>
      </c>
      <c r="J30" t="s">
        <v>5305</v>
      </c>
      <c r="K30" t="s">
        <v>5269</v>
      </c>
      <c r="L30" t="s">
        <v>2537</v>
      </c>
      <c r="M30" t="s">
        <v>2537</v>
      </c>
    </row>
    <row r="31" spans="1:13" x14ac:dyDescent="0.3">
      <c r="A31">
        <v>117</v>
      </c>
      <c r="B31" t="s">
        <v>1240</v>
      </c>
      <c r="C31" t="s">
        <v>5262</v>
      </c>
      <c r="D31" t="s">
        <v>159</v>
      </c>
      <c r="E31" t="s">
        <v>159</v>
      </c>
      <c r="F31">
        <v>7816</v>
      </c>
      <c r="G31" t="s">
        <v>5304</v>
      </c>
      <c r="H31" t="s">
        <v>1254</v>
      </c>
      <c r="I31">
        <v>10164</v>
      </c>
      <c r="J31" t="s">
        <v>5305</v>
      </c>
      <c r="K31" t="s">
        <v>3590</v>
      </c>
      <c r="L31" t="s">
        <v>2537</v>
      </c>
      <c r="M31" t="s">
        <v>2537</v>
      </c>
    </row>
    <row r="32" spans="1:13" x14ac:dyDescent="0.3">
      <c r="A32">
        <v>123</v>
      </c>
      <c r="B32" t="s">
        <v>1242</v>
      </c>
      <c r="C32" t="s">
        <v>5262</v>
      </c>
      <c r="D32" t="s">
        <v>1203</v>
      </c>
      <c r="E32" t="s">
        <v>1204</v>
      </c>
      <c r="F32">
        <v>5757</v>
      </c>
      <c r="G32" t="s">
        <v>5306</v>
      </c>
      <c r="H32" t="s">
        <v>1254</v>
      </c>
      <c r="I32">
        <v>13695</v>
      </c>
      <c r="J32" t="s">
        <v>5306</v>
      </c>
      <c r="K32" t="s">
        <v>4181</v>
      </c>
      <c r="L32" t="s">
        <v>2530</v>
      </c>
      <c r="M32" t="s">
        <v>2537</v>
      </c>
    </row>
    <row r="33" spans="1:13" x14ac:dyDescent="0.3">
      <c r="A33">
        <v>124</v>
      </c>
      <c r="B33" t="s">
        <v>1246</v>
      </c>
      <c r="C33" t="s">
        <v>5262</v>
      </c>
      <c r="D33" t="s">
        <v>1203</v>
      </c>
      <c r="E33" t="s">
        <v>1204</v>
      </c>
      <c r="F33">
        <v>6589</v>
      </c>
      <c r="G33" t="s">
        <v>785</v>
      </c>
      <c r="H33" t="s">
        <v>1254</v>
      </c>
      <c r="I33">
        <v>1359.5173175499999</v>
      </c>
      <c r="J33" t="s">
        <v>785</v>
      </c>
      <c r="K33" t="s">
        <v>5307</v>
      </c>
      <c r="L33" t="s">
        <v>2537</v>
      </c>
      <c r="M33" t="s">
        <v>2537</v>
      </c>
    </row>
    <row r="34" spans="1:13" x14ac:dyDescent="0.3">
      <c r="A34">
        <v>129</v>
      </c>
      <c r="B34" t="s">
        <v>1250</v>
      </c>
      <c r="C34" t="s">
        <v>5262</v>
      </c>
      <c r="D34" t="s">
        <v>159</v>
      </c>
      <c r="E34" t="s">
        <v>159</v>
      </c>
      <c r="F34">
        <v>7821</v>
      </c>
      <c r="G34" t="s">
        <v>5308</v>
      </c>
      <c r="H34" t="s">
        <v>5264</v>
      </c>
      <c r="I34">
        <v>2185</v>
      </c>
      <c r="J34" t="s">
        <v>5308</v>
      </c>
      <c r="K34" t="s">
        <v>4186</v>
      </c>
      <c r="L34" t="s">
        <v>2530</v>
      </c>
      <c r="M34" t="s">
        <v>2537</v>
      </c>
    </row>
    <row r="35" spans="1:13" x14ac:dyDescent="0.3">
      <c r="A35">
        <v>159</v>
      </c>
      <c r="B35" t="s">
        <v>1251</v>
      </c>
      <c r="C35" t="s">
        <v>5262</v>
      </c>
      <c r="D35" t="s">
        <v>1203</v>
      </c>
      <c r="E35" t="s">
        <v>1204</v>
      </c>
      <c r="F35">
        <v>6161</v>
      </c>
      <c r="G35" t="s">
        <v>4189</v>
      </c>
      <c r="H35" t="s">
        <v>5264</v>
      </c>
      <c r="I35">
        <v>4032</v>
      </c>
      <c r="J35" t="s">
        <v>4189</v>
      </c>
      <c r="K35" t="s">
        <v>5309</v>
      </c>
      <c r="L35" t="s">
        <v>2530</v>
      </c>
      <c r="M35" t="s">
        <v>2530</v>
      </c>
    </row>
    <row r="36" spans="1:13" x14ac:dyDescent="0.3">
      <c r="A36">
        <v>167</v>
      </c>
      <c r="B36" t="s">
        <v>1257</v>
      </c>
      <c r="C36" t="s">
        <v>5262</v>
      </c>
      <c r="D36" t="s">
        <v>1203</v>
      </c>
      <c r="E36" t="s">
        <v>1204</v>
      </c>
      <c r="F36">
        <v>8290</v>
      </c>
      <c r="G36" t="s">
        <v>755</v>
      </c>
      <c r="H36" t="s">
        <v>1254</v>
      </c>
      <c r="I36">
        <v>833</v>
      </c>
      <c r="J36" t="s">
        <v>755</v>
      </c>
      <c r="K36" t="s">
        <v>5310</v>
      </c>
      <c r="L36" t="s">
        <v>2537</v>
      </c>
      <c r="M36" t="s">
        <v>2537</v>
      </c>
    </row>
    <row r="37" spans="1:13" x14ac:dyDescent="0.3">
      <c r="A37">
        <v>167</v>
      </c>
      <c r="B37" t="s">
        <v>1257</v>
      </c>
      <c r="C37" t="s">
        <v>5262</v>
      </c>
      <c r="D37" t="s">
        <v>1203</v>
      </c>
      <c r="E37" t="s">
        <v>1204</v>
      </c>
      <c r="F37">
        <v>8290</v>
      </c>
      <c r="G37" t="s">
        <v>4201</v>
      </c>
      <c r="H37" t="s">
        <v>1254</v>
      </c>
      <c r="I37">
        <v>33</v>
      </c>
      <c r="J37" t="s">
        <v>4201</v>
      </c>
      <c r="K37" t="s">
        <v>4200</v>
      </c>
      <c r="L37" t="s">
        <v>2530</v>
      </c>
      <c r="M37" t="s">
        <v>2537</v>
      </c>
    </row>
    <row r="38" spans="1:13" x14ac:dyDescent="0.3">
      <c r="A38">
        <v>167</v>
      </c>
      <c r="B38" t="s">
        <v>1257</v>
      </c>
      <c r="C38" t="s">
        <v>5262</v>
      </c>
      <c r="D38" t="s">
        <v>1203</v>
      </c>
      <c r="E38" t="s">
        <v>1204</v>
      </c>
      <c r="F38">
        <v>8290</v>
      </c>
      <c r="G38" t="s">
        <v>5311</v>
      </c>
      <c r="H38" t="s">
        <v>1254</v>
      </c>
      <c r="I38">
        <v>22</v>
      </c>
      <c r="J38" t="s">
        <v>5311</v>
      </c>
      <c r="K38" t="s">
        <v>5312</v>
      </c>
      <c r="L38" t="s">
        <v>2537</v>
      </c>
      <c r="M38" t="s">
        <v>2537</v>
      </c>
    </row>
    <row r="39" spans="1:13" x14ac:dyDescent="0.3">
      <c r="A39">
        <v>170</v>
      </c>
      <c r="B39" t="s">
        <v>1258</v>
      </c>
      <c r="C39" t="s">
        <v>5262</v>
      </c>
      <c r="D39" t="s">
        <v>159</v>
      </c>
      <c r="E39" t="s">
        <v>159</v>
      </c>
      <c r="F39">
        <v>8265</v>
      </c>
      <c r="G39" t="s">
        <v>5313</v>
      </c>
      <c r="H39" t="s">
        <v>1254</v>
      </c>
      <c r="I39">
        <v>3435</v>
      </c>
      <c r="J39" t="s">
        <v>5314</v>
      </c>
      <c r="K39" t="s">
        <v>5315</v>
      </c>
      <c r="L39" t="s">
        <v>2537</v>
      </c>
      <c r="M39" t="s">
        <v>2537</v>
      </c>
    </row>
    <row r="40" spans="1:13" x14ac:dyDescent="0.3">
      <c r="A40">
        <v>178</v>
      </c>
      <c r="B40" t="s">
        <v>1261</v>
      </c>
      <c r="C40" t="s">
        <v>5262</v>
      </c>
      <c r="D40" t="s">
        <v>159</v>
      </c>
      <c r="E40" t="s">
        <v>159</v>
      </c>
      <c r="F40">
        <v>8790</v>
      </c>
      <c r="G40" t="s">
        <v>2062</v>
      </c>
      <c r="H40" t="s">
        <v>5264</v>
      </c>
      <c r="I40">
        <v>2083</v>
      </c>
      <c r="J40" t="s">
        <v>2062</v>
      </c>
      <c r="K40" t="s">
        <v>4203</v>
      </c>
      <c r="L40" t="s">
        <v>2530</v>
      </c>
      <c r="M40" t="s">
        <v>2537</v>
      </c>
    </row>
    <row r="41" spans="1:13" x14ac:dyDescent="0.3">
      <c r="A41">
        <v>193</v>
      </c>
      <c r="B41" t="s">
        <v>1265</v>
      </c>
      <c r="C41" t="s">
        <v>5262</v>
      </c>
      <c r="D41" t="s">
        <v>159</v>
      </c>
      <c r="E41" t="s">
        <v>159</v>
      </c>
      <c r="F41">
        <v>5906</v>
      </c>
      <c r="G41" t="s">
        <v>5316</v>
      </c>
      <c r="H41" t="s">
        <v>5264</v>
      </c>
      <c r="I41">
        <v>4130</v>
      </c>
      <c r="J41" t="s">
        <v>5316</v>
      </c>
      <c r="K41" t="s">
        <v>4581</v>
      </c>
      <c r="L41" t="s">
        <v>2537</v>
      </c>
    </row>
    <row r="42" spans="1:13" x14ac:dyDescent="0.3">
      <c r="A42">
        <v>197</v>
      </c>
      <c r="B42" t="s">
        <v>1268</v>
      </c>
      <c r="C42" t="s">
        <v>5262</v>
      </c>
      <c r="D42" t="s">
        <v>159</v>
      </c>
      <c r="E42" t="s">
        <v>159</v>
      </c>
      <c r="F42">
        <v>5480</v>
      </c>
      <c r="G42" t="s">
        <v>5317</v>
      </c>
      <c r="H42" t="s">
        <v>5264</v>
      </c>
      <c r="I42">
        <v>928</v>
      </c>
      <c r="J42" t="s">
        <v>5318</v>
      </c>
      <c r="K42" t="s">
        <v>4661</v>
      </c>
      <c r="L42" t="s">
        <v>2537</v>
      </c>
      <c r="M42" t="s">
        <v>2537</v>
      </c>
    </row>
    <row r="43" spans="1:13" x14ac:dyDescent="0.3">
      <c r="A43">
        <v>198</v>
      </c>
      <c r="B43" t="s">
        <v>1270</v>
      </c>
      <c r="C43" t="s">
        <v>5262</v>
      </c>
      <c r="D43" t="s">
        <v>159</v>
      </c>
      <c r="E43" t="s">
        <v>159</v>
      </c>
      <c r="F43">
        <v>7825</v>
      </c>
      <c r="G43" t="s">
        <v>5319</v>
      </c>
      <c r="H43" t="s">
        <v>5264</v>
      </c>
      <c r="I43">
        <v>1302</v>
      </c>
      <c r="J43" t="s">
        <v>5318</v>
      </c>
      <c r="K43" t="s">
        <v>5320</v>
      </c>
      <c r="L43" t="s">
        <v>2537</v>
      </c>
    </row>
    <row r="44" spans="1:13" x14ac:dyDescent="0.3">
      <c r="A44">
        <v>241</v>
      </c>
      <c r="B44" t="s">
        <v>1271</v>
      </c>
      <c r="C44" t="s">
        <v>5262</v>
      </c>
      <c r="D44" t="s">
        <v>159</v>
      </c>
      <c r="E44" t="s">
        <v>159</v>
      </c>
      <c r="F44">
        <v>5667</v>
      </c>
      <c r="G44" t="s">
        <v>5321</v>
      </c>
      <c r="H44" t="s">
        <v>5264</v>
      </c>
      <c r="I44">
        <v>1562</v>
      </c>
      <c r="J44" t="s">
        <v>5321</v>
      </c>
      <c r="K44" t="s">
        <v>5322</v>
      </c>
      <c r="L44" t="s">
        <v>2530</v>
      </c>
      <c r="M44" t="s">
        <v>2537</v>
      </c>
    </row>
    <row r="45" spans="1:13" x14ac:dyDescent="0.3">
      <c r="A45">
        <v>262</v>
      </c>
      <c r="B45" t="s">
        <v>1273</v>
      </c>
      <c r="C45" t="s">
        <v>5262</v>
      </c>
      <c r="D45" t="s">
        <v>159</v>
      </c>
      <c r="E45" t="s">
        <v>159</v>
      </c>
      <c r="F45">
        <v>8202</v>
      </c>
      <c r="G45" t="s">
        <v>5323</v>
      </c>
      <c r="H45" t="s">
        <v>5264</v>
      </c>
      <c r="I45">
        <v>3179.3678126</v>
      </c>
      <c r="J45" t="s">
        <v>5324</v>
      </c>
      <c r="K45" t="s">
        <v>4209</v>
      </c>
      <c r="L45" t="s">
        <v>2530</v>
      </c>
      <c r="M45" t="s">
        <v>2537</v>
      </c>
    </row>
    <row r="46" spans="1:13" x14ac:dyDescent="0.3">
      <c r="A46">
        <v>263</v>
      </c>
      <c r="B46" t="s">
        <v>1278</v>
      </c>
      <c r="C46" t="s">
        <v>5262</v>
      </c>
      <c r="D46" t="s">
        <v>159</v>
      </c>
      <c r="E46" t="s">
        <v>159</v>
      </c>
      <c r="F46">
        <v>5651</v>
      </c>
      <c r="G46" t="s">
        <v>5325</v>
      </c>
      <c r="H46" t="s">
        <v>1254</v>
      </c>
      <c r="I46">
        <v>5935</v>
      </c>
      <c r="J46" t="s">
        <v>5326</v>
      </c>
      <c r="K46" t="s">
        <v>5290</v>
      </c>
      <c r="L46" t="s">
        <v>2537</v>
      </c>
      <c r="M46" t="s">
        <v>2537</v>
      </c>
    </row>
    <row r="47" spans="1:13" x14ac:dyDescent="0.3">
      <c r="A47">
        <v>264</v>
      </c>
      <c r="B47" t="s">
        <v>1283</v>
      </c>
      <c r="C47" t="s">
        <v>5262</v>
      </c>
      <c r="D47" t="s">
        <v>159</v>
      </c>
      <c r="E47" t="s">
        <v>159</v>
      </c>
      <c r="F47">
        <v>6905</v>
      </c>
      <c r="G47" t="s">
        <v>5327</v>
      </c>
      <c r="H47" t="s">
        <v>5264</v>
      </c>
      <c r="I47">
        <v>4465.2318217499997</v>
      </c>
      <c r="J47" t="s">
        <v>5328</v>
      </c>
      <c r="K47" t="s">
        <v>5328</v>
      </c>
      <c r="L47" t="s">
        <v>2530</v>
      </c>
      <c r="M47" t="s">
        <v>2537</v>
      </c>
    </row>
    <row r="48" spans="1:13" x14ac:dyDescent="0.3">
      <c r="A48">
        <v>283</v>
      </c>
      <c r="B48" t="s">
        <v>1288</v>
      </c>
      <c r="C48" t="s">
        <v>5262</v>
      </c>
      <c r="D48" t="s">
        <v>159</v>
      </c>
      <c r="E48" t="s">
        <v>159</v>
      </c>
      <c r="F48">
        <v>8291</v>
      </c>
      <c r="G48" t="s">
        <v>5329</v>
      </c>
      <c r="H48" t="s">
        <v>1254</v>
      </c>
      <c r="I48">
        <v>8611</v>
      </c>
      <c r="J48" t="s">
        <v>5330</v>
      </c>
      <c r="K48" t="s">
        <v>5290</v>
      </c>
      <c r="L48" t="s">
        <v>2537</v>
      </c>
      <c r="M48" t="s">
        <v>2537</v>
      </c>
    </row>
    <row r="49" spans="1:13" x14ac:dyDescent="0.3">
      <c r="A49">
        <v>285</v>
      </c>
      <c r="B49" t="s">
        <v>1290</v>
      </c>
      <c r="C49" t="s">
        <v>5262</v>
      </c>
      <c r="D49" t="s">
        <v>159</v>
      </c>
      <c r="E49" t="s">
        <v>159</v>
      </c>
      <c r="F49">
        <v>8541</v>
      </c>
      <c r="G49" t="s">
        <v>5331</v>
      </c>
      <c r="H49" t="s">
        <v>5264</v>
      </c>
      <c r="I49">
        <v>7138</v>
      </c>
      <c r="J49" t="s">
        <v>5332</v>
      </c>
      <c r="K49" t="s">
        <v>4217</v>
      </c>
      <c r="L49" t="s">
        <v>2530</v>
      </c>
      <c r="M49" t="s">
        <v>2537</v>
      </c>
    </row>
    <row r="50" spans="1:13" x14ac:dyDescent="0.3">
      <c r="A50">
        <v>286</v>
      </c>
      <c r="B50" t="s">
        <v>1295</v>
      </c>
      <c r="C50" t="s">
        <v>5262</v>
      </c>
      <c r="D50" t="s">
        <v>1203</v>
      </c>
      <c r="E50" t="s">
        <v>1204</v>
      </c>
      <c r="F50">
        <v>5826</v>
      </c>
      <c r="G50" t="s">
        <v>5333</v>
      </c>
      <c r="H50" t="s">
        <v>5264</v>
      </c>
      <c r="I50">
        <v>2881.6856911499999</v>
      </c>
      <c r="J50" t="s">
        <v>5333</v>
      </c>
      <c r="K50" t="s">
        <v>5334</v>
      </c>
      <c r="L50" t="s">
        <v>2530</v>
      </c>
      <c r="M50" t="s">
        <v>2530</v>
      </c>
    </row>
    <row r="51" spans="1:13" x14ac:dyDescent="0.3">
      <c r="A51">
        <v>351</v>
      </c>
      <c r="B51" t="s">
        <v>1297</v>
      </c>
      <c r="C51" t="s">
        <v>5262</v>
      </c>
      <c r="D51" t="s">
        <v>159</v>
      </c>
      <c r="E51" t="s">
        <v>159</v>
      </c>
      <c r="F51">
        <v>8180</v>
      </c>
      <c r="G51" t="s">
        <v>2894</v>
      </c>
      <c r="H51" t="s">
        <v>5264</v>
      </c>
      <c r="I51">
        <v>100</v>
      </c>
      <c r="J51" t="s">
        <v>2894</v>
      </c>
      <c r="K51" t="s">
        <v>4237</v>
      </c>
      <c r="L51" t="s">
        <v>2530</v>
      </c>
    </row>
    <row r="52" spans="1:13" x14ac:dyDescent="0.3">
      <c r="A52">
        <v>351</v>
      </c>
      <c r="B52" t="s">
        <v>1297</v>
      </c>
      <c r="C52" t="s">
        <v>5262</v>
      </c>
      <c r="D52" t="s">
        <v>159</v>
      </c>
      <c r="E52" t="s">
        <v>159</v>
      </c>
      <c r="F52">
        <v>8180</v>
      </c>
      <c r="G52" t="s">
        <v>2894</v>
      </c>
      <c r="H52" t="s">
        <v>5264</v>
      </c>
      <c r="I52">
        <v>10</v>
      </c>
      <c r="J52" t="s">
        <v>2894</v>
      </c>
      <c r="K52" t="s">
        <v>4231</v>
      </c>
      <c r="L52" t="s">
        <v>2537</v>
      </c>
    </row>
    <row r="53" spans="1:13" x14ac:dyDescent="0.3">
      <c r="A53">
        <v>351</v>
      </c>
      <c r="B53" t="s">
        <v>1297</v>
      </c>
      <c r="C53" t="s">
        <v>5262</v>
      </c>
      <c r="D53" t="s">
        <v>159</v>
      </c>
      <c r="E53" t="s">
        <v>159</v>
      </c>
      <c r="F53">
        <v>8180</v>
      </c>
      <c r="G53" t="s">
        <v>2894</v>
      </c>
      <c r="H53" t="s">
        <v>5264</v>
      </c>
      <c r="I53">
        <v>17</v>
      </c>
      <c r="J53" t="s">
        <v>2894</v>
      </c>
      <c r="K53" t="s">
        <v>4227</v>
      </c>
      <c r="L53" t="s">
        <v>2530</v>
      </c>
    </row>
    <row r="54" spans="1:13" x14ac:dyDescent="0.3">
      <c r="A54">
        <v>351</v>
      </c>
      <c r="B54" t="s">
        <v>1297</v>
      </c>
      <c r="C54" t="s">
        <v>5262</v>
      </c>
      <c r="D54" t="s">
        <v>159</v>
      </c>
      <c r="E54" t="s">
        <v>159</v>
      </c>
      <c r="F54">
        <v>8180</v>
      </c>
      <c r="G54" t="s">
        <v>2894</v>
      </c>
      <c r="H54" t="s">
        <v>5264</v>
      </c>
      <c r="I54">
        <v>18</v>
      </c>
      <c r="J54" t="s">
        <v>2894</v>
      </c>
      <c r="K54" t="s">
        <v>5335</v>
      </c>
      <c r="L54" t="s">
        <v>2530</v>
      </c>
    </row>
    <row r="55" spans="1:13" x14ac:dyDescent="0.3">
      <c r="A55">
        <v>351</v>
      </c>
      <c r="B55" t="s">
        <v>1297</v>
      </c>
      <c r="C55" t="s">
        <v>5262</v>
      </c>
      <c r="D55" t="s">
        <v>159</v>
      </c>
      <c r="E55" t="s">
        <v>159</v>
      </c>
      <c r="F55">
        <v>8180</v>
      </c>
      <c r="G55" t="s">
        <v>2894</v>
      </c>
      <c r="H55" t="s">
        <v>5264</v>
      </c>
      <c r="I55">
        <v>39</v>
      </c>
      <c r="J55" t="s">
        <v>2894</v>
      </c>
      <c r="K55" t="s">
        <v>5336</v>
      </c>
      <c r="L55" t="s">
        <v>2530</v>
      </c>
    </row>
    <row r="56" spans="1:13" x14ac:dyDescent="0.3">
      <c r="A56">
        <v>351</v>
      </c>
      <c r="B56" t="s">
        <v>1297</v>
      </c>
      <c r="C56" t="s">
        <v>5262</v>
      </c>
      <c r="D56" t="s">
        <v>159</v>
      </c>
      <c r="E56" t="s">
        <v>159</v>
      </c>
      <c r="F56">
        <v>8180</v>
      </c>
      <c r="G56" t="s">
        <v>2894</v>
      </c>
      <c r="H56" t="s">
        <v>5264</v>
      </c>
      <c r="I56">
        <v>74</v>
      </c>
      <c r="J56" t="s">
        <v>2894</v>
      </c>
      <c r="K56" t="s">
        <v>4245</v>
      </c>
      <c r="L56" t="s">
        <v>2530</v>
      </c>
    </row>
    <row r="57" spans="1:13" x14ac:dyDescent="0.3">
      <c r="A57">
        <v>351</v>
      </c>
      <c r="B57" t="s">
        <v>1297</v>
      </c>
      <c r="C57" t="s">
        <v>5262</v>
      </c>
      <c r="D57" t="s">
        <v>159</v>
      </c>
      <c r="E57" t="s">
        <v>159</v>
      </c>
      <c r="F57">
        <v>8180</v>
      </c>
      <c r="G57" t="s">
        <v>2894</v>
      </c>
      <c r="H57" t="s">
        <v>5264</v>
      </c>
      <c r="I57">
        <v>9</v>
      </c>
      <c r="J57" t="s">
        <v>5337</v>
      </c>
      <c r="K57" t="s">
        <v>5338</v>
      </c>
      <c r="L57" t="s">
        <v>2537</v>
      </c>
    </row>
    <row r="58" spans="1:13" x14ac:dyDescent="0.3">
      <c r="A58">
        <v>351</v>
      </c>
      <c r="B58" t="s">
        <v>1297</v>
      </c>
      <c r="C58" t="s">
        <v>5262</v>
      </c>
      <c r="D58" t="s">
        <v>159</v>
      </c>
      <c r="E58" t="s">
        <v>159</v>
      </c>
      <c r="F58">
        <v>8180</v>
      </c>
      <c r="G58" t="s">
        <v>2894</v>
      </c>
      <c r="H58" t="s">
        <v>5264</v>
      </c>
      <c r="I58">
        <v>203</v>
      </c>
      <c r="J58" t="s">
        <v>2894</v>
      </c>
      <c r="K58" t="s">
        <v>4223</v>
      </c>
      <c r="L58" t="s">
        <v>2530</v>
      </c>
    </row>
    <row r="59" spans="1:13" x14ac:dyDescent="0.3">
      <c r="A59">
        <v>351</v>
      </c>
      <c r="B59" t="s">
        <v>1297</v>
      </c>
      <c r="C59" t="s">
        <v>5262</v>
      </c>
      <c r="D59" t="s">
        <v>159</v>
      </c>
      <c r="E59" t="s">
        <v>159</v>
      </c>
      <c r="F59">
        <v>8180</v>
      </c>
      <c r="G59" t="s">
        <v>2894</v>
      </c>
      <c r="H59" t="s">
        <v>5264</v>
      </c>
      <c r="I59">
        <v>181</v>
      </c>
      <c r="J59" t="s">
        <v>2894</v>
      </c>
      <c r="K59" t="s">
        <v>4251</v>
      </c>
      <c r="L59" t="s">
        <v>2530</v>
      </c>
    </row>
    <row r="60" spans="1:13" x14ac:dyDescent="0.3">
      <c r="A60">
        <v>353</v>
      </c>
      <c r="B60" t="s">
        <v>1298</v>
      </c>
      <c r="C60" t="s">
        <v>5262</v>
      </c>
      <c r="D60" t="s">
        <v>1203</v>
      </c>
      <c r="E60" t="s">
        <v>1204</v>
      </c>
      <c r="F60">
        <v>7537</v>
      </c>
      <c r="G60" t="s">
        <v>4260</v>
      </c>
      <c r="H60" t="s">
        <v>5264</v>
      </c>
      <c r="I60">
        <v>2875.5479154499999</v>
      </c>
      <c r="J60" t="s">
        <v>4260</v>
      </c>
      <c r="K60" t="s">
        <v>4259</v>
      </c>
      <c r="L60" t="s">
        <v>2530</v>
      </c>
      <c r="M60" t="s">
        <v>2537</v>
      </c>
    </row>
    <row r="61" spans="1:13" x14ac:dyDescent="0.3">
      <c r="A61">
        <v>368</v>
      </c>
      <c r="B61" t="s">
        <v>1299</v>
      </c>
      <c r="C61" t="s">
        <v>5262</v>
      </c>
      <c r="D61" t="s">
        <v>159</v>
      </c>
      <c r="E61" t="s">
        <v>159</v>
      </c>
      <c r="F61">
        <v>5562</v>
      </c>
      <c r="G61" t="s">
        <v>3135</v>
      </c>
      <c r="H61" t="s">
        <v>1254</v>
      </c>
      <c r="I61">
        <v>9452</v>
      </c>
      <c r="J61" t="s">
        <v>3135</v>
      </c>
      <c r="K61" t="s">
        <v>4262</v>
      </c>
      <c r="L61" t="s">
        <v>2537</v>
      </c>
      <c r="M61" t="s">
        <v>2537</v>
      </c>
    </row>
    <row r="62" spans="1:13" x14ac:dyDescent="0.3">
      <c r="A62">
        <v>369</v>
      </c>
      <c r="B62" t="s">
        <v>1305</v>
      </c>
      <c r="C62" t="s">
        <v>5262</v>
      </c>
      <c r="D62" t="s">
        <v>159</v>
      </c>
      <c r="E62" t="s">
        <v>159</v>
      </c>
      <c r="F62">
        <v>5748</v>
      </c>
      <c r="G62" t="s">
        <v>5339</v>
      </c>
      <c r="H62" t="s">
        <v>1254</v>
      </c>
      <c r="I62">
        <v>6</v>
      </c>
      <c r="J62" t="s">
        <v>5339</v>
      </c>
      <c r="K62" t="s">
        <v>5340</v>
      </c>
      <c r="L62" t="s">
        <v>2530</v>
      </c>
      <c r="M62" t="s">
        <v>2537</v>
      </c>
    </row>
    <row r="63" spans="1:13" x14ac:dyDescent="0.3">
      <c r="A63">
        <v>369</v>
      </c>
      <c r="B63" t="s">
        <v>1305</v>
      </c>
      <c r="C63" t="s">
        <v>5262</v>
      </c>
      <c r="D63" t="s">
        <v>159</v>
      </c>
      <c r="E63" t="s">
        <v>159</v>
      </c>
      <c r="F63">
        <v>5748</v>
      </c>
      <c r="G63" t="s">
        <v>5339</v>
      </c>
      <c r="H63" t="s">
        <v>1254</v>
      </c>
      <c r="I63">
        <v>4</v>
      </c>
      <c r="J63" t="s">
        <v>5339</v>
      </c>
      <c r="K63" t="s">
        <v>5341</v>
      </c>
      <c r="L63" t="s">
        <v>2530</v>
      </c>
      <c r="M63" t="s">
        <v>2537</v>
      </c>
    </row>
    <row r="64" spans="1:13" x14ac:dyDescent="0.3">
      <c r="A64">
        <v>369</v>
      </c>
      <c r="B64" t="s">
        <v>1305</v>
      </c>
      <c r="C64" t="s">
        <v>5262</v>
      </c>
      <c r="D64" t="s">
        <v>159</v>
      </c>
      <c r="E64" t="s">
        <v>159</v>
      </c>
      <c r="F64">
        <v>5748</v>
      </c>
      <c r="G64" t="s">
        <v>5342</v>
      </c>
      <c r="H64" t="s">
        <v>1254</v>
      </c>
      <c r="I64">
        <v>85</v>
      </c>
      <c r="J64" t="s">
        <v>5343</v>
      </c>
      <c r="K64" t="s">
        <v>4264</v>
      </c>
      <c r="L64" t="s">
        <v>2530</v>
      </c>
      <c r="M64" t="s">
        <v>2537</v>
      </c>
    </row>
    <row r="65" spans="1:13" x14ac:dyDescent="0.3">
      <c r="A65">
        <v>369</v>
      </c>
      <c r="B65" t="s">
        <v>1305</v>
      </c>
      <c r="C65" t="s">
        <v>5262</v>
      </c>
      <c r="D65" t="s">
        <v>159</v>
      </c>
      <c r="E65" t="s">
        <v>159</v>
      </c>
      <c r="F65">
        <v>5748</v>
      </c>
      <c r="G65" t="s">
        <v>5342</v>
      </c>
      <c r="H65" t="s">
        <v>1254</v>
      </c>
      <c r="I65">
        <v>1250</v>
      </c>
      <c r="J65" t="s">
        <v>5343</v>
      </c>
      <c r="K65" t="s">
        <v>4279</v>
      </c>
      <c r="L65" t="s">
        <v>2537</v>
      </c>
      <c r="M65" t="s">
        <v>2537</v>
      </c>
    </row>
    <row r="66" spans="1:13" x14ac:dyDescent="0.3">
      <c r="A66">
        <v>369</v>
      </c>
      <c r="B66" t="s">
        <v>1305</v>
      </c>
      <c r="C66" t="s">
        <v>5262</v>
      </c>
      <c r="D66" t="s">
        <v>159</v>
      </c>
      <c r="E66" t="s">
        <v>159</v>
      </c>
      <c r="F66">
        <v>5748</v>
      </c>
      <c r="G66" t="s">
        <v>5339</v>
      </c>
      <c r="H66" t="s">
        <v>1254</v>
      </c>
      <c r="I66">
        <v>61</v>
      </c>
      <c r="J66" t="s">
        <v>5339</v>
      </c>
      <c r="K66" t="s">
        <v>5344</v>
      </c>
      <c r="L66" t="s">
        <v>2530</v>
      </c>
      <c r="M66" t="s">
        <v>2537</v>
      </c>
    </row>
    <row r="67" spans="1:13" x14ac:dyDescent="0.3">
      <c r="A67">
        <v>369</v>
      </c>
      <c r="B67" t="s">
        <v>1305</v>
      </c>
      <c r="C67" t="s">
        <v>5262</v>
      </c>
      <c r="D67" t="s">
        <v>159</v>
      </c>
      <c r="E67" t="s">
        <v>159</v>
      </c>
      <c r="F67">
        <v>5748</v>
      </c>
      <c r="G67" t="s">
        <v>5339</v>
      </c>
      <c r="H67" t="s">
        <v>1254</v>
      </c>
      <c r="I67">
        <v>69</v>
      </c>
      <c r="J67" t="s">
        <v>5339</v>
      </c>
      <c r="K67" t="s">
        <v>5345</v>
      </c>
      <c r="L67" t="s">
        <v>2530</v>
      </c>
      <c r="M67" t="s">
        <v>2537</v>
      </c>
    </row>
    <row r="68" spans="1:13" x14ac:dyDescent="0.3">
      <c r="A68">
        <v>369</v>
      </c>
      <c r="B68" t="s">
        <v>1305</v>
      </c>
      <c r="C68" t="s">
        <v>5262</v>
      </c>
      <c r="D68" t="s">
        <v>159</v>
      </c>
      <c r="E68" t="s">
        <v>159</v>
      </c>
      <c r="F68">
        <v>5748</v>
      </c>
      <c r="G68" t="s">
        <v>5346</v>
      </c>
      <c r="H68" t="s">
        <v>5264</v>
      </c>
      <c r="I68">
        <v>477</v>
      </c>
      <c r="J68" t="s">
        <v>5347</v>
      </c>
      <c r="K68" t="s">
        <v>4275</v>
      </c>
      <c r="L68" t="s">
        <v>2530</v>
      </c>
      <c r="M68" t="s">
        <v>2537</v>
      </c>
    </row>
    <row r="69" spans="1:13" x14ac:dyDescent="0.3">
      <c r="A69">
        <v>369</v>
      </c>
      <c r="B69" t="s">
        <v>1305</v>
      </c>
      <c r="C69" t="s">
        <v>5262</v>
      </c>
      <c r="D69" t="s">
        <v>159</v>
      </c>
      <c r="E69" t="s">
        <v>159</v>
      </c>
      <c r="F69">
        <v>5748</v>
      </c>
      <c r="G69" t="s">
        <v>5348</v>
      </c>
      <c r="H69" t="s">
        <v>1254</v>
      </c>
      <c r="I69">
        <v>2825</v>
      </c>
      <c r="J69" t="s">
        <v>5343</v>
      </c>
      <c r="K69" t="s">
        <v>4279</v>
      </c>
      <c r="L69" t="s">
        <v>2537</v>
      </c>
      <c r="M69" t="s">
        <v>2537</v>
      </c>
    </row>
    <row r="70" spans="1:13" x14ac:dyDescent="0.3">
      <c r="A70">
        <v>369</v>
      </c>
      <c r="B70" t="s">
        <v>1305</v>
      </c>
      <c r="C70" t="s">
        <v>5262</v>
      </c>
      <c r="D70" t="s">
        <v>159</v>
      </c>
      <c r="E70" t="s">
        <v>159</v>
      </c>
      <c r="F70">
        <v>5748</v>
      </c>
      <c r="G70" t="s">
        <v>5349</v>
      </c>
      <c r="H70" t="s">
        <v>1254</v>
      </c>
      <c r="I70">
        <v>3596</v>
      </c>
      <c r="J70" t="s">
        <v>5343</v>
      </c>
      <c r="K70" t="s">
        <v>4279</v>
      </c>
      <c r="L70" t="s">
        <v>2537</v>
      </c>
      <c r="M70" t="s">
        <v>2537</v>
      </c>
    </row>
    <row r="71" spans="1:13" x14ac:dyDescent="0.3">
      <c r="A71">
        <v>369</v>
      </c>
      <c r="B71" t="s">
        <v>1305</v>
      </c>
      <c r="C71" t="s">
        <v>5262</v>
      </c>
      <c r="D71" t="s">
        <v>159</v>
      </c>
      <c r="E71" t="s">
        <v>159</v>
      </c>
      <c r="F71">
        <v>5748</v>
      </c>
      <c r="G71" t="s">
        <v>5347</v>
      </c>
      <c r="H71" t="s">
        <v>5264</v>
      </c>
      <c r="I71">
        <v>919</v>
      </c>
      <c r="J71" t="s">
        <v>5347</v>
      </c>
      <c r="K71" t="s">
        <v>4275</v>
      </c>
      <c r="L71" t="s">
        <v>2530</v>
      </c>
      <c r="M71" t="s">
        <v>2537</v>
      </c>
    </row>
    <row r="72" spans="1:13" x14ac:dyDescent="0.3">
      <c r="A72">
        <v>372</v>
      </c>
      <c r="B72" t="s">
        <v>1310</v>
      </c>
      <c r="C72" t="s">
        <v>5262</v>
      </c>
      <c r="D72" t="s">
        <v>159</v>
      </c>
      <c r="E72" t="s">
        <v>159</v>
      </c>
      <c r="F72">
        <v>8763</v>
      </c>
      <c r="G72" t="s">
        <v>5350</v>
      </c>
      <c r="H72" t="s">
        <v>1254</v>
      </c>
      <c r="I72">
        <v>31489.85822885</v>
      </c>
      <c r="J72" t="s">
        <v>5350</v>
      </c>
      <c r="K72" t="s">
        <v>4283</v>
      </c>
      <c r="L72" t="s">
        <v>2537</v>
      </c>
    </row>
    <row r="73" spans="1:13" x14ac:dyDescent="0.3">
      <c r="A73">
        <v>372</v>
      </c>
      <c r="B73" t="s">
        <v>1310</v>
      </c>
      <c r="C73" t="s">
        <v>5262</v>
      </c>
      <c r="D73" t="s">
        <v>159</v>
      </c>
      <c r="E73" t="s">
        <v>159</v>
      </c>
      <c r="F73">
        <v>8763</v>
      </c>
      <c r="G73" t="s">
        <v>5351</v>
      </c>
      <c r="H73" t="s">
        <v>1254</v>
      </c>
      <c r="I73">
        <v>45563.777908950004</v>
      </c>
      <c r="J73" t="s">
        <v>5351</v>
      </c>
      <c r="K73" t="s">
        <v>4286</v>
      </c>
      <c r="L73" t="s">
        <v>2537</v>
      </c>
    </row>
    <row r="74" spans="1:13" x14ac:dyDescent="0.3">
      <c r="A74">
        <v>372</v>
      </c>
      <c r="B74" t="s">
        <v>1310</v>
      </c>
      <c r="C74" t="s">
        <v>5262</v>
      </c>
      <c r="D74" t="s">
        <v>159</v>
      </c>
      <c r="E74" t="s">
        <v>159</v>
      </c>
      <c r="F74">
        <v>8763</v>
      </c>
      <c r="G74" t="s">
        <v>758</v>
      </c>
      <c r="H74" t="s">
        <v>1254</v>
      </c>
      <c r="I74">
        <v>352.92210275000002</v>
      </c>
      <c r="J74" t="s">
        <v>758</v>
      </c>
      <c r="K74" t="s">
        <v>4287</v>
      </c>
      <c r="L74" t="s">
        <v>2537</v>
      </c>
    </row>
    <row r="75" spans="1:13" x14ac:dyDescent="0.3">
      <c r="A75">
        <v>372</v>
      </c>
      <c r="B75" t="s">
        <v>1310</v>
      </c>
      <c r="C75" t="s">
        <v>5262</v>
      </c>
      <c r="D75" t="s">
        <v>159</v>
      </c>
      <c r="E75" t="s">
        <v>159</v>
      </c>
      <c r="F75">
        <v>8763</v>
      </c>
      <c r="G75" t="s">
        <v>1316</v>
      </c>
      <c r="H75" t="s">
        <v>1254</v>
      </c>
      <c r="I75">
        <v>629.12200925000002</v>
      </c>
      <c r="J75" t="s">
        <v>1888</v>
      </c>
      <c r="K75" t="s">
        <v>4289</v>
      </c>
      <c r="L75" t="s">
        <v>2530</v>
      </c>
    </row>
    <row r="76" spans="1:13" x14ac:dyDescent="0.3">
      <c r="A76">
        <v>373</v>
      </c>
      <c r="B76" t="s">
        <v>1339</v>
      </c>
      <c r="C76" t="s">
        <v>5262</v>
      </c>
      <c r="D76" t="s">
        <v>159</v>
      </c>
      <c r="E76" t="s">
        <v>159</v>
      </c>
      <c r="F76">
        <v>6638</v>
      </c>
      <c r="G76" t="s">
        <v>5352</v>
      </c>
      <c r="H76" t="s">
        <v>1254</v>
      </c>
      <c r="I76">
        <v>25763.313500749999</v>
      </c>
      <c r="J76" t="s">
        <v>5353</v>
      </c>
      <c r="K76" t="s">
        <v>5354</v>
      </c>
      <c r="L76" t="s">
        <v>2537</v>
      </c>
    </row>
    <row r="77" spans="1:13" x14ac:dyDescent="0.3">
      <c r="A77">
        <v>376</v>
      </c>
      <c r="B77" t="s">
        <v>1342</v>
      </c>
      <c r="C77" t="s">
        <v>5262</v>
      </c>
      <c r="D77" t="s">
        <v>159</v>
      </c>
      <c r="E77" t="s">
        <v>159</v>
      </c>
      <c r="F77">
        <v>5548</v>
      </c>
      <c r="G77" t="s">
        <v>5355</v>
      </c>
      <c r="H77" t="s">
        <v>1254</v>
      </c>
      <c r="I77">
        <v>5842</v>
      </c>
      <c r="J77" t="s">
        <v>5355</v>
      </c>
      <c r="K77" t="s">
        <v>4290</v>
      </c>
      <c r="L77" t="s">
        <v>2530</v>
      </c>
      <c r="M77" t="s">
        <v>2537</v>
      </c>
    </row>
    <row r="78" spans="1:13" x14ac:dyDescent="0.3">
      <c r="A78">
        <v>376</v>
      </c>
      <c r="B78" t="s">
        <v>1342</v>
      </c>
      <c r="C78" t="s">
        <v>5262</v>
      </c>
      <c r="D78" t="s">
        <v>159</v>
      </c>
      <c r="E78" t="s">
        <v>159</v>
      </c>
      <c r="F78">
        <v>5548</v>
      </c>
      <c r="G78" t="s">
        <v>5356</v>
      </c>
      <c r="H78" t="s">
        <v>1254</v>
      </c>
      <c r="I78">
        <v>172</v>
      </c>
      <c r="J78" t="s">
        <v>5356</v>
      </c>
      <c r="K78" t="s">
        <v>4720</v>
      </c>
      <c r="L78" t="s">
        <v>2537</v>
      </c>
      <c r="M78" t="s">
        <v>2537</v>
      </c>
    </row>
    <row r="79" spans="1:13" x14ac:dyDescent="0.3">
      <c r="A79">
        <v>384</v>
      </c>
      <c r="B79" t="s">
        <v>1343</v>
      </c>
      <c r="C79" t="s">
        <v>5262</v>
      </c>
      <c r="D79" t="s">
        <v>159</v>
      </c>
      <c r="E79" t="s">
        <v>159</v>
      </c>
      <c r="F79">
        <v>7937</v>
      </c>
      <c r="G79" t="s">
        <v>5357</v>
      </c>
      <c r="H79" t="s">
        <v>1254</v>
      </c>
      <c r="I79">
        <v>160</v>
      </c>
      <c r="J79" t="s">
        <v>5357</v>
      </c>
      <c r="K79" t="s">
        <v>5358</v>
      </c>
      <c r="L79" t="s">
        <v>2530</v>
      </c>
    </row>
    <row r="80" spans="1:13" x14ac:dyDescent="0.3">
      <c r="A80">
        <v>384</v>
      </c>
      <c r="B80" t="s">
        <v>1343</v>
      </c>
      <c r="C80" t="s">
        <v>5262</v>
      </c>
      <c r="D80" t="s">
        <v>159</v>
      </c>
      <c r="E80" t="s">
        <v>159</v>
      </c>
      <c r="F80">
        <v>7937</v>
      </c>
      <c r="G80" t="s">
        <v>5359</v>
      </c>
      <c r="H80" t="s">
        <v>1254</v>
      </c>
      <c r="I80">
        <v>50</v>
      </c>
      <c r="J80" t="s">
        <v>5359</v>
      </c>
      <c r="K80" t="s">
        <v>5360</v>
      </c>
      <c r="L80" t="s">
        <v>2537</v>
      </c>
    </row>
    <row r="81" spans="1:12" x14ac:dyDescent="0.3">
      <c r="A81">
        <v>386</v>
      </c>
      <c r="B81" t="s">
        <v>1345</v>
      </c>
      <c r="C81" t="s">
        <v>5262</v>
      </c>
      <c r="D81" t="s">
        <v>159</v>
      </c>
      <c r="E81" t="s">
        <v>159</v>
      </c>
      <c r="F81">
        <v>7983</v>
      </c>
      <c r="G81" t="s">
        <v>5361</v>
      </c>
      <c r="H81" t="s">
        <v>1254</v>
      </c>
      <c r="I81">
        <v>3773</v>
      </c>
      <c r="J81" t="s">
        <v>5361</v>
      </c>
      <c r="K81" t="s">
        <v>5362</v>
      </c>
      <c r="L81" t="s">
        <v>2537</v>
      </c>
    </row>
    <row r="82" spans="1:12" x14ac:dyDescent="0.3">
      <c r="A82">
        <v>386</v>
      </c>
      <c r="B82" t="s">
        <v>1345</v>
      </c>
      <c r="C82" t="s">
        <v>5262</v>
      </c>
      <c r="D82" t="s">
        <v>159</v>
      </c>
      <c r="E82" t="s">
        <v>159</v>
      </c>
      <c r="F82">
        <v>7983</v>
      </c>
      <c r="G82" t="s">
        <v>5306</v>
      </c>
      <c r="H82" t="s">
        <v>1254</v>
      </c>
      <c r="I82">
        <v>9249</v>
      </c>
      <c r="J82" t="s">
        <v>5306</v>
      </c>
      <c r="K82" t="s">
        <v>5363</v>
      </c>
      <c r="L82" t="s">
        <v>2537</v>
      </c>
    </row>
    <row r="83" spans="1:12" x14ac:dyDescent="0.3">
      <c r="A83">
        <v>386</v>
      </c>
      <c r="B83" t="s">
        <v>1345</v>
      </c>
      <c r="C83" t="s">
        <v>5262</v>
      </c>
      <c r="D83" t="s">
        <v>159</v>
      </c>
      <c r="E83" t="s">
        <v>159</v>
      </c>
      <c r="F83">
        <v>7983</v>
      </c>
      <c r="G83" t="s">
        <v>5306</v>
      </c>
      <c r="H83" t="s">
        <v>1254</v>
      </c>
      <c r="I83">
        <v>14290</v>
      </c>
      <c r="J83" t="s">
        <v>5306</v>
      </c>
      <c r="K83" t="s">
        <v>5364</v>
      </c>
      <c r="L83" t="s">
        <v>2537</v>
      </c>
    </row>
    <row r="84" spans="1:12" x14ac:dyDescent="0.3">
      <c r="A84">
        <v>386</v>
      </c>
      <c r="B84" t="s">
        <v>1345</v>
      </c>
      <c r="C84" t="s">
        <v>5262</v>
      </c>
      <c r="D84" t="s">
        <v>159</v>
      </c>
      <c r="E84" t="s">
        <v>159</v>
      </c>
      <c r="F84">
        <v>7983</v>
      </c>
      <c r="G84" t="s">
        <v>5365</v>
      </c>
      <c r="H84" t="s">
        <v>1254</v>
      </c>
      <c r="I84">
        <v>3619</v>
      </c>
      <c r="J84" t="s">
        <v>5365</v>
      </c>
      <c r="K84" t="s">
        <v>5366</v>
      </c>
      <c r="L84" t="s">
        <v>2537</v>
      </c>
    </row>
    <row r="85" spans="1:12" x14ac:dyDescent="0.3">
      <c r="A85">
        <v>387</v>
      </c>
      <c r="B85" t="s">
        <v>1347</v>
      </c>
      <c r="C85" t="s">
        <v>5262</v>
      </c>
      <c r="D85" t="s">
        <v>159</v>
      </c>
      <c r="E85" t="s">
        <v>159</v>
      </c>
      <c r="F85">
        <v>7939</v>
      </c>
      <c r="G85" t="s">
        <v>1845</v>
      </c>
      <c r="H85" t="s">
        <v>1254</v>
      </c>
      <c r="I85">
        <v>448</v>
      </c>
      <c r="J85" t="s">
        <v>5367</v>
      </c>
      <c r="K85" t="s">
        <v>4775</v>
      </c>
      <c r="L85" t="s">
        <v>2537</v>
      </c>
    </row>
    <row r="86" spans="1:12" x14ac:dyDescent="0.3">
      <c r="A86">
        <v>387</v>
      </c>
      <c r="B86" t="s">
        <v>1347</v>
      </c>
      <c r="C86" t="s">
        <v>5262</v>
      </c>
      <c r="D86" t="s">
        <v>159</v>
      </c>
      <c r="E86" t="s">
        <v>159</v>
      </c>
      <c r="F86">
        <v>7939</v>
      </c>
      <c r="G86" t="s">
        <v>5368</v>
      </c>
      <c r="H86" t="s">
        <v>1254</v>
      </c>
      <c r="I86">
        <v>996</v>
      </c>
      <c r="J86" t="s">
        <v>5367</v>
      </c>
      <c r="K86" t="s">
        <v>4775</v>
      </c>
      <c r="L86" t="s">
        <v>2537</v>
      </c>
    </row>
    <row r="87" spans="1:12" x14ac:dyDescent="0.3">
      <c r="A87">
        <v>387</v>
      </c>
      <c r="B87" t="s">
        <v>1347</v>
      </c>
      <c r="C87" t="s">
        <v>5262</v>
      </c>
      <c r="D87" t="s">
        <v>159</v>
      </c>
      <c r="E87" t="s">
        <v>159</v>
      </c>
      <c r="F87">
        <v>7939</v>
      </c>
      <c r="G87" t="s">
        <v>5369</v>
      </c>
      <c r="H87" t="s">
        <v>1254</v>
      </c>
      <c r="I87">
        <v>598</v>
      </c>
      <c r="J87" t="s">
        <v>5367</v>
      </c>
      <c r="K87" t="s">
        <v>4775</v>
      </c>
      <c r="L87" t="s">
        <v>2537</v>
      </c>
    </row>
    <row r="88" spans="1:12" x14ac:dyDescent="0.3">
      <c r="A88">
        <v>387</v>
      </c>
      <c r="B88" t="s">
        <v>1347</v>
      </c>
      <c r="C88" t="s">
        <v>5262</v>
      </c>
      <c r="D88" t="s">
        <v>159</v>
      </c>
      <c r="E88" t="s">
        <v>159</v>
      </c>
      <c r="F88">
        <v>7939</v>
      </c>
      <c r="G88" t="s">
        <v>5370</v>
      </c>
      <c r="H88" t="s">
        <v>1254</v>
      </c>
      <c r="I88">
        <v>1594</v>
      </c>
      <c r="J88" t="s">
        <v>5367</v>
      </c>
      <c r="K88" t="s">
        <v>4775</v>
      </c>
      <c r="L88" t="s">
        <v>2537</v>
      </c>
    </row>
    <row r="89" spans="1:12" x14ac:dyDescent="0.3">
      <c r="A89">
        <v>387</v>
      </c>
      <c r="B89" t="s">
        <v>1347</v>
      </c>
      <c r="C89" t="s">
        <v>5262</v>
      </c>
      <c r="D89" t="s">
        <v>159</v>
      </c>
      <c r="E89" t="s">
        <v>159</v>
      </c>
      <c r="F89">
        <v>7939</v>
      </c>
      <c r="G89" t="s">
        <v>5371</v>
      </c>
      <c r="H89" t="s">
        <v>1254</v>
      </c>
      <c r="I89">
        <v>1345</v>
      </c>
      <c r="J89" t="s">
        <v>5367</v>
      </c>
      <c r="K89" t="s">
        <v>4775</v>
      </c>
      <c r="L89" t="s">
        <v>2537</v>
      </c>
    </row>
    <row r="90" spans="1:12" x14ac:dyDescent="0.3">
      <c r="A90">
        <v>388</v>
      </c>
      <c r="B90" t="s">
        <v>1348</v>
      </c>
      <c r="C90" t="s">
        <v>5262</v>
      </c>
      <c r="D90" t="s">
        <v>159</v>
      </c>
      <c r="E90" t="s">
        <v>159</v>
      </c>
      <c r="F90">
        <v>7940</v>
      </c>
      <c r="G90" t="s">
        <v>5372</v>
      </c>
      <c r="H90" t="s">
        <v>1254</v>
      </c>
      <c r="I90">
        <v>166</v>
      </c>
      <c r="J90" t="s">
        <v>5372</v>
      </c>
      <c r="K90" t="s">
        <v>5373</v>
      </c>
      <c r="L90" t="s">
        <v>2537</v>
      </c>
    </row>
    <row r="91" spans="1:12" x14ac:dyDescent="0.3">
      <c r="A91">
        <v>388</v>
      </c>
      <c r="B91" t="s">
        <v>1348</v>
      </c>
      <c r="C91" t="s">
        <v>5262</v>
      </c>
      <c r="D91" t="s">
        <v>159</v>
      </c>
      <c r="E91" t="s">
        <v>159</v>
      </c>
      <c r="F91">
        <v>7940</v>
      </c>
      <c r="G91" t="s">
        <v>5374</v>
      </c>
      <c r="H91" t="s">
        <v>1254</v>
      </c>
      <c r="I91">
        <v>10171</v>
      </c>
      <c r="J91" t="s">
        <v>5374</v>
      </c>
      <c r="K91" t="s">
        <v>5375</v>
      </c>
      <c r="L91" t="s">
        <v>2537</v>
      </c>
    </row>
    <row r="92" spans="1:12" x14ac:dyDescent="0.3">
      <c r="A92">
        <v>390</v>
      </c>
      <c r="B92" t="s">
        <v>1349</v>
      </c>
      <c r="C92" t="s">
        <v>5262</v>
      </c>
      <c r="D92" t="s">
        <v>159</v>
      </c>
      <c r="E92" t="s">
        <v>159</v>
      </c>
      <c r="F92">
        <v>7941</v>
      </c>
      <c r="G92" t="s">
        <v>5376</v>
      </c>
      <c r="H92" t="s">
        <v>1254</v>
      </c>
      <c r="I92">
        <v>867</v>
      </c>
      <c r="J92" t="s">
        <v>5376</v>
      </c>
      <c r="K92" t="s">
        <v>5377</v>
      </c>
      <c r="L92" t="s">
        <v>2537</v>
      </c>
    </row>
    <row r="93" spans="1:12" x14ac:dyDescent="0.3">
      <c r="A93">
        <v>391</v>
      </c>
      <c r="B93" t="s">
        <v>1350</v>
      </c>
      <c r="C93" t="s">
        <v>5262</v>
      </c>
      <c r="D93" t="s">
        <v>159</v>
      </c>
      <c r="E93" t="s">
        <v>159</v>
      </c>
      <c r="F93">
        <v>7942</v>
      </c>
      <c r="G93" t="s">
        <v>5357</v>
      </c>
      <c r="H93" t="s">
        <v>1254</v>
      </c>
      <c r="I93">
        <v>23277</v>
      </c>
      <c r="J93" t="s">
        <v>2241</v>
      </c>
      <c r="K93" t="s">
        <v>5269</v>
      </c>
      <c r="L93" t="s">
        <v>2537</v>
      </c>
    </row>
    <row r="94" spans="1:12" x14ac:dyDescent="0.3">
      <c r="A94">
        <v>392</v>
      </c>
      <c r="B94" t="s">
        <v>1351</v>
      </c>
      <c r="C94" t="s">
        <v>5262</v>
      </c>
      <c r="D94" t="s">
        <v>159</v>
      </c>
      <c r="E94" t="s">
        <v>159</v>
      </c>
      <c r="F94">
        <v>7943</v>
      </c>
      <c r="G94" t="s">
        <v>5357</v>
      </c>
      <c r="H94" t="s">
        <v>1254</v>
      </c>
      <c r="I94">
        <v>11164</v>
      </c>
      <c r="J94" t="s">
        <v>5378</v>
      </c>
      <c r="K94" t="s">
        <v>5269</v>
      </c>
      <c r="L94" t="s">
        <v>2537</v>
      </c>
    </row>
    <row r="95" spans="1:12" x14ac:dyDescent="0.3">
      <c r="A95">
        <v>396</v>
      </c>
      <c r="B95" t="s">
        <v>1353</v>
      </c>
      <c r="C95" t="s">
        <v>5262</v>
      </c>
      <c r="D95" t="s">
        <v>159</v>
      </c>
      <c r="E95" t="s">
        <v>159</v>
      </c>
      <c r="F95">
        <v>7944</v>
      </c>
      <c r="G95" t="s">
        <v>5357</v>
      </c>
      <c r="H95" t="s">
        <v>1254</v>
      </c>
      <c r="I95">
        <v>8594</v>
      </c>
      <c r="J95" t="s">
        <v>2241</v>
      </c>
      <c r="K95" t="s">
        <v>3287</v>
      </c>
      <c r="L95" t="s">
        <v>2537</v>
      </c>
    </row>
    <row r="96" spans="1:12" x14ac:dyDescent="0.3">
      <c r="A96">
        <v>398</v>
      </c>
      <c r="B96" t="s">
        <v>1355</v>
      </c>
      <c r="C96" t="s">
        <v>5262</v>
      </c>
      <c r="D96" t="s">
        <v>159</v>
      </c>
      <c r="E96" t="s">
        <v>159</v>
      </c>
      <c r="F96">
        <v>7946</v>
      </c>
      <c r="G96" t="s">
        <v>5379</v>
      </c>
      <c r="H96" t="s">
        <v>1254</v>
      </c>
      <c r="I96">
        <v>1038</v>
      </c>
      <c r="J96" t="s">
        <v>5379</v>
      </c>
      <c r="K96" t="s">
        <v>5380</v>
      </c>
      <c r="L96" t="s">
        <v>2537</v>
      </c>
    </row>
    <row r="97" spans="1:12" x14ac:dyDescent="0.3">
      <c r="A97">
        <v>401</v>
      </c>
      <c r="B97" t="s">
        <v>1356</v>
      </c>
      <c r="C97" t="s">
        <v>5262</v>
      </c>
      <c r="D97" t="s">
        <v>159</v>
      </c>
      <c r="E97" t="s">
        <v>159</v>
      </c>
      <c r="F97">
        <v>7947</v>
      </c>
      <c r="G97" t="s">
        <v>5381</v>
      </c>
      <c r="H97" t="s">
        <v>1254</v>
      </c>
      <c r="I97">
        <v>4469</v>
      </c>
      <c r="J97" t="s">
        <v>5381</v>
      </c>
      <c r="K97" t="s">
        <v>5382</v>
      </c>
      <c r="L97" t="s">
        <v>2537</v>
      </c>
    </row>
    <row r="98" spans="1:12" x14ac:dyDescent="0.3">
      <c r="A98">
        <v>402</v>
      </c>
      <c r="B98" t="s">
        <v>1357</v>
      </c>
      <c r="C98" t="s">
        <v>5262</v>
      </c>
      <c r="D98" t="s">
        <v>159</v>
      </c>
      <c r="E98" t="s">
        <v>159</v>
      </c>
      <c r="F98">
        <v>7962</v>
      </c>
      <c r="G98" t="s">
        <v>5383</v>
      </c>
      <c r="H98" t="s">
        <v>1254</v>
      </c>
      <c r="I98">
        <v>248</v>
      </c>
      <c r="J98" t="s">
        <v>5383</v>
      </c>
      <c r="K98" t="s">
        <v>4920</v>
      </c>
      <c r="L98" t="s">
        <v>2537</v>
      </c>
    </row>
    <row r="99" spans="1:12" x14ac:dyDescent="0.3">
      <c r="A99">
        <v>402</v>
      </c>
      <c r="B99" t="s">
        <v>1357</v>
      </c>
      <c r="C99" t="s">
        <v>5262</v>
      </c>
      <c r="D99" t="s">
        <v>159</v>
      </c>
      <c r="E99" t="s">
        <v>159</v>
      </c>
      <c r="F99">
        <v>7962</v>
      </c>
      <c r="G99" t="s">
        <v>5384</v>
      </c>
      <c r="H99" t="s">
        <v>1254</v>
      </c>
      <c r="I99">
        <v>1621</v>
      </c>
      <c r="J99" t="s">
        <v>5385</v>
      </c>
      <c r="K99" t="s">
        <v>4859</v>
      </c>
      <c r="L99" t="s">
        <v>2537</v>
      </c>
    </row>
    <row r="100" spans="1:12" x14ac:dyDescent="0.3">
      <c r="A100">
        <v>402</v>
      </c>
      <c r="B100" t="s">
        <v>1357</v>
      </c>
      <c r="C100" t="s">
        <v>5262</v>
      </c>
      <c r="D100" t="s">
        <v>159</v>
      </c>
      <c r="E100" t="s">
        <v>159</v>
      </c>
      <c r="F100">
        <v>7962</v>
      </c>
      <c r="G100" t="s">
        <v>5386</v>
      </c>
      <c r="H100" t="s">
        <v>1254</v>
      </c>
      <c r="I100">
        <v>4045</v>
      </c>
      <c r="J100" t="s">
        <v>5387</v>
      </c>
      <c r="K100" t="s">
        <v>3424</v>
      </c>
      <c r="L100" t="s">
        <v>2537</v>
      </c>
    </row>
    <row r="101" spans="1:12" x14ac:dyDescent="0.3">
      <c r="A101">
        <v>405</v>
      </c>
      <c r="B101" t="s">
        <v>1358</v>
      </c>
      <c r="C101" t="s">
        <v>5262</v>
      </c>
      <c r="D101" t="s">
        <v>159</v>
      </c>
      <c r="E101" t="s">
        <v>159</v>
      </c>
      <c r="F101">
        <v>7949</v>
      </c>
      <c r="G101" t="s">
        <v>1650</v>
      </c>
      <c r="H101" t="s">
        <v>1254</v>
      </c>
      <c r="I101">
        <v>1055</v>
      </c>
      <c r="J101" t="s">
        <v>1650</v>
      </c>
      <c r="K101" t="s">
        <v>5388</v>
      </c>
      <c r="L101" t="s">
        <v>2537</v>
      </c>
    </row>
    <row r="102" spans="1:12" x14ac:dyDescent="0.3">
      <c r="A102">
        <v>420</v>
      </c>
      <c r="B102" t="s">
        <v>1359</v>
      </c>
      <c r="C102" t="s">
        <v>5262</v>
      </c>
      <c r="D102" t="s">
        <v>159</v>
      </c>
      <c r="E102" t="s">
        <v>159</v>
      </c>
      <c r="F102">
        <v>7950</v>
      </c>
      <c r="G102" t="s">
        <v>5389</v>
      </c>
      <c r="H102" t="s">
        <v>1254</v>
      </c>
      <c r="I102">
        <v>7043</v>
      </c>
      <c r="J102" t="s">
        <v>5390</v>
      </c>
      <c r="K102" t="s">
        <v>4296</v>
      </c>
      <c r="L102" t="s">
        <v>2530</v>
      </c>
    </row>
    <row r="103" spans="1:12" x14ac:dyDescent="0.3">
      <c r="A103">
        <v>420</v>
      </c>
      <c r="B103" t="s">
        <v>1359</v>
      </c>
      <c r="C103" t="s">
        <v>5262</v>
      </c>
      <c r="D103" t="s">
        <v>159</v>
      </c>
      <c r="E103" t="s">
        <v>159</v>
      </c>
      <c r="F103">
        <v>7950</v>
      </c>
      <c r="G103" t="s">
        <v>5391</v>
      </c>
      <c r="H103" t="s">
        <v>1254</v>
      </c>
      <c r="I103">
        <v>2176</v>
      </c>
      <c r="J103" t="s">
        <v>5367</v>
      </c>
      <c r="K103" t="s">
        <v>4775</v>
      </c>
      <c r="L103" t="s">
        <v>2537</v>
      </c>
    </row>
    <row r="104" spans="1:12" x14ac:dyDescent="0.3">
      <c r="A104">
        <v>412</v>
      </c>
      <c r="B104" t="s">
        <v>1360</v>
      </c>
      <c r="C104" t="s">
        <v>5262</v>
      </c>
      <c r="D104" t="s">
        <v>159</v>
      </c>
      <c r="E104" t="s">
        <v>159</v>
      </c>
      <c r="F104">
        <v>7951</v>
      </c>
      <c r="G104" t="s">
        <v>5392</v>
      </c>
      <c r="H104" t="s">
        <v>1254</v>
      </c>
      <c r="I104">
        <v>1260</v>
      </c>
      <c r="J104" t="s">
        <v>5393</v>
      </c>
      <c r="K104" t="s">
        <v>4297</v>
      </c>
      <c r="L104" t="s">
        <v>2530</v>
      </c>
    </row>
    <row r="105" spans="1:12" x14ac:dyDescent="0.3">
      <c r="A105">
        <v>413</v>
      </c>
      <c r="B105" t="s">
        <v>1361</v>
      </c>
      <c r="C105" t="s">
        <v>5262</v>
      </c>
      <c r="D105" t="s">
        <v>159</v>
      </c>
      <c r="E105" t="s">
        <v>159</v>
      </c>
      <c r="F105">
        <v>7952</v>
      </c>
      <c r="G105" t="s">
        <v>5357</v>
      </c>
      <c r="H105" t="s">
        <v>1254</v>
      </c>
      <c r="I105">
        <v>9403</v>
      </c>
      <c r="J105" t="s">
        <v>5357</v>
      </c>
      <c r="K105" t="s">
        <v>5269</v>
      </c>
      <c r="L105" t="s">
        <v>2537</v>
      </c>
    </row>
    <row r="106" spans="1:12" x14ac:dyDescent="0.3">
      <c r="A106">
        <v>416</v>
      </c>
      <c r="B106" t="s">
        <v>1362</v>
      </c>
      <c r="C106" t="s">
        <v>5262</v>
      </c>
      <c r="D106" t="s">
        <v>159</v>
      </c>
      <c r="E106" t="s">
        <v>159</v>
      </c>
      <c r="F106">
        <v>7953</v>
      </c>
      <c r="G106" t="s">
        <v>1764</v>
      </c>
      <c r="H106" t="s">
        <v>1254</v>
      </c>
      <c r="I106">
        <v>4</v>
      </c>
      <c r="J106" t="s">
        <v>1764</v>
      </c>
      <c r="K106" t="s">
        <v>5394</v>
      </c>
      <c r="L106" t="s">
        <v>2537</v>
      </c>
    </row>
    <row r="107" spans="1:12" x14ac:dyDescent="0.3">
      <c r="A107">
        <v>416</v>
      </c>
      <c r="B107" t="s">
        <v>1362</v>
      </c>
      <c r="C107" t="s">
        <v>5262</v>
      </c>
      <c r="D107" t="s">
        <v>159</v>
      </c>
      <c r="E107" t="s">
        <v>159</v>
      </c>
      <c r="F107">
        <v>7953</v>
      </c>
      <c r="G107" t="s">
        <v>5395</v>
      </c>
      <c r="H107" t="s">
        <v>1254</v>
      </c>
      <c r="I107">
        <v>9</v>
      </c>
      <c r="J107" t="s">
        <v>5395</v>
      </c>
      <c r="K107" t="s">
        <v>5396</v>
      </c>
      <c r="L107" t="s">
        <v>2537</v>
      </c>
    </row>
    <row r="108" spans="1:12" x14ac:dyDescent="0.3">
      <c r="A108">
        <v>416</v>
      </c>
      <c r="B108" t="s">
        <v>1362</v>
      </c>
      <c r="C108" t="s">
        <v>5262</v>
      </c>
      <c r="D108" t="s">
        <v>159</v>
      </c>
      <c r="E108" t="s">
        <v>159</v>
      </c>
      <c r="F108">
        <v>7953</v>
      </c>
      <c r="G108" t="s">
        <v>5397</v>
      </c>
      <c r="H108" t="s">
        <v>1254</v>
      </c>
      <c r="I108">
        <v>165</v>
      </c>
      <c r="J108" t="s">
        <v>5397</v>
      </c>
      <c r="K108" t="s">
        <v>5398</v>
      </c>
      <c r="L108" t="s">
        <v>2537</v>
      </c>
    </row>
    <row r="109" spans="1:12" x14ac:dyDescent="0.3">
      <c r="A109">
        <v>416</v>
      </c>
      <c r="B109" t="s">
        <v>1362</v>
      </c>
      <c r="C109" t="s">
        <v>5262</v>
      </c>
      <c r="D109" t="s">
        <v>159</v>
      </c>
      <c r="E109" t="s">
        <v>159</v>
      </c>
      <c r="F109">
        <v>7953</v>
      </c>
      <c r="G109" t="s">
        <v>5399</v>
      </c>
      <c r="H109" t="s">
        <v>1254</v>
      </c>
      <c r="I109">
        <v>24</v>
      </c>
      <c r="J109" t="s">
        <v>5399</v>
      </c>
      <c r="K109" t="s">
        <v>5400</v>
      </c>
      <c r="L109" t="s">
        <v>2537</v>
      </c>
    </row>
    <row r="110" spans="1:12" x14ac:dyDescent="0.3">
      <c r="A110">
        <v>417</v>
      </c>
      <c r="B110" t="s">
        <v>1363</v>
      </c>
      <c r="C110" t="s">
        <v>5262</v>
      </c>
      <c r="D110" t="s">
        <v>159</v>
      </c>
      <c r="E110" t="s">
        <v>159</v>
      </c>
      <c r="F110">
        <v>7954</v>
      </c>
      <c r="G110" t="s">
        <v>5339</v>
      </c>
      <c r="H110" t="s">
        <v>1254</v>
      </c>
      <c r="I110">
        <v>596</v>
      </c>
      <c r="J110" t="s">
        <v>5339</v>
      </c>
      <c r="K110" t="s">
        <v>5401</v>
      </c>
      <c r="L110" t="s">
        <v>2537</v>
      </c>
    </row>
    <row r="111" spans="1:12" x14ac:dyDescent="0.3">
      <c r="A111">
        <v>417</v>
      </c>
      <c r="B111" t="s">
        <v>1363</v>
      </c>
      <c r="C111" t="s">
        <v>5262</v>
      </c>
      <c r="D111" t="s">
        <v>159</v>
      </c>
      <c r="E111" t="s">
        <v>159</v>
      </c>
      <c r="F111">
        <v>7954</v>
      </c>
      <c r="G111" t="s">
        <v>5402</v>
      </c>
      <c r="H111" t="s">
        <v>1254</v>
      </c>
      <c r="I111">
        <v>9524</v>
      </c>
      <c r="J111" t="s">
        <v>5403</v>
      </c>
      <c r="K111" t="s">
        <v>4279</v>
      </c>
      <c r="L111" t="s">
        <v>2537</v>
      </c>
    </row>
    <row r="112" spans="1:12" x14ac:dyDescent="0.3">
      <c r="A112">
        <v>417</v>
      </c>
      <c r="B112" t="s">
        <v>1363</v>
      </c>
      <c r="C112" t="s">
        <v>5262</v>
      </c>
      <c r="D112" t="s">
        <v>159</v>
      </c>
      <c r="E112" t="s">
        <v>159</v>
      </c>
      <c r="F112">
        <v>7954</v>
      </c>
      <c r="G112" t="s">
        <v>5404</v>
      </c>
      <c r="H112" t="s">
        <v>1254</v>
      </c>
      <c r="I112">
        <v>180</v>
      </c>
      <c r="J112" t="s">
        <v>5404</v>
      </c>
      <c r="K112" t="s">
        <v>5405</v>
      </c>
      <c r="L112" t="s">
        <v>2537</v>
      </c>
    </row>
    <row r="113" spans="1:13" x14ac:dyDescent="0.3">
      <c r="A113">
        <v>417</v>
      </c>
      <c r="B113" t="s">
        <v>1363</v>
      </c>
      <c r="C113" t="s">
        <v>5262</v>
      </c>
      <c r="D113" t="s">
        <v>159</v>
      </c>
      <c r="E113" t="s">
        <v>159</v>
      </c>
      <c r="F113">
        <v>7954</v>
      </c>
      <c r="G113" t="s">
        <v>5406</v>
      </c>
      <c r="H113" t="s">
        <v>1254</v>
      </c>
      <c r="I113">
        <v>162</v>
      </c>
      <c r="J113" t="s">
        <v>5406</v>
      </c>
      <c r="K113" t="s">
        <v>5407</v>
      </c>
      <c r="L113" t="s">
        <v>2537</v>
      </c>
    </row>
    <row r="114" spans="1:13" x14ac:dyDescent="0.3">
      <c r="A114">
        <v>421</v>
      </c>
      <c r="B114" t="s">
        <v>1364</v>
      </c>
      <c r="C114" t="s">
        <v>5262</v>
      </c>
      <c r="D114" t="s">
        <v>159</v>
      </c>
      <c r="E114" t="s">
        <v>159</v>
      </c>
      <c r="F114">
        <v>7955</v>
      </c>
      <c r="G114" t="s">
        <v>5408</v>
      </c>
      <c r="H114" t="s">
        <v>1254</v>
      </c>
      <c r="I114">
        <v>2766</v>
      </c>
      <c r="J114" t="s">
        <v>5408</v>
      </c>
      <c r="K114" t="s">
        <v>5409</v>
      </c>
      <c r="L114" t="s">
        <v>2537</v>
      </c>
    </row>
    <row r="115" spans="1:13" x14ac:dyDescent="0.3">
      <c r="A115">
        <v>422</v>
      </c>
      <c r="B115" t="s">
        <v>1365</v>
      </c>
      <c r="C115" t="s">
        <v>5262</v>
      </c>
      <c r="D115" t="s">
        <v>159</v>
      </c>
      <c r="E115" t="s">
        <v>159</v>
      </c>
      <c r="F115">
        <v>7956</v>
      </c>
      <c r="G115" t="s">
        <v>5410</v>
      </c>
      <c r="H115" t="s">
        <v>1254</v>
      </c>
      <c r="I115">
        <v>5077</v>
      </c>
      <c r="J115" t="s">
        <v>5411</v>
      </c>
      <c r="K115" t="s">
        <v>4299</v>
      </c>
      <c r="L115" t="s">
        <v>2530</v>
      </c>
    </row>
    <row r="116" spans="1:13" x14ac:dyDescent="0.3">
      <c r="A116">
        <v>424</v>
      </c>
      <c r="B116" t="s">
        <v>1366</v>
      </c>
      <c r="C116" t="s">
        <v>5262</v>
      </c>
      <c r="D116" t="s">
        <v>159</v>
      </c>
      <c r="E116" t="s">
        <v>159</v>
      </c>
      <c r="F116">
        <v>7957</v>
      </c>
      <c r="G116" t="s">
        <v>2224</v>
      </c>
      <c r="H116" t="s">
        <v>1254</v>
      </c>
      <c r="I116">
        <v>14000</v>
      </c>
      <c r="J116" t="s">
        <v>2224</v>
      </c>
      <c r="K116" t="s">
        <v>4300</v>
      </c>
      <c r="L116" t="s">
        <v>2530</v>
      </c>
    </row>
    <row r="117" spans="1:13" x14ac:dyDescent="0.3">
      <c r="A117">
        <v>427</v>
      </c>
      <c r="B117" t="s">
        <v>1367</v>
      </c>
      <c r="C117" t="s">
        <v>5262</v>
      </c>
      <c r="D117" t="s">
        <v>159</v>
      </c>
      <c r="E117" t="s">
        <v>159</v>
      </c>
      <c r="F117">
        <v>7958</v>
      </c>
      <c r="G117" t="s">
        <v>5412</v>
      </c>
      <c r="H117" t="s">
        <v>1254</v>
      </c>
      <c r="I117">
        <v>14635</v>
      </c>
      <c r="J117" t="s">
        <v>5412</v>
      </c>
      <c r="K117" t="s">
        <v>5413</v>
      </c>
      <c r="L117" t="s">
        <v>2537</v>
      </c>
    </row>
    <row r="118" spans="1:13" x14ac:dyDescent="0.3">
      <c r="A118">
        <v>428</v>
      </c>
      <c r="B118" t="s">
        <v>1368</v>
      </c>
      <c r="C118" t="s">
        <v>5262</v>
      </c>
      <c r="D118" t="s">
        <v>159</v>
      </c>
      <c r="E118" t="s">
        <v>159</v>
      </c>
      <c r="F118">
        <v>7959</v>
      </c>
      <c r="G118" t="s">
        <v>5414</v>
      </c>
      <c r="H118" t="s">
        <v>1254</v>
      </c>
      <c r="I118">
        <v>3046</v>
      </c>
      <c r="J118" t="s">
        <v>5415</v>
      </c>
      <c r="K118" t="s">
        <v>4551</v>
      </c>
      <c r="L118" t="s">
        <v>2537</v>
      </c>
    </row>
    <row r="119" spans="1:13" x14ac:dyDescent="0.3">
      <c r="A119">
        <v>429</v>
      </c>
      <c r="B119" t="s">
        <v>1369</v>
      </c>
      <c r="C119" t="s">
        <v>5262</v>
      </c>
      <c r="D119" t="s">
        <v>159</v>
      </c>
      <c r="E119" t="s">
        <v>159</v>
      </c>
      <c r="F119">
        <v>7960</v>
      </c>
      <c r="G119" t="s">
        <v>5416</v>
      </c>
      <c r="H119" t="s">
        <v>1254</v>
      </c>
      <c r="I119">
        <v>688</v>
      </c>
      <c r="J119" t="s">
        <v>5416</v>
      </c>
      <c r="K119" t="s">
        <v>5417</v>
      </c>
      <c r="L119" t="s">
        <v>2537</v>
      </c>
    </row>
    <row r="120" spans="1:13" x14ac:dyDescent="0.3">
      <c r="A120">
        <v>443</v>
      </c>
      <c r="B120" t="s">
        <v>1370</v>
      </c>
      <c r="C120" t="s">
        <v>5262</v>
      </c>
      <c r="D120" t="s">
        <v>159</v>
      </c>
      <c r="E120" t="s">
        <v>159</v>
      </c>
      <c r="F120">
        <v>8021</v>
      </c>
      <c r="G120" t="s">
        <v>5418</v>
      </c>
      <c r="H120" t="s">
        <v>5264</v>
      </c>
      <c r="I120">
        <v>3692</v>
      </c>
      <c r="J120" t="s">
        <v>5418</v>
      </c>
      <c r="K120" t="s">
        <v>4804</v>
      </c>
      <c r="L120" t="s">
        <v>2537</v>
      </c>
      <c r="M120" t="s">
        <v>2537</v>
      </c>
    </row>
    <row r="121" spans="1:13" x14ac:dyDescent="0.3">
      <c r="A121">
        <v>445</v>
      </c>
      <c r="B121" t="s">
        <v>1371</v>
      </c>
      <c r="C121" t="s">
        <v>5262</v>
      </c>
      <c r="D121" t="s">
        <v>159</v>
      </c>
      <c r="E121" t="s">
        <v>159</v>
      </c>
      <c r="F121">
        <v>8285</v>
      </c>
      <c r="G121" t="s">
        <v>5419</v>
      </c>
      <c r="H121" t="s">
        <v>5264</v>
      </c>
      <c r="I121">
        <v>475</v>
      </c>
      <c r="J121" t="s">
        <v>4304</v>
      </c>
      <c r="K121" t="s">
        <v>4304</v>
      </c>
      <c r="L121" t="s">
        <v>2530</v>
      </c>
      <c r="M121" t="s">
        <v>2537</v>
      </c>
    </row>
    <row r="122" spans="1:13" x14ac:dyDescent="0.3">
      <c r="A122">
        <v>467</v>
      </c>
      <c r="B122" t="s">
        <v>1374</v>
      </c>
      <c r="C122" t="s">
        <v>5262</v>
      </c>
      <c r="D122" t="s">
        <v>1203</v>
      </c>
      <c r="E122" t="s">
        <v>1204</v>
      </c>
      <c r="F122">
        <v>5746</v>
      </c>
      <c r="G122" t="s">
        <v>1374</v>
      </c>
      <c r="H122" t="s">
        <v>5264</v>
      </c>
      <c r="I122">
        <v>1378</v>
      </c>
      <c r="J122" t="s">
        <v>1374</v>
      </c>
      <c r="K122" t="s">
        <v>5420</v>
      </c>
      <c r="L122" t="s">
        <v>2530</v>
      </c>
    </row>
    <row r="123" spans="1:13" x14ac:dyDescent="0.3">
      <c r="A123">
        <v>478</v>
      </c>
      <c r="B123" t="s">
        <v>1375</v>
      </c>
      <c r="C123" t="s">
        <v>5262</v>
      </c>
      <c r="D123" t="s">
        <v>159</v>
      </c>
      <c r="E123" t="s">
        <v>159</v>
      </c>
      <c r="F123">
        <v>6869</v>
      </c>
      <c r="G123" t="s">
        <v>2054</v>
      </c>
      <c r="H123" t="s">
        <v>1254</v>
      </c>
      <c r="I123">
        <v>20</v>
      </c>
      <c r="J123" t="s">
        <v>4961</v>
      </c>
      <c r="K123" t="s">
        <v>5421</v>
      </c>
      <c r="L123" t="s">
        <v>2530</v>
      </c>
      <c r="M123" t="s">
        <v>2530</v>
      </c>
    </row>
    <row r="124" spans="1:13" x14ac:dyDescent="0.3">
      <c r="A124">
        <v>478</v>
      </c>
      <c r="B124" t="s">
        <v>1375</v>
      </c>
      <c r="C124" t="s">
        <v>5262</v>
      </c>
      <c r="D124" t="s">
        <v>159</v>
      </c>
      <c r="E124" t="s">
        <v>159</v>
      </c>
      <c r="F124">
        <v>6869</v>
      </c>
      <c r="G124" t="s">
        <v>5422</v>
      </c>
      <c r="H124" t="s">
        <v>1254</v>
      </c>
      <c r="I124">
        <v>744</v>
      </c>
      <c r="J124" t="s">
        <v>4961</v>
      </c>
      <c r="K124" t="s">
        <v>5421</v>
      </c>
      <c r="L124" t="s">
        <v>2530</v>
      </c>
      <c r="M124" t="s">
        <v>2530</v>
      </c>
    </row>
    <row r="125" spans="1:13" x14ac:dyDescent="0.3">
      <c r="A125">
        <v>478</v>
      </c>
      <c r="B125" t="s">
        <v>1375</v>
      </c>
      <c r="C125" t="s">
        <v>5262</v>
      </c>
      <c r="D125" t="s">
        <v>159</v>
      </c>
      <c r="E125" t="s">
        <v>159</v>
      </c>
      <c r="F125">
        <v>6869</v>
      </c>
      <c r="G125" t="s">
        <v>4828</v>
      </c>
      <c r="H125" t="s">
        <v>5264</v>
      </c>
      <c r="I125">
        <v>7128</v>
      </c>
      <c r="J125" t="s">
        <v>4961</v>
      </c>
      <c r="K125" t="s">
        <v>5421</v>
      </c>
      <c r="L125" t="s">
        <v>2530</v>
      </c>
      <c r="M125" t="s">
        <v>2530</v>
      </c>
    </row>
    <row r="126" spans="1:13" x14ac:dyDescent="0.3">
      <c r="A126">
        <v>481</v>
      </c>
      <c r="B126" t="s">
        <v>1379</v>
      </c>
      <c r="C126" t="s">
        <v>5262</v>
      </c>
      <c r="D126" t="s">
        <v>159</v>
      </c>
      <c r="E126" t="s">
        <v>159</v>
      </c>
      <c r="F126">
        <v>8903</v>
      </c>
      <c r="G126" t="s">
        <v>5423</v>
      </c>
      <c r="H126" t="s">
        <v>1254</v>
      </c>
      <c r="I126">
        <v>3690</v>
      </c>
      <c r="J126" t="s">
        <v>5423</v>
      </c>
      <c r="K126" t="s">
        <v>5423</v>
      </c>
      <c r="L126" t="s">
        <v>2537</v>
      </c>
      <c r="M126" t="s">
        <v>2530</v>
      </c>
    </row>
    <row r="127" spans="1:13" x14ac:dyDescent="0.3">
      <c r="A127">
        <v>485</v>
      </c>
      <c r="B127" t="s">
        <v>1381</v>
      </c>
      <c r="C127" t="s">
        <v>5262</v>
      </c>
      <c r="D127" t="s">
        <v>1203</v>
      </c>
      <c r="E127" t="s">
        <v>1204</v>
      </c>
      <c r="F127">
        <v>6618</v>
      </c>
      <c r="G127" t="s">
        <v>5424</v>
      </c>
      <c r="H127" t="s">
        <v>5264</v>
      </c>
      <c r="I127">
        <v>1640</v>
      </c>
      <c r="J127" t="s">
        <v>5424</v>
      </c>
      <c r="K127" t="s">
        <v>5425</v>
      </c>
      <c r="L127" t="s">
        <v>2530</v>
      </c>
      <c r="M127" t="s">
        <v>2537</v>
      </c>
    </row>
    <row r="128" spans="1:13" x14ac:dyDescent="0.3">
      <c r="A128">
        <v>495</v>
      </c>
      <c r="B128" t="s">
        <v>1382</v>
      </c>
      <c r="C128" t="s">
        <v>5262</v>
      </c>
      <c r="D128" t="s">
        <v>159</v>
      </c>
      <c r="E128" t="s">
        <v>159</v>
      </c>
      <c r="F128">
        <v>5743</v>
      </c>
      <c r="G128" t="s">
        <v>4321</v>
      </c>
      <c r="H128" t="s">
        <v>5264</v>
      </c>
      <c r="I128">
        <v>66</v>
      </c>
      <c r="J128" t="s">
        <v>4321</v>
      </c>
      <c r="K128" t="s">
        <v>4321</v>
      </c>
      <c r="L128" t="s">
        <v>2537</v>
      </c>
      <c r="M128" t="s">
        <v>2537</v>
      </c>
    </row>
    <row r="129" spans="1:13" x14ac:dyDescent="0.3">
      <c r="A129">
        <v>1050</v>
      </c>
      <c r="B129" t="s">
        <v>1385</v>
      </c>
      <c r="C129" t="s">
        <v>5262</v>
      </c>
      <c r="D129" t="s">
        <v>159</v>
      </c>
      <c r="E129" t="s">
        <v>159</v>
      </c>
      <c r="F129">
        <v>5766</v>
      </c>
      <c r="G129" t="s">
        <v>4325</v>
      </c>
      <c r="H129" t="s">
        <v>5264</v>
      </c>
      <c r="I129">
        <v>1826</v>
      </c>
      <c r="J129" t="s">
        <v>4325</v>
      </c>
      <c r="K129" t="s">
        <v>4325</v>
      </c>
      <c r="L129" t="s">
        <v>2530</v>
      </c>
      <c r="M129" t="s">
        <v>2537</v>
      </c>
    </row>
    <row r="130" spans="1:13" x14ac:dyDescent="0.3">
      <c r="A130">
        <v>522</v>
      </c>
      <c r="B130" t="s">
        <v>1387</v>
      </c>
      <c r="C130" t="s">
        <v>5262</v>
      </c>
      <c r="D130" t="s">
        <v>1203</v>
      </c>
      <c r="E130" t="s">
        <v>1204</v>
      </c>
      <c r="F130">
        <v>7829</v>
      </c>
      <c r="G130" t="s">
        <v>5426</v>
      </c>
      <c r="H130" t="s">
        <v>5264</v>
      </c>
      <c r="I130">
        <v>1666.40610255</v>
      </c>
      <c r="J130" t="s">
        <v>5426</v>
      </c>
      <c r="K130" t="s">
        <v>4883</v>
      </c>
      <c r="L130" t="s">
        <v>2530</v>
      </c>
    </row>
    <row r="131" spans="1:13" x14ac:dyDescent="0.3">
      <c r="A131">
        <v>522</v>
      </c>
      <c r="B131" t="s">
        <v>1387</v>
      </c>
      <c r="C131" t="s">
        <v>5262</v>
      </c>
      <c r="D131" t="s">
        <v>1203</v>
      </c>
      <c r="E131" t="s">
        <v>1204</v>
      </c>
      <c r="F131">
        <v>7829</v>
      </c>
      <c r="G131" t="s">
        <v>5426</v>
      </c>
      <c r="H131" t="s">
        <v>1254</v>
      </c>
      <c r="I131">
        <v>1021.9396540499999</v>
      </c>
      <c r="J131" t="s">
        <v>2174</v>
      </c>
      <c r="K131" t="s">
        <v>5427</v>
      </c>
      <c r="L131" t="s">
        <v>2537</v>
      </c>
    </row>
    <row r="132" spans="1:13" x14ac:dyDescent="0.3">
      <c r="A132">
        <v>522</v>
      </c>
      <c r="B132" t="s">
        <v>1387</v>
      </c>
      <c r="C132" t="s">
        <v>5262</v>
      </c>
      <c r="D132" t="s">
        <v>1203</v>
      </c>
      <c r="E132" t="s">
        <v>1204</v>
      </c>
      <c r="F132">
        <v>7829</v>
      </c>
      <c r="G132" t="s">
        <v>5426</v>
      </c>
      <c r="H132" t="s">
        <v>5264</v>
      </c>
      <c r="I132">
        <v>1025.0085419</v>
      </c>
      <c r="J132" t="s">
        <v>5428</v>
      </c>
      <c r="K132" t="s">
        <v>4952</v>
      </c>
      <c r="L132" t="s">
        <v>2537</v>
      </c>
    </row>
    <row r="133" spans="1:13" x14ac:dyDescent="0.3">
      <c r="A133">
        <v>524</v>
      </c>
      <c r="B133" t="s">
        <v>1388</v>
      </c>
      <c r="C133" t="s">
        <v>5262</v>
      </c>
      <c r="D133" t="s">
        <v>1203</v>
      </c>
      <c r="E133" t="s">
        <v>1204</v>
      </c>
      <c r="F133">
        <v>5553</v>
      </c>
      <c r="G133" t="s">
        <v>5314</v>
      </c>
      <c r="H133" t="s">
        <v>1254</v>
      </c>
      <c r="I133">
        <v>3370</v>
      </c>
      <c r="J133" t="s">
        <v>5314</v>
      </c>
      <c r="K133" t="s">
        <v>5429</v>
      </c>
      <c r="L133" t="s">
        <v>2537</v>
      </c>
      <c r="M133" t="s">
        <v>2537</v>
      </c>
    </row>
    <row r="134" spans="1:13" x14ac:dyDescent="0.3">
      <c r="A134">
        <v>545</v>
      </c>
      <c r="B134" t="s">
        <v>1390</v>
      </c>
      <c r="C134" t="s">
        <v>5262</v>
      </c>
      <c r="D134" t="s">
        <v>159</v>
      </c>
      <c r="E134" t="s">
        <v>159</v>
      </c>
      <c r="F134">
        <v>5532</v>
      </c>
      <c r="G134" t="s">
        <v>5430</v>
      </c>
      <c r="H134" t="s">
        <v>1254</v>
      </c>
      <c r="I134">
        <v>0</v>
      </c>
      <c r="J134" t="s">
        <v>2169</v>
      </c>
      <c r="K134" t="s">
        <v>4330</v>
      </c>
      <c r="L134" t="s">
        <v>2530</v>
      </c>
      <c r="M134" t="s">
        <v>2537</v>
      </c>
    </row>
    <row r="135" spans="1:13" x14ac:dyDescent="0.3">
      <c r="A135">
        <v>545</v>
      </c>
      <c r="B135" t="s">
        <v>1390</v>
      </c>
      <c r="C135" t="s">
        <v>5262</v>
      </c>
      <c r="D135" t="s">
        <v>159</v>
      </c>
      <c r="E135" t="s">
        <v>159</v>
      </c>
      <c r="F135">
        <v>5532</v>
      </c>
      <c r="G135" t="s">
        <v>5430</v>
      </c>
      <c r="H135" t="s">
        <v>1254</v>
      </c>
      <c r="I135">
        <v>2600</v>
      </c>
      <c r="J135" t="s">
        <v>2169</v>
      </c>
      <c r="K135" t="s">
        <v>4332</v>
      </c>
      <c r="L135" t="s">
        <v>2530</v>
      </c>
      <c r="M135" t="s">
        <v>2537</v>
      </c>
    </row>
    <row r="136" spans="1:13" x14ac:dyDescent="0.3">
      <c r="A136">
        <v>545</v>
      </c>
      <c r="B136" t="s">
        <v>1390</v>
      </c>
      <c r="C136" t="s">
        <v>5262</v>
      </c>
      <c r="D136" t="s">
        <v>159</v>
      </c>
      <c r="E136" t="s">
        <v>159</v>
      </c>
      <c r="F136">
        <v>5532</v>
      </c>
      <c r="G136" t="s">
        <v>5430</v>
      </c>
      <c r="H136" t="s">
        <v>1254</v>
      </c>
      <c r="I136">
        <v>2400</v>
      </c>
      <c r="J136" t="s">
        <v>2169</v>
      </c>
      <c r="K136" t="s">
        <v>4333</v>
      </c>
      <c r="L136" t="s">
        <v>2530</v>
      </c>
      <c r="M136" t="s">
        <v>2537</v>
      </c>
    </row>
    <row r="137" spans="1:13" x14ac:dyDescent="0.3">
      <c r="A137">
        <v>547</v>
      </c>
      <c r="B137" t="s">
        <v>1391</v>
      </c>
      <c r="C137" t="s">
        <v>5262</v>
      </c>
      <c r="D137" t="s">
        <v>159</v>
      </c>
      <c r="E137" t="s">
        <v>159</v>
      </c>
      <c r="F137">
        <v>8028</v>
      </c>
      <c r="G137" t="s">
        <v>5431</v>
      </c>
      <c r="H137" t="s">
        <v>1254</v>
      </c>
      <c r="I137">
        <v>6838</v>
      </c>
      <c r="J137" t="s">
        <v>2169</v>
      </c>
      <c r="K137" t="s">
        <v>5432</v>
      </c>
      <c r="L137" t="s">
        <v>2537</v>
      </c>
      <c r="M137" t="s">
        <v>2537</v>
      </c>
    </row>
    <row r="138" spans="1:13" x14ac:dyDescent="0.3">
      <c r="A138">
        <v>2979</v>
      </c>
      <c r="B138" t="s">
        <v>1396</v>
      </c>
      <c r="C138" t="s">
        <v>5262</v>
      </c>
      <c r="D138" t="s">
        <v>1203</v>
      </c>
      <c r="E138" t="s">
        <v>1204</v>
      </c>
      <c r="F138">
        <v>6904</v>
      </c>
      <c r="G138" t="s">
        <v>4334</v>
      </c>
      <c r="H138" t="s">
        <v>5264</v>
      </c>
      <c r="I138">
        <v>917.59746715000006</v>
      </c>
      <c r="J138" t="s">
        <v>4334</v>
      </c>
      <c r="K138" t="s">
        <v>4334</v>
      </c>
      <c r="L138" t="s">
        <v>2530</v>
      </c>
      <c r="M138" t="s">
        <v>2537</v>
      </c>
    </row>
    <row r="139" spans="1:13" x14ac:dyDescent="0.3">
      <c r="A139">
        <v>561</v>
      </c>
      <c r="B139" t="s">
        <v>1397</v>
      </c>
      <c r="C139" t="s">
        <v>5262</v>
      </c>
      <c r="D139" t="s">
        <v>159</v>
      </c>
      <c r="E139" t="s">
        <v>159</v>
      </c>
      <c r="F139">
        <v>7857</v>
      </c>
      <c r="G139" t="s">
        <v>5433</v>
      </c>
      <c r="H139" t="s">
        <v>1254</v>
      </c>
      <c r="I139">
        <v>6942</v>
      </c>
      <c r="J139" t="s">
        <v>5351</v>
      </c>
      <c r="K139" t="s">
        <v>4811</v>
      </c>
      <c r="L139" t="s">
        <v>2537</v>
      </c>
    </row>
    <row r="140" spans="1:13" x14ac:dyDescent="0.3">
      <c r="A140">
        <v>572</v>
      </c>
      <c r="B140" t="s">
        <v>1399</v>
      </c>
      <c r="C140" t="s">
        <v>5262</v>
      </c>
      <c r="D140" t="s">
        <v>159</v>
      </c>
      <c r="E140" t="s">
        <v>159</v>
      </c>
      <c r="F140">
        <v>7827</v>
      </c>
      <c r="G140" t="s">
        <v>4338</v>
      </c>
      <c r="H140" t="s">
        <v>5264</v>
      </c>
      <c r="I140">
        <v>583.08869149999998</v>
      </c>
      <c r="J140" t="s">
        <v>5434</v>
      </c>
      <c r="K140" t="s">
        <v>4338</v>
      </c>
      <c r="L140" t="s">
        <v>2530</v>
      </c>
      <c r="M140" t="s">
        <v>2537</v>
      </c>
    </row>
    <row r="141" spans="1:13" x14ac:dyDescent="0.3">
      <c r="A141">
        <v>574</v>
      </c>
      <c r="B141" t="s">
        <v>1401</v>
      </c>
      <c r="C141" t="s">
        <v>5262</v>
      </c>
      <c r="D141" t="s">
        <v>159</v>
      </c>
      <c r="E141" t="s">
        <v>159</v>
      </c>
      <c r="F141">
        <v>8883</v>
      </c>
      <c r="G141" t="s">
        <v>5435</v>
      </c>
      <c r="H141" t="s">
        <v>5264</v>
      </c>
      <c r="I141">
        <v>2496</v>
      </c>
      <c r="J141" t="s">
        <v>5435</v>
      </c>
      <c r="K141" t="s">
        <v>3146</v>
      </c>
      <c r="L141" t="s">
        <v>2530</v>
      </c>
      <c r="M141" t="s">
        <v>2537</v>
      </c>
    </row>
    <row r="142" spans="1:13" x14ac:dyDescent="0.3">
      <c r="A142">
        <v>574</v>
      </c>
      <c r="B142" t="s">
        <v>1401</v>
      </c>
      <c r="C142" t="s">
        <v>5262</v>
      </c>
      <c r="D142" t="s">
        <v>159</v>
      </c>
      <c r="E142" t="s">
        <v>159</v>
      </c>
      <c r="F142">
        <v>8883</v>
      </c>
      <c r="G142" t="s">
        <v>5435</v>
      </c>
      <c r="H142" t="s">
        <v>5264</v>
      </c>
      <c r="I142">
        <v>6213</v>
      </c>
      <c r="J142" t="s">
        <v>785</v>
      </c>
      <c r="K142" t="s">
        <v>5307</v>
      </c>
      <c r="L142" t="s">
        <v>2537</v>
      </c>
      <c r="M142" t="s">
        <v>2537</v>
      </c>
    </row>
    <row r="143" spans="1:13" x14ac:dyDescent="0.3">
      <c r="A143">
        <v>575</v>
      </c>
      <c r="B143" t="s">
        <v>1403</v>
      </c>
      <c r="C143" t="s">
        <v>5262</v>
      </c>
      <c r="D143" t="s">
        <v>159</v>
      </c>
      <c r="E143" t="s">
        <v>159</v>
      </c>
      <c r="F143">
        <v>8365</v>
      </c>
      <c r="G143" t="s">
        <v>5436</v>
      </c>
      <c r="H143" t="s">
        <v>5264</v>
      </c>
      <c r="I143">
        <v>3105</v>
      </c>
      <c r="J143" t="s">
        <v>5436</v>
      </c>
      <c r="K143" t="s">
        <v>4345</v>
      </c>
      <c r="L143" t="s">
        <v>2530</v>
      </c>
      <c r="M143" t="s">
        <v>2537</v>
      </c>
    </row>
    <row r="144" spans="1:13" x14ac:dyDescent="0.3">
      <c r="A144">
        <v>577</v>
      </c>
      <c r="B144" t="s">
        <v>821</v>
      </c>
      <c r="C144" t="s">
        <v>5262</v>
      </c>
      <c r="D144" t="s">
        <v>159</v>
      </c>
      <c r="E144" t="s">
        <v>159</v>
      </c>
      <c r="F144">
        <v>7785</v>
      </c>
      <c r="G144" t="s">
        <v>5437</v>
      </c>
      <c r="H144" t="s">
        <v>5264</v>
      </c>
      <c r="I144">
        <v>18</v>
      </c>
      <c r="J144" t="s">
        <v>5437</v>
      </c>
      <c r="K144" t="s">
        <v>4365</v>
      </c>
      <c r="L144" t="s">
        <v>2530</v>
      </c>
      <c r="M144" t="s">
        <v>2537</v>
      </c>
    </row>
    <row r="145" spans="1:13" x14ac:dyDescent="0.3">
      <c r="A145">
        <v>577</v>
      </c>
      <c r="B145" t="s">
        <v>821</v>
      </c>
      <c r="C145" t="s">
        <v>5262</v>
      </c>
      <c r="D145" t="s">
        <v>159</v>
      </c>
      <c r="E145" t="s">
        <v>159</v>
      </c>
      <c r="F145">
        <v>7785</v>
      </c>
      <c r="G145" t="s">
        <v>5437</v>
      </c>
      <c r="H145" t="s">
        <v>5264</v>
      </c>
      <c r="I145">
        <v>13</v>
      </c>
      <c r="J145" t="s">
        <v>5437</v>
      </c>
      <c r="K145" t="s">
        <v>4361</v>
      </c>
      <c r="L145" t="s">
        <v>2530</v>
      </c>
      <c r="M145" t="s">
        <v>2537</v>
      </c>
    </row>
    <row r="146" spans="1:13" x14ac:dyDescent="0.3">
      <c r="A146">
        <v>577</v>
      </c>
      <c r="B146" t="s">
        <v>821</v>
      </c>
      <c r="C146" t="s">
        <v>5262</v>
      </c>
      <c r="D146" t="s">
        <v>159</v>
      </c>
      <c r="E146" t="s">
        <v>159</v>
      </c>
      <c r="F146">
        <v>7785</v>
      </c>
      <c r="G146" t="s">
        <v>5437</v>
      </c>
      <c r="H146" t="s">
        <v>5264</v>
      </c>
      <c r="I146">
        <v>6353</v>
      </c>
      <c r="J146" t="s">
        <v>5437</v>
      </c>
      <c r="K146" t="s">
        <v>4356</v>
      </c>
      <c r="L146" t="s">
        <v>2530</v>
      </c>
      <c r="M146" t="s">
        <v>2537</v>
      </c>
    </row>
    <row r="147" spans="1:13" x14ac:dyDescent="0.3">
      <c r="A147">
        <v>577</v>
      </c>
      <c r="B147" t="s">
        <v>821</v>
      </c>
      <c r="C147" t="s">
        <v>5262</v>
      </c>
      <c r="D147" t="s">
        <v>159</v>
      </c>
      <c r="E147" t="s">
        <v>159</v>
      </c>
      <c r="F147">
        <v>7785</v>
      </c>
      <c r="G147" t="s">
        <v>5437</v>
      </c>
      <c r="H147" t="s">
        <v>5264</v>
      </c>
      <c r="I147">
        <v>3236</v>
      </c>
      <c r="J147" t="s">
        <v>5437</v>
      </c>
      <c r="K147" t="s">
        <v>4353</v>
      </c>
      <c r="L147" t="s">
        <v>2530</v>
      </c>
      <c r="M147" t="s">
        <v>2537</v>
      </c>
    </row>
    <row r="148" spans="1:13" x14ac:dyDescent="0.3">
      <c r="A148">
        <v>577</v>
      </c>
      <c r="B148" t="s">
        <v>821</v>
      </c>
      <c r="C148" t="s">
        <v>5262</v>
      </c>
      <c r="D148" t="s">
        <v>159</v>
      </c>
      <c r="E148" t="s">
        <v>159</v>
      </c>
      <c r="F148">
        <v>7785</v>
      </c>
      <c r="G148" t="s">
        <v>5437</v>
      </c>
      <c r="H148" t="s">
        <v>5264</v>
      </c>
      <c r="I148">
        <v>9238</v>
      </c>
      <c r="J148" t="s">
        <v>5437</v>
      </c>
      <c r="K148" t="s">
        <v>4349</v>
      </c>
      <c r="L148" t="s">
        <v>2530</v>
      </c>
      <c r="M148" t="s">
        <v>2537</v>
      </c>
    </row>
    <row r="149" spans="1:13" x14ac:dyDescent="0.3">
      <c r="A149">
        <v>578</v>
      </c>
      <c r="B149" t="s">
        <v>896</v>
      </c>
      <c r="C149" t="s">
        <v>5262</v>
      </c>
      <c r="D149" t="s">
        <v>1203</v>
      </c>
      <c r="E149" t="s">
        <v>1204</v>
      </c>
      <c r="F149">
        <v>7652</v>
      </c>
      <c r="G149" t="s">
        <v>783</v>
      </c>
      <c r="H149" t="s">
        <v>5264</v>
      </c>
      <c r="I149">
        <v>966.69967274999999</v>
      </c>
      <c r="J149" t="s">
        <v>783</v>
      </c>
      <c r="K149" t="s">
        <v>783</v>
      </c>
      <c r="L149" t="s">
        <v>2530</v>
      </c>
      <c r="M149" t="s">
        <v>2537</v>
      </c>
    </row>
    <row r="150" spans="1:13" x14ac:dyDescent="0.3">
      <c r="A150">
        <v>583</v>
      </c>
      <c r="B150" t="s">
        <v>1406</v>
      </c>
      <c r="C150" t="s">
        <v>5262</v>
      </c>
      <c r="D150" t="s">
        <v>159</v>
      </c>
      <c r="E150" t="s">
        <v>159</v>
      </c>
      <c r="F150">
        <v>7159</v>
      </c>
      <c r="G150" t="s">
        <v>5438</v>
      </c>
      <c r="H150" t="s">
        <v>5264</v>
      </c>
      <c r="I150">
        <v>303.81989714999997</v>
      </c>
      <c r="J150" t="s">
        <v>4370</v>
      </c>
      <c r="K150" t="s">
        <v>4370</v>
      </c>
      <c r="L150" t="s">
        <v>2530</v>
      </c>
      <c r="M150" t="s">
        <v>2537</v>
      </c>
    </row>
    <row r="151" spans="1:13" x14ac:dyDescent="0.3">
      <c r="A151">
        <v>583</v>
      </c>
      <c r="B151" t="s">
        <v>1406</v>
      </c>
      <c r="C151" t="s">
        <v>5262</v>
      </c>
      <c r="D151" t="s">
        <v>159</v>
      </c>
      <c r="E151" t="s">
        <v>159</v>
      </c>
      <c r="F151">
        <v>7159</v>
      </c>
      <c r="G151" t="s">
        <v>5439</v>
      </c>
      <c r="H151" t="s">
        <v>5264</v>
      </c>
      <c r="I151">
        <v>905.32191575000002</v>
      </c>
      <c r="J151" t="s">
        <v>4370</v>
      </c>
      <c r="K151" t="s">
        <v>4370</v>
      </c>
      <c r="L151" t="s">
        <v>2530</v>
      </c>
      <c r="M151" t="s">
        <v>2537</v>
      </c>
    </row>
    <row r="152" spans="1:13" x14ac:dyDescent="0.3">
      <c r="A152">
        <v>596</v>
      </c>
      <c r="B152" t="s">
        <v>1413</v>
      </c>
      <c r="C152" t="s">
        <v>5262</v>
      </c>
      <c r="D152" t="s">
        <v>159</v>
      </c>
      <c r="E152" t="s">
        <v>159</v>
      </c>
      <c r="F152">
        <v>5734</v>
      </c>
      <c r="G152" t="s">
        <v>5440</v>
      </c>
      <c r="H152" t="s">
        <v>5264</v>
      </c>
      <c r="I152">
        <v>4092</v>
      </c>
      <c r="J152" t="s">
        <v>5440</v>
      </c>
      <c r="K152" t="s">
        <v>4372</v>
      </c>
      <c r="L152" t="s">
        <v>2530</v>
      </c>
      <c r="M152" t="s">
        <v>2537</v>
      </c>
    </row>
    <row r="153" spans="1:13" x14ac:dyDescent="0.3">
      <c r="A153">
        <v>613</v>
      </c>
      <c r="B153" t="s">
        <v>804</v>
      </c>
      <c r="C153" t="s">
        <v>5262</v>
      </c>
      <c r="D153" t="s">
        <v>1203</v>
      </c>
      <c r="E153" t="s">
        <v>1204</v>
      </c>
      <c r="F153">
        <v>5673</v>
      </c>
      <c r="G153" t="s">
        <v>5441</v>
      </c>
      <c r="H153" t="s">
        <v>5264</v>
      </c>
      <c r="I153">
        <v>39703</v>
      </c>
      <c r="J153" t="s">
        <v>5441</v>
      </c>
      <c r="K153" t="s">
        <v>5442</v>
      </c>
      <c r="L153" t="s">
        <v>2530</v>
      </c>
      <c r="M153" t="s">
        <v>2537</v>
      </c>
    </row>
    <row r="154" spans="1:13" x14ac:dyDescent="0.3">
      <c r="A154">
        <v>613</v>
      </c>
      <c r="B154" t="s">
        <v>804</v>
      </c>
      <c r="C154" t="s">
        <v>5262</v>
      </c>
      <c r="D154" t="s">
        <v>1203</v>
      </c>
      <c r="E154" t="s">
        <v>1204</v>
      </c>
      <c r="F154">
        <v>5673</v>
      </c>
      <c r="G154" t="s">
        <v>5443</v>
      </c>
      <c r="H154" t="s">
        <v>5264</v>
      </c>
      <c r="I154">
        <v>927</v>
      </c>
      <c r="J154" t="s">
        <v>5443</v>
      </c>
      <c r="K154" t="s">
        <v>5444</v>
      </c>
      <c r="L154" t="s">
        <v>2530</v>
      </c>
      <c r="M154" t="s">
        <v>2537</v>
      </c>
    </row>
    <row r="155" spans="1:13" x14ac:dyDescent="0.3">
      <c r="A155">
        <v>613</v>
      </c>
      <c r="B155" t="s">
        <v>804</v>
      </c>
      <c r="C155" t="s">
        <v>5262</v>
      </c>
      <c r="D155" t="s">
        <v>1203</v>
      </c>
      <c r="E155" t="s">
        <v>1204</v>
      </c>
      <c r="F155">
        <v>5673</v>
      </c>
      <c r="G155" t="s">
        <v>5445</v>
      </c>
      <c r="H155" t="s">
        <v>5264</v>
      </c>
      <c r="I155">
        <v>1276</v>
      </c>
      <c r="J155" t="s">
        <v>5445</v>
      </c>
      <c r="K155" t="s">
        <v>5446</v>
      </c>
      <c r="L155" t="s">
        <v>2530</v>
      </c>
      <c r="M155" t="s">
        <v>2537</v>
      </c>
    </row>
    <row r="156" spans="1:13" x14ac:dyDescent="0.3">
      <c r="A156">
        <v>613</v>
      </c>
      <c r="B156" t="s">
        <v>804</v>
      </c>
      <c r="C156" t="s">
        <v>5262</v>
      </c>
      <c r="D156" t="s">
        <v>1203</v>
      </c>
      <c r="E156" t="s">
        <v>1204</v>
      </c>
      <c r="F156">
        <v>5673</v>
      </c>
      <c r="G156" t="s">
        <v>2896</v>
      </c>
      <c r="H156" t="s">
        <v>5264</v>
      </c>
      <c r="I156">
        <v>14528</v>
      </c>
      <c r="J156" t="s">
        <v>2896</v>
      </c>
      <c r="K156" t="s">
        <v>5292</v>
      </c>
      <c r="L156" t="s">
        <v>2530</v>
      </c>
      <c r="M156" t="s">
        <v>2537</v>
      </c>
    </row>
    <row r="157" spans="1:13" x14ac:dyDescent="0.3">
      <c r="A157">
        <v>618</v>
      </c>
      <c r="B157" t="s">
        <v>4384</v>
      </c>
      <c r="C157" t="s">
        <v>5262</v>
      </c>
      <c r="D157" t="s">
        <v>1203</v>
      </c>
      <c r="E157" t="s">
        <v>1204</v>
      </c>
      <c r="F157">
        <v>7919</v>
      </c>
      <c r="G157" t="s">
        <v>4386</v>
      </c>
      <c r="H157" t="s">
        <v>5264</v>
      </c>
      <c r="I157">
        <v>1073</v>
      </c>
      <c r="J157" t="s">
        <v>4386</v>
      </c>
      <c r="K157" t="s">
        <v>5447</v>
      </c>
      <c r="L157" t="s">
        <v>2530</v>
      </c>
      <c r="M157" t="s">
        <v>2537</v>
      </c>
    </row>
    <row r="158" spans="1:13" x14ac:dyDescent="0.3">
      <c r="A158">
        <v>624</v>
      </c>
      <c r="B158" t="s">
        <v>1425</v>
      </c>
      <c r="C158" t="s">
        <v>5262</v>
      </c>
      <c r="D158" t="s">
        <v>159</v>
      </c>
      <c r="E158" t="s">
        <v>159</v>
      </c>
      <c r="F158">
        <v>5690</v>
      </c>
      <c r="G158" t="s">
        <v>2245</v>
      </c>
      <c r="H158" t="s">
        <v>5264</v>
      </c>
      <c r="I158">
        <v>12336</v>
      </c>
      <c r="J158" t="s">
        <v>2245</v>
      </c>
      <c r="K158" t="s">
        <v>4389</v>
      </c>
      <c r="L158" t="s">
        <v>2530</v>
      </c>
      <c r="M158" t="s">
        <v>2537</v>
      </c>
    </row>
    <row r="159" spans="1:13" x14ac:dyDescent="0.3">
      <c r="A159">
        <v>624</v>
      </c>
      <c r="B159" t="s">
        <v>1425</v>
      </c>
      <c r="C159" t="s">
        <v>5262</v>
      </c>
      <c r="D159" t="s">
        <v>159</v>
      </c>
      <c r="E159" t="s">
        <v>159</v>
      </c>
      <c r="F159">
        <v>5690</v>
      </c>
      <c r="G159" t="s">
        <v>2245</v>
      </c>
      <c r="H159" t="s">
        <v>5264</v>
      </c>
      <c r="I159">
        <v>954</v>
      </c>
      <c r="J159" t="s">
        <v>2245</v>
      </c>
      <c r="K159" t="s">
        <v>4393</v>
      </c>
      <c r="L159" t="s">
        <v>2530</v>
      </c>
      <c r="M159" t="s">
        <v>2537</v>
      </c>
    </row>
    <row r="160" spans="1:13" x14ac:dyDescent="0.3">
      <c r="A160">
        <v>624</v>
      </c>
      <c r="B160" t="s">
        <v>1425</v>
      </c>
      <c r="C160" t="s">
        <v>5262</v>
      </c>
      <c r="D160" t="s">
        <v>159</v>
      </c>
      <c r="E160" t="s">
        <v>159</v>
      </c>
      <c r="F160">
        <v>5690</v>
      </c>
      <c r="G160" t="s">
        <v>2245</v>
      </c>
      <c r="H160" t="s">
        <v>5264</v>
      </c>
      <c r="I160">
        <v>2144</v>
      </c>
      <c r="J160" t="s">
        <v>2245</v>
      </c>
      <c r="K160" t="s">
        <v>4388</v>
      </c>
      <c r="L160" t="s">
        <v>2530</v>
      </c>
      <c r="M160" t="s">
        <v>2537</v>
      </c>
    </row>
    <row r="161" spans="1:13" x14ac:dyDescent="0.3">
      <c r="A161">
        <v>644</v>
      </c>
      <c r="B161" t="s">
        <v>1434</v>
      </c>
      <c r="C161" t="s">
        <v>5262</v>
      </c>
      <c r="D161" t="s">
        <v>159</v>
      </c>
      <c r="E161" t="s">
        <v>159</v>
      </c>
      <c r="F161">
        <v>5450</v>
      </c>
      <c r="G161" t="s">
        <v>3469</v>
      </c>
      <c r="H161" t="s">
        <v>1254</v>
      </c>
      <c r="I161">
        <v>2260</v>
      </c>
      <c r="J161" t="s">
        <v>3469</v>
      </c>
      <c r="K161" t="s">
        <v>5448</v>
      </c>
      <c r="L161" t="s">
        <v>2537</v>
      </c>
      <c r="M161" t="s">
        <v>2537</v>
      </c>
    </row>
    <row r="162" spans="1:13" x14ac:dyDescent="0.3">
      <c r="A162">
        <v>649</v>
      </c>
      <c r="B162" t="s">
        <v>1436</v>
      </c>
      <c r="C162" t="s">
        <v>5262</v>
      </c>
      <c r="D162" t="s">
        <v>159</v>
      </c>
      <c r="E162" t="s">
        <v>159</v>
      </c>
      <c r="F162">
        <v>5683</v>
      </c>
      <c r="G162" t="s">
        <v>5449</v>
      </c>
      <c r="H162" t="s">
        <v>5264</v>
      </c>
      <c r="I162">
        <v>1448.5150652</v>
      </c>
      <c r="J162" t="s">
        <v>5449</v>
      </c>
      <c r="K162" t="s">
        <v>4335</v>
      </c>
      <c r="L162" t="s">
        <v>2530</v>
      </c>
      <c r="M162" t="s">
        <v>2530</v>
      </c>
    </row>
    <row r="163" spans="1:13" x14ac:dyDescent="0.3">
      <c r="A163">
        <v>651</v>
      </c>
      <c r="B163" t="s">
        <v>1437</v>
      </c>
      <c r="C163" t="s">
        <v>5262</v>
      </c>
      <c r="D163" t="s">
        <v>159</v>
      </c>
      <c r="E163" t="s">
        <v>159</v>
      </c>
      <c r="F163">
        <v>8549</v>
      </c>
      <c r="G163" t="s">
        <v>5437</v>
      </c>
      <c r="H163" t="s">
        <v>1254</v>
      </c>
      <c r="I163">
        <v>3373</v>
      </c>
      <c r="J163" t="s">
        <v>3135</v>
      </c>
      <c r="K163" t="s">
        <v>5450</v>
      </c>
      <c r="L163" t="s">
        <v>2537</v>
      </c>
      <c r="M163" t="s">
        <v>2537</v>
      </c>
    </row>
    <row r="164" spans="1:13" x14ac:dyDescent="0.3">
      <c r="A164">
        <v>654</v>
      </c>
      <c r="B164" t="s">
        <v>1439</v>
      </c>
      <c r="C164" t="s">
        <v>5262</v>
      </c>
      <c r="D164" t="s">
        <v>159</v>
      </c>
      <c r="E164" t="s">
        <v>159</v>
      </c>
      <c r="F164">
        <v>7861</v>
      </c>
      <c r="G164" t="s">
        <v>5451</v>
      </c>
      <c r="H164" t="s">
        <v>5264</v>
      </c>
      <c r="I164">
        <v>484.210279734332</v>
      </c>
      <c r="J164" t="s">
        <v>5451</v>
      </c>
      <c r="K164" t="s">
        <v>4395</v>
      </c>
      <c r="L164" t="s">
        <v>2530</v>
      </c>
      <c r="M164" t="s">
        <v>2537</v>
      </c>
    </row>
    <row r="165" spans="1:13" x14ac:dyDescent="0.3">
      <c r="A165">
        <v>654</v>
      </c>
      <c r="B165" t="s">
        <v>1439</v>
      </c>
      <c r="C165" t="s">
        <v>5262</v>
      </c>
      <c r="D165" t="s">
        <v>159</v>
      </c>
      <c r="E165" t="s">
        <v>159</v>
      </c>
      <c r="F165">
        <v>7861</v>
      </c>
      <c r="G165" t="s">
        <v>5451</v>
      </c>
      <c r="H165" t="s">
        <v>5264</v>
      </c>
      <c r="I165">
        <v>223.13819791153799</v>
      </c>
      <c r="J165" t="s">
        <v>5451</v>
      </c>
      <c r="K165" t="s">
        <v>5452</v>
      </c>
      <c r="L165" t="s">
        <v>2537</v>
      </c>
      <c r="M165" t="s">
        <v>2537</v>
      </c>
    </row>
    <row r="166" spans="1:13" x14ac:dyDescent="0.3">
      <c r="A166">
        <v>664</v>
      </c>
      <c r="B166" t="s">
        <v>1441</v>
      </c>
      <c r="C166" t="s">
        <v>5262</v>
      </c>
      <c r="D166" t="s">
        <v>159</v>
      </c>
      <c r="E166" t="s">
        <v>159</v>
      </c>
      <c r="F166">
        <v>8035</v>
      </c>
      <c r="G166" t="s">
        <v>5437</v>
      </c>
      <c r="H166" t="s">
        <v>1254</v>
      </c>
      <c r="I166">
        <v>8800</v>
      </c>
      <c r="J166" t="s">
        <v>3649</v>
      </c>
      <c r="K166" t="s">
        <v>4398</v>
      </c>
      <c r="L166" t="s">
        <v>2530</v>
      </c>
      <c r="M166" t="s">
        <v>2537</v>
      </c>
    </row>
    <row r="167" spans="1:13" x14ac:dyDescent="0.3">
      <c r="A167">
        <v>664</v>
      </c>
      <c r="B167" t="s">
        <v>1441</v>
      </c>
      <c r="C167" t="s">
        <v>5262</v>
      </c>
      <c r="D167" t="s">
        <v>159</v>
      </c>
      <c r="E167" t="s">
        <v>159</v>
      </c>
      <c r="F167">
        <v>8035</v>
      </c>
      <c r="G167" t="s">
        <v>5437</v>
      </c>
      <c r="H167" t="s">
        <v>1254</v>
      </c>
      <c r="I167">
        <v>4500</v>
      </c>
      <c r="J167" t="s">
        <v>3649</v>
      </c>
      <c r="K167" t="s">
        <v>4715</v>
      </c>
      <c r="L167" t="s">
        <v>2537</v>
      </c>
      <c r="M167" t="s">
        <v>2537</v>
      </c>
    </row>
    <row r="168" spans="1:13" x14ac:dyDescent="0.3">
      <c r="A168">
        <v>673</v>
      </c>
      <c r="B168" t="s">
        <v>1442</v>
      </c>
      <c r="C168" t="s">
        <v>5262</v>
      </c>
      <c r="D168" t="s">
        <v>159</v>
      </c>
      <c r="E168" t="s">
        <v>159</v>
      </c>
      <c r="F168">
        <v>7793</v>
      </c>
      <c r="G168" t="s">
        <v>5453</v>
      </c>
      <c r="H168" t="s">
        <v>5264</v>
      </c>
      <c r="I168">
        <v>8006.7284006500004</v>
      </c>
      <c r="J168" t="s">
        <v>5453</v>
      </c>
      <c r="K168" t="s">
        <v>5453</v>
      </c>
      <c r="L168" t="s">
        <v>2530</v>
      </c>
      <c r="M168" t="s">
        <v>2530</v>
      </c>
    </row>
    <row r="169" spans="1:13" x14ac:dyDescent="0.3">
      <c r="A169">
        <v>678</v>
      </c>
      <c r="B169" t="s">
        <v>1445</v>
      </c>
      <c r="C169" t="s">
        <v>5262</v>
      </c>
      <c r="D169" t="s">
        <v>159</v>
      </c>
      <c r="E169" t="s">
        <v>159</v>
      </c>
      <c r="F169">
        <v>7334</v>
      </c>
      <c r="G169" t="s">
        <v>5454</v>
      </c>
      <c r="H169" t="s">
        <v>5264</v>
      </c>
      <c r="I169">
        <v>4668</v>
      </c>
      <c r="J169" t="s">
        <v>5454</v>
      </c>
      <c r="K169" t="s">
        <v>5455</v>
      </c>
      <c r="L169" t="s">
        <v>2537</v>
      </c>
      <c r="M169" t="s">
        <v>2537</v>
      </c>
    </row>
    <row r="170" spans="1:13" x14ac:dyDescent="0.3">
      <c r="A170">
        <v>711</v>
      </c>
      <c r="B170" t="s">
        <v>1453</v>
      </c>
      <c r="C170" t="s">
        <v>5262</v>
      </c>
      <c r="D170" t="s">
        <v>159</v>
      </c>
      <c r="E170" t="s">
        <v>159</v>
      </c>
      <c r="F170">
        <v>5970</v>
      </c>
      <c r="G170" t="s">
        <v>3183</v>
      </c>
      <c r="H170" t="s">
        <v>5264</v>
      </c>
      <c r="I170">
        <v>4608</v>
      </c>
      <c r="J170" t="s">
        <v>3183</v>
      </c>
      <c r="K170" t="s">
        <v>3183</v>
      </c>
      <c r="L170" t="s">
        <v>2530</v>
      </c>
      <c r="M170" t="s">
        <v>2537</v>
      </c>
    </row>
    <row r="171" spans="1:13" x14ac:dyDescent="0.3">
      <c r="A171">
        <v>727</v>
      </c>
      <c r="B171" t="s">
        <v>825</v>
      </c>
      <c r="C171" t="s">
        <v>5262</v>
      </c>
      <c r="D171" t="s">
        <v>159</v>
      </c>
      <c r="E171" t="s">
        <v>159</v>
      </c>
      <c r="F171">
        <v>8366</v>
      </c>
      <c r="G171" t="s">
        <v>5456</v>
      </c>
      <c r="H171" t="s">
        <v>5264</v>
      </c>
      <c r="I171">
        <v>5008</v>
      </c>
      <c r="J171" t="s">
        <v>5456</v>
      </c>
      <c r="K171" t="s">
        <v>4409</v>
      </c>
      <c r="L171" t="s">
        <v>2530</v>
      </c>
      <c r="M171" t="s">
        <v>2530</v>
      </c>
    </row>
    <row r="172" spans="1:13" x14ac:dyDescent="0.3">
      <c r="A172">
        <v>727</v>
      </c>
      <c r="B172" t="s">
        <v>825</v>
      </c>
      <c r="C172" t="s">
        <v>5262</v>
      </c>
      <c r="D172" t="s">
        <v>159</v>
      </c>
      <c r="E172" t="s">
        <v>159</v>
      </c>
      <c r="F172">
        <v>8366</v>
      </c>
      <c r="G172" t="s">
        <v>825</v>
      </c>
      <c r="H172" t="s">
        <v>1254</v>
      </c>
      <c r="I172">
        <v>1300</v>
      </c>
      <c r="J172" t="s">
        <v>5437</v>
      </c>
      <c r="K172" t="s">
        <v>4349</v>
      </c>
      <c r="L172" t="s">
        <v>2537</v>
      </c>
      <c r="M172" t="s">
        <v>2537</v>
      </c>
    </row>
    <row r="173" spans="1:13" x14ac:dyDescent="0.3">
      <c r="A173">
        <v>731</v>
      </c>
      <c r="B173" t="s">
        <v>1458</v>
      </c>
      <c r="C173" t="s">
        <v>5262</v>
      </c>
      <c r="D173" t="s">
        <v>159</v>
      </c>
      <c r="E173" t="s">
        <v>159</v>
      </c>
      <c r="F173">
        <v>8642</v>
      </c>
      <c r="G173" t="s">
        <v>5457</v>
      </c>
      <c r="H173" t="s">
        <v>5264</v>
      </c>
      <c r="I173">
        <v>2844.8590369499998</v>
      </c>
      <c r="J173" t="s">
        <v>5457</v>
      </c>
      <c r="K173" t="s">
        <v>5458</v>
      </c>
      <c r="L173" t="s">
        <v>2530</v>
      </c>
      <c r="M173" t="s">
        <v>2537</v>
      </c>
    </row>
    <row r="174" spans="1:13" x14ac:dyDescent="0.3">
      <c r="A174">
        <v>737</v>
      </c>
      <c r="B174" t="s">
        <v>1460</v>
      </c>
      <c r="C174" t="s">
        <v>5262</v>
      </c>
      <c r="D174" t="s">
        <v>1203</v>
      </c>
      <c r="E174" t="s">
        <v>1204</v>
      </c>
      <c r="F174">
        <v>7336</v>
      </c>
      <c r="G174" t="s">
        <v>5459</v>
      </c>
      <c r="H174" t="s">
        <v>5264</v>
      </c>
      <c r="I174">
        <v>2289.3903360999998</v>
      </c>
      <c r="J174" t="s">
        <v>5459</v>
      </c>
      <c r="K174" t="s">
        <v>3843</v>
      </c>
      <c r="L174" t="s">
        <v>2530</v>
      </c>
      <c r="M174" t="s">
        <v>2537</v>
      </c>
    </row>
    <row r="175" spans="1:13" x14ac:dyDescent="0.3">
      <c r="A175">
        <v>739</v>
      </c>
      <c r="B175" t="s">
        <v>1463</v>
      </c>
      <c r="C175" t="s">
        <v>5262</v>
      </c>
      <c r="D175" t="s">
        <v>159</v>
      </c>
      <c r="E175" t="s">
        <v>159</v>
      </c>
      <c r="F175">
        <v>7839</v>
      </c>
      <c r="G175" t="s">
        <v>5460</v>
      </c>
      <c r="H175" t="s">
        <v>1254</v>
      </c>
      <c r="I175">
        <v>1491.4794950999999</v>
      </c>
      <c r="J175" t="s">
        <v>5460</v>
      </c>
      <c r="K175" t="s">
        <v>5461</v>
      </c>
      <c r="L175" t="s">
        <v>2530</v>
      </c>
      <c r="M175" t="s">
        <v>2530</v>
      </c>
    </row>
    <row r="176" spans="1:13" x14ac:dyDescent="0.3">
      <c r="A176">
        <v>2998</v>
      </c>
      <c r="B176" t="s">
        <v>1464</v>
      </c>
      <c r="C176" t="s">
        <v>5262</v>
      </c>
      <c r="D176" t="s">
        <v>1203</v>
      </c>
      <c r="E176" t="s">
        <v>1204</v>
      </c>
      <c r="F176">
        <v>7992</v>
      </c>
      <c r="G176" t="s">
        <v>5376</v>
      </c>
      <c r="H176" t="s">
        <v>1254</v>
      </c>
      <c r="I176">
        <v>414.29985975</v>
      </c>
      <c r="J176" t="s">
        <v>5376</v>
      </c>
      <c r="K176" t="s">
        <v>4335</v>
      </c>
      <c r="L176" t="s">
        <v>2537</v>
      </c>
      <c r="M176" t="s">
        <v>2537</v>
      </c>
    </row>
    <row r="177" spans="1:13" x14ac:dyDescent="0.3">
      <c r="A177">
        <v>759</v>
      </c>
      <c r="B177" t="s">
        <v>1467</v>
      </c>
      <c r="C177" t="s">
        <v>5262</v>
      </c>
      <c r="D177" t="s">
        <v>159</v>
      </c>
      <c r="E177" t="s">
        <v>159</v>
      </c>
      <c r="F177">
        <v>7834</v>
      </c>
      <c r="G177" t="s">
        <v>5462</v>
      </c>
      <c r="H177" t="s">
        <v>5264</v>
      </c>
      <c r="I177">
        <v>9078</v>
      </c>
      <c r="J177" t="s">
        <v>5463</v>
      </c>
      <c r="K177" t="s">
        <v>5464</v>
      </c>
      <c r="L177" t="s">
        <v>2537</v>
      </c>
      <c r="M177" t="s">
        <v>2537</v>
      </c>
    </row>
    <row r="178" spans="1:13" x14ac:dyDescent="0.3">
      <c r="A178">
        <v>759</v>
      </c>
      <c r="B178" t="s">
        <v>1467</v>
      </c>
      <c r="C178" t="s">
        <v>5262</v>
      </c>
      <c r="D178" t="s">
        <v>159</v>
      </c>
      <c r="E178" t="s">
        <v>159</v>
      </c>
      <c r="F178">
        <v>7834</v>
      </c>
      <c r="G178" t="s">
        <v>5465</v>
      </c>
      <c r="H178" t="s">
        <v>1254</v>
      </c>
      <c r="I178">
        <v>1831</v>
      </c>
      <c r="J178" t="s">
        <v>5441</v>
      </c>
      <c r="K178" t="s">
        <v>5442</v>
      </c>
      <c r="L178" t="s">
        <v>2537</v>
      </c>
      <c r="M178" t="s">
        <v>2537</v>
      </c>
    </row>
    <row r="179" spans="1:13" x14ac:dyDescent="0.3">
      <c r="A179">
        <v>775</v>
      </c>
      <c r="B179" t="s">
        <v>924</v>
      </c>
      <c r="C179" t="s">
        <v>5262</v>
      </c>
      <c r="D179" t="s">
        <v>1203</v>
      </c>
      <c r="E179" t="s">
        <v>1204</v>
      </c>
      <c r="F179">
        <v>5478</v>
      </c>
      <c r="G179" t="s">
        <v>5466</v>
      </c>
      <c r="H179" t="s">
        <v>5264</v>
      </c>
      <c r="I179">
        <v>257.78657939999999</v>
      </c>
      <c r="J179" t="s">
        <v>5467</v>
      </c>
      <c r="K179" t="s">
        <v>5468</v>
      </c>
      <c r="L179" t="s">
        <v>2530</v>
      </c>
    </row>
    <row r="180" spans="1:13" x14ac:dyDescent="0.3">
      <c r="A180">
        <v>775</v>
      </c>
      <c r="B180" t="s">
        <v>924</v>
      </c>
      <c r="C180" t="s">
        <v>5262</v>
      </c>
      <c r="D180" t="s">
        <v>1203</v>
      </c>
      <c r="E180" t="s">
        <v>1204</v>
      </c>
      <c r="F180">
        <v>5478</v>
      </c>
      <c r="G180" t="s">
        <v>5469</v>
      </c>
      <c r="H180" t="s">
        <v>5264</v>
      </c>
      <c r="I180">
        <v>13441.728783</v>
      </c>
      <c r="J180" t="s">
        <v>5469</v>
      </c>
      <c r="K180" t="s">
        <v>5470</v>
      </c>
      <c r="L180" t="s">
        <v>2530</v>
      </c>
    </row>
    <row r="181" spans="1:13" x14ac:dyDescent="0.3">
      <c r="A181">
        <v>775</v>
      </c>
      <c r="B181" t="s">
        <v>924</v>
      </c>
      <c r="C181" t="s">
        <v>5262</v>
      </c>
      <c r="D181" t="s">
        <v>1203</v>
      </c>
      <c r="E181" t="s">
        <v>1204</v>
      </c>
      <c r="F181">
        <v>5478</v>
      </c>
      <c r="G181" t="s">
        <v>5471</v>
      </c>
      <c r="H181" t="s">
        <v>5264</v>
      </c>
      <c r="I181">
        <v>58247.491392999997</v>
      </c>
      <c r="J181" t="s">
        <v>5471</v>
      </c>
      <c r="K181" t="s">
        <v>5472</v>
      </c>
      <c r="L181" t="s">
        <v>2530</v>
      </c>
    </row>
    <row r="182" spans="1:13" x14ac:dyDescent="0.3">
      <c r="A182">
        <v>775</v>
      </c>
      <c r="B182" t="s">
        <v>924</v>
      </c>
      <c r="C182" t="s">
        <v>5262</v>
      </c>
      <c r="D182" t="s">
        <v>1203</v>
      </c>
      <c r="E182" t="s">
        <v>1204</v>
      </c>
      <c r="F182">
        <v>5478</v>
      </c>
      <c r="G182" t="s">
        <v>5473</v>
      </c>
      <c r="H182" t="s">
        <v>5264</v>
      </c>
      <c r="I182">
        <v>5490.2403636500003</v>
      </c>
      <c r="J182" t="s">
        <v>5473</v>
      </c>
      <c r="K182" t="s">
        <v>5474</v>
      </c>
      <c r="L182" t="s">
        <v>2530</v>
      </c>
    </row>
    <row r="183" spans="1:13" x14ac:dyDescent="0.3">
      <c r="A183">
        <v>775</v>
      </c>
      <c r="B183" t="s">
        <v>924</v>
      </c>
      <c r="C183" t="s">
        <v>5262</v>
      </c>
      <c r="D183" t="s">
        <v>1203</v>
      </c>
      <c r="E183" t="s">
        <v>1204</v>
      </c>
      <c r="F183">
        <v>5478</v>
      </c>
      <c r="G183" t="s">
        <v>5475</v>
      </c>
      <c r="H183" t="s">
        <v>5264</v>
      </c>
      <c r="I183">
        <v>11539.018316</v>
      </c>
      <c r="J183" t="s">
        <v>5475</v>
      </c>
      <c r="K183" t="s">
        <v>5476</v>
      </c>
      <c r="L183" t="s">
        <v>2530</v>
      </c>
    </row>
    <row r="184" spans="1:13" x14ac:dyDescent="0.3">
      <c r="A184">
        <v>775</v>
      </c>
      <c r="B184" t="s">
        <v>924</v>
      </c>
      <c r="C184" t="s">
        <v>5262</v>
      </c>
      <c r="D184" t="s">
        <v>1203</v>
      </c>
      <c r="E184" t="s">
        <v>1204</v>
      </c>
      <c r="F184">
        <v>5478</v>
      </c>
      <c r="G184" t="s">
        <v>5477</v>
      </c>
      <c r="H184" t="s">
        <v>5264</v>
      </c>
      <c r="I184">
        <v>39205.042283750001</v>
      </c>
      <c r="J184" t="s">
        <v>5477</v>
      </c>
      <c r="K184" t="s">
        <v>4883</v>
      </c>
      <c r="L184" t="s">
        <v>2530</v>
      </c>
    </row>
    <row r="185" spans="1:13" x14ac:dyDescent="0.3">
      <c r="A185">
        <v>775</v>
      </c>
      <c r="B185" t="s">
        <v>924</v>
      </c>
      <c r="C185" t="s">
        <v>5262</v>
      </c>
      <c r="D185" t="s">
        <v>1203</v>
      </c>
      <c r="E185" t="s">
        <v>1204</v>
      </c>
      <c r="F185">
        <v>5478</v>
      </c>
      <c r="G185" t="s">
        <v>5478</v>
      </c>
      <c r="H185" t="s">
        <v>1254</v>
      </c>
      <c r="I185">
        <v>3025.9234200999999</v>
      </c>
      <c r="J185" t="s">
        <v>5479</v>
      </c>
      <c r="K185" t="s">
        <v>5480</v>
      </c>
      <c r="L185" t="s">
        <v>2530</v>
      </c>
    </row>
    <row r="186" spans="1:13" x14ac:dyDescent="0.3">
      <c r="A186">
        <v>775</v>
      </c>
      <c r="B186" t="s">
        <v>924</v>
      </c>
      <c r="C186" t="s">
        <v>5262</v>
      </c>
      <c r="D186" t="s">
        <v>1203</v>
      </c>
      <c r="E186" t="s">
        <v>1204</v>
      </c>
      <c r="F186">
        <v>5478</v>
      </c>
      <c r="G186" t="s">
        <v>5481</v>
      </c>
      <c r="H186" t="s">
        <v>5264</v>
      </c>
      <c r="I186">
        <v>5266.2115506</v>
      </c>
      <c r="J186" t="s">
        <v>5481</v>
      </c>
      <c r="K186" t="s">
        <v>5482</v>
      </c>
      <c r="L186" t="s">
        <v>2530</v>
      </c>
    </row>
    <row r="187" spans="1:13" x14ac:dyDescent="0.3">
      <c r="A187">
        <v>775</v>
      </c>
      <c r="B187" t="s">
        <v>924</v>
      </c>
      <c r="C187" t="s">
        <v>5262</v>
      </c>
      <c r="D187" t="s">
        <v>1203</v>
      </c>
      <c r="E187" t="s">
        <v>1204</v>
      </c>
      <c r="F187">
        <v>5478</v>
      </c>
      <c r="G187" t="s">
        <v>5483</v>
      </c>
      <c r="H187" t="s">
        <v>5264</v>
      </c>
      <c r="I187">
        <v>8402.6149332999994</v>
      </c>
      <c r="J187" t="s">
        <v>5483</v>
      </c>
      <c r="K187" t="s">
        <v>5484</v>
      </c>
      <c r="L187" t="s">
        <v>2530</v>
      </c>
    </row>
    <row r="188" spans="1:13" x14ac:dyDescent="0.3">
      <c r="A188">
        <v>775</v>
      </c>
      <c r="B188" t="s">
        <v>924</v>
      </c>
      <c r="C188" t="s">
        <v>5262</v>
      </c>
      <c r="D188" t="s">
        <v>1203</v>
      </c>
      <c r="E188" t="s">
        <v>1204</v>
      </c>
      <c r="F188">
        <v>5478</v>
      </c>
      <c r="G188" t="s">
        <v>4437</v>
      </c>
      <c r="H188" t="s">
        <v>1254</v>
      </c>
      <c r="I188">
        <v>560.07203262500002</v>
      </c>
      <c r="J188" t="s">
        <v>4437</v>
      </c>
      <c r="K188" t="s">
        <v>5485</v>
      </c>
      <c r="L188" t="s">
        <v>2530</v>
      </c>
    </row>
    <row r="189" spans="1:13" x14ac:dyDescent="0.3">
      <c r="A189">
        <v>784</v>
      </c>
      <c r="B189" t="s">
        <v>1475</v>
      </c>
      <c r="C189" t="s">
        <v>5262</v>
      </c>
      <c r="D189" t="s">
        <v>159</v>
      </c>
      <c r="E189" t="s">
        <v>159</v>
      </c>
      <c r="F189">
        <v>5767</v>
      </c>
      <c r="G189" t="s">
        <v>5486</v>
      </c>
      <c r="H189" t="s">
        <v>1254</v>
      </c>
      <c r="I189">
        <v>3844</v>
      </c>
      <c r="J189" t="s">
        <v>5306</v>
      </c>
      <c r="K189" t="s">
        <v>5487</v>
      </c>
      <c r="L189" t="s">
        <v>2537</v>
      </c>
      <c r="M189" t="s">
        <v>2530</v>
      </c>
    </row>
    <row r="190" spans="1:13" x14ac:dyDescent="0.3">
      <c r="A190">
        <v>785</v>
      </c>
      <c r="B190" t="s">
        <v>1476</v>
      </c>
      <c r="C190" t="s">
        <v>5262</v>
      </c>
      <c r="D190" t="s">
        <v>159</v>
      </c>
      <c r="E190" t="s">
        <v>159</v>
      </c>
      <c r="F190">
        <v>5655</v>
      </c>
      <c r="G190" t="s">
        <v>5488</v>
      </c>
      <c r="H190" t="s">
        <v>1254</v>
      </c>
      <c r="I190">
        <v>360</v>
      </c>
      <c r="J190" t="s">
        <v>5326</v>
      </c>
      <c r="K190" t="s">
        <v>5489</v>
      </c>
      <c r="L190" t="s">
        <v>2537</v>
      </c>
      <c r="M190" t="s">
        <v>2537</v>
      </c>
    </row>
    <row r="191" spans="1:13" x14ac:dyDescent="0.3">
      <c r="A191">
        <v>787</v>
      </c>
      <c r="B191" t="s">
        <v>1478</v>
      </c>
      <c r="C191" t="s">
        <v>5262</v>
      </c>
      <c r="D191" t="s">
        <v>159</v>
      </c>
      <c r="E191" t="s">
        <v>159</v>
      </c>
      <c r="F191">
        <v>8552</v>
      </c>
      <c r="G191" t="s">
        <v>5490</v>
      </c>
      <c r="H191" t="s">
        <v>1254</v>
      </c>
      <c r="I191">
        <v>1344.1728783000001</v>
      </c>
      <c r="J191" t="s">
        <v>5387</v>
      </c>
      <c r="K191" t="s">
        <v>4535</v>
      </c>
      <c r="L191" t="s">
        <v>2537</v>
      </c>
    </row>
    <row r="192" spans="1:13" x14ac:dyDescent="0.3">
      <c r="A192">
        <v>787</v>
      </c>
      <c r="B192" t="s">
        <v>1478</v>
      </c>
      <c r="C192" t="s">
        <v>5262</v>
      </c>
      <c r="D192" t="s">
        <v>159</v>
      </c>
      <c r="E192" t="s">
        <v>159</v>
      </c>
      <c r="F192">
        <v>8552</v>
      </c>
      <c r="G192" t="s">
        <v>5491</v>
      </c>
      <c r="H192" t="s">
        <v>1254</v>
      </c>
      <c r="I192">
        <v>159.58216820000001</v>
      </c>
      <c r="J192" t="s">
        <v>5367</v>
      </c>
      <c r="K192" t="s">
        <v>5367</v>
      </c>
      <c r="L192" t="s">
        <v>2537</v>
      </c>
    </row>
    <row r="193" spans="1:13" x14ac:dyDescent="0.3">
      <c r="A193">
        <v>793</v>
      </c>
      <c r="B193" t="s">
        <v>1479</v>
      </c>
      <c r="C193" t="s">
        <v>5262</v>
      </c>
      <c r="D193" t="s">
        <v>159</v>
      </c>
      <c r="E193" t="s">
        <v>159</v>
      </c>
      <c r="F193">
        <v>8882</v>
      </c>
      <c r="G193" t="s">
        <v>1479</v>
      </c>
      <c r="H193" t="s">
        <v>5264</v>
      </c>
      <c r="I193">
        <v>6815</v>
      </c>
      <c r="J193" t="s">
        <v>5492</v>
      </c>
      <c r="K193" t="s">
        <v>5493</v>
      </c>
      <c r="L193" t="s">
        <v>2537</v>
      </c>
      <c r="M193" t="s">
        <v>2537</v>
      </c>
    </row>
    <row r="194" spans="1:13" x14ac:dyDescent="0.3">
      <c r="A194">
        <v>794</v>
      </c>
      <c r="B194" t="s">
        <v>1483</v>
      </c>
      <c r="C194" t="s">
        <v>5262</v>
      </c>
      <c r="D194" t="s">
        <v>159</v>
      </c>
      <c r="E194" t="s">
        <v>159</v>
      </c>
      <c r="F194">
        <v>6888</v>
      </c>
      <c r="G194" t="s">
        <v>1483</v>
      </c>
      <c r="H194" t="s">
        <v>5264</v>
      </c>
      <c r="I194">
        <v>17282</v>
      </c>
      <c r="J194" t="s">
        <v>1483</v>
      </c>
      <c r="K194" t="s">
        <v>4443</v>
      </c>
      <c r="L194" t="s">
        <v>2530</v>
      </c>
      <c r="M194" t="s">
        <v>2537</v>
      </c>
    </row>
    <row r="195" spans="1:13" x14ac:dyDescent="0.3">
      <c r="A195">
        <v>794</v>
      </c>
      <c r="B195" t="s">
        <v>1483</v>
      </c>
      <c r="C195" t="s">
        <v>5262</v>
      </c>
      <c r="D195" t="s">
        <v>159</v>
      </c>
      <c r="E195" t="s">
        <v>159</v>
      </c>
      <c r="F195">
        <v>6888</v>
      </c>
      <c r="G195" t="s">
        <v>1483</v>
      </c>
      <c r="H195" t="s">
        <v>5264</v>
      </c>
      <c r="I195">
        <v>8194</v>
      </c>
      <c r="J195" t="s">
        <v>1483</v>
      </c>
      <c r="K195" t="s">
        <v>4442</v>
      </c>
      <c r="L195" t="s">
        <v>2530</v>
      </c>
      <c r="M195" t="s">
        <v>2537</v>
      </c>
    </row>
    <row r="196" spans="1:13" x14ac:dyDescent="0.3">
      <c r="A196">
        <v>794</v>
      </c>
      <c r="B196" t="s">
        <v>1483</v>
      </c>
      <c r="C196" t="s">
        <v>5262</v>
      </c>
      <c r="D196" t="s">
        <v>159</v>
      </c>
      <c r="E196" t="s">
        <v>159</v>
      </c>
      <c r="F196">
        <v>6888</v>
      </c>
      <c r="G196" t="s">
        <v>1483</v>
      </c>
      <c r="H196" t="s">
        <v>5264</v>
      </c>
      <c r="I196">
        <v>11507</v>
      </c>
      <c r="J196" t="s">
        <v>1483</v>
      </c>
      <c r="K196" t="s">
        <v>4441</v>
      </c>
      <c r="L196" t="s">
        <v>2530</v>
      </c>
      <c r="M196" t="s">
        <v>2537</v>
      </c>
    </row>
    <row r="197" spans="1:13" x14ac:dyDescent="0.3">
      <c r="A197">
        <v>794</v>
      </c>
      <c r="B197" t="s">
        <v>1483</v>
      </c>
      <c r="C197" t="s">
        <v>5262</v>
      </c>
      <c r="D197" t="s">
        <v>159</v>
      </c>
      <c r="E197" t="s">
        <v>159</v>
      </c>
      <c r="F197">
        <v>6888</v>
      </c>
      <c r="G197" t="s">
        <v>1483</v>
      </c>
      <c r="H197" t="s">
        <v>5264</v>
      </c>
      <c r="I197">
        <v>16090</v>
      </c>
      <c r="J197" t="s">
        <v>1483</v>
      </c>
      <c r="K197" t="s">
        <v>4438</v>
      </c>
      <c r="L197" t="s">
        <v>2530</v>
      </c>
      <c r="M197" t="s">
        <v>2537</v>
      </c>
    </row>
    <row r="198" spans="1:13" x14ac:dyDescent="0.3">
      <c r="A198">
        <v>814</v>
      </c>
      <c r="B198" t="s">
        <v>1485</v>
      </c>
      <c r="C198" t="s">
        <v>5262</v>
      </c>
      <c r="D198" t="s">
        <v>159</v>
      </c>
      <c r="E198" t="s">
        <v>159</v>
      </c>
      <c r="F198">
        <v>5446</v>
      </c>
      <c r="G198" t="s">
        <v>5494</v>
      </c>
      <c r="H198" t="s">
        <v>5264</v>
      </c>
      <c r="I198">
        <v>3529</v>
      </c>
      <c r="J198" t="s">
        <v>5494</v>
      </c>
      <c r="K198" t="s">
        <v>4444</v>
      </c>
      <c r="L198" t="s">
        <v>2530</v>
      </c>
    </row>
    <row r="199" spans="1:13" x14ac:dyDescent="0.3">
      <c r="A199">
        <v>816</v>
      </c>
      <c r="B199" t="s">
        <v>765</v>
      </c>
      <c r="C199" t="s">
        <v>5262</v>
      </c>
      <c r="D199" t="s">
        <v>159</v>
      </c>
      <c r="E199" t="s">
        <v>159</v>
      </c>
      <c r="F199">
        <v>8872</v>
      </c>
      <c r="G199" t="s">
        <v>765</v>
      </c>
      <c r="H199" t="s">
        <v>5264</v>
      </c>
      <c r="I199">
        <v>3100</v>
      </c>
      <c r="J199" t="s">
        <v>765</v>
      </c>
      <c r="K199" t="s">
        <v>4448</v>
      </c>
      <c r="L199" t="s">
        <v>2530</v>
      </c>
      <c r="M199" t="s">
        <v>2537</v>
      </c>
    </row>
    <row r="200" spans="1:13" x14ac:dyDescent="0.3">
      <c r="A200">
        <v>816</v>
      </c>
      <c r="B200" t="s">
        <v>765</v>
      </c>
      <c r="C200" t="s">
        <v>5262</v>
      </c>
      <c r="D200" t="s">
        <v>159</v>
      </c>
      <c r="E200" t="s">
        <v>159</v>
      </c>
      <c r="F200">
        <v>8872</v>
      </c>
      <c r="G200" t="s">
        <v>765</v>
      </c>
      <c r="H200" t="s">
        <v>5264</v>
      </c>
      <c r="I200">
        <v>2599</v>
      </c>
      <c r="J200" t="s">
        <v>765</v>
      </c>
      <c r="K200" t="s">
        <v>4447</v>
      </c>
      <c r="L200" t="s">
        <v>2530</v>
      </c>
      <c r="M200" t="s">
        <v>2537</v>
      </c>
    </row>
    <row r="201" spans="1:13" x14ac:dyDescent="0.3">
      <c r="A201">
        <v>827</v>
      </c>
      <c r="B201" t="s">
        <v>1488</v>
      </c>
      <c r="C201" t="s">
        <v>5262</v>
      </c>
      <c r="D201" t="s">
        <v>1203</v>
      </c>
      <c r="E201" t="s">
        <v>1204</v>
      </c>
      <c r="F201">
        <v>5921</v>
      </c>
      <c r="G201" t="s">
        <v>5495</v>
      </c>
      <c r="H201" t="s">
        <v>1254</v>
      </c>
      <c r="I201">
        <v>1913</v>
      </c>
      <c r="J201" t="s">
        <v>5496</v>
      </c>
      <c r="K201" t="s">
        <v>5497</v>
      </c>
      <c r="L201" t="s">
        <v>2537</v>
      </c>
    </row>
    <row r="202" spans="1:13" x14ac:dyDescent="0.3">
      <c r="A202">
        <v>827</v>
      </c>
      <c r="B202" t="s">
        <v>1488</v>
      </c>
      <c r="C202" t="s">
        <v>5262</v>
      </c>
      <c r="D202" t="s">
        <v>1203</v>
      </c>
      <c r="E202" t="s">
        <v>1204</v>
      </c>
      <c r="F202">
        <v>5921</v>
      </c>
      <c r="G202" t="s">
        <v>5495</v>
      </c>
      <c r="H202" t="s">
        <v>1254</v>
      </c>
      <c r="I202">
        <v>1913</v>
      </c>
      <c r="J202" t="s">
        <v>3469</v>
      </c>
      <c r="K202" t="s">
        <v>5498</v>
      </c>
      <c r="L202" t="s">
        <v>2537</v>
      </c>
    </row>
    <row r="203" spans="1:13" x14ac:dyDescent="0.3">
      <c r="A203">
        <v>830</v>
      </c>
      <c r="B203" t="s">
        <v>1491</v>
      </c>
      <c r="C203" t="s">
        <v>5262</v>
      </c>
      <c r="D203" t="s">
        <v>159</v>
      </c>
      <c r="E203" t="s">
        <v>159</v>
      </c>
      <c r="F203">
        <v>8004</v>
      </c>
      <c r="G203" t="s">
        <v>4451</v>
      </c>
      <c r="H203" t="s">
        <v>1254</v>
      </c>
      <c r="I203">
        <v>4168</v>
      </c>
      <c r="J203" t="s">
        <v>4451</v>
      </c>
      <c r="K203" t="s">
        <v>4818</v>
      </c>
      <c r="L203" t="s">
        <v>2530</v>
      </c>
      <c r="M203" t="s">
        <v>2537</v>
      </c>
    </row>
    <row r="204" spans="1:13" x14ac:dyDescent="0.3">
      <c r="A204">
        <v>835</v>
      </c>
      <c r="B204" t="s">
        <v>1493</v>
      </c>
      <c r="C204" t="s">
        <v>5262</v>
      </c>
      <c r="D204" t="s">
        <v>159</v>
      </c>
      <c r="E204" t="s">
        <v>159</v>
      </c>
      <c r="F204">
        <v>8791</v>
      </c>
      <c r="G204" t="s">
        <v>5499</v>
      </c>
      <c r="H204" t="s">
        <v>1254</v>
      </c>
      <c r="I204">
        <v>3096</v>
      </c>
      <c r="J204" t="s">
        <v>5499</v>
      </c>
      <c r="K204" t="s">
        <v>5499</v>
      </c>
      <c r="L204" t="s">
        <v>2537</v>
      </c>
    </row>
    <row r="205" spans="1:13" x14ac:dyDescent="0.3">
      <c r="A205">
        <v>842</v>
      </c>
      <c r="B205" t="s">
        <v>1495</v>
      </c>
      <c r="C205" t="s">
        <v>5262</v>
      </c>
      <c r="D205" t="s">
        <v>159</v>
      </c>
      <c r="E205" t="s">
        <v>159</v>
      </c>
      <c r="F205">
        <v>6760</v>
      </c>
      <c r="G205" t="s">
        <v>5500</v>
      </c>
      <c r="H205" t="s">
        <v>1254</v>
      </c>
      <c r="I205">
        <v>1082</v>
      </c>
      <c r="J205" t="s">
        <v>5501</v>
      </c>
      <c r="K205" t="s">
        <v>5502</v>
      </c>
      <c r="L205" t="s">
        <v>2537</v>
      </c>
      <c r="M205" t="s">
        <v>2537</v>
      </c>
    </row>
    <row r="206" spans="1:13" x14ac:dyDescent="0.3">
      <c r="A206">
        <v>842</v>
      </c>
      <c r="B206" t="s">
        <v>1495</v>
      </c>
      <c r="C206" t="s">
        <v>5262</v>
      </c>
      <c r="D206" t="s">
        <v>159</v>
      </c>
      <c r="E206" t="s">
        <v>159</v>
      </c>
      <c r="F206">
        <v>6760</v>
      </c>
      <c r="G206" t="s">
        <v>5500</v>
      </c>
      <c r="H206" t="s">
        <v>5264</v>
      </c>
      <c r="I206">
        <v>444</v>
      </c>
      <c r="J206" t="s">
        <v>5500</v>
      </c>
      <c r="K206" t="s">
        <v>4462</v>
      </c>
      <c r="L206" t="s">
        <v>2530</v>
      </c>
      <c r="M206" t="s">
        <v>2537</v>
      </c>
    </row>
    <row r="207" spans="1:13" x14ac:dyDescent="0.3">
      <c r="A207">
        <v>842</v>
      </c>
      <c r="B207" t="s">
        <v>1495</v>
      </c>
      <c r="C207" t="s">
        <v>5262</v>
      </c>
      <c r="D207" t="s">
        <v>159</v>
      </c>
      <c r="E207" t="s">
        <v>159</v>
      </c>
      <c r="F207">
        <v>6760</v>
      </c>
      <c r="G207" t="s">
        <v>5500</v>
      </c>
      <c r="H207" t="s">
        <v>5264</v>
      </c>
      <c r="I207">
        <v>783</v>
      </c>
      <c r="J207" t="s">
        <v>5500</v>
      </c>
      <c r="K207" t="s">
        <v>5503</v>
      </c>
      <c r="L207" t="s">
        <v>2530</v>
      </c>
      <c r="M207" t="s">
        <v>2537</v>
      </c>
    </row>
    <row r="208" spans="1:13" x14ac:dyDescent="0.3">
      <c r="A208">
        <v>842</v>
      </c>
      <c r="B208" t="s">
        <v>1495</v>
      </c>
      <c r="C208" t="s">
        <v>5262</v>
      </c>
      <c r="D208" t="s">
        <v>159</v>
      </c>
      <c r="E208" t="s">
        <v>159</v>
      </c>
      <c r="F208">
        <v>6760</v>
      </c>
      <c r="G208" t="s">
        <v>5500</v>
      </c>
      <c r="H208" t="s">
        <v>5264</v>
      </c>
      <c r="I208">
        <v>6705</v>
      </c>
      <c r="J208" t="s">
        <v>5500</v>
      </c>
      <c r="K208" t="s">
        <v>5504</v>
      </c>
      <c r="L208" t="s">
        <v>2530</v>
      </c>
      <c r="M208" t="s">
        <v>2537</v>
      </c>
    </row>
    <row r="209" spans="1:13" x14ac:dyDescent="0.3">
      <c r="A209">
        <v>851</v>
      </c>
      <c r="B209" t="s">
        <v>1501</v>
      </c>
      <c r="C209" t="s">
        <v>5262</v>
      </c>
      <c r="D209" t="s">
        <v>159</v>
      </c>
      <c r="E209" t="s">
        <v>159</v>
      </c>
      <c r="F209">
        <v>5582</v>
      </c>
      <c r="G209" t="s">
        <v>5505</v>
      </c>
      <c r="H209" t="s">
        <v>5264</v>
      </c>
      <c r="I209">
        <v>15580</v>
      </c>
      <c r="J209" t="s">
        <v>5505</v>
      </c>
      <c r="K209" t="s">
        <v>4470</v>
      </c>
      <c r="L209" t="s">
        <v>2530</v>
      </c>
      <c r="M209" t="s">
        <v>2537</v>
      </c>
    </row>
    <row r="210" spans="1:13" x14ac:dyDescent="0.3">
      <c r="A210">
        <v>856</v>
      </c>
      <c r="B210" t="s">
        <v>1505</v>
      </c>
      <c r="C210" t="s">
        <v>5262</v>
      </c>
      <c r="D210" t="s">
        <v>159</v>
      </c>
      <c r="E210" t="s">
        <v>159</v>
      </c>
      <c r="F210">
        <v>5561</v>
      </c>
      <c r="G210" t="s">
        <v>5506</v>
      </c>
      <c r="H210" t="s">
        <v>5264</v>
      </c>
      <c r="I210">
        <v>2427.4902893499998</v>
      </c>
      <c r="J210" t="s">
        <v>5389</v>
      </c>
      <c r="K210" t="s">
        <v>4296</v>
      </c>
      <c r="L210" t="s">
        <v>2537</v>
      </c>
    </row>
    <row r="211" spans="1:13" x14ac:dyDescent="0.3">
      <c r="A211">
        <v>859</v>
      </c>
      <c r="B211" t="s">
        <v>1507</v>
      </c>
      <c r="C211" t="s">
        <v>5262</v>
      </c>
      <c r="D211" t="s">
        <v>1203</v>
      </c>
      <c r="E211" t="s">
        <v>1204</v>
      </c>
      <c r="F211">
        <v>8926</v>
      </c>
      <c r="G211" t="s">
        <v>2166</v>
      </c>
      <c r="H211" t="s">
        <v>5264</v>
      </c>
      <c r="I211">
        <v>4649.3650927500003</v>
      </c>
      <c r="J211" t="s">
        <v>5507</v>
      </c>
      <c r="K211" t="s">
        <v>5508</v>
      </c>
      <c r="L211" t="s">
        <v>2530</v>
      </c>
      <c r="M211" t="s">
        <v>2537</v>
      </c>
    </row>
    <row r="212" spans="1:13" x14ac:dyDescent="0.3">
      <c r="A212">
        <v>866</v>
      </c>
      <c r="B212" t="s">
        <v>1510</v>
      </c>
      <c r="C212" t="s">
        <v>5262</v>
      </c>
      <c r="D212" t="s">
        <v>1203</v>
      </c>
      <c r="E212" t="s">
        <v>1204</v>
      </c>
      <c r="F212">
        <v>5963</v>
      </c>
      <c r="G212" t="s">
        <v>5433</v>
      </c>
      <c r="H212" t="s">
        <v>1254</v>
      </c>
      <c r="I212">
        <v>5333</v>
      </c>
      <c r="J212" t="s">
        <v>5351</v>
      </c>
      <c r="K212" t="s">
        <v>5509</v>
      </c>
      <c r="L212" t="s">
        <v>2537</v>
      </c>
      <c r="M212" t="s">
        <v>2537</v>
      </c>
    </row>
    <row r="213" spans="1:13" x14ac:dyDescent="0.3">
      <c r="A213">
        <v>867</v>
      </c>
      <c r="B213" t="s">
        <v>1513</v>
      </c>
      <c r="C213" t="s">
        <v>5262</v>
      </c>
      <c r="D213" t="s">
        <v>159</v>
      </c>
      <c r="E213" t="s">
        <v>159</v>
      </c>
      <c r="F213">
        <v>8663</v>
      </c>
      <c r="G213" t="s">
        <v>5510</v>
      </c>
      <c r="H213" t="s">
        <v>5264</v>
      </c>
      <c r="I213">
        <v>8114.1394754000003</v>
      </c>
      <c r="J213" t="s">
        <v>5510</v>
      </c>
      <c r="K213" t="s">
        <v>5511</v>
      </c>
      <c r="L213" t="s">
        <v>2537</v>
      </c>
      <c r="M213" t="s">
        <v>2530</v>
      </c>
    </row>
    <row r="214" spans="1:13" x14ac:dyDescent="0.3">
      <c r="A214">
        <v>873</v>
      </c>
      <c r="B214" t="s">
        <v>1516</v>
      </c>
      <c r="C214" t="s">
        <v>5262</v>
      </c>
      <c r="D214" t="s">
        <v>159</v>
      </c>
      <c r="E214" t="s">
        <v>159</v>
      </c>
      <c r="F214">
        <v>6762</v>
      </c>
      <c r="G214" t="s">
        <v>1516</v>
      </c>
      <c r="H214" t="s">
        <v>5264</v>
      </c>
      <c r="I214">
        <v>1741</v>
      </c>
      <c r="J214" t="s">
        <v>1516</v>
      </c>
      <c r="K214" t="s">
        <v>4482</v>
      </c>
      <c r="L214" t="s">
        <v>2530</v>
      </c>
      <c r="M214" t="s">
        <v>2537</v>
      </c>
    </row>
    <row r="215" spans="1:13" x14ac:dyDescent="0.3">
      <c r="A215">
        <v>904</v>
      </c>
      <c r="B215" t="s">
        <v>862</v>
      </c>
      <c r="C215" t="s">
        <v>5262</v>
      </c>
      <c r="D215" t="s">
        <v>159</v>
      </c>
      <c r="E215" t="s">
        <v>159</v>
      </c>
      <c r="F215">
        <v>8845</v>
      </c>
      <c r="G215" t="s">
        <v>751</v>
      </c>
      <c r="H215" t="s">
        <v>1254</v>
      </c>
      <c r="I215">
        <v>7707</v>
      </c>
      <c r="J215" t="s">
        <v>5512</v>
      </c>
      <c r="K215" t="s">
        <v>5513</v>
      </c>
      <c r="L215" t="s">
        <v>2537</v>
      </c>
      <c r="M215" t="s">
        <v>2537</v>
      </c>
    </row>
    <row r="216" spans="1:13" x14ac:dyDescent="0.3">
      <c r="A216">
        <v>920</v>
      </c>
      <c r="B216" t="s">
        <v>1519</v>
      </c>
      <c r="C216" t="s">
        <v>5262</v>
      </c>
      <c r="D216" t="s">
        <v>1203</v>
      </c>
      <c r="E216" t="s">
        <v>1204</v>
      </c>
      <c r="F216">
        <v>5702</v>
      </c>
      <c r="G216" t="s">
        <v>5514</v>
      </c>
      <c r="H216" t="s">
        <v>5264</v>
      </c>
      <c r="I216">
        <v>1025.0085419</v>
      </c>
      <c r="J216" t="s">
        <v>5514</v>
      </c>
      <c r="K216" t="s">
        <v>4485</v>
      </c>
      <c r="L216" t="s">
        <v>2530</v>
      </c>
      <c r="M216" t="s">
        <v>2537</v>
      </c>
    </row>
    <row r="217" spans="1:13" x14ac:dyDescent="0.3">
      <c r="A217">
        <v>924</v>
      </c>
      <c r="B217" t="s">
        <v>1523</v>
      </c>
      <c r="C217" t="s">
        <v>5262</v>
      </c>
      <c r="D217" t="s">
        <v>159</v>
      </c>
      <c r="E217" t="s">
        <v>159</v>
      </c>
      <c r="F217">
        <v>7854</v>
      </c>
      <c r="G217" t="s">
        <v>5515</v>
      </c>
      <c r="H217" t="s">
        <v>1254</v>
      </c>
      <c r="I217">
        <v>4256</v>
      </c>
      <c r="J217" t="s">
        <v>4167</v>
      </c>
      <c r="K217" t="s">
        <v>5290</v>
      </c>
      <c r="L217" t="s">
        <v>2530</v>
      </c>
      <c r="M217" t="s">
        <v>2537</v>
      </c>
    </row>
    <row r="218" spans="1:13" x14ac:dyDescent="0.3">
      <c r="A218">
        <v>934</v>
      </c>
      <c r="B218" t="s">
        <v>899</v>
      </c>
      <c r="C218" t="s">
        <v>5262</v>
      </c>
      <c r="D218" t="s">
        <v>159</v>
      </c>
      <c r="E218" t="s">
        <v>159</v>
      </c>
      <c r="F218">
        <v>7328</v>
      </c>
      <c r="G218" t="s">
        <v>785</v>
      </c>
      <c r="H218" t="s">
        <v>5264</v>
      </c>
      <c r="I218">
        <v>325</v>
      </c>
      <c r="J218" t="s">
        <v>785</v>
      </c>
      <c r="K218" t="s">
        <v>4492</v>
      </c>
      <c r="L218" t="s">
        <v>2530</v>
      </c>
      <c r="M218" t="s">
        <v>2537</v>
      </c>
    </row>
    <row r="219" spans="1:13" x14ac:dyDescent="0.3">
      <c r="A219">
        <v>934</v>
      </c>
      <c r="B219" t="s">
        <v>899</v>
      </c>
      <c r="C219" t="s">
        <v>5262</v>
      </c>
      <c r="D219" t="s">
        <v>159</v>
      </c>
      <c r="E219" t="s">
        <v>159</v>
      </c>
      <c r="F219">
        <v>7328</v>
      </c>
      <c r="G219" t="s">
        <v>785</v>
      </c>
      <c r="H219" t="s">
        <v>5264</v>
      </c>
      <c r="I219">
        <v>63652</v>
      </c>
      <c r="J219" t="s">
        <v>785</v>
      </c>
      <c r="K219" t="s">
        <v>4496</v>
      </c>
      <c r="L219" t="s">
        <v>2530</v>
      </c>
      <c r="M219" t="s">
        <v>2537</v>
      </c>
    </row>
    <row r="220" spans="1:13" x14ac:dyDescent="0.3">
      <c r="A220">
        <v>967</v>
      </c>
      <c r="B220" t="s">
        <v>1528</v>
      </c>
      <c r="C220" t="s">
        <v>5262</v>
      </c>
      <c r="D220" t="s">
        <v>159</v>
      </c>
      <c r="E220" t="s">
        <v>159</v>
      </c>
      <c r="F220">
        <v>8034</v>
      </c>
      <c r="G220" t="s">
        <v>5516</v>
      </c>
      <c r="H220" t="s">
        <v>1254</v>
      </c>
      <c r="I220">
        <v>15469</v>
      </c>
      <c r="J220" t="s">
        <v>5326</v>
      </c>
      <c r="K220" t="s">
        <v>5290</v>
      </c>
      <c r="L220" t="s">
        <v>2537</v>
      </c>
      <c r="M220" t="s">
        <v>2537</v>
      </c>
    </row>
    <row r="221" spans="1:13" x14ac:dyDescent="0.3">
      <c r="A221">
        <v>972</v>
      </c>
      <c r="B221" t="s">
        <v>1529</v>
      </c>
      <c r="C221" t="s">
        <v>5262</v>
      </c>
      <c r="D221" t="s">
        <v>159</v>
      </c>
      <c r="E221" t="s">
        <v>159</v>
      </c>
      <c r="F221">
        <v>5640</v>
      </c>
      <c r="G221" t="s">
        <v>5517</v>
      </c>
      <c r="H221" t="s">
        <v>5264</v>
      </c>
      <c r="I221">
        <v>1986</v>
      </c>
      <c r="J221" t="s">
        <v>5517</v>
      </c>
      <c r="K221" t="s">
        <v>4883</v>
      </c>
      <c r="L221" t="s">
        <v>2530</v>
      </c>
      <c r="M221" t="s">
        <v>2537</v>
      </c>
    </row>
    <row r="222" spans="1:13" x14ac:dyDescent="0.3">
      <c r="A222">
        <v>977</v>
      </c>
      <c r="B222" t="s">
        <v>1531</v>
      </c>
      <c r="C222" t="s">
        <v>5262</v>
      </c>
      <c r="D222" t="s">
        <v>159</v>
      </c>
      <c r="E222" t="s">
        <v>159</v>
      </c>
      <c r="F222">
        <v>7963</v>
      </c>
      <c r="G222" t="s">
        <v>5518</v>
      </c>
      <c r="H222" t="s">
        <v>1254</v>
      </c>
      <c r="I222">
        <v>19781</v>
      </c>
      <c r="J222" t="s">
        <v>5326</v>
      </c>
      <c r="K222" t="s">
        <v>5290</v>
      </c>
      <c r="L222" t="s">
        <v>2537</v>
      </c>
      <c r="M222" t="s">
        <v>2537</v>
      </c>
    </row>
    <row r="223" spans="1:13" x14ac:dyDescent="0.3">
      <c r="A223">
        <v>995</v>
      </c>
      <c r="B223" t="s">
        <v>1540</v>
      </c>
      <c r="C223" t="s">
        <v>5262</v>
      </c>
      <c r="D223" t="s">
        <v>1203</v>
      </c>
      <c r="E223" t="s">
        <v>1204</v>
      </c>
      <c r="F223">
        <v>6827</v>
      </c>
      <c r="G223" t="s">
        <v>5519</v>
      </c>
      <c r="H223" t="s">
        <v>5264</v>
      </c>
      <c r="I223">
        <v>4998</v>
      </c>
      <c r="J223" t="s">
        <v>5520</v>
      </c>
      <c r="K223" t="s">
        <v>5521</v>
      </c>
      <c r="L223" t="s">
        <v>2530</v>
      </c>
      <c r="M223" t="s">
        <v>2530</v>
      </c>
    </row>
    <row r="224" spans="1:13" x14ac:dyDescent="0.3">
      <c r="A224">
        <v>1004</v>
      </c>
      <c r="B224" t="s">
        <v>1541</v>
      </c>
      <c r="C224" t="s">
        <v>5262</v>
      </c>
      <c r="D224" t="s">
        <v>1203</v>
      </c>
      <c r="E224" t="s">
        <v>1204</v>
      </c>
      <c r="F224">
        <v>8925</v>
      </c>
      <c r="G224" t="s">
        <v>5522</v>
      </c>
      <c r="H224" t="s">
        <v>5264</v>
      </c>
      <c r="I224">
        <v>6024</v>
      </c>
      <c r="J224" t="s">
        <v>5523</v>
      </c>
      <c r="K224" t="s">
        <v>5450</v>
      </c>
      <c r="L224" t="s">
        <v>2530</v>
      </c>
      <c r="M224" t="s">
        <v>2537</v>
      </c>
    </row>
    <row r="225" spans="1:13" x14ac:dyDescent="0.3">
      <c r="A225">
        <v>1005</v>
      </c>
      <c r="B225" t="s">
        <v>1542</v>
      </c>
      <c r="C225" t="s">
        <v>5262</v>
      </c>
      <c r="D225" t="s">
        <v>159</v>
      </c>
      <c r="E225" t="s">
        <v>159</v>
      </c>
      <c r="F225">
        <v>5451</v>
      </c>
      <c r="G225" t="s">
        <v>3469</v>
      </c>
      <c r="H225" t="s">
        <v>1254</v>
      </c>
      <c r="I225">
        <v>3500</v>
      </c>
      <c r="J225" t="s">
        <v>3469</v>
      </c>
      <c r="K225" t="s">
        <v>5524</v>
      </c>
      <c r="L225" t="s">
        <v>2537</v>
      </c>
      <c r="M225" t="s">
        <v>2537</v>
      </c>
    </row>
    <row r="226" spans="1:13" x14ac:dyDescent="0.3">
      <c r="A226">
        <v>1029</v>
      </c>
      <c r="B226" t="s">
        <v>1543</v>
      </c>
      <c r="C226" t="s">
        <v>5262</v>
      </c>
      <c r="D226" t="s">
        <v>1203</v>
      </c>
      <c r="E226" t="s">
        <v>1204</v>
      </c>
      <c r="F226">
        <v>5875</v>
      </c>
      <c r="G226" t="s">
        <v>3135</v>
      </c>
      <c r="H226" t="s">
        <v>1254</v>
      </c>
      <c r="I226">
        <v>4264</v>
      </c>
      <c r="J226" t="s">
        <v>3135</v>
      </c>
      <c r="K226" t="s">
        <v>5525</v>
      </c>
      <c r="L226" t="s">
        <v>2537</v>
      </c>
    </row>
    <row r="227" spans="1:13" x14ac:dyDescent="0.3">
      <c r="A227">
        <v>1030</v>
      </c>
      <c r="B227" t="s">
        <v>1544</v>
      </c>
      <c r="C227" t="s">
        <v>5262</v>
      </c>
      <c r="D227" t="s">
        <v>159</v>
      </c>
      <c r="E227" t="s">
        <v>159</v>
      </c>
      <c r="F227">
        <v>8785</v>
      </c>
      <c r="G227" t="s">
        <v>5526</v>
      </c>
      <c r="H227" t="s">
        <v>1254</v>
      </c>
      <c r="I227">
        <v>2561</v>
      </c>
      <c r="J227" t="s">
        <v>5526</v>
      </c>
      <c r="K227" t="s">
        <v>4507</v>
      </c>
      <c r="L227" t="s">
        <v>2537</v>
      </c>
    </row>
    <row r="228" spans="1:13" x14ac:dyDescent="0.3">
      <c r="A228">
        <v>1031</v>
      </c>
      <c r="B228" t="s">
        <v>1545</v>
      </c>
      <c r="C228" t="s">
        <v>5262</v>
      </c>
      <c r="D228" t="s">
        <v>159</v>
      </c>
      <c r="E228" t="s">
        <v>159</v>
      </c>
      <c r="F228">
        <v>8254</v>
      </c>
      <c r="G228" t="s">
        <v>5527</v>
      </c>
      <c r="H228" t="s">
        <v>1254</v>
      </c>
      <c r="I228">
        <v>1431</v>
      </c>
      <c r="J228" t="s">
        <v>5527</v>
      </c>
      <c r="K228" t="s">
        <v>5528</v>
      </c>
      <c r="L228" t="s">
        <v>2537</v>
      </c>
    </row>
    <row r="229" spans="1:13" x14ac:dyDescent="0.3">
      <c r="A229">
        <v>1032</v>
      </c>
      <c r="B229" t="s">
        <v>1546</v>
      </c>
      <c r="C229" t="s">
        <v>5262</v>
      </c>
      <c r="D229" t="s">
        <v>159</v>
      </c>
      <c r="E229" t="s">
        <v>159</v>
      </c>
      <c r="F229">
        <v>8758</v>
      </c>
      <c r="G229" t="s">
        <v>3469</v>
      </c>
      <c r="H229" t="s">
        <v>1254</v>
      </c>
      <c r="I229">
        <v>4076</v>
      </c>
      <c r="J229" t="s">
        <v>3469</v>
      </c>
      <c r="K229" t="s">
        <v>5529</v>
      </c>
      <c r="L229" t="s">
        <v>2537</v>
      </c>
    </row>
    <row r="230" spans="1:13" x14ac:dyDescent="0.3">
      <c r="A230">
        <v>1034</v>
      </c>
      <c r="B230" t="s">
        <v>1547</v>
      </c>
      <c r="C230" t="s">
        <v>5262</v>
      </c>
      <c r="D230" t="s">
        <v>159</v>
      </c>
      <c r="E230" t="s">
        <v>159</v>
      </c>
      <c r="F230">
        <v>5539</v>
      </c>
      <c r="G230" t="s">
        <v>5314</v>
      </c>
      <c r="H230" t="s">
        <v>1254</v>
      </c>
      <c r="I230">
        <v>3000</v>
      </c>
      <c r="J230" t="s">
        <v>5314</v>
      </c>
      <c r="K230" t="s">
        <v>5530</v>
      </c>
      <c r="L230" t="s">
        <v>2537</v>
      </c>
      <c r="M230" t="s">
        <v>2537</v>
      </c>
    </row>
    <row r="231" spans="1:13" x14ac:dyDescent="0.3">
      <c r="A231">
        <v>1036</v>
      </c>
      <c r="B231" t="s">
        <v>1548</v>
      </c>
      <c r="C231" t="s">
        <v>5262</v>
      </c>
      <c r="D231" t="s">
        <v>159</v>
      </c>
      <c r="E231" t="s">
        <v>159</v>
      </c>
      <c r="F231">
        <v>8901</v>
      </c>
      <c r="G231" t="s">
        <v>5531</v>
      </c>
      <c r="H231" t="s">
        <v>1254</v>
      </c>
      <c r="I231">
        <v>4217</v>
      </c>
      <c r="J231" t="s">
        <v>5531</v>
      </c>
      <c r="K231" t="s">
        <v>5423</v>
      </c>
      <c r="L231" t="s">
        <v>2537</v>
      </c>
    </row>
    <row r="232" spans="1:13" x14ac:dyDescent="0.3">
      <c r="A232">
        <v>1038</v>
      </c>
      <c r="B232" t="s">
        <v>1549</v>
      </c>
      <c r="C232" t="s">
        <v>5262</v>
      </c>
      <c r="D232" t="s">
        <v>159</v>
      </c>
      <c r="E232" t="s">
        <v>159</v>
      </c>
      <c r="F232">
        <v>8862</v>
      </c>
      <c r="G232" t="s">
        <v>5532</v>
      </c>
      <c r="H232" t="s">
        <v>1254</v>
      </c>
      <c r="I232">
        <v>4130</v>
      </c>
      <c r="J232" t="s">
        <v>5496</v>
      </c>
      <c r="K232" t="s">
        <v>5533</v>
      </c>
      <c r="L232" t="s">
        <v>2537</v>
      </c>
    </row>
    <row r="233" spans="1:13" x14ac:dyDescent="0.3">
      <c r="A233">
        <v>1041</v>
      </c>
      <c r="B233" t="s">
        <v>1550</v>
      </c>
      <c r="C233" t="s">
        <v>5262</v>
      </c>
      <c r="D233" t="s">
        <v>159</v>
      </c>
      <c r="E233" t="s">
        <v>159</v>
      </c>
      <c r="F233">
        <v>8875</v>
      </c>
      <c r="G233" t="s">
        <v>3469</v>
      </c>
      <c r="H233" t="s">
        <v>1254</v>
      </c>
      <c r="I233">
        <v>4223</v>
      </c>
      <c r="J233" t="s">
        <v>3469</v>
      </c>
      <c r="K233" t="s">
        <v>5529</v>
      </c>
      <c r="L233" t="s">
        <v>2537</v>
      </c>
    </row>
    <row r="234" spans="1:13" x14ac:dyDescent="0.3">
      <c r="A234">
        <v>1049</v>
      </c>
      <c r="B234" t="s">
        <v>1551</v>
      </c>
      <c r="C234" t="s">
        <v>5262</v>
      </c>
      <c r="D234" t="s">
        <v>159</v>
      </c>
      <c r="E234" t="s">
        <v>159</v>
      </c>
      <c r="F234">
        <v>8769</v>
      </c>
      <c r="G234" t="s">
        <v>3469</v>
      </c>
      <c r="H234" t="s">
        <v>1254</v>
      </c>
      <c r="I234">
        <v>3589</v>
      </c>
      <c r="J234" t="s">
        <v>3469</v>
      </c>
      <c r="K234" t="s">
        <v>5529</v>
      </c>
      <c r="L234" t="s">
        <v>2537</v>
      </c>
    </row>
    <row r="235" spans="1:13" x14ac:dyDescent="0.3">
      <c r="A235">
        <v>1052</v>
      </c>
      <c r="B235" t="s">
        <v>1552</v>
      </c>
      <c r="C235" t="s">
        <v>5262</v>
      </c>
      <c r="D235" t="s">
        <v>1203</v>
      </c>
      <c r="E235" t="s">
        <v>1204</v>
      </c>
      <c r="F235">
        <v>5896</v>
      </c>
      <c r="G235" t="s">
        <v>5534</v>
      </c>
      <c r="H235" t="s">
        <v>1254</v>
      </c>
      <c r="I235">
        <v>3905</v>
      </c>
      <c r="J235" t="s">
        <v>5534</v>
      </c>
      <c r="K235" t="s">
        <v>4143</v>
      </c>
      <c r="L235" t="s">
        <v>2537</v>
      </c>
    </row>
    <row r="236" spans="1:13" x14ac:dyDescent="0.3">
      <c r="A236">
        <v>1053</v>
      </c>
      <c r="B236" t="s">
        <v>1553</v>
      </c>
      <c r="C236" t="s">
        <v>5262</v>
      </c>
      <c r="D236" t="s">
        <v>1203</v>
      </c>
      <c r="E236" t="s">
        <v>1204</v>
      </c>
      <c r="F236">
        <v>5897</v>
      </c>
      <c r="G236" t="s">
        <v>5535</v>
      </c>
      <c r="H236" t="s">
        <v>1254</v>
      </c>
      <c r="I236">
        <v>5248</v>
      </c>
      <c r="J236" t="s">
        <v>5535</v>
      </c>
      <c r="K236" t="s">
        <v>5536</v>
      </c>
      <c r="L236" t="s">
        <v>2537</v>
      </c>
    </row>
    <row r="237" spans="1:13" x14ac:dyDescent="0.3">
      <c r="A237">
        <v>1054</v>
      </c>
      <c r="B237" t="s">
        <v>1554</v>
      </c>
      <c r="C237" t="s">
        <v>5262</v>
      </c>
      <c r="D237" t="s">
        <v>159</v>
      </c>
      <c r="E237" t="s">
        <v>159</v>
      </c>
      <c r="F237">
        <v>5540</v>
      </c>
      <c r="G237" t="s">
        <v>5314</v>
      </c>
      <c r="H237" t="s">
        <v>1254</v>
      </c>
      <c r="I237">
        <v>4000</v>
      </c>
      <c r="J237" t="s">
        <v>5314</v>
      </c>
      <c r="K237" t="s">
        <v>5448</v>
      </c>
      <c r="L237" t="s">
        <v>2537</v>
      </c>
      <c r="M237" t="s">
        <v>2537</v>
      </c>
    </row>
    <row r="238" spans="1:13" x14ac:dyDescent="0.3">
      <c r="A238">
        <v>1057</v>
      </c>
      <c r="B238" t="s">
        <v>1555</v>
      </c>
      <c r="C238" t="s">
        <v>5262</v>
      </c>
      <c r="D238" t="s">
        <v>1203</v>
      </c>
      <c r="E238" t="s">
        <v>1204</v>
      </c>
      <c r="F238">
        <v>8908</v>
      </c>
      <c r="G238" t="s">
        <v>5537</v>
      </c>
      <c r="H238" t="s">
        <v>1254</v>
      </c>
      <c r="I238">
        <v>4246</v>
      </c>
      <c r="J238" t="s">
        <v>5537</v>
      </c>
      <c r="K238" t="s">
        <v>4143</v>
      </c>
      <c r="L238" t="s">
        <v>2537</v>
      </c>
    </row>
    <row r="239" spans="1:13" x14ac:dyDescent="0.3">
      <c r="A239">
        <v>1058</v>
      </c>
      <c r="B239" t="s">
        <v>1556</v>
      </c>
      <c r="C239" t="s">
        <v>5262</v>
      </c>
      <c r="D239" t="s">
        <v>1203</v>
      </c>
      <c r="E239" t="s">
        <v>1204</v>
      </c>
      <c r="F239">
        <v>8909</v>
      </c>
      <c r="G239" t="s">
        <v>3469</v>
      </c>
      <c r="H239" t="s">
        <v>1254</v>
      </c>
      <c r="I239">
        <v>2360</v>
      </c>
      <c r="J239" t="s">
        <v>3469</v>
      </c>
      <c r="K239" t="s">
        <v>5538</v>
      </c>
      <c r="L239" t="s">
        <v>2537</v>
      </c>
    </row>
    <row r="240" spans="1:13" x14ac:dyDescent="0.3">
      <c r="A240">
        <v>1059</v>
      </c>
      <c r="B240" t="s">
        <v>1557</v>
      </c>
      <c r="C240" t="s">
        <v>5262</v>
      </c>
      <c r="D240" t="s">
        <v>1203</v>
      </c>
      <c r="E240" t="s">
        <v>1204</v>
      </c>
      <c r="F240">
        <v>5900</v>
      </c>
      <c r="G240" t="s">
        <v>3469</v>
      </c>
      <c r="H240" t="s">
        <v>1254</v>
      </c>
      <c r="I240">
        <v>2137</v>
      </c>
      <c r="J240" t="s">
        <v>3469</v>
      </c>
      <c r="K240" t="s">
        <v>5539</v>
      </c>
      <c r="L240" t="s">
        <v>2537</v>
      </c>
    </row>
    <row r="241" spans="1:13" x14ac:dyDescent="0.3">
      <c r="A241">
        <v>1060</v>
      </c>
      <c r="B241" t="s">
        <v>1558</v>
      </c>
      <c r="C241" t="s">
        <v>5262</v>
      </c>
      <c r="D241" t="s">
        <v>159</v>
      </c>
      <c r="E241" t="s">
        <v>159</v>
      </c>
      <c r="F241">
        <v>8776</v>
      </c>
      <c r="G241" t="s">
        <v>3469</v>
      </c>
      <c r="H241" t="s">
        <v>1254</v>
      </c>
      <c r="I241">
        <v>37137</v>
      </c>
      <c r="J241" t="s">
        <v>3469</v>
      </c>
      <c r="K241" t="s">
        <v>5269</v>
      </c>
      <c r="L241" t="s">
        <v>2537</v>
      </c>
    </row>
    <row r="242" spans="1:13" x14ac:dyDescent="0.3">
      <c r="A242">
        <v>1062</v>
      </c>
      <c r="B242" t="s">
        <v>1559</v>
      </c>
      <c r="C242" t="s">
        <v>5262</v>
      </c>
      <c r="D242" t="s">
        <v>1203</v>
      </c>
      <c r="E242" t="s">
        <v>1204</v>
      </c>
      <c r="F242">
        <v>5886</v>
      </c>
      <c r="G242" t="s">
        <v>4167</v>
      </c>
      <c r="H242" t="s">
        <v>1254</v>
      </c>
      <c r="I242">
        <v>11342</v>
      </c>
      <c r="J242" t="s">
        <v>4167</v>
      </c>
      <c r="K242" t="s">
        <v>5536</v>
      </c>
      <c r="L242" t="s">
        <v>2537</v>
      </c>
    </row>
    <row r="243" spans="1:13" x14ac:dyDescent="0.3">
      <c r="A243">
        <v>1068</v>
      </c>
      <c r="B243" t="s">
        <v>1560</v>
      </c>
      <c r="C243" t="s">
        <v>5262</v>
      </c>
      <c r="D243" t="s">
        <v>159</v>
      </c>
      <c r="E243" t="s">
        <v>159</v>
      </c>
      <c r="F243">
        <v>5489</v>
      </c>
      <c r="G243" t="s">
        <v>5540</v>
      </c>
      <c r="H243" t="s">
        <v>5264</v>
      </c>
      <c r="I243">
        <v>4930</v>
      </c>
      <c r="J243" t="s">
        <v>5540</v>
      </c>
      <c r="K243" t="s">
        <v>5541</v>
      </c>
      <c r="L243" t="s">
        <v>2530</v>
      </c>
      <c r="M243" t="s">
        <v>2537</v>
      </c>
    </row>
    <row r="244" spans="1:13" x14ac:dyDescent="0.3">
      <c r="A244">
        <v>1068</v>
      </c>
      <c r="B244" t="s">
        <v>1560</v>
      </c>
      <c r="C244" t="s">
        <v>5262</v>
      </c>
      <c r="D244" t="s">
        <v>159</v>
      </c>
      <c r="E244" t="s">
        <v>159</v>
      </c>
      <c r="F244">
        <v>5489</v>
      </c>
      <c r="G244" t="s">
        <v>5542</v>
      </c>
      <c r="H244" t="s">
        <v>5264</v>
      </c>
      <c r="I244">
        <v>0</v>
      </c>
      <c r="J244" t="s">
        <v>5540</v>
      </c>
      <c r="K244" t="s">
        <v>5541</v>
      </c>
      <c r="L244" t="s">
        <v>2530</v>
      </c>
      <c r="M244" t="s">
        <v>2537</v>
      </c>
    </row>
    <row r="245" spans="1:13" x14ac:dyDescent="0.3">
      <c r="A245">
        <v>1094</v>
      </c>
      <c r="B245" t="s">
        <v>1564</v>
      </c>
      <c r="C245" t="s">
        <v>5262</v>
      </c>
      <c r="D245" t="s">
        <v>159</v>
      </c>
      <c r="E245" t="s">
        <v>159</v>
      </c>
      <c r="F245">
        <v>8772</v>
      </c>
      <c r="G245" t="s">
        <v>5543</v>
      </c>
      <c r="H245" t="s">
        <v>1254</v>
      </c>
      <c r="I245">
        <v>15344.439249999999</v>
      </c>
      <c r="J245" t="s">
        <v>5306</v>
      </c>
      <c r="K245" t="s">
        <v>4510</v>
      </c>
      <c r="L245" t="s">
        <v>2537</v>
      </c>
      <c r="M245" t="s">
        <v>2530</v>
      </c>
    </row>
    <row r="246" spans="1:13" x14ac:dyDescent="0.3">
      <c r="A246">
        <v>1109</v>
      </c>
      <c r="B246" t="s">
        <v>1566</v>
      </c>
      <c r="C246" t="s">
        <v>5262</v>
      </c>
      <c r="D246" t="s">
        <v>1203</v>
      </c>
      <c r="E246" t="s">
        <v>1204</v>
      </c>
      <c r="F246">
        <v>6747</v>
      </c>
      <c r="G246" t="s">
        <v>1566</v>
      </c>
      <c r="H246" t="s">
        <v>5264</v>
      </c>
      <c r="I246">
        <v>128.8932897</v>
      </c>
      <c r="J246" t="s">
        <v>1566</v>
      </c>
      <c r="K246" t="s">
        <v>1566</v>
      </c>
      <c r="L246" t="s">
        <v>2530</v>
      </c>
      <c r="M246" t="s">
        <v>2537</v>
      </c>
    </row>
    <row r="247" spans="1:13" x14ac:dyDescent="0.3">
      <c r="A247">
        <v>1110</v>
      </c>
      <c r="B247" t="s">
        <v>1571</v>
      </c>
      <c r="C247" t="s">
        <v>5262</v>
      </c>
      <c r="D247" t="s">
        <v>1203</v>
      </c>
      <c r="E247" t="s">
        <v>1204</v>
      </c>
      <c r="F247">
        <v>7139</v>
      </c>
      <c r="G247" t="s">
        <v>5544</v>
      </c>
      <c r="H247" t="s">
        <v>1254</v>
      </c>
      <c r="I247">
        <v>966</v>
      </c>
      <c r="J247" t="s">
        <v>5545</v>
      </c>
      <c r="K247" t="s">
        <v>5546</v>
      </c>
      <c r="L247" t="s">
        <v>2537</v>
      </c>
      <c r="M247" t="s">
        <v>2537</v>
      </c>
    </row>
    <row r="248" spans="1:13" x14ac:dyDescent="0.3">
      <c r="A248">
        <v>1125</v>
      </c>
      <c r="B248" t="s">
        <v>1572</v>
      </c>
      <c r="C248" t="s">
        <v>5262</v>
      </c>
      <c r="D248" t="s">
        <v>1203</v>
      </c>
      <c r="E248" t="s">
        <v>1204</v>
      </c>
      <c r="F248">
        <v>6188</v>
      </c>
      <c r="G248" t="s">
        <v>5547</v>
      </c>
      <c r="H248" t="s">
        <v>5264</v>
      </c>
      <c r="I248">
        <v>4944</v>
      </c>
      <c r="J248" t="s">
        <v>5547</v>
      </c>
      <c r="K248" t="s">
        <v>4516</v>
      </c>
      <c r="L248" t="s">
        <v>2530</v>
      </c>
      <c r="M248" t="s">
        <v>2537</v>
      </c>
    </row>
    <row r="249" spans="1:13" x14ac:dyDescent="0.3">
      <c r="A249">
        <v>1142</v>
      </c>
      <c r="B249" t="s">
        <v>1574</v>
      </c>
      <c r="C249" t="s">
        <v>5262</v>
      </c>
      <c r="D249" t="s">
        <v>159</v>
      </c>
      <c r="E249" t="s">
        <v>159</v>
      </c>
      <c r="F249">
        <v>7961</v>
      </c>
      <c r="G249" t="s">
        <v>5357</v>
      </c>
      <c r="H249" t="s">
        <v>1254</v>
      </c>
      <c r="I249">
        <v>3251</v>
      </c>
      <c r="J249" t="s">
        <v>2241</v>
      </c>
      <c r="K249" t="s">
        <v>3287</v>
      </c>
      <c r="L249" t="s">
        <v>2537</v>
      </c>
    </row>
    <row r="250" spans="1:13" x14ac:dyDescent="0.3">
      <c r="A250">
        <v>1143</v>
      </c>
      <c r="B250" t="s">
        <v>1575</v>
      </c>
      <c r="C250" t="s">
        <v>5262</v>
      </c>
      <c r="D250" t="s">
        <v>159</v>
      </c>
      <c r="E250" t="s">
        <v>159</v>
      </c>
      <c r="F250">
        <v>5903</v>
      </c>
      <c r="G250" t="s">
        <v>5548</v>
      </c>
      <c r="H250" t="s">
        <v>5264</v>
      </c>
      <c r="I250">
        <v>12036.1781477</v>
      </c>
      <c r="J250" t="s">
        <v>5548</v>
      </c>
      <c r="K250" t="s">
        <v>4518</v>
      </c>
      <c r="L250" t="s">
        <v>2530</v>
      </c>
      <c r="M250" t="s">
        <v>2537</v>
      </c>
    </row>
    <row r="251" spans="1:13" x14ac:dyDescent="0.3">
      <c r="A251">
        <v>1144</v>
      </c>
      <c r="B251" t="s">
        <v>1581</v>
      </c>
      <c r="C251" t="s">
        <v>5262</v>
      </c>
      <c r="D251" t="s">
        <v>1203</v>
      </c>
      <c r="E251" t="s">
        <v>1204</v>
      </c>
      <c r="F251">
        <v>6619</v>
      </c>
      <c r="G251" t="s">
        <v>5549</v>
      </c>
      <c r="H251" t="s">
        <v>5264</v>
      </c>
      <c r="I251">
        <v>926.80413069999997</v>
      </c>
      <c r="J251" t="s">
        <v>5549</v>
      </c>
      <c r="K251" t="s">
        <v>4519</v>
      </c>
      <c r="L251" t="s">
        <v>2537</v>
      </c>
      <c r="M251" t="s">
        <v>2537</v>
      </c>
    </row>
    <row r="252" spans="1:13" x14ac:dyDescent="0.3">
      <c r="A252">
        <v>1154</v>
      </c>
      <c r="B252" t="s">
        <v>1586</v>
      </c>
      <c r="C252" t="s">
        <v>5262</v>
      </c>
      <c r="D252" t="s">
        <v>159</v>
      </c>
      <c r="E252" t="s">
        <v>159</v>
      </c>
      <c r="F252">
        <v>7784</v>
      </c>
      <c r="G252" t="s">
        <v>5550</v>
      </c>
      <c r="H252" t="s">
        <v>1254</v>
      </c>
      <c r="I252">
        <v>8358</v>
      </c>
      <c r="J252" t="s">
        <v>5352</v>
      </c>
      <c r="K252" t="s">
        <v>4823</v>
      </c>
      <c r="L252" t="s">
        <v>2537</v>
      </c>
      <c r="M252" t="s">
        <v>2537</v>
      </c>
    </row>
    <row r="253" spans="1:13" x14ac:dyDescent="0.3">
      <c r="A253">
        <v>1154</v>
      </c>
      <c r="B253" t="s">
        <v>1586</v>
      </c>
      <c r="C253" t="s">
        <v>5262</v>
      </c>
      <c r="D253" t="s">
        <v>159</v>
      </c>
      <c r="E253" t="s">
        <v>159</v>
      </c>
      <c r="F253">
        <v>7784</v>
      </c>
      <c r="G253" t="s">
        <v>5551</v>
      </c>
      <c r="H253" t="s">
        <v>1254</v>
      </c>
      <c r="I253">
        <v>5377</v>
      </c>
      <c r="J253" t="s">
        <v>5352</v>
      </c>
      <c r="K253" t="s">
        <v>4823</v>
      </c>
      <c r="L253" t="s">
        <v>2537</v>
      </c>
      <c r="M253" t="s">
        <v>2537</v>
      </c>
    </row>
    <row r="254" spans="1:13" x14ac:dyDescent="0.3">
      <c r="A254">
        <v>1154</v>
      </c>
      <c r="B254" t="s">
        <v>1586</v>
      </c>
      <c r="C254" t="s">
        <v>5262</v>
      </c>
      <c r="D254" t="s">
        <v>159</v>
      </c>
      <c r="E254" t="s">
        <v>159</v>
      </c>
      <c r="F254">
        <v>7784</v>
      </c>
      <c r="G254" t="s">
        <v>5552</v>
      </c>
      <c r="H254" t="s">
        <v>1254</v>
      </c>
      <c r="I254">
        <v>5586</v>
      </c>
      <c r="J254" t="s">
        <v>5352</v>
      </c>
      <c r="K254" t="s">
        <v>4823</v>
      </c>
      <c r="L254" t="s">
        <v>2537</v>
      </c>
      <c r="M254" t="s">
        <v>2537</v>
      </c>
    </row>
    <row r="255" spans="1:13" x14ac:dyDescent="0.3">
      <c r="A255">
        <v>1154</v>
      </c>
      <c r="B255" t="s">
        <v>1586</v>
      </c>
      <c r="C255" t="s">
        <v>5262</v>
      </c>
      <c r="D255" t="s">
        <v>159</v>
      </c>
      <c r="E255" t="s">
        <v>159</v>
      </c>
      <c r="F255">
        <v>7784</v>
      </c>
      <c r="G255" t="s">
        <v>5553</v>
      </c>
      <c r="H255" t="s">
        <v>1254</v>
      </c>
      <c r="I255">
        <v>2157</v>
      </c>
      <c r="J255" t="s">
        <v>5352</v>
      </c>
      <c r="K255" t="s">
        <v>4823</v>
      </c>
      <c r="L255" t="s">
        <v>2537</v>
      </c>
      <c r="M255" t="s">
        <v>2537</v>
      </c>
    </row>
    <row r="256" spans="1:13" x14ac:dyDescent="0.3">
      <c r="A256">
        <v>1154</v>
      </c>
      <c r="B256" t="s">
        <v>1586</v>
      </c>
      <c r="C256" t="s">
        <v>5262</v>
      </c>
      <c r="D256" t="s">
        <v>159</v>
      </c>
      <c r="E256" t="s">
        <v>159</v>
      </c>
      <c r="F256">
        <v>7784</v>
      </c>
      <c r="G256" t="s">
        <v>687</v>
      </c>
      <c r="H256" t="s">
        <v>1254</v>
      </c>
      <c r="I256">
        <v>4</v>
      </c>
      <c r="J256" t="s">
        <v>5352</v>
      </c>
      <c r="K256" t="s">
        <v>4823</v>
      </c>
      <c r="L256" t="s">
        <v>2537</v>
      </c>
      <c r="M256" t="s">
        <v>2537</v>
      </c>
    </row>
    <row r="257" spans="1:13" x14ac:dyDescent="0.3">
      <c r="A257">
        <v>1157</v>
      </c>
      <c r="B257" t="s">
        <v>1587</v>
      </c>
      <c r="C257" t="s">
        <v>5262</v>
      </c>
      <c r="D257" t="s">
        <v>159</v>
      </c>
      <c r="E257" t="s">
        <v>159</v>
      </c>
      <c r="F257">
        <v>5829</v>
      </c>
      <c r="G257" t="s">
        <v>2148</v>
      </c>
      <c r="H257" t="s">
        <v>1254</v>
      </c>
      <c r="I257">
        <v>1430</v>
      </c>
      <c r="J257" t="s">
        <v>1483</v>
      </c>
      <c r="K257" t="s">
        <v>5554</v>
      </c>
      <c r="L257" t="s">
        <v>2537</v>
      </c>
      <c r="M257" t="s">
        <v>2537</v>
      </c>
    </row>
    <row r="258" spans="1:13" x14ac:dyDescent="0.3">
      <c r="A258">
        <v>1166</v>
      </c>
      <c r="B258" t="s">
        <v>1589</v>
      </c>
      <c r="C258" t="s">
        <v>5262</v>
      </c>
      <c r="D258" t="s">
        <v>1203</v>
      </c>
      <c r="E258" t="s">
        <v>1204</v>
      </c>
      <c r="F258">
        <v>5919</v>
      </c>
      <c r="G258" t="s">
        <v>5555</v>
      </c>
      <c r="H258" t="s">
        <v>1254</v>
      </c>
      <c r="I258">
        <v>1545</v>
      </c>
      <c r="J258" t="s">
        <v>5555</v>
      </c>
      <c r="K258" t="s">
        <v>5556</v>
      </c>
      <c r="L258" t="s">
        <v>2537</v>
      </c>
      <c r="M258" t="s">
        <v>2537</v>
      </c>
    </row>
    <row r="259" spans="1:13" x14ac:dyDescent="0.3">
      <c r="A259">
        <v>1167</v>
      </c>
      <c r="B259" t="s">
        <v>1590</v>
      </c>
      <c r="C259" t="s">
        <v>5262</v>
      </c>
      <c r="D259" t="s">
        <v>159</v>
      </c>
      <c r="E259" t="s">
        <v>159</v>
      </c>
      <c r="F259">
        <v>8662</v>
      </c>
      <c r="G259" t="s">
        <v>5557</v>
      </c>
      <c r="H259" t="s">
        <v>5264</v>
      </c>
      <c r="I259">
        <v>223</v>
      </c>
      <c r="J259" t="s">
        <v>5557</v>
      </c>
      <c r="K259" t="s">
        <v>4523</v>
      </c>
      <c r="L259" t="s">
        <v>2530</v>
      </c>
      <c r="M259" t="s">
        <v>2537</v>
      </c>
    </row>
    <row r="260" spans="1:13" x14ac:dyDescent="0.3">
      <c r="A260">
        <v>1181</v>
      </c>
      <c r="B260" t="s">
        <v>1592</v>
      </c>
      <c r="C260" t="s">
        <v>5262</v>
      </c>
      <c r="D260" t="s">
        <v>1203</v>
      </c>
      <c r="E260" t="s">
        <v>1204</v>
      </c>
      <c r="F260">
        <v>5959</v>
      </c>
      <c r="G260" t="s">
        <v>5558</v>
      </c>
      <c r="H260" t="s">
        <v>5264</v>
      </c>
      <c r="I260">
        <v>0.82</v>
      </c>
      <c r="J260" t="s">
        <v>5333</v>
      </c>
      <c r="K260" t="s">
        <v>5334</v>
      </c>
      <c r="L260" t="s">
        <v>2537</v>
      </c>
      <c r="M260" t="s">
        <v>2530</v>
      </c>
    </row>
    <row r="261" spans="1:13" x14ac:dyDescent="0.3">
      <c r="A261">
        <v>1181</v>
      </c>
      <c r="B261" t="s">
        <v>1592</v>
      </c>
      <c r="C261" t="s">
        <v>5262</v>
      </c>
      <c r="D261" t="s">
        <v>1203</v>
      </c>
      <c r="E261" t="s">
        <v>1204</v>
      </c>
      <c r="F261">
        <v>5959</v>
      </c>
      <c r="G261" t="s">
        <v>5558</v>
      </c>
      <c r="H261" t="s">
        <v>1254</v>
      </c>
      <c r="I261">
        <v>0.14000000000000001</v>
      </c>
      <c r="J261" t="s">
        <v>5333</v>
      </c>
      <c r="K261" t="s">
        <v>5334</v>
      </c>
      <c r="L261" t="s">
        <v>2537</v>
      </c>
      <c r="M261" t="s">
        <v>2530</v>
      </c>
    </row>
    <row r="262" spans="1:13" x14ac:dyDescent="0.3">
      <c r="A262">
        <v>1181</v>
      </c>
      <c r="B262" t="s">
        <v>1592</v>
      </c>
      <c r="C262" t="s">
        <v>5262</v>
      </c>
      <c r="D262" t="s">
        <v>1203</v>
      </c>
      <c r="E262" t="s">
        <v>1204</v>
      </c>
      <c r="F262">
        <v>5959</v>
      </c>
      <c r="G262" t="s">
        <v>5558</v>
      </c>
      <c r="H262" t="s">
        <v>5264</v>
      </c>
      <c r="I262">
        <v>2.27</v>
      </c>
      <c r="J262" t="s">
        <v>5389</v>
      </c>
      <c r="K262" t="s">
        <v>5559</v>
      </c>
      <c r="L262" t="s">
        <v>2537</v>
      </c>
      <c r="M262" t="s">
        <v>2530</v>
      </c>
    </row>
    <row r="263" spans="1:13" x14ac:dyDescent="0.3">
      <c r="A263">
        <v>1181</v>
      </c>
      <c r="B263" t="s">
        <v>1592</v>
      </c>
      <c r="C263" t="s">
        <v>5262</v>
      </c>
      <c r="D263" t="s">
        <v>1203</v>
      </c>
      <c r="E263" t="s">
        <v>1204</v>
      </c>
      <c r="F263">
        <v>5959</v>
      </c>
      <c r="G263" t="s">
        <v>5558</v>
      </c>
      <c r="H263" t="s">
        <v>1254</v>
      </c>
      <c r="I263">
        <v>0.26</v>
      </c>
      <c r="J263" t="s">
        <v>5389</v>
      </c>
      <c r="K263" t="s">
        <v>5559</v>
      </c>
      <c r="L263" t="s">
        <v>2537</v>
      </c>
      <c r="M263" t="s">
        <v>2530</v>
      </c>
    </row>
    <row r="264" spans="1:13" x14ac:dyDescent="0.3">
      <c r="A264">
        <v>1188</v>
      </c>
      <c r="B264" t="s">
        <v>1593</v>
      </c>
      <c r="C264" t="s">
        <v>5262</v>
      </c>
      <c r="D264" t="s">
        <v>159</v>
      </c>
      <c r="E264" t="s">
        <v>159</v>
      </c>
      <c r="F264">
        <v>7794</v>
      </c>
      <c r="G264" t="s">
        <v>5560</v>
      </c>
      <c r="H264" t="s">
        <v>5264</v>
      </c>
      <c r="I264">
        <v>2658</v>
      </c>
      <c r="J264" t="s">
        <v>5560</v>
      </c>
      <c r="K264" t="s">
        <v>4524</v>
      </c>
      <c r="L264" t="s">
        <v>2530</v>
      </c>
      <c r="M264" t="s">
        <v>2537</v>
      </c>
    </row>
    <row r="265" spans="1:13" x14ac:dyDescent="0.3">
      <c r="A265">
        <v>1210</v>
      </c>
      <c r="B265" t="s">
        <v>1595</v>
      </c>
      <c r="C265" t="s">
        <v>5262</v>
      </c>
      <c r="D265" t="s">
        <v>159</v>
      </c>
      <c r="E265" t="s">
        <v>159</v>
      </c>
      <c r="F265">
        <v>7824</v>
      </c>
      <c r="G265" t="s">
        <v>5561</v>
      </c>
      <c r="H265" t="s">
        <v>5264</v>
      </c>
      <c r="I265">
        <v>1175.38404655</v>
      </c>
      <c r="J265" t="s">
        <v>2166</v>
      </c>
      <c r="K265" t="s">
        <v>5562</v>
      </c>
      <c r="L265" t="s">
        <v>2537</v>
      </c>
      <c r="M265" t="s">
        <v>2537</v>
      </c>
    </row>
    <row r="266" spans="1:13" x14ac:dyDescent="0.3">
      <c r="A266">
        <v>1215</v>
      </c>
      <c r="B266" t="s">
        <v>1596</v>
      </c>
      <c r="C266" t="s">
        <v>5262</v>
      </c>
      <c r="D266" t="s">
        <v>159</v>
      </c>
      <c r="E266" t="s">
        <v>159</v>
      </c>
      <c r="F266">
        <v>8749</v>
      </c>
      <c r="G266" t="s">
        <v>5563</v>
      </c>
      <c r="H266" t="s">
        <v>1254</v>
      </c>
      <c r="I266">
        <v>19037</v>
      </c>
      <c r="J266" t="s">
        <v>5326</v>
      </c>
      <c r="K266" t="s">
        <v>5489</v>
      </c>
      <c r="L266" t="s">
        <v>2537</v>
      </c>
      <c r="M266" t="s">
        <v>2537</v>
      </c>
    </row>
    <row r="267" spans="1:13" x14ac:dyDescent="0.3">
      <c r="A267">
        <v>1217</v>
      </c>
      <c r="B267" t="s">
        <v>1598</v>
      </c>
      <c r="C267" t="s">
        <v>5262</v>
      </c>
      <c r="D267" t="s">
        <v>159</v>
      </c>
      <c r="E267" t="s">
        <v>159</v>
      </c>
      <c r="F267">
        <v>5609</v>
      </c>
      <c r="G267" t="s">
        <v>5564</v>
      </c>
      <c r="H267" t="s">
        <v>1254</v>
      </c>
      <c r="I267">
        <v>3119</v>
      </c>
      <c r="J267" t="s">
        <v>3135</v>
      </c>
      <c r="K267" t="s">
        <v>5269</v>
      </c>
      <c r="L267" t="s">
        <v>2537</v>
      </c>
    </row>
    <row r="268" spans="1:13" x14ac:dyDescent="0.3">
      <c r="A268">
        <v>1225</v>
      </c>
      <c r="B268" t="s">
        <v>1599</v>
      </c>
      <c r="C268" t="s">
        <v>5262</v>
      </c>
      <c r="D268" t="s">
        <v>1203</v>
      </c>
      <c r="E268" t="s">
        <v>1204</v>
      </c>
      <c r="F268">
        <v>7664</v>
      </c>
      <c r="G268" t="s">
        <v>4527</v>
      </c>
      <c r="H268" t="s">
        <v>5264</v>
      </c>
      <c r="I268">
        <v>1347.2417661500001</v>
      </c>
      <c r="J268" t="s">
        <v>4527</v>
      </c>
      <c r="K268" t="s">
        <v>4259</v>
      </c>
      <c r="L268" t="s">
        <v>2530</v>
      </c>
      <c r="M268" t="s">
        <v>2537</v>
      </c>
    </row>
    <row r="269" spans="1:13" x14ac:dyDescent="0.3">
      <c r="A269">
        <v>1234</v>
      </c>
      <c r="B269" t="s">
        <v>1600</v>
      </c>
      <c r="C269" t="s">
        <v>5262</v>
      </c>
      <c r="D269" t="s">
        <v>1203</v>
      </c>
      <c r="E269" t="s">
        <v>1204</v>
      </c>
      <c r="F269">
        <v>5993</v>
      </c>
      <c r="G269" t="s">
        <v>5565</v>
      </c>
      <c r="H269" t="s">
        <v>5264</v>
      </c>
      <c r="I269">
        <v>2464</v>
      </c>
      <c r="J269" t="s">
        <v>5565</v>
      </c>
      <c r="K269" t="s">
        <v>5476</v>
      </c>
      <c r="L269" t="s">
        <v>2530</v>
      </c>
    </row>
    <row r="270" spans="1:13" x14ac:dyDescent="0.3">
      <c r="A270">
        <v>1236</v>
      </c>
      <c r="B270" t="s">
        <v>1603</v>
      </c>
      <c r="C270" t="s">
        <v>5262</v>
      </c>
      <c r="D270" t="s">
        <v>159</v>
      </c>
      <c r="E270" t="s">
        <v>159</v>
      </c>
      <c r="F270">
        <v>8367</v>
      </c>
      <c r="G270" t="s">
        <v>5566</v>
      </c>
      <c r="H270" t="s">
        <v>1254</v>
      </c>
      <c r="I270">
        <v>6261</v>
      </c>
      <c r="J270" t="s">
        <v>5566</v>
      </c>
      <c r="K270" t="s">
        <v>4529</v>
      </c>
      <c r="L270" t="s">
        <v>2530</v>
      </c>
      <c r="M270" t="s">
        <v>2537</v>
      </c>
    </row>
    <row r="271" spans="1:13" x14ac:dyDescent="0.3">
      <c r="A271">
        <v>1236</v>
      </c>
      <c r="B271" t="s">
        <v>1603</v>
      </c>
      <c r="C271" t="s">
        <v>5262</v>
      </c>
      <c r="D271" t="s">
        <v>159</v>
      </c>
      <c r="E271" t="s">
        <v>159</v>
      </c>
      <c r="F271">
        <v>8367</v>
      </c>
      <c r="G271" t="s">
        <v>821</v>
      </c>
      <c r="H271" t="s">
        <v>1254</v>
      </c>
      <c r="I271">
        <v>100</v>
      </c>
      <c r="J271" t="s">
        <v>821</v>
      </c>
      <c r="K271" t="s">
        <v>4353</v>
      </c>
      <c r="L271" t="s">
        <v>2530</v>
      </c>
      <c r="M271" t="s">
        <v>2537</v>
      </c>
    </row>
    <row r="272" spans="1:13" x14ac:dyDescent="0.3">
      <c r="A272">
        <v>1238</v>
      </c>
      <c r="B272" t="s">
        <v>1604</v>
      </c>
      <c r="C272" t="s">
        <v>5262</v>
      </c>
      <c r="D272" t="s">
        <v>159</v>
      </c>
      <c r="E272" t="s">
        <v>159</v>
      </c>
      <c r="F272">
        <v>5920</v>
      </c>
      <c r="G272" t="s">
        <v>3469</v>
      </c>
      <c r="H272" t="s">
        <v>1254</v>
      </c>
      <c r="I272">
        <v>5479</v>
      </c>
      <c r="J272" t="s">
        <v>3469</v>
      </c>
      <c r="K272" t="s">
        <v>5269</v>
      </c>
      <c r="L272" t="s">
        <v>2537</v>
      </c>
    </row>
    <row r="273" spans="1:13" x14ac:dyDescent="0.3">
      <c r="A273">
        <v>1245</v>
      </c>
      <c r="B273" t="s">
        <v>1606</v>
      </c>
      <c r="C273" t="s">
        <v>5262</v>
      </c>
      <c r="D273" t="s">
        <v>159</v>
      </c>
      <c r="E273" t="s">
        <v>159</v>
      </c>
      <c r="F273">
        <v>8089</v>
      </c>
      <c r="G273" t="s">
        <v>2142</v>
      </c>
      <c r="H273" t="s">
        <v>1254</v>
      </c>
      <c r="I273">
        <v>112</v>
      </c>
      <c r="J273" t="s">
        <v>5567</v>
      </c>
      <c r="K273" t="s">
        <v>5568</v>
      </c>
      <c r="L273" t="s">
        <v>2537</v>
      </c>
      <c r="M273" t="s">
        <v>2537</v>
      </c>
    </row>
    <row r="274" spans="1:13" x14ac:dyDescent="0.3">
      <c r="A274">
        <v>1245</v>
      </c>
      <c r="B274" t="s">
        <v>1606</v>
      </c>
      <c r="C274" t="s">
        <v>5262</v>
      </c>
      <c r="D274" t="s">
        <v>159</v>
      </c>
      <c r="E274" t="s">
        <v>159</v>
      </c>
      <c r="F274">
        <v>8089</v>
      </c>
      <c r="G274" t="s">
        <v>5569</v>
      </c>
      <c r="H274" t="s">
        <v>5264</v>
      </c>
      <c r="I274">
        <v>22575</v>
      </c>
      <c r="J274" t="s">
        <v>2142</v>
      </c>
      <c r="K274" t="s">
        <v>4531</v>
      </c>
      <c r="L274" t="s">
        <v>2530</v>
      </c>
      <c r="M274" t="s">
        <v>2537</v>
      </c>
    </row>
    <row r="275" spans="1:13" x14ac:dyDescent="0.3">
      <c r="A275">
        <v>1245</v>
      </c>
      <c r="B275" t="s">
        <v>1606</v>
      </c>
      <c r="C275" t="s">
        <v>5262</v>
      </c>
      <c r="D275" t="s">
        <v>159</v>
      </c>
      <c r="E275" t="s">
        <v>159</v>
      </c>
      <c r="F275">
        <v>8089</v>
      </c>
      <c r="G275" t="s">
        <v>2142</v>
      </c>
      <c r="H275" t="s">
        <v>5264</v>
      </c>
      <c r="I275">
        <v>3760</v>
      </c>
      <c r="J275" t="s">
        <v>2142</v>
      </c>
      <c r="K275" t="s">
        <v>5570</v>
      </c>
      <c r="L275" t="s">
        <v>2530</v>
      </c>
      <c r="M275" t="s">
        <v>2537</v>
      </c>
    </row>
    <row r="276" spans="1:13" x14ac:dyDescent="0.3">
      <c r="A276">
        <v>1245</v>
      </c>
      <c r="B276" t="s">
        <v>1606</v>
      </c>
      <c r="C276" t="s">
        <v>5262</v>
      </c>
      <c r="D276" t="s">
        <v>159</v>
      </c>
      <c r="E276" t="s">
        <v>159</v>
      </c>
      <c r="F276">
        <v>8089</v>
      </c>
      <c r="G276" t="s">
        <v>4167</v>
      </c>
      <c r="H276" t="s">
        <v>5264</v>
      </c>
      <c r="I276">
        <v>7568</v>
      </c>
      <c r="J276" t="s">
        <v>4167</v>
      </c>
      <c r="K276" t="s">
        <v>4167</v>
      </c>
      <c r="L276" t="s">
        <v>2530</v>
      </c>
      <c r="M276" t="s">
        <v>2537</v>
      </c>
    </row>
    <row r="277" spans="1:13" x14ac:dyDescent="0.3">
      <c r="A277">
        <v>1273</v>
      </c>
      <c r="B277" t="s">
        <v>1609</v>
      </c>
      <c r="C277" t="s">
        <v>5262</v>
      </c>
      <c r="D277" t="s">
        <v>159</v>
      </c>
      <c r="E277" t="s">
        <v>159</v>
      </c>
      <c r="F277">
        <v>5684</v>
      </c>
      <c r="G277" t="s">
        <v>5571</v>
      </c>
      <c r="H277" t="s">
        <v>5264</v>
      </c>
      <c r="I277">
        <v>939</v>
      </c>
      <c r="J277" t="s">
        <v>5572</v>
      </c>
      <c r="K277" t="s">
        <v>5573</v>
      </c>
      <c r="L277" t="s">
        <v>2537</v>
      </c>
      <c r="M277" t="s">
        <v>2530</v>
      </c>
    </row>
    <row r="278" spans="1:13" x14ac:dyDescent="0.3">
      <c r="A278">
        <v>1273</v>
      </c>
      <c r="B278" t="s">
        <v>1609</v>
      </c>
      <c r="C278" t="s">
        <v>5262</v>
      </c>
      <c r="D278" t="s">
        <v>159</v>
      </c>
      <c r="E278" t="s">
        <v>159</v>
      </c>
      <c r="F278">
        <v>5684</v>
      </c>
      <c r="G278" t="s">
        <v>5571</v>
      </c>
      <c r="H278" t="s">
        <v>5264</v>
      </c>
      <c r="I278">
        <v>5134</v>
      </c>
      <c r="J278" t="s">
        <v>5574</v>
      </c>
      <c r="K278" t="s">
        <v>4536</v>
      </c>
      <c r="L278" t="s">
        <v>2530</v>
      </c>
      <c r="M278" t="s">
        <v>2530</v>
      </c>
    </row>
    <row r="279" spans="1:13" x14ac:dyDescent="0.3">
      <c r="A279">
        <v>1273</v>
      </c>
      <c r="B279" t="s">
        <v>1609</v>
      </c>
      <c r="C279" t="s">
        <v>5262</v>
      </c>
      <c r="D279" t="s">
        <v>159</v>
      </c>
      <c r="E279" t="s">
        <v>159</v>
      </c>
      <c r="F279">
        <v>5684</v>
      </c>
      <c r="G279" t="s">
        <v>5571</v>
      </c>
      <c r="H279" t="s">
        <v>5264</v>
      </c>
      <c r="I279">
        <v>3241</v>
      </c>
      <c r="J279" t="s">
        <v>5575</v>
      </c>
      <c r="K279" t="s">
        <v>4535</v>
      </c>
      <c r="L279" t="s">
        <v>2537</v>
      </c>
      <c r="M279" t="s">
        <v>2537</v>
      </c>
    </row>
    <row r="280" spans="1:13" x14ac:dyDescent="0.3">
      <c r="A280">
        <v>1286</v>
      </c>
      <c r="B280" t="s">
        <v>4537</v>
      </c>
      <c r="C280" t="s">
        <v>5262</v>
      </c>
      <c r="D280" t="s">
        <v>1203</v>
      </c>
      <c r="E280" t="s">
        <v>1204</v>
      </c>
      <c r="F280">
        <v>8691</v>
      </c>
      <c r="G280" t="s">
        <v>4538</v>
      </c>
      <c r="H280" t="s">
        <v>5264</v>
      </c>
      <c r="I280">
        <v>1123.2129531</v>
      </c>
      <c r="J280" t="s">
        <v>4538</v>
      </c>
      <c r="K280" t="s">
        <v>4539</v>
      </c>
      <c r="L280" t="s">
        <v>2530</v>
      </c>
      <c r="M280" t="s">
        <v>2537</v>
      </c>
    </row>
    <row r="281" spans="1:13" x14ac:dyDescent="0.3">
      <c r="A281">
        <v>1324</v>
      </c>
      <c r="B281" t="s">
        <v>1619</v>
      </c>
      <c r="C281" t="s">
        <v>5262</v>
      </c>
      <c r="D281" t="s">
        <v>159</v>
      </c>
      <c r="E281" t="s">
        <v>159</v>
      </c>
      <c r="F281">
        <v>5633</v>
      </c>
      <c r="G281" t="s">
        <v>5576</v>
      </c>
      <c r="H281" t="s">
        <v>1254</v>
      </c>
      <c r="I281">
        <v>5584</v>
      </c>
      <c r="J281" t="s">
        <v>5326</v>
      </c>
      <c r="K281" t="s">
        <v>5290</v>
      </c>
      <c r="L281" t="s">
        <v>2537</v>
      </c>
      <c r="M281" t="s">
        <v>2537</v>
      </c>
    </row>
    <row r="282" spans="1:13" x14ac:dyDescent="0.3">
      <c r="A282">
        <v>1327</v>
      </c>
      <c r="B282" t="s">
        <v>1620</v>
      </c>
      <c r="C282" t="s">
        <v>5262</v>
      </c>
      <c r="D282" t="s">
        <v>159</v>
      </c>
      <c r="E282" t="s">
        <v>159</v>
      </c>
      <c r="F282">
        <v>7985</v>
      </c>
      <c r="G282" t="s">
        <v>5577</v>
      </c>
      <c r="H282" t="s">
        <v>1254</v>
      </c>
      <c r="I282">
        <v>1861</v>
      </c>
      <c r="J282" t="s">
        <v>4167</v>
      </c>
      <c r="K282" t="s">
        <v>5290</v>
      </c>
      <c r="L282" t="s">
        <v>2537</v>
      </c>
      <c r="M282" t="s">
        <v>2537</v>
      </c>
    </row>
    <row r="283" spans="1:13" x14ac:dyDescent="0.3">
      <c r="A283">
        <v>1333</v>
      </c>
      <c r="B283" t="s">
        <v>1623</v>
      </c>
      <c r="C283" t="s">
        <v>5262</v>
      </c>
      <c r="D283" t="s">
        <v>1203</v>
      </c>
      <c r="E283" t="s">
        <v>1204</v>
      </c>
      <c r="F283">
        <v>5662</v>
      </c>
      <c r="G283" t="s">
        <v>3469</v>
      </c>
      <c r="H283" t="s">
        <v>1254</v>
      </c>
      <c r="I283">
        <v>2352</v>
      </c>
      <c r="J283" t="s">
        <v>3469</v>
      </c>
      <c r="K283" t="s">
        <v>5578</v>
      </c>
      <c r="L283" t="s">
        <v>2537</v>
      </c>
    </row>
    <row r="284" spans="1:13" x14ac:dyDescent="0.3">
      <c r="A284">
        <v>1335</v>
      </c>
      <c r="B284" t="s">
        <v>1625</v>
      </c>
      <c r="C284" t="s">
        <v>5262</v>
      </c>
      <c r="D284" t="s">
        <v>159</v>
      </c>
      <c r="E284" t="s">
        <v>159</v>
      </c>
      <c r="F284">
        <v>5719</v>
      </c>
      <c r="G284" t="s">
        <v>5579</v>
      </c>
      <c r="H284" t="s">
        <v>1254</v>
      </c>
      <c r="I284">
        <v>1154</v>
      </c>
      <c r="J284" t="s">
        <v>5580</v>
      </c>
      <c r="K284" t="s">
        <v>4660</v>
      </c>
      <c r="L284" t="s">
        <v>2537</v>
      </c>
      <c r="M284" t="s">
        <v>2537</v>
      </c>
    </row>
    <row r="285" spans="1:13" x14ac:dyDescent="0.3">
      <c r="A285">
        <v>1343</v>
      </c>
      <c r="B285" t="s">
        <v>1626</v>
      </c>
      <c r="C285" t="s">
        <v>5262</v>
      </c>
      <c r="D285" t="s">
        <v>159</v>
      </c>
      <c r="E285" t="s">
        <v>159</v>
      </c>
      <c r="F285">
        <v>7914</v>
      </c>
      <c r="G285" t="s">
        <v>1626</v>
      </c>
      <c r="H285" t="s">
        <v>5264</v>
      </c>
      <c r="I285">
        <v>1296</v>
      </c>
      <c r="J285" t="s">
        <v>1626</v>
      </c>
      <c r="K285" t="s">
        <v>4540</v>
      </c>
      <c r="L285" t="s">
        <v>2530</v>
      </c>
      <c r="M285" t="s">
        <v>2537</v>
      </c>
    </row>
    <row r="286" spans="1:13" x14ac:dyDescent="0.3">
      <c r="A286">
        <v>1352</v>
      </c>
      <c r="B286" t="s">
        <v>1631</v>
      </c>
      <c r="C286" t="s">
        <v>5262</v>
      </c>
      <c r="D286" t="s">
        <v>1203</v>
      </c>
      <c r="E286" t="s">
        <v>1204</v>
      </c>
      <c r="F286">
        <v>6941</v>
      </c>
      <c r="G286" t="s">
        <v>2148</v>
      </c>
      <c r="H286" t="s">
        <v>1254</v>
      </c>
      <c r="I286">
        <v>250</v>
      </c>
      <c r="J286" t="s">
        <v>5581</v>
      </c>
      <c r="K286" t="s">
        <v>4442</v>
      </c>
      <c r="L286" t="s">
        <v>2537</v>
      </c>
      <c r="M286" t="s">
        <v>2537</v>
      </c>
    </row>
    <row r="287" spans="1:13" x14ac:dyDescent="0.3">
      <c r="A287">
        <v>1352</v>
      </c>
      <c r="B287" t="s">
        <v>1631</v>
      </c>
      <c r="C287" t="s">
        <v>5262</v>
      </c>
      <c r="D287" t="s">
        <v>1203</v>
      </c>
      <c r="E287" t="s">
        <v>1204</v>
      </c>
      <c r="F287">
        <v>6941</v>
      </c>
      <c r="G287" t="s">
        <v>1483</v>
      </c>
      <c r="H287" t="s">
        <v>1254</v>
      </c>
      <c r="I287">
        <v>250</v>
      </c>
      <c r="J287" t="s">
        <v>5582</v>
      </c>
      <c r="K287" t="s">
        <v>4443</v>
      </c>
      <c r="L287" t="s">
        <v>2537</v>
      </c>
      <c r="M287" t="s">
        <v>2537</v>
      </c>
    </row>
    <row r="288" spans="1:13" x14ac:dyDescent="0.3">
      <c r="A288">
        <v>1352</v>
      </c>
      <c r="B288" t="s">
        <v>1631</v>
      </c>
      <c r="C288" t="s">
        <v>5262</v>
      </c>
      <c r="D288" t="s">
        <v>1203</v>
      </c>
      <c r="E288" t="s">
        <v>1204</v>
      </c>
      <c r="F288">
        <v>6941</v>
      </c>
      <c r="G288" t="s">
        <v>1631</v>
      </c>
      <c r="H288" t="s">
        <v>1254</v>
      </c>
      <c r="I288">
        <v>2420</v>
      </c>
      <c r="J288" t="s">
        <v>5582</v>
      </c>
      <c r="K288" t="s">
        <v>4442</v>
      </c>
      <c r="L288" t="s">
        <v>2537</v>
      </c>
      <c r="M288" t="s">
        <v>2537</v>
      </c>
    </row>
    <row r="289" spans="1:13" x14ac:dyDescent="0.3">
      <c r="A289">
        <v>1352</v>
      </c>
      <c r="B289" t="s">
        <v>1631</v>
      </c>
      <c r="C289" t="s">
        <v>5262</v>
      </c>
      <c r="D289" t="s">
        <v>1203</v>
      </c>
      <c r="E289" t="s">
        <v>1204</v>
      </c>
      <c r="F289">
        <v>6941</v>
      </c>
      <c r="G289" t="s">
        <v>2149</v>
      </c>
      <c r="H289" t="s">
        <v>1254</v>
      </c>
      <c r="I289">
        <v>250</v>
      </c>
      <c r="J289" t="s">
        <v>5582</v>
      </c>
      <c r="K289" t="s">
        <v>4443</v>
      </c>
      <c r="L289" t="s">
        <v>2537</v>
      </c>
      <c r="M289" t="s">
        <v>2537</v>
      </c>
    </row>
    <row r="290" spans="1:13" x14ac:dyDescent="0.3">
      <c r="A290">
        <v>1370</v>
      </c>
      <c r="B290" t="s">
        <v>1633</v>
      </c>
      <c r="C290" t="s">
        <v>5262</v>
      </c>
      <c r="D290" t="s">
        <v>159</v>
      </c>
      <c r="E290" t="s">
        <v>159</v>
      </c>
      <c r="F290">
        <v>8099</v>
      </c>
      <c r="G290" t="s">
        <v>5314</v>
      </c>
      <c r="H290" t="s">
        <v>5264</v>
      </c>
      <c r="I290">
        <v>25938</v>
      </c>
      <c r="J290" t="s">
        <v>5314</v>
      </c>
      <c r="K290" t="s">
        <v>5583</v>
      </c>
      <c r="L290" t="s">
        <v>2537</v>
      </c>
      <c r="M290" t="s">
        <v>2537</v>
      </c>
    </row>
    <row r="291" spans="1:13" x14ac:dyDescent="0.3">
      <c r="A291">
        <v>1371</v>
      </c>
      <c r="B291" t="s">
        <v>1635</v>
      </c>
      <c r="C291" t="s">
        <v>5262</v>
      </c>
      <c r="D291" t="s">
        <v>1203</v>
      </c>
      <c r="E291" t="s">
        <v>1204</v>
      </c>
      <c r="F291">
        <v>7512</v>
      </c>
      <c r="G291" t="s">
        <v>1635</v>
      </c>
      <c r="H291" t="s">
        <v>5264</v>
      </c>
      <c r="I291">
        <v>1298.1395605499999</v>
      </c>
      <c r="J291" t="s">
        <v>1635</v>
      </c>
      <c r="K291" t="s">
        <v>4883</v>
      </c>
      <c r="L291" t="s">
        <v>2530</v>
      </c>
      <c r="M291" t="s">
        <v>2537</v>
      </c>
    </row>
    <row r="292" spans="1:13" x14ac:dyDescent="0.3">
      <c r="A292">
        <v>1384</v>
      </c>
      <c r="B292" t="s">
        <v>1637</v>
      </c>
      <c r="C292" t="s">
        <v>5262</v>
      </c>
      <c r="D292" t="s">
        <v>159</v>
      </c>
      <c r="E292" t="s">
        <v>159</v>
      </c>
      <c r="F292">
        <v>8664</v>
      </c>
      <c r="G292" t="s">
        <v>5584</v>
      </c>
      <c r="H292" t="s">
        <v>5264</v>
      </c>
      <c r="I292">
        <v>4779</v>
      </c>
      <c r="J292" t="s">
        <v>5584</v>
      </c>
      <c r="K292" t="s">
        <v>4551</v>
      </c>
      <c r="L292" t="s">
        <v>2530</v>
      </c>
      <c r="M292" t="s">
        <v>2537</v>
      </c>
    </row>
    <row r="293" spans="1:13" x14ac:dyDescent="0.3">
      <c r="A293">
        <v>1388</v>
      </c>
      <c r="B293" t="s">
        <v>1640</v>
      </c>
      <c r="C293" t="s">
        <v>5262</v>
      </c>
      <c r="D293" t="s">
        <v>159</v>
      </c>
      <c r="E293" t="s">
        <v>159</v>
      </c>
      <c r="F293">
        <v>5503</v>
      </c>
      <c r="G293" t="s">
        <v>2222</v>
      </c>
      <c r="H293" t="s">
        <v>5264</v>
      </c>
      <c r="I293">
        <v>934</v>
      </c>
      <c r="J293" t="s">
        <v>2222</v>
      </c>
      <c r="K293" t="s">
        <v>5585</v>
      </c>
      <c r="L293" t="s">
        <v>2530</v>
      </c>
      <c r="M293" t="s">
        <v>2530</v>
      </c>
    </row>
    <row r="294" spans="1:13" x14ac:dyDescent="0.3">
      <c r="A294">
        <v>1388</v>
      </c>
      <c r="B294" t="s">
        <v>1640</v>
      </c>
      <c r="C294" t="s">
        <v>5262</v>
      </c>
      <c r="D294" t="s">
        <v>159</v>
      </c>
      <c r="E294" t="s">
        <v>159</v>
      </c>
      <c r="F294">
        <v>5503</v>
      </c>
      <c r="G294" t="s">
        <v>2222</v>
      </c>
      <c r="H294" t="s">
        <v>5264</v>
      </c>
      <c r="I294">
        <v>1149</v>
      </c>
      <c r="J294" t="s">
        <v>2221</v>
      </c>
      <c r="K294" t="s">
        <v>5586</v>
      </c>
      <c r="L294" t="s">
        <v>2537</v>
      </c>
    </row>
    <row r="295" spans="1:13" x14ac:dyDescent="0.3">
      <c r="A295">
        <v>1869</v>
      </c>
      <c r="B295" t="s">
        <v>1643</v>
      </c>
      <c r="C295" t="s">
        <v>5262</v>
      </c>
      <c r="D295" t="s">
        <v>159</v>
      </c>
      <c r="E295" t="s">
        <v>159</v>
      </c>
      <c r="F295">
        <v>5551</v>
      </c>
      <c r="G295" t="s">
        <v>5357</v>
      </c>
      <c r="H295" t="s">
        <v>1254</v>
      </c>
      <c r="I295">
        <v>8900</v>
      </c>
      <c r="J295" t="s">
        <v>5357</v>
      </c>
      <c r="K295" t="s">
        <v>5587</v>
      </c>
      <c r="L295" t="s">
        <v>2537</v>
      </c>
      <c r="M295" t="s">
        <v>2537</v>
      </c>
    </row>
    <row r="296" spans="1:13" x14ac:dyDescent="0.3">
      <c r="A296">
        <v>1424</v>
      </c>
      <c r="B296" t="s">
        <v>1644</v>
      </c>
      <c r="C296" t="s">
        <v>5262</v>
      </c>
      <c r="D296" t="s">
        <v>159</v>
      </c>
      <c r="E296" t="s">
        <v>159</v>
      </c>
      <c r="F296">
        <v>5558</v>
      </c>
      <c r="G296" t="s">
        <v>5588</v>
      </c>
      <c r="H296" t="s">
        <v>5264</v>
      </c>
      <c r="I296">
        <v>3380</v>
      </c>
      <c r="J296" t="s">
        <v>5588</v>
      </c>
      <c r="K296" t="s">
        <v>5589</v>
      </c>
      <c r="L296" t="s">
        <v>2530</v>
      </c>
      <c r="M296" t="s">
        <v>2537</v>
      </c>
    </row>
    <row r="297" spans="1:13" x14ac:dyDescent="0.3">
      <c r="A297">
        <v>1425</v>
      </c>
      <c r="B297" t="s">
        <v>1647</v>
      </c>
      <c r="C297" t="s">
        <v>5262</v>
      </c>
      <c r="D297" t="s">
        <v>159</v>
      </c>
      <c r="E297" t="s">
        <v>159</v>
      </c>
      <c r="F297">
        <v>7826</v>
      </c>
      <c r="G297" t="s">
        <v>3135</v>
      </c>
      <c r="H297" t="s">
        <v>1254</v>
      </c>
      <c r="I297">
        <v>1380</v>
      </c>
      <c r="J297" t="s">
        <v>3135</v>
      </c>
      <c r="K297" t="s">
        <v>5590</v>
      </c>
      <c r="L297" t="s">
        <v>2537</v>
      </c>
      <c r="M297" t="s">
        <v>2537</v>
      </c>
    </row>
    <row r="298" spans="1:13" x14ac:dyDescent="0.3">
      <c r="A298">
        <v>1427</v>
      </c>
      <c r="B298" t="s">
        <v>1650</v>
      </c>
      <c r="C298" t="s">
        <v>5262</v>
      </c>
      <c r="D298" t="s">
        <v>159</v>
      </c>
      <c r="E298" t="s">
        <v>159</v>
      </c>
      <c r="F298">
        <v>6005</v>
      </c>
      <c r="G298" t="s">
        <v>1650</v>
      </c>
      <c r="H298" t="s">
        <v>5264</v>
      </c>
      <c r="I298">
        <v>2672</v>
      </c>
      <c r="J298" t="s">
        <v>1650</v>
      </c>
      <c r="K298" t="s">
        <v>5591</v>
      </c>
      <c r="L298" t="s">
        <v>2530</v>
      </c>
      <c r="M298" t="s">
        <v>2537</v>
      </c>
    </row>
    <row r="299" spans="1:13" x14ac:dyDescent="0.3">
      <c r="A299">
        <v>1443</v>
      </c>
      <c r="B299" t="s">
        <v>1651</v>
      </c>
      <c r="C299" t="s">
        <v>5262</v>
      </c>
      <c r="D299" t="s">
        <v>159</v>
      </c>
      <c r="E299" t="s">
        <v>159</v>
      </c>
      <c r="F299">
        <v>7974</v>
      </c>
      <c r="G299" t="s">
        <v>5381</v>
      </c>
      <c r="H299" t="s">
        <v>5264</v>
      </c>
      <c r="I299">
        <v>6113.2245972000001</v>
      </c>
      <c r="J299" t="s">
        <v>5381</v>
      </c>
      <c r="K299" t="s">
        <v>5382</v>
      </c>
      <c r="L299" t="s">
        <v>2530</v>
      </c>
      <c r="M299" t="s">
        <v>2537</v>
      </c>
    </row>
    <row r="300" spans="1:13" x14ac:dyDescent="0.3">
      <c r="A300">
        <v>1444</v>
      </c>
      <c r="B300" t="s">
        <v>1653</v>
      </c>
      <c r="C300" t="s">
        <v>5262</v>
      </c>
      <c r="D300" t="s">
        <v>1203</v>
      </c>
      <c r="E300" t="s">
        <v>1204</v>
      </c>
      <c r="F300">
        <v>7975</v>
      </c>
      <c r="G300" t="s">
        <v>4568</v>
      </c>
      <c r="H300" t="s">
        <v>5264</v>
      </c>
      <c r="I300">
        <v>1402.4817474500001</v>
      </c>
      <c r="J300" t="s">
        <v>4568</v>
      </c>
      <c r="K300" t="s">
        <v>5592</v>
      </c>
      <c r="L300" t="s">
        <v>2530</v>
      </c>
      <c r="M300" t="s">
        <v>2537</v>
      </c>
    </row>
    <row r="301" spans="1:13" x14ac:dyDescent="0.3">
      <c r="A301">
        <v>1450</v>
      </c>
      <c r="B301" t="s">
        <v>1660</v>
      </c>
      <c r="C301" t="s">
        <v>5262</v>
      </c>
      <c r="D301" t="s">
        <v>1203</v>
      </c>
      <c r="E301" t="s">
        <v>1204</v>
      </c>
      <c r="F301">
        <v>8853</v>
      </c>
      <c r="G301" t="s">
        <v>5593</v>
      </c>
      <c r="H301" t="s">
        <v>5264</v>
      </c>
      <c r="I301">
        <v>5787</v>
      </c>
      <c r="J301" t="s">
        <v>5593</v>
      </c>
      <c r="K301" t="s">
        <v>5594</v>
      </c>
      <c r="L301" t="s">
        <v>2530</v>
      </c>
      <c r="M301" t="s">
        <v>2537</v>
      </c>
    </row>
    <row r="302" spans="1:13" x14ac:dyDescent="0.3">
      <c r="A302">
        <v>1452</v>
      </c>
      <c r="B302" t="s">
        <v>1661</v>
      </c>
      <c r="C302" t="s">
        <v>5262</v>
      </c>
      <c r="D302" t="s">
        <v>159</v>
      </c>
      <c r="E302" t="s">
        <v>159</v>
      </c>
      <c r="F302">
        <v>5740</v>
      </c>
      <c r="G302" t="s">
        <v>5595</v>
      </c>
      <c r="H302" t="s">
        <v>5264</v>
      </c>
      <c r="I302">
        <v>2556</v>
      </c>
      <c r="J302" t="s">
        <v>5492</v>
      </c>
      <c r="K302" t="s">
        <v>5493</v>
      </c>
      <c r="L302" t="s">
        <v>2537</v>
      </c>
      <c r="M302" t="s">
        <v>2537</v>
      </c>
    </row>
    <row r="303" spans="1:13" x14ac:dyDescent="0.3">
      <c r="A303">
        <v>1456</v>
      </c>
      <c r="B303" t="s">
        <v>1664</v>
      </c>
      <c r="C303" t="s">
        <v>5262</v>
      </c>
      <c r="D303" t="s">
        <v>159</v>
      </c>
      <c r="E303" t="s">
        <v>159</v>
      </c>
      <c r="F303">
        <v>7786</v>
      </c>
      <c r="G303" t="s">
        <v>5596</v>
      </c>
      <c r="H303" t="s">
        <v>1254</v>
      </c>
      <c r="I303">
        <v>1484</v>
      </c>
      <c r="J303" t="s">
        <v>3135</v>
      </c>
      <c r="K303" t="s">
        <v>5269</v>
      </c>
      <c r="L303" t="s">
        <v>2537</v>
      </c>
      <c r="M303" t="s">
        <v>2537</v>
      </c>
    </row>
    <row r="304" spans="1:13" x14ac:dyDescent="0.3">
      <c r="A304">
        <v>1459</v>
      </c>
      <c r="B304" t="s">
        <v>1665</v>
      </c>
      <c r="C304" t="s">
        <v>5262</v>
      </c>
      <c r="D304" t="s">
        <v>159</v>
      </c>
      <c r="E304" t="s">
        <v>159</v>
      </c>
      <c r="F304">
        <v>5681</v>
      </c>
      <c r="G304" t="s">
        <v>5597</v>
      </c>
      <c r="H304" t="s">
        <v>5264</v>
      </c>
      <c r="I304">
        <v>2351</v>
      </c>
      <c r="J304" t="s">
        <v>5597</v>
      </c>
      <c r="K304" t="s">
        <v>5598</v>
      </c>
      <c r="L304" t="s">
        <v>2530</v>
      </c>
      <c r="M304" t="s">
        <v>2537</v>
      </c>
    </row>
    <row r="305" spans="1:13" x14ac:dyDescent="0.3">
      <c r="A305">
        <v>1464</v>
      </c>
      <c r="B305" t="s">
        <v>1667</v>
      </c>
      <c r="C305" t="s">
        <v>5262</v>
      </c>
      <c r="D305" t="s">
        <v>159</v>
      </c>
      <c r="E305" t="s">
        <v>159</v>
      </c>
      <c r="F305">
        <v>7899</v>
      </c>
      <c r="G305" t="s">
        <v>5314</v>
      </c>
      <c r="H305" t="s">
        <v>1254</v>
      </c>
      <c r="I305">
        <v>10685</v>
      </c>
      <c r="J305" t="s">
        <v>5314</v>
      </c>
      <c r="K305" t="s">
        <v>4577</v>
      </c>
      <c r="L305" t="s">
        <v>2530</v>
      </c>
      <c r="M305" t="s">
        <v>2530</v>
      </c>
    </row>
    <row r="306" spans="1:13" x14ac:dyDescent="0.3">
      <c r="A306">
        <v>1473</v>
      </c>
      <c r="B306" t="s">
        <v>1669</v>
      </c>
      <c r="C306" t="s">
        <v>5262</v>
      </c>
      <c r="D306" t="s">
        <v>159</v>
      </c>
      <c r="E306" t="s">
        <v>159</v>
      </c>
      <c r="F306">
        <v>6646</v>
      </c>
      <c r="G306" t="s">
        <v>5599</v>
      </c>
      <c r="H306" t="s">
        <v>5264</v>
      </c>
      <c r="I306">
        <v>288000</v>
      </c>
      <c r="J306" t="s">
        <v>5599</v>
      </c>
      <c r="K306" t="s">
        <v>4581</v>
      </c>
      <c r="L306" t="s">
        <v>2530</v>
      </c>
      <c r="M306" t="s">
        <v>2537</v>
      </c>
    </row>
    <row r="307" spans="1:13" x14ac:dyDescent="0.3">
      <c r="A307">
        <v>1473</v>
      </c>
      <c r="B307" t="s">
        <v>1669</v>
      </c>
      <c r="C307" t="s">
        <v>5262</v>
      </c>
      <c r="D307" t="s">
        <v>159</v>
      </c>
      <c r="E307" t="s">
        <v>159</v>
      </c>
      <c r="F307">
        <v>6646</v>
      </c>
      <c r="G307" t="s">
        <v>5599</v>
      </c>
      <c r="H307" t="s">
        <v>5264</v>
      </c>
      <c r="I307">
        <v>34000</v>
      </c>
      <c r="J307" t="s">
        <v>5599</v>
      </c>
      <c r="K307" t="s">
        <v>4584</v>
      </c>
      <c r="L307" t="s">
        <v>2530</v>
      </c>
      <c r="M307" t="s">
        <v>2537</v>
      </c>
    </row>
    <row r="308" spans="1:13" x14ac:dyDescent="0.3">
      <c r="A308">
        <v>1473</v>
      </c>
      <c r="B308" t="s">
        <v>1669</v>
      </c>
      <c r="C308" t="s">
        <v>5262</v>
      </c>
      <c r="D308" t="s">
        <v>159</v>
      </c>
      <c r="E308" t="s">
        <v>159</v>
      </c>
      <c r="F308">
        <v>6646</v>
      </c>
      <c r="G308" t="s">
        <v>5599</v>
      </c>
      <c r="H308" t="s">
        <v>5264</v>
      </c>
      <c r="I308">
        <v>15000</v>
      </c>
      <c r="J308" t="s">
        <v>5599</v>
      </c>
      <c r="K308" t="s">
        <v>5450</v>
      </c>
      <c r="L308" t="s">
        <v>2530</v>
      </c>
      <c r="M308" t="s">
        <v>2537</v>
      </c>
    </row>
    <row r="309" spans="1:13" x14ac:dyDescent="0.3">
      <c r="A309">
        <v>1473</v>
      </c>
      <c r="B309" t="s">
        <v>1669</v>
      </c>
      <c r="C309" t="s">
        <v>5262</v>
      </c>
      <c r="D309" t="s">
        <v>159</v>
      </c>
      <c r="E309" t="s">
        <v>159</v>
      </c>
      <c r="F309">
        <v>6646</v>
      </c>
      <c r="G309" t="s">
        <v>5599</v>
      </c>
      <c r="H309" t="s">
        <v>5264</v>
      </c>
      <c r="I309">
        <v>14000</v>
      </c>
      <c r="J309" t="s">
        <v>5599</v>
      </c>
      <c r="K309" t="s">
        <v>4589</v>
      </c>
      <c r="L309" t="s">
        <v>2530</v>
      </c>
      <c r="M309" t="s">
        <v>2537</v>
      </c>
    </row>
    <row r="310" spans="1:13" x14ac:dyDescent="0.3">
      <c r="A310">
        <v>1481</v>
      </c>
      <c r="B310" t="s">
        <v>1670</v>
      </c>
      <c r="C310" t="s">
        <v>5262</v>
      </c>
      <c r="D310" t="s">
        <v>1203</v>
      </c>
      <c r="E310" t="s">
        <v>1204</v>
      </c>
      <c r="F310">
        <v>6739</v>
      </c>
      <c r="G310" t="s">
        <v>5600</v>
      </c>
      <c r="H310" t="s">
        <v>5264</v>
      </c>
      <c r="I310">
        <v>132</v>
      </c>
      <c r="J310" t="s">
        <v>5600</v>
      </c>
      <c r="K310" t="s">
        <v>4593</v>
      </c>
      <c r="L310" t="s">
        <v>2530</v>
      </c>
      <c r="M310" t="s">
        <v>2537</v>
      </c>
    </row>
    <row r="311" spans="1:13" x14ac:dyDescent="0.3">
      <c r="A311">
        <v>1481</v>
      </c>
      <c r="B311" t="s">
        <v>1670</v>
      </c>
      <c r="C311" t="s">
        <v>5262</v>
      </c>
      <c r="D311" t="s">
        <v>1203</v>
      </c>
      <c r="E311" t="s">
        <v>1204</v>
      </c>
      <c r="F311">
        <v>6739</v>
      </c>
      <c r="G311" t="s">
        <v>5601</v>
      </c>
      <c r="H311" t="s">
        <v>1254</v>
      </c>
      <c r="I311">
        <v>75</v>
      </c>
      <c r="J311" t="s">
        <v>5601</v>
      </c>
      <c r="K311" t="s">
        <v>4596</v>
      </c>
      <c r="L311" t="s">
        <v>2530</v>
      </c>
    </row>
    <row r="312" spans="1:13" x14ac:dyDescent="0.3">
      <c r="A312">
        <v>1481</v>
      </c>
      <c r="B312" t="s">
        <v>1670</v>
      </c>
      <c r="C312" t="s">
        <v>5262</v>
      </c>
      <c r="D312" t="s">
        <v>1203</v>
      </c>
      <c r="E312" t="s">
        <v>1204</v>
      </c>
      <c r="F312">
        <v>6739</v>
      </c>
      <c r="G312" t="s">
        <v>1637</v>
      </c>
      <c r="H312" t="s">
        <v>5264</v>
      </c>
      <c r="I312">
        <v>5</v>
      </c>
      <c r="J312" t="s">
        <v>1637</v>
      </c>
      <c r="K312" t="s">
        <v>4551</v>
      </c>
      <c r="L312" t="s">
        <v>2537</v>
      </c>
    </row>
    <row r="313" spans="1:13" x14ac:dyDescent="0.3">
      <c r="A313">
        <v>1481</v>
      </c>
      <c r="B313" t="s">
        <v>1670</v>
      </c>
      <c r="C313" t="s">
        <v>5262</v>
      </c>
      <c r="D313" t="s">
        <v>1203</v>
      </c>
      <c r="E313" t="s">
        <v>1204</v>
      </c>
      <c r="F313">
        <v>6739</v>
      </c>
      <c r="G313" t="s">
        <v>5600</v>
      </c>
      <c r="H313" t="s">
        <v>5264</v>
      </c>
      <c r="I313">
        <v>31</v>
      </c>
      <c r="J313" t="s">
        <v>5600</v>
      </c>
      <c r="K313" t="s">
        <v>4601</v>
      </c>
      <c r="L313" t="s">
        <v>2530</v>
      </c>
      <c r="M313" t="s">
        <v>2537</v>
      </c>
    </row>
    <row r="314" spans="1:13" x14ac:dyDescent="0.3">
      <c r="A314">
        <v>1481</v>
      </c>
      <c r="B314" t="s">
        <v>1670</v>
      </c>
      <c r="C314" t="s">
        <v>5262</v>
      </c>
      <c r="D314" t="s">
        <v>1203</v>
      </c>
      <c r="E314" t="s">
        <v>1204</v>
      </c>
      <c r="F314">
        <v>6739</v>
      </c>
      <c r="G314" t="s">
        <v>5600</v>
      </c>
      <c r="H314" t="s">
        <v>5264</v>
      </c>
      <c r="I314">
        <v>46</v>
      </c>
      <c r="J314" t="s">
        <v>5600</v>
      </c>
      <c r="K314" t="s">
        <v>4599</v>
      </c>
      <c r="L314" t="s">
        <v>2530</v>
      </c>
      <c r="M314" t="s">
        <v>2537</v>
      </c>
    </row>
    <row r="315" spans="1:13" x14ac:dyDescent="0.3">
      <c r="A315">
        <v>1484</v>
      </c>
      <c r="B315" t="s">
        <v>1674</v>
      </c>
      <c r="C315" t="s">
        <v>5262</v>
      </c>
      <c r="D315" t="s">
        <v>1203</v>
      </c>
      <c r="E315" t="s">
        <v>1204</v>
      </c>
      <c r="F315">
        <v>6741</v>
      </c>
      <c r="G315" t="s">
        <v>5602</v>
      </c>
      <c r="H315" t="s">
        <v>5264</v>
      </c>
      <c r="I315">
        <v>16416</v>
      </c>
      <c r="J315" t="s">
        <v>5603</v>
      </c>
      <c r="K315" t="s">
        <v>4603</v>
      </c>
      <c r="L315" t="s">
        <v>2537</v>
      </c>
      <c r="M315" t="s">
        <v>2537</v>
      </c>
    </row>
    <row r="316" spans="1:13" x14ac:dyDescent="0.3">
      <c r="A316">
        <v>1484</v>
      </c>
      <c r="B316" t="s">
        <v>1674</v>
      </c>
      <c r="C316" t="s">
        <v>5262</v>
      </c>
      <c r="D316" t="s">
        <v>1203</v>
      </c>
      <c r="E316" t="s">
        <v>1204</v>
      </c>
      <c r="F316">
        <v>6741</v>
      </c>
      <c r="G316" t="s">
        <v>5604</v>
      </c>
      <c r="H316" t="s">
        <v>5264</v>
      </c>
      <c r="I316">
        <v>10402</v>
      </c>
      <c r="J316" t="s">
        <v>5605</v>
      </c>
      <c r="K316" t="s">
        <v>5606</v>
      </c>
      <c r="L316" t="s">
        <v>2537</v>
      </c>
      <c r="M316" t="s">
        <v>2537</v>
      </c>
    </row>
    <row r="317" spans="1:13" x14ac:dyDescent="0.3">
      <c r="A317">
        <v>1487</v>
      </c>
      <c r="B317" t="s">
        <v>1677</v>
      </c>
      <c r="C317" t="s">
        <v>5262</v>
      </c>
      <c r="D317" t="s">
        <v>1203</v>
      </c>
      <c r="E317" t="s">
        <v>1204</v>
      </c>
      <c r="F317">
        <v>5663</v>
      </c>
      <c r="G317" t="s">
        <v>5607</v>
      </c>
      <c r="H317" t="s">
        <v>1254</v>
      </c>
      <c r="I317">
        <v>3535</v>
      </c>
      <c r="J317" t="s">
        <v>5607</v>
      </c>
      <c r="K317" t="s">
        <v>5608</v>
      </c>
      <c r="L317" t="s">
        <v>2530</v>
      </c>
      <c r="M317" t="s">
        <v>2537</v>
      </c>
    </row>
    <row r="318" spans="1:13" x14ac:dyDescent="0.3">
      <c r="A318">
        <v>1506</v>
      </c>
      <c r="B318" t="s">
        <v>1678</v>
      </c>
      <c r="C318" t="s">
        <v>5262</v>
      </c>
      <c r="D318" t="s">
        <v>159</v>
      </c>
      <c r="E318" t="s">
        <v>159</v>
      </c>
      <c r="F318">
        <v>7862</v>
      </c>
      <c r="G318" t="s">
        <v>5609</v>
      </c>
      <c r="H318" t="s">
        <v>1254</v>
      </c>
      <c r="I318">
        <v>4257</v>
      </c>
      <c r="J318" t="s">
        <v>3135</v>
      </c>
      <c r="K318" t="s">
        <v>5269</v>
      </c>
      <c r="L318" t="s">
        <v>2537</v>
      </c>
      <c r="M318" t="s">
        <v>2537</v>
      </c>
    </row>
    <row r="319" spans="1:13" x14ac:dyDescent="0.3">
      <c r="A319">
        <v>1533</v>
      </c>
      <c r="B319" t="s">
        <v>1679</v>
      </c>
      <c r="C319" t="s">
        <v>5262</v>
      </c>
      <c r="D319" t="s">
        <v>159</v>
      </c>
      <c r="E319" t="s">
        <v>159</v>
      </c>
      <c r="F319">
        <v>8052</v>
      </c>
      <c r="G319" t="s">
        <v>1679</v>
      </c>
      <c r="H319" t="s">
        <v>5264</v>
      </c>
      <c r="I319">
        <v>1407</v>
      </c>
      <c r="J319" t="s">
        <v>1679</v>
      </c>
      <c r="K319" t="s">
        <v>4605</v>
      </c>
      <c r="L319" t="s">
        <v>2530</v>
      </c>
      <c r="M319" t="s">
        <v>2537</v>
      </c>
    </row>
    <row r="320" spans="1:13" x14ac:dyDescent="0.3">
      <c r="A320">
        <v>1536</v>
      </c>
      <c r="B320" t="s">
        <v>1684</v>
      </c>
      <c r="C320" t="s">
        <v>5262</v>
      </c>
      <c r="D320" t="s">
        <v>1203</v>
      </c>
      <c r="E320" t="s">
        <v>1204</v>
      </c>
      <c r="F320">
        <v>5518</v>
      </c>
      <c r="G320" t="s">
        <v>5610</v>
      </c>
      <c r="H320" t="s">
        <v>1254</v>
      </c>
      <c r="I320">
        <v>2350</v>
      </c>
      <c r="J320" t="s">
        <v>5297</v>
      </c>
      <c r="K320" t="s">
        <v>5269</v>
      </c>
      <c r="L320" t="s">
        <v>2537</v>
      </c>
      <c r="M320" t="s">
        <v>2537</v>
      </c>
    </row>
    <row r="321" spans="1:13" x14ac:dyDescent="0.3">
      <c r="A321">
        <v>1546</v>
      </c>
      <c r="B321" t="s">
        <v>1686</v>
      </c>
      <c r="C321" t="s">
        <v>5262</v>
      </c>
      <c r="D321" t="s">
        <v>159</v>
      </c>
      <c r="E321" t="s">
        <v>159</v>
      </c>
      <c r="F321">
        <v>8065</v>
      </c>
      <c r="G321" t="s">
        <v>5611</v>
      </c>
      <c r="H321" t="s">
        <v>1254</v>
      </c>
      <c r="I321">
        <v>93</v>
      </c>
      <c r="J321" t="s">
        <v>5612</v>
      </c>
      <c r="K321" t="s">
        <v>5613</v>
      </c>
      <c r="L321" t="s">
        <v>2530</v>
      </c>
      <c r="M321" t="s">
        <v>2537</v>
      </c>
    </row>
    <row r="322" spans="1:13" x14ac:dyDescent="0.3">
      <c r="A322">
        <v>1546</v>
      </c>
      <c r="B322" t="s">
        <v>1686</v>
      </c>
      <c r="C322" t="s">
        <v>5262</v>
      </c>
      <c r="D322" t="s">
        <v>159</v>
      </c>
      <c r="E322" t="s">
        <v>159</v>
      </c>
      <c r="F322">
        <v>8065</v>
      </c>
      <c r="G322" t="s">
        <v>5614</v>
      </c>
      <c r="H322" t="s">
        <v>5264</v>
      </c>
      <c r="I322">
        <v>527</v>
      </c>
      <c r="J322" t="s">
        <v>5615</v>
      </c>
      <c r="K322" t="s">
        <v>5616</v>
      </c>
      <c r="L322" t="s">
        <v>2530</v>
      </c>
      <c r="M322" t="s">
        <v>2537</v>
      </c>
    </row>
    <row r="323" spans="1:13" x14ac:dyDescent="0.3">
      <c r="A323">
        <v>1546</v>
      </c>
      <c r="B323" t="s">
        <v>1686</v>
      </c>
      <c r="C323" t="s">
        <v>5262</v>
      </c>
      <c r="D323" t="s">
        <v>159</v>
      </c>
      <c r="E323" t="s">
        <v>159</v>
      </c>
      <c r="F323">
        <v>8065</v>
      </c>
      <c r="G323" t="s">
        <v>5617</v>
      </c>
      <c r="H323" t="s">
        <v>1254</v>
      </c>
      <c r="I323">
        <v>795</v>
      </c>
      <c r="J323" t="s">
        <v>5612</v>
      </c>
      <c r="K323" t="s">
        <v>5613</v>
      </c>
      <c r="L323" t="s">
        <v>2530</v>
      </c>
      <c r="M323" t="s">
        <v>2537</v>
      </c>
    </row>
    <row r="324" spans="1:13" x14ac:dyDescent="0.3">
      <c r="A324">
        <v>1546</v>
      </c>
      <c r="B324" t="s">
        <v>1686</v>
      </c>
      <c r="C324" t="s">
        <v>5262</v>
      </c>
      <c r="D324" t="s">
        <v>159</v>
      </c>
      <c r="E324" t="s">
        <v>159</v>
      </c>
      <c r="F324">
        <v>8065</v>
      </c>
      <c r="G324" t="s">
        <v>5618</v>
      </c>
      <c r="H324" t="s">
        <v>5264</v>
      </c>
      <c r="I324">
        <v>4437</v>
      </c>
      <c r="J324" t="s">
        <v>5619</v>
      </c>
      <c r="K324" t="s">
        <v>5616</v>
      </c>
      <c r="L324" t="s">
        <v>2530</v>
      </c>
      <c r="M324" t="s">
        <v>2537</v>
      </c>
    </row>
    <row r="325" spans="1:13" x14ac:dyDescent="0.3">
      <c r="A325">
        <v>1546</v>
      </c>
      <c r="B325" t="s">
        <v>1686</v>
      </c>
      <c r="C325" t="s">
        <v>5262</v>
      </c>
      <c r="D325" t="s">
        <v>159</v>
      </c>
      <c r="E325" t="s">
        <v>159</v>
      </c>
      <c r="F325">
        <v>8065</v>
      </c>
      <c r="G325" t="s">
        <v>5620</v>
      </c>
      <c r="H325" t="s">
        <v>5264</v>
      </c>
      <c r="I325">
        <v>5596</v>
      </c>
      <c r="J325" t="s">
        <v>5619</v>
      </c>
      <c r="K325" t="s">
        <v>5616</v>
      </c>
      <c r="L325" t="s">
        <v>2530</v>
      </c>
      <c r="M325" t="s">
        <v>2537</v>
      </c>
    </row>
    <row r="326" spans="1:13" x14ac:dyDescent="0.3">
      <c r="A326">
        <v>1546</v>
      </c>
      <c r="B326" t="s">
        <v>1686</v>
      </c>
      <c r="C326" t="s">
        <v>5262</v>
      </c>
      <c r="D326" t="s">
        <v>159</v>
      </c>
      <c r="E326" t="s">
        <v>159</v>
      </c>
      <c r="F326">
        <v>8065</v>
      </c>
      <c r="G326" t="s">
        <v>5621</v>
      </c>
      <c r="H326" t="s">
        <v>5264</v>
      </c>
      <c r="I326">
        <v>1190</v>
      </c>
      <c r="J326" t="s">
        <v>5619</v>
      </c>
      <c r="K326" t="s">
        <v>5616</v>
      </c>
      <c r="L326" t="s">
        <v>2530</v>
      </c>
      <c r="M326" t="s">
        <v>2537</v>
      </c>
    </row>
    <row r="327" spans="1:13" x14ac:dyDescent="0.3">
      <c r="A327">
        <v>1546</v>
      </c>
      <c r="B327" t="s">
        <v>1686</v>
      </c>
      <c r="C327" t="s">
        <v>5262</v>
      </c>
      <c r="D327" t="s">
        <v>159</v>
      </c>
      <c r="E327" t="s">
        <v>159</v>
      </c>
      <c r="F327">
        <v>8065</v>
      </c>
      <c r="G327" t="s">
        <v>5622</v>
      </c>
      <c r="H327" t="s">
        <v>1254</v>
      </c>
      <c r="I327">
        <v>510</v>
      </c>
      <c r="J327" t="s">
        <v>5623</v>
      </c>
      <c r="K327" t="s">
        <v>5624</v>
      </c>
      <c r="L327" t="s">
        <v>2530</v>
      </c>
      <c r="M327" t="s">
        <v>2537</v>
      </c>
    </row>
    <row r="328" spans="1:13" x14ac:dyDescent="0.3">
      <c r="A328">
        <v>1546</v>
      </c>
      <c r="B328" t="s">
        <v>1686</v>
      </c>
      <c r="C328" t="s">
        <v>5262</v>
      </c>
      <c r="D328" t="s">
        <v>159</v>
      </c>
      <c r="E328" t="s">
        <v>159</v>
      </c>
      <c r="F328">
        <v>8065</v>
      </c>
      <c r="G328" t="s">
        <v>5625</v>
      </c>
      <c r="H328" t="s">
        <v>1254</v>
      </c>
      <c r="I328">
        <v>128</v>
      </c>
      <c r="J328" t="s">
        <v>5626</v>
      </c>
      <c r="K328" t="s">
        <v>5613</v>
      </c>
      <c r="L328" t="s">
        <v>2530</v>
      </c>
      <c r="M328" t="s">
        <v>2537</v>
      </c>
    </row>
    <row r="329" spans="1:13" x14ac:dyDescent="0.3">
      <c r="A329">
        <v>1546</v>
      </c>
      <c r="B329" t="s">
        <v>1686</v>
      </c>
      <c r="C329" t="s">
        <v>5262</v>
      </c>
      <c r="D329" t="s">
        <v>159</v>
      </c>
      <c r="E329" t="s">
        <v>159</v>
      </c>
      <c r="F329">
        <v>8065</v>
      </c>
      <c r="G329" t="s">
        <v>5627</v>
      </c>
      <c r="H329" t="s">
        <v>1254</v>
      </c>
      <c r="I329">
        <v>177</v>
      </c>
      <c r="J329" t="s">
        <v>5612</v>
      </c>
      <c r="K329" t="s">
        <v>5613</v>
      </c>
      <c r="L329" t="s">
        <v>2530</v>
      </c>
      <c r="M329" t="s">
        <v>2537</v>
      </c>
    </row>
    <row r="330" spans="1:13" x14ac:dyDescent="0.3">
      <c r="A330">
        <v>1546</v>
      </c>
      <c r="B330" t="s">
        <v>1686</v>
      </c>
      <c r="C330" t="s">
        <v>5262</v>
      </c>
      <c r="D330" t="s">
        <v>159</v>
      </c>
      <c r="E330" t="s">
        <v>159</v>
      </c>
      <c r="F330">
        <v>8065</v>
      </c>
      <c r="G330" t="s">
        <v>5628</v>
      </c>
      <c r="H330" t="s">
        <v>1254</v>
      </c>
      <c r="I330">
        <v>1199</v>
      </c>
      <c r="J330" t="s">
        <v>5612</v>
      </c>
      <c r="K330" t="s">
        <v>5613</v>
      </c>
      <c r="L330" t="s">
        <v>2530</v>
      </c>
      <c r="M330" t="s">
        <v>2537</v>
      </c>
    </row>
    <row r="331" spans="1:13" x14ac:dyDescent="0.3">
      <c r="A331">
        <v>1546</v>
      </c>
      <c r="B331" t="s">
        <v>1686</v>
      </c>
      <c r="C331" t="s">
        <v>5262</v>
      </c>
      <c r="D331" t="s">
        <v>159</v>
      </c>
      <c r="E331" t="s">
        <v>159</v>
      </c>
      <c r="F331">
        <v>8065</v>
      </c>
      <c r="G331" t="s">
        <v>5629</v>
      </c>
      <c r="H331" t="s">
        <v>1254</v>
      </c>
      <c r="I331">
        <v>290</v>
      </c>
      <c r="J331" t="s">
        <v>5630</v>
      </c>
      <c r="K331" t="s">
        <v>5631</v>
      </c>
      <c r="L331" t="s">
        <v>2530</v>
      </c>
      <c r="M331" t="s">
        <v>2537</v>
      </c>
    </row>
    <row r="332" spans="1:13" x14ac:dyDescent="0.3">
      <c r="A332">
        <v>1546</v>
      </c>
      <c r="B332" t="s">
        <v>1686</v>
      </c>
      <c r="C332" t="s">
        <v>5262</v>
      </c>
      <c r="D332" t="s">
        <v>159</v>
      </c>
      <c r="E332" t="s">
        <v>159</v>
      </c>
      <c r="F332">
        <v>8065</v>
      </c>
      <c r="G332" t="s">
        <v>5632</v>
      </c>
      <c r="H332" t="s">
        <v>5264</v>
      </c>
      <c r="I332">
        <v>2435</v>
      </c>
      <c r="J332" t="s">
        <v>4693</v>
      </c>
      <c r="K332" t="s">
        <v>5633</v>
      </c>
      <c r="L332" t="s">
        <v>2530</v>
      </c>
      <c r="M332" t="s">
        <v>2537</v>
      </c>
    </row>
    <row r="333" spans="1:13" x14ac:dyDescent="0.3">
      <c r="A333">
        <v>1546</v>
      </c>
      <c r="B333" t="s">
        <v>1686</v>
      </c>
      <c r="C333" t="s">
        <v>5262</v>
      </c>
      <c r="D333" t="s">
        <v>159</v>
      </c>
      <c r="E333" t="s">
        <v>159</v>
      </c>
      <c r="F333">
        <v>8065</v>
      </c>
      <c r="G333" t="s">
        <v>5634</v>
      </c>
      <c r="H333" t="s">
        <v>5264</v>
      </c>
      <c r="I333">
        <v>18</v>
      </c>
      <c r="J333" t="s">
        <v>5635</v>
      </c>
      <c r="K333" t="s">
        <v>5636</v>
      </c>
      <c r="L333" t="s">
        <v>2530</v>
      </c>
      <c r="M333" t="s">
        <v>2537</v>
      </c>
    </row>
    <row r="334" spans="1:13" x14ac:dyDescent="0.3">
      <c r="A334">
        <v>1546</v>
      </c>
      <c r="B334" t="s">
        <v>1686</v>
      </c>
      <c r="C334" t="s">
        <v>5262</v>
      </c>
      <c r="D334" t="s">
        <v>159</v>
      </c>
      <c r="E334" t="s">
        <v>159</v>
      </c>
      <c r="F334">
        <v>8065</v>
      </c>
      <c r="G334" t="s">
        <v>5637</v>
      </c>
      <c r="H334" t="s">
        <v>5264</v>
      </c>
      <c r="I334">
        <v>666</v>
      </c>
      <c r="J334" t="s">
        <v>5635</v>
      </c>
      <c r="K334" t="s">
        <v>5638</v>
      </c>
      <c r="L334" t="s">
        <v>2530</v>
      </c>
      <c r="M334" t="s">
        <v>2537</v>
      </c>
    </row>
    <row r="335" spans="1:13" x14ac:dyDescent="0.3">
      <c r="A335">
        <v>1546</v>
      </c>
      <c r="B335" t="s">
        <v>1686</v>
      </c>
      <c r="C335" t="s">
        <v>5262</v>
      </c>
      <c r="D335" t="s">
        <v>159</v>
      </c>
      <c r="E335" t="s">
        <v>159</v>
      </c>
      <c r="F335">
        <v>8065</v>
      </c>
      <c r="G335" t="s">
        <v>5623</v>
      </c>
      <c r="H335" t="s">
        <v>5264</v>
      </c>
      <c r="I335">
        <v>366</v>
      </c>
      <c r="J335" t="s">
        <v>5623</v>
      </c>
      <c r="K335" t="s">
        <v>5624</v>
      </c>
      <c r="L335" t="s">
        <v>2530</v>
      </c>
      <c r="M335" t="s">
        <v>2537</v>
      </c>
    </row>
    <row r="336" spans="1:13" x14ac:dyDescent="0.3">
      <c r="A336">
        <v>1546</v>
      </c>
      <c r="B336" t="s">
        <v>1686</v>
      </c>
      <c r="C336" t="s">
        <v>5262</v>
      </c>
      <c r="D336" t="s">
        <v>159</v>
      </c>
      <c r="E336" t="s">
        <v>159</v>
      </c>
      <c r="F336">
        <v>8065</v>
      </c>
      <c r="G336" t="s">
        <v>5639</v>
      </c>
      <c r="H336" t="s">
        <v>1254</v>
      </c>
      <c r="I336">
        <v>59</v>
      </c>
      <c r="J336" t="s">
        <v>5623</v>
      </c>
      <c r="K336" t="s">
        <v>5624</v>
      </c>
      <c r="L336" t="s">
        <v>2530</v>
      </c>
      <c r="M336" t="s">
        <v>2537</v>
      </c>
    </row>
    <row r="337" spans="1:13" x14ac:dyDescent="0.3">
      <c r="A337">
        <v>1547</v>
      </c>
      <c r="B337" t="s">
        <v>1693</v>
      </c>
      <c r="C337" t="s">
        <v>5262</v>
      </c>
      <c r="D337" t="s">
        <v>159</v>
      </c>
      <c r="E337" t="s">
        <v>159</v>
      </c>
      <c r="F337">
        <v>5782</v>
      </c>
      <c r="G337" t="s">
        <v>5640</v>
      </c>
      <c r="H337" t="s">
        <v>5264</v>
      </c>
      <c r="I337">
        <v>1205</v>
      </c>
      <c r="J337" t="s">
        <v>5641</v>
      </c>
      <c r="K337" t="s">
        <v>5642</v>
      </c>
      <c r="L337" t="s">
        <v>2537</v>
      </c>
      <c r="M337" t="s">
        <v>2537</v>
      </c>
    </row>
    <row r="338" spans="1:13" x14ac:dyDescent="0.3">
      <c r="A338">
        <v>1547</v>
      </c>
      <c r="B338" t="s">
        <v>1693</v>
      </c>
      <c r="C338" t="s">
        <v>5262</v>
      </c>
      <c r="D338" t="s">
        <v>159</v>
      </c>
      <c r="E338" t="s">
        <v>159</v>
      </c>
      <c r="F338">
        <v>5782</v>
      </c>
      <c r="G338" t="s">
        <v>5643</v>
      </c>
      <c r="H338" t="s">
        <v>1254</v>
      </c>
      <c r="I338">
        <v>4</v>
      </c>
      <c r="J338" t="s">
        <v>5641</v>
      </c>
      <c r="K338" t="s">
        <v>5642</v>
      </c>
      <c r="L338" t="s">
        <v>2537</v>
      </c>
      <c r="M338" t="s">
        <v>2537</v>
      </c>
    </row>
    <row r="339" spans="1:13" x14ac:dyDescent="0.3">
      <c r="A339">
        <v>1547</v>
      </c>
      <c r="B339" t="s">
        <v>1693</v>
      </c>
      <c r="C339" t="s">
        <v>5262</v>
      </c>
      <c r="D339" t="s">
        <v>159</v>
      </c>
      <c r="E339" t="s">
        <v>159</v>
      </c>
      <c r="F339">
        <v>5782</v>
      </c>
      <c r="G339" t="s">
        <v>5644</v>
      </c>
      <c r="H339" t="s">
        <v>5264</v>
      </c>
      <c r="I339">
        <v>970</v>
      </c>
      <c r="J339" t="s">
        <v>5641</v>
      </c>
      <c r="K339" t="s">
        <v>5642</v>
      </c>
      <c r="L339" t="s">
        <v>2537</v>
      </c>
      <c r="M339" t="s">
        <v>2537</v>
      </c>
    </row>
    <row r="340" spans="1:13" x14ac:dyDescent="0.3">
      <c r="A340">
        <v>1554</v>
      </c>
      <c r="B340" t="s">
        <v>1694</v>
      </c>
      <c r="C340" t="s">
        <v>5262</v>
      </c>
      <c r="D340" t="s">
        <v>1203</v>
      </c>
      <c r="E340" t="s">
        <v>1204</v>
      </c>
      <c r="F340">
        <v>5469</v>
      </c>
      <c r="G340" t="s">
        <v>5441</v>
      </c>
      <c r="H340" t="s">
        <v>1254</v>
      </c>
      <c r="I340">
        <v>1665</v>
      </c>
      <c r="J340" t="s">
        <v>5441</v>
      </c>
      <c r="K340" t="s">
        <v>5442</v>
      </c>
      <c r="L340" t="s">
        <v>2537</v>
      </c>
    </row>
    <row r="341" spans="1:13" x14ac:dyDescent="0.3">
      <c r="A341">
        <v>1554</v>
      </c>
      <c r="B341" t="s">
        <v>1694</v>
      </c>
      <c r="C341" t="s">
        <v>5262</v>
      </c>
      <c r="D341" t="s">
        <v>1203</v>
      </c>
      <c r="E341" t="s">
        <v>1204</v>
      </c>
      <c r="F341">
        <v>5469</v>
      </c>
      <c r="G341" t="s">
        <v>5445</v>
      </c>
      <c r="H341" t="s">
        <v>1254</v>
      </c>
      <c r="I341">
        <v>820</v>
      </c>
      <c r="J341" t="s">
        <v>5445</v>
      </c>
      <c r="K341" t="s">
        <v>5446</v>
      </c>
      <c r="L341" t="s">
        <v>2537</v>
      </c>
    </row>
    <row r="342" spans="1:13" x14ac:dyDescent="0.3">
      <c r="A342">
        <v>3056</v>
      </c>
      <c r="B342" t="s">
        <v>1695</v>
      </c>
      <c r="C342" t="s">
        <v>5262</v>
      </c>
      <c r="D342" t="s">
        <v>1203</v>
      </c>
      <c r="E342" t="s">
        <v>1204</v>
      </c>
      <c r="F342">
        <v>8088</v>
      </c>
      <c r="G342" t="s">
        <v>5645</v>
      </c>
      <c r="H342" t="s">
        <v>5264</v>
      </c>
      <c r="I342">
        <v>1040.35298115</v>
      </c>
      <c r="J342" t="s">
        <v>5645</v>
      </c>
      <c r="K342" t="s">
        <v>5646</v>
      </c>
      <c r="L342" t="s">
        <v>2537</v>
      </c>
      <c r="M342" t="s">
        <v>2537</v>
      </c>
    </row>
    <row r="343" spans="1:13" x14ac:dyDescent="0.3">
      <c r="A343">
        <v>1570</v>
      </c>
      <c r="B343" t="s">
        <v>1697</v>
      </c>
      <c r="C343" t="s">
        <v>5262</v>
      </c>
      <c r="D343" t="s">
        <v>159</v>
      </c>
      <c r="E343" t="s">
        <v>159</v>
      </c>
      <c r="F343">
        <v>6877</v>
      </c>
      <c r="G343" t="s">
        <v>1697</v>
      </c>
      <c r="H343" t="s">
        <v>5264</v>
      </c>
      <c r="I343">
        <v>1028.07742975</v>
      </c>
      <c r="J343" t="s">
        <v>1697</v>
      </c>
      <c r="K343" t="s">
        <v>5647</v>
      </c>
      <c r="L343" t="s">
        <v>2530</v>
      </c>
      <c r="M343" t="s">
        <v>2537</v>
      </c>
    </row>
    <row r="344" spans="1:13" x14ac:dyDescent="0.3">
      <c r="A344">
        <v>1587</v>
      </c>
      <c r="B344" t="s">
        <v>1699</v>
      </c>
      <c r="C344" t="s">
        <v>5262</v>
      </c>
      <c r="D344" t="s">
        <v>159</v>
      </c>
      <c r="E344" t="s">
        <v>159</v>
      </c>
      <c r="F344">
        <v>7799</v>
      </c>
      <c r="G344" t="s">
        <v>5491</v>
      </c>
      <c r="H344" t="s">
        <v>1254</v>
      </c>
      <c r="I344">
        <v>2679.1390930500002</v>
      </c>
      <c r="J344" t="s">
        <v>5367</v>
      </c>
      <c r="K344" t="s">
        <v>4775</v>
      </c>
      <c r="L344" t="s">
        <v>2537</v>
      </c>
    </row>
    <row r="345" spans="1:13" x14ac:dyDescent="0.3">
      <c r="A345">
        <v>1589</v>
      </c>
      <c r="B345" t="s">
        <v>1703</v>
      </c>
      <c r="C345" t="s">
        <v>5262</v>
      </c>
      <c r="D345" t="s">
        <v>1203</v>
      </c>
      <c r="E345" t="s">
        <v>1204</v>
      </c>
      <c r="F345">
        <v>5456</v>
      </c>
      <c r="G345" t="s">
        <v>5648</v>
      </c>
      <c r="H345" t="s">
        <v>5264</v>
      </c>
      <c r="I345">
        <v>8848</v>
      </c>
      <c r="J345" t="s">
        <v>5648</v>
      </c>
      <c r="K345" t="s">
        <v>5649</v>
      </c>
      <c r="L345" t="s">
        <v>2537</v>
      </c>
      <c r="M345" t="s">
        <v>2537</v>
      </c>
    </row>
    <row r="346" spans="1:13" x14ac:dyDescent="0.3">
      <c r="A346">
        <v>1596</v>
      </c>
      <c r="B346" t="s">
        <v>1704</v>
      </c>
      <c r="C346" t="s">
        <v>5262</v>
      </c>
      <c r="D346" t="s">
        <v>159</v>
      </c>
      <c r="E346" t="s">
        <v>159</v>
      </c>
      <c r="F346">
        <v>8071</v>
      </c>
      <c r="G346" t="s">
        <v>5650</v>
      </c>
      <c r="H346" t="s">
        <v>1254</v>
      </c>
      <c r="I346">
        <v>8467</v>
      </c>
      <c r="J346" t="s">
        <v>5326</v>
      </c>
      <c r="K346" t="s">
        <v>5290</v>
      </c>
      <c r="L346" t="s">
        <v>2537</v>
      </c>
      <c r="M346" t="s">
        <v>2537</v>
      </c>
    </row>
    <row r="347" spans="1:13" x14ac:dyDescent="0.3">
      <c r="A347">
        <v>1605</v>
      </c>
      <c r="B347" t="s">
        <v>1706</v>
      </c>
      <c r="C347" t="s">
        <v>5262</v>
      </c>
      <c r="D347" t="s">
        <v>1203</v>
      </c>
      <c r="E347" t="s">
        <v>1204</v>
      </c>
      <c r="F347">
        <v>6395</v>
      </c>
      <c r="G347" t="s">
        <v>5651</v>
      </c>
      <c r="H347" t="s">
        <v>5264</v>
      </c>
      <c r="I347">
        <v>1601.9594577</v>
      </c>
      <c r="J347" t="s">
        <v>5652</v>
      </c>
      <c r="K347" t="s">
        <v>5652</v>
      </c>
      <c r="L347" t="s">
        <v>2537</v>
      </c>
      <c r="M347" t="s">
        <v>2537</v>
      </c>
    </row>
    <row r="348" spans="1:13" x14ac:dyDescent="0.3">
      <c r="A348">
        <v>1605</v>
      </c>
      <c r="B348" t="s">
        <v>1706</v>
      </c>
      <c r="C348" t="s">
        <v>5262</v>
      </c>
      <c r="D348" t="s">
        <v>1203</v>
      </c>
      <c r="E348" t="s">
        <v>1204</v>
      </c>
      <c r="F348">
        <v>6395</v>
      </c>
      <c r="G348" t="s">
        <v>5653</v>
      </c>
      <c r="H348" t="s">
        <v>1254</v>
      </c>
      <c r="I348">
        <v>55.239981299999997</v>
      </c>
      <c r="J348" t="s">
        <v>5652</v>
      </c>
      <c r="K348" t="s">
        <v>5652</v>
      </c>
      <c r="L348" t="s">
        <v>2537</v>
      </c>
      <c r="M348" t="s">
        <v>2537</v>
      </c>
    </row>
    <row r="349" spans="1:13" x14ac:dyDescent="0.3">
      <c r="A349">
        <v>1613</v>
      </c>
      <c r="B349" t="s">
        <v>1707</v>
      </c>
      <c r="C349" t="s">
        <v>5262</v>
      </c>
      <c r="D349" t="s">
        <v>159</v>
      </c>
      <c r="E349" t="s">
        <v>159</v>
      </c>
      <c r="F349">
        <v>7976</v>
      </c>
      <c r="G349" t="s">
        <v>4641</v>
      </c>
      <c r="H349" t="s">
        <v>5264</v>
      </c>
      <c r="I349">
        <v>1623.4416726500001</v>
      </c>
      <c r="J349" t="s">
        <v>4641</v>
      </c>
      <c r="K349" t="s">
        <v>5654</v>
      </c>
      <c r="L349" t="s">
        <v>2530</v>
      </c>
      <c r="M349" t="s">
        <v>2537</v>
      </c>
    </row>
    <row r="350" spans="1:13" x14ac:dyDescent="0.3">
      <c r="A350">
        <v>1619</v>
      </c>
      <c r="B350" t="s">
        <v>1713</v>
      </c>
      <c r="C350" t="s">
        <v>5262</v>
      </c>
      <c r="D350" t="s">
        <v>159</v>
      </c>
      <c r="E350" t="s">
        <v>159</v>
      </c>
      <c r="F350">
        <v>5467</v>
      </c>
      <c r="G350" t="s">
        <v>5655</v>
      </c>
      <c r="H350" t="s">
        <v>5264</v>
      </c>
      <c r="I350">
        <v>6235.9801111999996</v>
      </c>
      <c r="J350" t="s">
        <v>5656</v>
      </c>
      <c r="K350" t="s">
        <v>5657</v>
      </c>
      <c r="L350" t="s">
        <v>2537</v>
      </c>
      <c r="M350" t="s">
        <v>2530</v>
      </c>
    </row>
    <row r="351" spans="1:13" x14ac:dyDescent="0.3">
      <c r="A351">
        <v>1626</v>
      </c>
      <c r="B351" t="s">
        <v>1716</v>
      </c>
      <c r="C351" t="s">
        <v>5262</v>
      </c>
      <c r="D351" t="s">
        <v>159</v>
      </c>
      <c r="E351" t="s">
        <v>159</v>
      </c>
      <c r="F351">
        <v>8368</v>
      </c>
      <c r="G351" t="s">
        <v>5658</v>
      </c>
      <c r="H351" t="s">
        <v>5264</v>
      </c>
      <c r="I351">
        <v>51</v>
      </c>
      <c r="J351" t="s">
        <v>5658</v>
      </c>
      <c r="K351" t="s">
        <v>4644</v>
      </c>
      <c r="L351" t="s">
        <v>2530</v>
      </c>
      <c r="M351" t="s">
        <v>2537</v>
      </c>
    </row>
    <row r="352" spans="1:13" x14ac:dyDescent="0.3">
      <c r="A352">
        <v>1626</v>
      </c>
      <c r="B352" t="s">
        <v>1716</v>
      </c>
      <c r="C352" t="s">
        <v>5262</v>
      </c>
      <c r="D352" t="s">
        <v>159</v>
      </c>
      <c r="E352" t="s">
        <v>159</v>
      </c>
      <c r="F352">
        <v>8368</v>
      </c>
      <c r="G352" t="s">
        <v>5658</v>
      </c>
      <c r="H352" t="s">
        <v>5264</v>
      </c>
      <c r="I352">
        <v>2244</v>
      </c>
      <c r="J352" t="s">
        <v>5658</v>
      </c>
      <c r="K352" t="s">
        <v>4642</v>
      </c>
      <c r="L352" t="s">
        <v>2530</v>
      </c>
      <c r="M352" t="s">
        <v>2537</v>
      </c>
    </row>
    <row r="353" spans="1:13" x14ac:dyDescent="0.3">
      <c r="A353">
        <v>1631</v>
      </c>
      <c r="B353" t="s">
        <v>1717</v>
      </c>
      <c r="C353" t="s">
        <v>5262</v>
      </c>
      <c r="D353" t="s">
        <v>159</v>
      </c>
      <c r="E353" t="s">
        <v>159</v>
      </c>
      <c r="F353">
        <v>6740</v>
      </c>
      <c r="G353" t="s">
        <v>2174</v>
      </c>
      <c r="H353" t="s">
        <v>5264</v>
      </c>
      <c r="I353">
        <v>23587</v>
      </c>
      <c r="J353" t="s">
        <v>2174</v>
      </c>
      <c r="K353" t="s">
        <v>5659</v>
      </c>
      <c r="L353" t="s">
        <v>2537</v>
      </c>
    </row>
    <row r="354" spans="1:13" x14ac:dyDescent="0.3">
      <c r="A354">
        <v>1631</v>
      </c>
      <c r="B354" t="s">
        <v>1717</v>
      </c>
      <c r="C354" t="s">
        <v>5262</v>
      </c>
      <c r="D354" t="s">
        <v>159</v>
      </c>
      <c r="E354" t="s">
        <v>159</v>
      </c>
      <c r="F354">
        <v>6740</v>
      </c>
      <c r="G354" t="s">
        <v>5660</v>
      </c>
      <c r="H354" t="s">
        <v>5264</v>
      </c>
      <c r="I354">
        <v>1234</v>
      </c>
      <c r="J354" t="s">
        <v>5660</v>
      </c>
      <c r="K354" t="s">
        <v>5661</v>
      </c>
      <c r="L354" t="s">
        <v>2537</v>
      </c>
    </row>
    <row r="355" spans="1:13" x14ac:dyDescent="0.3">
      <c r="A355">
        <v>1631</v>
      </c>
      <c r="B355" t="s">
        <v>1717</v>
      </c>
      <c r="C355" t="s">
        <v>5262</v>
      </c>
      <c r="D355" t="s">
        <v>159</v>
      </c>
      <c r="E355" t="s">
        <v>159</v>
      </c>
      <c r="F355">
        <v>6740</v>
      </c>
      <c r="G355" t="s">
        <v>2174</v>
      </c>
      <c r="H355" t="s">
        <v>5264</v>
      </c>
      <c r="I355">
        <v>20815</v>
      </c>
      <c r="J355" t="s">
        <v>2174</v>
      </c>
      <c r="K355" t="s">
        <v>5662</v>
      </c>
      <c r="L355" t="s">
        <v>2530</v>
      </c>
    </row>
    <row r="356" spans="1:13" x14ac:dyDescent="0.3">
      <c r="A356">
        <v>1631</v>
      </c>
      <c r="B356" t="s">
        <v>1717</v>
      </c>
      <c r="C356" t="s">
        <v>5262</v>
      </c>
      <c r="D356" t="s">
        <v>159</v>
      </c>
      <c r="E356" t="s">
        <v>159</v>
      </c>
      <c r="F356">
        <v>6740</v>
      </c>
      <c r="G356" t="s">
        <v>5663</v>
      </c>
      <c r="H356" t="s">
        <v>1254</v>
      </c>
      <c r="I356">
        <v>107</v>
      </c>
      <c r="J356" t="s">
        <v>5663</v>
      </c>
      <c r="K356" t="s">
        <v>5664</v>
      </c>
      <c r="L356" t="s">
        <v>2537</v>
      </c>
    </row>
    <row r="357" spans="1:13" x14ac:dyDescent="0.3">
      <c r="A357">
        <v>1631</v>
      </c>
      <c r="B357" t="s">
        <v>1717</v>
      </c>
      <c r="C357" t="s">
        <v>5262</v>
      </c>
      <c r="D357" t="s">
        <v>159</v>
      </c>
      <c r="E357" t="s">
        <v>159</v>
      </c>
      <c r="F357">
        <v>6740</v>
      </c>
      <c r="G357" t="s">
        <v>5428</v>
      </c>
      <c r="H357" t="s">
        <v>1254</v>
      </c>
      <c r="I357">
        <v>129</v>
      </c>
      <c r="J357" t="s">
        <v>5428</v>
      </c>
      <c r="K357" t="s">
        <v>4952</v>
      </c>
      <c r="L357" t="s">
        <v>2537</v>
      </c>
    </row>
    <row r="358" spans="1:13" x14ac:dyDescent="0.3">
      <c r="A358">
        <v>1631</v>
      </c>
      <c r="B358" t="s">
        <v>1717</v>
      </c>
      <c r="C358" t="s">
        <v>5262</v>
      </c>
      <c r="D358" t="s">
        <v>159</v>
      </c>
      <c r="E358" t="s">
        <v>159</v>
      </c>
      <c r="F358">
        <v>6740</v>
      </c>
      <c r="G358" t="s">
        <v>5665</v>
      </c>
      <c r="H358" t="s">
        <v>1254</v>
      </c>
      <c r="I358">
        <v>153</v>
      </c>
      <c r="J358" t="s">
        <v>5666</v>
      </c>
      <c r="K358" t="s">
        <v>5667</v>
      </c>
      <c r="L358" t="s">
        <v>2537</v>
      </c>
    </row>
    <row r="359" spans="1:13" x14ac:dyDescent="0.3">
      <c r="A359">
        <v>1639</v>
      </c>
      <c r="B359" t="s">
        <v>1719</v>
      </c>
      <c r="C359" t="s">
        <v>5262</v>
      </c>
      <c r="D359" t="s">
        <v>159</v>
      </c>
      <c r="E359" t="s">
        <v>159</v>
      </c>
      <c r="F359">
        <v>5507</v>
      </c>
      <c r="G359" t="s">
        <v>3469</v>
      </c>
      <c r="H359" t="s">
        <v>1254</v>
      </c>
      <c r="I359">
        <v>3100</v>
      </c>
      <c r="J359" t="s">
        <v>3469</v>
      </c>
      <c r="K359" t="s">
        <v>5668</v>
      </c>
      <c r="L359" t="s">
        <v>2537</v>
      </c>
      <c r="M359" t="s">
        <v>2537</v>
      </c>
    </row>
    <row r="360" spans="1:13" x14ac:dyDescent="0.3">
      <c r="A360">
        <v>1642</v>
      </c>
      <c r="B360" t="s">
        <v>1720</v>
      </c>
      <c r="C360" t="s">
        <v>5262</v>
      </c>
      <c r="D360" t="s">
        <v>159</v>
      </c>
      <c r="E360" t="s">
        <v>159</v>
      </c>
      <c r="F360">
        <v>8069</v>
      </c>
      <c r="G360" t="s">
        <v>5669</v>
      </c>
      <c r="H360" t="s">
        <v>1254</v>
      </c>
      <c r="I360">
        <v>3800</v>
      </c>
      <c r="J360" t="s">
        <v>3649</v>
      </c>
      <c r="K360" t="s">
        <v>5670</v>
      </c>
      <c r="L360" t="s">
        <v>2537</v>
      </c>
      <c r="M360" t="s">
        <v>2537</v>
      </c>
    </row>
    <row r="361" spans="1:13" x14ac:dyDescent="0.3">
      <c r="A361">
        <v>1644</v>
      </c>
      <c r="B361" t="s">
        <v>1721</v>
      </c>
      <c r="C361" t="s">
        <v>5262</v>
      </c>
      <c r="D361" t="s">
        <v>1203</v>
      </c>
      <c r="E361" t="s">
        <v>1204</v>
      </c>
      <c r="F361">
        <v>5943</v>
      </c>
      <c r="G361" t="s">
        <v>5313</v>
      </c>
      <c r="H361" t="s">
        <v>1254</v>
      </c>
      <c r="I361">
        <v>1856</v>
      </c>
      <c r="J361" t="s">
        <v>5671</v>
      </c>
      <c r="K361" t="s">
        <v>5269</v>
      </c>
      <c r="L361" t="s">
        <v>2537</v>
      </c>
      <c r="M361" t="s">
        <v>2537</v>
      </c>
    </row>
    <row r="362" spans="1:13" x14ac:dyDescent="0.3">
      <c r="A362">
        <v>1645</v>
      </c>
      <c r="B362" t="s">
        <v>1722</v>
      </c>
      <c r="C362" t="s">
        <v>5262</v>
      </c>
      <c r="D362" t="s">
        <v>159</v>
      </c>
      <c r="E362" t="s">
        <v>159</v>
      </c>
      <c r="F362">
        <v>7917</v>
      </c>
      <c r="G362" t="s">
        <v>5672</v>
      </c>
      <c r="H362" t="s">
        <v>5264</v>
      </c>
      <c r="I362">
        <v>73</v>
      </c>
      <c r="J362" t="s">
        <v>5672</v>
      </c>
      <c r="K362" t="s">
        <v>4651</v>
      </c>
      <c r="L362" t="s">
        <v>2530</v>
      </c>
      <c r="M362" t="s">
        <v>2537</v>
      </c>
    </row>
    <row r="363" spans="1:13" x14ac:dyDescent="0.3">
      <c r="A363">
        <v>1645</v>
      </c>
      <c r="B363" t="s">
        <v>1722</v>
      </c>
      <c r="C363" t="s">
        <v>5262</v>
      </c>
      <c r="D363" t="s">
        <v>159</v>
      </c>
      <c r="E363" t="s">
        <v>159</v>
      </c>
      <c r="F363">
        <v>7917</v>
      </c>
      <c r="G363" t="s">
        <v>5673</v>
      </c>
      <c r="H363" t="s">
        <v>5264</v>
      </c>
      <c r="I363">
        <v>713</v>
      </c>
      <c r="J363" t="s">
        <v>5674</v>
      </c>
      <c r="K363" t="s">
        <v>4653</v>
      </c>
      <c r="L363" t="s">
        <v>2530</v>
      </c>
      <c r="M363" t="s">
        <v>2537</v>
      </c>
    </row>
    <row r="364" spans="1:13" x14ac:dyDescent="0.3">
      <c r="A364">
        <v>1645</v>
      </c>
      <c r="B364" t="s">
        <v>1722</v>
      </c>
      <c r="C364" t="s">
        <v>5262</v>
      </c>
      <c r="D364" t="s">
        <v>159</v>
      </c>
      <c r="E364" t="s">
        <v>159</v>
      </c>
      <c r="F364">
        <v>7917</v>
      </c>
      <c r="G364" t="s">
        <v>5675</v>
      </c>
      <c r="H364" t="s">
        <v>1254</v>
      </c>
      <c r="I364">
        <v>29</v>
      </c>
      <c r="J364" t="s">
        <v>5675</v>
      </c>
      <c r="K364" t="s">
        <v>4648</v>
      </c>
      <c r="L364" t="s">
        <v>2537</v>
      </c>
      <c r="M364" t="s">
        <v>2537</v>
      </c>
    </row>
    <row r="365" spans="1:13" x14ac:dyDescent="0.3">
      <c r="A365">
        <v>1650</v>
      </c>
      <c r="B365" t="s">
        <v>1724</v>
      </c>
      <c r="C365" t="s">
        <v>5262</v>
      </c>
      <c r="D365" t="s">
        <v>159</v>
      </c>
      <c r="E365" t="s">
        <v>159</v>
      </c>
      <c r="F365">
        <v>5505</v>
      </c>
      <c r="G365" t="s">
        <v>3469</v>
      </c>
      <c r="H365" t="s">
        <v>1254</v>
      </c>
      <c r="I365">
        <v>4600</v>
      </c>
      <c r="J365" t="s">
        <v>3469</v>
      </c>
      <c r="K365" t="s">
        <v>5676</v>
      </c>
      <c r="L365" t="s">
        <v>2537</v>
      </c>
      <c r="M365" t="s">
        <v>2537</v>
      </c>
    </row>
    <row r="366" spans="1:13" x14ac:dyDescent="0.3">
      <c r="A366">
        <v>1656</v>
      </c>
      <c r="B366" t="s">
        <v>1725</v>
      </c>
      <c r="C366" t="s">
        <v>5262</v>
      </c>
      <c r="D366" t="s">
        <v>1203</v>
      </c>
      <c r="E366" t="s">
        <v>1204</v>
      </c>
      <c r="F366">
        <v>6765</v>
      </c>
      <c r="G366" t="s">
        <v>5677</v>
      </c>
      <c r="H366" t="s">
        <v>5264</v>
      </c>
      <c r="I366">
        <v>3000</v>
      </c>
      <c r="J366" t="s">
        <v>5520</v>
      </c>
      <c r="K366" t="s">
        <v>5521</v>
      </c>
      <c r="L366" t="s">
        <v>2537</v>
      </c>
      <c r="M366" t="s">
        <v>2530</v>
      </c>
    </row>
    <row r="367" spans="1:13" x14ac:dyDescent="0.3">
      <c r="A367">
        <v>1660</v>
      </c>
      <c r="B367" t="s">
        <v>1727</v>
      </c>
      <c r="C367" t="s">
        <v>5262</v>
      </c>
      <c r="D367" t="s">
        <v>1203</v>
      </c>
      <c r="E367" t="s">
        <v>1204</v>
      </c>
      <c r="F367">
        <v>5935</v>
      </c>
      <c r="G367" t="s">
        <v>5678</v>
      </c>
      <c r="H367" t="s">
        <v>5264</v>
      </c>
      <c r="I367">
        <v>807</v>
      </c>
      <c r="J367" t="s">
        <v>5679</v>
      </c>
      <c r="K367" t="s">
        <v>4655</v>
      </c>
      <c r="L367" t="s">
        <v>2530</v>
      </c>
      <c r="M367" t="s">
        <v>2537</v>
      </c>
    </row>
    <row r="368" spans="1:13" x14ac:dyDescent="0.3">
      <c r="A368">
        <v>1663</v>
      </c>
      <c r="B368" t="s">
        <v>1728</v>
      </c>
      <c r="C368" t="s">
        <v>5262</v>
      </c>
      <c r="D368" t="s">
        <v>159</v>
      </c>
      <c r="E368" t="s">
        <v>159</v>
      </c>
      <c r="F368">
        <v>7831</v>
      </c>
      <c r="G368" t="s">
        <v>1728</v>
      </c>
      <c r="H368" t="s">
        <v>1254</v>
      </c>
      <c r="I368">
        <v>0</v>
      </c>
      <c r="J368" t="s">
        <v>5680</v>
      </c>
      <c r="K368" t="s">
        <v>4660</v>
      </c>
      <c r="L368" t="s">
        <v>2530</v>
      </c>
      <c r="M368" t="s">
        <v>2530</v>
      </c>
    </row>
    <row r="369" spans="1:13" x14ac:dyDescent="0.3">
      <c r="A369">
        <v>1663</v>
      </c>
      <c r="B369" t="s">
        <v>1728</v>
      </c>
      <c r="C369" t="s">
        <v>5262</v>
      </c>
      <c r="D369" t="s">
        <v>159</v>
      </c>
      <c r="E369" t="s">
        <v>159</v>
      </c>
      <c r="F369">
        <v>7831</v>
      </c>
      <c r="G369" t="s">
        <v>1728</v>
      </c>
      <c r="H369" t="s">
        <v>5264</v>
      </c>
      <c r="I369">
        <v>8680</v>
      </c>
      <c r="J369" t="s">
        <v>5680</v>
      </c>
      <c r="K369" t="s">
        <v>4661</v>
      </c>
      <c r="L369" t="s">
        <v>2530</v>
      </c>
      <c r="M369" t="s">
        <v>2530</v>
      </c>
    </row>
    <row r="370" spans="1:13" x14ac:dyDescent="0.3">
      <c r="A370">
        <v>1663</v>
      </c>
      <c r="B370" t="s">
        <v>1728</v>
      </c>
      <c r="C370" t="s">
        <v>5262</v>
      </c>
      <c r="D370" t="s">
        <v>159</v>
      </c>
      <c r="E370" t="s">
        <v>159</v>
      </c>
      <c r="F370">
        <v>7831</v>
      </c>
      <c r="G370" t="s">
        <v>1728</v>
      </c>
      <c r="H370" t="s">
        <v>5264</v>
      </c>
      <c r="I370">
        <v>1761</v>
      </c>
      <c r="J370" t="s">
        <v>1728</v>
      </c>
      <c r="K370" t="s">
        <v>4658</v>
      </c>
      <c r="L370" t="s">
        <v>2530</v>
      </c>
      <c r="M370" t="s">
        <v>2537</v>
      </c>
    </row>
    <row r="371" spans="1:13" x14ac:dyDescent="0.3">
      <c r="A371">
        <v>1663</v>
      </c>
      <c r="B371" t="s">
        <v>1728</v>
      </c>
      <c r="C371" t="s">
        <v>5262</v>
      </c>
      <c r="D371" t="s">
        <v>159</v>
      </c>
      <c r="E371" t="s">
        <v>159</v>
      </c>
      <c r="F371">
        <v>7831</v>
      </c>
      <c r="G371" t="s">
        <v>1728</v>
      </c>
      <c r="H371" t="s">
        <v>1254</v>
      </c>
      <c r="I371">
        <v>1149</v>
      </c>
      <c r="J371" t="s">
        <v>5680</v>
      </c>
      <c r="K371" t="s">
        <v>4662</v>
      </c>
      <c r="L371" t="s">
        <v>2537</v>
      </c>
      <c r="M371" t="s">
        <v>2530</v>
      </c>
    </row>
    <row r="372" spans="1:13" x14ac:dyDescent="0.3">
      <c r="A372">
        <v>4231</v>
      </c>
      <c r="B372" t="s">
        <v>1730</v>
      </c>
      <c r="C372" t="s">
        <v>5262</v>
      </c>
      <c r="D372" t="s">
        <v>1203</v>
      </c>
      <c r="E372" t="s">
        <v>1204</v>
      </c>
      <c r="F372">
        <v>5492</v>
      </c>
      <c r="G372" t="s">
        <v>5681</v>
      </c>
      <c r="H372" t="s">
        <v>5264</v>
      </c>
      <c r="I372">
        <v>1213</v>
      </c>
      <c r="J372" t="s">
        <v>5681</v>
      </c>
      <c r="K372" t="s">
        <v>4663</v>
      </c>
      <c r="L372" t="s">
        <v>2530</v>
      </c>
      <c r="M372" t="s">
        <v>2530</v>
      </c>
    </row>
    <row r="373" spans="1:13" x14ac:dyDescent="0.3">
      <c r="A373">
        <v>1671</v>
      </c>
      <c r="B373" t="s">
        <v>1736</v>
      </c>
      <c r="C373" t="s">
        <v>5262</v>
      </c>
      <c r="D373" t="s">
        <v>159</v>
      </c>
      <c r="E373" t="s">
        <v>159</v>
      </c>
      <c r="F373">
        <v>5775</v>
      </c>
      <c r="G373" t="s">
        <v>5682</v>
      </c>
      <c r="H373" t="s">
        <v>5264</v>
      </c>
      <c r="I373">
        <v>7732</v>
      </c>
      <c r="J373" t="s">
        <v>5387</v>
      </c>
      <c r="K373" t="s">
        <v>5683</v>
      </c>
      <c r="L373" t="s">
        <v>2537</v>
      </c>
      <c r="M373" t="s">
        <v>2537</v>
      </c>
    </row>
    <row r="374" spans="1:13" x14ac:dyDescent="0.3">
      <c r="A374">
        <v>1697</v>
      </c>
      <c r="B374" t="s">
        <v>1737</v>
      </c>
      <c r="C374" t="s">
        <v>5262</v>
      </c>
      <c r="D374" t="s">
        <v>159</v>
      </c>
      <c r="E374" t="s">
        <v>159</v>
      </c>
      <c r="F374">
        <v>8369</v>
      </c>
      <c r="G374" t="s">
        <v>5437</v>
      </c>
      <c r="H374" t="s">
        <v>1254</v>
      </c>
      <c r="I374">
        <v>100</v>
      </c>
      <c r="J374" t="s">
        <v>5437</v>
      </c>
      <c r="K374" t="s">
        <v>4353</v>
      </c>
      <c r="L374" t="s">
        <v>2537</v>
      </c>
      <c r="M374" t="s">
        <v>2537</v>
      </c>
    </row>
    <row r="375" spans="1:13" x14ac:dyDescent="0.3">
      <c r="A375">
        <v>1701</v>
      </c>
      <c r="B375" t="s">
        <v>1739</v>
      </c>
      <c r="C375" t="s">
        <v>5262</v>
      </c>
      <c r="D375" t="s">
        <v>1203</v>
      </c>
      <c r="E375" t="s">
        <v>1204</v>
      </c>
      <c r="F375">
        <v>5884</v>
      </c>
      <c r="G375" t="s">
        <v>3426</v>
      </c>
      <c r="H375" t="s">
        <v>5264</v>
      </c>
      <c r="I375">
        <v>6683</v>
      </c>
      <c r="J375" t="s">
        <v>3426</v>
      </c>
      <c r="K375" t="s">
        <v>4665</v>
      </c>
      <c r="L375" t="s">
        <v>2530</v>
      </c>
      <c r="M375" t="s">
        <v>2537</v>
      </c>
    </row>
    <row r="376" spans="1:13" x14ac:dyDescent="0.3">
      <c r="A376">
        <v>1718</v>
      </c>
      <c r="B376" t="s">
        <v>1747</v>
      </c>
      <c r="C376" t="s">
        <v>5262</v>
      </c>
      <c r="D376" t="s">
        <v>1203</v>
      </c>
      <c r="E376" t="s">
        <v>1204</v>
      </c>
      <c r="F376">
        <v>8760</v>
      </c>
      <c r="G376" t="s">
        <v>5684</v>
      </c>
      <c r="H376" t="s">
        <v>1254</v>
      </c>
      <c r="I376">
        <v>511</v>
      </c>
      <c r="J376" t="s">
        <v>5684</v>
      </c>
      <c r="K376" t="s">
        <v>4668</v>
      </c>
      <c r="L376" t="s">
        <v>2530</v>
      </c>
    </row>
    <row r="377" spans="1:13" x14ac:dyDescent="0.3">
      <c r="A377">
        <v>1718</v>
      </c>
      <c r="B377" t="s">
        <v>1747</v>
      </c>
      <c r="C377" t="s">
        <v>5262</v>
      </c>
      <c r="D377" t="s">
        <v>1203</v>
      </c>
      <c r="E377" t="s">
        <v>1204</v>
      </c>
      <c r="F377">
        <v>8760</v>
      </c>
      <c r="G377" t="s">
        <v>5685</v>
      </c>
      <c r="H377" t="s">
        <v>1254</v>
      </c>
      <c r="I377">
        <v>1553</v>
      </c>
      <c r="J377" t="s">
        <v>5685</v>
      </c>
      <c r="K377" t="s">
        <v>4671</v>
      </c>
      <c r="L377" t="s">
        <v>2530</v>
      </c>
    </row>
    <row r="378" spans="1:13" x14ac:dyDescent="0.3">
      <c r="A378">
        <v>1718</v>
      </c>
      <c r="B378" t="s">
        <v>1747</v>
      </c>
      <c r="C378" t="s">
        <v>5262</v>
      </c>
      <c r="D378" t="s">
        <v>1203</v>
      </c>
      <c r="E378" t="s">
        <v>1204</v>
      </c>
      <c r="F378">
        <v>8760</v>
      </c>
      <c r="G378" t="s">
        <v>5686</v>
      </c>
      <c r="H378" t="s">
        <v>1254</v>
      </c>
      <c r="I378">
        <v>1429</v>
      </c>
      <c r="J378" t="s">
        <v>5686</v>
      </c>
      <c r="K378" t="s">
        <v>4669</v>
      </c>
      <c r="L378" t="s">
        <v>2530</v>
      </c>
    </row>
    <row r="379" spans="1:13" x14ac:dyDescent="0.3">
      <c r="A379">
        <v>1729</v>
      </c>
      <c r="B379" t="s">
        <v>1751</v>
      </c>
      <c r="C379" t="s">
        <v>5262</v>
      </c>
      <c r="D379" t="s">
        <v>1203</v>
      </c>
      <c r="E379" t="s">
        <v>1204</v>
      </c>
      <c r="F379">
        <v>6758</v>
      </c>
      <c r="G379" t="s">
        <v>4673</v>
      </c>
      <c r="H379" t="s">
        <v>5264</v>
      </c>
      <c r="I379">
        <v>1276.6573456000001</v>
      </c>
      <c r="J379" t="s">
        <v>4673</v>
      </c>
      <c r="K379" t="s">
        <v>4673</v>
      </c>
      <c r="L379" t="s">
        <v>2530</v>
      </c>
      <c r="M379" t="s">
        <v>2537</v>
      </c>
    </row>
    <row r="380" spans="1:13" x14ac:dyDescent="0.3">
      <c r="A380">
        <v>1730</v>
      </c>
      <c r="B380" t="s">
        <v>1757</v>
      </c>
      <c r="C380" t="s">
        <v>5262</v>
      </c>
      <c r="D380" t="s">
        <v>159</v>
      </c>
      <c r="E380" t="s">
        <v>159</v>
      </c>
      <c r="F380">
        <v>7710</v>
      </c>
      <c r="G380" t="s">
        <v>5687</v>
      </c>
      <c r="H380" t="s">
        <v>1254</v>
      </c>
      <c r="I380">
        <v>10015</v>
      </c>
      <c r="J380" t="s">
        <v>5326</v>
      </c>
      <c r="K380" t="s">
        <v>5290</v>
      </c>
      <c r="L380" t="s">
        <v>2537</v>
      </c>
      <c r="M380" t="s">
        <v>2537</v>
      </c>
    </row>
    <row r="381" spans="1:13" x14ac:dyDescent="0.3">
      <c r="A381">
        <v>1731</v>
      </c>
      <c r="B381" t="s">
        <v>1758</v>
      </c>
      <c r="C381" t="s">
        <v>5262</v>
      </c>
      <c r="D381" t="s">
        <v>1203</v>
      </c>
      <c r="E381" t="s">
        <v>1204</v>
      </c>
      <c r="F381">
        <v>6882</v>
      </c>
      <c r="G381" t="s">
        <v>5688</v>
      </c>
      <c r="H381" t="s">
        <v>5264</v>
      </c>
      <c r="I381">
        <v>52</v>
      </c>
      <c r="J381" t="s">
        <v>5688</v>
      </c>
      <c r="K381" t="s">
        <v>4679</v>
      </c>
      <c r="L381" t="s">
        <v>2530</v>
      </c>
      <c r="M381" t="s">
        <v>2537</v>
      </c>
    </row>
    <row r="382" spans="1:13" x14ac:dyDescent="0.3">
      <c r="A382">
        <v>1731</v>
      </c>
      <c r="B382" t="s">
        <v>1758</v>
      </c>
      <c r="C382" t="s">
        <v>5262</v>
      </c>
      <c r="D382" t="s">
        <v>1203</v>
      </c>
      <c r="E382" t="s">
        <v>1204</v>
      </c>
      <c r="F382">
        <v>6882</v>
      </c>
      <c r="G382" t="s">
        <v>5688</v>
      </c>
      <c r="H382" t="s">
        <v>5264</v>
      </c>
      <c r="I382">
        <v>554</v>
      </c>
      <c r="J382" t="s">
        <v>5688</v>
      </c>
      <c r="K382" t="s">
        <v>4676</v>
      </c>
      <c r="L382" t="s">
        <v>2530</v>
      </c>
      <c r="M382" t="s">
        <v>2537</v>
      </c>
    </row>
    <row r="383" spans="1:13" x14ac:dyDescent="0.3">
      <c r="A383">
        <v>1732</v>
      </c>
      <c r="B383" t="s">
        <v>1759</v>
      </c>
      <c r="C383" t="s">
        <v>5262</v>
      </c>
      <c r="D383" t="s">
        <v>159</v>
      </c>
      <c r="E383" t="s">
        <v>159</v>
      </c>
      <c r="F383">
        <v>8276</v>
      </c>
      <c r="G383" t="s">
        <v>2248</v>
      </c>
      <c r="H383" t="s">
        <v>5264</v>
      </c>
      <c r="I383">
        <v>2185</v>
      </c>
      <c r="J383" t="s">
        <v>5689</v>
      </c>
      <c r="K383" t="s">
        <v>5689</v>
      </c>
      <c r="L383" t="s">
        <v>2537</v>
      </c>
      <c r="M383" t="s">
        <v>2530</v>
      </c>
    </row>
    <row r="384" spans="1:13" x14ac:dyDescent="0.3">
      <c r="A384">
        <v>1739</v>
      </c>
      <c r="B384" t="s">
        <v>1760</v>
      </c>
      <c r="C384" t="s">
        <v>5262</v>
      </c>
      <c r="D384" t="s">
        <v>159</v>
      </c>
      <c r="E384" t="s">
        <v>159</v>
      </c>
      <c r="F384">
        <v>8064</v>
      </c>
      <c r="G384" t="s">
        <v>5690</v>
      </c>
      <c r="H384" t="s">
        <v>5264</v>
      </c>
      <c r="I384">
        <v>2393.7049030093499</v>
      </c>
      <c r="J384" t="s">
        <v>5690</v>
      </c>
      <c r="K384" t="s">
        <v>4681</v>
      </c>
      <c r="L384" t="s">
        <v>2530</v>
      </c>
      <c r="M384" t="s">
        <v>2537</v>
      </c>
    </row>
    <row r="385" spans="1:13" x14ac:dyDescent="0.3">
      <c r="A385">
        <v>1748</v>
      </c>
      <c r="B385" t="s">
        <v>1764</v>
      </c>
      <c r="C385" t="s">
        <v>5262</v>
      </c>
      <c r="D385" t="s">
        <v>159</v>
      </c>
      <c r="E385" t="s">
        <v>159</v>
      </c>
      <c r="F385">
        <v>8066</v>
      </c>
      <c r="G385" t="s">
        <v>5691</v>
      </c>
      <c r="H385" t="s">
        <v>5264</v>
      </c>
      <c r="I385">
        <v>19.7</v>
      </c>
      <c r="J385" t="s">
        <v>5691</v>
      </c>
      <c r="K385" t="s">
        <v>5692</v>
      </c>
      <c r="L385" t="s">
        <v>2530</v>
      </c>
      <c r="M385" t="s">
        <v>2530</v>
      </c>
    </row>
    <row r="386" spans="1:13" x14ac:dyDescent="0.3">
      <c r="A386">
        <v>1748</v>
      </c>
      <c r="B386" t="s">
        <v>1764</v>
      </c>
      <c r="C386" t="s">
        <v>5262</v>
      </c>
      <c r="D386" t="s">
        <v>159</v>
      </c>
      <c r="E386" t="s">
        <v>159</v>
      </c>
      <c r="F386">
        <v>8066</v>
      </c>
      <c r="G386" t="s">
        <v>5691</v>
      </c>
      <c r="H386" t="s">
        <v>5264</v>
      </c>
      <c r="I386">
        <v>4749.59</v>
      </c>
      <c r="J386" t="s">
        <v>5691</v>
      </c>
      <c r="K386" t="s">
        <v>5693</v>
      </c>
      <c r="L386" t="s">
        <v>2530</v>
      </c>
      <c r="M386" t="s">
        <v>2530</v>
      </c>
    </row>
    <row r="387" spans="1:13" x14ac:dyDescent="0.3">
      <c r="A387">
        <v>1752</v>
      </c>
      <c r="B387" t="s">
        <v>1769</v>
      </c>
      <c r="C387" t="s">
        <v>5262</v>
      </c>
      <c r="D387" t="s">
        <v>159</v>
      </c>
      <c r="E387" t="s">
        <v>159</v>
      </c>
      <c r="F387">
        <v>5545</v>
      </c>
      <c r="G387" t="s">
        <v>2020</v>
      </c>
      <c r="H387" t="s">
        <v>5264</v>
      </c>
      <c r="I387">
        <v>767.22196250000002</v>
      </c>
      <c r="J387" t="s">
        <v>5694</v>
      </c>
      <c r="K387" t="s">
        <v>5695</v>
      </c>
      <c r="L387" t="s">
        <v>2537</v>
      </c>
      <c r="M387" t="s">
        <v>2537</v>
      </c>
    </row>
    <row r="388" spans="1:13" x14ac:dyDescent="0.3">
      <c r="A388">
        <v>1756</v>
      </c>
      <c r="B388" t="s">
        <v>1771</v>
      </c>
      <c r="C388" t="s">
        <v>5262</v>
      </c>
      <c r="D388" t="s">
        <v>159</v>
      </c>
      <c r="E388" t="s">
        <v>159</v>
      </c>
      <c r="F388">
        <v>8641</v>
      </c>
      <c r="G388" t="s">
        <v>5696</v>
      </c>
      <c r="H388" t="s">
        <v>1254</v>
      </c>
      <c r="I388">
        <v>2039</v>
      </c>
      <c r="J388" t="s">
        <v>3469</v>
      </c>
      <c r="K388" t="s">
        <v>5697</v>
      </c>
      <c r="L388" t="s">
        <v>2537</v>
      </c>
      <c r="M388" t="s">
        <v>2537</v>
      </c>
    </row>
    <row r="389" spans="1:13" x14ac:dyDescent="0.3">
      <c r="A389">
        <v>1765</v>
      </c>
      <c r="B389" t="s">
        <v>1772</v>
      </c>
      <c r="C389" t="s">
        <v>5262</v>
      </c>
      <c r="D389" t="s">
        <v>1203</v>
      </c>
      <c r="E389" t="s">
        <v>1204</v>
      </c>
      <c r="F389">
        <v>7136</v>
      </c>
      <c r="G389" t="s">
        <v>5698</v>
      </c>
      <c r="H389" t="s">
        <v>5264</v>
      </c>
      <c r="I389">
        <v>1556</v>
      </c>
      <c r="J389" t="s">
        <v>5698</v>
      </c>
      <c r="K389" t="s">
        <v>5699</v>
      </c>
      <c r="L389" t="s">
        <v>2537</v>
      </c>
      <c r="M389" t="s">
        <v>2537</v>
      </c>
    </row>
    <row r="390" spans="1:13" x14ac:dyDescent="0.3">
      <c r="A390">
        <v>1777</v>
      </c>
      <c r="B390" t="s">
        <v>1773</v>
      </c>
      <c r="C390" t="s">
        <v>5262</v>
      </c>
      <c r="D390" t="s">
        <v>159</v>
      </c>
      <c r="E390" t="s">
        <v>159</v>
      </c>
      <c r="F390">
        <v>5661</v>
      </c>
      <c r="G390" t="s">
        <v>5700</v>
      </c>
      <c r="H390" t="s">
        <v>5264</v>
      </c>
      <c r="I390">
        <v>950</v>
      </c>
      <c r="J390" t="s">
        <v>5700</v>
      </c>
      <c r="K390" t="s">
        <v>5701</v>
      </c>
      <c r="L390" t="s">
        <v>2530</v>
      </c>
      <c r="M390" t="s">
        <v>2530</v>
      </c>
    </row>
    <row r="391" spans="1:13" x14ac:dyDescent="0.3">
      <c r="A391">
        <v>1777</v>
      </c>
      <c r="B391" t="s">
        <v>1773</v>
      </c>
      <c r="C391" t="s">
        <v>5262</v>
      </c>
      <c r="D391" t="s">
        <v>159</v>
      </c>
      <c r="E391" t="s">
        <v>159</v>
      </c>
      <c r="F391">
        <v>5661</v>
      </c>
      <c r="G391" t="s">
        <v>4700</v>
      </c>
      <c r="H391" t="s">
        <v>5264</v>
      </c>
      <c r="I391">
        <v>2683</v>
      </c>
      <c r="J391" t="s">
        <v>4700</v>
      </c>
      <c r="K391" t="s">
        <v>5702</v>
      </c>
      <c r="L391" t="s">
        <v>2530</v>
      </c>
      <c r="M391" t="s">
        <v>2537</v>
      </c>
    </row>
    <row r="392" spans="1:13" x14ac:dyDescent="0.3">
      <c r="A392">
        <v>1777</v>
      </c>
      <c r="B392" t="s">
        <v>1773</v>
      </c>
      <c r="C392" t="s">
        <v>5262</v>
      </c>
      <c r="D392" t="s">
        <v>159</v>
      </c>
      <c r="E392" t="s">
        <v>159</v>
      </c>
      <c r="F392">
        <v>5661</v>
      </c>
      <c r="G392" t="s">
        <v>4700</v>
      </c>
      <c r="H392" t="s">
        <v>5264</v>
      </c>
      <c r="I392">
        <v>8866</v>
      </c>
      <c r="J392" t="s">
        <v>4700</v>
      </c>
      <c r="K392" t="s">
        <v>4699</v>
      </c>
      <c r="L392" t="s">
        <v>2530</v>
      </c>
      <c r="M392" t="s">
        <v>2537</v>
      </c>
    </row>
    <row r="393" spans="1:13" x14ac:dyDescent="0.3">
      <c r="A393">
        <v>1782</v>
      </c>
      <c r="B393" t="s">
        <v>5703</v>
      </c>
      <c r="C393" t="s">
        <v>5262</v>
      </c>
      <c r="D393" t="s">
        <v>1203</v>
      </c>
      <c r="E393" t="s">
        <v>1204</v>
      </c>
      <c r="F393">
        <v>8214</v>
      </c>
      <c r="G393" t="s">
        <v>5704</v>
      </c>
      <c r="H393" t="s">
        <v>1254</v>
      </c>
      <c r="I393">
        <v>2418</v>
      </c>
      <c r="J393" t="s">
        <v>5704</v>
      </c>
      <c r="K393" t="s">
        <v>4883</v>
      </c>
      <c r="L393" t="s">
        <v>2537</v>
      </c>
    </row>
    <row r="394" spans="1:13" x14ac:dyDescent="0.3">
      <c r="A394">
        <v>1792</v>
      </c>
      <c r="B394" t="s">
        <v>1781</v>
      </c>
      <c r="C394" t="s">
        <v>5262</v>
      </c>
      <c r="D394" t="s">
        <v>1203</v>
      </c>
      <c r="E394" t="s">
        <v>1204</v>
      </c>
      <c r="F394">
        <v>6604</v>
      </c>
      <c r="G394" t="s">
        <v>5705</v>
      </c>
      <c r="H394" t="s">
        <v>5264</v>
      </c>
      <c r="I394">
        <v>1804.5060558</v>
      </c>
      <c r="J394" t="s">
        <v>5705</v>
      </c>
      <c r="K394" t="s">
        <v>5706</v>
      </c>
      <c r="L394" t="s">
        <v>2530</v>
      </c>
      <c r="M394" t="s">
        <v>2537</v>
      </c>
    </row>
    <row r="395" spans="1:13" x14ac:dyDescent="0.3">
      <c r="A395">
        <v>1793</v>
      </c>
      <c r="B395" t="s">
        <v>1785</v>
      </c>
      <c r="C395" t="s">
        <v>5262</v>
      </c>
      <c r="D395" t="s">
        <v>159</v>
      </c>
      <c r="E395" t="s">
        <v>159</v>
      </c>
      <c r="F395">
        <v>8027</v>
      </c>
      <c r="G395" t="s">
        <v>5422</v>
      </c>
      <c r="H395" t="s">
        <v>1254</v>
      </c>
      <c r="I395">
        <v>2400</v>
      </c>
      <c r="J395" t="s">
        <v>5707</v>
      </c>
      <c r="K395" t="s">
        <v>5708</v>
      </c>
      <c r="L395" t="s">
        <v>2537</v>
      </c>
      <c r="M395" t="s">
        <v>2537</v>
      </c>
    </row>
    <row r="396" spans="1:13" x14ac:dyDescent="0.3">
      <c r="A396">
        <v>1793</v>
      </c>
      <c r="B396" t="s">
        <v>1785</v>
      </c>
      <c r="C396" t="s">
        <v>5262</v>
      </c>
      <c r="D396" t="s">
        <v>159</v>
      </c>
      <c r="E396" t="s">
        <v>159</v>
      </c>
      <c r="F396">
        <v>8027</v>
      </c>
      <c r="G396" t="s">
        <v>5709</v>
      </c>
      <c r="H396" t="s">
        <v>1254</v>
      </c>
      <c r="I396">
        <v>42</v>
      </c>
      <c r="J396" t="s">
        <v>5709</v>
      </c>
      <c r="K396" t="s">
        <v>5710</v>
      </c>
      <c r="L396" t="s">
        <v>2537</v>
      </c>
      <c r="M396" t="s">
        <v>2530</v>
      </c>
    </row>
    <row r="397" spans="1:13" x14ac:dyDescent="0.3">
      <c r="A397">
        <v>1793</v>
      </c>
      <c r="B397" t="s">
        <v>1785</v>
      </c>
      <c r="C397" t="s">
        <v>5262</v>
      </c>
      <c r="D397" t="s">
        <v>159</v>
      </c>
      <c r="E397" t="s">
        <v>159</v>
      </c>
      <c r="F397">
        <v>8027</v>
      </c>
      <c r="G397" t="s">
        <v>5711</v>
      </c>
      <c r="H397" t="s">
        <v>1254</v>
      </c>
      <c r="I397">
        <v>527</v>
      </c>
      <c r="J397" t="s">
        <v>5712</v>
      </c>
      <c r="K397" t="s">
        <v>4873</v>
      </c>
      <c r="L397" t="s">
        <v>2537</v>
      </c>
      <c r="M397" t="s">
        <v>2537</v>
      </c>
    </row>
    <row r="398" spans="1:13" x14ac:dyDescent="0.3">
      <c r="A398">
        <v>1793</v>
      </c>
      <c r="B398" t="s">
        <v>1785</v>
      </c>
      <c r="C398" t="s">
        <v>5262</v>
      </c>
      <c r="D398" t="s">
        <v>159</v>
      </c>
      <c r="E398" t="s">
        <v>159</v>
      </c>
      <c r="F398">
        <v>8027</v>
      </c>
      <c r="G398" t="s">
        <v>5713</v>
      </c>
      <c r="H398" t="s">
        <v>5264</v>
      </c>
      <c r="I398">
        <v>932</v>
      </c>
      <c r="J398" t="s">
        <v>5714</v>
      </c>
      <c r="K398" t="s">
        <v>4714</v>
      </c>
      <c r="L398" t="s">
        <v>2530</v>
      </c>
      <c r="M398" t="s">
        <v>2537</v>
      </c>
    </row>
    <row r="399" spans="1:13" x14ac:dyDescent="0.3">
      <c r="A399">
        <v>1793</v>
      </c>
      <c r="B399" t="s">
        <v>1785</v>
      </c>
      <c r="C399" t="s">
        <v>5262</v>
      </c>
      <c r="D399" t="s">
        <v>159</v>
      </c>
      <c r="E399" t="s">
        <v>159</v>
      </c>
      <c r="F399">
        <v>8027</v>
      </c>
      <c r="G399" t="s">
        <v>5715</v>
      </c>
      <c r="H399" t="s">
        <v>5264</v>
      </c>
      <c r="I399">
        <v>182</v>
      </c>
      <c r="J399" t="s">
        <v>5715</v>
      </c>
      <c r="K399" t="s">
        <v>4706</v>
      </c>
      <c r="L399" t="s">
        <v>2530</v>
      </c>
      <c r="M399" t="s">
        <v>2530</v>
      </c>
    </row>
    <row r="400" spans="1:13" x14ac:dyDescent="0.3">
      <c r="A400">
        <v>1793</v>
      </c>
      <c r="B400" t="s">
        <v>1785</v>
      </c>
      <c r="C400" t="s">
        <v>5262</v>
      </c>
      <c r="D400" t="s">
        <v>159</v>
      </c>
      <c r="E400" t="s">
        <v>159</v>
      </c>
      <c r="F400">
        <v>8027</v>
      </c>
      <c r="G400" t="s">
        <v>5715</v>
      </c>
      <c r="H400" t="s">
        <v>1254</v>
      </c>
      <c r="I400">
        <v>150</v>
      </c>
      <c r="J400" t="s">
        <v>5715</v>
      </c>
      <c r="K400" t="s">
        <v>5716</v>
      </c>
      <c r="L400" t="s">
        <v>2530</v>
      </c>
      <c r="M400" t="s">
        <v>2530</v>
      </c>
    </row>
    <row r="401" spans="1:13" x14ac:dyDescent="0.3">
      <c r="A401">
        <v>1793</v>
      </c>
      <c r="B401" t="s">
        <v>1785</v>
      </c>
      <c r="C401" t="s">
        <v>5262</v>
      </c>
      <c r="D401" t="s">
        <v>159</v>
      </c>
      <c r="E401" t="s">
        <v>159</v>
      </c>
      <c r="F401">
        <v>8027</v>
      </c>
      <c r="G401" t="s">
        <v>5352</v>
      </c>
      <c r="H401" t="s">
        <v>1254</v>
      </c>
      <c r="I401">
        <v>109</v>
      </c>
      <c r="J401" t="s">
        <v>5352</v>
      </c>
      <c r="K401" t="s">
        <v>5717</v>
      </c>
      <c r="L401" t="s">
        <v>2537</v>
      </c>
      <c r="M401" t="s">
        <v>2537</v>
      </c>
    </row>
    <row r="402" spans="1:13" x14ac:dyDescent="0.3">
      <c r="A402">
        <v>1793</v>
      </c>
      <c r="B402" t="s">
        <v>1785</v>
      </c>
      <c r="C402" t="s">
        <v>5262</v>
      </c>
      <c r="D402" t="s">
        <v>159</v>
      </c>
      <c r="E402" t="s">
        <v>159</v>
      </c>
      <c r="F402">
        <v>8027</v>
      </c>
      <c r="G402" t="s">
        <v>5718</v>
      </c>
      <c r="H402" t="s">
        <v>1254</v>
      </c>
      <c r="I402">
        <v>25</v>
      </c>
      <c r="J402" t="s">
        <v>5712</v>
      </c>
      <c r="K402" t="s">
        <v>4873</v>
      </c>
      <c r="L402" t="s">
        <v>2537</v>
      </c>
      <c r="M402" t="s">
        <v>2537</v>
      </c>
    </row>
    <row r="403" spans="1:13" x14ac:dyDescent="0.3">
      <c r="A403">
        <v>1793</v>
      </c>
      <c r="B403" t="s">
        <v>1785</v>
      </c>
      <c r="C403" t="s">
        <v>5262</v>
      </c>
      <c r="D403" t="s">
        <v>159</v>
      </c>
      <c r="E403" t="s">
        <v>159</v>
      </c>
      <c r="F403">
        <v>8027</v>
      </c>
      <c r="G403" t="s">
        <v>5719</v>
      </c>
      <c r="H403" t="s">
        <v>5264</v>
      </c>
      <c r="I403">
        <v>287</v>
      </c>
      <c r="J403" t="s">
        <v>5719</v>
      </c>
      <c r="K403" t="s">
        <v>4712</v>
      </c>
      <c r="L403" t="s">
        <v>2530</v>
      </c>
      <c r="M403" t="s">
        <v>2530</v>
      </c>
    </row>
    <row r="404" spans="1:13" x14ac:dyDescent="0.3">
      <c r="A404">
        <v>1793</v>
      </c>
      <c r="B404" t="s">
        <v>1785</v>
      </c>
      <c r="C404" t="s">
        <v>5262</v>
      </c>
      <c r="D404" t="s">
        <v>159</v>
      </c>
      <c r="E404" t="s">
        <v>159</v>
      </c>
      <c r="F404">
        <v>8027</v>
      </c>
      <c r="G404" t="s">
        <v>5720</v>
      </c>
      <c r="H404" t="s">
        <v>1254</v>
      </c>
      <c r="I404">
        <v>100</v>
      </c>
      <c r="J404" t="s">
        <v>5707</v>
      </c>
      <c r="K404" t="s">
        <v>5708</v>
      </c>
      <c r="L404" t="s">
        <v>2537</v>
      </c>
      <c r="M404" t="s">
        <v>2537</v>
      </c>
    </row>
    <row r="405" spans="1:13" x14ac:dyDescent="0.3">
      <c r="A405">
        <v>1795</v>
      </c>
      <c r="B405" t="s">
        <v>1787</v>
      </c>
      <c r="C405" t="s">
        <v>5262</v>
      </c>
      <c r="D405" t="s">
        <v>159</v>
      </c>
      <c r="E405" t="s">
        <v>159</v>
      </c>
      <c r="F405">
        <v>5536</v>
      </c>
      <c r="G405" t="s">
        <v>3649</v>
      </c>
      <c r="H405" t="s">
        <v>1254</v>
      </c>
      <c r="I405">
        <v>12645</v>
      </c>
      <c r="J405" t="s">
        <v>3649</v>
      </c>
      <c r="K405" t="s">
        <v>5721</v>
      </c>
      <c r="L405" t="s">
        <v>2530</v>
      </c>
      <c r="M405" t="s">
        <v>2537</v>
      </c>
    </row>
    <row r="406" spans="1:13" x14ac:dyDescent="0.3">
      <c r="A406">
        <v>1797</v>
      </c>
      <c r="B406" t="s">
        <v>1788</v>
      </c>
      <c r="C406" t="s">
        <v>5262</v>
      </c>
      <c r="D406" t="s">
        <v>1203</v>
      </c>
      <c r="E406" t="s">
        <v>1204</v>
      </c>
      <c r="F406">
        <v>6744</v>
      </c>
      <c r="G406" t="s">
        <v>5722</v>
      </c>
      <c r="H406" t="s">
        <v>1254</v>
      </c>
      <c r="I406">
        <v>21324</v>
      </c>
      <c r="J406" t="s">
        <v>5326</v>
      </c>
      <c r="K406" t="s">
        <v>5290</v>
      </c>
      <c r="L406" t="s">
        <v>2537</v>
      </c>
      <c r="M406" t="s">
        <v>2537</v>
      </c>
    </row>
    <row r="407" spans="1:13" x14ac:dyDescent="0.3">
      <c r="A407">
        <v>1803</v>
      </c>
      <c r="B407" t="s">
        <v>1789</v>
      </c>
      <c r="C407" t="s">
        <v>5262</v>
      </c>
      <c r="D407" t="s">
        <v>1203</v>
      </c>
      <c r="E407" t="s">
        <v>1204</v>
      </c>
      <c r="F407">
        <v>8879</v>
      </c>
      <c r="G407" t="s">
        <v>5723</v>
      </c>
      <c r="H407" t="s">
        <v>1254</v>
      </c>
      <c r="I407">
        <v>1974</v>
      </c>
      <c r="J407" t="s">
        <v>5351</v>
      </c>
      <c r="K407" t="s">
        <v>4811</v>
      </c>
      <c r="L407" t="s">
        <v>2537</v>
      </c>
    </row>
    <row r="408" spans="1:13" x14ac:dyDescent="0.3">
      <c r="A408">
        <v>1804</v>
      </c>
      <c r="B408" t="s">
        <v>1791</v>
      </c>
      <c r="C408" t="s">
        <v>5262</v>
      </c>
      <c r="D408" t="s">
        <v>159</v>
      </c>
      <c r="E408" t="s">
        <v>159</v>
      </c>
      <c r="F408">
        <v>7865</v>
      </c>
      <c r="G408" t="s">
        <v>3469</v>
      </c>
      <c r="H408" t="s">
        <v>1254</v>
      </c>
      <c r="I408">
        <v>1344</v>
      </c>
      <c r="J408" t="s">
        <v>3469</v>
      </c>
      <c r="K408" t="s">
        <v>5724</v>
      </c>
      <c r="L408" t="s">
        <v>2537</v>
      </c>
    </row>
    <row r="409" spans="1:13" x14ac:dyDescent="0.3">
      <c r="A409">
        <v>1821</v>
      </c>
      <c r="B409" t="s">
        <v>1792</v>
      </c>
      <c r="C409" t="s">
        <v>5262</v>
      </c>
      <c r="D409" t="s">
        <v>159</v>
      </c>
      <c r="E409" t="s">
        <v>159</v>
      </c>
      <c r="F409">
        <v>7982</v>
      </c>
      <c r="G409" t="s">
        <v>5725</v>
      </c>
      <c r="H409" t="s">
        <v>5264</v>
      </c>
      <c r="I409">
        <v>617</v>
      </c>
      <c r="J409" t="s">
        <v>5352</v>
      </c>
      <c r="K409" t="s">
        <v>5717</v>
      </c>
      <c r="L409" t="s">
        <v>2537</v>
      </c>
    </row>
    <row r="410" spans="1:13" x14ac:dyDescent="0.3">
      <c r="A410">
        <v>1821</v>
      </c>
      <c r="B410" t="s">
        <v>1792</v>
      </c>
      <c r="C410" t="s">
        <v>5262</v>
      </c>
      <c r="D410" t="s">
        <v>159</v>
      </c>
      <c r="E410" t="s">
        <v>159</v>
      </c>
      <c r="F410">
        <v>7982</v>
      </c>
      <c r="G410" t="s">
        <v>5352</v>
      </c>
      <c r="H410" t="s">
        <v>1254</v>
      </c>
      <c r="I410">
        <v>950</v>
      </c>
      <c r="J410" t="s">
        <v>5352</v>
      </c>
      <c r="K410" t="s">
        <v>5717</v>
      </c>
      <c r="L410" t="s">
        <v>2537</v>
      </c>
    </row>
    <row r="411" spans="1:13" x14ac:dyDescent="0.3">
      <c r="A411">
        <v>1821</v>
      </c>
      <c r="B411" t="s">
        <v>1792</v>
      </c>
      <c r="C411" t="s">
        <v>5262</v>
      </c>
      <c r="D411" t="s">
        <v>159</v>
      </c>
      <c r="E411" t="s">
        <v>159</v>
      </c>
      <c r="F411">
        <v>7982</v>
      </c>
      <c r="G411" t="s">
        <v>1792</v>
      </c>
      <c r="H411" t="s">
        <v>5264</v>
      </c>
      <c r="I411">
        <v>1220</v>
      </c>
      <c r="J411" t="s">
        <v>1792</v>
      </c>
      <c r="K411" t="s">
        <v>4717</v>
      </c>
      <c r="L411" t="s">
        <v>2530</v>
      </c>
    </row>
    <row r="412" spans="1:13" x14ac:dyDescent="0.3">
      <c r="A412">
        <v>1821</v>
      </c>
      <c r="B412" t="s">
        <v>1792</v>
      </c>
      <c r="C412" t="s">
        <v>5262</v>
      </c>
      <c r="D412" t="s">
        <v>159</v>
      </c>
      <c r="E412" t="s">
        <v>159</v>
      </c>
      <c r="F412">
        <v>7982</v>
      </c>
      <c r="G412" t="s">
        <v>5726</v>
      </c>
      <c r="H412" t="s">
        <v>1254</v>
      </c>
      <c r="I412">
        <v>12600</v>
      </c>
      <c r="J412" t="s">
        <v>5352</v>
      </c>
      <c r="K412" t="s">
        <v>5717</v>
      </c>
      <c r="L412" t="s">
        <v>2537</v>
      </c>
    </row>
    <row r="413" spans="1:13" x14ac:dyDescent="0.3">
      <c r="A413">
        <v>1827</v>
      </c>
      <c r="B413" t="s">
        <v>1794</v>
      </c>
      <c r="C413" t="s">
        <v>5262</v>
      </c>
      <c r="D413" t="s">
        <v>1203</v>
      </c>
      <c r="E413" t="s">
        <v>1204</v>
      </c>
      <c r="F413">
        <v>5837</v>
      </c>
      <c r="G413" t="s">
        <v>5356</v>
      </c>
      <c r="H413" t="s">
        <v>5264</v>
      </c>
      <c r="I413">
        <v>19088</v>
      </c>
      <c r="J413" t="s">
        <v>5356</v>
      </c>
      <c r="K413" t="s">
        <v>4720</v>
      </c>
      <c r="L413" t="s">
        <v>2530</v>
      </c>
      <c r="M413" t="s">
        <v>2537</v>
      </c>
    </row>
    <row r="414" spans="1:13" x14ac:dyDescent="0.3">
      <c r="A414">
        <v>1838</v>
      </c>
      <c r="B414" t="s">
        <v>1797</v>
      </c>
      <c r="C414" t="s">
        <v>5262</v>
      </c>
      <c r="D414" t="s">
        <v>1203</v>
      </c>
      <c r="E414" t="s">
        <v>1204</v>
      </c>
      <c r="F414">
        <v>5805</v>
      </c>
      <c r="G414" t="s">
        <v>5727</v>
      </c>
      <c r="H414" t="s">
        <v>5264</v>
      </c>
      <c r="I414">
        <v>3185</v>
      </c>
      <c r="J414" t="s">
        <v>5728</v>
      </c>
      <c r="K414" t="s">
        <v>5717</v>
      </c>
      <c r="L414" t="s">
        <v>2537</v>
      </c>
      <c r="M414" t="s">
        <v>2530</v>
      </c>
    </row>
    <row r="415" spans="1:13" x14ac:dyDescent="0.3">
      <c r="A415">
        <v>1838</v>
      </c>
      <c r="B415" t="s">
        <v>1797</v>
      </c>
      <c r="C415" t="s">
        <v>5262</v>
      </c>
      <c r="D415" t="s">
        <v>1203</v>
      </c>
      <c r="E415" t="s">
        <v>1204</v>
      </c>
      <c r="F415">
        <v>5805</v>
      </c>
      <c r="G415" t="s">
        <v>5727</v>
      </c>
      <c r="H415" t="s">
        <v>5264</v>
      </c>
      <c r="I415">
        <v>1856</v>
      </c>
      <c r="J415" t="s">
        <v>5727</v>
      </c>
      <c r="K415" t="s">
        <v>4725</v>
      </c>
      <c r="L415" t="s">
        <v>2530</v>
      </c>
      <c r="M415" t="s">
        <v>2537</v>
      </c>
    </row>
    <row r="416" spans="1:13" x14ac:dyDescent="0.3">
      <c r="A416">
        <v>1849</v>
      </c>
      <c r="B416" t="s">
        <v>960</v>
      </c>
      <c r="C416" t="s">
        <v>5262</v>
      </c>
      <c r="D416" t="s">
        <v>159</v>
      </c>
      <c r="E416" t="s">
        <v>159</v>
      </c>
      <c r="F416">
        <v>8190</v>
      </c>
      <c r="G416" t="s">
        <v>5729</v>
      </c>
      <c r="H416" t="s">
        <v>5264</v>
      </c>
      <c r="I416">
        <v>12140</v>
      </c>
      <c r="J416" t="s">
        <v>5730</v>
      </c>
      <c r="K416" t="s">
        <v>4730</v>
      </c>
      <c r="L416" t="s">
        <v>2530</v>
      </c>
      <c r="M416" t="s">
        <v>2537</v>
      </c>
    </row>
    <row r="417" spans="1:13" x14ac:dyDescent="0.3">
      <c r="A417">
        <v>1851</v>
      </c>
      <c r="B417" t="s">
        <v>1800</v>
      </c>
      <c r="C417" t="s">
        <v>5262</v>
      </c>
      <c r="D417" t="s">
        <v>159</v>
      </c>
      <c r="E417" t="s">
        <v>159</v>
      </c>
      <c r="F417">
        <v>7787</v>
      </c>
      <c r="G417" t="s">
        <v>5387</v>
      </c>
      <c r="H417" t="s">
        <v>5264</v>
      </c>
      <c r="I417">
        <v>19324</v>
      </c>
      <c r="J417" t="s">
        <v>5387</v>
      </c>
      <c r="K417" t="s">
        <v>4535</v>
      </c>
      <c r="L417" t="s">
        <v>2530</v>
      </c>
      <c r="M417" t="s">
        <v>2537</v>
      </c>
    </row>
    <row r="418" spans="1:13" x14ac:dyDescent="0.3">
      <c r="A418">
        <v>1866</v>
      </c>
      <c r="B418" t="s">
        <v>1805</v>
      </c>
      <c r="C418" t="s">
        <v>5262</v>
      </c>
      <c r="D418" t="s">
        <v>159</v>
      </c>
      <c r="E418" t="s">
        <v>159</v>
      </c>
      <c r="F418">
        <v>5596</v>
      </c>
      <c r="G418" t="s">
        <v>3469</v>
      </c>
      <c r="H418" t="s">
        <v>1254</v>
      </c>
      <c r="I418">
        <v>139</v>
      </c>
      <c r="J418" t="s">
        <v>5731</v>
      </c>
      <c r="K418" t="s">
        <v>5732</v>
      </c>
      <c r="L418" t="s">
        <v>2537</v>
      </c>
    </row>
    <row r="419" spans="1:13" x14ac:dyDescent="0.3">
      <c r="A419">
        <v>1866</v>
      </c>
      <c r="B419" t="s">
        <v>1805</v>
      </c>
      <c r="C419" t="s">
        <v>5262</v>
      </c>
      <c r="D419" t="s">
        <v>159</v>
      </c>
      <c r="E419" t="s">
        <v>159</v>
      </c>
      <c r="F419">
        <v>5596</v>
      </c>
      <c r="G419" t="s">
        <v>3469</v>
      </c>
      <c r="H419" t="s">
        <v>1254</v>
      </c>
      <c r="I419">
        <v>139</v>
      </c>
      <c r="J419" t="s">
        <v>5731</v>
      </c>
      <c r="K419" t="s">
        <v>5539</v>
      </c>
      <c r="L419" t="s">
        <v>2537</v>
      </c>
    </row>
    <row r="420" spans="1:13" x14ac:dyDescent="0.3">
      <c r="A420">
        <v>1866</v>
      </c>
      <c r="B420" t="s">
        <v>1805</v>
      </c>
      <c r="C420" t="s">
        <v>5262</v>
      </c>
      <c r="D420" t="s">
        <v>159</v>
      </c>
      <c r="E420" t="s">
        <v>159</v>
      </c>
      <c r="F420">
        <v>5596</v>
      </c>
      <c r="G420" t="s">
        <v>3469</v>
      </c>
      <c r="H420" t="s">
        <v>1254</v>
      </c>
      <c r="I420">
        <v>139</v>
      </c>
      <c r="J420" t="s">
        <v>5731</v>
      </c>
      <c r="K420" t="s">
        <v>5733</v>
      </c>
      <c r="L420" t="s">
        <v>2537</v>
      </c>
    </row>
    <row r="421" spans="1:13" x14ac:dyDescent="0.3">
      <c r="A421">
        <v>1866</v>
      </c>
      <c r="B421" t="s">
        <v>1805</v>
      </c>
      <c r="C421" t="s">
        <v>5262</v>
      </c>
      <c r="D421" t="s">
        <v>159</v>
      </c>
      <c r="E421" t="s">
        <v>159</v>
      </c>
      <c r="F421">
        <v>5596</v>
      </c>
      <c r="G421" t="s">
        <v>3469</v>
      </c>
      <c r="H421" t="s">
        <v>1254</v>
      </c>
      <c r="I421">
        <v>139</v>
      </c>
      <c r="J421" t="s">
        <v>5731</v>
      </c>
      <c r="K421" t="s">
        <v>5269</v>
      </c>
      <c r="L421" t="s">
        <v>2537</v>
      </c>
    </row>
    <row r="422" spans="1:13" x14ac:dyDescent="0.3">
      <c r="A422">
        <v>1866</v>
      </c>
      <c r="B422" t="s">
        <v>1805</v>
      </c>
      <c r="C422" t="s">
        <v>5262</v>
      </c>
      <c r="D422" t="s">
        <v>159</v>
      </c>
      <c r="E422" t="s">
        <v>159</v>
      </c>
      <c r="F422">
        <v>5596</v>
      </c>
      <c r="G422" t="s">
        <v>3469</v>
      </c>
      <c r="H422" t="s">
        <v>1254</v>
      </c>
      <c r="I422">
        <v>139</v>
      </c>
      <c r="J422" t="s">
        <v>5731</v>
      </c>
      <c r="K422" t="s">
        <v>5734</v>
      </c>
      <c r="L422" t="s">
        <v>2537</v>
      </c>
    </row>
    <row r="423" spans="1:13" x14ac:dyDescent="0.3">
      <c r="A423">
        <v>1866</v>
      </c>
      <c r="B423" t="s">
        <v>1805</v>
      </c>
      <c r="C423" t="s">
        <v>5262</v>
      </c>
      <c r="D423" t="s">
        <v>159</v>
      </c>
      <c r="E423" t="s">
        <v>159</v>
      </c>
      <c r="F423">
        <v>5596</v>
      </c>
      <c r="G423" t="s">
        <v>3469</v>
      </c>
      <c r="H423" t="s">
        <v>1254</v>
      </c>
      <c r="I423">
        <v>139</v>
      </c>
      <c r="J423" t="s">
        <v>5731</v>
      </c>
      <c r="K423" t="s">
        <v>5529</v>
      </c>
      <c r="L423" t="s">
        <v>2537</v>
      </c>
    </row>
    <row r="424" spans="1:13" x14ac:dyDescent="0.3">
      <c r="A424">
        <v>1866</v>
      </c>
      <c r="B424" t="s">
        <v>1805</v>
      </c>
      <c r="C424" t="s">
        <v>5262</v>
      </c>
      <c r="D424" t="s">
        <v>159</v>
      </c>
      <c r="E424" t="s">
        <v>159</v>
      </c>
      <c r="F424">
        <v>5596</v>
      </c>
      <c r="G424" t="s">
        <v>3469</v>
      </c>
      <c r="H424" t="s">
        <v>1254</v>
      </c>
      <c r="I424">
        <v>139</v>
      </c>
      <c r="J424" t="s">
        <v>5731</v>
      </c>
      <c r="K424" t="s">
        <v>5735</v>
      </c>
      <c r="L424" t="s">
        <v>2537</v>
      </c>
    </row>
    <row r="425" spans="1:13" x14ac:dyDescent="0.3">
      <c r="A425">
        <v>1875</v>
      </c>
      <c r="B425" t="s">
        <v>1811</v>
      </c>
      <c r="C425" t="s">
        <v>5262</v>
      </c>
      <c r="D425" t="s">
        <v>159</v>
      </c>
      <c r="E425" t="s">
        <v>159</v>
      </c>
      <c r="F425">
        <v>8653</v>
      </c>
      <c r="G425" t="s">
        <v>5736</v>
      </c>
      <c r="H425" t="s">
        <v>5264</v>
      </c>
      <c r="I425">
        <v>2464</v>
      </c>
      <c r="J425" t="s">
        <v>5736</v>
      </c>
      <c r="K425" t="s">
        <v>4733</v>
      </c>
      <c r="L425" t="s">
        <v>2530</v>
      </c>
      <c r="M425" t="s">
        <v>2537</v>
      </c>
    </row>
    <row r="426" spans="1:13" x14ac:dyDescent="0.3">
      <c r="A426">
        <v>1877</v>
      </c>
      <c r="B426" t="s">
        <v>1812</v>
      </c>
      <c r="C426" t="s">
        <v>5262</v>
      </c>
      <c r="D426" t="s">
        <v>159</v>
      </c>
      <c r="E426" t="s">
        <v>159</v>
      </c>
      <c r="F426">
        <v>8764</v>
      </c>
      <c r="G426" t="s">
        <v>5737</v>
      </c>
      <c r="H426" t="s">
        <v>5264</v>
      </c>
      <c r="I426">
        <v>1793</v>
      </c>
      <c r="J426" t="s">
        <v>5737</v>
      </c>
      <c r="K426" t="s">
        <v>5427</v>
      </c>
      <c r="L426" t="s">
        <v>2530</v>
      </c>
      <c r="M426" t="s">
        <v>2537</v>
      </c>
    </row>
    <row r="427" spans="1:13" x14ac:dyDescent="0.3">
      <c r="A427">
        <v>1894</v>
      </c>
      <c r="B427" t="s">
        <v>1814</v>
      </c>
      <c r="C427" t="s">
        <v>5262</v>
      </c>
      <c r="D427" t="s">
        <v>159</v>
      </c>
      <c r="E427" t="s">
        <v>159</v>
      </c>
      <c r="F427">
        <v>8895</v>
      </c>
      <c r="G427" t="s">
        <v>5738</v>
      </c>
      <c r="H427" t="s">
        <v>5264</v>
      </c>
      <c r="I427">
        <v>5059</v>
      </c>
      <c r="J427" t="s">
        <v>5738</v>
      </c>
      <c r="K427" t="s">
        <v>4741</v>
      </c>
      <c r="L427" t="s">
        <v>2530</v>
      </c>
      <c r="M427" t="s">
        <v>2537</v>
      </c>
    </row>
    <row r="428" spans="1:13" x14ac:dyDescent="0.3">
      <c r="A428">
        <v>1899</v>
      </c>
      <c r="B428" t="s">
        <v>1818</v>
      </c>
      <c r="C428" t="s">
        <v>5262</v>
      </c>
      <c r="D428" t="s">
        <v>1203</v>
      </c>
      <c r="E428" t="s">
        <v>1204</v>
      </c>
      <c r="F428">
        <v>5877</v>
      </c>
      <c r="G428" t="s">
        <v>5739</v>
      </c>
      <c r="H428" t="s">
        <v>1254</v>
      </c>
      <c r="I428">
        <v>4122</v>
      </c>
      <c r="J428" t="s">
        <v>3135</v>
      </c>
      <c r="K428" t="s">
        <v>3590</v>
      </c>
      <c r="L428" t="s">
        <v>2537</v>
      </c>
      <c r="M428" t="s">
        <v>2537</v>
      </c>
    </row>
    <row r="429" spans="1:13" x14ac:dyDescent="0.3">
      <c r="A429">
        <v>1900</v>
      </c>
      <c r="B429" t="s">
        <v>1822</v>
      </c>
      <c r="C429" t="s">
        <v>5262</v>
      </c>
      <c r="D429" t="s">
        <v>159</v>
      </c>
      <c r="E429" t="s">
        <v>159</v>
      </c>
      <c r="F429">
        <v>5519</v>
      </c>
      <c r="G429" t="s">
        <v>5739</v>
      </c>
      <c r="H429" t="s">
        <v>1254</v>
      </c>
      <c r="I429">
        <v>1335</v>
      </c>
      <c r="J429" t="s">
        <v>5357</v>
      </c>
      <c r="K429" t="s">
        <v>5498</v>
      </c>
      <c r="L429" t="s">
        <v>2537</v>
      </c>
      <c r="M429" t="s">
        <v>2537</v>
      </c>
    </row>
    <row r="430" spans="1:13" x14ac:dyDescent="0.3">
      <c r="A430">
        <v>1900</v>
      </c>
      <c r="B430" t="s">
        <v>1822</v>
      </c>
      <c r="C430" t="s">
        <v>5262</v>
      </c>
      <c r="D430" t="s">
        <v>159</v>
      </c>
      <c r="E430" t="s">
        <v>159</v>
      </c>
      <c r="F430">
        <v>5519</v>
      </c>
      <c r="G430" t="s">
        <v>5739</v>
      </c>
      <c r="H430" t="s">
        <v>1254</v>
      </c>
      <c r="I430">
        <v>150</v>
      </c>
      <c r="J430" t="s">
        <v>5357</v>
      </c>
      <c r="K430" t="s">
        <v>5529</v>
      </c>
      <c r="L430" t="s">
        <v>2537</v>
      </c>
      <c r="M430" t="s">
        <v>2537</v>
      </c>
    </row>
    <row r="431" spans="1:13" x14ac:dyDescent="0.3">
      <c r="A431">
        <v>1923</v>
      </c>
      <c r="B431" t="s">
        <v>1823</v>
      </c>
      <c r="C431" t="s">
        <v>5262</v>
      </c>
      <c r="D431" t="s">
        <v>159</v>
      </c>
      <c r="E431" t="s">
        <v>159</v>
      </c>
      <c r="F431">
        <v>8627</v>
      </c>
      <c r="G431" t="s">
        <v>5740</v>
      </c>
      <c r="H431" t="s">
        <v>5264</v>
      </c>
      <c r="I431">
        <v>1037</v>
      </c>
      <c r="J431" t="s">
        <v>5740</v>
      </c>
      <c r="K431" t="s">
        <v>4744</v>
      </c>
      <c r="L431" t="s">
        <v>2530</v>
      </c>
      <c r="M431" t="s">
        <v>2537</v>
      </c>
    </row>
    <row r="432" spans="1:13" x14ac:dyDescent="0.3">
      <c r="A432">
        <v>1925</v>
      </c>
      <c r="B432" t="s">
        <v>1824</v>
      </c>
      <c r="C432" t="s">
        <v>5262</v>
      </c>
      <c r="D432" t="s">
        <v>159</v>
      </c>
      <c r="E432" t="s">
        <v>159</v>
      </c>
      <c r="F432">
        <v>6160</v>
      </c>
      <c r="G432" t="s">
        <v>5741</v>
      </c>
      <c r="H432" t="s">
        <v>5264</v>
      </c>
      <c r="I432">
        <v>14528</v>
      </c>
      <c r="J432" t="s">
        <v>5741</v>
      </c>
      <c r="K432" t="s">
        <v>5742</v>
      </c>
      <c r="L432" t="s">
        <v>2537</v>
      </c>
      <c r="M432" t="s">
        <v>2537</v>
      </c>
    </row>
    <row r="433" spans="1:13" x14ac:dyDescent="0.3">
      <c r="A433">
        <v>1927</v>
      </c>
      <c r="B433" t="s">
        <v>771</v>
      </c>
      <c r="C433" t="s">
        <v>5262</v>
      </c>
      <c r="D433" t="s">
        <v>159</v>
      </c>
      <c r="E433" t="s">
        <v>159</v>
      </c>
      <c r="F433">
        <v>8146</v>
      </c>
      <c r="G433" t="s">
        <v>5743</v>
      </c>
      <c r="H433" t="s">
        <v>1254</v>
      </c>
      <c r="I433">
        <v>2131</v>
      </c>
      <c r="J433" t="s">
        <v>5744</v>
      </c>
      <c r="K433" t="s">
        <v>5745</v>
      </c>
      <c r="L433" t="s">
        <v>2530</v>
      </c>
      <c r="M433" t="s">
        <v>2537</v>
      </c>
    </row>
    <row r="434" spans="1:13" x14ac:dyDescent="0.3">
      <c r="A434">
        <v>1927</v>
      </c>
      <c r="B434" t="s">
        <v>771</v>
      </c>
      <c r="C434" t="s">
        <v>5262</v>
      </c>
      <c r="D434" t="s">
        <v>159</v>
      </c>
      <c r="E434" t="s">
        <v>159</v>
      </c>
      <c r="F434">
        <v>8146</v>
      </c>
      <c r="G434" t="s">
        <v>5746</v>
      </c>
      <c r="H434" t="s">
        <v>1254</v>
      </c>
      <c r="I434">
        <v>4646</v>
      </c>
      <c r="J434" t="s">
        <v>758</v>
      </c>
      <c r="K434" t="s">
        <v>5747</v>
      </c>
      <c r="L434" t="s">
        <v>2530</v>
      </c>
      <c r="M434" t="s">
        <v>2537</v>
      </c>
    </row>
    <row r="435" spans="1:13" x14ac:dyDescent="0.3">
      <c r="A435">
        <v>1940</v>
      </c>
      <c r="B435" t="s">
        <v>1828</v>
      </c>
      <c r="C435" t="s">
        <v>5262</v>
      </c>
      <c r="D435" t="s">
        <v>159</v>
      </c>
      <c r="E435" t="s">
        <v>159</v>
      </c>
      <c r="F435">
        <v>7213</v>
      </c>
      <c r="G435" t="s">
        <v>5748</v>
      </c>
      <c r="H435" t="s">
        <v>1254</v>
      </c>
      <c r="I435">
        <v>280</v>
      </c>
      <c r="J435" t="s">
        <v>5381</v>
      </c>
      <c r="K435" t="s">
        <v>5749</v>
      </c>
      <c r="L435" t="s">
        <v>2537</v>
      </c>
      <c r="M435" t="s">
        <v>2537</v>
      </c>
    </row>
    <row r="436" spans="1:13" x14ac:dyDescent="0.3">
      <c r="A436">
        <v>1940</v>
      </c>
      <c r="B436" t="s">
        <v>1828</v>
      </c>
      <c r="C436" t="s">
        <v>5262</v>
      </c>
      <c r="D436" t="s">
        <v>159</v>
      </c>
      <c r="E436" t="s">
        <v>159</v>
      </c>
      <c r="F436">
        <v>7213</v>
      </c>
      <c r="G436" t="s">
        <v>5750</v>
      </c>
      <c r="H436" t="s">
        <v>5264</v>
      </c>
      <c r="I436">
        <v>7061</v>
      </c>
      <c r="J436" t="s">
        <v>5463</v>
      </c>
      <c r="K436" t="s">
        <v>4745</v>
      </c>
      <c r="L436" t="s">
        <v>2530</v>
      </c>
      <c r="M436" t="s">
        <v>2537</v>
      </c>
    </row>
    <row r="437" spans="1:13" x14ac:dyDescent="0.3">
      <c r="A437">
        <v>1945</v>
      </c>
      <c r="B437" t="s">
        <v>1829</v>
      </c>
      <c r="C437" t="s">
        <v>5262</v>
      </c>
      <c r="D437" t="s">
        <v>159</v>
      </c>
      <c r="E437" t="s">
        <v>159</v>
      </c>
      <c r="F437">
        <v>5546</v>
      </c>
      <c r="G437" t="s">
        <v>5314</v>
      </c>
      <c r="H437" t="s">
        <v>5264</v>
      </c>
      <c r="I437">
        <v>11900</v>
      </c>
      <c r="J437" t="s">
        <v>5314</v>
      </c>
      <c r="K437" t="s">
        <v>3512</v>
      </c>
      <c r="L437" t="s">
        <v>2530</v>
      </c>
      <c r="M437" t="s">
        <v>2537</v>
      </c>
    </row>
    <row r="438" spans="1:13" x14ac:dyDescent="0.3">
      <c r="A438">
        <v>1953</v>
      </c>
      <c r="B438" t="s">
        <v>1830</v>
      </c>
      <c r="C438" t="s">
        <v>5262</v>
      </c>
      <c r="D438" t="s">
        <v>159</v>
      </c>
      <c r="E438" t="s">
        <v>159</v>
      </c>
      <c r="F438">
        <v>5730</v>
      </c>
      <c r="G438" t="s">
        <v>2182</v>
      </c>
      <c r="H438" t="s">
        <v>5264</v>
      </c>
      <c r="I438">
        <v>2302</v>
      </c>
      <c r="J438" t="s">
        <v>5356</v>
      </c>
      <c r="K438" t="s">
        <v>5751</v>
      </c>
      <c r="L438" t="s">
        <v>2537</v>
      </c>
      <c r="M438" t="s">
        <v>2537</v>
      </c>
    </row>
    <row r="439" spans="1:13" x14ac:dyDescent="0.3">
      <c r="A439">
        <v>1956</v>
      </c>
      <c r="B439" t="s">
        <v>1831</v>
      </c>
      <c r="C439" t="s">
        <v>5262</v>
      </c>
      <c r="D439" t="s">
        <v>1203</v>
      </c>
      <c r="E439" t="s">
        <v>1204</v>
      </c>
      <c r="F439">
        <v>8024</v>
      </c>
      <c r="G439" t="s">
        <v>5752</v>
      </c>
      <c r="H439" t="s">
        <v>5264</v>
      </c>
      <c r="I439">
        <v>5253.9359992</v>
      </c>
      <c r="J439" t="s">
        <v>5752</v>
      </c>
      <c r="K439" t="s">
        <v>4751</v>
      </c>
      <c r="L439" t="s">
        <v>2530</v>
      </c>
      <c r="M439" t="s">
        <v>2537</v>
      </c>
    </row>
    <row r="440" spans="1:13" x14ac:dyDescent="0.3">
      <c r="A440">
        <v>1964</v>
      </c>
      <c r="B440" t="s">
        <v>1832</v>
      </c>
      <c r="C440" t="s">
        <v>5262</v>
      </c>
      <c r="D440" t="s">
        <v>159</v>
      </c>
      <c r="E440" t="s">
        <v>159</v>
      </c>
      <c r="F440">
        <v>8095</v>
      </c>
      <c r="G440" t="s">
        <v>5753</v>
      </c>
      <c r="H440" t="s">
        <v>1254</v>
      </c>
      <c r="I440">
        <v>64</v>
      </c>
      <c r="J440" t="s">
        <v>5505</v>
      </c>
      <c r="K440" t="s">
        <v>5754</v>
      </c>
      <c r="L440" t="s">
        <v>2537</v>
      </c>
    </row>
    <row r="441" spans="1:13" x14ac:dyDescent="0.3">
      <c r="A441">
        <v>1964</v>
      </c>
      <c r="B441" t="s">
        <v>1832</v>
      </c>
      <c r="C441" t="s">
        <v>5262</v>
      </c>
      <c r="D441" t="s">
        <v>159</v>
      </c>
      <c r="E441" t="s">
        <v>159</v>
      </c>
      <c r="F441">
        <v>8095</v>
      </c>
      <c r="G441" t="s">
        <v>5753</v>
      </c>
      <c r="H441" t="s">
        <v>5264</v>
      </c>
      <c r="I441">
        <v>3195</v>
      </c>
      <c r="J441" t="s">
        <v>5755</v>
      </c>
      <c r="K441" t="s">
        <v>5756</v>
      </c>
      <c r="L441" t="s">
        <v>2537</v>
      </c>
    </row>
    <row r="442" spans="1:13" x14ac:dyDescent="0.3">
      <c r="A442">
        <v>1990</v>
      </c>
      <c r="B442" t="s">
        <v>1836</v>
      </c>
      <c r="C442" t="s">
        <v>5262</v>
      </c>
      <c r="D442" t="s">
        <v>159</v>
      </c>
      <c r="E442" t="s">
        <v>159</v>
      </c>
      <c r="F442">
        <v>7651</v>
      </c>
      <c r="G442" t="s">
        <v>1836</v>
      </c>
      <c r="H442" t="s">
        <v>5264</v>
      </c>
      <c r="I442">
        <v>883</v>
      </c>
      <c r="J442" t="s">
        <v>4700</v>
      </c>
      <c r="K442" t="s">
        <v>5757</v>
      </c>
      <c r="L442" t="s">
        <v>2537</v>
      </c>
      <c r="M442" t="s">
        <v>2537</v>
      </c>
    </row>
    <row r="443" spans="1:13" x14ac:dyDescent="0.3">
      <c r="A443">
        <v>1996</v>
      </c>
      <c r="B443" t="s">
        <v>1838</v>
      </c>
      <c r="C443" t="s">
        <v>5262</v>
      </c>
      <c r="D443" t="s">
        <v>159</v>
      </c>
      <c r="E443" t="s">
        <v>159</v>
      </c>
      <c r="F443">
        <v>8154</v>
      </c>
      <c r="G443" t="s">
        <v>1838</v>
      </c>
      <c r="H443" t="s">
        <v>5264</v>
      </c>
      <c r="I443">
        <v>571</v>
      </c>
      <c r="J443" t="s">
        <v>1838</v>
      </c>
      <c r="K443" t="s">
        <v>5758</v>
      </c>
      <c r="L443" t="s">
        <v>2530</v>
      </c>
      <c r="M443" t="s">
        <v>2537</v>
      </c>
    </row>
    <row r="444" spans="1:13" x14ac:dyDescent="0.3">
      <c r="A444">
        <v>1996</v>
      </c>
      <c r="B444" t="s">
        <v>1838</v>
      </c>
      <c r="C444" t="s">
        <v>5262</v>
      </c>
      <c r="D444" t="s">
        <v>159</v>
      </c>
      <c r="E444" t="s">
        <v>159</v>
      </c>
      <c r="F444">
        <v>8154</v>
      </c>
      <c r="G444" t="s">
        <v>1838</v>
      </c>
      <c r="H444" t="s">
        <v>5264</v>
      </c>
      <c r="I444">
        <v>763</v>
      </c>
      <c r="J444" t="s">
        <v>1838</v>
      </c>
      <c r="K444" t="s">
        <v>5759</v>
      </c>
      <c r="L444" t="s">
        <v>2530</v>
      </c>
      <c r="M444" t="s">
        <v>2537</v>
      </c>
    </row>
    <row r="445" spans="1:13" x14ac:dyDescent="0.3">
      <c r="A445">
        <v>2000</v>
      </c>
      <c r="B445" t="s">
        <v>1839</v>
      </c>
      <c r="C445" t="s">
        <v>5262</v>
      </c>
      <c r="D445" t="s">
        <v>159</v>
      </c>
      <c r="E445" t="s">
        <v>159</v>
      </c>
      <c r="F445">
        <v>7709</v>
      </c>
      <c r="G445" t="s">
        <v>1839</v>
      </c>
      <c r="H445" t="s">
        <v>5264</v>
      </c>
      <c r="I445">
        <v>3338</v>
      </c>
      <c r="J445" t="s">
        <v>5760</v>
      </c>
      <c r="K445" t="s">
        <v>4764</v>
      </c>
      <c r="L445" t="s">
        <v>2530</v>
      </c>
      <c r="M445" t="s">
        <v>2530</v>
      </c>
    </row>
    <row r="446" spans="1:13" x14ac:dyDescent="0.3">
      <c r="A446">
        <v>2000</v>
      </c>
      <c r="B446" t="s">
        <v>1839</v>
      </c>
      <c r="C446" t="s">
        <v>5262</v>
      </c>
      <c r="D446" t="s">
        <v>159</v>
      </c>
      <c r="E446" t="s">
        <v>159</v>
      </c>
      <c r="F446">
        <v>7709</v>
      </c>
      <c r="G446" t="s">
        <v>1483</v>
      </c>
      <c r="H446" t="s">
        <v>1254</v>
      </c>
      <c r="I446">
        <v>8744</v>
      </c>
      <c r="J446" t="s">
        <v>1483</v>
      </c>
      <c r="K446" t="s">
        <v>4763</v>
      </c>
      <c r="L446" t="s">
        <v>2530</v>
      </c>
      <c r="M446" t="s">
        <v>2530</v>
      </c>
    </row>
    <row r="447" spans="1:13" x14ac:dyDescent="0.3">
      <c r="A447">
        <v>2031</v>
      </c>
      <c r="B447" t="s">
        <v>4765</v>
      </c>
      <c r="C447" t="s">
        <v>5262</v>
      </c>
      <c r="D447" t="s">
        <v>1203</v>
      </c>
      <c r="E447" t="s">
        <v>1204</v>
      </c>
      <c r="F447">
        <v>8033</v>
      </c>
      <c r="G447" t="s">
        <v>5761</v>
      </c>
      <c r="H447" t="s">
        <v>5264</v>
      </c>
      <c r="I447">
        <v>1260</v>
      </c>
      <c r="J447" t="s">
        <v>5761</v>
      </c>
      <c r="K447" t="s">
        <v>5762</v>
      </c>
      <c r="L447" t="s">
        <v>2530</v>
      </c>
      <c r="M447" t="s">
        <v>2530</v>
      </c>
    </row>
    <row r="448" spans="1:13" x14ac:dyDescent="0.3">
      <c r="A448">
        <v>2033</v>
      </c>
      <c r="B448" t="s">
        <v>865</v>
      </c>
      <c r="C448" t="s">
        <v>5262</v>
      </c>
      <c r="D448" t="s">
        <v>1203</v>
      </c>
      <c r="E448" t="s">
        <v>1204</v>
      </c>
      <c r="F448">
        <v>5479</v>
      </c>
      <c r="G448" t="s">
        <v>755</v>
      </c>
      <c r="H448" t="s">
        <v>5264</v>
      </c>
      <c r="I448">
        <v>11293.507288000001</v>
      </c>
      <c r="J448" t="s">
        <v>755</v>
      </c>
      <c r="K448" t="s">
        <v>5763</v>
      </c>
      <c r="L448" t="s">
        <v>2530</v>
      </c>
      <c r="M448" t="s">
        <v>2537</v>
      </c>
    </row>
    <row r="449" spans="1:13" x14ac:dyDescent="0.3">
      <c r="A449">
        <v>2035</v>
      </c>
      <c r="B449" t="s">
        <v>1843</v>
      </c>
      <c r="C449" t="s">
        <v>5262</v>
      </c>
      <c r="D449" t="s">
        <v>159</v>
      </c>
      <c r="E449" t="s">
        <v>159</v>
      </c>
      <c r="F449">
        <v>5747</v>
      </c>
      <c r="G449" t="s">
        <v>4773</v>
      </c>
      <c r="H449" t="s">
        <v>5264</v>
      </c>
      <c r="I449">
        <v>6421</v>
      </c>
      <c r="J449" t="s">
        <v>5764</v>
      </c>
      <c r="K449" t="s">
        <v>5765</v>
      </c>
      <c r="L449" t="s">
        <v>2530</v>
      </c>
      <c r="M449" t="s">
        <v>2537</v>
      </c>
    </row>
    <row r="450" spans="1:13" x14ac:dyDescent="0.3">
      <c r="A450">
        <v>2037</v>
      </c>
      <c r="B450" t="s">
        <v>1845</v>
      </c>
      <c r="C450" t="s">
        <v>5262</v>
      </c>
      <c r="D450" t="s">
        <v>159</v>
      </c>
      <c r="E450" t="s">
        <v>159</v>
      </c>
      <c r="F450">
        <v>5619</v>
      </c>
      <c r="G450" t="s">
        <v>5766</v>
      </c>
      <c r="H450" t="s">
        <v>5264</v>
      </c>
      <c r="I450">
        <v>7971</v>
      </c>
      <c r="J450" t="s">
        <v>5367</v>
      </c>
      <c r="K450" t="s">
        <v>4775</v>
      </c>
      <c r="L450" t="s">
        <v>2530</v>
      </c>
      <c r="M450" t="s">
        <v>2530</v>
      </c>
    </row>
    <row r="451" spans="1:13" x14ac:dyDescent="0.3">
      <c r="A451">
        <v>2042</v>
      </c>
      <c r="B451" t="s">
        <v>1848</v>
      </c>
      <c r="C451" t="s">
        <v>5262</v>
      </c>
      <c r="D451" t="s">
        <v>1203</v>
      </c>
      <c r="E451" t="s">
        <v>1204</v>
      </c>
      <c r="F451">
        <v>7759</v>
      </c>
      <c r="G451" t="s">
        <v>4778</v>
      </c>
      <c r="H451" t="s">
        <v>5264</v>
      </c>
      <c r="I451">
        <v>1973.2948875500001</v>
      </c>
      <c r="J451" t="s">
        <v>4778</v>
      </c>
      <c r="K451" t="s">
        <v>4778</v>
      </c>
      <c r="L451" t="s">
        <v>2530</v>
      </c>
      <c r="M451" t="s">
        <v>2537</v>
      </c>
    </row>
    <row r="452" spans="1:13" x14ac:dyDescent="0.3">
      <c r="A452">
        <v>2049</v>
      </c>
      <c r="B452" t="s">
        <v>1849</v>
      </c>
      <c r="C452" t="s">
        <v>5262</v>
      </c>
      <c r="D452" t="s">
        <v>159</v>
      </c>
      <c r="E452" t="s">
        <v>159</v>
      </c>
      <c r="F452">
        <v>5727</v>
      </c>
      <c r="G452" t="s">
        <v>5767</v>
      </c>
      <c r="H452" t="s">
        <v>1254</v>
      </c>
      <c r="I452">
        <v>3479</v>
      </c>
      <c r="J452" t="s">
        <v>5767</v>
      </c>
      <c r="K452" t="s">
        <v>3532</v>
      </c>
      <c r="L452" t="s">
        <v>2530</v>
      </c>
      <c r="M452" t="s">
        <v>2530</v>
      </c>
    </row>
    <row r="453" spans="1:13" x14ac:dyDescent="0.3">
      <c r="A453">
        <v>2057</v>
      </c>
      <c r="B453" t="s">
        <v>1851</v>
      </c>
      <c r="C453" t="s">
        <v>5262</v>
      </c>
      <c r="D453" t="s">
        <v>159</v>
      </c>
      <c r="E453" t="s">
        <v>159</v>
      </c>
      <c r="F453">
        <v>5680</v>
      </c>
      <c r="G453" t="s">
        <v>5505</v>
      </c>
      <c r="H453" t="s">
        <v>1254</v>
      </c>
      <c r="I453">
        <v>1255</v>
      </c>
      <c r="J453" t="s">
        <v>5505</v>
      </c>
      <c r="K453" t="s">
        <v>4470</v>
      </c>
      <c r="L453" t="s">
        <v>2530</v>
      </c>
      <c r="M453" t="s">
        <v>2537</v>
      </c>
    </row>
    <row r="454" spans="1:13" x14ac:dyDescent="0.3">
      <c r="A454">
        <v>2057</v>
      </c>
      <c r="B454" t="s">
        <v>1851</v>
      </c>
      <c r="C454" t="s">
        <v>5262</v>
      </c>
      <c r="D454" t="s">
        <v>159</v>
      </c>
      <c r="E454" t="s">
        <v>159</v>
      </c>
      <c r="F454">
        <v>5680</v>
      </c>
      <c r="G454" t="s">
        <v>5768</v>
      </c>
      <c r="H454" t="s">
        <v>5264</v>
      </c>
      <c r="I454">
        <v>79</v>
      </c>
      <c r="J454" t="s">
        <v>5768</v>
      </c>
      <c r="K454" t="s">
        <v>5769</v>
      </c>
      <c r="L454" t="s">
        <v>2530</v>
      </c>
      <c r="M454" t="s">
        <v>2530</v>
      </c>
    </row>
    <row r="455" spans="1:13" x14ac:dyDescent="0.3">
      <c r="A455">
        <v>2060</v>
      </c>
      <c r="B455" t="s">
        <v>5770</v>
      </c>
      <c r="C455" t="s">
        <v>5262</v>
      </c>
      <c r="D455" t="s">
        <v>1203</v>
      </c>
      <c r="E455" t="s">
        <v>1204</v>
      </c>
      <c r="F455">
        <v>8846</v>
      </c>
      <c r="G455" t="s">
        <v>5433</v>
      </c>
      <c r="H455" t="s">
        <v>1254</v>
      </c>
      <c r="I455">
        <v>1435</v>
      </c>
      <c r="J455" t="s">
        <v>5771</v>
      </c>
      <c r="K455" t="s">
        <v>4811</v>
      </c>
      <c r="L455" t="s">
        <v>2537</v>
      </c>
      <c r="M455" t="s">
        <v>2537</v>
      </c>
    </row>
    <row r="456" spans="1:13" x14ac:dyDescent="0.3">
      <c r="A456">
        <v>2063</v>
      </c>
      <c r="B456" t="s">
        <v>1852</v>
      </c>
      <c r="C456" t="s">
        <v>5262</v>
      </c>
      <c r="D456" t="s">
        <v>159</v>
      </c>
      <c r="E456" t="s">
        <v>159</v>
      </c>
      <c r="F456">
        <v>8043</v>
      </c>
      <c r="G456" t="s">
        <v>5772</v>
      </c>
      <c r="H456" t="s">
        <v>5264</v>
      </c>
      <c r="I456">
        <v>503</v>
      </c>
      <c r="J456" t="s">
        <v>5772</v>
      </c>
      <c r="K456" t="s">
        <v>4789</v>
      </c>
      <c r="L456" t="s">
        <v>2530</v>
      </c>
      <c r="M456" t="s">
        <v>2537</v>
      </c>
    </row>
    <row r="457" spans="1:13" x14ac:dyDescent="0.3">
      <c r="A457">
        <v>2063</v>
      </c>
      <c r="B457" t="s">
        <v>1852</v>
      </c>
      <c r="C457" t="s">
        <v>5262</v>
      </c>
      <c r="D457" t="s">
        <v>159</v>
      </c>
      <c r="E457" t="s">
        <v>159</v>
      </c>
      <c r="F457">
        <v>8043</v>
      </c>
      <c r="G457" t="s">
        <v>5772</v>
      </c>
      <c r="H457" t="s">
        <v>5264</v>
      </c>
      <c r="I457">
        <v>296</v>
      </c>
      <c r="J457" t="s">
        <v>5772</v>
      </c>
      <c r="K457" t="s">
        <v>4786</v>
      </c>
      <c r="L457" t="s">
        <v>2530</v>
      </c>
      <c r="M457" t="s">
        <v>2537</v>
      </c>
    </row>
    <row r="458" spans="1:13" x14ac:dyDescent="0.3">
      <c r="A458">
        <v>2074</v>
      </c>
      <c r="B458" t="s">
        <v>1853</v>
      </c>
      <c r="C458" t="s">
        <v>5262</v>
      </c>
      <c r="D458" t="s">
        <v>1203</v>
      </c>
      <c r="E458" t="s">
        <v>1204</v>
      </c>
      <c r="F458">
        <v>6341</v>
      </c>
      <c r="G458" t="s">
        <v>5773</v>
      </c>
      <c r="H458" t="s">
        <v>5264</v>
      </c>
      <c r="I458">
        <v>1568</v>
      </c>
      <c r="J458" t="s">
        <v>5774</v>
      </c>
      <c r="K458" t="s">
        <v>5775</v>
      </c>
      <c r="L458" t="s">
        <v>2530</v>
      </c>
      <c r="M458" t="s">
        <v>2537</v>
      </c>
    </row>
    <row r="459" spans="1:13" x14ac:dyDescent="0.3">
      <c r="A459">
        <v>2083</v>
      </c>
      <c r="B459" t="s">
        <v>1854</v>
      </c>
      <c r="C459" t="s">
        <v>5262</v>
      </c>
      <c r="D459" t="s">
        <v>159</v>
      </c>
      <c r="E459" t="s">
        <v>159</v>
      </c>
      <c r="F459">
        <v>5706</v>
      </c>
      <c r="G459" t="s">
        <v>5575</v>
      </c>
      <c r="H459" t="s">
        <v>5264</v>
      </c>
      <c r="I459">
        <v>28345</v>
      </c>
      <c r="J459" t="s">
        <v>5575</v>
      </c>
      <c r="K459" t="s">
        <v>4795</v>
      </c>
      <c r="L459" t="s">
        <v>2530</v>
      </c>
      <c r="M459" t="s">
        <v>2537</v>
      </c>
    </row>
    <row r="460" spans="1:13" x14ac:dyDescent="0.3">
      <c r="A460">
        <v>2087</v>
      </c>
      <c r="B460" t="s">
        <v>1860</v>
      </c>
      <c r="C460" t="s">
        <v>5262</v>
      </c>
      <c r="D460" t="s">
        <v>159</v>
      </c>
      <c r="E460" t="s">
        <v>159</v>
      </c>
      <c r="F460">
        <v>5755</v>
      </c>
      <c r="G460" t="s">
        <v>5440</v>
      </c>
      <c r="H460" t="s">
        <v>1254</v>
      </c>
      <c r="I460">
        <v>1184</v>
      </c>
      <c r="J460" t="s">
        <v>5440</v>
      </c>
      <c r="K460" t="s">
        <v>4372</v>
      </c>
      <c r="L460" t="s">
        <v>2537</v>
      </c>
      <c r="M460" t="s">
        <v>2537</v>
      </c>
    </row>
    <row r="461" spans="1:13" x14ac:dyDescent="0.3">
      <c r="A461">
        <v>2103</v>
      </c>
      <c r="B461" t="s">
        <v>1862</v>
      </c>
      <c r="C461" t="s">
        <v>5262</v>
      </c>
      <c r="D461" t="s">
        <v>159</v>
      </c>
      <c r="E461" t="s">
        <v>159</v>
      </c>
      <c r="F461">
        <v>8896</v>
      </c>
      <c r="G461" t="s">
        <v>5776</v>
      </c>
      <c r="H461" t="s">
        <v>5264</v>
      </c>
      <c r="I461">
        <v>3166</v>
      </c>
      <c r="J461" t="s">
        <v>3571</v>
      </c>
      <c r="K461" t="s">
        <v>5777</v>
      </c>
      <c r="L461" t="s">
        <v>2537</v>
      </c>
      <c r="M461" t="s">
        <v>2530</v>
      </c>
    </row>
    <row r="462" spans="1:13" x14ac:dyDescent="0.3">
      <c r="A462">
        <v>2111</v>
      </c>
      <c r="B462" t="s">
        <v>868</v>
      </c>
      <c r="C462" t="s">
        <v>5262</v>
      </c>
      <c r="D462" t="s">
        <v>159</v>
      </c>
      <c r="E462" t="s">
        <v>159</v>
      </c>
      <c r="F462">
        <v>6887</v>
      </c>
      <c r="G462" t="s">
        <v>758</v>
      </c>
      <c r="H462" t="s">
        <v>5264</v>
      </c>
      <c r="I462">
        <v>5958</v>
      </c>
      <c r="J462" t="s">
        <v>758</v>
      </c>
      <c r="K462" t="s">
        <v>4802</v>
      </c>
      <c r="L462" t="s">
        <v>2530</v>
      </c>
      <c r="M462" t="s">
        <v>2537</v>
      </c>
    </row>
    <row r="463" spans="1:13" x14ac:dyDescent="0.3">
      <c r="A463">
        <v>2111</v>
      </c>
      <c r="B463" t="s">
        <v>868</v>
      </c>
      <c r="C463" t="s">
        <v>5262</v>
      </c>
      <c r="D463" t="s">
        <v>159</v>
      </c>
      <c r="E463" t="s">
        <v>159</v>
      </c>
      <c r="F463">
        <v>6887</v>
      </c>
      <c r="G463" t="s">
        <v>758</v>
      </c>
      <c r="H463" t="s">
        <v>5264</v>
      </c>
      <c r="I463">
        <v>6501</v>
      </c>
      <c r="J463" t="s">
        <v>758</v>
      </c>
      <c r="K463" t="s">
        <v>5778</v>
      </c>
      <c r="L463" t="s">
        <v>2530</v>
      </c>
      <c r="M463" t="s">
        <v>2537</v>
      </c>
    </row>
    <row r="464" spans="1:13" x14ac:dyDescent="0.3">
      <c r="A464">
        <v>2115</v>
      </c>
      <c r="B464" t="s">
        <v>1867</v>
      </c>
      <c r="C464" t="s">
        <v>5262</v>
      </c>
      <c r="D464" t="s">
        <v>159</v>
      </c>
      <c r="E464" t="s">
        <v>159</v>
      </c>
      <c r="F464">
        <v>5512</v>
      </c>
      <c r="G464" t="s">
        <v>3135</v>
      </c>
      <c r="H464" t="s">
        <v>1254</v>
      </c>
      <c r="I464">
        <v>4000</v>
      </c>
      <c r="J464" t="s">
        <v>3135</v>
      </c>
      <c r="K464" t="s">
        <v>3590</v>
      </c>
      <c r="L464" t="s">
        <v>2537</v>
      </c>
      <c r="M464" t="s">
        <v>2537</v>
      </c>
    </row>
    <row r="465" spans="1:13" x14ac:dyDescent="0.3">
      <c r="A465">
        <v>2118</v>
      </c>
      <c r="B465" t="s">
        <v>1869</v>
      </c>
      <c r="C465" t="s">
        <v>5262</v>
      </c>
      <c r="D465" t="s">
        <v>159</v>
      </c>
      <c r="E465" t="s">
        <v>159</v>
      </c>
      <c r="F465">
        <v>7993</v>
      </c>
      <c r="G465" t="s">
        <v>2520</v>
      </c>
      <c r="H465" t="s">
        <v>5264</v>
      </c>
      <c r="I465">
        <v>1900</v>
      </c>
      <c r="J465" t="s">
        <v>5575</v>
      </c>
      <c r="K465" t="s">
        <v>4535</v>
      </c>
      <c r="L465" t="s">
        <v>2537</v>
      </c>
      <c r="M465" t="s">
        <v>2537</v>
      </c>
    </row>
    <row r="466" spans="1:13" x14ac:dyDescent="0.3">
      <c r="A466">
        <v>2119</v>
      </c>
      <c r="B466" t="s">
        <v>1877</v>
      </c>
      <c r="C466" t="s">
        <v>5262</v>
      </c>
      <c r="D466" t="s">
        <v>1203</v>
      </c>
      <c r="E466" t="s">
        <v>1204</v>
      </c>
      <c r="F466">
        <v>8630</v>
      </c>
      <c r="G466" t="s">
        <v>3135</v>
      </c>
      <c r="H466" t="s">
        <v>1254</v>
      </c>
      <c r="I466">
        <v>929</v>
      </c>
      <c r="J466" t="s">
        <v>3135</v>
      </c>
      <c r="K466" t="s">
        <v>5450</v>
      </c>
      <c r="L466" t="s">
        <v>2537</v>
      </c>
      <c r="M466" t="s">
        <v>2537</v>
      </c>
    </row>
    <row r="467" spans="1:13" x14ac:dyDescent="0.3">
      <c r="A467">
        <v>2122</v>
      </c>
      <c r="B467" t="s">
        <v>1878</v>
      </c>
      <c r="C467" t="s">
        <v>5262</v>
      </c>
      <c r="D467" t="s">
        <v>1203</v>
      </c>
      <c r="E467" t="s">
        <v>1204</v>
      </c>
      <c r="F467">
        <v>7711</v>
      </c>
      <c r="G467" t="s">
        <v>1878</v>
      </c>
      <c r="H467" t="s">
        <v>5264</v>
      </c>
      <c r="I467">
        <v>306</v>
      </c>
      <c r="J467" t="s">
        <v>1878</v>
      </c>
      <c r="K467" t="s">
        <v>4804</v>
      </c>
      <c r="L467" t="s">
        <v>2530</v>
      </c>
      <c r="M467" t="s">
        <v>2537</v>
      </c>
    </row>
    <row r="468" spans="1:13" x14ac:dyDescent="0.3">
      <c r="A468">
        <v>2130</v>
      </c>
      <c r="B468" t="s">
        <v>1879</v>
      </c>
      <c r="C468" t="s">
        <v>5262</v>
      </c>
      <c r="D468" t="s">
        <v>159</v>
      </c>
      <c r="E468" t="s">
        <v>159</v>
      </c>
      <c r="F468">
        <v>6776</v>
      </c>
      <c r="G468" t="s">
        <v>3614</v>
      </c>
      <c r="H468" t="s">
        <v>1254</v>
      </c>
      <c r="I468">
        <v>0</v>
      </c>
      <c r="J468" t="s">
        <v>3614</v>
      </c>
      <c r="K468" t="s">
        <v>4809</v>
      </c>
      <c r="L468" t="s">
        <v>2530</v>
      </c>
    </row>
    <row r="469" spans="1:13" x14ac:dyDescent="0.3">
      <c r="A469">
        <v>2130</v>
      </c>
      <c r="B469" t="s">
        <v>1879</v>
      </c>
      <c r="C469" t="s">
        <v>5262</v>
      </c>
      <c r="D469" t="s">
        <v>159</v>
      </c>
      <c r="E469" t="s">
        <v>159</v>
      </c>
      <c r="F469">
        <v>6776</v>
      </c>
      <c r="G469" t="s">
        <v>5433</v>
      </c>
      <c r="H469" t="s">
        <v>1254</v>
      </c>
      <c r="I469">
        <v>24652</v>
      </c>
      <c r="J469" t="s">
        <v>5779</v>
      </c>
      <c r="K469" t="s">
        <v>4286</v>
      </c>
      <c r="L469" t="s">
        <v>2537</v>
      </c>
    </row>
    <row r="470" spans="1:13" x14ac:dyDescent="0.3">
      <c r="A470">
        <v>2130</v>
      </c>
      <c r="B470" t="s">
        <v>1879</v>
      </c>
      <c r="C470" t="s">
        <v>5262</v>
      </c>
      <c r="D470" t="s">
        <v>159</v>
      </c>
      <c r="E470" t="s">
        <v>159</v>
      </c>
      <c r="F470">
        <v>6776</v>
      </c>
      <c r="G470" t="s">
        <v>3614</v>
      </c>
      <c r="H470" t="s">
        <v>1254</v>
      </c>
      <c r="I470">
        <v>15689</v>
      </c>
      <c r="J470" t="s">
        <v>5779</v>
      </c>
      <c r="K470" t="s">
        <v>4286</v>
      </c>
      <c r="L470" t="s">
        <v>2537</v>
      </c>
    </row>
    <row r="471" spans="1:13" x14ac:dyDescent="0.3">
      <c r="A471">
        <v>2132</v>
      </c>
      <c r="B471" t="s">
        <v>772</v>
      </c>
      <c r="C471" t="s">
        <v>5262</v>
      </c>
      <c r="D471" t="s">
        <v>1203</v>
      </c>
      <c r="E471" t="s">
        <v>1204</v>
      </c>
      <c r="F471">
        <v>5606</v>
      </c>
      <c r="G471" t="s">
        <v>5531</v>
      </c>
      <c r="H471" t="s">
        <v>1254</v>
      </c>
      <c r="I471">
        <v>19835</v>
      </c>
      <c r="J471" t="s">
        <v>5531</v>
      </c>
      <c r="K471" t="s">
        <v>5423</v>
      </c>
      <c r="L471" t="s">
        <v>2537</v>
      </c>
      <c r="M471" t="s">
        <v>2537</v>
      </c>
    </row>
    <row r="472" spans="1:13" x14ac:dyDescent="0.3">
      <c r="A472">
        <v>2140</v>
      </c>
      <c r="B472" t="s">
        <v>1885</v>
      </c>
      <c r="C472" t="s">
        <v>5262</v>
      </c>
      <c r="D472" t="s">
        <v>159</v>
      </c>
      <c r="E472" t="s">
        <v>159</v>
      </c>
      <c r="F472">
        <v>7526</v>
      </c>
      <c r="G472" t="s">
        <v>5433</v>
      </c>
      <c r="H472" t="s">
        <v>1254</v>
      </c>
      <c r="I472">
        <v>12822</v>
      </c>
      <c r="J472" t="s">
        <v>5351</v>
      </c>
      <c r="K472" t="s">
        <v>4286</v>
      </c>
      <c r="L472" t="s">
        <v>2537</v>
      </c>
      <c r="M472" t="s">
        <v>2537</v>
      </c>
    </row>
    <row r="473" spans="1:13" x14ac:dyDescent="0.3">
      <c r="A473">
        <v>2150</v>
      </c>
      <c r="B473" t="s">
        <v>1889</v>
      </c>
      <c r="C473" t="s">
        <v>5262</v>
      </c>
      <c r="D473" t="s">
        <v>159</v>
      </c>
      <c r="E473" t="s">
        <v>159</v>
      </c>
      <c r="F473">
        <v>5758</v>
      </c>
      <c r="G473" t="s">
        <v>5492</v>
      </c>
      <c r="H473" t="s">
        <v>5264</v>
      </c>
      <c r="I473">
        <v>14415</v>
      </c>
      <c r="J473" t="s">
        <v>5492</v>
      </c>
      <c r="K473" t="s">
        <v>5493</v>
      </c>
      <c r="L473" t="s">
        <v>2530</v>
      </c>
      <c r="M473" t="s">
        <v>2537</v>
      </c>
    </row>
    <row r="474" spans="1:13" x14ac:dyDescent="0.3">
      <c r="A474">
        <v>2154</v>
      </c>
      <c r="B474" t="s">
        <v>1894</v>
      </c>
      <c r="C474" t="s">
        <v>5262</v>
      </c>
      <c r="D474" t="s">
        <v>1203</v>
      </c>
      <c r="E474" t="s">
        <v>1204</v>
      </c>
      <c r="F474">
        <v>8644</v>
      </c>
      <c r="G474" t="s">
        <v>5780</v>
      </c>
      <c r="H474" t="s">
        <v>5264</v>
      </c>
      <c r="I474">
        <v>589.02</v>
      </c>
      <c r="J474" t="s">
        <v>5294</v>
      </c>
      <c r="K474" t="s">
        <v>4977</v>
      </c>
      <c r="L474" t="s">
        <v>2537</v>
      </c>
    </row>
    <row r="475" spans="1:13" x14ac:dyDescent="0.3">
      <c r="A475">
        <v>2891</v>
      </c>
      <c r="B475" t="s">
        <v>1896</v>
      </c>
      <c r="C475" t="s">
        <v>5262</v>
      </c>
      <c r="D475" t="s">
        <v>159</v>
      </c>
      <c r="E475" t="s">
        <v>159</v>
      </c>
      <c r="F475">
        <v>8638</v>
      </c>
      <c r="G475" t="s">
        <v>5781</v>
      </c>
      <c r="H475" t="s">
        <v>1254</v>
      </c>
      <c r="I475">
        <v>77</v>
      </c>
      <c r="J475" t="s">
        <v>5294</v>
      </c>
      <c r="K475" t="s">
        <v>4977</v>
      </c>
      <c r="L475" t="s">
        <v>2537</v>
      </c>
    </row>
    <row r="476" spans="1:13" x14ac:dyDescent="0.3">
      <c r="A476">
        <v>2157</v>
      </c>
      <c r="B476" t="s">
        <v>1897</v>
      </c>
      <c r="C476" t="s">
        <v>5262</v>
      </c>
      <c r="D476" t="s">
        <v>1203</v>
      </c>
      <c r="E476" t="s">
        <v>1204</v>
      </c>
      <c r="F476">
        <v>6643</v>
      </c>
      <c r="G476" t="s">
        <v>5782</v>
      </c>
      <c r="H476" t="s">
        <v>5264</v>
      </c>
      <c r="I476">
        <v>2408.47334553986</v>
      </c>
      <c r="J476" t="s">
        <v>5783</v>
      </c>
      <c r="K476" t="s">
        <v>5784</v>
      </c>
      <c r="L476" t="s">
        <v>2537</v>
      </c>
      <c r="M476" t="s">
        <v>2530</v>
      </c>
    </row>
    <row r="477" spans="1:13" x14ac:dyDescent="0.3">
      <c r="A477">
        <v>2158</v>
      </c>
      <c r="B477" t="s">
        <v>1900</v>
      </c>
      <c r="C477" t="s">
        <v>5262</v>
      </c>
      <c r="D477" t="s">
        <v>159</v>
      </c>
      <c r="E477" t="s">
        <v>159</v>
      </c>
      <c r="F477">
        <v>8141</v>
      </c>
      <c r="G477" t="s">
        <v>4321</v>
      </c>
      <c r="H477" t="s">
        <v>5264</v>
      </c>
      <c r="I477">
        <v>8108</v>
      </c>
      <c r="J477" t="s">
        <v>4321</v>
      </c>
      <c r="K477" t="s">
        <v>4814</v>
      </c>
      <c r="L477" t="s">
        <v>2530</v>
      </c>
      <c r="M477" t="s">
        <v>2537</v>
      </c>
    </row>
    <row r="478" spans="1:13" x14ac:dyDescent="0.3">
      <c r="A478">
        <v>2159</v>
      </c>
      <c r="B478" t="s">
        <v>1902</v>
      </c>
      <c r="C478" t="s">
        <v>5262</v>
      </c>
      <c r="D478" t="s">
        <v>159</v>
      </c>
      <c r="E478" t="s">
        <v>159</v>
      </c>
      <c r="F478">
        <v>8619</v>
      </c>
      <c r="G478" t="s">
        <v>5785</v>
      </c>
      <c r="H478" t="s">
        <v>5264</v>
      </c>
      <c r="I478">
        <v>4354</v>
      </c>
      <c r="J478" t="s">
        <v>5786</v>
      </c>
      <c r="K478" t="s">
        <v>4818</v>
      </c>
      <c r="L478" t="s">
        <v>2530</v>
      </c>
      <c r="M478" t="s">
        <v>2537</v>
      </c>
    </row>
    <row r="479" spans="1:13" x14ac:dyDescent="0.3">
      <c r="A479">
        <v>2160</v>
      </c>
      <c r="B479" t="s">
        <v>1904</v>
      </c>
      <c r="C479" t="s">
        <v>5262</v>
      </c>
      <c r="D479" t="s">
        <v>1203</v>
      </c>
      <c r="E479" t="s">
        <v>1204</v>
      </c>
      <c r="F479">
        <v>5474</v>
      </c>
      <c r="G479" t="s">
        <v>5787</v>
      </c>
      <c r="H479" t="s">
        <v>5264</v>
      </c>
      <c r="I479">
        <v>18208</v>
      </c>
      <c r="J479" t="s">
        <v>5787</v>
      </c>
      <c r="K479" t="s">
        <v>5788</v>
      </c>
      <c r="L479" t="s">
        <v>2530</v>
      </c>
      <c r="M479" t="s">
        <v>2537</v>
      </c>
    </row>
    <row r="480" spans="1:13" x14ac:dyDescent="0.3">
      <c r="A480">
        <v>2160</v>
      </c>
      <c r="B480" t="s">
        <v>1904</v>
      </c>
      <c r="C480" t="s">
        <v>5262</v>
      </c>
      <c r="D480" t="s">
        <v>1203</v>
      </c>
      <c r="E480" t="s">
        <v>1204</v>
      </c>
      <c r="F480">
        <v>5474</v>
      </c>
      <c r="G480" t="s">
        <v>5787</v>
      </c>
      <c r="H480" t="s">
        <v>5264</v>
      </c>
      <c r="I480">
        <v>7323</v>
      </c>
      <c r="J480" t="s">
        <v>5787</v>
      </c>
      <c r="K480" t="s">
        <v>4820</v>
      </c>
      <c r="L480" t="s">
        <v>2530</v>
      </c>
      <c r="M480" t="s">
        <v>2537</v>
      </c>
    </row>
    <row r="481" spans="1:13" x14ac:dyDescent="0.3">
      <c r="A481">
        <v>2160</v>
      </c>
      <c r="B481" t="s">
        <v>1904</v>
      </c>
      <c r="C481" t="s">
        <v>5262</v>
      </c>
      <c r="D481" t="s">
        <v>1203</v>
      </c>
      <c r="E481" t="s">
        <v>1204</v>
      </c>
      <c r="F481">
        <v>5474</v>
      </c>
      <c r="G481" t="s">
        <v>5787</v>
      </c>
      <c r="H481" t="s">
        <v>5264</v>
      </c>
      <c r="I481">
        <v>164000</v>
      </c>
      <c r="J481" t="s">
        <v>5787</v>
      </c>
      <c r="K481" t="s">
        <v>4823</v>
      </c>
      <c r="L481" t="s">
        <v>2530</v>
      </c>
      <c r="M481" t="s">
        <v>2537</v>
      </c>
    </row>
    <row r="482" spans="1:13" x14ac:dyDescent="0.3">
      <c r="A482">
        <v>2162</v>
      </c>
      <c r="B482" t="s">
        <v>1907</v>
      </c>
      <c r="C482" t="s">
        <v>5262</v>
      </c>
      <c r="D482" t="s">
        <v>159</v>
      </c>
      <c r="E482" t="s">
        <v>159</v>
      </c>
      <c r="F482">
        <v>7208</v>
      </c>
      <c r="G482" t="s">
        <v>5789</v>
      </c>
      <c r="H482" t="s">
        <v>1254</v>
      </c>
      <c r="I482">
        <v>889</v>
      </c>
      <c r="J482" t="s">
        <v>5790</v>
      </c>
      <c r="K482" t="s">
        <v>5791</v>
      </c>
      <c r="L482" t="s">
        <v>2530</v>
      </c>
      <c r="M482" t="s">
        <v>2537</v>
      </c>
    </row>
    <row r="483" spans="1:13" x14ac:dyDescent="0.3">
      <c r="A483">
        <v>2162</v>
      </c>
      <c r="B483" t="s">
        <v>1907</v>
      </c>
      <c r="C483" t="s">
        <v>5262</v>
      </c>
      <c r="D483" t="s">
        <v>159</v>
      </c>
      <c r="E483" t="s">
        <v>159</v>
      </c>
      <c r="F483">
        <v>7208</v>
      </c>
      <c r="G483" t="s">
        <v>5792</v>
      </c>
      <c r="H483" t="s">
        <v>1254</v>
      </c>
      <c r="I483">
        <v>1077</v>
      </c>
      <c r="J483" t="s">
        <v>5793</v>
      </c>
      <c r="K483" t="s">
        <v>4827</v>
      </c>
      <c r="L483" t="s">
        <v>2537</v>
      </c>
      <c r="M483" t="s">
        <v>2530</v>
      </c>
    </row>
    <row r="484" spans="1:13" x14ac:dyDescent="0.3">
      <c r="A484">
        <v>2162</v>
      </c>
      <c r="B484" t="s">
        <v>1907</v>
      </c>
      <c r="C484" t="s">
        <v>5262</v>
      </c>
      <c r="D484" t="s">
        <v>159</v>
      </c>
      <c r="E484" t="s">
        <v>159</v>
      </c>
      <c r="F484">
        <v>7208</v>
      </c>
      <c r="G484" t="s">
        <v>5794</v>
      </c>
      <c r="H484" t="s">
        <v>1254</v>
      </c>
      <c r="I484">
        <v>1064</v>
      </c>
      <c r="J484" t="s">
        <v>5793</v>
      </c>
      <c r="K484" t="s">
        <v>4827</v>
      </c>
      <c r="L484" t="s">
        <v>2537</v>
      </c>
      <c r="M484" t="s">
        <v>2530</v>
      </c>
    </row>
    <row r="485" spans="1:13" x14ac:dyDescent="0.3">
      <c r="A485">
        <v>2163</v>
      </c>
      <c r="B485" t="s">
        <v>1908</v>
      </c>
      <c r="C485" t="s">
        <v>5262</v>
      </c>
      <c r="D485" t="s">
        <v>159</v>
      </c>
      <c r="E485" t="s">
        <v>159</v>
      </c>
      <c r="F485">
        <v>6759</v>
      </c>
      <c r="G485" t="s">
        <v>5496</v>
      </c>
      <c r="H485" t="s">
        <v>1254</v>
      </c>
      <c r="I485">
        <v>2541</v>
      </c>
      <c r="J485" t="s">
        <v>3135</v>
      </c>
      <c r="K485" t="s">
        <v>5497</v>
      </c>
      <c r="L485" t="s">
        <v>2537</v>
      </c>
      <c r="M485" t="s">
        <v>2537</v>
      </c>
    </row>
    <row r="486" spans="1:13" x14ac:dyDescent="0.3">
      <c r="A486">
        <v>2164</v>
      </c>
      <c r="B486" t="s">
        <v>1909</v>
      </c>
      <c r="C486" t="s">
        <v>5262</v>
      </c>
      <c r="D486" t="s">
        <v>159</v>
      </c>
      <c r="E486" t="s">
        <v>159</v>
      </c>
      <c r="F486">
        <v>6833</v>
      </c>
      <c r="G486" t="s">
        <v>5795</v>
      </c>
      <c r="H486" t="s">
        <v>5264</v>
      </c>
      <c r="I486">
        <v>430</v>
      </c>
      <c r="J486" t="s">
        <v>5796</v>
      </c>
      <c r="K486" t="s">
        <v>5797</v>
      </c>
      <c r="L486" t="s">
        <v>2530</v>
      </c>
      <c r="M486" t="s">
        <v>2537</v>
      </c>
    </row>
    <row r="487" spans="1:13" x14ac:dyDescent="0.3">
      <c r="A487">
        <v>2164</v>
      </c>
      <c r="B487" t="s">
        <v>1909</v>
      </c>
      <c r="C487" t="s">
        <v>5262</v>
      </c>
      <c r="D487" t="s">
        <v>159</v>
      </c>
      <c r="E487" t="s">
        <v>159</v>
      </c>
      <c r="F487">
        <v>6833</v>
      </c>
      <c r="G487" t="s">
        <v>5798</v>
      </c>
      <c r="H487" t="s">
        <v>5264</v>
      </c>
      <c r="I487">
        <v>370</v>
      </c>
      <c r="J487" t="s">
        <v>5799</v>
      </c>
      <c r="K487" t="s">
        <v>5800</v>
      </c>
      <c r="L487" t="s">
        <v>2530</v>
      </c>
      <c r="M487" t="s">
        <v>2530</v>
      </c>
    </row>
    <row r="488" spans="1:13" x14ac:dyDescent="0.3">
      <c r="A488">
        <v>2164</v>
      </c>
      <c r="B488" t="s">
        <v>1909</v>
      </c>
      <c r="C488" t="s">
        <v>5262</v>
      </c>
      <c r="D488" t="s">
        <v>159</v>
      </c>
      <c r="E488" t="s">
        <v>159</v>
      </c>
      <c r="F488">
        <v>6833</v>
      </c>
      <c r="G488" t="s">
        <v>5801</v>
      </c>
      <c r="H488" t="s">
        <v>5264</v>
      </c>
      <c r="I488">
        <v>63350</v>
      </c>
      <c r="J488" t="s">
        <v>2508</v>
      </c>
      <c r="K488" t="s">
        <v>5802</v>
      </c>
      <c r="L488" t="s">
        <v>2530</v>
      </c>
      <c r="M488" t="s">
        <v>2537</v>
      </c>
    </row>
    <row r="489" spans="1:13" x14ac:dyDescent="0.3">
      <c r="A489">
        <v>2164</v>
      </c>
      <c r="B489" t="s">
        <v>1909</v>
      </c>
      <c r="C489" t="s">
        <v>5262</v>
      </c>
      <c r="D489" t="s">
        <v>159</v>
      </c>
      <c r="E489" t="s">
        <v>159</v>
      </c>
      <c r="F489">
        <v>6833</v>
      </c>
      <c r="G489" t="s">
        <v>5801</v>
      </c>
      <c r="H489" t="s">
        <v>5264</v>
      </c>
      <c r="I489">
        <v>16410</v>
      </c>
      <c r="J489" t="s">
        <v>2508</v>
      </c>
      <c r="K489" t="s">
        <v>5803</v>
      </c>
      <c r="L489" t="s">
        <v>2530</v>
      </c>
      <c r="M489" t="s">
        <v>2537</v>
      </c>
    </row>
    <row r="490" spans="1:13" x14ac:dyDescent="0.3">
      <c r="A490">
        <v>2165</v>
      </c>
      <c r="B490" t="s">
        <v>1912</v>
      </c>
      <c r="C490" t="s">
        <v>5262</v>
      </c>
      <c r="D490" t="s">
        <v>159</v>
      </c>
      <c r="E490" t="s">
        <v>159</v>
      </c>
      <c r="F490">
        <v>5523</v>
      </c>
      <c r="G490" t="s">
        <v>5357</v>
      </c>
      <c r="H490" t="s">
        <v>1254</v>
      </c>
      <c r="I490">
        <v>3000</v>
      </c>
      <c r="J490" t="s">
        <v>5357</v>
      </c>
      <c r="K490" t="s">
        <v>5804</v>
      </c>
      <c r="L490" t="s">
        <v>2537</v>
      </c>
      <c r="M490" t="s">
        <v>2537</v>
      </c>
    </row>
    <row r="491" spans="1:13" x14ac:dyDescent="0.3">
      <c r="A491">
        <v>2167</v>
      </c>
      <c r="B491" t="s">
        <v>1914</v>
      </c>
      <c r="C491" t="s">
        <v>5262</v>
      </c>
      <c r="D491" t="s">
        <v>159</v>
      </c>
      <c r="E491" t="s">
        <v>159</v>
      </c>
      <c r="F491">
        <v>5516</v>
      </c>
      <c r="G491" t="s">
        <v>3469</v>
      </c>
      <c r="H491" t="s">
        <v>1254</v>
      </c>
      <c r="I491">
        <v>4000</v>
      </c>
      <c r="J491" t="s">
        <v>3469</v>
      </c>
      <c r="K491" t="s">
        <v>4843</v>
      </c>
      <c r="L491" t="s">
        <v>2530</v>
      </c>
      <c r="M491" t="s">
        <v>2537</v>
      </c>
    </row>
    <row r="492" spans="1:13" x14ac:dyDescent="0.3">
      <c r="A492">
        <v>2167</v>
      </c>
      <c r="B492" t="s">
        <v>1914</v>
      </c>
      <c r="C492" t="s">
        <v>5262</v>
      </c>
      <c r="D492" t="s">
        <v>159</v>
      </c>
      <c r="E492" t="s">
        <v>159</v>
      </c>
      <c r="F492">
        <v>5516</v>
      </c>
      <c r="G492" t="s">
        <v>3469</v>
      </c>
      <c r="H492" t="s">
        <v>1254</v>
      </c>
      <c r="I492">
        <v>15400</v>
      </c>
      <c r="J492" t="s">
        <v>3469</v>
      </c>
      <c r="K492" t="s">
        <v>5498</v>
      </c>
      <c r="L492" t="s">
        <v>2537</v>
      </c>
      <c r="M492" t="s">
        <v>2537</v>
      </c>
    </row>
    <row r="493" spans="1:13" x14ac:dyDescent="0.3">
      <c r="A493">
        <v>2167</v>
      </c>
      <c r="B493" t="s">
        <v>1914</v>
      </c>
      <c r="C493" t="s">
        <v>5262</v>
      </c>
      <c r="D493" t="s">
        <v>159</v>
      </c>
      <c r="E493" t="s">
        <v>159</v>
      </c>
      <c r="F493">
        <v>5516</v>
      </c>
      <c r="G493" t="s">
        <v>3469</v>
      </c>
      <c r="H493" t="s">
        <v>1254</v>
      </c>
      <c r="I493">
        <v>400</v>
      </c>
      <c r="J493" t="s">
        <v>3469</v>
      </c>
      <c r="K493" t="s">
        <v>4842</v>
      </c>
      <c r="L493" t="s">
        <v>2530</v>
      </c>
      <c r="M493" t="s">
        <v>2537</v>
      </c>
    </row>
    <row r="494" spans="1:13" x14ac:dyDescent="0.3">
      <c r="A494">
        <v>2166</v>
      </c>
      <c r="B494" t="s">
        <v>1915</v>
      </c>
      <c r="C494" t="s">
        <v>5262</v>
      </c>
      <c r="D494" t="s">
        <v>159</v>
      </c>
      <c r="E494" t="s">
        <v>159</v>
      </c>
      <c r="F494">
        <v>6634</v>
      </c>
      <c r="G494" t="s">
        <v>5805</v>
      </c>
      <c r="H494" t="s">
        <v>5264</v>
      </c>
      <c r="I494">
        <v>13807</v>
      </c>
      <c r="J494" t="s">
        <v>2169</v>
      </c>
      <c r="K494" t="s">
        <v>5806</v>
      </c>
      <c r="L494" t="s">
        <v>2537</v>
      </c>
    </row>
    <row r="495" spans="1:13" x14ac:dyDescent="0.3">
      <c r="A495">
        <v>2166</v>
      </c>
      <c r="B495" t="s">
        <v>1915</v>
      </c>
      <c r="C495" t="s">
        <v>5262</v>
      </c>
      <c r="D495" t="s">
        <v>159</v>
      </c>
      <c r="E495" t="s">
        <v>159</v>
      </c>
      <c r="F495">
        <v>6634</v>
      </c>
      <c r="G495" t="s">
        <v>5805</v>
      </c>
      <c r="H495" t="s">
        <v>5264</v>
      </c>
      <c r="I495">
        <v>371</v>
      </c>
      <c r="J495" t="s">
        <v>5767</v>
      </c>
      <c r="K495" t="s">
        <v>5807</v>
      </c>
      <c r="L495" t="s">
        <v>2537</v>
      </c>
    </row>
    <row r="496" spans="1:13" x14ac:dyDescent="0.3">
      <c r="A496">
        <v>2169</v>
      </c>
      <c r="B496" t="s">
        <v>1919</v>
      </c>
      <c r="C496" t="s">
        <v>5262</v>
      </c>
      <c r="D496" t="s">
        <v>159</v>
      </c>
      <c r="E496" t="s">
        <v>159</v>
      </c>
      <c r="F496">
        <v>5514</v>
      </c>
      <c r="G496" t="s">
        <v>1483</v>
      </c>
      <c r="H496" t="s">
        <v>1254</v>
      </c>
      <c r="I496">
        <v>860</v>
      </c>
      <c r="J496" t="s">
        <v>1483</v>
      </c>
      <c r="K496" t="s">
        <v>5808</v>
      </c>
      <c r="L496" t="s">
        <v>2537</v>
      </c>
      <c r="M496" t="s">
        <v>2537</v>
      </c>
    </row>
    <row r="497" spans="1:13" x14ac:dyDescent="0.3">
      <c r="A497">
        <v>2174</v>
      </c>
      <c r="B497" t="s">
        <v>1920</v>
      </c>
      <c r="C497" t="s">
        <v>5262</v>
      </c>
      <c r="D497" t="s">
        <v>159</v>
      </c>
      <c r="E497" t="s">
        <v>159</v>
      </c>
      <c r="F497">
        <v>7800</v>
      </c>
      <c r="G497" t="s">
        <v>5809</v>
      </c>
      <c r="H497" t="s">
        <v>1254</v>
      </c>
      <c r="I497">
        <v>10205</v>
      </c>
      <c r="J497" t="s">
        <v>5810</v>
      </c>
      <c r="K497" t="s">
        <v>4844</v>
      </c>
      <c r="L497" t="s">
        <v>2530</v>
      </c>
      <c r="M497" t="s">
        <v>2537</v>
      </c>
    </row>
    <row r="498" spans="1:13" x14ac:dyDescent="0.3">
      <c r="A498">
        <v>2175</v>
      </c>
      <c r="B498" t="s">
        <v>1921</v>
      </c>
      <c r="C498" t="s">
        <v>5262</v>
      </c>
      <c r="D498" t="s">
        <v>159</v>
      </c>
      <c r="E498" t="s">
        <v>159</v>
      </c>
      <c r="F498">
        <v>5725</v>
      </c>
      <c r="G498" t="s">
        <v>5811</v>
      </c>
      <c r="H498" t="s">
        <v>1254</v>
      </c>
      <c r="I498">
        <v>74942.241297</v>
      </c>
      <c r="J498" t="s">
        <v>5656</v>
      </c>
      <c r="K498" t="s">
        <v>4859</v>
      </c>
      <c r="L498" t="s">
        <v>2537</v>
      </c>
      <c r="M498" t="s">
        <v>2537</v>
      </c>
    </row>
    <row r="499" spans="1:13" x14ac:dyDescent="0.3">
      <c r="A499">
        <v>2179</v>
      </c>
      <c r="B499" t="s">
        <v>774</v>
      </c>
      <c r="C499" t="s">
        <v>5262</v>
      </c>
      <c r="D499" t="s">
        <v>159</v>
      </c>
      <c r="E499" t="s">
        <v>159</v>
      </c>
      <c r="F499">
        <v>8792</v>
      </c>
      <c r="G499" t="s">
        <v>5423</v>
      </c>
      <c r="H499" t="s">
        <v>1254</v>
      </c>
      <c r="I499">
        <v>4272</v>
      </c>
      <c r="J499" t="s">
        <v>5423</v>
      </c>
      <c r="K499" t="s">
        <v>5423</v>
      </c>
      <c r="L499" t="s">
        <v>2537</v>
      </c>
    </row>
    <row r="500" spans="1:13" x14ac:dyDescent="0.3">
      <c r="A500">
        <v>2180</v>
      </c>
      <c r="B500" t="s">
        <v>1927</v>
      </c>
      <c r="C500" t="s">
        <v>5262</v>
      </c>
      <c r="D500" t="s">
        <v>159</v>
      </c>
      <c r="E500" t="s">
        <v>159</v>
      </c>
      <c r="F500">
        <v>8652</v>
      </c>
      <c r="G500" t="s">
        <v>5812</v>
      </c>
      <c r="H500" t="s">
        <v>1254</v>
      </c>
      <c r="I500">
        <v>128</v>
      </c>
      <c r="J500" t="s">
        <v>5812</v>
      </c>
      <c r="K500" t="s">
        <v>3715</v>
      </c>
      <c r="L500" t="s">
        <v>2537</v>
      </c>
      <c r="M500" t="s">
        <v>2537</v>
      </c>
    </row>
    <row r="501" spans="1:13" x14ac:dyDescent="0.3">
      <c r="A501">
        <v>2182</v>
      </c>
      <c r="B501" t="s">
        <v>1929</v>
      </c>
      <c r="C501" t="s">
        <v>5262</v>
      </c>
      <c r="D501" t="s">
        <v>159</v>
      </c>
      <c r="E501" t="s">
        <v>159</v>
      </c>
      <c r="F501">
        <v>6091</v>
      </c>
      <c r="G501" t="s">
        <v>4851</v>
      </c>
      <c r="H501" t="s">
        <v>5264</v>
      </c>
      <c r="I501">
        <v>3248</v>
      </c>
      <c r="J501" t="s">
        <v>4851</v>
      </c>
      <c r="K501" t="s">
        <v>4851</v>
      </c>
      <c r="L501" t="s">
        <v>2530</v>
      </c>
      <c r="M501" t="s">
        <v>2537</v>
      </c>
    </row>
    <row r="502" spans="1:13" x14ac:dyDescent="0.3">
      <c r="A502">
        <v>2205</v>
      </c>
      <c r="B502" t="s">
        <v>1931</v>
      </c>
      <c r="C502" t="s">
        <v>5262</v>
      </c>
      <c r="D502" t="s">
        <v>1203</v>
      </c>
      <c r="E502" t="s">
        <v>1204</v>
      </c>
      <c r="F502">
        <v>7516</v>
      </c>
      <c r="G502" t="s">
        <v>4855</v>
      </c>
      <c r="H502" t="s">
        <v>5264</v>
      </c>
      <c r="I502">
        <v>954.42412134999995</v>
      </c>
      <c r="J502" t="s">
        <v>4855</v>
      </c>
      <c r="K502" t="s">
        <v>4856</v>
      </c>
      <c r="L502" t="s">
        <v>2530</v>
      </c>
      <c r="M502" t="s">
        <v>2537</v>
      </c>
    </row>
    <row r="503" spans="1:13" x14ac:dyDescent="0.3">
      <c r="A503">
        <v>2205</v>
      </c>
      <c r="B503" t="s">
        <v>1931</v>
      </c>
      <c r="C503" t="s">
        <v>5262</v>
      </c>
      <c r="D503" t="s">
        <v>1203</v>
      </c>
      <c r="E503" t="s">
        <v>1204</v>
      </c>
      <c r="F503">
        <v>7516</v>
      </c>
      <c r="G503" t="s">
        <v>4855</v>
      </c>
      <c r="H503" t="s">
        <v>5264</v>
      </c>
      <c r="I503">
        <v>1746.19718665</v>
      </c>
      <c r="J503" t="s">
        <v>4855</v>
      </c>
      <c r="K503" t="s">
        <v>4368</v>
      </c>
      <c r="L503" t="s">
        <v>2530</v>
      </c>
      <c r="M503" t="s">
        <v>2537</v>
      </c>
    </row>
    <row r="504" spans="1:13" x14ac:dyDescent="0.3">
      <c r="A504">
        <v>2207</v>
      </c>
      <c r="B504" t="s">
        <v>1936</v>
      </c>
      <c r="C504" t="s">
        <v>5262</v>
      </c>
      <c r="D504" t="s">
        <v>159</v>
      </c>
      <c r="E504" t="s">
        <v>159</v>
      </c>
      <c r="F504">
        <v>7855</v>
      </c>
      <c r="G504" t="s">
        <v>5813</v>
      </c>
      <c r="H504" t="s">
        <v>1254</v>
      </c>
      <c r="I504">
        <v>21768</v>
      </c>
      <c r="J504" t="s">
        <v>5326</v>
      </c>
      <c r="K504" t="s">
        <v>5290</v>
      </c>
      <c r="L504" t="s">
        <v>2537</v>
      </c>
      <c r="M504" t="s">
        <v>2537</v>
      </c>
    </row>
    <row r="505" spans="1:13" x14ac:dyDescent="0.3">
      <c r="A505">
        <v>2209</v>
      </c>
      <c r="B505" t="s">
        <v>1938</v>
      </c>
      <c r="C505" t="s">
        <v>5262</v>
      </c>
      <c r="D505" t="s">
        <v>159</v>
      </c>
      <c r="E505" t="s">
        <v>159</v>
      </c>
      <c r="F505">
        <v>8884</v>
      </c>
      <c r="G505" t="s">
        <v>5814</v>
      </c>
      <c r="H505" t="s">
        <v>1254</v>
      </c>
      <c r="I505">
        <v>153</v>
      </c>
      <c r="J505" t="s">
        <v>5675</v>
      </c>
      <c r="K505" t="s">
        <v>4857</v>
      </c>
      <c r="L505" t="s">
        <v>2530</v>
      </c>
      <c r="M505" t="s">
        <v>2537</v>
      </c>
    </row>
    <row r="506" spans="1:13" x14ac:dyDescent="0.3">
      <c r="A506">
        <v>2209</v>
      </c>
      <c r="B506" t="s">
        <v>1938</v>
      </c>
      <c r="C506" t="s">
        <v>5262</v>
      </c>
      <c r="D506" t="s">
        <v>159</v>
      </c>
      <c r="E506" t="s">
        <v>159</v>
      </c>
      <c r="F506">
        <v>8884</v>
      </c>
      <c r="G506" t="s">
        <v>5675</v>
      </c>
      <c r="H506" t="s">
        <v>1254</v>
      </c>
      <c r="I506">
        <v>6291</v>
      </c>
      <c r="J506" t="s">
        <v>5675</v>
      </c>
      <c r="K506" t="s">
        <v>4857</v>
      </c>
      <c r="L506" t="s">
        <v>2530</v>
      </c>
      <c r="M506" t="s">
        <v>2537</v>
      </c>
    </row>
    <row r="507" spans="1:13" x14ac:dyDescent="0.3">
      <c r="A507">
        <v>2209</v>
      </c>
      <c r="B507" t="s">
        <v>1938</v>
      </c>
      <c r="C507" t="s">
        <v>5262</v>
      </c>
      <c r="D507" t="s">
        <v>159</v>
      </c>
      <c r="E507" t="s">
        <v>159</v>
      </c>
      <c r="F507">
        <v>8884</v>
      </c>
      <c r="G507" t="s">
        <v>5540</v>
      </c>
      <c r="H507" t="s">
        <v>1254</v>
      </c>
      <c r="I507">
        <v>25</v>
      </c>
      <c r="J507" t="s">
        <v>5540</v>
      </c>
      <c r="K507" t="s">
        <v>5815</v>
      </c>
      <c r="L507" t="s">
        <v>2537</v>
      </c>
      <c r="M507" t="s">
        <v>2537</v>
      </c>
    </row>
    <row r="508" spans="1:13" x14ac:dyDescent="0.3">
      <c r="A508">
        <v>2210</v>
      </c>
      <c r="B508" t="s">
        <v>1940</v>
      </c>
      <c r="C508" t="s">
        <v>5262</v>
      </c>
      <c r="D508" t="s">
        <v>159</v>
      </c>
      <c r="E508" t="s">
        <v>159</v>
      </c>
      <c r="F508">
        <v>5756</v>
      </c>
      <c r="G508" t="s">
        <v>4859</v>
      </c>
      <c r="H508" t="s">
        <v>1254</v>
      </c>
      <c r="I508">
        <v>113393</v>
      </c>
      <c r="J508" t="s">
        <v>5656</v>
      </c>
      <c r="K508" t="s">
        <v>4859</v>
      </c>
      <c r="L508" t="s">
        <v>2537</v>
      </c>
      <c r="M508" t="s">
        <v>2530</v>
      </c>
    </row>
    <row r="509" spans="1:13" x14ac:dyDescent="0.3">
      <c r="A509">
        <v>4993</v>
      </c>
      <c r="B509" t="s">
        <v>944</v>
      </c>
      <c r="C509" t="s">
        <v>5262</v>
      </c>
      <c r="D509" t="s">
        <v>159</v>
      </c>
      <c r="E509" t="s">
        <v>159</v>
      </c>
      <c r="F509">
        <v>8149</v>
      </c>
      <c r="G509" t="s">
        <v>5816</v>
      </c>
      <c r="H509" t="s">
        <v>5264</v>
      </c>
      <c r="I509">
        <v>6631</v>
      </c>
      <c r="J509" t="s">
        <v>5816</v>
      </c>
      <c r="K509" t="s">
        <v>4861</v>
      </c>
      <c r="L509" t="s">
        <v>2530</v>
      </c>
      <c r="M509" t="s">
        <v>2537</v>
      </c>
    </row>
    <row r="510" spans="1:13" x14ac:dyDescent="0.3">
      <c r="A510">
        <v>4993</v>
      </c>
      <c r="B510" t="s">
        <v>944</v>
      </c>
      <c r="C510" t="s">
        <v>5262</v>
      </c>
      <c r="D510" t="s">
        <v>159</v>
      </c>
      <c r="E510" t="s">
        <v>159</v>
      </c>
      <c r="F510">
        <v>8149</v>
      </c>
      <c r="G510" t="s">
        <v>5816</v>
      </c>
      <c r="H510" t="s">
        <v>5264</v>
      </c>
      <c r="I510">
        <v>15312</v>
      </c>
      <c r="J510" t="s">
        <v>5816</v>
      </c>
      <c r="K510" t="s">
        <v>4864</v>
      </c>
      <c r="L510" t="s">
        <v>2530</v>
      </c>
      <c r="M510" t="s">
        <v>2537</v>
      </c>
    </row>
    <row r="511" spans="1:13" x14ac:dyDescent="0.3">
      <c r="A511">
        <v>2213</v>
      </c>
      <c r="B511" t="s">
        <v>1944</v>
      </c>
      <c r="C511" t="s">
        <v>5262</v>
      </c>
      <c r="D511" t="s">
        <v>1203</v>
      </c>
      <c r="E511" t="s">
        <v>1204</v>
      </c>
      <c r="F511">
        <v>6652</v>
      </c>
      <c r="G511" t="s">
        <v>5817</v>
      </c>
      <c r="H511" t="s">
        <v>5264</v>
      </c>
      <c r="I511">
        <v>3737.9054013</v>
      </c>
      <c r="J511" t="s">
        <v>5818</v>
      </c>
      <c r="K511" t="s">
        <v>4335</v>
      </c>
      <c r="L511" t="s">
        <v>2530</v>
      </c>
      <c r="M511" t="s">
        <v>2537</v>
      </c>
    </row>
    <row r="512" spans="1:13" x14ac:dyDescent="0.3">
      <c r="A512">
        <v>2213</v>
      </c>
      <c r="B512" t="s">
        <v>1944</v>
      </c>
      <c r="C512" t="s">
        <v>5262</v>
      </c>
      <c r="D512" t="s">
        <v>1203</v>
      </c>
      <c r="E512" t="s">
        <v>1204</v>
      </c>
      <c r="F512">
        <v>6652</v>
      </c>
      <c r="G512" t="s">
        <v>5818</v>
      </c>
      <c r="H512" t="s">
        <v>5264</v>
      </c>
      <c r="I512">
        <v>4281.09855075</v>
      </c>
      <c r="J512" t="s">
        <v>5818</v>
      </c>
      <c r="K512" t="s">
        <v>4335</v>
      </c>
      <c r="L512" t="s">
        <v>2530</v>
      </c>
      <c r="M512" t="s">
        <v>2537</v>
      </c>
    </row>
    <row r="513" spans="1:13" x14ac:dyDescent="0.3">
      <c r="A513">
        <v>2214</v>
      </c>
      <c r="B513" t="s">
        <v>1953</v>
      </c>
      <c r="C513" t="s">
        <v>5262</v>
      </c>
      <c r="D513" t="s">
        <v>1203</v>
      </c>
      <c r="E513" t="s">
        <v>1204</v>
      </c>
      <c r="F513">
        <v>5462</v>
      </c>
      <c r="G513" t="s">
        <v>5709</v>
      </c>
      <c r="H513" t="s">
        <v>1254</v>
      </c>
      <c r="I513">
        <v>76</v>
      </c>
      <c r="J513" t="s">
        <v>5709</v>
      </c>
      <c r="K513" t="s">
        <v>5819</v>
      </c>
      <c r="L513" t="s">
        <v>2530</v>
      </c>
    </row>
    <row r="514" spans="1:13" x14ac:dyDescent="0.3">
      <c r="A514">
        <v>2214</v>
      </c>
      <c r="B514" t="s">
        <v>1953</v>
      </c>
      <c r="C514" t="s">
        <v>5262</v>
      </c>
      <c r="D514" t="s">
        <v>1203</v>
      </c>
      <c r="E514" t="s">
        <v>1204</v>
      </c>
      <c r="F514">
        <v>5462</v>
      </c>
      <c r="G514" t="s">
        <v>5715</v>
      </c>
      <c r="H514" t="s">
        <v>1254</v>
      </c>
      <c r="I514">
        <v>205</v>
      </c>
      <c r="J514" t="s">
        <v>5715</v>
      </c>
      <c r="K514" t="s">
        <v>5820</v>
      </c>
      <c r="L514" t="s">
        <v>2537</v>
      </c>
    </row>
    <row r="515" spans="1:13" x14ac:dyDescent="0.3">
      <c r="A515">
        <v>2214</v>
      </c>
      <c r="B515" t="s">
        <v>1953</v>
      </c>
      <c r="C515" t="s">
        <v>5262</v>
      </c>
      <c r="D515" t="s">
        <v>1203</v>
      </c>
      <c r="E515" t="s">
        <v>1204</v>
      </c>
      <c r="F515">
        <v>5462</v>
      </c>
      <c r="G515" t="s">
        <v>5712</v>
      </c>
      <c r="H515" t="s">
        <v>5264</v>
      </c>
      <c r="I515">
        <v>1024</v>
      </c>
      <c r="J515" t="s">
        <v>5712</v>
      </c>
      <c r="K515" t="s">
        <v>5821</v>
      </c>
      <c r="L515" t="s">
        <v>2537</v>
      </c>
    </row>
    <row r="516" spans="1:13" x14ac:dyDescent="0.3">
      <c r="A516">
        <v>2215</v>
      </c>
      <c r="B516" t="s">
        <v>1954</v>
      </c>
      <c r="C516" t="s">
        <v>5262</v>
      </c>
      <c r="D516" t="s">
        <v>159</v>
      </c>
      <c r="E516" t="s">
        <v>159</v>
      </c>
      <c r="F516">
        <v>8175</v>
      </c>
      <c r="G516" t="s">
        <v>3440</v>
      </c>
      <c r="H516" t="s">
        <v>1254</v>
      </c>
      <c r="I516">
        <v>1000</v>
      </c>
      <c r="J516" t="s">
        <v>5314</v>
      </c>
      <c r="K516" t="s">
        <v>5822</v>
      </c>
      <c r="L516" t="s">
        <v>2537</v>
      </c>
      <c r="M516" t="s">
        <v>2537</v>
      </c>
    </row>
    <row r="517" spans="1:13" x14ac:dyDescent="0.3">
      <c r="A517">
        <v>2217</v>
      </c>
      <c r="B517" t="s">
        <v>1955</v>
      </c>
      <c r="C517" t="s">
        <v>5262</v>
      </c>
      <c r="D517" t="s">
        <v>159</v>
      </c>
      <c r="E517" t="s">
        <v>159</v>
      </c>
      <c r="F517">
        <v>5768</v>
      </c>
      <c r="G517" t="s">
        <v>1955</v>
      </c>
      <c r="H517" t="s">
        <v>1254</v>
      </c>
      <c r="I517">
        <v>1600</v>
      </c>
      <c r="J517" t="s">
        <v>5580</v>
      </c>
      <c r="K517" t="s">
        <v>4662</v>
      </c>
      <c r="L517" t="s">
        <v>2537</v>
      </c>
      <c r="M517" t="s">
        <v>2537</v>
      </c>
    </row>
    <row r="518" spans="1:13" x14ac:dyDescent="0.3">
      <c r="A518">
        <v>2217</v>
      </c>
      <c r="B518" t="s">
        <v>1955</v>
      </c>
      <c r="C518" t="s">
        <v>5262</v>
      </c>
      <c r="D518" t="s">
        <v>159</v>
      </c>
      <c r="E518" t="s">
        <v>159</v>
      </c>
      <c r="F518">
        <v>5768</v>
      </c>
      <c r="G518" t="s">
        <v>1955</v>
      </c>
      <c r="H518" t="s">
        <v>5264</v>
      </c>
      <c r="I518">
        <v>709</v>
      </c>
      <c r="J518" t="s">
        <v>5823</v>
      </c>
      <c r="K518" t="s">
        <v>5824</v>
      </c>
      <c r="L518" t="s">
        <v>2537</v>
      </c>
      <c r="M518" t="s">
        <v>2537</v>
      </c>
    </row>
    <row r="519" spans="1:13" x14ac:dyDescent="0.3">
      <c r="A519">
        <v>2217</v>
      </c>
      <c r="B519" t="s">
        <v>1955</v>
      </c>
      <c r="C519" t="s">
        <v>5262</v>
      </c>
      <c r="D519" t="s">
        <v>159</v>
      </c>
      <c r="E519" t="s">
        <v>159</v>
      </c>
      <c r="F519">
        <v>5768</v>
      </c>
      <c r="G519" t="s">
        <v>1955</v>
      </c>
      <c r="H519" t="s">
        <v>5264</v>
      </c>
      <c r="I519">
        <v>0</v>
      </c>
      <c r="J519" t="s">
        <v>1728</v>
      </c>
      <c r="K519" t="s">
        <v>4658</v>
      </c>
      <c r="L519" t="s">
        <v>2537</v>
      </c>
      <c r="M519" t="s">
        <v>2537</v>
      </c>
    </row>
    <row r="520" spans="1:13" x14ac:dyDescent="0.3">
      <c r="A520">
        <v>2217</v>
      </c>
      <c r="B520" t="s">
        <v>1955</v>
      </c>
      <c r="C520" t="s">
        <v>5262</v>
      </c>
      <c r="D520" t="s">
        <v>159</v>
      </c>
      <c r="E520" t="s">
        <v>159</v>
      </c>
      <c r="F520">
        <v>5768</v>
      </c>
      <c r="G520" t="s">
        <v>1955</v>
      </c>
      <c r="H520" t="s">
        <v>1254</v>
      </c>
      <c r="I520">
        <v>750</v>
      </c>
      <c r="J520" t="s">
        <v>1606</v>
      </c>
      <c r="K520" t="s">
        <v>5825</v>
      </c>
      <c r="L520" t="s">
        <v>2537</v>
      </c>
      <c r="M520" t="s">
        <v>2537</v>
      </c>
    </row>
    <row r="521" spans="1:13" x14ac:dyDescent="0.3">
      <c r="A521">
        <v>2217</v>
      </c>
      <c r="B521" t="s">
        <v>1955</v>
      </c>
      <c r="C521" t="s">
        <v>5262</v>
      </c>
      <c r="D521" t="s">
        <v>159</v>
      </c>
      <c r="E521" t="s">
        <v>159</v>
      </c>
      <c r="F521">
        <v>5768</v>
      </c>
      <c r="G521" t="s">
        <v>1955</v>
      </c>
      <c r="H521" t="s">
        <v>5264</v>
      </c>
      <c r="I521">
        <v>1817</v>
      </c>
      <c r="J521" t="s">
        <v>1955</v>
      </c>
      <c r="K521" t="s">
        <v>5826</v>
      </c>
      <c r="L521" t="s">
        <v>2530</v>
      </c>
      <c r="M521" t="s">
        <v>2537</v>
      </c>
    </row>
    <row r="522" spans="1:13" x14ac:dyDescent="0.3">
      <c r="A522">
        <v>2217</v>
      </c>
      <c r="B522" t="s">
        <v>1955</v>
      </c>
      <c r="C522" t="s">
        <v>5262</v>
      </c>
      <c r="D522" t="s">
        <v>159</v>
      </c>
      <c r="E522" t="s">
        <v>159</v>
      </c>
      <c r="F522">
        <v>5768</v>
      </c>
      <c r="G522" t="s">
        <v>1955</v>
      </c>
      <c r="H522" t="s">
        <v>5264</v>
      </c>
      <c r="I522">
        <v>6178</v>
      </c>
      <c r="J522" t="s">
        <v>1955</v>
      </c>
      <c r="K522" t="s">
        <v>5568</v>
      </c>
      <c r="L522" t="s">
        <v>2530</v>
      </c>
      <c r="M522" t="s">
        <v>2537</v>
      </c>
    </row>
    <row r="523" spans="1:13" x14ac:dyDescent="0.3">
      <c r="A523">
        <v>2218</v>
      </c>
      <c r="B523" t="s">
        <v>1959</v>
      </c>
      <c r="C523" t="s">
        <v>5262</v>
      </c>
      <c r="D523" t="s">
        <v>159</v>
      </c>
      <c r="E523" t="s">
        <v>159</v>
      </c>
      <c r="F523">
        <v>5796</v>
      </c>
      <c r="G523" t="s">
        <v>5827</v>
      </c>
      <c r="H523" t="s">
        <v>5264</v>
      </c>
      <c r="I523">
        <v>8204</v>
      </c>
      <c r="J523" t="s">
        <v>5827</v>
      </c>
      <c r="K523" t="s">
        <v>4883</v>
      </c>
      <c r="L523" t="s">
        <v>2530</v>
      </c>
      <c r="M523" t="s">
        <v>2537</v>
      </c>
    </row>
    <row r="524" spans="1:13" x14ac:dyDescent="0.3">
      <c r="A524">
        <v>2220</v>
      </c>
      <c r="B524" t="s">
        <v>1962</v>
      </c>
      <c r="C524" t="s">
        <v>5262</v>
      </c>
      <c r="D524" t="s">
        <v>159</v>
      </c>
      <c r="E524" t="s">
        <v>159</v>
      </c>
      <c r="F524">
        <v>6742</v>
      </c>
      <c r="G524" t="s">
        <v>5828</v>
      </c>
      <c r="H524" t="s">
        <v>5264</v>
      </c>
      <c r="I524">
        <v>11064</v>
      </c>
      <c r="J524" t="s">
        <v>5496</v>
      </c>
      <c r="K524" t="s">
        <v>4581</v>
      </c>
      <c r="L524" t="s">
        <v>2537</v>
      </c>
      <c r="M524" t="s">
        <v>2537</v>
      </c>
    </row>
    <row r="525" spans="1:13" x14ac:dyDescent="0.3">
      <c r="A525">
        <v>2222</v>
      </c>
      <c r="B525" t="s">
        <v>1964</v>
      </c>
      <c r="C525" t="s">
        <v>5262</v>
      </c>
      <c r="D525" t="s">
        <v>159</v>
      </c>
      <c r="E525" t="s">
        <v>159</v>
      </c>
      <c r="F525">
        <v>8142</v>
      </c>
      <c r="G525" t="s">
        <v>5829</v>
      </c>
      <c r="H525" t="s">
        <v>5264</v>
      </c>
      <c r="I525">
        <v>2806</v>
      </c>
      <c r="J525" t="s">
        <v>5830</v>
      </c>
      <c r="K525" t="s">
        <v>4887</v>
      </c>
      <c r="L525" t="s">
        <v>2530</v>
      </c>
      <c r="M525" t="s">
        <v>2530</v>
      </c>
    </row>
    <row r="526" spans="1:13" x14ac:dyDescent="0.3">
      <c r="A526">
        <v>2224</v>
      </c>
      <c r="B526" t="s">
        <v>1966</v>
      </c>
      <c r="C526" t="s">
        <v>5262</v>
      </c>
      <c r="D526" t="s">
        <v>159</v>
      </c>
      <c r="E526" t="s">
        <v>159</v>
      </c>
      <c r="F526">
        <v>8051</v>
      </c>
      <c r="G526" t="s">
        <v>5831</v>
      </c>
      <c r="H526" t="s">
        <v>1254</v>
      </c>
      <c r="I526">
        <v>12764</v>
      </c>
      <c r="J526" t="s">
        <v>5831</v>
      </c>
      <c r="K526" t="s">
        <v>5832</v>
      </c>
      <c r="L526" t="s">
        <v>2537</v>
      </c>
      <c r="M526" t="s">
        <v>2537</v>
      </c>
    </row>
    <row r="527" spans="1:13" x14ac:dyDescent="0.3">
      <c r="A527">
        <v>2237</v>
      </c>
      <c r="B527" t="s">
        <v>1969</v>
      </c>
      <c r="C527" t="s">
        <v>5262</v>
      </c>
      <c r="D527" t="s">
        <v>159</v>
      </c>
      <c r="E527" t="s">
        <v>159</v>
      </c>
      <c r="F527">
        <v>8659</v>
      </c>
      <c r="G527" t="s">
        <v>5812</v>
      </c>
      <c r="H527" t="s">
        <v>5264</v>
      </c>
      <c r="I527">
        <v>717</v>
      </c>
      <c r="J527" t="s">
        <v>5812</v>
      </c>
      <c r="K527" t="s">
        <v>3715</v>
      </c>
      <c r="L527" t="s">
        <v>2530</v>
      </c>
      <c r="M527" t="s">
        <v>2537</v>
      </c>
    </row>
    <row r="528" spans="1:13" x14ac:dyDescent="0.3">
      <c r="A528">
        <v>2241</v>
      </c>
      <c r="B528" t="s">
        <v>1971</v>
      </c>
      <c r="C528" t="s">
        <v>5262</v>
      </c>
      <c r="D528" t="s">
        <v>159</v>
      </c>
      <c r="E528" t="s">
        <v>159</v>
      </c>
      <c r="F528">
        <v>8327</v>
      </c>
      <c r="G528" t="s">
        <v>5833</v>
      </c>
      <c r="H528" t="s">
        <v>1254</v>
      </c>
      <c r="I528">
        <v>2520</v>
      </c>
      <c r="J528" t="s">
        <v>4167</v>
      </c>
      <c r="K528" t="s">
        <v>5290</v>
      </c>
      <c r="L528" t="s">
        <v>2537</v>
      </c>
      <c r="M528" t="s">
        <v>2537</v>
      </c>
    </row>
    <row r="529" spans="1:13" x14ac:dyDescent="0.3">
      <c r="A529">
        <v>2251</v>
      </c>
      <c r="B529" t="s">
        <v>1975</v>
      </c>
      <c r="C529" t="s">
        <v>5262</v>
      </c>
      <c r="D529" t="s">
        <v>159</v>
      </c>
      <c r="E529" t="s">
        <v>159</v>
      </c>
      <c r="F529">
        <v>7898</v>
      </c>
      <c r="G529" t="s">
        <v>5834</v>
      </c>
      <c r="H529" t="s">
        <v>1254</v>
      </c>
      <c r="I529">
        <v>772</v>
      </c>
      <c r="J529" t="s">
        <v>5573</v>
      </c>
      <c r="K529" t="s">
        <v>5835</v>
      </c>
      <c r="L529" t="s">
        <v>2537</v>
      </c>
      <c r="M529" t="s">
        <v>2537</v>
      </c>
    </row>
    <row r="530" spans="1:13" x14ac:dyDescent="0.3">
      <c r="A530">
        <v>2260</v>
      </c>
      <c r="B530" t="s">
        <v>1976</v>
      </c>
      <c r="C530" t="s">
        <v>5262</v>
      </c>
      <c r="D530" t="s">
        <v>159</v>
      </c>
      <c r="E530" t="s">
        <v>159</v>
      </c>
      <c r="F530">
        <v>7916</v>
      </c>
      <c r="G530" t="s">
        <v>5836</v>
      </c>
      <c r="H530" t="s">
        <v>1254</v>
      </c>
      <c r="I530">
        <v>1743.1282988</v>
      </c>
      <c r="J530" t="s">
        <v>5836</v>
      </c>
      <c r="K530" t="s">
        <v>5837</v>
      </c>
      <c r="L530" t="s">
        <v>2530</v>
      </c>
      <c r="M530" t="s">
        <v>2537</v>
      </c>
    </row>
    <row r="531" spans="1:13" x14ac:dyDescent="0.3">
      <c r="A531">
        <v>2273</v>
      </c>
      <c r="B531" t="s">
        <v>889</v>
      </c>
      <c r="C531" t="s">
        <v>5262</v>
      </c>
      <c r="D531" t="s">
        <v>159</v>
      </c>
      <c r="E531" t="s">
        <v>159</v>
      </c>
      <c r="F531">
        <v>5534</v>
      </c>
      <c r="G531" t="s">
        <v>5838</v>
      </c>
      <c r="H531" t="s">
        <v>5264</v>
      </c>
      <c r="I531">
        <v>836</v>
      </c>
      <c r="J531" t="s">
        <v>5838</v>
      </c>
      <c r="K531" t="s">
        <v>4335</v>
      </c>
      <c r="L531" t="s">
        <v>2530</v>
      </c>
      <c r="M531" t="s">
        <v>2537</v>
      </c>
    </row>
    <row r="532" spans="1:13" x14ac:dyDescent="0.3">
      <c r="A532">
        <v>2290</v>
      </c>
      <c r="B532" t="s">
        <v>1979</v>
      </c>
      <c r="C532" t="s">
        <v>5262</v>
      </c>
      <c r="D532" t="s">
        <v>159</v>
      </c>
      <c r="E532" t="s">
        <v>159</v>
      </c>
      <c r="F532">
        <v>5817</v>
      </c>
      <c r="G532" t="s">
        <v>5839</v>
      </c>
      <c r="H532" t="s">
        <v>1254</v>
      </c>
      <c r="I532">
        <v>830</v>
      </c>
      <c r="J532" t="s">
        <v>3135</v>
      </c>
      <c r="K532" t="s">
        <v>5840</v>
      </c>
      <c r="L532" t="s">
        <v>2537</v>
      </c>
    </row>
    <row r="533" spans="1:13" x14ac:dyDescent="0.3">
      <c r="A533">
        <v>2298</v>
      </c>
      <c r="B533" t="s">
        <v>1981</v>
      </c>
      <c r="C533" t="s">
        <v>5262</v>
      </c>
      <c r="D533" t="s">
        <v>159</v>
      </c>
      <c r="E533" t="s">
        <v>159</v>
      </c>
      <c r="F533">
        <v>8061</v>
      </c>
      <c r="G533" t="s">
        <v>5314</v>
      </c>
      <c r="H533" t="s">
        <v>1254</v>
      </c>
      <c r="I533">
        <v>2041</v>
      </c>
      <c r="J533" t="s">
        <v>5671</v>
      </c>
      <c r="K533" t="s">
        <v>5841</v>
      </c>
      <c r="L533" t="s">
        <v>2537</v>
      </c>
    </row>
    <row r="534" spans="1:13" x14ac:dyDescent="0.3">
      <c r="A534">
        <v>2323</v>
      </c>
      <c r="B534" t="s">
        <v>1983</v>
      </c>
      <c r="C534" t="s">
        <v>5262</v>
      </c>
      <c r="D534" t="s">
        <v>159</v>
      </c>
      <c r="E534" t="s">
        <v>159</v>
      </c>
      <c r="F534">
        <v>5912</v>
      </c>
      <c r="G534" t="s">
        <v>5842</v>
      </c>
      <c r="H534" t="s">
        <v>5264</v>
      </c>
      <c r="I534">
        <v>103</v>
      </c>
      <c r="J534" t="s">
        <v>5842</v>
      </c>
      <c r="K534" t="s">
        <v>4902</v>
      </c>
      <c r="L534" t="s">
        <v>2530</v>
      </c>
      <c r="M534" t="s">
        <v>2537</v>
      </c>
    </row>
    <row r="535" spans="1:13" x14ac:dyDescent="0.3">
      <c r="A535">
        <v>2326</v>
      </c>
      <c r="B535" t="s">
        <v>1985</v>
      </c>
      <c r="C535" t="s">
        <v>5262</v>
      </c>
      <c r="D535" t="s">
        <v>159</v>
      </c>
      <c r="E535" t="s">
        <v>159</v>
      </c>
      <c r="F535">
        <v>5567</v>
      </c>
      <c r="G535" t="s">
        <v>3732</v>
      </c>
      <c r="H535" t="s">
        <v>1254</v>
      </c>
      <c r="I535">
        <v>945</v>
      </c>
      <c r="J535" t="s">
        <v>3732</v>
      </c>
      <c r="K535" t="s">
        <v>5843</v>
      </c>
      <c r="L535" t="s">
        <v>2537</v>
      </c>
    </row>
    <row r="536" spans="1:13" x14ac:dyDescent="0.3">
      <c r="A536">
        <v>2330</v>
      </c>
      <c r="B536" t="s">
        <v>1987</v>
      </c>
      <c r="C536" t="s">
        <v>5262</v>
      </c>
      <c r="D536" t="s">
        <v>159</v>
      </c>
      <c r="E536" t="s">
        <v>159</v>
      </c>
      <c r="F536">
        <v>7828</v>
      </c>
      <c r="G536" t="s">
        <v>4905</v>
      </c>
      <c r="H536" t="s">
        <v>5264</v>
      </c>
      <c r="I536">
        <v>3.0000000000000001E-3</v>
      </c>
      <c r="J536" t="s">
        <v>5818</v>
      </c>
      <c r="K536" t="s">
        <v>5844</v>
      </c>
      <c r="L536" t="s">
        <v>2537</v>
      </c>
      <c r="M536" t="s">
        <v>2537</v>
      </c>
    </row>
    <row r="537" spans="1:13" x14ac:dyDescent="0.3">
      <c r="A537">
        <v>2330</v>
      </c>
      <c r="B537" t="s">
        <v>1987</v>
      </c>
      <c r="C537" t="s">
        <v>5262</v>
      </c>
      <c r="D537" t="s">
        <v>159</v>
      </c>
      <c r="E537" t="s">
        <v>159</v>
      </c>
      <c r="F537">
        <v>7828</v>
      </c>
      <c r="G537" t="s">
        <v>4905</v>
      </c>
      <c r="H537" t="s">
        <v>5264</v>
      </c>
      <c r="I537">
        <v>1.2999999999999999E-5</v>
      </c>
      <c r="J537" t="s">
        <v>4905</v>
      </c>
      <c r="K537" t="s">
        <v>4906</v>
      </c>
      <c r="L537" t="s">
        <v>2537</v>
      </c>
      <c r="M537" t="s">
        <v>2537</v>
      </c>
    </row>
    <row r="538" spans="1:13" x14ac:dyDescent="0.3">
      <c r="A538">
        <v>2334</v>
      </c>
      <c r="B538" t="s">
        <v>1990</v>
      </c>
      <c r="C538" t="s">
        <v>5262</v>
      </c>
      <c r="D538" t="s">
        <v>159</v>
      </c>
      <c r="E538" t="s">
        <v>159</v>
      </c>
      <c r="F538">
        <v>5637</v>
      </c>
      <c r="G538" t="s">
        <v>5845</v>
      </c>
      <c r="H538" t="s">
        <v>5264</v>
      </c>
      <c r="I538">
        <v>3035</v>
      </c>
      <c r="J538" t="s">
        <v>3209</v>
      </c>
      <c r="K538" t="s">
        <v>5846</v>
      </c>
      <c r="L538" t="s">
        <v>2530</v>
      </c>
      <c r="M538" t="s">
        <v>2537</v>
      </c>
    </row>
    <row r="539" spans="1:13" x14ac:dyDescent="0.3">
      <c r="A539">
        <v>2337</v>
      </c>
      <c r="B539" t="s">
        <v>1993</v>
      </c>
      <c r="C539" t="s">
        <v>5262</v>
      </c>
      <c r="D539" t="s">
        <v>1203</v>
      </c>
      <c r="E539" t="s">
        <v>1204</v>
      </c>
      <c r="F539">
        <v>5742</v>
      </c>
      <c r="G539" t="s">
        <v>5392</v>
      </c>
      <c r="H539" t="s">
        <v>1254</v>
      </c>
      <c r="I539">
        <v>475.67761675000003</v>
      </c>
      <c r="J539" t="s">
        <v>5847</v>
      </c>
      <c r="K539" t="s">
        <v>4297</v>
      </c>
      <c r="L539" t="s">
        <v>2530</v>
      </c>
      <c r="M539" t="s">
        <v>2537</v>
      </c>
    </row>
    <row r="540" spans="1:13" x14ac:dyDescent="0.3">
      <c r="A540">
        <v>2337</v>
      </c>
      <c r="B540" t="s">
        <v>1993</v>
      </c>
      <c r="C540" t="s">
        <v>5262</v>
      </c>
      <c r="D540" t="s">
        <v>1203</v>
      </c>
      <c r="E540" t="s">
        <v>1204</v>
      </c>
      <c r="F540">
        <v>5742</v>
      </c>
      <c r="G540" t="s">
        <v>5848</v>
      </c>
      <c r="H540" t="s">
        <v>1254</v>
      </c>
      <c r="I540">
        <v>690.49976624999999</v>
      </c>
      <c r="J540" t="s">
        <v>5847</v>
      </c>
      <c r="K540" t="s">
        <v>4297</v>
      </c>
      <c r="L540" t="s">
        <v>2530</v>
      </c>
      <c r="M540" t="s">
        <v>2537</v>
      </c>
    </row>
    <row r="541" spans="1:13" x14ac:dyDescent="0.3">
      <c r="A541">
        <v>2341</v>
      </c>
      <c r="B541" t="s">
        <v>1994</v>
      </c>
      <c r="C541" t="s">
        <v>5262</v>
      </c>
      <c r="D541" t="s">
        <v>159</v>
      </c>
      <c r="E541" t="s">
        <v>159</v>
      </c>
      <c r="F541">
        <v>6850</v>
      </c>
      <c r="G541" t="s">
        <v>5849</v>
      </c>
      <c r="H541" t="s">
        <v>1254</v>
      </c>
      <c r="I541">
        <v>3560</v>
      </c>
      <c r="J541" t="s">
        <v>3469</v>
      </c>
      <c r="K541" t="s">
        <v>5697</v>
      </c>
      <c r="L541" t="s">
        <v>2537</v>
      </c>
      <c r="M541" t="s">
        <v>2537</v>
      </c>
    </row>
    <row r="542" spans="1:13" x14ac:dyDescent="0.3">
      <c r="A542">
        <v>2343</v>
      </c>
      <c r="B542" t="s">
        <v>1995</v>
      </c>
      <c r="C542" t="s">
        <v>5262</v>
      </c>
      <c r="D542" t="s">
        <v>159</v>
      </c>
      <c r="E542" t="s">
        <v>159</v>
      </c>
      <c r="F542">
        <v>5812</v>
      </c>
      <c r="G542" t="s">
        <v>2107</v>
      </c>
      <c r="H542" t="s">
        <v>1254</v>
      </c>
      <c r="I542">
        <v>835</v>
      </c>
      <c r="J542" t="s">
        <v>2107</v>
      </c>
      <c r="K542" t="s">
        <v>5850</v>
      </c>
      <c r="L542" t="s">
        <v>2537</v>
      </c>
      <c r="M542" t="s">
        <v>2537</v>
      </c>
    </row>
    <row r="543" spans="1:13" x14ac:dyDescent="0.3">
      <c r="A543">
        <v>2345</v>
      </c>
      <c r="B543" t="s">
        <v>1997</v>
      </c>
      <c r="C543" t="s">
        <v>5262</v>
      </c>
      <c r="D543" t="s">
        <v>1203</v>
      </c>
      <c r="E543" t="s">
        <v>1204</v>
      </c>
      <c r="F543">
        <v>5554</v>
      </c>
      <c r="G543" t="s">
        <v>3469</v>
      </c>
      <c r="H543" t="s">
        <v>1254</v>
      </c>
      <c r="I543">
        <v>1900</v>
      </c>
      <c r="J543" t="s">
        <v>3469</v>
      </c>
      <c r="K543" t="s">
        <v>5676</v>
      </c>
      <c r="L543" t="s">
        <v>2537</v>
      </c>
      <c r="M543" t="s">
        <v>2537</v>
      </c>
    </row>
    <row r="544" spans="1:13" x14ac:dyDescent="0.3">
      <c r="A544">
        <v>2348</v>
      </c>
      <c r="B544" t="s">
        <v>1998</v>
      </c>
      <c r="C544" t="s">
        <v>5262</v>
      </c>
      <c r="D544" t="s">
        <v>159</v>
      </c>
      <c r="E544" t="s">
        <v>159</v>
      </c>
      <c r="F544">
        <v>6953</v>
      </c>
      <c r="G544" t="s">
        <v>4912</v>
      </c>
      <c r="H544" t="s">
        <v>1254</v>
      </c>
      <c r="I544">
        <v>3498</v>
      </c>
      <c r="J544" t="s">
        <v>4912</v>
      </c>
      <c r="K544" t="s">
        <v>4912</v>
      </c>
      <c r="L544" t="s">
        <v>2530</v>
      </c>
    </row>
    <row r="545" spans="1:13" x14ac:dyDescent="0.3">
      <c r="A545">
        <v>2381</v>
      </c>
      <c r="B545" t="s">
        <v>2000</v>
      </c>
      <c r="C545" t="s">
        <v>5262</v>
      </c>
      <c r="D545" t="s">
        <v>159</v>
      </c>
      <c r="E545" t="s">
        <v>159</v>
      </c>
      <c r="F545">
        <v>7791</v>
      </c>
      <c r="G545" t="s">
        <v>5851</v>
      </c>
      <c r="H545" t="s">
        <v>5264</v>
      </c>
      <c r="I545">
        <v>30915</v>
      </c>
      <c r="J545" t="s">
        <v>2224</v>
      </c>
      <c r="K545" t="s">
        <v>4917</v>
      </c>
      <c r="L545" t="s">
        <v>2530</v>
      </c>
      <c r="M545" t="s">
        <v>2537</v>
      </c>
    </row>
    <row r="546" spans="1:13" x14ac:dyDescent="0.3">
      <c r="A546">
        <v>2401</v>
      </c>
      <c r="B546" t="s">
        <v>2006</v>
      </c>
      <c r="C546" t="s">
        <v>5262</v>
      </c>
      <c r="D546" t="s">
        <v>159</v>
      </c>
      <c r="E546" t="s">
        <v>159</v>
      </c>
      <c r="F546">
        <v>8173</v>
      </c>
      <c r="G546" t="s">
        <v>3469</v>
      </c>
      <c r="H546" t="s">
        <v>1254</v>
      </c>
      <c r="I546">
        <v>24567</v>
      </c>
      <c r="J546" t="s">
        <v>3469</v>
      </c>
      <c r="K546" t="s">
        <v>5852</v>
      </c>
      <c r="L546" t="s">
        <v>2537</v>
      </c>
      <c r="M546" t="s">
        <v>2537</v>
      </c>
    </row>
    <row r="547" spans="1:13" x14ac:dyDescent="0.3">
      <c r="A547">
        <v>2401</v>
      </c>
      <c r="B547" t="s">
        <v>2006</v>
      </c>
      <c r="C547" t="s">
        <v>5262</v>
      </c>
      <c r="D547" t="s">
        <v>159</v>
      </c>
      <c r="E547" t="s">
        <v>159</v>
      </c>
      <c r="F547">
        <v>8173</v>
      </c>
      <c r="G547" t="s">
        <v>3469</v>
      </c>
      <c r="H547" t="s">
        <v>1254</v>
      </c>
      <c r="I547">
        <v>9047</v>
      </c>
      <c r="J547" t="s">
        <v>3469</v>
      </c>
      <c r="K547" t="s">
        <v>4545</v>
      </c>
      <c r="L547" t="s">
        <v>2537</v>
      </c>
      <c r="M547" t="s">
        <v>2537</v>
      </c>
    </row>
    <row r="548" spans="1:13" x14ac:dyDescent="0.3">
      <c r="A548">
        <v>2401</v>
      </c>
      <c r="B548" t="s">
        <v>2006</v>
      </c>
      <c r="C548" t="s">
        <v>5262</v>
      </c>
      <c r="D548" t="s">
        <v>159</v>
      </c>
      <c r="E548" t="s">
        <v>159</v>
      </c>
      <c r="F548">
        <v>8173</v>
      </c>
      <c r="G548" t="s">
        <v>3469</v>
      </c>
      <c r="H548" t="s">
        <v>1254</v>
      </c>
      <c r="I548">
        <v>2697</v>
      </c>
      <c r="J548" t="s">
        <v>3469</v>
      </c>
      <c r="K548" t="s">
        <v>5853</v>
      </c>
      <c r="L548" t="s">
        <v>2537</v>
      </c>
      <c r="M548" t="s">
        <v>2537</v>
      </c>
    </row>
    <row r="549" spans="1:13" x14ac:dyDescent="0.3">
      <c r="A549">
        <v>2402</v>
      </c>
      <c r="B549" t="s">
        <v>2008</v>
      </c>
      <c r="C549" t="s">
        <v>5262</v>
      </c>
      <c r="D549" t="s">
        <v>159</v>
      </c>
      <c r="E549" t="s">
        <v>159</v>
      </c>
      <c r="F549">
        <v>8169</v>
      </c>
      <c r="G549" t="s">
        <v>3469</v>
      </c>
      <c r="H549" t="s">
        <v>1254</v>
      </c>
      <c r="I549">
        <v>24567</v>
      </c>
      <c r="J549" t="s">
        <v>3469</v>
      </c>
      <c r="K549" t="s">
        <v>5852</v>
      </c>
      <c r="L549" t="s">
        <v>2537</v>
      </c>
      <c r="M549" t="s">
        <v>2537</v>
      </c>
    </row>
    <row r="550" spans="1:13" x14ac:dyDescent="0.3">
      <c r="A550">
        <v>2402</v>
      </c>
      <c r="B550" t="s">
        <v>2008</v>
      </c>
      <c r="C550" t="s">
        <v>5262</v>
      </c>
      <c r="D550" t="s">
        <v>159</v>
      </c>
      <c r="E550" t="s">
        <v>159</v>
      </c>
      <c r="F550">
        <v>8169</v>
      </c>
      <c r="G550" t="s">
        <v>3469</v>
      </c>
      <c r="H550" t="s">
        <v>1254</v>
      </c>
      <c r="I550">
        <v>2697</v>
      </c>
      <c r="J550" t="s">
        <v>3469</v>
      </c>
      <c r="K550" t="s">
        <v>5853</v>
      </c>
      <c r="L550" t="s">
        <v>2537</v>
      </c>
      <c r="M550" t="s">
        <v>2537</v>
      </c>
    </row>
    <row r="551" spans="1:13" x14ac:dyDescent="0.3">
      <c r="A551">
        <v>2402</v>
      </c>
      <c r="B551" t="s">
        <v>2008</v>
      </c>
      <c r="C551" t="s">
        <v>5262</v>
      </c>
      <c r="D551" t="s">
        <v>159</v>
      </c>
      <c r="E551" t="s">
        <v>159</v>
      </c>
      <c r="F551">
        <v>8169</v>
      </c>
      <c r="G551" t="s">
        <v>3469</v>
      </c>
      <c r="H551" t="s">
        <v>1254</v>
      </c>
      <c r="I551">
        <v>9047</v>
      </c>
      <c r="J551" t="s">
        <v>3469</v>
      </c>
      <c r="K551" t="s">
        <v>4545</v>
      </c>
      <c r="L551" t="s">
        <v>2537</v>
      </c>
      <c r="M551" t="s">
        <v>2537</v>
      </c>
    </row>
    <row r="552" spans="1:13" x14ac:dyDescent="0.3">
      <c r="A552">
        <v>2419</v>
      </c>
      <c r="B552" t="s">
        <v>2009</v>
      </c>
      <c r="C552" t="s">
        <v>5262</v>
      </c>
      <c r="D552" t="s">
        <v>159</v>
      </c>
      <c r="E552" t="s">
        <v>159</v>
      </c>
      <c r="F552">
        <v>8660</v>
      </c>
      <c r="G552" t="s">
        <v>5268</v>
      </c>
      <c r="H552" t="s">
        <v>1254</v>
      </c>
      <c r="I552">
        <v>130</v>
      </c>
      <c r="J552" t="s">
        <v>5268</v>
      </c>
      <c r="K552" t="s">
        <v>5269</v>
      </c>
      <c r="L552" t="s">
        <v>2537</v>
      </c>
      <c r="M552" t="s">
        <v>2537</v>
      </c>
    </row>
    <row r="553" spans="1:13" x14ac:dyDescent="0.3">
      <c r="A553">
        <v>2419</v>
      </c>
      <c r="B553" t="s">
        <v>2009</v>
      </c>
      <c r="C553" t="s">
        <v>5262</v>
      </c>
      <c r="D553" t="s">
        <v>159</v>
      </c>
      <c r="E553" t="s">
        <v>159</v>
      </c>
      <c r="F553">
        <v>8660</v>
      </c>
      <c r="G553" t="s">
        <v>5268</v>
      </c>
      <c r="H553" t="s">
        <v>1254</v>
      </c>
      <c r="I553">
        <v>1770</v>
      </c>
      <c r="J553" t="s">
        <v>5268</v>
      </c>
      <c r="K553" t="s">
        <v>5270</v>
      </c>
      <c r="L553" t="s">
        <v>2537</v>
      </c>
      <c r="M553" t="s">
        <v>2537</v>
      </c>
    </row>
    <row r="554" spans="1:13" x14ac:dyDescent="0.3">
      <c r="A554">
        <v>2424</v>
      </c>
      <c r="B554" t="s">
        <v>2010</v>
      </c>
      <c r="C554" t="s">
        <v>5262</v>
      </c>
      <c r="D554" t="s">
        <v>159</v>
      </c>
      <c r="E554" t="s">
        <v>159</v>
      </c>
      <c r="F554">
        <v>7812</v>
      </c>
      <c r="G554" t="s">
        <v>5854</v>
      </c>
      <c r="H554" t="s">
        <v>5855</v>
      </c>
      <c r="I554">
        <v>180</v>
      </c>
      <c r="J554" t="s">
        <v>5856</v>
      </c>
      <c r="K554" t="s">
        <v>5857</v>
      </c>
      <c r="L554" t="s">
        <v>2530</v>
      </c>
      <c r="M554" t="s">
        <v>2537</v>
      </c>
    </row>
    <row r="555" spans="1:13" x14ac:dyDescent="0.3">
      <c r="A555">
        <v>2425</v>
      </c>
      <c r="B555" t="s">
        <v>2012</v>
      </c>
      <c r="C555" t="s">
        <v>5262</v>
      </c>
      <c r="D555" t="s">
        <v>159</v>
      </c>
      <c r="E555" t="s">
        <v>159</v>
      </c>
      <c r="F555">
        <v>6886</v>
      </c>
      <c r="G555" t="s">
        <v>5383</v>
      </c>
      <c r="H555" t="s">
        <v>5264</v>
      </c>
      <c r="I555">
        <v>14332</v>
      </c>
      <c r="J555" t="s">
        <v>5383</v>
      </c>
      <c r="K555" t="s">
        <v>4920</v>
      </c>
      <c r="L555" t="s">
        <v>2530</v>
      </c>
      <c r="M555" t="s">
        <v>2537</v>
      </c>
    </row>
    <row r="556" spans="1:13" x14ac:dyDescent="0.3">
      <c r="A556">
        <v>2437</v>
      </c>
      <c r="B556" t="s">
        <v>2015</v>
      </c>
      <c r="C556" t="s">
        <v>5262</v>
      </c>
      <c r="D556" t="s">
        <v>159</v>
      </c>
      <c r="E556" t="s">
        <v>159</v>
      </c>
      <c r="F556">
        <v>8090</v>
      </c>
      <c r="G556" t="s">
        <v>5858</v>
      </c>
      <c r="H556" t="s">
        <v>1254</v>
      </c>
      <c r="I556">
        <v>9656</v>
      </c>
      <c r="J556" t="s">
        <v>5859</v>
      </c>
      <c r="K556" t="s">
        <v>4823</v>
      </c>
      <c r="L556" t="s">
        <v>2537</v>
      </c>
      <c r="M556" t="s">
        <v>2537</v>
      </c>
    </row>
    <row r="557" spans="1:13" x14ac:dyDescent="0.3">
      <c r="A557">
        <v>2438</v>
      </c>
      <c r="B557" t="s">
        <v>2016</v>
      </c>
      <c r="C557" t="s">
        <v>5262</v>
      </c>
      <c r="D557" t="s">
        <v>1203</v>
      </c>
      <c r="E557" t="s">
        <v>1204</v>
      </c>
      <c r="F557">
        <v>7986</v>
      </c>
      <c r="G557" t="s">
        <v>5399</v>
      </c>
      <c r="H557" t="s">
        <v>5264</v>
      </c>
      <c r="I557">
        <v>393</v>
      </c>
      <c r="J557" t="s">
        <v>5399</v>
      </c>
      <c r="K557" t="s">
        <v>5860</v>
      </c>
      <c r="L557" t="s">
        <v>2530</v>
      </c>
      <c r="M557" t="s">
        <v>2537</v>
      </c>
    </row>
    <row r="558" spans="1:13" x14ac:dyDescent="0.3">
      <c r="A558">
        <v>2444</v>
      </c>
      <c r="B558" t="s">
        <v>2018</v>
      </c>
      <c r="C558" t="s">
        <v>5262</v>
      </c>
      <c r="D558" t="s">
        <v>1203</v>
      </c>
      <c r="E558" t="s">
        <v>1204</v>
      </c>
      <c r="F558">
        <v>6949</v>
      </c>
      <c r="G558" t="s">
        <v>5861</v>
      </c>
      <c r="H558" t="s">
        <v>5264</v>
      </c>
      <c r="I558">
        <v>797.910841</v>
      </c>
      <c r="J558" t="s">
        <v>5694</v>
      </c>
      <c r="K558" t="s">
        <v>4804</v>
      </c>
      <c r="L558" t="s">
        <v>2537</v>
      </c>
      <c r="M558" t="s">
        <v>2537</v>
      </c>
    </row>
    <row r="559" spans="1:13" x14ac:dyDescent="0.3">
      <c r="A559">
        <v>1408</v>
      </c>
      <c r="B559" t="s">
        <v>2021</v>
      </c>
      <c r="C559" t="s">
        <v>5262</v>
      </c>
      <c r="D559" t="s">
        <v>1203</v>
      </c>
      <c r="E559" t="s">
        <v>1204</v>
      </c>
      <c r="F559">
        <v>5825</v>
      </c>
      <c r="G559" t="s">
        <v>2021</v>
      </c>
      <c r="H559" t="s">
        <v>1254</v>
      </c>
      <c r="I559">
        <v>1302</v>
      </c>
      <c r="J559" t="s">
        <v>2021</v>
      </c>
      <c r="K559" t="s">
        <v>4925</v>
      </c>
      <c r="L559" t="s">
        <v>2530</v>
      </c>
      <c r="M559" t="s">
        <v>2537</v>
      </c>
    </row>
    <row r="560" spans="1:13" x14ac:dyDescent="0.3">
      <c r="B560" t="s">
        <v>2023</v>
      </c>
      <c r="C560" t="s">
        <v>5262</v>
      </c>
      <c r="D560" t="s">
        <v>159</v>
      </c>
      <c r="E560" t="s">
        <v>159</v>
      </c>
      <c r="F560">
        <v>7911</v>
      </c>
      <c r="G560" t="s">
        <v>5289</v>
      </c>
      <c r="H560" t="s">
        <v>1254</v>
      </c>
      <c r="I560">
        <v>40300</v>
      </c>
      <c r="J560" t="s">
        <v>4167</v>
      </c>
      <c r="K560" t="s">
        <v>5290</v>
      </c>
      <c r="L560" t="s">
        <v>2537</v>
      </c>
    </row>
    <row r="561" spans="1:13" x14ac:dyDescent="0.3">
      <c r="B561" t="s">
        <v>2025</v>
      </c>
      <c r="C561" t="s">
        <v>5262</v>
      </c>
      <c r="D561" t="s">
        <v>1203</v>
      </c>
      <c r="E561" t="s">
        <v>1204</v>
      </c>
      <c r="F561">
        <v>7912</v>
      </c>
      <c r="G561" t="s">
        <v>5862</v>
      </c>
      <c r="H561" t="s">
        <v>5264</v>
      </c>
      <c r="I561">
        <v>200000</v>
      </c>
      <c r="J561" t="s">
        <v>5863</v>
      </c>
      <c r="K561" t="s">
        <v>5864</v>
      </c>
      <c r="L561" t="s">
        <v>2530</v>
      </c>
      <c r="M561" t="s">
        <v>2537</v>
      </c>
    </row>
    <row r="562" spans="1:13" x14ac:dyDescent="0.3">
      <c r="A562">
        <v>2469</v>
      </c>
      <c r="B562" t="s">
        <v>2028</v>
      </c>
      <c r="C562" t="s">
        <v>5262</v>
      </c>
      <c r="D562" t="s">
        <v>159</v>
      </c>
      <c r="E562" t="s">
        <v>159</v>
      </c>
      <c r="F562">
        <v>8029</v>
      </c>
      <c r="G562" t="s">
        <v>5355</v>
      </c>
      <c r="H562" t="s">
        <v>1254</v>
      </c>
      <c r="I562">
        <v>4370</v>
      </c>
      <c r="J562" t="s">
        <v>5355</v>
      </c>
      <c r="K562" t="s">
        <v>4931</v>
      </c>
      <c r="L562" t="s">
        <v>2537</v>
      </c>
      <c r="M562" t="s">
        <v>2537</v>
      </c>
    </row>
    <row r="563" spans="1:13" x14ac:dyDescent="0.3">
      <c r="A563">
        <v>2487</v>
      </c>
      <c r="B563" t="s">
        <v>2029</v>
      </c>
      <c r="C563" t="s">
        <v>5262</v>
      </c>
      <c r="D563" t="s">
        <v>1203</v>
      </c>
      <c r="E563" t="s">
        <v>1204</v>
      </c>
      <c r="F563">
        <v>8888</v>
      </c>
      <c r="G563" t="s">
        <v>5865</v>
      </c>
      <c r="H563" t="s">
        <v>5264</v>
      </c>
      <c r="I563">
        <v>14365</v>
      </c>
      <c r="J563" t="s">
        <v>3135</v>
      </c>
      <c r="K563" t="s">
        <v>5269</v>
      </c>
      <c r="L563" t="s">
        <v>2537</v>
      </c>
      <c r="M563" t="s">
        <v>2537</v>
      </c>
    </row>
    <row r="564" spans="1:13" x14ac:dyDescent="0.3">
      <c r="A564">
        <v>2490</v>
      </c>
      <c r="B564" t="s">
        <v>2030</v>
      </c>
      <c r="C564" t="s">
        <v>5262</v>
      </c>
      <c r="D564" t="s">
        <v>159</v>
      </c>
      <c r="E564" t="s">
        <v>159</v>
      </c>
      <c r="F564">
        <v>7931</v>
      </c>
      <c r="G564" t="s">
        <v>1958</v>
      </c>
      <c r="H564" t="s">
        <v>1254</v>
      </c>
      <c r="I564">
        <v>567</v>
      </c>
      <c r="J564" t="s">
        <v>1958</v>
      </c>
      <c r="K564" t="s">
        <v>4936</v>
      </c>
      <c r="L564" t="s">
        <v>2530</v>
      </c>
    </row>
    <row r="565" spans="1:13" x14ac:dyDescent="0.3">
      <c r="A565">
        <v>2490</v>
      </c>
      <c r="B565" t="s">
        <v>2030</v>
      </c>
      <c r="C565" t="s">
        <v>5262</v>
      </c>
      <c r="D565" t="s">
        <v>159</v>
      </c>
      <c r="E565" t="s">
        <v>159</v>
      </c>
      <c r="F565">
        <v>7931</v>
      </c>
      <c r="G565" t="s">
        <v>1958</v>
      </c>
      <c r="H565" t="s">
        <v>1254</v>
      </c>
      <c r="I565">
        <v>217</v>
      </c>
      <c r="J565" t="s">
        <v>5567</v>
      </c>
      <c r="K565" t="s">
        <v>5568</v>
      </c>
      <c r="L565" t="s">
        <v>2537</v>
      </c>
    </row>
    <row r="566" spans="1:13" x14ac:dyDescent="0.3">
      <c r="A566">
        <v>2496</v>
      </c>
      <c r="B566" t="s">
        <v>905</v>
      </c>
      <c r="C566" t="s">
        <v>5262</v>
      </c>
      <c r="D566" t="s">
        <v>159</v>
      </c>
      <c r="E566" t="s">
        <v>159</v>
      </c>
      <c r="F566">
        <v>5568</v>
      </c>
      <c r="G566" t="s">
        <v>790</v>
      </c>
      <c r="H566" t="s">
        <v>1254</v>
      </c>
      <c r="I566">
        <v>11277</v>
      </c>
      <c r="J566" t="s">
        <v>790</v>
      </c>
      <c r="K566" t="s">
        <v>4938</v>
      </c>
      <c r="L566" t="s">
        <v>2530</v>
      </c>
      <c r="M566" t="s">
        <v>2537</v>
      </c>
    </row>
    <row r="567" spans="1:13" x14ac:dyDescent="0.3">
      <c r="A567">
        <v>2510</v>
      </c>
      <c r="B567" t="s">
        <v>2035</v>
      </c>
      <c r="C567" t="s">
        <v>5262</v>
      </c>
      <c r="D567" t="s">
        <v>1203</v>
      </c>
      <c r="E567" t="s">
        <v>1204</v>
      </c>
      <c r="F567">
        <v>5942</v>
      </c>
      <c r="G567" t="s">
        <v>5584</v>
      </c>
      <c r="H567" t="s">
        <v>1254</v>
      </c>
      <c r="I567">
        <v>4779</v>
      </c>
      <c r="J567" t="s">
        <v>5584</v>
      </c>
      <c r="K567" t="s">
        <v>5866</v>
      </c>
      <c r="L567" t="s">
        <v>2537</v>
      </c>
      <c r="M567" t="s">
        <v>2537</v>
      </c>
    </row>
    <row r="568" spans="1:13" x14ac:dyDescent="0.3">
      <c r="A568">
        <v>2512</v>
      </c>
      <c r="B568" t="s">
        <v>2039</v>
      </c>
      <c r="C568" t="s">
        <v>5262</v>
      </c>
      <c r="D568" t="s">
        <v>1203</v>
      </c>
      <c r="E568" t="s">
        <v>1204</v>
      </c>
      <c r="F568">
        <v>5501</v>
      </c>
      <c r="G568" t="s">
        <v>5867</v>
      </c>
      <c r="H568" t="s">
        <v>1254</v>
      </c>
      <c r="I568">
        <v>1227.5551399999999</v>
      </c>
      <c r="J568" t="s">
        <v>5868</v>
      </c>
      <c r="K568" t="s">
        <v>5504</v>
      </c>
      <c r="L568" t="s">
        <v>2530</v>
      </c>
      <c r="M568" t="s">
        <v>2537</v>
      </c>
    </row>
    <row r="569" spans="1:13" x14ac:dyDescent="0.3">
      <c r="A569">
        <v>2516</v>
      </c>
      <c r="B569" t="s">
        <v>2041</v>
      </c>
      <c r="C569" t="s">
        <v>5262</v>
      </c>
      <c r="D569" t="s">
        <v>1203</v>
      </c>
      <c r="E569" t="s">
        <v>1204</v>
      </c>
      <c r="F569">
        <v>6666</v>
      </c>
      <c r="G569" t="s">
        <v>5869</v>
      </c>
      <c r="H569" t="s">
        <v>5264</v>
      </c>
      <c r="I569">
        <v>12999.808932600001</v>
      </c>
      <c r="J569" t="s">
        <v>5869</v>
      </c>
      <c r="K569" t="s">
        <v>3788</v>
      </c>
      <c r="L569" t="s">
        <v>2530</v>
      </c>
      <c r="M569" t="s">
        <v>2537</v>
      </c>
    </row>
    <row r="570" spans="1:13" x14ac:dyDescent="0.3">
      <c r="A570">
        <v>2523</v>
      </c>
      <c r="B570" t="s">
        <v>2042</v>
      </c>
      <c r="C570" t="s">
        <v>5262</v>
      </c>
      <c r="D570" t="s">
        <v>1203</v>
      </c>
      <c r="E570" t="s">
        <v>1204</v>
      </c>
      <c r="F570">
        <v>8631</v>
      </c>
      <c r="G570" t="s">
        <v>5870</v>
      </c>
      <c r="H570" t="s">
        <v>5264</v>
      </c>
      <c r="I570">
        <v>179</v>
      </c>
      <c r="J570" t="s">
        <v>5870</v>
      </c>
      <c r="K570" t="s">
        <v>5871</v>
      </c>
      <c r="L570" t="s">
        <v>2530</v>
      </c>
      <c r="M570" t="s">
        <v>2537</v>
      </c>
    </row>
    <row r="571" spans="1:13" x14ac:dyDescent="0.3">
      <c r="A571">
        <v>2523</v>
      </c>
      <c r="B571" t="s">
        <v>2042</v>
      </c>
      <c r="C571" t="s">
        <v>5262</v>
      </c>
      <c r="D571" t="s">
        <v>1203</v>
      </c>
      <c r="E571" t="s">
        <v>1204</v>
      </c>
      <c r="F571">
        <v>8631</v>
      </c>
      <c r="G571" t="s">
        <v>2042</v>
      </c>
      <c r="H571" t="s">
        <v>5264</v>
      </c>
      <c r="I571">
        <v>1256</v>
      </c>
      <c r="J571" t="s">
        <v>2042</v>
      </c>
      <c r="K571" t="s">
        <v>4949</v>
      </c>
      <c r="L571" t="s">
        <v>2530</v>
      </c>
      <c r="M571" t="s">
        <v>2537</v>
      </c>
    </row>
    <row r="572" spans="1:13" x14ac:dyDescent="0.3">
      <c r="A572">
        <v>2523</v>
      </c>
      <c r="B572" t="s">
        <v>2042</v>
      </c>
      <c r="C572" t="s">
        <v>5262</v>
      </c>
      <c r="D572" t="s">
        <v>1203</v>
      </c>
      <c r="E572" t="s">
        <v>1204</v>
      </c>
      <c r="F572">
        <v>8631</v>
      </c>
      <c r="G572" t="s">
        <v>5872</v>
      </c>
      <c r="H572" t="s">
        <v>5264</v>
      </c>
      <c r="I572">
        <v>157</v>
      </c>
      <c r="J572" t="s">
        <v>2042</v>
      </c>
      <c r="K572" t="s">
        <v>4949</v>
      </c>
      <c r="L572" t="s">
        <v>2530</v>
      </c>
      <c r="M572" t="s">
        <v>2537</v>
      </c>
    </row>
    <row r="573" spans="1:13" x14ac:dyDescent="0.3">
      <c r="A573">
        <v>2524</v>
      </c>
      <c r="B573" t="s">
        <v>2043</v>
      </c>
      <c r="C573" t="s">
        <v>5262</v>
      </c>
      <c r="D573" t="s">
        <v>159</v>
      </c>
      <c r="E573" t="s">
        <v>159</v>
      </c>
      <c r="F573">
        <v>6055</v>
      </c>
      <c r="G573" t="s">
        <v>5428</v>
      </c>
      <c r="H573" t="s">
        <v>5264</v>
      </c>
      <c r="I573">
        <v>11996.28260565</v>
      </c>
      <c r="J573" t="s">
        <v>5428</v>
      </c>
      <c r="K573" t="s">
        <v>4952</v>
      </c>
      <c r="L573" t="s">
        <v>2530</v>
      </c>
      <c r="M573" t="s">
        <v>2537</v>
      </c>
    </row>
    <row r="574" spans="1:13" x14ac:dyDescent="0.3">
      <c r="A574">
        <v>2528</v>
      </c>
      <c r="B574" t="s">
        <v>2047</v>
      </c>
      <c r="C574" t="s">
        <v>5262</v>
      </c>
      <c r="D574" t="s">
        <v>159</v>
      </c>
      <c r="E574" t="s">
        <v>159</v>
      </c>
      <c r="F574">
        <v>5675</v>
      </c>
      <c r="G574" t="s">
        <v>5488</v>
      </c>
      <c r="H574" t="s">
        <v>1254</v>
      </c>
      <c r="I574">
        <v>6791</v>
      </c>
      <c r="J574" t="s">
        <v>4167</v>
      </c>
      <c r="K574" t="s">
        <v>5873</v>
      </c>
      <c r="L574" t="s">
        <v>2537</v>
      </c>
      <c r="M574" t="s">
        <v>2537</v>
      </c>
    </row>
    <row r="575" spans="1:13" x14ac:dyDescent="0.3">
      <c r="A575">
        <v>2536</v>
      </c>
      <c r="B575" t="s">
        <v>2050</v>
      </c>
      <c r="C575" t="s">
        <v>5262</v>
      </c>
      <c r="D575" t="s">
        <v>159</v>
      </c>
      <c r="E575" t="s">
        <v>159</v>
      </c>
      <c r="F575">
        <v>8005</v>
      </c>
      <c r="G575" t="s">
        <v>5874</v>
      </c>
      <c r="H575" t="s">
        <v>1254</v>
      </c>
      <c r="I575">
        <v>2671</v>
      </c>
      <c r="J575" t="s">
        <v>5874</v>
      </c>
      <c r="K575" t="s">
        <v>4954</v>
      </c>
      <c r="L575" t="s">
        <v>2530</v>
      </c>
    </row>
    <row r="576" spans="1:13" x14ac:dyDescent="0.3">
      <c r="A576">
        <v>2541</v>
      </c>
      <c r="B576" t="s">
        <v>2051</v>
      </c>
      <c r="C576" t="s">
        <v>5262</v>
      </c>
      <c r="D576" t="s">
        <v>159</v>
      </c>
      <c r="E576" t="s">
        <v>159</v>
      </c>
      <c r="F576">
        <v>6789</v>
      </c>
      <c r="G576" t="s">
        <v>2195</v>
      </c>
      <c r="H576" t="s">
        <v>5264</v>
      </c>
      <c r="I576">
        <v>4390</v>
      </c>
      <c r="J576" t="s">
        <v>2169</v>
      </c>
      <c r="K576" t="s">
        <v>5875</v>
      </c>
      <c r="L576" t="s">
        <v>2537</v>
      </c>
      <c r="M576" t="s">
        <v>2537</v>
      </c>
    </row>
    <row r="577" spans="1:13" x14ac:dyDescent="0.3">
      <c r="A577">
        <v>2597</v>
      </c>
      <c r="B577" t="s">
        <v>2053</v>
      </c>
      <c r="C577" t="s">
        <v>5262</v>
      </c>
      <c r="D577" t="s">
        <v>1203</v>
      </c>
      <c r="E577" t="s">
        <v>1204</v>
      </c>
      <c r="F577">
        <v>8054</v>
      </c>
      <c r="G577" t="s">
        <v>5876</v>
      </c>
      <c r="H577" t="s">
        <v>5264</v>
      </c>
      <c r="I577">
        <v>8412</v>
      </c>
      <c r="J577" t="s">
        <v>5876</v>
      </c>
      <c r="K577" t="s">
        <v>4956</v>
      </c>
      <c r="L577" t="s">
        <v>2530</v>
      </c>
      <c r="M577" t="s">
        <v>2537</v>
      </c>
    </row>
    <row r="578" spans="1:13" x14ac:dyDescent="0.3">
      <c r="A578">
        <v>2602</v>
      </c>
      <c r="B578" t="s">
        <v>2054</v>
      </c>
      <c r="C578" t="s">
        <v>5262</v>
      </c>
      <c r="D578" t="s">
        <v>159</v>
      </c>
      <c r="E578" t="s">
        <v>159</v>
      </c>
      <c r="F578">
        <v>5701</v>
      </c>
      <c r="G578" t="s">
        <v>2054</v>
      </c>
      <c r="H578" t="s">
        <v>5264</v>
      </c>
      <c r="I578">
        <v>5180.2826907999997</v>
      </c>
      <c r="J578" t="s">
        <v>2054</v>
      </c>
      <c r="K578" t="s">
        <v>5877</v>
      </c>
      <c r="L578" t="s">
        <v>2537</v>
      </c>
      <c r="M578" t="s">
        <v>2537</v>
      </c>
    </row>
    <row r="579" spans="1:13" x14ac:dyDescent="0.3">
      <c r="A579">
        <v>2602</v>
      </c>
      <c r="B579" t="s">
        <v>2054</v>
      </c>
      <c r="C579" t="s">
        <v>5262</v>
      </c>
      <c r="D579" t="s">
        <v>159</v>
      </c>
      <c r="E579" t="s">
        <v>159</v>
      </c>
      <c r="F579">
        <v>5701</v>
      </c>
      <c r="G579" t="s">
        <v>2054</v>
      </c>
      <c r="H579" t="s">
        <v>5264</v>
      </c>
      <c r="I579">
        <v>1933.3993455</v>
      </c>
      <c r="J579" t="s">
        <v>2054</v>
      </c>
      <c r="K579" t="s">
        <v>5878</v>
      </c>
      <c r="L579" t="s">
        <v>2530</v>
      </c>
      <c r="M579" t="s">
        <v>2537</v>
      </c>
    </row>
    <row r="580" spans="1:13" x14ac:dyDescent="0.3">
      <c r="A580">
        <v>2603</v>
      </c>
      <c r="B580" t="s">
        <v>2058</v>
      </c>
      <c r="C580" t="s">
        <v>5262</v>
      </c>
      <c r="D580" t="s">
        <v>1203</v>
      </c>
      <c r="E580" t="s">
        <v>1204</v>
      </c>
      <c r="F580">
        <v>6625</v>
      </c>
      <c r="G580" t="s">
        <v>5879</v>
      </c>
      <c r="H580" t="s">
        <v>5264</v>
      </c>
      <c r="I580">
        <v>9207</v>
      </c>
      <c r="J580" t="s">
        <v>5879</v>
      </c>
      <c r="K580" t="s">
        <v>4964</v>
      </c>
      <c r="L580" t="s">
        <v>2530</v>
      </c>
    </row>
    <row r="581" spans="1:13" x14ac:dyDescent="0.3">
      <c r="A581">
        <v>2604</v>
      </c>
      <c r="B581" t="s">
        <v>2063</v>
      </c>
      <c r="C581" t="s">
        <v>5262</v>
      </c>
      <c r="D581" t="s">
        <v>159</v>
      </c>
      <c r="E581" t="s">
        <v>159</v>
      </c>
      <c r="F581">
        <v>8195</v>
      </c>
      <c r="G581" t="s">
        <v>5880</v>
      </c>
      <c r="H581" t="s">
        <v>5264</v>
      </c>
      <c r="I581">
        <v>340</v>
      </c>
      <c r="J581" t="s">
        <v>5880</v>
      </c>
      <c r="K581" t="s">
        <v>4965</v>
      </c>
      <c r="L581" t="s">
        <v>2530</v>
      </c>
      <c r="M581" t="s">
        <v>2537</v>
      </c>
    </row>
    <row r="582" spans="1:13" x14ac:dyDescent="0.3">
      <c r="A582">
        <v>2604</v>
      </c>
      <c r="B582" t="s">
        <v>2063</v>
      </c>
      <c r="C582" t="s">
        <v>5262</v>
      </c>
      <c r="D582" t="s">
        <v>159</v>
      </c>
      <c r="E582" t="s">
        <v>159</v>
      </c>
      <c r="F582">
        <v>8195</v>
      </c>
      <c r="G582" t="s">
        <v>5880</v>
      </c>
      <c r="H582" t="s">
        <v>5264</v>
      </c>
      <c r="I582">
        <v>57</v>
      </c>
      <c r="J582" t="s">
        <v>5880</v>
      </c>
      <c r="K582" t="s">
        <v>4969</v>
      </c>
      <c r="L582" t="s">
        <v>2530</v>
      </c>
      <c r="M582" t="s">
        <v>2537</v>
      </c>
    </row>
    <row r="583" spans="1:13" x14ac:dyDescent="0.3">
      <c r="A583">
        <v>2604</v>
      </c>
      <c r="B583" t="s">
        <v>2063</v>
      </c>
      <c r="C583" t="s">
        <v>5262</v>
      </c>
      <c r="D583" t="s">
        <v>159</v>
      </c>
      <c r="E583" t="s">
        <v>159</v>
      </c>
      <c r="F583">
        <v>8195</v>
      </c>
      <c r="G583" t="s">
        <v>5505</v>
      </c>
      <c r="H583" t="s">
        <v>1254</v>
      </c>
      <c r="I583">
        <v>25</v>
      </c>
      <c r="J583" t="s">
        <v>5881</v>
      </c>
      <c r="K583" t="s">
        <v>5882</v>
      </c>
      <c r="L583" t="s">
        <v>2537</v>
      </c>
      <c r="M583" t="s">
        <v>2537</v>
      </c>
    </row>
    <row r="584" spans="1:13" x14ac:dyDescent="0.3">
      <c r="A584">
        <v>2605</v>
      </c>
      <c r="B584" t="s">
        <v>2066</v>
      </c>
      <c r="C584" t="s">
        <v>5262</v>
      </c>
      <c r="D584" t="s">
        <v>159</v>
      </c>
      <c r="E584" t="s">
        <v>159</v>
      </c>
      <c r="F584">
        <v>5682</v>
      </c>
      <c r="G584" t="s">
        <v>3469</v>
      </c>
      <c r="H584" t="s">
        <v>1254</v>
      </c>
      <c r="I584">
        <v>4914</v>
      </c>
      <c r="J584" t="s">
        <v>3469</v>
      </c>
      <c r="K584" t="s">
        <v>5883</v>
      </c>
      <c r="L584" t="s">
        <v>2537</v>
      </c>
      <c r="M584" t="s">
        <v>2537</v>
      </c>
    </row>
    <row r="585" spans="1:13" x14ac:dyDescent="0.3">
      <c r="A585">
        <v>2610</v>
      </c>
      <c r="B585" t="s">
        <v>2067</v>
      </c>
      <c r="C585" t="s">
        <v>5262</v>
      </c>
      <c r="D585" t="s">
        <v>159</v>
      </c>
      <c r="E585" t="s">
        <v>159</v>
      </c>
      <c r="F585">
        <v>7858</v>
      </c>
      <c r="G585" t="s">
        <v>3732</v>
      </c>
      <c r="H585" t="s">
        <v>5264</v>
      </c>
      <c r="I585">
        <v>2447</v>
      </c>
      <c r="J585" t="s">
        <v>3732</v>
      </c>
      <c r="K585" t="s">
        <v>5843</v>
      </c>
      <c r="L585" t="s">
        <v>2537</v>
      </c>
    </row>
    <row r="586" spans="1:13" x14ac:dyDescent="0.3">
      <c r="A586">
        <v>2618</v>
      </c>
      <c r="B586" t="s">
        <v>2071</v>
      </c>
      <c r="C586" t="s">
        <v>5262</v>
      </c>
      <c r="D586" t="s">
        <v>1203</v>
      </c>
      <c r="E586" t="s">
        <v>1204</v>
      </c>
      <c r="F586">
        <v>8656</v>
      </c>
      <c r="G586" t="s">
        <v>3469</v>
      </c>
      <c r="H586" t="s">
        <v>1254</v>
      </c>
      <c r="I586">
        <v>1022</v>
      </c>
      <c r="J586" t="s">
        <v>3469</v>
      </c>
      <c r="K586" t="s">
        <v>5590</v>
      </c>
      <c r="L586" t="s">
        <v>2537</v>
      </c>
      <c r="M586" t="s">
        <v>2537</v>
      </c>
    </row>
    <row r="587" spans="1:13" x14ac:dyDescent="0.3">
      <c r="A587">
        <v>2626</v>
      </c>
      <c r="B587" t="s">
        <v>2072</v>
      </c>
      <c r="C587" t="s">
        <v>5262</v>
      </c>
      <c r="D587" t="s">
        <v>1203</v>
      </c>
      <c r="E587" t="s">
        <v>1204</v>
      </c>
      <c r="F587">
        <v>5794</v>
      </c>
      <c r="G587" t="s">
        <v>5306</v>
      </c>
      <c r="H587" t="s">
        <v>1254</v>
      </c>
      <c r="I587">
        <v>12772.711231699999</v>
      </c>
      <c r="J587" t="s">
        <v>5884</v>
      </c>
      <c r="K587" t="s">
        <v>5885</v>
      </c>
      <c r="L587" t="s">
        <v>2537</v>
      </c>
      <c r="M587" t="s">
        <v>2530</v>
      </c>
    </row>
    <row r="588" spans="1:13" x14ac:dyDescent="0.3">
      <c r="A588">
        <v>2629</v>
      </c>
      <c r="B588" t="s">
        <v>2073</v>
      </c>
      <c r="C588" t="s">
        <v>5262</v>
      </c>
      <c r="D588" t="s">
        <v>1203</v>
      </c>
      <c r="E588" t="s">
        <v>1204</v>
      </c>
      <c r="F588">
        <v>8904</v>
      </c>
      <c r="G588" t="s">
        <v>5886</v>
      </c>
      <c r="H588" t="s">
        <v>5264</v>
      </c>
      <c r="I588">
        <v>2206</v>
      </c>
      <c r="J588" t="s">
        <v>5887</v>
      </c>
      <c r="K588" t="s">
        <v>5888</v>
      </c>
      <c r="L588" t="s">
        <v>2530</v>
      </c>
      <c r="M588" t="s">
        <v>2537</v>
      </c>
    </row>
    <row r="589" spans="1:13" x14ac:dyDescent="0.3">
      <c r="A589">
        <v>2631</v>
      </c>
      <c r="B589" t="s">
        <v>2075</v>
      </c>
      <c r="C589" t="s">
        <v>5262</v>
      </c>
      <c r="D589" t="s">
        <v>159</v>
      </c>
      <c r="E589" t="s">
        <v>159</v>
      </c>
      <c r="F589">
        <v>5420</v>
      </c>
      <c r="G589" t="s">
        <v>5889</v>
      </c>
      <c r="H589" t="s">
        <v>5264</v>
      </c>
      <c r="I589">
        <v>8876</v>
      </c>
      <c r="J589" t="s">
        <v>5889</v>
      </c>
      <c r="K589" t="s">
        <v>5890</v>
      </c>
      <c r="L589" t="s">
        <v>2530</v>
      </c>
      <c r="M589" t="s">
        <v>2537</v>
      </c>
    </row>
    <row r="590" spans="1:13" x14ac:dyDescent="0.3">
      <c r="A590">
        <v>2633</v>
      </c>
      <c r="B590" t="s">
        <v>2076</v>
      </c>
      <c r="C590" t="s">
        <v>5262</v>
      </c>
      <c r="D590" t="s">
        <v>159</v>
      </c>
      <c r="E590" t="s">
        <v>159</v>
      </c>
      <c r="F590">
        <v>5666</v>
      </c>
      <c r="G590" t="s">
        <v>5891</v>
      </c>
      <c r="H590" t="s">
        <v>1254</v>
      </c>
      <c r="I590">
        <v>6588</v>
      </c>
      <c r="J590" t="s">
        <v>3469</v>
      </c>
      <c r="K590" t="s">
        <v>5269</v>
      </c>
      <c r="L590" t="s">
        <v>2537</v>
      </c>
    </row>
    <row r="591" spans="1:13" x14ac:dyDescent="0.3">
      <c r="A591">
        <v>2635</v>
      </c>
      <c r="B591" t="s">
        <v>2078</v>
      </c>
      <c r="C591" t="s">
        <v>5262</v>
      </c>
      <c r="D591" t="s">
        <v>159</v>
      </c>
      <c r="E591" t="s">
        <v>159</v>
      </c>
      <c r="F591">
        <v>5692</v>
      </c>
      <c r="G591" t="s">
        <v>5892</v>
      </c>
      <c r="H591" t="s">
        <v>5264</v>
      </c>
      <c r="I591">
        <v>7297</v>
      </c>
      <c r="J591" t="s">
        <v>5294</v>
      </c>
      <c r="K591" t="s">
        <v>5893</v>
      </c>
      <c r="L591" t="s">
        <v>2530</v>
      </c>
      <c r="M591" t="s">
        <v>2537</v>
      </c>
    </row>
    <row r="592" spans="1:13" x14ac:dyDescent="0.3">
      <c r="A592">
        <v>2635</v>
      </c>
      <c r="B592" t="s">
        <v>2078</v>
      </c>
      <c r="C592" t="s">
        <v>5262</v>
      </c>
      <c r="D592" t="s">
        <v>159</v>
      </c>
      <c r="E592" t="s">
        <v>159</v>
      </c>
      <c r="F592">
        <v>5692</v>
      </c>
      <c r="G592" t="s">
        <v>5892</v>
      </c>
      <c r="H592" t="s">
        <v>5264</v>
      </c>
      <c r="I592">
        <v>2335</v>
      </c>
      <c r="J592" t="s">
        <v>2078</v>
      </c>
      <c r="K592" t="s">
        <v>4979</v>
      </c>
      <c r="L592" t="s">
        <v>2530</v>
      </c>
      <c r="M592" t="s">
        <v>2530</v>
      </c>
    </row>
    <row r="593" spans="1:13" x14ac:dyDescent="0.3">
      <c r="A593">
        <v>2649</v>
      </c>
      <c r="B593" t="s">
        <v>2079</v>
      </c>
      <c r="C593" t="s">
        <v>5262</v>
      </c>
      <c r="D593" t="s">
        <v>159</v>
      </c>
      <c r="E593" t="s">
        <v>159</v>
      </c>
      <c r="F593">
        <v>8639</v>
      </c>
      <c r="G593" t="s">
        <v>5894</v>
      </c>
      <c r="H593" t="s">
        <v>5264</v>
      </c>
      <c r="I593">
        <v>700800000</v>
      </c>
      <c r="J593" t="s">
        <v>4961</v>
      </c>
      <c r="K593" t="s">
        <v>5895</v>
      </c>
      <c r="L593" t="s">
        <v>2537</v>
      </c>
      <c r="M593" t="s">
        <v>2537</v>
      </c>
    </row>
    <row r="594" spans="1:13" x14ac:dyDescent="0.3">
      <c r="A594">
        <v>2649</v>
      </c>
      <c r="B594" t="s">
        <v>2079</v>
      </c>
      <c r="C594" t="s">
        <v>5262</v>
      </c>
      <c r="D594" t="s">
        <v>159</v>
      </c>
      <c r="E594" t="s">
        <v>159</v>
      </c>
      <c r="F594">
        <v>8639</v>
      </c>
      <c r="G594" t="s">
        <v>5896</v>
      </c>
      <c r="H594" t="s">
        <v>5264</v>
      </c>
      <c r="I594">
        <v>2306800000</v>
      </c>
      <c r="J594" t="s">
        <v>4961</v>
      </c>
      <c r="K594" t="s">
        <v>5895</v>
      </c>
      <c r="L594" t="s">
        <v>2537</v>
      </c>
      <c r="M594" t="s">
        <v>2537</v>
      </c>
    </row>
    <row r="595" spans="1:13" x14ac:dyDescent="0.3">
      <c r="A595">
        <v>2661</v>
      </c>
      <c r="B595" t="s">
        <v>2084</v>
      </c>
      <c r="C595" t="s">
        <v>5262</v>
      </c>
      <c r="D595" t="s">
        <v>159</v>
      </c>
      <c r="E595" t="s">
        <v>159</v>
      </c>
      <c r="F595">
        <v>5527</v>
      </c>
      <c r="G595" t="s">
        <v>3135</v>
      </c>
      <c r="H595" t="s">
        <v>1254</v>
      </c>
      <c r="I595">
        <v>7700</v>
      </c>
      <c r="J595" t="s">
        <v>3135</v>
      </c>
      <c r="K595" t="s">
        <v>3590</v>
      </c>
      <c r="L595" t="s">
        <v>2537</v>
      </c>
      <c r="M595" t="s">
        <v>2537</v>
      </c>
    </row>
    <row r="596" spans="1:13" x14ac:dyDescent="0.3">
      <c r="A596">
        <v>2662</v>
      </c>
      <c r="B596" t="s">
        <v>4980</v>
      </c>
      <c r="C596" t="s">
        <v>5262</v>
      </c>
      <c r="D596" t="s">
        <v>1203</v>
      </c>
      <c r="E596" t="s">
        <v>1204</v>
      </c>
      <c r="F596">
        <v>8092</v>
      </c>
      <c r="G596" t="s">
        <v>5897</v>
      </c>
      <c r="H596" t="s">
        <v>5264</v>
      </c>
      <c r="I596">
        <v>1474.90750071</v>
      </c>
      <c r="J596" t="s">
        <v>5897</v>
      </c>
      <c r="K596" t="s">
        <v>4883</v>
      </c>
      <c r="L596" t="s">
        <v>2537</v>
      </c>
    </row>
    <row r="597" spans="1:13" x14ac:dyDescent="0.3">
      <c r="A597">
        <v>2669</v>
      </c>
      <c r="B597" t="s">
        <v>2085</v>
      </c>
      <c r="C597" t="s">
        <v>5262</v>
      </c>
      <c r="D597" t="s">
        <v>159</v>
      </c>
      <c r="E597" t="s">
        <v>159</v>
      </c>
      <c r="F597">
        <v>5913</v>
      </c>
      <c r="G597" t="s">
        <v>5404</v>
      </c>
      <c r="H597" t="s">
        <v>5264</v>
      </c>
      <c r="I597">
        <v>5510</v>
      </c>
      <c r="J597" t="s">
        <v>5404</v>
      </c>
      <c r="K597" t="s">
        <v>4143</v>
      </c>
      <c r="L597" t="s">
        <v>2530</v>
      </c>
      <c r="M597" t="s">
        <v>2537</v>
      </c>
    </row>
    <row r="598" spans="1:13" x14ac:dyDescent="0.3">
      <c r="A598">
        <v>2679</v>
      </c>
      <c r="B598" t="s">
        <v>2086</v>
      </c>
      <c r="C598" t="s">
        <v>5262</v>
      </c>
      <c r="D598" t="s">
        <v>1203</v>
      </c>
      <c r="E598" t="s">
        <v>1204</v>
      </c>
      <c r="F598">
        <v>5778</v>
      </c>
      <c r="G598" t="s">
        <v>5898</v>
      </c>
      <c r="H598" t="s">
        <v>5264</v>
      </c>
      <c r="I598">
        <v>1085</v>
      </c>
      <c r="J598" t="s">
        <v>5898</v>
      </c>
      <c r="K598" t="s">
        <v>5899</v>
      </c>
      <c r="L598" t="s">
        <v>2530</v>
      </c>
      <c r="M598" t="s">
        <v>2530</v>
      </c>
    </row>
    <row r="599" spans="1:13" x14ac:dyDescent="0.3">
      <c r="A599">
        <v>2683</v>
      </c>
      <c r="B599" t="s">
        <v>871</v>
      </c>
      <c r="C599" t="s">
        <v>5262</v>
      </c>
      <c r="D599" t="s">
        <v>1203</v>
      </c>
      <c r="E599" t="s">
        <v>1204</v>
      </c>
      <c r="F599">
        <v>6775</v>
      </c>
      <c r="G599" t="s">
        <v>5423</v>
      </c>
      <c r="H599" t="s">
        <v>1254</v>
      </c>
      <c r="I599">
        <v>5448</v>
      </c>
      <c r="J599" t="s">
        <v>5423</v>
      </c>
      <c r="K599" t="s">
        <v>5423</v>
      </c>
      <c r="L599" t="s">
        <v>2537</v>
      </c>
    </row>
    <row r="600" spans="1:13" x14ac:dyDescent="0.3">
      <c r="A600">
        <v>2690</v>
      </c>
      <c r="B600" t="s">
        <v>2089</v>
      </c>
      <c r="C600" t="s">
        <v>5262</v>
      </c>
      <c r="D600" t="s">
        <v>159</v>
      </c>
      <c r="E600" t="s">
        <v>159</v>
      </c>
      <c r="F600">
        <v>5764</v>
      </c>
      <c r="G600" t="s">
        <v>5767</v>
      </c>
      <c r="H600" t="s">
        <v>1254</v>
      </c>
      <c r="I600">
        <v>4336</v>
      </c>
      <c r="J600" t="s">
        <v>5767</v>
      </c>
      <c r="K600" t="s">
        <v>5900</v>
      </c>
      <c r="L600" t="s">
        <v>2530</v>
      </c>
      <c r="M600" t="s">
        <v>2530</v>
      </c>
    </row>
    <row r="601" spans="1:13" x14ac:dyDescent="0.3">
      <c r="A601">
        <v>2690</v>
      </c>
      <c r="B601" t="s">
        <v>2089</v>
      </c>
      <c r="C601" t="s">
        <v>5262</v>
      </c>
      <c r="D601" t="s">
        <v>159</v>
      </c>
      <c r="E601" t="s">
        <v>159</v>
      </c>
      <c r="F601">
        <v>5764</v>
      </c>
      <c r="G601" t="s">
        <v>5440</v>
      </c>
      <c r="H601" t="s">
        <v>1254</v>
      </c>
      <c r="I601">
        <v>532</v>
      </c>
      <c r="J601" t="s">
        <v>5440</v>
      </c>
      <c r="K601" t="s">
        <v>5901</v>
      </c>
      <c r="L601" t="s">
        <v>2537</v>
      </c>
      <c r="M601" t="s">
        <v>2537</v>
      </c>
    </row>
    <row r="602" spans="1:13" x14ac:dyDescent="0.3">
      <c r="A602">
        <v>2690</v>
      </c>
      <c r="B602" t="s">
        <v>2089</v>
      </c>
      <c r="C602" t="s">
        <v>5262</v>
      </c>
      <c r="D602" t="s">
        <v>159</v>
      </c>
      <c r="E602" t="s">
        <v>159</v>
      </c>
      <c r="F602">
        <v>5764</v>
      </c>
      <c r="G602" t="s">
        <v>2169</v>
      </c>
      <c r="H602" t="s">
        <v>1254</v>
      </c>
      <c r="I602">
        <v>871</v>
      </c>
      <c r="J602" t="s">
        <v>2169</v>
      </c>
      <c r="K602" t="s">
        <v>5902</v>
      </c>
      <c r="L602" t="s">
        <v>2537</v>
      </c>
      <c r="M602" t="s">
        <v>2537</v>
      </c>
    </row>
    <row r="603" spans="1:13" x14ac:dyDescent="0.3">
      <c r="A603">
        <v>2690</v>
      </c>
      <c r="B603" t="s">
        <v>2089</v>
      </c>
      <c r="C603" t="s">
        <v>5262</v>
      </c>
      <c r="D603" t="s">
        <v>159</v>
      </c>
      <c r="E603" t="s">
        <v>159</v>
      </c>
      <c r="F603">
        <v>5764</v>
      </c>
      <c r="G603" t="s">
        <v>1107</v>
      </c>
      <c r="H603" t="s">
        <v>1254</v>
      </c>
      <c r="I603">
        <v>329</v>
      </c>
      <c r="J603" t="s">
        <v>1107</v>
      </c>
      <c r="K603" t="s">
        <v>5903</v>
      </c>
      <c r="L603" t="s">
        <v>2537</v>
      </c>
      <c r="M603" t="s">
        <v>2537</v>
      </c>
    </row>
    <row r="604" spans="1:13" x14ac:dyDescent="0.3">
      <c r="A604">
        <v>2691</v>
      </c>
      <c r="B604" t="s">
        <v>2091</v>
      </c>
      <c r="C604" t="s">
        <v>5262</v>
      </c>
      <c r="D604" t="s">
        <v>159</v>
      </c>
      <c r="E604" t="s">
        <v>159</v>
      </c>
      <c r="F604">
        <v>5607</v>
      </c>
      <c r="G604" t="s">
        <v>2091</v>
      </c>
      <c r="H604" t="s">
        <v>1254</v>
      </c>
      <c r="I604">
        <v>681.29310269999996</v>
      </c>
      <c r="J604" t="s">
        <v>5453</v>
      </c>
      <c r="K604" t="s">
        <v>5904</v>
      </c>
      <c r="L604" t="s">
        <v>2537</v>
      </c>
      <c r="M604" t="s">
        <v>2537</v>
      </c>
    </row>
    <row r="605" spans="1:13" x14ac:dyDescent="0.3">
      <c r="A605">
        <v>2697</v>
      </c>
      <c r="B605" t="s">
        <v>2092</v>
      </c>
      <c r="C605" t="s">
        <v>5262</v>
      </c>
      <c r="D605" t="s">
        <v>159</v>
      </c>
      <c r="E605" t="s">
        <v>159</v>
      </c>
      <c r="F605">
        <v>8063</v>
      </c>
      <c r="G605" t="s">
        <v>3320</v>
      </c>
      <c r="H605" t="s">
        <v>5264</v>
      </c>
      <c r="I605">
        <v>1758</v>
      </c>
      <c r="J605" t="s">
        <v>3320</v>
      </c>
      <c r="K605" t="s">
        <v>4989</v>
      </c>
      <c r="L605" t="s">
        <v>2530</v>
      </c>
      <c r="M605" t="s">
        <v>2537</v>
      </c>
    </row>
    <row r="606" spans="1:13" x14ac:dyDescent="0.3">
      <c r="A606">
        <v>2697</v>
      </c>
      <c r="B606" t="s">
        <v>2092</v>
      </c>
      <c r="C606" t="s">
        <v>5262</v>
      </c>
      <c r="D606" t="s">
        <v>159</v>
      </c>
      <c r="E606" t="s">
        <v>159</v>
      </c>
      <c r="F606">
        <v>8063</v>
      </c>
      <c r="G606" t="s">
        <v>1839</v>
      </c>
      <c r="H606" t="s">
        <v>1254</v>
      </c>
      <c r="I606">
        <v>900</v>
      </c>
      <c r="J606" t="s">
        <v>1839</v>
      </c>
      <c r="K606" t="s">
        <v>4764</v>
      </c>
      <c r="L606" t="s">
        <v>2537</v>
      </c>
      <c r="M606" t="s">
        <v>2530</v>
      </c>
    </row>
    <row r="607" spans="1:13" x14ac:dyDescent="0.3">
      <c r="A607">
        <v>2697</v>
      </c>
      <c r="B607" t="s">
        <v>2092</v>
      </c>
      <c r="C607" t="s">
        <v>5262</v>
      </c>
      <c r="D607" t="s">
        <v>159</v>
      </c>
      <c r="E607" t="s">
        <v>159</v>
      </c>
      <c r="F607">
        <v>8063</v>
      </c>
      <c r="G607" t="s">
        <v>3320</v>
      </c>
      <c r="H607" t="s">
        <v>1254</v>
      </c>
      <c r="I607">
        <v>1000</v>
      </c>
      <c r="J607" t="s">
        <v>5689</v>
      </c>
      <c r="K607" t="s">
        <v>5905</v>
      </c>
      <c r="L607" t="s">
        <v>2530</v>
      </c>
      <c r="M607" t="s">
        <v>2537</v>
      </c>
    </row>
    <row r="608" spans="1:13" x14ac:dyDescent="0.3">
      <c r="A608">
        <v>2697</v>
      </c>
      <c r="B608" t="s">
        <v>2092</v>
      </c>
      <c r="C608" t="s">
        <v>5262</v>
      </c>
      <c r="D608" t="s">
        <v>159</v>
      </c>
      <c r="E608" t="s">
        <v>159</v>
      </c>
      <c r="F608">
        <v>8063</v>
      </c>
      <c r="G608" t="s">
        <v>1483</v>
      </c>
      <c r="H608" t="s">
        <v>1254</v>
      </c>
      <c r="I608">
        <v>245</v>
      </c>
      <c r="J608" t="s">
        <v>1483</v>
      </c>
      <c r="K608" t="s">
        <v>4763</v>
      </c>
      <c r="L608" t="s">
        <v>2537</v>
      </c>
      <c r="M608" t="s">
        <v>2530</v>
      </c>
    </row>
    <row r="609" spans="1:13" x14ac:dyDescent="0.3">
      <c r="A609">
        <v>2704</v>
      </c>
      <c r="B609" t="s">
        <v>2096</v>
      </c>
      <c r="C609" t="s">
        <v>5262</v>
      </c>
      <c r="D609" t="s">
        <v>159</v>
      </c>
      <c r="E609" t="s">
        <v>159</v>
      </c>
      <c r="F609">
        <v>7853</v>
      </c>
      <c r="G609" t="s">
        <v>5906</v>
      </c>
      <c r="H609" t="s">
        <v>1254</v>
      </c>
      <c r="I609">
        <v>6924</v>
      </c>
      <c r="J609" t="s">
        <v>4167</v>
      </c>
      <c r="K609" t="s">
        <v>5489</v>
      </c>
      <c r="L609" t="s">
        <v>2537</v>
      </c>
      <c r="M609" t="s">
        <v>2537</v>
      </c>
    </row>
    <row r="610" spans="1:13" x14ac:dyDescent="0.3">
      <c r="A610">
        <v>2723</v>
      </c>
      <c r="B610" t="s">
        <v>2098</v>
      </c>
      <c r="C610" t="s">
        <v>5262</v>
      </c>
      <c r="D610" t="s">
        <v>159</v>
      </c>
      <c r="E610" t="s">
        <v>159</v>
      </c>
      <c r="F610">
        <v>5513</v>
      </c>
      <c r="G610" t="s">
        <v>3135</v>
      </c>
      <c r="H610" t="s">
        <v>1254</v>
      </c>
      <c r="I610">
        <v>4000</v>
      </c>
      <c r="J610" t="s">
        <v>3135</v>
      </c>
      <c r="K610" t="s">
        <v>5907</v>
      </c>
      <c r="L610" t="s">
        <v>2537</v>
      </c>
      <c r="M610" t="s">
        <v>2537</v>
      </c>
    </row>
    <row r="611" spans="1:13" x14ac:dyDescent="0.3">
      <c r="A611">
        <v>2751</v>
      </c>
      <c r="B611" t="s">
        <v>2099</v>
      </c>
      <c r="C611" t="s">
        <v>5262</v>
      </c>
      <c r="D611" t="s">
        <v>159</v>
      </c>
      <c r="E611" t="s">
        <v>159</v>
      </c>
      <c r="F611">
        <v>5933</v>
      </c>
      <c r="G611" t="s">
        <v>5908</v>
      </c>
      <c r="H611" t="s">
        <v>1254</v>
      </c>
      <c r="I611">
        <v>1643</v>
      </c>
      <c r="J611" t="s">
        <v>5908</v>
      </c>
      <c r="K611" t="s">
        <v>4992</v>
      </c>
      <c r="L611" t="s">
        <v>2530</v>
      </c>
      <c r="M611" t="s">
        <v>2537</v>
      </c>
    </row>
    <row r="612" spans="1:13" x14ac:dyDescent="0.3">
      <c r="A612">
        <v>2766</v>
      </c>
      <c r="B612" t="s">
        <v>2101</v>
      </c>
      <c r="C612" t="s">
        <v>5262</v>
      </c>
      <c r="D612" t="s">
        <v>159</v>
      </c>
      <c r="E612" t="s">
        <v>159</v>
      </c>
      <c r="F612">
        <v>5594</v>
      </c>
      <c r="G612" t="s">
        <v>5909</v>
      </c>
      <c r="H612" t="s">
        <v>5264</v>
      </c>
      <c r="I612">
        <v>4587</v>
      </c>
      <c r="J612" t="s">
        <v>5909</v>
      </c>
      <c r="K612" t="s">
        <v>4995</v>
      </c>
      <c r="L612" t="s">
        <v>2530</v>
      </c>
      <c r="M612" t="s">
        <v>2537</v>
      </c>
    </row>
    <row r="613" spans="1:13" x14ac:dyDescent="0.3">
      <c r="A613">
        <v>2782</v>
      </c>
      <c r="B613" t="s">
        <v>2103</v>
      </c>
      <c r="C613" t="s">
        <v>5262</v>
      </c>
      <c r="D613" t="s">
        <v>159</v>
      </c>
      <c r="E613" t="s">
        <v>159</v>
      </c>
      <c r="F613">
        <v>8067</v>
      </c>
      <c r="G613" t="s">
        <v>2103</v>
      </c>
      <c r="H613" t="s">
        <v>1254</v>
      </c>
      <c r="I613">
        <v>12559</v>
      </c>
      <c r="J613" t="s">
        <v>5326</v>
      </c>
      <c r="K613" t="s">
        <v>5290</v>
      </c>
      <c r="L613" t="s">
        <v>2537</v>
      </c>
      <c r="M613" t="s">
        <v>2537</v>
      </c>
    </row>
    <row r="614" spans="1:13" x14ac:dyDescent="0.3">
      <c r="A614">
        <v>2789</v>
      </c>
      <c r="B614" t="s">
        <v>2106</v>
      </c>
      <c r="C614" t="s">
        <v>5262</v>
      </c>
      <c r="D614" t="s">
        <v>1203</v>
      </c>
      <c r="E614" t="s">
        <v>1204</v>
      </c>
      <c r="F614">
        <v>5726</v>
      </c>
      <c r="G614" t="s">
        <v>5910</v>
      </c>
      <c r="H614" t="s">
        <v>1254</v>
      </c>
      <c r="I614">
        <v>837</v>
      </c>
      <c r="J614" t="s">
        <v>5910</v>
      </c>
      <c r="K614" t="s">
        <v>4998</v>
      </c>
      <c r="L614" t="s">
        <v>2530</v>
      </c>
      <c r="M614" t="s">
        <v>2537</v>
      </c>
    </row>
    <row r="615" spans="1:13" x14ac:dyDescent="0.3">
      <c r="A615">
        <v>2790</v>
      </c>
      <c r="B615" t="s">
        <v>763</v>
      </c>
      <c r="C615" t="s">
        <v>5262</v>
      </c>
      <c r="D615" t="s">
        <v>1203</v>
      </c>
      <c r="E615" t="s">
        <v>1204</v>
      </c>
      <c r="F615">
        <v>5830</v>
      </c>
      <c r="G615" t="s">
        <v>5911</v>
      </c>
      <c r="H615" t="s">
        <v>1254</v>
      </c>
      <c r="I615">
        <v>7280</v>
      </c>
      <c r="J615" t="s">
        <v>763</v>
      </c>
      <c r="K615" t="s">
        <v>5000</v>
      </c>
      <c r="L615" t="s">
        <v>2530</v>
      </c>
    </row>
    <row r="616" spans="1:13" x14ac:dyDescent="0.3">
      <c r="A616">
        <v>2793</v>
      </c>
      <c r="B616" t="s">
        <v>2107</v>
      </c>
      <c r="C616" t="s">
        <v>5262</v>
      </c>
      <c r="D616" t="s">
        <v>1203</v>
      </c>
      <c r="E616" t="s">
        <v>1204</v>
      </c>
      <c r="F616">
        <v>5881</v>
      </c>
      <c r="G616" t="s">
        <v>2107</v>
      </c>
      <c r="H616" t="s">
        <v>5264</v>
      </c>
      <c r="I616">
        <v>4237</v>
      </c>
      <c r="J616" t="s">
        <v>2107</v>
      </c>
      <c r="K616" t="s">
        <v>5912</v>
      </c>
      <c r="L616" t="s">
        <v>2530</v>
      </c>
      <c r="M616" t="s">
        <v>2537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F2913-222D-4C67-9F9F-AE68709147E7}">
  <sheetPr codeName="Sheet12">
    <tabColor theme="1"/>
  </sheetPr>
  <dimension ref="A1"/>
  <sheetViews>
    <sheetView workbookViewId="0"/>
  </sheetViews>
  <sheetFormatPr defaultRowHeight="14.4" x14ac:dyDescent="0.3"/>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9371B-F421-4958-ADFD-AFF2D1C1D262}">
  <sheetPr codeName="Sheet9">
    <tabColor theme="9"/>
  </sheetPr>
  <dimension ref="A1:P929"/>
  <sheetViews>
    <sheetView topLeftCell="A375" zoomScale="70" zoomScaleNormal="70" workbookViewId="0">
      <selection activeCell="A794" sqref="A794"/>
    </sheetView>
  </sheetViews>
  <sheetFormatPr defaultRowHeight="14.4" outlineLevelRow="1" x14ac:dyDescent="0.3"/>
  <cols>
    <col min="1" max="2" width="92.109375" customWidth="1"/>
    <col min="3" max="3" width="65.109375" bestFit="1" customWidth="1"/>
    <col min="4" max="4" width="14.33203125" bestFit="1" customWidth="1"/>
    <col min="5" max="5" width="19.6640625" bestFit="1" customWidth="1"/>
    <col min="6" max="6" width="19.88671875" bestFit="1" customWidth="1"/>
    <col min="7" max="7" width="25.44140625" customWidth="1"/>
    <col min="8" max="8" width="11.6640625" customWidth="1"/>
    <col min="9" max="9" width="22.44140625" customWidth="1"/>
  </cols>
  <sheetData>
    <row r="1" spans="1:10" ht="25.8" x14ac:dyDescent="0.5">
      <c r="A1" s="74" t="s">
        <v>5913</v>
      </c>
      <c r="B1" s="74"/>
      <c r="C1" s="70"/>
      <c r="D1" s="70"/>
      <c r="E1" s="70"/>
      <c r="F1" s="70"/>
      <c r="G1" s="70"/>
      <c r="H1" s="70"/>
      <c r="I1" s="70"/>
      <c r="J1" s="320"/>
    </row>
    <row r="2" spans="1:10" ht="144" customHeight="1" x14ac:dyDescent="0.3">
      <c r="A2" s="559" t="s">
        <v>5914</v>
      </c>
      <c r="B2" s="559"/>
      <c r="C2" s="559"/>
      <c r="D2" s="559"/>
      <c r="E2" s="559"/>
      <c r="F2" s="70"/>
      <c r="G2" s="70"/>
      <c r="H2" s="70"/>
      <c r="I2" s="70"/>
    </row>
    <row r="3" spans="1:10" ht="23.4" x14ac:dyDescent="0.45">
      <c r="A3" s="585" t="s">
        <v>454</v>
      </c>
      <c r="B3" s="585"/>
      <c r="C3" s="586"/>
      <c r="D3" s="586"/>
      <c r="E3" s="586"/>
      <c r="F3" s="586"/>
      <c r="G3" s="586"/>
      <c r="H3" s="586"/>
      <c r="I3" s="166"/>
    </row>
    <row r="4" spans="1:10" ht="47.25" customHeight="1" x14ac:dyDescent="0.3">
      <c r="A4" s="557" t="s">
        <v>5915</v>
      </c>
      <c r="B4" s="557"/>
      <c r="C4" s="557"/>
      <c r="D4" s="557"/>
      <c r="E4" s="557"/>
      <c r="F4" s="557"/>
      <c r="G4" s="557"/>
      <c r="H4" s="557"/>
      <c r="I4" s="555"/>
    </row>
    <row r="5" spans="1:10" x14ac:dyDescent="0.3">
      <c r="A5" s="65" t="s">
        <v>104</v>
      </c>
      <c r="B5" s="63"/>
      <c r="C5" s="313" t="s">
        <v>1035</v>
      </c>
      <c r="D5" s="66">
        <v>10</v>
      </c>
      <c r="E5" s="66">
        <v>10</v>
      </c>
      <c r="F5" s="66">
        <v>10</v>
      </c>
      <c r="G5" s="66">
        <v>10</v>
      </c>
      <c r="H5" s="66">
        <v>10</v>
      </c>
      <c r="I5" s="66"/>
      <c r="J5" s="321"/>
    </row>
    <row r="6" spans="1:10" x14ac:dyDescent="0.3">
      <c r="A6" s="122" t="s">
        <v>5</v>
      </c>
      <c r="B6" s="122" t="s">
        <v>847</v>
      </c>
      <c r="C6" s="122" t="s">
        <v>193</v>
      </c>
      <c r="D6" s="123">
        <v>2025</v>
      </c>
      <c r="E6" s="123">
        <v>2030</v>
      </c>
      <c r="F6" s="123">
        <v>2035</v>
      </c>
      <c r="G6" s="123">
        <v>2040</v>
      </c>
      <c r="H6" s="123">
        <v>2045</v>
      </c>
      <c r="I6" s="123" t="s">
        <v>153</v>
      </c>
    </row>
    <row r="7" spans="1:10" hidden="1" outlineLevel="1" x14ac:dyDescent="0.3">
      <c r="A7" s="63" t="s">
        <v>104</v>
      </c>
      <c r="B7" s="63" t="s">
        <v>855</v>
      </c>
      <c r="C7" s="63" t="s">
        <v>747</v>
      </c>
      <c r="D7" s="66">
        <v>10</v>
      </c>
      <c r="E7" s="66">
        <v>10</v>
      </c>
      <c r="F7" s="66">
        <v>10</v>
      </c>
      <c r="G7" s="66">
        <v>10</v>
      </c>
      <c r="H7" s="66">
        <v>10</v>
      </c>
      <c r="I7" s="66"/>
    </row>
    <row r="8" spans="1:10" hidden="1" outlineLevel="1" x14ac:dyDescent="0.3">
      <c r="A8" s="63" t="s">
        <v>104</v>
      </c>
      <c r="B8" s="63" t="s">
        <v>855</v>
      </c>
      <c r="C8" s="63" t="s">
        <v>751</v>
      </c>
      <c r="D8" s="66">
        <v>10</v>
      </c>
      <c r="E8" s="66">
        <v>10</v>
      </c>
      <c r="F8" s="66">
        <v>10</v>
      </c>
      <c r="G8" s="66">
        <v>10</v>
      </c>
      <c r="H8" s="66">
        <v>10</v>
      </c>
      <c r="I8" s="66"/>
    </row>
    <row r="9" spans="1:10" hidden="1" outlineLevel="1" x14ac:dyDescent="0.3">
      <c r="A9" s="63" t="s">
        <v>104</v>
      </c>
      <c r="B9" s="63" t="s">
        <v>855</v>
      </c>
      <c r="C9" s="63" t="s">
        <v>755</v>
      </c>
      <c r="D9" s="66">
        <v>10</v>
      </c>
      <c r="E9" s="66">
        <v>10</v>
      </c>
      <c r="F9" s="66">
        <v>10</v>
      </c>
      <c r="G9" s="66">
        <v>10</v>
      </c>
      <c r="H9" s="66">
        <v>10</v>
      </c>
      <c r="I9" s="66"/>
    </row>
    <row r="10" spans="1:10" hidden="1" outlineLevel="1" x14ac:dyDescent="0.3">
      <c r="A10" s="63" t="s">
        <v>104</v>
      </c>
      <c r="B10" s="63" t="s">
        <v>855</v>
      </c>
      <c r="C10" s="63" t="s">
        <v>758</v>
      </c>
      <c r="D10" s="66">
        <v>10</v>
      </c>
      <c r="E10" s="66">
        <v>10</v>
      </c>
      <c r="F10" s="66">
        <v>10</v>
      </c>
      <c r="G10" s="66">
        <v>10</v>
      </c>
      <c r="H10" s="66">
        <v>10</v>
      </c>
      <c r="I10" s="66"/>
    </row>
    <row r="11" spans="1:10" hidden="1" outlineLevel="1" x14ac:dyDescent="0.3">
      <c r="A11" s="63" t="s">
        <v>104</v>
      </c>
      <c r="B11" s="63" t="s">
        <v>855</v>
      </c>
      <c r="C11" s="63" t="s">
        <v>761</v>
      </c>
      <c r="D11" s="66">
        <v>10</v>
      </c>
      <c r="E11" s="66">
        <v>10</v>
      </c>
      <c r="F11" s="66">
        <v>10</v>
      </c>
      <c r="G11" s="66">
        <v>10</v>
      </c>
      <c r="H11" s="66">
        <v>10</v>
      </c>
      <c r="I11" s="66"/>
    </row>
    <row r="12" spans="1:10" hidden="1" outlineLevel="1" x14ac:dyDescent="0.3">
      <c r="A12" s="63" t="s">
        <v>104</v>
      </c>
      <c r="B12" s="63" t="s">
        <v>855</v>
      </c>
      <c r="C12" s="63" t="s">
        <v>763</v>
      </c>
      <c r="D12" s="66">
        <v>10</v>
      </c>
      <c r="E12" s="66">
        <v>10</v>
      </c>
      <c r="F12" s="66">
        <v>10</v>
      </c>
      <c r="G12" s="66">
        <v>10</v>
      </c>
      <c r="H12" s="66">
        <v>10</v>
      </c>
      <c r="I12" s="66"/>
    </row>
    <row r="13" spans="1:10" hidden="1" outlineLevel="1" x14ac:dyDescent="0.3">
      <c r="A13" s="63" t="s">
        <v>104</v>
      </c>
      <c r="B13" s="63" t="s">
        <v>855</v>
      </c>
      <c r="C13" s="63" t="s">
        <v>765</v>
      </c>
      <c r="D13" s="66">
        <v>10</v>
      </c>
      <c r="E13" s="66">
        <v>10</v>
      </c>
      <c r="F13" s="66">
        <v>10</v>
      </c>
      <c r="G13" s="66">
        <v>10</v>
      </c>
      <c r="H13" s="66">
        <v>10</v>
      </c>
      <c r="I13" s="66"/>
    </row>
    <row r="14" spans="1:10" hidden="1" outlineLevel="1" x14ac:dyDescent="0.3">
      <c r="A14" s="63" t="s">
        <v>104</v>
      </c>
      <c r="B14" s="63" t="s">
        <v>855</v>
      </c>
      <c r="C14" s="63" t="s">
        <v>768</v>
      </c>
      <c r="D14" s="66">
        <v>10</v>
      </c>
      <c r="E14" s="66">
        <v>10</v>
      </c>
      <c r="F14" s="66">
        <v>10</v>
      </c>
      <c r="G14" s="66">
        <v>10</v>
      </c>
      <c r="H14" s="66">
        <v>10</v>
      </c>
      <c r="I14" s="66"/>
    </row>
    <row r="15" spans="1:10" hidden="1" outlineLevel="1" x14ac:dyDescent="0.3">
      <c r="A15" s="63" t="s">
        <v>104</v>
      </c>
      <c r="B15" s="63" t="s">
        <v>855</v>
      </c>
      <c r="C15" s="63" t="s">
        <v>771</v>
      </c>
      <c r="D15" s="66">
        <v>10</v>
      </c>
      <c r="E15" s="66">
        <v>10</v>
      </c>
      <c r="F15" s="66">
        <v>10</v>
      </c>
      <c r="G15" s="66">
        <v>10</v>
      </c>
      <c r="H15" s="66">
        <v>10</v>
      </c>
      <c r="I15" s="66"/>
    </row>
    <row r="16" spans="1:10" hidden="1" outlineLevel="1" x14ac:dyDescent="0.3">
      <c r="A16" s="63" t="s">
        <v>104</v>
      </c>
      <c r="B16" s="63" t="s">
        <v>855</v>
      </c>
      <c r="C16" s="63" t="s">
        <v>772</v>
      </c>
      <c r="D16" s="66">
        <v>10</v>
      </c>
      <c r="E16" s="66">
        <v>10</v>
      </c>
      <c r="F16" s="66">
        <v>10</v>
      </c>
      <c r="G16" s="66">
        <v>10</v>
      </c>
      <c r="H16" s="66">
        <v>10</v>
      </c>
      <c r="I16" s="66"/>
    </row>
    <row r="17" spans="1:9" hidden="1" outlineLevel="1" x14ac:dyDescent="0.3">
      <c r="A17" s="63" t="s">
        <v>104</v>
      </c>
      <c r="B17" s="63" t="s">
        <v>855</v>
      </c>
      <c r="C17" s="63" t="s">
        <v>774</v>
      </c>
      <c r="D17" s="66">
        <v>10</v>
      </c>
      <c r="E17" s="66">
        <v>10</v>
      </c>
      <c r="F17" s="66">
        <v>10</v>
      </c>
      <c r="G17" s="66">
        <v>10</v>
      </c>
      <c r="H17" s="66">
        <v>10</v>
      </c>
      <c r="I17" s="66"/>
    </row>
    <row r="18" spans="1:9" hidden="1" outlineLevel="1" x14ac:dyDescent="0.3">
      <c r="A18" s="63" t="s">
        <v>104</v>
      </c>
      <c r="B18" s="63" t="s">
        <v>855</v>
      </c>
      <c r="C18" s="63" t="s">
        <v>775</v>
      </c>
      <c r="D18" s="66">
        <v>10</v>
      </c>
      <c r="E18" s="66">
        <v>10</v>
      </c>
      <c r="F18" s="66">
        <v>10</v>
      </c>
      <c r="G18" s="66">
        <v>10</v>
      </c>
      <c r="H18" s="66">
        <v>10</v>
      </c>
      <c r="I18" s="66"/>
    </row>
    <row r="19" spans="1:9" hidden="1" outlineLevel="1" x14ac:dyDescent="0.3">
      <c r="A19" s="63" t="s">
        <v>104</v>
      </c>
      <c r="B19" s="63" t="s">
        <v>855</v>
      </c>
      <c r="C19" s="63" t="s">
        <v>779</v>
      </c>
      <c r="D19" s="66">
        <v>10</v>
      </c>
      <c r="E19" s="66">
        <v>10</v>
      </c>
      <c r="F19" s="66">
        <v>10</v>
      </c>
      <c r="G19" s="66">
        <v>10</v>
      </c>
      <c r="H19" s="66">
        <v>10</v>
      </c>
      <c r="I19" s="66"/>
    </row>
    <row r="20" spans="1:9" hidden="1" outlineLevel="1" x14ac:dyDescent="0.3">
      <c r="A20" s="63" t="s">
        <v>104</v>
      </c>
      <c r="B20" s="63" t="s">
        <v>894</v>
      </c>
      <c r="C20" s="63" t="s">
        <v>781</v>
      </c>
      <c r="D20" s="66">
        <v>10</v>
      </c>
      <c r="E20" s="66">
        <v>10</v>
      </c>
      <c r="F20" s="66">
        <v>10</v>
      </c>
      <c r="G20" s="66">
        <v>10</v>
      </c>
      <c r="H20" s="66">
        <v>10</v>
      </c>
      <c r="I20" s="66"/>
    </row>
    <row r="21" spans="1:9" hidden="1" outlineLevel="1" x14ac:dyDescent="0.3">
      <c r="A21" s="63" t="s">
        <v>104</v>
      </c>
      <c r="B21" s="63" t="s">
        <v>894</v>
      </c>
      <c r="C21" s="63" t="s">
        <v>783</v>
      </c>
      <c r="D21" s="66">
        <v>10</v>
      </c>
      <c r="E21" s="66">
        <v>10</v>
      </c>
      <c r="F21" s="66">
        <v>10</v>
      </c>
      <c r="G21" s="66">
        <v>10</v>
      </c>
      <c r="H21" s="66">
        <v>10</v>
      </c>
      <c r="I21" s="66"/>
    </row>
    <row r="22" spans="1:9" hidden="1" outlineLevel="1" x14ac:dyDescent="0.3">
      <c r="A22" s="63" t="s">
        <v>104</v>
      </c>
      <c r="B22" s="63" t="s">
        <v>894</v>
      </c>
      <c r="C22" s="63" t="s">
        <v>785</v>
      </c>
      <c r="D22" s="66">
        <v>10</v>
      </c>
      <c r="E22" s="66">
        <v>10</v>
      </c>
      <c r="F22" s="66">
        <v>10</v>
      </c>
      <c r="G22" s="66">
        <v>10</v>
      </c>
      <c r="H22" s="66">
        <v>10</v>
      </c>
      <c r="I22" s="66"/>
    </row>
    <row r="23" spans="1:9" hidden="1" outlineLevel="1" x14ac:dyDescent="0.3">
      <c r="A23" s="63" t="s">
        <v>104</v>
      </c>
      <c r="B23" s="63" t="s">
        <v>894</v>
      </c>
      <c r="C23" s="63" t="s">
        <v>787</v>
      </c>
      <c r="D23" s="66">
        <v>10</v>
      </c>
      <c r="E23" s="66">
        <v>10</v>
      </c>
      <c r="F23" s="66">
        <v>10</v>
      </c>
      <c r="G23" s="66">
        <v>10</v>
      </c>
      <c r="H23" s="66">
        <v>10</v>
      </c>
      <c r="I23" s="66"/>
    </row>
    <row r="24" spans="1:9" hidden="1" outlineLevel="1" x14ac:dyDescent="0.3">
      <c r="A24" s="63" t="s">
        <v>104</v>
      </c>
      <c r="B24" s="63" t="s">
        <v>894</v>
      </c>
      <c r="C24" s="63" t="s">
        <v>788</v>
      </c>
      <c r="D24" s="66">
        <v>10</v>
      </c>
      <c r="E24" s="66">
        <v>10</v>
      </c>
      <c r="F24" s="66">
        <v>10</v>
      </c>
      <c r="G24" s="66">
        <v>10</v>
      </c>
      <c r="H24" s="66">
        <v>10</v>
      </c>
      <c r="I24" s="66"/>
    </row>
    <row r="25" spans="1:9" hidden="1" outlineLevel="1" x14ac:dyDescent="0.3">
      <c r="A25" s="63" t="s">
        <v>104</v>
      </c>
      <c r="B25" s="63" t="s">
        <v>894</v>
      </c>
      <c r="C25" s="63" t="s">
        <v>789</v>
      </c>
      <c r="D25" s="66">
        <v>10</v>
      </c>
      <c r="E25" s="66">
        <v>10</v>
      </c>
      <c r="F25" s="66">
        <v>10</v>
      </c>
      <c r="G25" s="66">
        <v>10</v>
      </c>
      <c r="H25" s="66">
        <v>10</v>
      </c>
      <c r="I25" s="66"/>
    </row>
    <row r="26" spans="1:9" hidden="1" outlineLevel="1" x14ac:dyDescent="0.3">
      <c r="A26" s="63" t="s">
        <v>104</v>
      </c>
      <c r="B26" s="63" t="s">
        <v>894</v>
      </c>
      <c r="C26" s="63" t="s">
        <v>790</v>
      </c>
      <c r="D26" s="66">
        <v>10</v>
      </c>
      <c r="E26" s="66">
        <v>10</v>
      </c>
      <c r="F26" s="66">
        <v>10</v>
      </c>
      <c r="G26" s="66">
        <v>10</v>
      </c>
      <c r="H26" s="66">
        <v>10</v>
      </c>
      <c r="I26" s="66"/>
    </row>
    <row r="27" spans="1:9" hidden="1" outlineLevel="1" x14ac:dyDescent="0.3">
      <c r="A27" s="63" t="s">
        <v>104</v>
      </c>
      <c r="B27" s="63" t="s">
        <v>894</v>
      </c>
      <c r="C27" s="63" t="s">
        <v>793</v>
      </c>
      <c r="D27" s="66">
        <v>10</v>
      </c>
      <c r="E27" s="66">
        <v>10</v>
      </c>
      <c r="F27" s="66">
        <v>10</v>
      </c>
      <c r="G27" s="66">
        <v>10</v>
      </c>
      <c r="H27" s="66">
        <v>10</v>
      </c>
      <c r="I27" s="66"/>
    </row>
    <row r="28" spans="1:9" hidden="1" outlineLevel="1" x14ac:dyDescent="0.3">
      <c r="A28" s="63" t="s">
        <v>104</v>
      </c>
      <c r="B28" s="63" t="s">
        <v>894</v>
      </c>
      <c r="C28" s="63" t="s">
        <v>795</v>
      </c>
      <c r="D28" s="66">
        <v>10</v>
      </c>
      <c r="E28" s="66">
        <v>10</v>
      </c>
      <c r="F28" s="66">
        <v>10</v>
      </c>
      <c r="G28" s="66">
        <v>10</v>
      </c>
      <c r="H28" s="66">
        <v>10</v>
      </c>
      <c r="I28" s="66"/>
    </row>
    <row r="29" spans="1:9" hidden="1" outlineLevel="1" x14ac:dyDescent="0.3">
      <c r="A29" s="63" t="s">
        <v>104</v>
      </c>
      <c r="B29" s="63" t="s">
        <v>894</v>
      </c>
      <c r="C29" s="63" t="s">
        <v>797</v>
      </c>
      <c r="D29" s="66">
        <v>10</v>
      </c>
      <c r="E29" s="66">
        <v>10</v>
      </c>
      <c r="F29" s="66">
        <v>10</v>
      </c>
      <c r="G29" s="66">
        <v>10</v>
      </c>
      <c r="H29" s="66">
        <v>10</v>
      </c>
      <c r="I29" s="66"/>
    </row>
    <row r="30" spans="1:9" hidden="1" outlineLevel="1" x14ac:dyDescent="0.3">
      <c r="A30" s="63" t="s">
        <v>104</v>
      </c>
      <c r="B30" s="63" t="s">
        <v>915</v>
      </c>
      <c r="C30" s="63" t="s">
        <v>799</v>
      </c>
      <c r="D30" s="66">
        <v>10</v>
      </c>
      <c r="E30" s="66">
        <v>10</v>
      </c>
      <c r="F30" s="66">
        <v>10</v>
      </c>
      <c r="G30" s="66">
        <v>10</v>
      </c>
      <c r="H30" s="66">
        <v>10</v>
      </c>
      <c r="I30" s="66"/>
    </row>
    <row r="31" spans="1:9" hidden="1" outlineLevel="1" x14ac:dyDescent="0.3">
      <c r="A31" s="63" t="s">
        <v>104</v>
      </c>
      <c r="B31" s="63" t="s">
        <v>915</v>
      </c>
      <c r="C31" s="63" t="s">
        <v>801</v>
      </c>
      <c r="D31" s="66">
        <v>10</v>
      </c>
      <c r="E31" s="66">
        <v>10</v>
      </c>
      <c r="F31" s="66">
        <v>10</v>
      </c>
      <c r="G31" s="66">
        <v>10</v>
      </c>
      <c r="H31" s="66">
        <v>10</v>
      </c>
      <c r="I31" s="66"/>
    </row>
    <row r="32" spans="1:9" hidden="1" outlineLevel="1" x14ac:dyDescent="0.3">
      <c r="A32" s="63" t="s">
        <v>104</v>
      </c>
      <c r="B32" s="63" t="s">
        <v>915</v>
      </c>
      <c r="C32" s="63" t="s">
        <v>804</v>
      </c>
      <c r="D32" s="66">
        <v>10</v>
      </c>
      <c r="E32" s="66">
        <v>10</v>
      </c>
      <c r="F32" s="66">
        <v>10</v>
      </c>
      <c r="G32" s="66">
        <v>10</v>
      </c>
      <c r="H32" s="66">
        <v>10</v>
      </c>
      <c r="I32" s="66"/>
    </row>
    <row r="33" spans="1:15" hidden="1" outlineLevel="1" x14ac:dyDescent="0.3">
      <c r="A33" s="63" t="s">
        <v>104</v>
      </c>
      <c r="B33" s="63" t="s">
        <v>915</v>
      </c>
      <c r="C33" s="63" t="s">
        <v>806</v>
      </c>
      <c r="D33" s="66">
        <v>10</v>
      </c>
      <c r="E33" s="66">
        <v>10</v>
      </c>
      <c r="F33" s="66">
        <v>10</v>
      </c>
      <c r="G33" s="66">
        <v>10</v>
      </c>
      <c r="H33" s="66">
        <v>10</v>
      </c>
      <c r="I33" s="66"/>
    </row>
    <row r="34" spans="1:15" hidden="1" outlineLevel="1" x14ac:dyDescent="0.3">
      <c r="A34" s="63" t="s">
        <v>104</v>
      </c>
      <c r="B34" s="63" t="s">
        <v>915</v>
      </c>
      <c r="C34" s="63" t="s">
        <v>808</v>
      </c>
      <c r="D34" s="66">
        <v>10</v>
      </c>
      <c r="E34" s="66">
        <v>10</v>
      </c>
      <c r="F34" s="66">
        <v>10</v>
      </c>
      <c r="G34" s="66">
        <v>10</v>
      </c>
      <c r="H34" s="66">
        <v>10</v>
      </c>
      <c r="I34" s="66"/>
      <c r="J34" s="37"/>
      <c r="K34" s="37"/>
      <c r="L34" s="37"/>
      <c r="M34" s="37"/>
      <c r="N34" s="37"/>
      <c r="O34" s="37"/>
    </row>
    <row r="35" spans="1:15" hidden="1" outlineLevel="1" x14ac:dyDescent="0.3">
      <c r="A35" s="63" t="s">
        <v>104</v>
      </c>
      <c r="B35" s="63" t="s">
        <v>915</v>
      </c>
      <c r="C35" s="63" t="s">
        <v>811</v>
      </c>
      <c r="D35" s="66">
        <v>10</v>
      </c>
      <c r="E35" s="66">
        <v>10</v>
      </c>
      <c r="F35" s="66">
        <v>10</v>
      </c>
      <c r="G35" s="66">
        <v>10</v>
      </c>
      <c r="H35" s="66">
        <v>10</v>
      </c>
      <c r="I35" s="66" t="s">
        <v>1054</v>
      </c>
    </row>
    <row r="36" spans="1:15" hidden="1" outlineLevel="1" x14ac:dyDescent="0.3">
      <c r="A36" s="63" t="s">
        <v>104</v>
      </c>
      <c r="B36" s="63" t="s">
        <v>934</v>
      </c>
      <c r="C36" s="63" t="s">
        <v>814</v>
      </c>
      <c r="D36" s="66">
        <v>10</v>
      </c>
      <c r="E36" s="66">
        <v>10</v>
      </c>
      <c r="F36" s="66">
        <v>10</v>
      </c>
      <c r="G36" s="66">
        <v>10</v>
      </c>
      <c r="H36" s="66">
        <v>10</v>
      </c>
      <c r="I36" s="66"/>
    </row>
    <row r="37" spans="1:15" hidden="1" outlineLevel="1" x14ac:dyDescent="0.3">
      <c r="A37" s="63" t="s">
        <v>104</v>
      </c>
      <c r="B37" s="63" t="s">
        <v>934</v>
      </c>
      <c r="C37" s="63" t="s">
        <v>815</v>
      </c>
      <c r="D37" s="66">
        <v>10</v>
      </c>
      <c r="E37" s="66">
        <v>10</v>
      </c>
      <c r="F37" s="66">
        <v>10</v>
      </c>
      <c r="G37" s="66">
        <v>10</v>
      </c>
      <c r="H37" s="66">
        <v>10</v>
      </c>
      <c r="I37" s="66"/>
    </row>
    <row r="38" spans="1:15" hidden="1" outlineLevel="1" x14ac:dyDescent="0.3">
      <c r="A38" s="63" t="s">
        <v>104</v>
      </c>
      <c r="B38" s="63" t="s">
        <v>940</v>
      </c>
      <c r="C38" s="63" t="s">
        <v>817</v>
      </c>
      <c r="D38" s="66">
        <v>10</v>
      </c>
      <c r="E38" s="66">
        <v>10</v>
      </c>
      <c r="F38" s="66">
        <v>10</v>
      </c>
      <c r="G38" s="66">
        <v>10</v>
      </c>
      <c r="H38" s="66">
        <v>10</v>
      </c>
      <c r="I38" s="66"/>
    </row>
    <row r="39" spans="1:15" hidden="1" outlineLevel="1" x14ac:dyDescent="0.3">
      <c r="A39" s="63" t="s">
        <v>104</v>
      </c>
      <c r="B39" s="63" t="s">
        <v>940</v>
      </c>
      <c r="C39" s="63" t="s">
        <v>944</v>
      </c>
      <c r="D39" s="66">
        <v>10</v>
      </c>
      <c r="E39" s="66">
        <v>10</v>
      </c>
      <c r="F39" s="66">
        <v>10</v>
      </c>
      <c r="G39" s="66">
        <v>10</v>
      </c>
      <c r="H39" s="66">
        <v>10</v>
      </c>
      <c r="I39" s="66"/>
    </row>
    <row r="40" spans="1:15" hidden="1" outlineLevel="1" x14ac:dyDescent="0.3">
      <c r="A40" s="63" t="s">
        <v>104</v>
      </c>
      <c r="B40" s="63" t="s">
        <v>940</v>
      </c>
      <c r="C40" s="63" t="s">
        <v>821</v>
      </c>
      <c r="D40" s="66">
        <v>10</v>
      </c>
      <c r="E40" s="66">
        <v>10</v>
      </c>
      <c r="F40" s="66">
        <v>10</v>
      </c>
      <c r="G40" s="66">
        <v>10</v>
      </c>
      <c r="H40" s="66">
        <v>10</v>
      </c>
      <c r="I40" s="66"/>
    </row>
    <row r="41" spans="1:15" hidden="1" outlineLevel="1" x14ac:dyDescent="0.3">
      <c r="A41" s="63" t="s">
        <v>104</v>
      </c>
      <c r="B41" s="63" t="s">
        <v>940</v>
      </c>
      <c r="C41" s="63" t="s">
        <v>823</v>
      </c>
      <c r="D41" s="66">
        <v>10</v>
      </c>
      <c r="E41" s="66">
        <v>10</v>
      </c>
      <c r="F41" s="66">
        <v>10</v>
      </c>
      <c r="G41" s="66">
        <v>10</v>
      </c>
      <c r="H41" s="66">
        <v>10</v>
      </c>
      <c r="I41" s="66"/>
    </row>
    <row r="42" spans="1:15" hidden="1" outlineLevel="1" x14ac:dyDescent="0.3">
      <c r="A42" s="63" t="s">
        <v>104</v>
      </c>
      <c r="B42" s="63" t="s">
        <v>940</v>
      </c>
      <c r="C42" s="63" t="s">
        <v>825</v>
      </c>
      <c r="D42" s="66">
        <v>10</v>
      </c>
      <c r="E42" s="66">
        <v>10</v>
      </c>
      <c r="F42" s="66">
        <v>10</v>
      </c>
      <c r="G42" s="66">
        <v>10</v>
      </c>
      <c r="H42" s="66">
        <v>10</v>
      </c>
      <c r="I42" s="66"/>
    </row>
    <row r="43" spans="1:15" hidden="1" outlineLevel="1" x14ac:dyDescent="0.3">
      <c r="A43" s="63" t="s">
        <v>104</v>
      </c>
      <c r="B43" s="63" t="s">
        <v>940</v>
      </c>
      <c r="C43" s="63" t="s">
        <v>827</v>
      </c>
      <c r="D43" s="66">
        <v>10</v>
      </c>
      <c r="E43" s="66">
        <v>10</v>
      </c>
      <c r="F43" s="66">
        <v>10</v>
      </c>
      <c r="G43" s="66">
        <v>10</v>
      </c>
      <c r="H43" s="66">
        <v>10</v>
      </c>
      <c r="I43" s="66"/>
    </row>
    <row r="44" spans="1:15" hidden="1" outlineLevel="1" x14ac:dyDescent="0.3">
      <c r="A44" s="63" t="s">
        <v>104</v>
      </c>
      <c r="B44" s="63" t="s">
        <v>940</v>
      </c>
      <c r="C44" s="63" t="s">
        <v>829</v>
      </c>
      <c r="D44" s="66">
        <v>10</v>
      </c>
      <c r="E44" s="66">
        <v>10</v>
      </c>
      <c r="F44" s="66">
        <v>10</v>
      </c>
      <c r="G44" s="66">
        <v>10</v>
      </c>
      <c r="H44" s="66">
        <v>10</v>
      </c>
      <c r="I44" s="66"/>
    </row>
    <row r="45" spans="1:15" hidden="1" outlineLevel="1" x14ac:dyDescent="0.3">
      <c r="A45" s="63" t="s">
        <v>104</v>
      </c>
      <c r="B45" s="63" t="s">
        <v>940</v>
      </c>
      <c r="C45" s="63" t="s">
        <v>833</v>
      </c>
      <c r="D45" s="66">
        <v>10</v>
      </c>
      <c r="E45" s="66">
        <v>10</v>
      </c>
      <c r="F45" s="66">
        <v>10</v>
      </c>
      <c r="G45" s="66">
        <v>10</v>
      </c>
      <c r="H45" s="66">
        <v>10</v>
      </c>
      <c r="I45" s="66"/>
    </row>
    <row r="46" spans="1:15" hidden="1" outlineLevel="1" x14ac:dyDescent="0.3">
      <c r="A46" s="63" t="s">
        <v>104</v>
      </c>
      <c r="B46" s="63" t="s">
        <v>940</v>
      </c>
      <c r="C46" s="63" t="s">
        <v>836</v>
      </c>
      <c r="D46" s="66">
        <v>10</v>
      </c>
      <c r="E46" s="66">
        <v>10</v>
      </c>
      <c r="F46" s="66">
        <v>10</v>
      </c>
      <c r="G46" s="66">
        <v>10</v>
      </c>
      <c r="H46" s="66">
        <v>10</v>
      </c>
      <c r="I46" s="66"/>
    </row>
    <row r="47" spans="1:15" hidden="1" outlineLevel="1" x14ac:dyDescent="0.3">
      <c r="A47" s="63" t="s">
        <v>104</v>
      </c>
      <c r="B47" s="63" t="s">
        <v>940</v>
      </c>
      <c r="C47" s="63" t="s">
        <v>837</v>
      </c>
      <c r="D47" s="66">
        <v>10</v>
      </c>
      <c r="E47" s="66">
        <v>10</v>
      </c>
      <c r="F47" s="66">
        <v>10</v>
      </c>
      <c r="G47" s="66">
        <v>10</v>
      </c>
      <c r="H47" s="66">
        <v>10</v>
      </c>
      <c r="I47" s="66"/>
    </row>
    <row r="48" spans="1:15" hidden="1" outlineLevel="1" x14ac:dyDescent="0.3">
      <c r="A48" s="63" t="s">
        <v>104</v>
      </c>
      <c r="B48" s="63" t="s">
        <v>940</v>
      </c>
      <c r="C48" s="63" t="s">
        <v>839</v>
      </c>
      <c r="D48" s="66">
        <v>10</v>
      </c>
      <c r="E48" s="66">
        <v>10</v>
      </c>
      <c r="F48" s="66">
        <v>10</v>
      </c>
      <c r="G48" s="66">
        <v>10</v>
      </c>
      <c r="H48" s="66">
        <v>10</v>
      </c>
      <c r="I48" s="66"/>
    </row>
    <row r="49" spans="1:10" hidden="1" outlineLevel="1" x14ac:dyDescent="0.3">
      <c r="A49" s="63" t="s">
        <v>104</v>
      </c>
      <c r="B49" s="63" t="s">
        <v>940</v>
      </c>
      <c r="C49" s="63" t="s">
        <v>840</v>
      </c>
      <c r="D49" s="66">
        <v>10</v>
      </c>
      <c r="E49" s="66">
        <v>10</v>
      </c>
      <c r="F49" s="66">
        <v>10</v>
      </c>
      <c r="G49" s="66">
        <v>10</v>
      </c>
      <c r="H49" s="66">
        <v>10</v>
      </c>
      <c r="I49" s="66"/>
    </row>
    <row r="50" spans="1:10" collapsed="1" x14ac:dyDescent="0.3">
      <c r="A50" s="63"/>
      <c r="B50" s="63"/>
      <c r="C50" s="63"/>
      <c r="D50" s="66"/>
      <c r="E50" s="66"/>
      <c r="F50" s="66"/>
      <c r="G50" s="66"/>
      <c r="H50" s="66"/>
      <c r="I50" s="66"/>
    </row>
    <row r="51" spans="1:10" x14ac:dyDescent="0.3">
      <c r="A51" s="65" t="s">
        <v>5916</v>
      </c>
      <c r="B51" s="63"/>
      <c r="C51" s="313" t="s">
        <v>1035</v>
      </c>
      <c r="D51" s="134">
        <v>0.25999999999999984</v>
      </c>
      <c r="E51" s="134">
        <v>0.25999999999999984</v>
      </c>
      <c r="F51" s="134">
        <v>0.25999999999999984</v>
      </c>
      <c r="G51" s="134">
        <v>0.25999999999999984</v>
      </c>
      <c r="H51" s="134">
        <v>0.25999999999999984</v>
      </c>
      <c r="I51" s="134"/>
      <c r="J51" s="321"/>
    </row>
    <row r="52" spans="1:10" x14ac:dyDescent="0.3">
      <c r="A52" s="122" t="s">
        <v>5</v>
      </c>
      <c r="B52" s="122" t="s">
        <v>847</v>
      </c>
      <c r="C52" s="122" t="s">
        <v>193</v>
      </c>
      <c r="D52" s="123">
        <v>2025</v>
      </c>
      <c r="E52" s="123">
        <v>2030</v>
      </c>
      <c r="F52" s="123">
        <v>2035</v>
      </c>
      <c r="G52" s="123">
        <v>2040</v>
      </c>
      <c r="H52" s="123">
        <v>2045</v>
      </c>
      <c r="I52" s="123" t="s">
        <v>153</v>
      </c>
    </row>
    <row r="53" spans="1:10" hidden="1" outlineLevel="1" x14ac:dyDescent="0.3">
      <c r="A53" s="63" t="s">
        <v>5916</v>
      </c>
      <c r="B53" s="63" t="s">
        <v>855</v>
      </c>
      <c r="C53" s="63" t="s">
        <v>747</v>
      </c>
      <c r="D53" s="134">
        <v>0.26</v>
      </c>
      <c r="E53" s="134">
        <v>0.26</v>
      </c>
      <c r="F53" s="134">
        <v>0.26</v>
      </c>
      <c r="G53" s="134">
        <v>0.26</v>
      </c>
      <c r="H53" s="134">
        <v>0.26</v>
      </c>
      <c r="I53" s="134"/>
    </row>
    <row r="54" spans="1:10" hidden="1" outlineLevel="1" x14ac:dyDescent="0.3">
      <c r="A54" s="63" t="s">
        <v>5916</v>
      </c>
      <c r="B54" s="63" t="s">
        <v>855</v>
      </c>
      <c r="C54" s="63" t="s">
        <v>751</v>
      </c>
      <c r="D54" s="134">
        <v>0.26</v>
      </c>
      <c r="E54" s="134">
        <v>0.26</v>
      </c>
      <c r="F54" s="134">
        <v>0.26</v>
      </c>
      <c r="G54" s="134">
        <v>0.26</v>
      </c>
      <c r="H54" s="134">
        <v>0.26</v>
      </c>
      <c r="I54" s="134"/>
    </row>
    <row r="55" spans="1:10" hidden="1" outlineLevel="1" x14ac:dyDescent="0.3">
      <c r="A55" s="63" t="s">
        <v>5916</v>
      </c>
      <c r="B55" s="63" t="s">
        <v>855</v>
      </c>
      <c r="C55" s="63" t="s">
        <v>755</v>
      </c>
      <c r="D55" s="134">
        <v>0.26</v>
      </c>
      <c r="E55" s="134">
        <v>0.26</v>
      </c>
      <c r="F55" s="134">
        <v>0.26</v>
      </c>
      <c r="G55" s="134">
        <v>0.26</v>
      </c>
      <c r="H55" s="134">
        <v>0.26</v>
      </c>
      <c r="I55" s="134"/>
    </row>
    <row r="56" spans="1:10" hidden="1" outlineLevel="1" x14ac:dyDescent="0.3">
      <c r="A56" s="63" t="s">
        <v>5916</v>
      </c>
      <c r="B56" s="63" t="s">
        <v>855</v>
      </c>
      <c r="C56" s="63" t="s">
        <v>758</v>
      </c>
      <c r="D56" s="134">
        <v>0.26</v>
      </c>
      <c r="E56" s="134">
        <v>0.26</v>
      </c>
      <c r="F56" s="134">
        <v>0.26</v>
      </c>
      <c r="G56" s="134">
        <v>0.26</v>
      </c>
      <c r="H56" s="134">
        <v>0.26</v>
      </c>
      <c r="I56" s="134"/>
    </row>
    <row r="57" spans="1:10" hidden="1" outlineLevel="1" x14ac:dyDescent="0.3">
      <c r="A57" s="63" t="s">
        <v>5916</v>
      </c>
      <c r="B57" s="63" t="s">
        <v>855</v>
      </c>
      <c r="C57" s="63" t="s">
        <v>761</v>
      </c>
      <c r="D57" s="134">
        <v>0.26</v>
      </c>
      <c r="E57" s="134">
        <v>0.26</v>
      </c>
      <c r="F57" s="134">
        <v>0.26</v>
      </c>
      <c r="G57" s="134">
        <v>0.26</v>
      </c>
      <c r="H57" s="134">
        <v>0.26</v>
      </c>
      <c r="I57" s="134"/>
    </row>
    <row r="58" spans="1:10" hidden="1" outlineLevel="1" x14ac:dyDescent="0.3">
      <c r="A58" s="63" t="s">
        <v>5916</v>
      </c>
      <c r="B58" s="63" t="s">
        <v>855</v>
      </c>
      <c r="C58" s="63" t="s">
        <v>763</v>
      </c>
      <c r="D58" s="134">
        <v>0.26</v>
      </c>
      <c r="E58" s="134">
        <v>0.26</v>
      </c>
      <c r="F58" s="134">
        <v>0.26</v>
      </c>
      <c r="G58" s="134">
        <v>0.26</v>
      </c>
      <c r="H58" s="134">
        <v>0.26</v>
      </c>
      <c r="I58" s="134"/>
    </row>
    <row r="59" spans="1:10" hidden="1" outlineLevel="1" x14ac:dyDescent="0.3">
      <c r="A59" s="63" t="s">
        <v>5916</v>
      </c>
      <c r="B59" s="63" t="s">
        <v>855</v>
      </c>
      <c r="C59" s="63" t="s">
        <v>765</v>
      </c>
      <c r="D59" s="134">
        <v>0.26</v>
      </c>
      <c r="E59" s="134">
        <v>0.26</v>
      </c>
      <c r="F59" s="134">
        <v>0.26</v>
      </c>
      <c r="G59" s="134">
        <v>0.26</v>
      </c>
      <c r="H59" s="134">
        <v>0.26</v>
      </c>
      <c r="I59" s="134"/>
    </row>
    <row r="60" spans="1:10" hidden="1" outlineLevel="1" x14ac:dyDescent="0.3">
      <c r="A60" s="63" t="s">
        <v>5916</v>
      </c>
      <c r="B60" s="63" t="s">
        <v>855</v>
      </c>
      <c r="C60" s="63" t="s">
        <v>768</v>
      </c>
      <c r="D60" s="134">
        <v>0.26</v>
      </c>
      <c r="E60" s="134">
        <v>0.26</v>
      </c>
      <c r="F60" s="134">
        <v>0.26</v>
      </c>
      <c r="G60" s="134">
        <v>0.26</v>
      </c>
      <c r="H60" s="134">
        <v>0.26</v>
      </c>
      <c r="I60" s="134"/>
    </row>
    <row r="61" spans="1:10" hidden="1" outlineLevel="1" x14ac:dyDescent="0.3">
      <c r="A61" s="63" t="s">
        <v>5916</v>
      </c>
      <c r="B61" s="63" t="s">
        <v>855</v>
      </c>
      <c r="C61" s="63" t="s">
        <v>771</v>
      </c>
      <c r="D61" s="134">
        <v>0.26</v>
      </c>
      <c r="E61" s="134">
        <v>0.26</v>
      </c>
      <c r="F61" s="134">
        <v>0.26</v>
      </c>
      <c r="G61" s="134">
        <v>0.26</v>
      </c>
      <c r="H61" s="134">
        <v>0.26</v>
      </c>
      <c r="I61" s="134"/>
    </row>
    <row r="62" spans="1:10" hidden="1" outlineLevel="1" x14ac:dyDescent="0.3">
      <c r="A62" s="63" t="s">
        <v>5916</v>
      </c>
      <c r="B62" s="63" t="s">
        <v>855</v>
      </c>
      <c r="C62" s="63" t="s">
        <v>772</v>
      </c>
      <c r="D62" s="134">
        <v>0.26</v>
      </c>
      <c r="E62" s="134">
        <v>0.26</v>
      </c>
      <c r="F62" s="134">
        <v>0.26</v>
      </c>
      <c r="G62" s="134">
        <v>0.26</v>
      </c>
      <c r="H62" s="134">
        <v>0.26</v>
      </c>
      <c r="I62" s="134"/>
    </row>
    <row r="63" spans="1:10" hidden="1" outlineLevel="1" x14ac:dyDescent="0.3">
      <c r="A63" s="63" t="s">
        <v>5916</v>
      </c>
      <c r="B63" s="63" t="s">
        <v>855</v>
      </c>
      <c r="C63" s="63" t="s">
        <v>774</v>
      </c>
      <c r="D63" s="134">
        <v>0.26</v>
      </c>
      <c r="E63" s="134">
        <v>0.26</v>
      </c>
      <c r="F63" s="134">
        <v>0.26</v>
      </c>
      <c r="G63" s="134">
        <v>0.26</v>
      </c>
      <c r="H63" s="134">
        <v>0.26</v>
      </c>
      <c r="I63" s="134"/>
    </row>
    <row r="64" spans="1:10" hidden="1" outlineLevel="1" x14ac:dyDescent="0.3">
      <c r="A64" s="63" t="s">
        <v>5916</v>
      </c>
      <c r="B64" s="63" t="s">
        <v>855</v>
      </c>
      <c r="C64" s="63" t="s">
        <v>775</v>
      </c>
      <c r="D64" s="134">
        <v>0.26</v>
      </c>
      <c r="E64" s="134">
        <v>0.26</v>
      </c>
      <c r="F64" s="134">
        <v>0.26</v>
      </c>
      <c r="G64" s="134">
        <v>0.26</v>
      </c>
      <c r="H64" s="134">
        <v>0.26</v>
      </c>
      <c r="I64" s="134"/>
    </row>
    <row r="65" spans="1:15" hidden="1" outlineLevel="1" x14ac:dyDescent="0.3">
      <c r="A65" s="63" t="s">
        <v>5916</v>
      </c>
      <c r="B65" s="63" t="s">
        <v>855</v>
      </c>
      <c r="C65" s="63" t="s">
        <v>779</v>
      </c>
      <c r="D65" s="134">
        <v>0.26</v>
      </c>
      <c r="E65" s="134">
        <v>0.26</v>
      </c>
      <c r="F65" s="134">
        <v>0.26</v>
      </c>
      <c r="G65" s="134">
        <v>0.26</v>
      </c>
      <c r="H65" s="134">
        <v>0.26</v>
      </c>
      <c r="I65" s="134"/>
    </row>
    <row r="66" spans="1:15" hidden="1" outlineLevel="1" x14ac:dyDescent="0.3">
      <c r="A66" s="63" t="s">
        <v>5916</v>
      </c>
      <c r="B66" s="63" t="s">
        <v>894</v>
      </c>
      <c r="C66" s="63" t="s">
        <v>781</v>
      </c>
      <c r="D66" s="134">
        <v>0.26</v>
      </c>
      <c r="E66" s="134">
        <v>0.26</v>
      </c>
      <c r="F66" s="134">
        <v>0.26</v>
      </c>
      <c r="G66" s="134">
        <v>0.26</v>
      </c>
      <c r="H66" s="134">
        <v>0.26</v>
      </c>
      <c r="I66" s="134"/>
    </row>
    <row r="67" spans="1:15" hidden="1" outlineLevel="1" x14ac:dyDescent="0.3">
      <c r="A67" s="63" t="s">
        <v>5916</v>
      </c>
      <c r="B67" s="63" t="s">
        <v>894</v>
      </c>
      <c r="C67" s="63" t="s">
        <v>783</v>
      </c>
      <c r="D67" s="134">
        <v>0.26</v>
      </c>
      <c r="E67" s="134">
        <v>0.26</v>
      </c>
      <c r="F67" s="134">
        <v>0.26</v>
      </c>
      <c r="G67" s="134">
        <v>0.26</v>
      </c>
      <c r="H67" s="134">
        <v>0.26</v>
      </c>
      <c r="I67" s="134"/>
    </row>
    <row r="68" spans="1:15" hidden="1" outlineLevel="1" x14ac:dyDescent="0.3">
      <c r="A68" s="63" t="s">
        <v>5916</v>
      </c>
      <c r="B68" s="63" t="s">
        <v>894</v>
      </c>
      <c r="C68" s="63" t="s">
        <v>785</v>
      </c>
      <c r="D68" s="134">
        <v>0.26</v>
      </c>
      <c r="E68" s="134">
        <v>0.26</v>
      </c>
      <c r="F68" s="134">
        <v>0.26</v>
      </c>
      <c r="G68" s="134">
        <v>0.26</v>
      </c>
      <c r="H68" s="134">
        <v>0.26</v>
      </c>
      <c r="I68" s="134"/>
    </row>
    <row r="69" spans="1:15" hidden="1" outlineLevel="1" x14ac:dyDescent="0.3">
      <c r="A69" s="63" t="s">
        <v>5916</v>
      </c>
      <c r="B69" s="63" t="s">
        <v>894</v>
      </c>
      <c r="C69" s="63" t="s">
        <v>787</v>
      </c>
      <c r="D69" s="134">
        <v>0.26</v>
      </c>
      <c r="E69" s="134">
        <v>0.26</v>
      </c>
      <c r="F69" s="134">
        <v>0.26</v>
      </c>
      <c r="G69" s="134">
        <v>0.26</v>
      </c>
      <c r="H69" s="134">
        <v>0.26</v>
      </c>
      <c r="I69" s="134"/>
    </row>
    <row r="70" spans="1:15" hidden="1" outlineLevel="1" x14ac:dyDescent="0.3">
      <c r="A70" s="63" t="s">
        <v>5916</v>
      </c>
      <c r="B70" s="63" t="s">
        <v>894</v>
      </c>
      <c r="C70" s="63" t="s">
        <v>788</v>
      </c>
      <c r="D70" s="134">
        <v>0.26</v>
      </c>
      <c r="E70" s="134">
        <v>0.26</v>
      </c>
      <c r="F70" s="134">
        <v>0.26</v>
      </c>
      <c r="G70" s="134">
        <v>0.26</v>
      </c>
      <c r="H70" s="134">
        <v>0.26</v>
      </c>
      <c r="I70" s="134"/>
    </row>
    <row r="71" spans="1:15" hidden="1" outlineLevel="1" x14ac:dyDescent="0.3">
      <c r="A71" s="63" t="s">
        <v>5916</v>
      </c>
      <c r="B71" s="63" t="s">
        <v>894</v>
      </c>
      <c r="C71" s="63" t="s">
        <v>789</v>
      </c>
      <c r="D71" s="134">
        <v>0.26</v>
      </c>
      <c r="E71" s="134">
        <v>0.26</v>
      </c>
      <c r="F71" s="134">
        <v>0.26</v>
      </c>
      <c r="G71" s="134">
        <v>0.26</v>
      </c>
      <c r="H71" s="134">
        <v>0.26</v>
      </c>
      <c r="I71" s="134"/>
    </row>
    <row r="72" spans="1:15" hidden="1" outlineLevel="1" x14ac:dyDescent="0.3">
      <c r="A72" s="63" t="s">
        <v>5916</v>
      </c>
      <c r="B72" s="63" t="s">
        <v>894</v>
      </c>
      <c r="C72" s="63" t="s">
        <v>790</v>
      </c>
      <c r="D72" s="134">
        <v>0.26</v>
      </c>
      <c r="E72" s="134">
        <v>0.26</v>
      </c>
      <c r="F72" s="134">
        <v>0.26</v>
      </c>
      <c r="G72" s="134">
        <v>0.26</v>
      </c>
      <c r="H72" s="134">
        <v>0.26</v>
      </c>
      <c r="I72" s="134"/>
    </row>
    <row r="73" spans="1:15" hidden="1" outlineLevel="1" x14ac:dyDescent="0.3">
      <c r="A73" s="63" t="s">
        <v>5916</v>
      </c>
      <c r="B73" s="63" t="s">
        <v>894</v>
      </c>
      <c r="C73" s="63" t="s">
        <v>793</v>
      </c>
      <c r="D73" s="134">
        <v>0.26</v>
      </c>
      <c r="E73" s="134">
        <v>0.26</v>
      </c>
      <c r="F73" s="134">
        <v>0.26</v>
      </c>
      <c r="G73" s="134">
        <v>0.26</v>
      </c>
      <c r="H73" s="134">
        <v>0.26</v>
      </c>
      <c r="I73" s="134"/>
    </row>
    <row r="74" spans="1:15" hidden="1" outlineLevel="1" x14ac:dyDescent="0.3">
      <c r="A74" s="63" t="s">
        <v>5916</v>
      </c>
      <c r="B74" s="63" t="s">
        <v>894</v>
      </c>
      <c r="C74" s="63" t="s">
        <v>795</v>
      </c>
      <c r="D74" s="134">
        <v>0.26</v>
      </c>
      <c r="E74" s="134">
        <v>0.26</v>
      </c>
      <c r="F74" s="134">
        <v>0.26</v>
      </c>
      <c r="G74" s="134">
        <v>0.26</v>
      </c>
      <c r="H74" s="134">
        <v>0.26</v>
      </c>
      <c r="I74" s="134"/>
    </row>
    <row r="75" spans="1:15" hidden="1" outlineLevel="1" x14ac:dyDescent="0.3">
      <c r="A75" s="63" t="s">
        <v>5916</v>
      </c>
      <c r="B75" s="63" t="s">
        <v>894</v>
      </c>
      <c r="C75" s="63" t="s">
        <v>797</v>
      </c>
      <c r="D75" s="134">
        <v>0.26</v>
      </c>
      <c r="E75" s="134">
        <v>0.26</v>
      </c>
      <c r="F75" s="134">
        <v>0.26</v>
      </c>
      <c r="G75" s="134">
        <v>0.26</v>
      </c>
      <c r="H75" s="134">
        <v>0.26</v>
      </c>
      <c r="I75" s="134"/>
    </row>
    <row r="76" spans="1:15" hidden="1" outlineLevel="1" x14ac:dyDescent="0.3">
      <c r="A76" s="63" t="s">
        <v>5916</v>
      </c>
      <c r="B76" s="63" t="s">
        <v>915</v>
      </c>
      <c r="C76" s="63" t="s">
        <v>799</v>
      </c>
      <c r="D76" s="134">
        <v>0.26</v>
      </c>
      <c r="E76" s="134">
        <v>0.26</v>
      </c>
      <c r="F76" s="134">
        <v>0.26</v>
      </c>
      <c r="G76" s="134">
        <v>0.26</v>
      </c>
      <c r="H76" s="134">
        <v>0.26</v>
      </c>
      <c r="I76" s="134"/>
    </row>
    <row r="77" spans="1:15" hidden="1" outlineLevel="1" x14ac:dyDescent="0.3">
      <c r="A77" s="63" t="s">
        <v>5916</v>
      </c>
      <c r="B77" s="63" t="s">
        <v>915</v>
      </c>
      <c r="C77" s="63" t="s">
        <v>801</v>
      </c>
      <c r="D77" s="134">
        <v>0.26</v>
      </c>
      <c r="E77" s="134">
        <v>0.26</v>
      </c>
      <c r="F77" s="134">
        <v>0.26</v>
      </c>
      <c r="G77" s="134">
        <v>0.26</v>
      </c>
      <c r="H77" s="134">
        <v>0.26</v>
      </c>
      <c r="I77" s="134"/>
    </row>
    <row r="78" spans="1:15" hidden="1" outlineLevel="1" x14ac:dyDescent="0.3">
      <c r="A78" s="63" t="s">
        <v>5916</v>
      </c>
      <c r="B78" s="63" t="s">
        <v>915</v>
      </c>
      <c r="C78" s="63" t="s">
        <v>804</v>
      </c>
      <c r="D78" s="134">
        <v>0.26</v>
      </c>
      <c r="E78" s="134">
        <v>0.26</v>
      </c>
      <c r="F78" s="134">
        <v>0.26</v>
      </c>
      <c r="G78" s="134">
        <v>0.26</v>
      </c>
      <c r="H78" s="134">
        <v>0.26</v>
      </c>
      <c r="I78" s="134"/>
    </row>
    <row r="79" spans="1:15" hidden="1" outlineLevel="1" x14ac:dyDescent="0.3">
      <c r="A79" s="63" t="s">
        <v>5916</v>
      </c>
      <c r="B79" s="63" t="s">
        <v>915</v>
      </c>
      <c r="C79" s="63" t="s">
        <v>806</v>
      </c>
      <c r="D79" s="134">
        <v>0.26</v>
      </c>
      <c r="E79" s="134">
        <v>0.26</v>
      </c>
      <c r="F79" s="134">
        <v>0.26</v>
      </c>
      <c r="G79" s="134">
        <v>0.26</v>
      </c>
      <c r="H79" s="134">
        <v>0.26</v>
      </c>
      <c r="I79" s="134"/>
    </row>
    <row r="80" spans="1:15" hidden="1" outlineLevel="1" x14ac:dyDescent="0.3">
      <c r="A80" s="63" t="s">
        <v>5916</v>
      </c>
      <c r="B80" s="63" t="s">
        <v>915</v>
      </c>
      <c r="C80" s="63" t="s">
        <v>808</v>
      </c>
      <c r="D80" s="134">
        <v>0.26</v>
      </c>
      <c r="E80" s="134">
        <v>0.26</v>
      </c>
      <c r="F80" s="134">
        <v>0.26</v>
      </c>
      <c r="G80" s="134">
        <v>0.26</v>
      </c>
      <c r="H80" s="134">
        <v>0.26</v>
      </c>
      <c r="I80" s="134"/>
      <c r="J80" s="37"/>
      <c r="K80" s="37"/>
      <c r="L80" s="37"/>
      <c r="M80" s="37"/>
      <c r="N80" s="37"/>
      <c r="O80" s="37"/>
    </row>
    <row r="81" spans="1:9" hidden="1" outlineLevel="1" x14ac:dyDescent="0.3">
      <c r="A81" s="63" t="s">
        <v>5916</v>
      </c>
      <c r="B81" s="63" t="s">
        <v>915</v>
      </c>
      <c r="C81" s="63" t="s">
        <v>811</v>
      </c>
      <c r="D81" s="134">
        <v>0.26</v>
      </c>
      <c r="E81" s="134">
        <v>0.26</v>
      </c>
      <c r="F81" s="134">
        <v>0.26</v>
      </c>
      <c r="G81" s="134">
        <v>0.26</v>
      </c>
      <c r="H81" s="134">
        <v>0.26</v>
      </c>
      <c r="I81" s="134"/>
    </row>
    <row r="82" spans="1:9" hidden="1" outlineLevel="1" x14ac:dyDescent="0.3">
      <c r="A82" s="63" t="s">
        <v>5916</v>
      </c>
      <c r="B82" s="63" t="s">
        <v>934</v>
      </c>
      <c r="C82" s="63" t="s">
        <v>814</v>
      </c>
      <c r="D82" s="134">
        <v>0.26</v>
      </c>
      <c r="E82" s="134">
        <v>0.26</v>
      </c>
      <c r="F82" s="134">
        <v>0.26</v>
      </c>
      <c r="G82" s="134">
        <v>0.26</v>
      </c>
      <c r="H82" s="134">
        <v>0.26</v>
      </c>
      <c r="I82" s="134"/>
    </row>
    <row r="83" spans="1:9" hidden="1" outlineLevel="1" x14ac:dyDescent="0.3">
      <c r="A83" s="63" t="s">
        <v>5916</v>
      </c>
      <c r="B83" s="63" t="s">
        <v>934</v>
      </c>
      <c r="C83" s="63" t="s">
        <v>815</v>
      </c>
      <c r="D83" s="134">
        <v>0.26</v>
      </c>
      <c r="E83" s="134">
        <v>0.26</v>
      </c>
      <c r="F83" s="134">
        <v>0.26</v>
      </c>
      <c r="G83" s="134">
        <v>0.26</v>
      </c>
      <c r="H83" s="134">
        <v>0.26</v>
      </c>
      <c r="I83" s="134"/>
    </row>
    <row r="84" spans="1:9" hidden="1" outlineLevel="1" x14ac:dyDescent="0.3">
      <c r="A84" s="63" t="s">
        <v>5916</v>
      </c>
      <c r="B84" s="63" t="s">
        <v>940</v>
      </c>
      <c r="C84" s="63" t="s">
        <v>817</v>
      </c>
      <c r="D84" s="134">
        <v>0.26</v>
      </c>
      <c r="E84" s="134">
        <v>0.26</v>
      </c>
      <c r="F84" s="134">
        <v>0.26</v>
      </c>
      <c r="G84" s="134">
        <v>0.26</v>
      </c>
      <c r="H84" s="134">
        <v>0.26</v>
      </c>
      <c r="I84" s="134"/>
    </row>
    <row r="85" spans="1:9" hidden="1" outlineLevel="1" x14ac:dyDescent="0.3">
      <c r="A85" s="63" t="s">
        <v>5916</v>
      </c>
      <c r="B85" s="63" t="s">
        <v>940</v>
      </c>
      <c r="C85" s="63" t="s">
        <v>944</v>
      </c>
      <c r="D85" s="134">
        <v>0.26</v>
      </c>
      <c r="E85" s="134">
        <v>0.26</v>
      </c>
      <c r="F85" s="134">
        <v>0.26</v>
      </c>
      <c r="G85" s="134">
        <v>0.26</v>
      </c>
      <c r="H85" s="134">
        <v>0.26</v>
      </c>
      <c r="I85" s="134"/>
    </row>
    <row r="86" spans="1:9" hidden="1" outlineLevel="1" x14ac:dyDescent="0.3">
      <c r="A86" s="63" t="s">
        <v>5916</v>
      </c>
      <c r="B86" s="63" t="s">
        <v>940</v>
      </c>
      <c r="C86" s="63" t="s">
        <v>821</v>
      </c>
      <c r="D86" s="134">
        <v>0.26</v>
      </c>
      <c r="E86" s="134">
        <v>0.26</v>
      </c>
      <c r="F86" s="134">
        <v>0.26</v>
      </c>
      <c r="G86" s="134">
        <v>0.26</v>
      </c>
      <c r="H86" s="134">
        <v>0.26</v>
      </c>
      <c r="I86" s="134"/>
    </row>
    <row r="87" spans="1:9" hidden="1" outlineLevel="1" x14ac:dyDescent="0.3">
      <c r="A87" s="63" t="s">
        <v>5916</v>
      </c>
      <c r="B87" s="63" t="s">
        <v>940</v>
      </c>
      <c r="C87" s="63" t="s">
        <v>823</v>
      </c>
      <c r="D87" s="134">
        <v>0.26</v>
      </c>
      <c r="E87" s="134">
        <v>0.26</v>
      </c>
      <c r="F87" s="134">
        <v>0.26</v>
      </c>
      <c r="G87" s="134">
        <v>0.26</v>
      </c>
      <c r="H87" s="134">
        <v>0.26</v>
      </c>
      <c r="I87" s="134"/>
    </row>
    <row r="88" spans="1:9" hidden="1" outlineLevel="1" x14ac:dyDescent="0.3">
      <c r="A88" s="63" t="s">
        <v>5916</v>
      </c>
      <c r="B88" s="63" t="s">
        <v>940</v>
      </c>
      <c r="C88" s="63" t="s">
        <v>825</v>
      </c>
      <c r="D88" s="134">
        <v>0.26</v>
      </c>
      <c r="E88" s="134">
        <v>0.26</v>
      </c>
      <c r="F88" s="134">
        <v>0.26</v>
      </c>
      <c r="G88" s="134">
        <v>0.26</v>
      </c>
      <c r="H88" s="134">
        <v>0.26</v>
      </c>
      <c r="I88" s="134"/>
    </row>
    <row r="89" spans="1:9" hidden="1" outlineLevel="1" x14ac:dyDescent="0.3">
      <c r="A89" s="63" t="s">
        <v>5916</v>
      </c>
      <c r="B89" s="63" t="s">
        <v>940</v>
      </c>
      <c r="C89" s="63" t="s">
        <v>827</v>
      </c>
      <c r="D89" s="134">
        <v>0.26</v>
      </c>
      <c r="E89" s="134">
        <v>0.26</v>
      </c>
      <c r="F89" s="134">
        <v>0.26</v>
      </c>
      <c r="G89" s="134">
        <v>0.26</v>
      </c>
      <c r="H89" s="134">
        <v>0.26</v>
      </c>
      <c r="I89" s="134"/>
    </row>
    <row r="90" spans="1:9" hidden="1" outlineLevel="1" x14ac:dyDescent="0.3">
      <c r="A90" s="63" t="s">
        <v>5916</v>
      </c>
      <c r="B90" s="63" t="s">
        <v>940</v>
      </c>
      <c r="C90" s="63" t="s">
        <v>829</v>
      </c>
      <c r="D90" s="134">
        <v>0.26</v>
      </c>
      <c r="E90" s="134">
        <v>0.26</v>
      </c>
      <c r="F90" s="134">
        <v>0.26</v>
      </c>
      <c r="G90" s="134">
        <v>0.26</v>
      </c>
      <c r="H90" s="134">
        <v>0.26</v>
      </c>
      <c r="I90" s="134"/>
    </row>
    <row r="91" spans="1:9" hidden="1" outlineLevel="1" x14ac:dyDescent="0.3">
      <c r="A91" s="63" t="s">
        <v>5916</v>
      </c>
      <c r="B91" s="63" t="s">
        <v>940</v>
      </c>
      <c r="C91" s="63" t="s">
        <v>833</v>
      </c>
      <c r="D91" s="134">
        <v>0.26</v>
      </c>
      <c r="E91" s="134">
        <v>0.26</v>
      </c>
      <c r="F91" s="134">
        <v>0.26</v>
      </c>
      <c r="G91" s="134">
        <v>0.26</v>
      </c>
      <c r="H91" s="134">
        <v>0.26</v>
      </c>
      <c r="I91" s="134"/>
    </row>
    <row r="92" spans="1:9" hidden="1" outlineLevel="1" x14ac:dyDescent="0.3">
      <c r="A92" s="63" t="s">
        <v>5916</v>
      </c>
      <c r="B92" s="63" t="s">
        <v>940</v>
      </c>
      <c r="C92" s="63" t="s">
        <v>836</v>
      </c>
      <c r="D92" s="134">
        <v>0.26</v>
      </c>
      <c r="E92" s="134">
        <v>0.26</v>
      </c>
      <c r="F92" s="134">
        <v>0.26</v>
      </c>
      <c r="G92" s="134">
        <v>0.26</v>
      </c>
      <c r="H92" s="134">
        <v>0.26</v>
      </c>
      <c r="I92" s="134"/>
    </row>
    <row r="93" spans="1:9" hidden="1" outlineLevel="1" x14ac:dyDescent="0.3">
      <c r="A93" s="63" t="s">
        <v>5916</v>
      </c>
      <c r="B93" s="63" t="s">
        <v>940</v>
      </c>
      <c r="C93" s="63" t="s">
        <v>837</v>
      </c>
      <c r="D93" s="134">
        <v>0.26</v>
      </c>
      <c r="E93" s="134">
        <v>0.26</v>
      </c>
      <c r="F93" s="134">
        <v>0.26</v>
      </c>
      <c r="G93" s="134">
        <v>0.26</v>
      </c>
      <c r="H93" s="134">
        <v>0.26</v>
      </c>
      <c r="I93" s="134"/>
    </row>
    <row r="94" spans="1:9" hidden="1" outlineLevel="1" x14ac:dyDescent="0.3">
      <c r="A94" s="63" t="s">
        <v>5916</v>
      </c>
      <c r="B94" s="63" t="s">
        <v>940</v>
      </c>
      <c r="C94" s="63" t="s">
        <v>839</v>
      </c>
      <c r="D94" s="134">
        <v>0.26</v>
      </c>
      <c r="E94" s="134">
        <v>0.26</v>
      </c>
      <c r="F94" s="134">
        <v>0.26</v>
      </c>
      <c r="G94" s="134">
        <v>0.26</v>
      </c>
      <c r="H94" s="134">
        <v>0.26</v>
      </c>
      <c r="I94" s="134"/>
    </row>
    <row r="95" spans="1:9" hidden="1" outlineLevel="1" x14ac:dyDescent="0.3">
      <c r="A95" s="63" t="s">
        <v>5916</v>
      </c>
      <c r="B95" s="63" t="s">
        <v>940</v>
      </c>
      <c r="C95" s="63" t="s">
        <v>840</v>
      </c>
      <c r="D95" s="134">
        <v>0.26</v>
      </c>
      <c r="E95" s="134">
        <v>0.26</v>
      </c>
      <c r="F95" s="134">
        <v>0.26</v>
      </c>
      <c r="G95" s="134">
        <v>0.26</v>
      </c>
      <c r="H95" s="134">
        <v>0.26</v>
      </c>
      <c r="I95" s="134"/>
    </row>
    <row r="96" spans="1:9" collapsed="1" x14ac:dyDescent="0.3">
      <c r="A96" s="63"/>
      <c r="B96" s="63"/>
      <c r="C96" s="63"/>
      <c r="D96" s="66"/>
      <c r="E96" s="66"/>
      <c r="F96" s="66"/>
      <c r="G96" s="66"/>
      <c r="H96" s="66"/>
      <c r="I96" s="66"/>
    </row>
    <row r="97" spans="1:10" x14ac:dyDescent="0.3">
      <c r="A97" s="65" t="s">
        <v>111</v>
      </c>
      <c r="B97" s="63"/>
      <c r="C97" s="313" t="s">
        <v>1035</v>
      </c>
      <c r="D97" s="147">
        <v>937086.59375</v>
      </c>
      <c r="E97" s="147">
        <v>973596.1875</v>
      </c>
      <c r="F97" s="147">
        <v>1009329.53125</v>
      </c>
      <c r="G97" s="147">
        <v>1042528.375</v>
      </c>
      <c r="H97" s="147">
        <v>1010295.65625</v>
      </c>
      <c r="I97" s="134"/>
      <c r="J97" s="321"/>
    </row>
    <row r="98" spans="1:10" x14ac:dyDescent="0.3">
      <c r="A98" s="122" t="s">
        <v>5</v>
      </c>
      <c r="B98" s="122" t="s">
        <v>847</v>
      </c>
      <c r="C98" s="122" t="s">
        <v>193</v>
      </c>
      <c r="D98" s="123">
        <v>2025</v>
      </c>
      <c r="E98" s="123">
        <v>2030</v>
      </c>
      <c r="F98" s="123">
        <v>2035</v>
      </c>
      <c r="G98" s="123">
        <v>2040</v>
      </c>
      <c r="H98" s="123">
        <v>2045</v>
      </c>
      <c r="I98" s="123" t="s">
        <v>153</v>
      </c>
    </row>
    <row r="99" spans="1:10" hidden="1" outlineLevel="1" x14ac:dyDescent="0.3">
      <c r="A99" s="63" t="s">
        <v>111</v>
      </c>
      <c r="B99" s="63" t="s">
        <v>855</v>
      </c>
      <c r="C99" s="63" t="s">
        <v>747</v>
      </c>
      <c r="D99" s="134"/>
      <c r="E99" s="134"/>
      <c r="F99" s="134"/>
      <c r="G99" s="134"/>
      <c r="H99" s="134"/>
      <c r="I99" s="134"/>
    </row>
    <row r="100" spans="1:10" hidden="1" outlineLevel="1" x14ac:dyDescent="0.3">
      <c r="A100" s="63" t="s">
        <v>111</v>
      </c>
      <c r="B100" s="63" t="s">
        <v>855</v>
      </c>
      <c r="C100" s="63" t="s">
        <v>751</v>
      </c>
      <c r="D100" s="147">
        <v>87602</v>
      </c>
      <c r="E100" s="147">
        <v>98114</v>
      </c>
      <c r="F100" s="147">
        <v>105660</v>
      </c>
      <c r="G100" s="147">
        <v>110114</v>
      </c>
      <c r="H100" s="147">
        <v>112126</v>
      </c>
      <c r="I100" s="134"/>
    </row>
    <row r="101" spans="1:10" hidden="1" outlineLevel="1" x14ac:dyDescent="0.3">
      <c r="A101" s="63" t="s">
        <v>111</v>
      </c>
      <c r="B101" s="63" t="s">
        <v>855</v>
      </c>
      <c r="C101" s="63" t="s">
        <v>755</v>
      </c>
      <c r="D101" s="147">
        <v>91775</v>
      </c>
      <c r="E101" s="147">
        <v>95808</v>
      </c>
      <c r="F101" s="147">
        <v>100213</v>
      </c>
      <c r="G101" s="147">
        <v>104618</v>
      </c>
      <c r="H101" s="147">
        <v>109217</v>
      </c>
      <c r="I101" s="134"/>
    </row>
    <row r="102" spans="1:10" hidden="1" outlineLevel="1" x14ac:dyDescent="0.3">
      <c r="A102" s="63" t="s">
        <v>111</v>
      </c>
      <c r="B102" s="63" t="s">
        <v>855</v>
      </c>
      <c r="C102" s="63" t="s">
        <v>758</v>
      </c>
      <c r="D102" s="147">
        <v>151742</v>
      </c>
      <c r="E102" s="147">
        <v>170526</v>
      </c>
      <c r="F102" s="147">
        <v>193190</v>
      </c>
      <c r="G102" s="147">
        <v>193190</v>
      </c>
      <c r="H102" s="147">
        <v>193190</v>
      </c>
      <c r="I102" s="134"/>
    </row>
    <row r="103" spans="1:10" hidden="1" outlineLevel="1" x14ac:dyDescent="0.3">
      <c r="A103" s="63" t="s">
        <v>111</v>
      </c>
      <c r="B103" s="63" t="s">
        <v>855</v>
      </c>
      <c r="C103" s="63" t="s">
        <v>761</v>
      </c>
      <c r="D103" s="147">
        <v>64449</v>
      </c>
      <c r="E103" s="147">
        <v>74570</v>
      </c>
      <c r="F103" s="147">
        <v>81120</v>
      </c>
      <c r="G103" s="147">
        <v>87999</v>
      </c>
      <c r="H103" s="147">
        <v>102015</v>
      </c>
      <c r="I103" s="134"/>
    </row>
    <row r="104" spans="1:10" hidden="1" outlineLevel="1" x14ac:dyDescent="0.3">
      <c r="A104" s="63" t="s">
        <v>111</v>
      </c>
      <c r="B104" s="63" t="s">
        <v>855</v>
      </c>
      <c r="C104" s="63" t="s">
        <v>763</v>
      </c>
      <c r="D104" s="147">
        <v>72791</v>
      </c>
      <c r="E104" s="147">
        <v>75901</v>
      </c>
      <c r="F104" s="147">
        <v>79788</v>
      </c>
      <c r="G104" s="147">
        <v>84453</v>
      </c>
      <c r="H104" s="147">
        <v>89118</v>
      </c>
      <c r="I104" s="134"/>
    </row>
    <row r="105" spans="1:10" hidden="1" outlineLevel="1" x14ac:dyDescent="0.3">
      <c r="A105" s="63" t="s">
        <v>111</v>
      </c>
      <c r="B105" s="63" t="s">
        <v>855</v>
      </c>
      <c r="C105" s="63" t="s">
        <v>765</v>
      </c>
      <c r="D105" s="147">
        <v>134000</v>
      </c>
      <c r="E105" s="147">
        <v>139100</v>
      </c>
      <c r="F105" s="147">
        <v>144000</v>
      </c>
      <c r="G105" s="147">
        <v>149300</v>
      </c>
      <c r="H105" s="147">
        <v>154900</v>
      </c>
      <c r="I105" s="134"/>
    </row>
    <row r="106" spans="1:10" hidden="1" outlineLevel="1" x14ac:dyDescent="0.3">
      <c r="A106" s="63" t="s">
        <v>111</v>
      </c>
      <c r="B106" s="63" t="s">
        <v>855</v>
      </c>
      <c r="C106" s="63" t="s">
        <v>768</v>
      </c>
      <c r="D106" s="147"/>
      <c r="E106" s="147"/>
      <c r="F106" s="147"/>
      <c r="G106" s="147"/>
      <c r="H106" s="147"/>
      <c r="I106" s="134"/>
    </row>
    <row r="107" spans="1:10" hidden="1" outlineLevel="1" x14ac:dyDescent="0.3">
      <c r="A107" s="63" t="s">
        <v>111</v>
      </c>
      <c r="B107" s="63" t="s">
        <v>855</v>
      </c>
      <c r="C107" s="63" t="s">
        <v>771</v>
      </c>
      <c r="D107" s="147">
        <v>124892</v>
      </c>
      <c r="E107" s="147">
        <v>144125</v>
      </c>
      <c r="F107" s="147">
        <v>166320</v>
      </c>
      <c r="G107" s="147">
        <v>191934</v>
      </c>
      <c r="H107" s="147">
        <v>0</v>
      </c>
      <c r="I107" s="134"/>
    </row>
    <row r="108" spans="1:10" hidden="1" outlineLevel="1" x14ac:dyDescent="0.3">
      <c r="A108" s="63" t="s">
        <v>111</v>
      </c>
      <c r="B108" s="63" t="s">
        <v>855</v>
      </c>
      <c r="C108" s="63" t="s">
        <v>772</v>
      </c>
      <c r="D108" s="147">
        <v>216427</v>
      </c>
      <c r="E108" s="147">
        <v>249454</v>
      </c>
      <c r="F108" s="147">
        <v>277481</v>
      </c>
      <c r="G108" s="147">
        <v>300098</v>
      </c>
      <c r="H108" s="147">
        <v>322714</v>
      </c>
      <c r="I108" s="134"/>
    </row>
    <row r="109" spans="1:10" hidden="1" outlineLevel="1" x14ac:dyDescent="0.3">
      <c r="A109" s="63" t="s">
        <v>111</v>
      </c>
      <c r="B109" s="63" t="s">
        <v>855</v>
      </c>
      <c r="C109" s="63" t="s">
        <v>774</v>
      </c>
      <c r="D109" s="147">
        <v>29840</v>
      </c>
      <c r="E109" s="147">
        <v>30379</v>
      </c>
      <c r="F109" s="147">
        <v>31107</v>
      </c>
      <c r="G109" s="147">
        <v>31851</v>
      </c>
      <c r="H109" s="147">
        <v>32885</v>
      </c>
      <c r="I109" s="134"/>
    </row>
    <row r="110" spans="1:10" hidden="1" outlineLevel="1" x14ac:dyDescent="0.3">
      <c r="A110" s="63" t="s">
        <v>111</v>
      </c>
      <c r="B110" s="63" t="s">
        <v>855</v>
      </c>
      <c r="C110" s="63" t="s">
        <v>775</v>
      </c>
      <c r="D110" s="147">
        <v>11168</v>
      </c>
      <c r="E110" s="147">
        <v>11738</v>
      </c>
      <c r="F110" s="147">
        <v>12336</v>
      </c>
      <c r="G110" s="147">
        <v>12966</v>
      </c>
      <c r="H110" s="147">
        <v>13627</v>
      </c>
      <c r="I110" s="134"/>
    </row>
    <row r="111" spans="1:10" hidden="1" outlineLevel="1" x14ac:dyDescent="0.3">
      <c r="A111" s="63" t="s">
        <v>111</v>
      </c>
      <c r="B111" s="63" t="s">
        <v>855</v>
      </c>
      <c r="C111" s="63" t="s">
        <v>779</v>
      </c>
      <c r="D111" s="147"/>
      <c r="E111" s="147"/>
      <c r="F111" s="147"/>
      <c r="G111" s="147"/>
      <c r="H111" s="147"/>
      <c r="I111" s="134"/>
    </row>
    <row r="112" spans="1:10" hidden="1" outlineLevel="1" x14ac:dyDescent="0.3">
      <c r="A112" s="63" t="s">
        <v>111</v>
      </c>
      <c r="B112" s="63" t="s">
        <v>894</v>
      </c>
      <c r="C112" s="63" t="s">
        <v>781</v>
      </c>
      <c r="D112" s="147"/>
      <c r="E112" s="147"/>
      <c r="F112" s="147"/>
      <c r="G112" s="147"/>
      <c r="H112" s="147"/>
      <c r="I112" s="134"/>
    </row>
    <row r="113" spans="1:15" hidden="1" outlineLevel="1" x14ac:dyDescent="0.3">
      <c r="A113" s="63" t="s">
        <v>111</v>
      </c>
      <c r="B113" s="63" t="s">
        <v>894</v>
      </c>
      <c r="C113" s="63" t="s">
        <v>783</v>
      </c>
      <c r="D113" s="147">
        <v>19970</v>
      </c>
      <c r="E113" s="147">
        <v>22671</v>
      </c>
      <c r="F113" s="147">
        <v>25738</v>
      </c>
      <c r="G113" s="147">
        <v>29220</v>
      </c>
      <c r="H113" s="147">
        <v>33172</v>
      </c>
      <c r="I113" s="134"/>
    </row>
    <row r="114" spans="1:15" hidden="1" outlineLevel="1" x14ac:dyDescent="0.3">
      <c r="A114" s="63" t="s">
        <v>111</v>
      </c>
      <c r="B114" s="63" t="s">
        <v>894</v>
      </c>
      <c r="C114" s="63" t="s">
        <v>785</v>
      </c>
      <c r="D114" s="147">
        <v>609433</v>
      </c>
      <c r="E114" s="147">
        <v>674677</v>
      </c>
      <c r="F114" s="147">
        <v>719327</v>
      </c>
      <c r="G114" s="147">
        <v>765278</v>
      </c>
      <c r="H114" s="147">
        <v>812529</v>
      </c>
      <c r="I114" s="134"/>
    </row>
    <row r="115" spans="1:15" hidden="1" outlineLevel="1" x14ac:dyDescent="0.3">
      <c r="A115" s="63" t="s">
        <v>111</v>
      </c>
      <c r="B115" s="63" t="s">
        <v>894</v>
      </c>
      <c r="C115" s="63" t="s">
        <v>787</v>
      </c>
      <c r="D115" s="147"/>
      <c r="E115" s="147"/>
      <c r="F115" s="147"/>
      <c r="G115" s="147"/>
      <c r="H115" s="147"/>
      <c r="I115" s="134"/>
    </row>
    <row r="116" spans="1:15" hidden="1" outlineLevel="1" x14ac:dyDescent="0.3">
      <c r="A116" s="63" t="s">
        <v>111</v>
      </c>
      <c r="B116" s="63" t="s">
        <v>894</v>
      </c>
      <c r="C116" s="63" t="s">
        <v>788</v>
      </c>
      <c r="D116" s="147"/>
      <c r="E116" s="147"/>
      <c r="F116" s="147"/>
      <c r="G116" s="147"/>
      <c r="H116" s="147"/>
      <c r="I116" s="134"/>
    </row>
    <row r="117" spans="1:15" hidden="1" outlineLevel="1" x14ac:dyDescent="0.3">
      <c r="A117" s="63" t="s">
        <v>111</v>
      </c>
      <c r="B117" s="63" t="s">
        <v>894</v>
      </c>
      <c r="C117" s="63" t="s">
        <v>789</v>
      </c>
      <c r="D117" s="147"/>
      <c r="E117" s="147"/>
      <c r="F117" s="147"/>
      <c r="G117" s="147"/>
      <c r="H117" s="147"/>
      <c r="I117" s="134"/>
    </row>
    <row r="118" spans="1:15" hidden="1" outlineLevel="1" x14ac:dyDescent="0.3">
      <c r="A118" s="63" t="s">
        <v>111</v>
      </c>
      <c r="B118" s="63" t="s">
        <v>894</v>
      </c>
      <c r="C118" s="63" t="s">
        <v>790</v>
      </c>
      <c r="D118" s="147">
        <v>109900</v>
      </c>
      <c r="E118" s="147">
        <v>120367</v>
      </c>
      <c r="F118" s="147">
        <v>130833</v>
      </c>
      <c r="G118" s="147">
        <v>141300</v>
      </c>
      <c r="H118" s="147">
        <v>166700</v>
      </c>
      <c r="I118" s="134"/>
    </row>
    <row r="119" spans="1:15" hidden="1" outlineLevel="1" x14ac:dyDescent="0.3">
      <c r="A119" s="63" t="s">
        <v>111</v>
      </c>
      <c r="B119" s="63" t="s">
        <v>894</v>
      </c>
      <c r="C119" s="63" t="s">
        <v>793</v>
      </c>
      <c r="D119" s="147">
        <v>413995</v>
      </c>
      <c r="E119" s="147">
        <v>425438</v>
      </c>
      <c r="F119" s="147">
        <v>436882</v>
      </c>
      <c r="G119" s="147">
        <v>444461</v>
      </c>
      <c r="H119" s="147">
        <v>456678</v>
      </c>
      <c r="I119" s="134"/>
    </row>
    <row r="120" spans="1:15" hidden="1" outlineLevel="1" x14ac:dyDescent="0.3">
      <c r="A120" s="63" t="s">
        <v>111</v>
      </c>
      <c r="B120" s="63" t="s">
        <v>894</v>
      </c>
      <c r="C120" s="63" t="s">
        <v>795</v>
      </c>
      <c r="D120" s="147"/>
      <c r="E120" s="147"/>
      <c r="F120" s="147"/>
      <c r="G120" s="147"/>
      <c r="H120" s="147"/>
      <c r="I120" s="134"/>
    </row>
    <row r="121" spans="1:15" hidden="1" outlineLevel="1" x14ac:dyDescent="0.3">
      <c r="A121" s="63" t="s">
        <v>111</v>
      </c>
      <c r="B121" s="63" t="s">
        <v>894</v>
      </c>
      <c r="C121" s="63" t="s">
        <v>797</v>
      </c>
      <c r="D121" s="147">
        <v>379298</v>
      </c>
      <c r="E121" s="147">
        <v>395798</v>
      </c>
      <c r="F121" s="147">
        <v>413282</v>
      </c>
      <c r="G121" s="147">
        <v>431812</v>
      </c>
      <c r="H121" s="147">
        <v>451350</v>
      </c>
      <c r="I121" s="134"/>
    </row>
    <row r="122" spans="1:15" hidden="1" outlineLevel="1" x14ac:dyDescent="0.3">
      <c r="A122" s="63" t="s">
        <v>111</v>
      </c>
      <c r="B122" s="63" t="s">
        <v>915</v>
      </c>
      <c r="C122" s="63" t="s">
        <v>799</v>
      </c>
      <c r="D122" s="147">
        <v>284000</v>
      </c>
      <c r="E122" s="147">
        <v>299000</v>
      </c>
      <c r="F122" s="147">
        <v>312000</v>
      </c>
      <c r="G122" s="147">
        <v>323000</v>
      </c>
      <c r="H122" s="147">
        <v>323000</v>
      </c>
      <c r="I122" s="134"/>
    </row>
    <row r="123" spans="1:15" hidden="1" outlineLevel="1" x14ac:dyDescent="0.3">
      <c r="A123" s="63" t="s">
        <v>111</v>
      </c>
      <c r="B123" s="63" t="s">
        <v>915</v>
      </c>
      <c r="C123" s="63" t="s">
        <v>801</v>
      </c>
      <c r="D123" s="147">
        <v>362400</v>
      </c>
      <c r="E123" s="147">
        <v>371100</v>
      </c>
      <c r="F123" s="147">
        <v>379000</v>
      </c>
      <c r="G123" s="147">
        <v>387000</v>
      </c>
      <c r="H123" s="147">
        <v>442100</v>
      </c>
      <c r="I123" s="134"/>
    </row>
    <row r="124" spans="1:15" hidden="1" outlineLevel="1" x14ac:dyDescent="0.3">
      <c r="A124" s="63" t="s">
        <v>111</v>
      </c>
      <c r="B124" s="63" t="s">
        <v>915</v>
      </c>
      <c r="C124" s="63" t="s">
        <v>804</v>
      </c>
      <c r="D124" s="147">
        <v>219500</v>
      </c>
      <c r="E124" s="147">
        <v>236100</v>
      </c>
      <c r="F124" s="147">
        <v>251300</v>
      </c>
      <c r="G124" s="147">
        <v>266300</v>
      </c>
      <c r="H124" s="147">
        <v>273800</v>
      </c>
      <c r="I124" s="134"/>
    </row>
    <row r="125" spans="1:15" hidden="1" outlineLevel="1" x14ac:dyDescent="0.3">
      <c r="A125" s="63" t="s">
        <v>111</v>
      </c>
      <c r="B125" s="63" t="s">
        <v>915</v>
      </c>
      <c r="C125" s="63" t="s">
        <v>806</v>
      </c>
      <c r="D125" s="147">
        <v>1468000</v>
      </c>
      <c r="E125" s="147">
        <v>1542000</v>
      </c>
      <c r="F125" s="147">
        <v>1606000</v>
      </c>
      <c r="G125" s="147">
        <v>1704000</v>
      </c>
      <c r="H125" s="147">
        <v>0</v>
      </c>
      <c r="I125" s="134"/>
    </row>
    <row r="126" spans="1:15" hidden="1" outlineLevel="1" x14ac:dyDescent="0.3">
      <c r="A126" s="63" t="s">
        <v>111</v>
      </c>
      <c r="B126" s="63" t="s">
        <v>915</v>
      </c>
      <c r="C126" s="63" t="s">
        <v>808</v>
      </c>
      <c r="D126" s="147">
        <v>54990</v>
      </c>
      <c r="E126" s="147">
        <v>61069</v>
      </c>
      <c r="F126" s="147">
        <v>67193</v>
      </c>
      <c r="G126" s="147">
        <v>73682</v>
      </c>
      <c r="H126" s="147">
        <v>0</v>
      </c>
      <c r="I126" s="134"/>
      <c r="J126" s="37"/>
      <c r="K126" s="37"/>
      <c r="L126" s="37"/>
      <c r="M126" s="37"/>
      <c r="N126" s="37"/>
      <c r="O126" s="37"/>
    </row>
    <row r="127" spans="1:15" hidden="1" outlineLevel="1" x14ac:dyDescent="0.3">
      <c r="A127" s="63" t="s">
        <v>111</v>
      </c>
      <c r="B127" s="63" t="s">
        <v>915</v>
      </c>
      <c r="C127" s="63" t="s">
        <v>811</v>
      </c>
      <c r="D127" s="147">
        <v>2098695</v>
      </c>
      <c r="E127" s="147">
        <v>2217750</v>
      </c>
      <c r="F127" s="147">
        <v>2387165</v>
      </c>
      <c r="G127" s="147">
        <v>2538320</v>
      </c>
      <c r="H127" s="147">
        <v>2699046</v>
      </c>
      <c r="I127" s="134"/>
    </row>
    <row r="128" spans="1:15" hidden="1" outlineLevel="1" x14ac:dyDescent="0.3">
      <c r="A128" s="63" t="s">
        <v>111</v>
      </c>
      <c r="B128" s="63" t="s">
        <v>934</v>
      </c>
      <c r="C128" s="63" t="s">
        <v>814</v>
      </c>
      <c r="D128" s="147">
        <v>48968</v>
      </c>
      <c r="E128" s="147">
        <v>50576</v>
      </c>
      <c r="F128" s="147">
        <v>51675</v>
      </c>
      <c r="G128" s="147">
        <v>52364</v>
      </c>
      <c r="H128" s="147">
        <v>52722</v>
      </c>
      <c r="I128" s="134"/>
    </row>
    <row r="129" spans="1:14" hidden="1" outlineLevel="1" x14ac:dyDescent="0.3">
      <c r="A129" s="63" t="s">
        <v>111</v>
      </c>
      <c r="B129" s="63" t="s">
        <v>934</v>
      </c>
      <c r="C129" s="63" t="s">
        <v>815</v>
      </c>
      <c r="D129" s="147"/>
      <c r="E129" s="147"/>
      <c r="F129" s="147"/>
      <c r="G129" s="147"/>
      <c r="H129" s="147"/>
      <c r="I129" s="134"/>
    </row>
    <row r="130" spans="1:14" hidden="1" outlineLevel="1" x14ac:dyDescent="0.3">
      <c r="A130" s="63" t="s">
        <v>111</v>
      </c>
      <c r="B130" s="63" t="s">
        <v>940</v>
      </c>
      <c r="C130" s="63" t="s">
        <v>817</v>
      </c>
      <c r="D130" s="147">
        <v>345335</v>
      </c>
      <c r="E130" s="147">
        <v>370100</v>
      </c>
      <c r="F130" s="147">
        <v>394864</v>
      </c>
      <c r="G130" s="147">
        <v>420967</v>
      </c>
      <c r="H130" s="147">
        <v>447071</v>
      </c>
      <c r="I130" s="134"/>
    </row>
    <row r="131" spans="1:14" hidden="1" outlineLevel="1" x14ac:dyDescent="0.3">
      <c r="A131" s="63" t="s">
        <v>111</v>
      </c>
      <c r="B131" s="63" t="s">
        <v>940</v>
      </c>
      <c r="C131" s="63" t="s">
        <v>944</v>
      </c>
      <c r="D131" s="147">
        <v>332100</v>
      </c>
      <c r="E131" s="147">
        <v>362100</v>
      </c>
      <c r="F131" s="147">
        <v>392500</v>
      </c>
      <c r="G131" s="147">
        <v>411900</v>
      </c>
      <c r="H131" s="147">
        <v>422100</v>
      </c>
      <c r="I131" s="134"/>
    </row>
    <row r="132" spans="1:14" hidden="1" outlineLevel="1" x14ac:dyDescent="0.3">
      <c r="A132" s="63" t="s">
        <v>111</v>
      </c>
      <c r="B132" s="63" t="s">
        <v>940</v>
      </c>
      <c r="C132" s="63" t="s">
        <v>821</v>
      </c>
      <c r="D132" s="147">
        <v>292077</v>
      </c>
      <c r="E132" s="147">
        <v>315202</v>
      </c>
      <c r="F132" s="147">
        <v>338274</v>
      </c>
      <c r="G132" s="147">
        <v>360813</v>
      </c>
      <c r="H132" s="147">
        <v>383300</v>
      </c>
      <c r="I132" s="134"/>
    </row>
    <row r="133" spans="1:14" hidden="1" outlineLevel="1" x14ac:dyDescent="0.3">
      <c r="A133" s="63" t="s">
        <v>111</v>
      </c>
      <c r="B133" s="63" t="s">
        <v>940</v>
      </c>
      <c r="C133" s="63" t="s">
        <v>823</v>
      </c>
      <c r="D133" s="147"/>
      <c r="E133" s="147"/>
      <c r="F133" s="147"/>
      <c r="G133" s="147"/>
      <c r="H133" s="147"/>
      <c r="I133" s="134"/>
    </row>
    <row r="134" spans="1:14" hidden="1" outlineLevel="1" x14ac:dyDescent="0.3">
      <c r="A134" s="63" t="s">
        <v>111</v>
      </c>
      <c r="B134" s="63" t="s">
        <v>940</v>
      </c>
      <c r="C134" s="63" t="s">
        <v>825</v>
      </c>
      <c r="D134" s="147">
        <v>75588</v>
      </c>
      <c r="E134" s="147">
        <v>79495</v>
      </c>
      <c r="F134" s="147">
        <v>83403</v>
      </c>
      <c r="G134" s="147">
        <v>87344</v>
      </c>
      <c r="H134" s="147">
        <v>91284</v>
      </c>
      <c r="I134" s="134"/>
    </row>
    <row r="135" spans="1:14" hidden="1" outlineLevel="1" x14ac:dyDescent="0.3">
      <c r="A135" s="63" t="s">
        <v>111</v>
      </c>
      <c r="B135" s="63" t="s">
        <v>940</v>
      </c>
      <c r="C135" s="63" t="s">
        <v>827</v>
      </c>
      <c r="D135" s="147">
        <v>20089000</v>
      </c>
      <c r="E135" s="147">
        <v>20634000</v>
      </c>
      <c r="F135" s="147">
        <v>21145000</v>
      </c>
      <c r="G135" s="147">
        <v>21610000</v>
      </c>
      <c r="H135" s="147">
        <v>22026000</v>
      </c>
      <c r="I135" s="134"/>
    </row>
    <row r="136" spans="1:14" hidden="1" outlineLevel="1" x14ac:dyDescent="0.3">
      <c r="A136" s="63" t="s">
        <v>111</v>
      </c>
      <c r="B136" s="63" t="s">
        <v>940</v>
      </c>
      <c r="C136" s="63" t="s">
        <v>829</v>
      </c>
      <c r="D136" s="147">
        <v>533170</v>
      </c>
      <c r="E136" s="147">
        <v>567855</v>
      </c>
      <c r="F136" s="147">
        <v>592849</v>
      </c>
      <c r="G136" s="147">
        <v>614931</v>
      </c>
      <c r="H136" s="147">
        <v>634934</v>
      </c>
      <c r="I136" s="134"/>
    </row>
    <row r="137" spans="1:14" hidden="1" outlineLevel="1" x14ac:dyDescent="0.3">
      <c r="A137" s="63" t="s">
        <v>111</v>
      </c>
      <c r="B137" s="63" t="s">
        <v>940</v>
      </c>
      <c r="C137" s="63" t="s">
        <v>833</v>
      </c>
      <c r="D137" s="147">
        <v>128998</v>
      </c>
      <c r="E137" s="147">
        <v>132003</v>
      </c>
      <c r="F137" s="147">
        <v>138554</v>
      </c>
      <c r="G137" s="147">
        <v>145962</v>
      </c>
      <c r="H137" s="147">
        <v>153766</v>
      </c>
      <c r="I137" s="134"/>
    </row>
    <row r="138" spans="1:14" hidden="1" outlineLevel="1" x14ac:dyDescent="0.3">
      <c r="A138" s="63" t="s">
        <v>111</v>
      </c>
      <c r="B138" s="63" t="s">
        <v>940</v>
      </c>
      <c r="C138" s="63" t="s">
        <v>836</v>
      </c>
      <c r="D138" s="147">
        <v>747984</v>
      </c>
      <c r="E138" s="147">
        <v>781550</v>
      </c>
      <c r="F138" s="147">
        <v>816622</v>
      </c>
      <c r="G138" s="147">
        <v>843974</v>
      </c>
      <c r="H138" s="147">
        <v>872242</v>
      </c>
      <c r="I138" s="134"/>
    </row>
    <row r="139" spans="1:14" hidden="1" outlineLevel="1" x14ac:dyDescent="0.3">
      <c r="A139" s="63" t="s">
        <v>111</v>
      </c>
      <c r="B139" s="63" t="s">
        <v>940</v>
      </c>
      <c r="C139" s="63" t="s">
        <v>837</v>
      </c>
      <c r="D139" s="147">
        <v>270684</v>
      </c>
      <c r="E139" s="147">
        <v>273012</v>
      </c>
      <c r="F139" s="147">
        <v>275369</v>
      </c>
      <c r="G139" s="147">
        <v>277757</v>
      </c>
      <c r="H139" s="147">
        <v>280175</v>
      </c>
      <c r="I139" s="134"/>
    </row>
    <row r="140" spans="1:14" hidden="1" outlineLevel="1" x14ac:dyDescent="0.3">
      <c r="A140" s="63" t="s">
        <v>111</v>
      </c>
      <c r="B140" s="63" t="s">
        <v>940</v>
      </c>
      <c r="C140" s="63" t="s">
        <v>839</v>
      </c>
      <c r="D140" s="147">
        <v>118000</v>
      </c>
      <c r="E140" s="147">
        <v>133500</v>
      </c>
      <c r="F140" s="147">
        <v>149500</v>
      </c>
      <c r="G140" s="147">
        <v>164000</v>
      </c>
      <c r="H140" s="147">
        <v>177700</v>
      </c>
      <c r="I140" s="134"/>
    </row>
    <row r="141" spans="1:14" hidden="1" outlineLevel="1" x14ac:dyDescent="0.3">
      <c r="A141" s="63" t="s">
        <v>111</v>
      </c>
      <c r="B141" s="63" t="s">
        <v>940</v>
      </c>
      <c r="C141" s="63" t="s">
        <v>840</v>
      </c>
      <c r="D141" s="147"/>
      <c r="E141" s="147"/>
      <c r="F141" s="147"/>
      <c r="G141" s="147"/>
      <c r="H141" s="147"/>
      <c r="I141" s="134"/>
    </row>
    <row r="142" spans="1:14" collapsed="1" x14ac:dyDescent="0.3">
      <c r="A142" s="254"/>
      <c r="B142" s="254"/>
      <c r="C142" s="254"/>
      <c r="D142" s="254"/>
      <c r="E142" s="254"/>
      <c r="F142" s="254"/>
      <c r="G142" s="254"/>
      <c r="H142" s="254"/>
      <c r="I142" s="254"/>
      <c r="K142" s="41"/>
    </row>
    <row r="143" spans="1:14" x14ac:dyDescent="0.3">
      <c r="A143" s="65" t="s">
        <v>106</v>
      </c>
      <c r="B143" s="254"/>
      <c r="C143" s="64" t="s">
        <v>3973</v>
      </c>
      <c r="D143" s="312">
        <v>1278000</v>
      </c>
      <c r="E143" s="312">
        <v>1278000</v>
      </c>
      <c r="F143" s="312">
        <v>1278000</v>
      </c>
      <c r="G143" s="312">
        <v>1278000</v>
      </c>
      <c r="H143" s="312">
        <v>1278000</v>
      </c>
      <c r="I143" s="224"/>
      <c r="K143" s="41"/>
    </row>
    <row r="144" spans="1:14" x14ac:dyDescent="0.3">
      <c r="A144" s="122" t="s">
        <v>5</v>
      </c>
      <c r="B144" s="122" t="s">
        <v>847</v>
      </c>
      <c r="C144" s="122" t="s">
        <v>193</v>
      </c>
      <c r="D144" s="314">
        <v>2025</v>
      </c>
      <c r="E144" s="314">
        <v>2030</v>
      </c>
      <c r="F144" s="314">
        <v>2035</v>
      </c>
      <c r="G144" s="314">
        <v>2040</v>
      </c>
      <c r="H144" s="314">
        <v>2045</v>
      </c>
      <c r="I144" s="315" t="s">
        <v>153</v>
      </c>
      <c r="K144" s="41"/>
      <c r="L144" s="37"/>
      <c r="M144" s="37"/>
      <c r="N144" s="37"/>
    </row>
    <row r="145" spans="1:16" hidden="1" outlineLevel="1" x14ac:dyDescent="0.3">
      <c r="A145" s="63" t="s">
        <v>106</v>
      </c>
      <c r="B145" s="63" t="s">
        <v>855</v>
      </c>
      <c r="C145" s="63" t="s">
        <v>747</v>
      </c>
      <c r="D145" s="312">
        <v>0</v>
      </c>
      <c r="E145" s="312">
        <v>0</v>
      </c>
      <c r="F145" s="312">
        <v>0</v>
      </c>
      <c r="G145" s="312">
        <v>0</v>
      </c>
      <c r="H145" s="312">
        <v>0</v>
      </c>
      <c r="I145" s="224"/>
      <c r="J145" s="37"/>
      <c r="K145" s="41"/>
      <c r="L145" s="37"/>
      <c r="M145" s="37"/>
      <c r="N145" s="37"/>
      <c r="O145" s="37"/>
      <c r="P145" s="37"/>
    </row>
    <row r="146" spans="1:16" hidden="1" outlineLevel="1" x14ac:dyDescent="0.3">
      <c r="A146" s="63" t="s">
        <v>106</v>
      </c>
      <c r="B146" s="63" t="s">
        <v>855</v>
      </c>
      <c r="C146" s="63" t="s">
        <v>751</v>
      </c>
      <c r="D146" s="312">
        <v>0</v>
      </c>
      <c r="E146" s="312">
        <v>0</v>
      </c>
      <c r="F146" s="312">
        <v>0</v>
      </c>
      <c r="G146" s="312">
        <v>0</v>
      </c>
      <c r="H146" s="312">
        <v>0</v>
      </c>
      <c r="I146" s="224"/>
      <c r="J146" s="37"/>
      <c r="K146" s="41"/>
      <c r="L146" s="37"/>
      <c r="M146" s="37"/>
      <c r="N146" s="37"/>
      <c r="O146" s="37"/>
      <c r="P146" s="37"/>
    </row>
    <row r="147" spans="1:16" hidden="1" outlineLevel="1" x14ac:dyDescent="0.3">
      <c r="A147" s="63" t="s">
        <v>106</v>
      </c>
      <c r="B147" s="63" t="s">
        <v>855</v>
      </c>
      <c r="C147" s="63" t="s">
        <v>755</v>
      </c>
      <c r="D147" s="312">
        <v>0</v>
      </c>
      <c r="E147" s="312">
        <v>0</v>
      </c>
      <c r="F147" s="312">
        <v>0</v>
      </c>
      <c r="G147" s="312">
        <v>0</v>
      </c>
      <c r="H147" s="312">
        <v>0</v>
      </c>
      <c r="I147" s="224"/>
      <c r="J147" s="37"/>
      <c r="K147" s="41"/>
      <c r="L147" s="37"/>
      <c r="M147" s="37"/>
      <c r="N147" s="37"/>
      <c r="O147" s="37"/>
      <c r="P147" s="37"/>
    </row>
    <row r="148" spans="1:16" hidden="1" outlineLevel="1" x14ac:dyDescent="0.3">
      <c r="A148" s="63" t="s">
        <v>106</v>
      </c>
      <c r="B148" s="63" t="s">
        <v>855</v>
      </c>
      <c r="C148" s="63" t="s">
        <v>758</v>
      </c>
      <c r="D148" s="312">
        <v>0</v>
      </c>
      <c r="E148" s="312">
        <v>0</v>
      </c>
      <c r="F148" s="312">
        <v>0</v>
      </c>
      <c r="G148" s="312">
        <v>0</v>
      </c>
      <c r="H148" s="312">
        <v>0</v>
      </c>
      <c r="I148" s="224"/>
      <c r="J148" s="37"/>
      <c r="K148" s="41"/>
      <c r="L148" s="37"/>
      <c r="M148" s="37"/>
      <c r="N148" s="37"/>
      <c r="O148" s="37"/>
      <c r="P148" s="37"/>
    </row>
    <row r="149" spans="1:16" hidden="1" outlineLevel="1" x14ac:dyDescent="0.3">
      <c r="A149" s="63" t="s">
        <v>106</v>
      </c>
      <c r="B149" s="63" t="s">
        <v>855</v>
      </c>
      <c r="C149" s="63" t="s">
        <v>761</v>
      </c>
      <c r="D149" s="312">
        <v>0</v>
      </c>
      <c r="E149" s="312">
        <v>0</v>
      </c>
      <c r="F149" s="312">
        <v>0</v>
      </c>
      <c r="G149" s="312">
        <v>0</v>
      </c>
      <c r="H149" s="312">
        <v>0</v>
      </c>
      <c r="I149" s="224"/>
      <c r="J149" s="37"/>
      <c r="K149" s="41"/>
      <c r="L149" s="37"/>
      <c r="M149" s="37"/>
      <c r="N149" s="37"/>
      <c r="O149" s="37"/>
      <c r="P149" s="37"/>
    </row>
    <row r="150" spans="1:16" hidden="1" outlineLevel="1" x14ac:dyDescent="0.3">
      <c r="A150" s="63" t="s">
        <v>106</v>
      </c>
      <c r="B150" s="63" t="s">
        <v>855</v>
      </c>
      <c r="C150" s="63" t="s">
        <v>763</v>
      </c>
      <c r="D150" s="312">
        <v>0</v>
      </c>
      <c r="E150" s="312">
        <v>0</v>
      </c>
      <c r="F150" s="312">
        <v>0</v>
      </c>
      <c r="G150" s="312">
        <v>0</v>
      </c>
      <c r="H150" s="312">
        <v>0</v>
      </c>
      <c r="I150" s="224"/>
      <c r="J150" s="37"/>
      <c r="K150" s="41"/>
      <c r="L150" s="37"/>
      <c r="M150" s="37"/>
      <c r="N150" s="37"/>
      <c r="O150" s="37"/>
      <c r="P150" s="37"/>
    </row>
    <row r="151" spans="1:16" hidden="1" outlineLevel="1" x14ac:dyDescent="0.3">
      <c r="A151" s="63" t="s">
        <v>106</v>
      </c>
      <c r="B151" s="63" t="s">
        <v>855</v>
      </c>
      <c r="C151" s="63" t="s">
        <v>765</v>
      </c>
      <c r="D151" s="312">
        <v>0</v>
      </c>
      <c r="E151" s="312">
        <v>0</v>
      </c>
      <c r="F151" s="312">
        <v>0</v>
      </c>
      <c r="G151" s="312">
        <v>0</v>
      </c>
      <c r="H151" s="312">
        <v>0</v>
      </c>
      <c r="I151" s="224"/>
      <c r="J151" s="37"/>
      <c r="K151" s="41"/>
      <c r="L151" s="37"/>
      <c r="M151" s="37"/>
      <c r="N151" s="37"/>
      <c r="O151" s="37"/>
      <c r="P151" s="37"/>
    </row>
    <row r="152" spans="1:16" hidden="1" outlineLevel="1" x14ac:dyDescent="0.3">
      <c r="A152" s="63" t="s">
        <v>106</v>
      </c>
      <c r="B152" s="63" t="s">
        <v>855</v>
      </c>
      <c r="C152" s="63" t="s">
        <v>768</v>
      </c>
      <c r="D152" s="312">
        <v>0</v>
      </c>
      <c r="E152" s="312">
        <v>0</v>
      </c>
      <c r="F152" s="312">
        <v>0</v>
      </c>
      <c r="G152" s="312">
        <v>0</v>
      </c>
      <c r="H152" s="312">
        <v>0</v>
      </c>
      <c r="I152" s="224"/>
      <c r="J152" s="37"/>
      <c r="K152" s="41"/>
      <c r="L152" s="37"/>
      <c r="M152" s="37"/>
      <c r="N152" s="37"/>
      <c r="O152" s="37"/>
      <c r="P152" s="37"/>
    </row>
    <row r="153" spans="1:16" hidden="1" outlineLevel="1" x14ac:dyDescent="0.3">
      <c r="A153" s="63" t="s">
        <v>106</v>
      </c>
      <c r="B153" s="63" t="s">
        <v>855</v>
      </c>
      <c r="C153" s="63" t="s">
        <v>771</v>
      </c>
      <c r="D153" s="312">
        <v>0</v>
      </c>
      <c r="E153" s="312">
        <v>0</v>
      </c>
      <c r="F153" s="312">
        <v>0</v>
      </c>
      <c r="G153" s="312">
        <v>0</v>
      </c>
      <c r="H153" s="312">
        <v>0</v>
      </c>
      <c r="I153" s="224"/>
      <c r="J153" s="37"/>
      <c r="K153" s="41"/>
      <c r="L153" s="37"/>
      <c r="M153" s="37"/>
      <c r="N153" s="37"/>
      <c r="O153" s="37"/>
      <c r="P153" s="37"/>
    </row>
    <row r="154" spans="1:16" hidden="1" outlineLevel="1" x14ac:dyDescent="0.3">
      <c r="A154" s="63" t="s">
        <v>106</v>
      </c>
      <c r="B154" s="63" t="s">
        <v>855</v>
      </c>
      <c r="C154" s="63" t="s">
        <v>772</v>
      </c>
      <c r="D154" s="312">
        <v>0</v>
      </c>
      <c r="E154" s="312">
        <v>0</v>
      </c>
      <c r="F154" s="312">
        <v>0</v>
      </c>
      <c r="G154" s="312">
        <v>0</v>
      </c>
      <c r="H154" s="312">
        <v>0</v>
      </c>
      <c r="I154" s="224"/>
      <c r="J154" s="37"/>
      <c r="K154" s="41"/>
      <c r="L154" s="37"/>
      <c r="M154" s="37"/>
      <c r="N154" s="37"/>
      <c r="O154" s="37"/>
      <c r="P154" s="37"/>
    </row>
    <row r="155" spans="1:16" hidden="1" outlineLevel="1" x14ac:dyDescent="0.3">
      <c r="A155" s="63" t="s">
        <v>106</v>
      </c>
      <c r="B155" s="63" t="s">
        <v>855</v>
      </c>
      <c r="C155" s="63" t="s">
        <v>774</v>
      </c>
      <c r="D155" s="312">
        <v>0</v>
      </c>
      <c r="E155" s="312">
        <v>0</v>
      </c>
      <c r="F155" s="312">
        <v>0</v>
      </c>
      <c r="G155" s="312">
        <v>0</v>
      </c>
      <c r="H155" s="312">
        <v>0</v>
      </c>
      <c r="I155" s="224"/>
      <c r="J155" s="37"/>
      <c r="K155" s="41"/>
      <c r="L155" s="37"/>
      <c r="M155" s="37"/>
      <c r="N155" s="37"/>
      <c r="O155" s="37"/>
      <c r="P155" s="37"/>
    </row>
    <row r="156" spans="1:16" hidden="1" outlineLevel="1" x14ac:dyDescent="0.3">
      <c r="A156" s="63" t="s">
        <v>106</v>
      </c>
      <c r="B156" s="63" t="s">
        <v>855</v>
      </c>
      <c r="C156" s="63" t="s">
        <v>775</v>
      </c>
      <c r="D156" s="312">
        <v>0</v>
      </c>
      <c r="E156" s="312">
        <v>0</v>
      </c>
      <c r="F156" s="312">
        <v>0</v>
      </c>
      <c r="G156" s="312">
        <v>0</v>
      </c>
      <c r="H156" s="312">
        <v>0</v>
      </c>
      <c r="I156" s="224"/>
      <c r="J156" s="37"/>
      <c r="K156" s="41"/>
      <c r="L156" s="37"/>
      <c r="M156" s="37"/>
      <c r="N156" s="37"/>
      <c r="O156" s="37"/>
      <c r="P156" s="37"/>
    </row>
    <row r="157" spans="1:16" hidden="1" outlineLevel="1" x14ac:dyDescent="0.3">
      <c r="A157" s="63" t="s">
        <v>106</v>
      </c>
      <c r="B157" s="63" t="s">
        <v>855</v>
      </c>
      <c r="C157" s="63" t="s">
        <v>779</v>
      </c>
      <c r="D157" s="312">
        <v>0</v>
      </c>
      <c r="E157" s="312">
        <v>0</v>
      </c>
      <c r="F157" s="312">
        <v>0</v>
      </c>
      <c r="G157" s="312">
        <v>0</v>
      </c>
      <c r="H157" s="312">
        <v>0</v>
      </c>
      <c r="I157" s="224"/>
      <c r="J157" s="37"/>
      <c r="K157" s="41"/>
      <c r="L157" s="37"/>
      <c r="M157" s="37"/>
      <c r="N157" s="37"/>
      <c r="O157" s="37"/>
      <c r="P157" s="37"/>
    </row>
    <row r="158" spans="1:16" hidden="1" outlineLevel="1" x14ac:dyDescent="0.3">
      <c r="A158" s="63" t="s">
        <v>106</v>
      </c>
      <c r="B158" s="63" t="s">
        <v>894</v>
      </c>
      <c r="C158" s="63" t="s">
        <v>781</v>
      </c>
      <c r="D158" s="312">
        <v>0</v>
      </c>
      <c r="E158" s="312">
        <v>0</v>
      </c>
      <c r="F158" s="312">
        <v>0</v>
      </c>
      <c r="G158" s="312">
        <v>0</v>
      </c>
      <c r="H158" s="312">
        <v>0</v>
      </c>
      <c r="I158" s="224"/>
      <c r="J158" s="37"/>
      <c r="K158" s="41"/>
      <c r="L158" s="37"/>
      <c r="M158" s="37"/>
      <c r="N158" s="37"/>
      <c r="O158" s="37"/>
      <c r="P158" s="37"/>
    </row>
    <row r="159" spans="1:16" hidden="1" outlineLevel="1" x14ac:dyDescent="0.3">
      <c r="A159" s="63" t="s">
        <v>106</v>
      </c>
      <c r="B159" s="63" t="s">
        <v>894</v>
      </c>
      <c r="C159" s="63" t="s">
        <v>783</v>
      </c>
      <c r="D159" s="312">
        <v>0</v>
      </c>
      <c r="E159" s="312">
        <v>0</v>
      </c>
      <c r="F159" s="312">
        <v>0</v>
      </c>
      <c r="G159" s="312">
        <v>0</v>
      </c>
      <c r="H159" s="312">
        <v>0</v>
      </c>
      <c r="I159" s="224"/>
      <c r="J159" s="37"/>
      <c r="K159" s="41"/>
      <c r="L159" s="37"/>
      <c r="M159" s="37"/>
      <c r="N159" s="37"/>
      <c r="O159" s="37"/>
      <c r="P159" s="37"/>
    </row>
    <row r="160" spans="1:16" hidden="1" outlineLevel="1" x14ac:dyDescent="0.3">
      <c r="A160" s="63" t="s">
        <v>106</v>
      </c>
      <c r="B160" s="63" t="s">
        <v>894</v>
      </c>
      <c r="C160" s="63" t="s">
        <v>785</v>
      </c>
      <c r="D160" s="312">
        <v>0</v>
      </c>
      <c r="E160" s="312">
        <v>0</v>
      </c>
      <c r="F160" s="312">
        <v>0</v>
      </c>
      <c r="G160" s="312">
        <v>0</v>
      </c>
      <c r="H160" s="312">
        <v>0</v>
      </c>
      <c r="I160" s="224"/>
      <c r="J160" s="37"/>
      <c r="K160" s="41"/>
      <c r="L160" s="37"/>
      <c r="M160" s="37"/>
      <c r="N160" s="37"/>
      <c r="O160" s="37"/>
      <c r="P160" s="37"/>
    </row>
    <row r="161" spans="1:16" hidden="1" outlineLevel="1" x14ac:dyDescent="0.3">
      <c r="A161" s="63" t="s">
        <v>106</v>
      </c>
      <c r="B161" s="63" t="s">
        <v>894</v>
      </c>
      <c r="C161" s="63" t="s">
        <v>787</v>
      </c>
      <c r="D161" s="312">
        <v>0</v>
      </c>
      <c r="E161" s="312">
        <v>0</v>
      </c>
      <c r="F161" s="312">
        <v>0</v>
      </c>
      <c r="G161" s="312">
        <v>0</v>
      </c>
      <c r="H161" s="312">
        <v>0</v>
      </c>
      <c r="I161" s="224"/>
      <c r="J161" s="37"/>
      <c r="K161" s="41"/>
      <c r="L161" s="37"/>
      <c r="M161" s="37"/>
      <c r="N161" s="37"/>
      <c r="O161" s="37"/>
      <c r="P161" s="37"/>
    </row>
    <row r="162" spans="1:16" hidden="1" outlineLevel="1" x14ac:dyDescent="0.3">
      <c r="A162" s="63" t="s">
        <v>106</v>
      </c>
      <c r="B162" s="63" t="s">
        <v>894</v>
      </c>
      <c r="C162" s="63" t="s">
        <v>788</v>
      </c>
      <c r="D162" s="312">
        <v>0</v>
      </c>
      <c r="E162" s="312">
        <v>0</v>
      </c>
      <c r="F162" s="312">
        <v>0</v>
      </c>
      <c r="G162" s="312">
        <v>0</v>
      </c>
      <c r="H162" s="312">
        <v>0</v>
      </c>
      <c r="I162" s="224"/>
      <c r="J162" s="37"/>
      <c r="K162" s="41"/>
      <c r="L162" s="37"/>
      <c r="M162" s="37"/>
      <c r="N162" s="37"/>
      <c r="O162" s="37"/>
      <c r="P162" s="37"/>
    </row>
    <row r="163" spans="1:16" hidden="1" outlineLevel="1" x14ac:dyDescent="0.3">
      <c r="A163" s="63" t="s">
        <v>106</v>
      </c>
      <c r="B163" s="63" t="s">
        <v>894</v>
      </c>
      <c r="C163" s="63" t="s">
        <v>789</v>
      </c>
      <c r="D163" s="312">
        <v>0</v>
      </c>
      <c r="E163" s="312">
        <v>0</v>
      </c>
      <c r="F163" s="312">
        <v>0</v>
      </c>
      <c r="G163" s="312">
        <v>0</v>
      </c>
      <c r="H163" s="312">
        <v>0</v>
      </c>
      <c r="I163" s="224"/>
      <c r="J163" s="37"/>
      <c r="K163" s="41"/>
      <c r="L163" s="37"/>
      <c r="M163" s="37"/>
      <c r="N163" s="37"/>
      <c r="O163" s="37"/>
      <c r="P163" s="37"/>
    </row>
    <row r="164" spans="1:16" hidden="1" outlineLevel="1" x14ac:dyDescent="0.3">
      <c r="A164" s="63" t="s">
        <v>106</v>
      </c>
      <c r="B164" s="63" t="s">
        <v>894</v>
      </c>
      <c r="C164" s="63" t="s">
        <v>790</v>
      </c>
      <c r="D164" s="312">
        <v>0</v>
      </c>
      <c r="E164" s="312">
        <v>0</v>
      </c>
      <c r="F164" s="312">
        <v>0</v>
      </c>
      <c r="G164" s="312">
        <v>0</v>
      </c>
      <c r="H164" s="312">
        <v>0</v>
      </c>
      <c r="I164" s="224"/>
      <c r="J164" s="37"/>
      <c r="K164" s="41"/>
      <c r="L164" s="37"/>
      <c r="M164" s="37"/>
      <c r="N164" s="37"/>
      <c r="O164" s="37"/>
      <c r="P164" s="37"/>
    </row>
    <row r="165" spans="1:16" hidden="1" outlineLevel="1" x14ac:dyDescent="0.3">
      <c r="A165" s="63" t="s">
        <v>106</v>
      </c>
      <c r="B165" s="63" t="s">
        <v>894</v>
      </c>
      <c r="C165" s="63" t="s">
        <v>793</v>
      </c>
      <c r="D165" s="312">
        <v>0</v>
      </c>
      <c r="E165" s="312">
        <v>0</v>
      </c>
      <c r="F165" s="312">
        <v>0</v>
      </c>
      <c r="G165" s="312">
        <v>0</v>
      </c>
      <c r="H165" s="312">
        <v>0</v>
      </c>
      <c r="I165" s="224"/>
      <c r="J165" s="37"/>
      <c r="K165" s="41"/>
      <c r="L165" s="37"/>
      <c r="M165" s="37"/>
      <c r="N165" s="37"/>
      <c r="O165" s="37"/>
      <c r="P165" s="37"/>
    </row>
    <row r="166" spans="1:16" hidden="1" outlineLevel="1" x14ac:dyDescent="0.3">
      <c r="A166" s="63" t="s">
        <v>106</v>
      </c>
      <c r="B166" s="63" t="s">
        <v>894</v>
      </c>
      <c r="C166" s="63" t="s">
        <v>795</v>
      </c>
      <c r="D166" s="312">
        <v>0</v>
      </c>
      <c r="E166" s="312">
        <v>0</v>
      </c>
      <c r="F166" s="312">
        <v>0</v>
      </c>
      <c r="G166" s="312">
        <v>0</v>
      </c>
      <c r="H166" s="312">
        <v>0</v>
      </c>
      <c r="I166" s="224"/>
      <c r="J166" s="37"/>
      <c r="K166" s="41"/>
      <c r="L166" s="37"/>
      <c r="M166" s="37"/>
      <c r="N166" s="37"/>
      <c r="O166" s="37"/>
      <c r="P166" s="37"/>
    </row>
    <row r="167" spans="1:16" hidden="1" outlineLevel="1" x14ac:dyDescent="0.3">
      <c r="A167" s="63" t="s">
        <v>106</v>
      </c>
      <c r="B167" s="63" t="s">
        <v>894</v>
      </c>
      <c r="C167" s="63" t="s">
        <v>797</v>
      </c>
      <c r="D167" s="312">
        <v>0</v>
      </c>
      <c r="E167" s="312">
        <v>0</v>
      </c>
      <c r="F167" s="312">
        <v>0</v>
      </c>
      <c r="G167" s="312">
        <v>0</v>
      </c>
      <c r="H167" s="312">
        <v>0</v>
      </c>
      <c r="I167" s="224"/>
      <c r="J167" s="37"/>
      <c r="K167" s="41"/>
      <c r="L167" s="37"/>
      <c r="M167" s="37"/>
      <c r="N167" s="37"/>
      <c r="O167" s="37"/>
      <c r="P167" s="37"/>
    </row>
    <row r="168" spans="1:16" hidden="1" outlineLevel="1" x14ac:dyDescent="0.3">
      <c r="A168" s="63" t="s">
        <v>106</v>
      </c>
      <c r="B168" s="63" t="s">
        <v>915</v>
      </c>
      <c r="C168" s="63" t="s">
        <v>799</v>
      </c>
      <c r="D168" s="312">
        <v>0</v>
      </c>
      <c r="E168" s="312">
        <v>0</v>
      </c>
      <c r="F168" s="312">
        <v>0</v>
      </c>
      <c r="G168" s="312">
        <v>0</v>
      </c>
      <c r="H168" s="312">
        <v>0</v>
      </c>
      <c r="I168" s="224"/>
      <c r="J168" s="37"/>
      <c r="K168" s="41"/>
      <c r="L168" s="37"/>
      <c r="M168" s="37"/>
      <c r="N168" s="37"/>
      <c r="O168" s="37"/>
      <c r="P168" s="37"/>
    </row>
    <row r="169" spans="1:16" hidden="1" outlineLevel="1" x14ac:dyDescent="0.3">
      <c r="A169" s="63" t="s">
        <v>106</v>
      </c>
      <c r="B169" s="63" t="s">
        <v>915</v>
      </c>
      <c r="C169" s="63" t="s">
        <v>801</v>
      </c>
      <c r="D169" s="312">
        <v>0</v>
      </c>
      <c r="E169" s="312">
        <v>0</v>
      </c>
      <c r="F169" s="312">
        <v>0</v>
      </c>
      <c r="G169" s="312">
        <v>0</v>
      </c>
      <c r="H169" s="312">
        <v>0</v>
      </c>
      <c r="I169" s="224"/>
      <c r="J169" s="37"/>
      <c r="K169" s="41"/>
      <c r="L169" s="37"/>
      <c r="M169" s="37"/>
      <c r="N169" s="37"/>
      <c r="O169" s="37"/>
      <c r="P169" s="37"/>
    </row>
    <row r="170" spans="1:16" hidden="1" outlineLevel="1" x14ac:dyDescent="0.3">
      <c r="A170" s="63" t="s">
        <v>106</v>
      </c>
      <c r="B170" s="63" t="s">
        <v>915</v>
      </c>
      <c r="C170" s="63" t="s">
        <v>804</v>
      </c>
      <c r="D170" s="312">
        <v>0</v>
      </c>
      <c r="E170" s="312">
        <v>0</v>
      </c>
      <c r="F170" s="312">
        <v>0</v>
      </c>
      <c r="G170" s="312">
        <v>0</v>
      </c>
      <c r="H170" s="312">
        <v>0</v>
      </c>
      <c r="I170" s="224"/>
      <c r="J170" s="37"/>
      <c r="K170" s="41"/>
      <c r="L170" s="37"/>
      <c r="M170" s="37"/>
      <c r="N170" s="37"/>
      <c r="O170" s="37"/>
      <c r="P170" s="37"/>
    </row>
    <row r="171" spans="1:16" hidden="1" outlineLevel="1" x14ac:dyDescent="0.3">
      <c r="A171" s="63" t="s">
        <v>106</v>
      </c>
      <c r="B171" s="63" t="s">
        <v>915</v>
      </c>
      <c r="C171" s="63" t="s">
        <v>806</v>
      </c>
      <c r="D171" s="312">
        <v>0</v>
      </c>
      <c r="E171" s="312">
        <v>0</v>
      </c>
      <c r="F171" s="312">
        <v>0</v>
      </c>
      <c r="G171" s="312">
        <v>0</v>
      </c>
      <c r="H171" s="312">
        <v>0</v>
      </c>
      <c r="I171" s="224"/>
      <c r="J171" s="37"/>
      <c r="K171" s="41"/>
      <c r="L171" s="37"/>
      <c r="M171" s="37"/>
      <c r="N171" s="37"/>
      <c r="O171" s="37"/>
      <c r="P171" s="37"/>
    </row>
    <row r="172" spans="1:16" hidden="1" outlineLevel="1" x14ac:dyDescent="0.3">
      <c r="A172" s="63" t="s">
        <v>106</v>
      </c>
      <c r="B172" s="63" t="s">
        <v>915</v>
      </c>
      <c r="C172" s="63" t="s">
        <v>808</v>
      </c>
      <c r="D172" s="312">
        <v>0</v>
      </c>
      <c r="E172" s="312">
        <v>0</v>
      </c>
      <c r="F172" s="312">
        <v>0</v>
      </c>
      <c r="G172" s="312">
        <v>0</v>
      </c>
      <c r="H172" s="312">
        <v>0</v>
      </c>
      <c r="I172" s="224"/>
      <c r="J172" s="37"/>
      <c r="K172" s="41"/>
      <c r="L172" s="37"/>
      <c r="M172" s="37"/>
      <c r="N172" s="37"/>
      <c r="O172" s="37"/>
      <c r="P172" s="37"/>
    </row>
    <row r="173" spans="1:16" hidden="1" outlineLevel="1" x14ac:dyDescent="0.3">
      <c r="A173" s="63" t="s">
        <v>106</v>
      </c>
      <c r="B173" s="63" t="s">
        <v>915</v>
      </c>
      <c r="C173" s="63" t="s">
        <v>811</v>
      </c>
      <c r="D173" s="312">
        <v>278000</v>
      </c>
      <c r="E173" s="312">
        <v>278000</v>
      </c>
      <c r="F173" s="312">
        <v>278000</v>
      </c>
      <c r="G173" s="312">
        <v>278000</v>
      </c>
      <c r="H173" s="312">
        <v>278000</v>
      </c>
      <c r="I173" s="66" t="s">
        <v>1054</v>
      </c>
      <c r="J173" s="37"/>
      <c r="K173" s="41"/>
      <c r="L173" s="37"/>
      <c r="M173" s="37"/>
      <c r="N173" s="37"/>
      <c r="O173" s="37"/>
      <c r="P173" s="37"/>
    </row>
    <row r="174" spans="1:16" hidden="1" outlineLevel="1" x14ac:dyDescent="0.3">
      <c r="A174" s="63" t="s">
        <v>106</v>
      </c>
      <c r="B174" s="63" t="s">
        <v>934</v>
      </c>
      <c r="C174" s="63" t="s">
        <v>814</v>
      </c>
      <c r="D174" s="312">
        <v>0</v>
      </c>
      <c r="E174" s="312">
        <v>0</v>
      </c>
      <c r="F174" s="312">
        <v>0</v>
      </c>
      <c r="G174" s="312">
        <v>0</v>
      </c>
      <c r="H174" s="312">
        <v>0</v>
      </c>
      <c r="I174" s="224"/>
      <c r="J174" s="37"/>
      <c r="K174" s="41"/>
      <c r="L174" s="37"/>
      <c r="M174" s="37"/>
      <c r="N174" s="37"/>
      <c r="O174" s="37"/>
      <c r="P174" s="37"/>
    </row>
    <row r="175" spans="1:16" hidden="1" outlineLevel="1" x14ac:dyDescent="0.3">
      <c r="A175" s="63" t="s">
        <v>106</v>
      </c>
      <c r="B175" s="63" t="s">
        <v>934</v>
      </c>
      <c r="C175" s="63" t="s">
        <v>815</v>
      </c>
      <c r="D175" s="312">
        <v>0</v>
      </c>
      <c r="E175" s="312">
        <v>0</v>
      </c>
      <c r="F175" s="312">
        <v>0</v>
      </c>
      <c r="G175" s="312">
        <v>0</v>
      </c>
      <c r="H175" s="312">
        <v>0</v>
      </c>
      <c r="I175" s="224"/>
      <c r="J175" s="37"/>
      <c r="K175" s="41"/>
      <c r="L175" s="37"/>
      <c r="M175" s="37"/>
      <c r="N175" s="37"/>
      <c r="O175" s="37"/>
      <c r="P175" s="37"/>
    </row>
    <row r="176" spans="1:16" hidden="1" outlineLevel="1" x14ac:dyDescent="0.3">
      <c r="A176" s="63" t="s">
        <v>106</v>
      </c>
      <c r="B176" s="63" t="s">
        <v>940</v>
      </c>
      <c r="C176" s="63" t="s">
        <v>817</v>
      </c>
      <c r="D176" s="312">
        <v>0</v>
      </c>
      <c r="E176" s="312">
        <v>0</v>
      </c>
      <c r="F176" s="312">
        <v>0</v>
      </c>
      <c r="G176" s="312">
        <v>0</v>
      </c>
      <c r="H176" s="312">
        <v>0</v>
      </c>
      <c r="I176" s="224"/>
      <c r="J176" s="37"/>
      <c r="K176" s="41"/>
      <c r="L176" s="37"/>
      <c r="M176" s="37"/>
      <c r="N176" s="37"/>
      <c r="O176" s="37"/>
      <c r="P176" s="37"/>
    </row>
    <row r="177" spans="1:16" hidden="1" outlineLevel="1" x14ac:dyDescent="0.3">
      <c r="A177" s="63" t="s">
        <v>106</v>
      </c>
      <c r="B177" s="63" t="s">
        <v>940</v>
      </c>
      <c r="C177" s="63" t="s">
        <v>944</v>
      </c>
      <c r="D177" s="312">
        <v>0</v>
      </c>
      <c r="E177" s="312">
        <v>0</v>
      </c>
      <c r="F177" s="312">
        <v>0</v>
      </c>
      <c r="G177" s="312">
        <v>0</v>
      </c>
      <c r="H177" s="312">
        <v>0</v>
      </c>
      <c r="I177" s="224"/>
      <c r="J177" s="37"/>
      <c r="K177" s="41"/>
      <c r="L177" s="37"/>
      <c r="M177" s="37"/>
      <c r="N177" s="37"/>
      <c r="O177" s="37"/>
      <c r="P177" s="37"/>
    </row>
    <row r="178" spans="1:16" hidden="1" outlineLevel="1" x14ac:dyDescent="0.3">
      <c r="A178" s="63" t="s">
        <v>106</v>
      </c>
      <c r="B178" s="63" t="s">
        <v>940</v>
      </c>
      <c r="C178" s="63" t="s">
        <v>821</v>
      </c>
      <c r="D178" s="312">
        <v>0</v>
      </c>
      <c r="E178" s="312">
        <v>0</v>
      </c>
      <c r="F178" s="312">
        <v>0</v>
      </c>
      <c r="G178" s="312">
        <v>0</v>
      </c>
      <c r="H178" s="312">
        <v>0</v>
      </c>
      <c r="I178" s="224"/>
      <c r="J178" s="37"/>
      <c r="K178" s="41"/>
      <c r="L178" s="37"/>
      <c r="M178" s="37"/>
      <c r="N178" s="37"/>
      <c r="O178" s="37"/>
      <c r="P178" s="37"/>
    </row>
    <row r="179" spans="1:16" hidden="1" outlineLevel="1" x14ac:dyDescent="0.3">
      <c r="A179" s="63" t="s">
        <v>106</v>
      </c>
      <c r="B179" s="63" t="s">
        <v>940</v>
      </c>
      <c r="C179" s="63" t="s">
        <v>823</v>
      </c>
      <c r="D179" s="312">
        <v>0</v>
      </c>
      <c r="E179" s="312">
        <v>0</v>
      </c>
      <c r="F179" s="312">
        <v>0</v>
      </c>
      <c r="G179" s="312">
        <v>0</v>
      </c>
      <c r="H179" s="312">
        <v>0</v>
      </c>
      <c r="I179" s="224"/>
      <c r="J179" s="37"/>
      <c r="K179" s="41"/>
      <c r="L179" s="37"/>
      <c r="M179" s="37"/>
      <c r="N179" s="37"/>
      <c r="O179" s="37"/>
      <c r="P179" s="37"/>
    </row>
    <row r="180" spans="1:16" hidden="1" outlineLevel="1" x14ac:dyDescent="0.3">
      <c r="A180" s="63" t="s">
        <v>106</v>
      </c>
      <c r="B180" s="63" t="s">
        <v>940</v>
      </c>
      <c r="C180" s="63" t="s">
        <v>825</v>
      </c>
      <c r="D180" s="312">
        <v>0</v>
      </c>
      <c r="E180" s="312">
        <v>0</v>
      </c>
      <c r="F180" s="312">
        <v>0</v>
      </c>
      <c r="G180" s="312">
        <v>0</v>
      </c>
      <c r="H180" s="312">
        <v>0</v>
      </c>
      <c r="I180" s="224"/>
      <c r="J180" s="37"/>
      <c r="K180" s="41"/>
      <c r="L180" s="37"/>
      <c r="M180" s="37"/>
      <c r="N180" s="37"/>
      <c r="O180" s="37"/>
      <c r="P180" s="37"/>
    </row>
    <row r="181" spans="1:16" hidden="1" outlineLevel="1" x14ac:dyDescent="0.3">
      <c r="A181" s="63" t="s">
        <v>106</v>
      </c>
      <c r="B181" s="63" t="s">
        <v>940</v>
      </c>
      <c r="C181" s="63" t="s">
        <v>827</v>
      </c>
      <c r="D181" s="312">
        <v>1000000</v>
      </c>
      <c r="E181" s="312">
        <v>1000000</v>
      </c>
      <c r="F181" s="312">
        <v>1000000</v>
      </c>
      <c r="G181" s="312">
        <v>1000000</v>
      </c>
      <c r="H181" s="312">
        <v>1000000</v>
      </c>
      <c r="I181" s="224" t="s">
        <v>3971</v>
      </c>
      <c r="J181" s="37"/>
      <c r="K181" s="41"/>
      <c r="L181" s="37"/>
      <c r="M181" s="37"/>
      <c r="N181" s="37"/>
      <c r="O181" s="37"/>
      <c r="P181" s="37"/>
    </row>
    <row r="182" spans="1:16" hidden="1" outlineLevel="1" x14ac:dyDescent="0.3">
      <c r="A182" s="63" t="s">
        <v>106</v>
      </c>
      <c r="B182" s="63" t="s">
        <v>940</v>
      </c>
      <c r="C182" s="63" t="s">
        <v>829</v>
      </c>
      <c r="D182" s="312">
        <v>0</v>
      </c>
      <c r="E182" s="312">
        <v>0</v>
      </c>
      <c r="F182" s="312">
        <v>0</v>
      </c>
      <c r="G182" s="312">
        <v>0</v>
      </c>
      <c r="H182" s="312">
        <v>0</v>
      </c>
      <c r="I182" s="224"/>
      <c r="J182" s="37"/>
      <c r="K182" s="41"/>
      <c r="L182" s="37"/>
      <c r="M182" s="37"/>
      <c r="N182" s="37"/>
      <c r="O182" s="37"/>
      <c r="P182" s="37"/>
    </row>
    <row r="183" spans="1:16" hidden="1" outlineLevel="1" x14ac:dyDescent="0.3">
      <c r="A183" s="63" t="s">
        <v>106</v>
      </c>
      <c r="B183" s="63" t="s">
        <v>940</v>
      </c>
      <c r="C183" s="63" t="s">
        <v>833</v>
      </c>
      <c r="D183" s="312">
        <v>0</v>
      </c>
      <c r="E183" s="312">
        <v>0</v>
      </c>
      <c r="F183" s="312">
        <v>0</v>
      </c>
      <c r="G183" s="312">
        <v>0</v>
      </c>
      <c r="H183" s="312">
        <v>0</v>
      </c>
      <c r="I183" s="224"/>
      <c r="J183" s="37"/>
      <c r="K183" s="41"/>
      <c r="L183" s="37"/>
      <c r="M183" s="37"/>
      <c r="N183" s="37"/>
      <c r="O183" s="37"/>
      <c r="P183" s="37"/>
    </row>
    <row r="184" spans="1:16" hidden="1" outlineLevel="1" x14ac:dyDescent="0.3">
      <c r="A184" s="63" t="s">
        <v>106</v>
      </c>
      <c r="B184" s="63" t="s">
        <v>940</v>
      </c>
      <c r="C184" s="63" t="s">
        <v>836</v>
      </c>
      <c r="D184" s="312">
        <v>0</v>
      </c>
      <c r="E184" s="312">
        <v>0</v>
      </c>
      <c r="F184" s="312">
        <v>0</v>
      </c>
      <c r="G184" s="312">
        <v>0</v>
      </c>
      <c r="H184" s="312">
        <v>0</v>
      </c>
      <c r="I184" s="224"/>
      <c r="J184" s="37"/>
      <c r="K184" s="41"/>
      <c r="L184" s="37"/>
      <c r="M184" s="37"/>
      <c r="N184" s="37"/>
      <c r="O184" s="37"/>
      <c r="P184" s="37"/>
    </row>
    <row r="185" spans="1:16" hidden="1" outlineLevel="1" x14ac:dyDescent="0.3">
      <c r="A185" s="63" t="s">
        <v>106</v>
      </c>
      <c r="B185" s="63" t="s">
        <v>940</v>
      </c>
      <c r="C185" s="63" t="s">
        <v>837</v>
      </c>
      <c r="D185" s="312">
        <v>0</v>
      </c>
      <c r="E185" s="312">
        <v>0</v>
      </c>
      <c r="F185" s="312">
        <v>0</v>
      </c>
      <c r="G185" s="312">
        <v>0</v>
      </c>
      <c r="H185" s="312">
        <v>0</v>
      </c>
      <c r="I185" s="224"/>
      <c r="J185" s="37"/>
      <c r="K185" s="41"/>
      <c r="L185" s="37"/>
      <c r="M185" s="37"/>
      <c r="N185" s="37"/>
      <c r="O185" s="37"/>
      <c r="P185" s="37"/>
    </row>
    <row r="186" spans="1:16" hidden="1" outlineLevel="1" x14ac:dyDescent="0.3">
      <c r="A186" s="63" t="s">
        <v>106</v>
      </c>
      <c r="B186" s="63" t="s">
        <v>940</v>
      </c>
      <c r="C186" s="63" t="s">
        <v>839</v>
      </c>
      <c r="D186" s="312">
        <v>0</v>
      </c>
      <c r="E186" s="312">
        <v>0</v>
      </c>
      <c r="F186" s="312">
        <v>0</v>
      </c>
      <c r="G186" s="312">
        <v>0</v>
      </c>
      <c r="H186" s="312">
        <v>0</v>
      </c>
      <c r="I186" s="224"/>
      <c r="J186" s="37"/>
      <c r="K186" s="41"/>
      <c r="L186" s="37"/>
      <c r="M186" s="37"/>
      <c r="N186" s="37"/>
      <c r="O186" s="37"/>
      <c r="P186" s="37"/>
    </row>
    <row r="187" spans="1:16" hidden="1" outlineLevel="1" x14ac:dyDescent="0.3">
      <c r="A187" s="63" t="s">
        <v>106</v>
      </c>
      <c r="B187" s="63" t="s">
        <v>940</v>
      </c>
      <c r="C187" s="63" t="s">
        <v>840</v>
      </c>
      <c r="D187" s="312">
        <v>0</v>
      </c>
      <c r="E187" s="312">
        <v>0</v>
      </c>
      <c r="F187" s="312">
        <v>0</v>
      </c>
      <c r="G187" s="312">
        <v>0</v>
      </c>
      <c r="H187" s="312">
        <v>0</v>
      </c>
      <c r="I187" s="224"/>
      <c r="J187" s="37"/>
      <c r="K187" s="41"/>
      <c r="L187" s="37"/>
      <c r="M187" s="37"/>
      <c r="N187" s="37"/>
      <c r="O187" s="37"/>
      <c r="P187" s="37"/>
    </row>
    <row r="188" spans="1:16" collapsed="1" x14ac:dyDescent="0.3">
      <c r="A188" s="63"/>
      <c r="B188" s="63"/>
      <c r="C188" s="63"/>
      <c r="D188" s="190"/>
      <c r="E188" s="190"/>
      <c r="F188" s="190"/>
      <c r="G188" s="190"/>
      <c r="H188" s="190"/>
      <c r="I188" s="224"/>
      <c r="J188" s="251"/>
      <c r="K188" s="41"/>
      <c r="L188" s="42"/>
      <c r="M188" s="42"/>
    </row>
    <row r="189" spans="1:16" x14ac:dyDescent="0.3">
      <c r="A189" s="78"/>
      <c r="B189" s="78"/>
      <c r="C189" s="70"/>
      <c r="D189" s="71"/>
      <c r="E189" s="71"/>
      <c r="F189" s="71"/>
      <c r="G189" s="71"/>
      <c r="H189" s="71"/>
      <c r="I189" s="71"/>
    </row>
    <row r="190" spans="1:16" ht="23.4" x14ac:dyDescent="0.45">
      <c r="A190" s="585" t="s">
        <v>498</v>
      </c>
      <c r="B190" s="585"/>
      <c r="C190" s="585"/>
      <c r="D190" s="585"/>
      <c r="E190" s="585"/>
      <c r="F190" s="585"/>
      <c r="G190" s="585"/>
      <c r="H190" s="585"/>
      <c r="I190" s="585"/>
    </row>
    <row r="191" spans="1:16" ht="112.5" customHeight="1" x14ac:dyDescent="0.3">
      <c r="A191" s="557" t="s">
        <v>5917</v>
      </c>
      <c r="B191" s="557"/>
      <c r="C191" s="557"/>
      <c r="D191" s="557"/>
      <c r="E191" s="557"/>
      <c r="F191" s="557"/>
      <c r="G191" s="557"/>
      <c r="H191" s="557"/>
      <c r="I191" s="557"/>
      <c r="J191" s="321"/>
    </row>
    <row r="192" spans="1:16" x14ac:dyDescent="0.3">
      <c r="A192" s="143" t="s">
        <v>120</v>
      </c>
      <c r="B192" s="143"/>
      <c r="C192" s="144" t="s">
        <v>4032</v>
      </c>
      <c r="D192" s="252">
        <v>5</v>
      </c>
      <c r="E192" s="252">
        <v>5</v>
      </c>
      <c r="F192" s="252">
        <v>5</v>
      </c>
      <c r="G192" s="252">
        <v>5</v>
      </c>
      <c r="H192" s="252">
        <v>5</v>
      </c>
      <c r="I192" s="143"/>
      <c r="J192" s="321"/>
    </row>
    <row r="193" spans="1:14" x14ac:dyDescent="0.3">
      <c r="A193" s="131" t="s">
        <v>5</v>
      </c>
      <c r="B193" s="131" t="s">
        <v>847</v>
      </c>
      <c r="C193" s="131" t="s">
        <v>193</v>
      </c>
      <c r="D193" s="131">
        <v>2025</v>
      </c>
      <c r="E193" s="131">
        <v>2030</v>
      </c>
      <c r="F193" s="131">
        <v>2035</v>
      </c>
      <c r="G193" s="131">
        <v>2040</v>
      </c>
      <c r="H193" s="131">
        <v>2045</v>
      </c>
      <c r="I193" s="131" t="s">
        <v>153</v>
      </c>
      <c r="J193" s="321"/>
    </row>
    <row r="194" spans="1:14" hidden="1" outlineLevel="1" x14ac:dyDescent="0.3">
      <c r="A194" s="56" t="s">
        <v>120</v>
      </c>
      <c r="B194" s="56" t="s">
        <v>855</v>
      </c>
      <c r="C194" s="56" t="s">
        <v>747</v>
      </c>
      <c r="D194" s="163">
        <v>5</v>
      </c>
      <c r="E194" s="163">
        <v>5</v>
      </c>
      <c r="F194" s="163">
        <v>5</v>
      </c>
      <c r="G194" s="163">
        <v>5</v>
      </c>
      <c r="H194" s="163">
        <v>5</v>
      </c>
      <c r="I194" s="163"/>
      <c r="J194" s="321"/>
    </row>
    <row r="195" spans="1:14" hidden="1" outlineLevel="1" x14ac:dyDescent="0.3">
      <c r="A195" s="56" t="s">
        <v>120</v>
      </c>
      <c r="B195" s="56" t="s">
        <v>855</v>
      </c>
      <c r="C195" s="56" t="s">
        <v>751</v>
      </c>
      <c r="D195" s="163">
        <v>5</v>
      </c>
      <c r="E195" s="163">
        <v>5</v>
      </c>
      <c r="F195" s="163">
        <v>5</v>
      </c>
      <c r="G195" s="163">
        <v>5</v>
      </c>
      <c r="H195" s="163">
        <v>5</v>
      </c>
      <c r="I195" s="163"/>
      <c r="J195" s="321"/>
    </row>
    <row r="196" spans="1:14" hidden="1" outlineLevel="1" x14ac:dyDescent="0.3">
      <c r="A196" s="56" t="s">
        <v>120</v>
      </c>
      <c r="B196" s="56" t="s">
        <v>855</v>
      </c>
      <c r="C196" s="56" t="s">
        <v>755</v>
      </c>
      <c r="D196" s="163">
        <v>5</v>
      </c>
      <c r="E196" s="163">
        <v>5</v>
      </c>
      <c r="F196" s="163">
        <v>5</v>
      </c>
      <c r="G196" s="163">
        <v>5</v>
      </c>
      <c r="H196" s="163">
        <v>5</v>
      </c>
      <c r="I196" s="163"/>
      <c r="J196" s="321"/>
    </row>
    <row r="197" spans="1:14" hidden="1" outlineLevel="1" x14ac:dyDescent="0.3">
      <c r="A197" s="56" t="s">
        <v>120</v>
      </c>
      <c r="B197" s="56" t="s">
        <v>855</v>
      </c>
      <c r="C197" s="56" t="s">
        <v>758</v>
      </c>
      <c r="D197" s="163">
        <v>5</v>
      </c>
      <c r="E197" s="163">
        <v>5</v>
      </c>
      <c r="F197" s="163">
        <v>5</v>
      </c>
      <c r="G197" s="163">
        <v>5</v>
      </c>
      <c r="H197" s="163">
        <v>5</v>
      </c>
      <c r="I197" s="163"/>
      <c r="J197" s="321"/>
      <c r="L197" s="37"/>
      <c r="M197" s="37"/>
      <c r="N197" s="37"/>
    </row>
    <row r="198" spans="1:14" hidden="1" outlineLevel="1" x14ac:dyDescent="0.3">
      <c r="A198" s="56" t="s">
        <v>120</v>
      </c>
      <c r="B198" s="56" t="s">
        <v>855</v>
      </c>
      <c r="C198" s="56" t="s">
        <v>761</v>
      </c>
      <c r="D198" s="163">
        <v>5</v>
      </c>
      <c r="E198" s="163">
        <v>5</v>
      </c>
      <c r="F198" s="163">
        <v>5</v>
      </c>
      <c r="G198" s="163">
        <v>5</v>
      </c>
      <c r="H198" s="163">
        <v>5</v>
      </c>
      <c r="I198" s="163"/>
      <c r="J198" s="321"/>
      <c r="L198" s="37"/>
      <c r="M198" s="37"/>
      <c r="N198" s="37"/>
    </row>
    <row r="199" spans="1:14" hidden="1" outlineLevel="1" x14ac:dyDescent="0.3">
      <c r="A199" s="56" t="s">
        <v>120</v>
      </c>
      <c r="B199" s="56" t="s">
        <v>855</v>
      </c>
      <c r="C199" s="56" t="s">
        <v>763</v>
      </c>
      <c r="D199" s="163">
        <v>5</v>
      </c>
      <c r="E199" s="163">
        <v>5</v>
      </c>
      <c r="F199" s="163">
        <v>5</v>
      </c>
      <c r="G199" s="163">
        <v>5</v>
      </c>
      <c r="H199" s="163">
        <v>5</v>
      </c>
      <c r="I199" s="163"/>
      <c r="J199" s="321"/>
      <c r="L199" s="37"/>
      <c r="M199" s="37"/>
      <c r="N199" s="37"/>
    </row>
    <row r="200" spans="1:14" hidden="1" outlineLevel="1" x14ac:dyDescent="0.3">
      <c r="A200" s="56" t="s">
        <v>120</v>
      </c>
      <c r="B200" s="56" t="s">
        <v>855</v>
      </c>
      <c r="C200" s="56" t="s">
        <v>765</v>
      </c>
      <c r="D200" s="163">
        <v>5</v>
      </c>
      <c r="E200" s="163">
        <v>5</v>
      </c>
      <c r="F200" s="163">
        <v>5</v>
      </c>
      <c r="G200" s="163">
        <v>5</v>
      </c>
      <c r="H200" s="163">
        <v>5</v>
      </c>
      <c r="I200" s="163"/>
      <c r="J200" s="321"/>
      <c r="L200" s="37"/>
      <c r="M200" s="37"/>
      <c r="N200" s="37"/>
    </row>
    <row r="201" spans="1:14" hidden="1" outlineLevel="1" x14ac:dyDescent="0.3">
      <c r="A201" s="56" t="s">
        <v>120</v>
      </c>
      <c r="B201" s="56" t="s">
        <v>855</v>
      </c>
      <c r="C201" s="56" t="s">
        <v>768</v>
      </c>
      <c r="D201" s="163">
        <v>5</v>
      </c>
      <c r="E201" s="163">
        <v>5</v>
      </c>
      <c r="F201" s="163">
        <v>5</v>
      </c>
      <c r="G201" s="163">
        <v>5</v>
      </c>
      <c r="H201" s="163">
        <v>5</v>
      </c>
      <c r="I201" s="56"/>
      <c r="J201" s="321"/>
      <c r="L201" s="37"/>
      <c r="M201" s="37"/>
      <c r="N201" s="37"/>
    </row>
    <row r="202" spans="1:14" hidden="1" outlineLevel="1" x14ac:dyDescent="0.3">
      <c r="A202" s="56" t="s">
        <v>120</v>
      </c>
      <c r="B202" s="56" t="s">
        <v>855</v>
      </c>
      <c r="C202" s="56" t="s">
        <v>771</v>
      </c>
      <c r="D202" s="163">
        <v>5</v>
      </c>
      <c r="E202" s="163">
        <v>5</v>
      </c>
      <c r="F202" s="163">
        <v>5</v>
      </c>
      <c r="G202" s="163">
        <v>5</v>
      </c>
      <c r="H202" s="163">
        <v>5</v>
      </c>
      <c r="I202" s="163"/>
      <c r="J202" s="321"/>
      <c r="L202" s="37"/>
      <c r="M202" s="37"/>
      <c r="N202" s="37"/>
    </row>
    <row r="203" spans="1:14" hidden="1" outlineLevel="1" x14ac:dyDescent="0.3">
      <c r="A203" s="56" t="s">
        <v>120</v>
      </c>
      <c r="B203" s="56" t="s">
        <v>855</v>
      </c>
      <c r="C203" s="56" t="s">
        <v>772</v>
      </c>
      <c r="D203" s="163">
        <v>5</v>
      </c>
      <c r="E203" s="163">
        <v>5</v>
      </c>
      <c r="F203" s="163">
        <v>5</v>
      </c>
      <c r="G203" s="163">
        <v>5</v>
      </c>
      <c r="H203" s="163">
        <v>5</v>
      </c>
      <c r="I203" s="163"/>
      <c r="J203" s="321"/>
      <c r="L203" s="37"/>
      <c r="M203" s="37"/>
      <c r="N203" s="37"/>
    </row>
    <row r="204" spans="1:14" hidden="1" outlineLevel="1" x14ac:dyDescent="0.3">
      <c r="A204" s="56" t="s">
        <v>120</v>
      </c>
      <c r="B204" s="56" t="s">
        <v>855</v>
      </c>
      <c r="C204" s="56" t="s">
        <v>774</v>
      </c>
      <c r="D204" s="163">
        <v>5</v>
      </c>
      <c r="E204" s="163">
        <v>5</v>
      </c>
      <c r="F204" s="163">
        <v>5</v>
      </c>
      <c r="G204" s="163">
        <v>5</v>
      </c>
      <c r="H204" s="163">
        <v>5</v>
      </c>
      <c r="I204" s="163"/>
      <c r="J204" s="321"/>
      <c r="L204" s="37"/>
      <c r="M204" s="37"/>
      <c r="N204" s="37"/>
    </row>
    <row r="205" spans="1:14" hidden="1" outlineLevel="1" x14ac:dyDescent="0.3">
      <c r="A205" s="56" t="s">
        <v>120</v>
      </c>
      <c r="B205" s="56" t="s">
        <v>855</v>
      </c>
      <c r="C205" s="56" t="s">
        <v>775</v>
      </c>
      <c r="D205" s="163">
        <v>5</v>
      </c>
      <c r="E205" s="163">
        <v>5</v>
      </c>
      <c r="F205" s="163">
        <v>5</v>
      </c>
      <c r="G205" s="163">
        <v>5</v>
      </c>
      <c r="H205" s="163">
        <v>5</v>
      </c>
      <c r="I205" s="163"/>
      <c r="J205" s="321"/>
      <c r="L205" s="37"/>
      <c r="M205" s="37"/>
      <c r="N205" s="37"/>
    </row>
    <row r="206" spans="1:14" hidden="1" outlineLevel="1" x14ac:dyDescent="0.3">
      <c r="A206" s="56" t="s">
        <v>120</v>
      </c>
      <c r="B206" s="56" t="s">
        <v>855</v>
      </c>
      <c r="C206" s="56" t="s">
        <v>779</v>
      </c>
      <c r="D206" s="163">
        <v>5</v>
      </c>
      <c r="E206" s="163">
        <v>5</v>
      </c>
      <c r="F206" s="163">
        <v>5</v>
      </c>
      <c r="G206" s="163">
        <v>5</v>
      </c>
      <c r="H206" s="163">
        <v>5</v>
      </c>
      <c r="I206" s="163"/>
      <c r="J206" s="321"/>
      <c r="L206" s="37"/>
      <c r="M206" s="37"/>
      <c r="N206" s="37"/>
    </row>
    <row r="207" spans="1:14" hidden="1" outlineLevel="1" x14ac:dyDescent="0.3">
      <c r="A207" s="56" t="s">
        <v>120</v>
      </c>
      <c r="B207" s="56" t="s">
        <v>894</v>
      </c>
      <c r="C207" s="56" t="s">
        <v>781</v>
      </c>
      <c r="D207" s="163">
        <v>5</v>
      </c>
      <c r="E207" s="163">
        <v>5</v>
      </c>
      <c r="F207" s="163">
        <v>5</v>
      </c>
      <c r="G207" s="163">
        <v>5</v>
      </c>
      <c r="H207" s="163">
        <v>5</v>
      </c>
      <c r="I207" s="163"/>
      <c r="J207" s="321"/>
      <c r="L207" s="37"/>
      <c r="M207" s="37"/>
      <c r="N207" s="37"/>
    </row>
    <row r="208" spans="1:14" hidden="1" outlineLevel="1" x14ac:dyDescent="0.3">
      <c r="A208" s="56" t="s">
        <v>120</v>
      </c>
      <c r="B208" s="56" t="s">
        <v>894</v>
      </c>
      <c r="C208" s="56" t="s">
        <v>783</v>
      </c>
      <c r="D208" s="163">
        <v>5</v>
      </c>
      <c r="E208" s="163">
        <v>5</v>
      </c>
      <c r="F208" s="163">
        <v>5</v>
      </c>
      <c r="G208" s="163">
        <v>5</v>
      </c>
      <c r="H208" s="163">
        <v>5</v>
      </c>
      <c r="I208" s="163"/>
      <c r="J208" s="321"/>
      <c r="L208" s="37"/>
      <c r="M208" s="37"/>
      <c r="N208" s="37"/>
    </row>
    <row r="209" spans="1:14" hidden="1" outlineLevel="1" x14ac:dyDescent="0.3">
      <c r="A209" s="56" t="s">
        <v>120</v>
      </c>
      <c r="B209" s="56" t="s">
        <v>894</v>
      </c>
      <c r="C209" s="56" t="s">
        <v>785</v>
      </c>
      <c r="D209" s="163">
        <v>5</v>
      </c>
      <c r="E209" s="163">
        <v>5</v>
      </c>
      <c r="F209" s="163">
        <v>5</v>
      </c>
      <c r="G209" s="163">
        <v>5</v>
      </c>
      <c r="H209" s="163">
        <v>5</v>
      </c>
      <c r="I209" s="163"/>
      <c r="J209" s="321"/>
      <c r="L209" s="37"/>
      <c r="M209" s="37"/>
      <c r="N209" s="37"/>
    </row>
    <row r="210" spans="1:14" hidden="1" outlineLevel="1" x14ac:dyDescent="0.3">
      <c r="A210" s="56" t="s">
        <v>120</v>
      </c>
      <c r="B210" s="56" t="s">
        <v>894</v>
      </c>
      <c r="C210" s="56" t="s">
        <v>787</v>
      </c>
      <c r="D210" s="163">
        <v>5</v>
      </c>
      <c r="E210" s="163">
        <v>5</v>
      </c>
      <c r="F210" s="163">
        <v>5</v>
      </c>
      <c r="G210" s="163">
        <v>5</v>
      </c>
      <c r="H210" s="163">
        <v>5</v>
      </c>
      <c r="I210" s="163"/>
      <c r="J210" s="321"/>
      <c r="L210" s="37"/>
      <c r="M210" s="37"/>
      <c r="N210" s="37"/>
    </row>
    <row r="211" spans="1:14" hidden="1" outlineLevel="1" x14ac:dyDescent="0.3">
      <c r="A211" s="56" t="s">
        <v>120</v>
      </c>
      <c r="B211" s="56" t="s">
        <v>894</v>
      </c>
      <c r="C211" s="56" t="s">
        <v>788</v>
      </c>
      <c r="D211" s="163">
        <v>5</v>
      </c>
      <c r="E211" s="163">
        <v>5</v>
      </c>
      <c r="F211" s="163">
        <v>5</v>
      </c>
      <c r="G211" s="163">
        <v>5</v>
      </c>
      <c r="H211" s="163">
        <v>5</v>
      </c>
      <c r="I211" s="163"/>
      <c r="J211" s="321"/>
      <c r="L211" s="37"/>
      <c r="M211" s="37"/>
      <c r="N211" s="37"/>
    </row>
    <row r="212" spans="1:14" hidden="1" outlineLevel="1" x14ac:dyDescent="0.3">
      <c r="A212" s="56" t="s">
        <v>120</v>
      </c>
      <c r="B212" s="56" t="s">
        <v>894</v>
      </c>
      <c r="C212" s="56" t="s">
        <v>789</v>
      </c>
      <c r="D212" s="163">
        <v>5</v>
      </c>
      <c r="E212" s="163">
        <v>5</v>
      </c>
      <c r="F212" s="163">
        <v>5</v>
      </c>
      <c r="G212" s="163">
        <v>5</v>
      </c>
      <c r="H212" s="163">
        <v>5</v>
      </c>
      <c r="I212" s="163"/>
      <c r="J212" s="321"/>
      <c r="L212" s="37"/>
      <c r="M212" s="37"/>
      <c r="N212" s="37"/>
    </row>
    <row r="213" spans="1:14" hidden="1" outlineLevel="1" x14ac:dyDescent="0.3">
      <c r="A213" s="56" t="s">
        <v>120</v>
      </c>
      <c r="B213" s="56" t="s">
        <v>894</v>
      </c>
      <c r="C213" s="56" t="s">
        <v>790</v>
      </c>
      <c r="D213" s="163">
        <v>5</v>
      </c>
      <c r="E213" s="163">
        <v>5</v>
      </c>
      <c r="F213" s="163">
        <v>5</v>
      </c>
      <c r="G213" s="163">
        <v>5</v>
      </c>
      <c r="H213" s="163">
        <v>5</v>
      </c>
      <c r="I213" s="163"/>
      <c r="J213" s="321"/>
      <c r="L213" s="37"/>
      <c r="M213" s="37"/>
      <c r="N213" s="37"/>
    </row>
    <row r="214" spans="1:14" hidden="1" outlineLevel="1" x14ac:dyDescent="0.3">
      <c r="A214" s="56" t="s">
        <v>120</v>
      </c>
      <c r="B214" s="56" t="s">
        <v>894</v>
      </c>
      <c r="C214" s="56" t="s">
        <v>793</v>
      </c>
      <c r="D214" s="163">
        <v>5</v>
      </c>
      <c r="E214" s="163">
        <v>5</v>
      </c>
      <c r="F214" s="163">
        <v>5</v>
      </c>
      <c r="G214" s="163">
        <v>5</v>
      </c>
      <c r="H214" s="163">
        <v>5</v>
      </c>
      <c r="I214" s="163"/>
      <c r="J214" s="321"/>
      <c r="L214" s="37"/>
      <c r="M214" s="37"/>
      <c r="N214" s="37"/>
    </row>
    <row r="215" spans="1:14" hidden="1" outlineLevel="1" x14ac:dyDescent="0.3">
      <c r="A215" s="56" t="s">
        <v>120</v>
      </c>
      <c r="B215" s="56" t="s">
        <v>894</v>
      </c>
      <c r="C215" s="56" t="s">
        <v>795</v>
      </c>
      <c r="D215" s="163">
        <v>5</v>
      </c>
      <c r="E215" s="163">
        <v>5</v>
      </c>
      <c r="F215" s="163">
        <v>5</v>
      </c>
      <c r="G215" s="163">
        <v>5</v>
      </c>
      <c r="H215" s="163">
        <v>5</v>
      </c>
      <c r="I215" s="163"/>
      <c r="J215" s="321"/>
      <c r="L215" s="37"/>
      <c r="M215" s="37"/>
      <c r="N215" s="37"/>
    </row>
    <row r="216" spans="1:14" hidden="1" outlineLevel="1" x14ac:dyDescent="0.3">
      <c r="A216" s="56" t="s">
        <v>120</v>
      </c>
      <c r="B216" s="56" t="s">
        <v>894</v>
      </c>
      <c r="C216" s="56" t="s">
        <v>797</v>
      </c>
      <c r="D216" s="163">
        <v>5</v>
      </c>
      <c r="E216" s="163">
        <v>5</v>
      </c>
      <c r="F216" s="163">
        <v>5</v>
      </c>
      <c r="G216" s="163">
        <v>5</v>
      </c>
      <c r="H216" s="163">
        <v>5</v>
      </c>
      <c r="I216" s="163"/>
      <c r="J216" s="321"/>
      <c r="L216" s="37"/>
      <c r="M216" s="37"/>
      <c r="N216" s="37"/>
    </row>
    <row r="217" spans="1:14" hidden="1" outlineLevel="1" x14ac:dyDescent="0.3">
      <c r="A217" s="56" t="s">
        <v>120</v>
      </c>
      <c r="B217" s="56" t="s">
        <v>915</v>
      </c>
      <c r="C217" s="56" t="s">
        <v>799</v>
      </c>
      <c r="D217" s="163">
        <v>5</v>
      </c>
      <c r="E217" s="163">
        <v>5</v>
      </c>
      <c r="F217" s="163">
        <v>5</v>
      </c>
      <c r="G217" s="163">
        <v>5</v>
      </c>
      <c r="H217" s="163">
        <v>5</v>
      </c>
      <c r="I217" s="56"/>
      <c r="J217" s="321"/>
      <c r="L217" s="37"/>
      <c r="M217" s="37"/>
      <c r="N217" s="37"/>
    </row>
    <row r="218" spans="1:14" hidden="1" outlineLevel="1" x14ac:dyDescent="0.3">
      <c r="A218" s="56" t="s">
        <v>120</v>
      </c>
      <c r="B218" s="56" t="s">
        <v>915</v>
      </c>
      <c r="C218" s="56" t="s">
        <v>801</v>
      </c>
      <c r="D218" s="163">
        <v>5</v>
      </c>
      <c r="E218" s="163">
        <v>5</v>
      </c>
      <c r="F218" s="163">
        <v>5</v>
      </c>
      <c r="G218" s="163">
        <v>5</v>
      </c>
      <c r="H218" s="163">
        <v>5</v>
      </c>
      <c r="I218" s="56"/>
      <c r="J218" s="321"/>
      <c r="L218" s="37"/>
      <c r="M218" s="37"/>
      <c r="N218" s="37"/>
    </row>
    <row r="219" spans="1:14" hidden="1" outlineLevel="1" x14ac:dyDescent="0.3">
      <c r="A219" s="56" t="s">
        <v>120</v>
      </c>
      <c r="B219" s="56" t="s">
        <v>915</v>
      </c>
      <c r="C219" s="56" t="s">
        <v>804</v>
      </c>
      <c r="D219" s="163">
        <v>5</v>
      </c>
      <c r="E219" s="163">
        <v>5</v>
      </c>
      <c r="F219" s="163">
        <v>5</v>
      </c>
      <c r="G219" s="163">
        <v>5</v>
      </c>
      <c r="H219" s="163">
        <v>5</v>
      </c>
      <c r="I219" s="56"/>
      <c r="J219" s="321"/>
      <c r="L219" s="37"/>
      <c r="M219" s="37"/>
      <c r="N219" s="37"/>
    </row>
    <row r="220" spans="1:14" hidden="1" outlineLevel="1" x14ac:dyDescent="0.3">
      <c r="A220" s="56" t="s">
        <v>120</v>
      </c>
      <c r="B220" s="56" t="s">
        <v>915</v>
      </c>
      <c r="C220" s="56" t="s">
        <v>806</v>
      </c>
      <c r="D220" s="163">
        <v>5</v>
      </c>
      <c r="E220" s="163">
        <v>5</v>
      </c>
      <c r="F220" s="163">
        <v>5</v>
      </c>
      <c r="G220" s="163">
        <v>5</v>
      </c>
      <c r="H220" s="163">
        <v>5</v>
      </c>
      <c r="I220" s="56"/>
      <c r="J220" s="321"/>
      <c r="L220" s="37"/>
      <c r="M220" s="37"/>
      <c r="N220" s="37"/>
    </row>
    <row r="221" spans="1:14" hidden="1" outlineLevel="1" x14ac:dyDescent="0.3">
      <c r="A221" s="56" t="s">
        <v>120</v>
      </c>
      <c r="B221" s="56" t="s">
        <v>915</v>
      </c>
      <c r="C221" s="56" t="s">
        <v>808</v>
      </c>
      <c r="D221" s="163">
        <v>5</v>
      </c>
      <c r="E221" s="163">
        <v>5</v>
      </c>
      <c r="F221" s="163">
        <v>5</v>
      </c>
      <c r="G221" s="163">
        <v>5</v>
      </c>
      <c r="H221" s="163">
        <v>5</v>
      </c>
      <c r="I221" s="56"/>
      <c r="J221" s="321"/>
      <c r="L221" s="37"/>
      <c r="M221" s="37"/>
      <c r="N221" s="37"/>
    </row>
    <row r="222" spans="1:14" hidden="1" outlineLevel="1" x14ac:dyDescent="0.3">
      <c r="A222" s="56" t="s">
        <v>120</v>
      </c>
      <c r="B222" s="56" t="s">
        <v>915</v>
      </c>
      <c r="C222" s="56" t="s">
        <v>811</v>
      </c>
      <c r="D222" s="163">
        <v>5</v>
      </c>
      <c r="E222" s="163">
        <v>5</v>
      </c>
      <c r="F222" s="163">
        <v>5</v>
      </c>
      <c r="G222" s="163">
        <v>5</v>
      </c>
      <c r="H222" s="163">
        <v>5</v>
      </c>
      <c r="I222" s="56"/>
      <c r="J222" s="321"/>
      <c r="L222" s="37"/>
      <c r="M222" s="37"/>
      <c r="N222" s="37"/>
    </row>
    <row r="223" spans="1:14" hidden="1" outlineLevel="1" x14ac:dyDescent="0.3">
      <c r="A223" s="56" t="s">
        <v>120</v>
      </c>
      <c r="B223" s="56" t="s">
        <v>934</v>
      </c>
      <c r="C223" s="56" t="s">
        <v>814</v>
      </c>
      <c r="D223" s="163">
        <v>5</v>
      </c>
      <c r="E223" s="163">
        <v>5</v>
      </c>
      <c r="F223" s="163">
        <v>5</v>
      </c>
      <c r="G223" s="163">
        <v>5</v>
      </c>
      <c r="H223" s="163">
        <v>5</v>
      </c>
      <c r="I223" s="56"/>
      <c r="J223" s="321"/>
      <c r="L223" s="37"/>
      <c r="M223" s="37"/>
      <c r="N223" s="37"/>
    </row>
    <row r="224" spans="1:14" hidden="1" outlineLevel="1" x14ac:dyDescent="0.3">
      <c r="A224" s="56" t="s">
        <v>120</v>
      </c>
      <c r="B224" s="56" t="s">
        <v>934</v>
      </c>
      <c r="C224" s="56" t="s">
        <v>815</v>
      </c>
      <c r="D224" s="163">
        <v>5</v>
      </c>
      <c r="E224" s="163">
        <v>5</v>
      </c>
      <c r="F224" s="163">
        <v>5</v>
      </c>
      <c r="G224" s="163">
        <v>5</v>
      </c>
      <c r="H224" s="163">
        <v>5</v>
      </c>
      <c r="I224" s="56"/>
      <c r="J224" s="321"/>
      <c r="L224" s="37"/>
      <c r="M224" s="37"/>
      <c r="N224" s="37"/>
    </row>
    <row r="225" spans="1:14" hidden="1" outlineLevel="1" x14ac:dyDescent="0.3">
      <c r="A225" s="56" t="s">
        <v>120</v>
      </c>
      <c r="B225" s="56" t="s">
        <v>940</v>
      </c>
      <c r="C225" s="56" t="s">
        <v>817</v>
      </c>
      <c r="D225" s="163">
        <v>5</v>
      </c>
      <c r="E225" s="163">
        <v>5</v>
      </c>
      <c r="F225" s="163">
        <v>5</v>
      </c>
      <c r="G225" s="163">
        <v>5</v>
      </c>
      <c r="H225" s="163">
        <v>5</v>
      </c>
      <c r="I225" s="163"/>
      <c r="J225" s="321"/>
      <c r="L225" s="37"/>
      <c r="M225" s="37"/>
      <c r="N225" s="37"/>
    </row>
    <row r="226" spans="1:14" hidden="1" outlineLevel="1" x14ac:dyDescent="0.3">
      <c r="A226" s="56" t="s">
        <v>120</v>
      </c>
      <c r="B226" s="56" t="s">
        <v>940</v>
      </c>
      <c r="C226" s="56" t="s">
        <v>944</v>
      </c>
      <c r="D226" s="163">
        <v>5</v>
      </c>
      <c r="E226" s="163">
        <v>5</v>
      </c>
      <c r="F226" s="163">
        <v>5</v>
      </c>
      <c r="G226" s="163">
        <v>5</v>
      </c>
      <c r="H226" s="163">
        <v>5</v>
      </c>
      <c r="I226" s="163"/>
      <c r="J226" s="321"/>
      <c r="L226" s="37"/>
      <c r="M226" s="37"/>
      <c r="N226" s="37"/>
    </row>
    <row r="227" spans="1:14" hidden="1" outlineLevel="1" x14ac:dyDescent="0.3">
      <c r="A227" s="56" t="s">
        <v>120</v>
      </c>
      <c r="B227" s="56" t="s">
        <v>940</v>
      </c>
      <c r="C227" s="56" t="s">
        <v>821</v>
      </c>
      <c r="D227" s="163">
        <v>5</v>
      </c>
      <c r="E227" s="163">
        <v>5</v>
      </c>
      <c r="F227" s="163">
        <v>5</v>
      </c>
      <c r="G227" s="163">
        <v>5</v>
      </c>
      <c r="H227" s="163">
        <v>5</v>
      </c>
      <c r="I227" s="163"/>
      <c r="J227" s="321"/>
      <c r="L227" s="37"/>
      <c r="M227" s="37"/>
      <c r="N227" s="37"/>
    </row>
    <row r="228" spans="1:14" hidden="1" outlineLevel="1" x14ac:dyDescent="0.3">
      <c r="A228" s="56" t="s">
        <v>120</v>
      </c>
      <c r="B228" s="56" t="s">
        <v>940</v>
      </c>
      <c r="C228" s="56" t="s">
        <v>823</v>
      </c>
      <c r="D228" s="163">
        <v>5</v>
      </c>
      <c r="E228" s="163">
        <v>5</v>
      </c>
      <c r="F228" s="163">
        <v>5</v>
      </c>
      <c r="G228" s="163">
        <v>5</v>
      </c>
      <c r="H228" s="163">
        <v>5</v>
      </c>
      <c r="I228" s="163"/>
      <c r="J228" s="321"/>
      <c r="L228" s="37"/>
      <c r="M228" s="37"/>
      <c r="N228" s="37"/>
    </row>
    <row r="229" spans="1:14" hidden="1" outlineLevel="1" x14ac:dyDescent="0.3">
      <c r="A229" s="56" t="s">
        <v>120</v>
      </c>
      <c r="B229" s="56" t="s">
        <v>940</v>
      </c>
      <c r="C229" s="56" t="s">
        <v>825</v>
      </c>
      <c r="D229" s="163">
        <v>5</v>
      </c>
      <c r="E229" s="163">
        <v>5</v>
      </c>
      <c r="F229" s="163">
        <v>5</v>
      </c>
      <c r="G229" s="163">
        <v>5</v>
      </c>
      <c r="H229" s="163">
        <v>5</v>
      </c>
      <c r="I229" s="163"/>
      <c r="J229" s="321"/>
      <c r="L229" s="37"/>
      <c r="M229" s="37"/>
      <c r="N229" s="37"/>
    </row>
    <row r="230" spans="1:14" hidden="1" outlineLevel="1" x14ac:dyDescent="0.3">
      <c r="A230" s="56" t="s">
        <v>120</v>
      </c>
      <c r="B230" s="56" t="s">
        <v>940</v>
      </c>
      <c r="C230" s="56" t="s">
        <v>827</v>
      </c>
      <c r="D230" s="163">
        <v>5</v>
      </c>
      <c r="E230" s="163">
        <v>5</v>
      </c>
      <c r="F230" s="163">
        <v>5</v>
      </c>
      <c r="G230" s="163">
        <v>5</v>
      </c>
      <c r="H230" s="163">
        <v>5</v>
      </c>
      <c r="I230" s="163"/>
      <c r="J230" s="321"/>
      <c r="L230" s="37"/>
      <c r="M230" s="37"/>
      <c r="N230" s="37"/>
    </row>
    <row r="231" spans="1:14" hidden="1" outlineLevel="1" x14ac:dyDescent="0.3">
      <c r="A231" s="56" t="s">
        <v>120</v>
      </c>
      <c r="B231" s="56" t="s">
        <v>940</v>
      </c>
      <c r="C231" s="56" t="s">
        <v>829</v>
      </c>
      <c r="D231" s="163">
        <v>5</v>
      </c>
      <c r="E231" s="163">
        <v>5</v>
      </c>
      <c r="F231" s="163">
        <v>5</v>
      </c>
      <c r="G231" s="163">
        <v>5</v>
      </c>
      <c r="H231" s="163">
        <v>5</v>
      </c>
      <c r="I231" s="163"/>
      <c r="J231" s="321"/>
      <c r="L231" s="37"/>
      <c r="M231" s="37"/>
      <c r="N231" s="37"/>
    </row>
    <row r="232" spans="1:14" hidden="1" outlineLevel="1" x14ac:dyDescent="0.3">
      <c r="A232" s="56" t="s">
        <v>120</v>
      </c>
      <c r="B232" s="56" t="s">
        <v>940</v>
      </c>
      <c r="C232" s="56" t="s">
        <v>833</v>
      </c>
      <c r="D232" s="163">
        <v>5</v>
      </c>
      <c r="E232" s="163">
        <v>5</v>
      </c>
      <c r="F232" s="163">
        <v>5</v>
      </c>
      <c r="G232" s="163">
        <v>5</v>
      </c>
      <c r="H232" s="163">
        <v>5</v>
      </c>
      <c r="I232" s="163"/>
      <c r="J232" s="321"/>
      <c r="L232" s="37"/>
      <c r="M232" s="37"/>
      <c r="N232" s="37"/>
    </row>
    <row r="233" spans="1:14" hidden="1" outlineLevel="1" x14ac:dyDescent="0.3">
      <c r="A233" s="56" t="s">
        <v>120</v>
      </c>
      <c r="B233" s="56" t="s">
        <v>940</v>
      </c>
      <c r="C233" s="56" t="s">
        <v>836</v>
      </c>
      <c r="D233" s="163">
        <v>5</v>
      </c>
      <c r="E233" s="163">
        <v>5</v>
      </c>
      <c r="F233" s="163">
        <v>5</v>
      </c>
      <c r="G233" s="163">
        <v>5</v>
      </c>
      <c r="H233" s="163">
        <v>5</v>
      </c>
      <c r="I233" s="163"/>
      <c r="J233" s="321"/>
      <c r="L233" s="37"/>
      <c r="M233" s="37"/>
      <c r="N233" s="37"/>
    </row>
    <row r="234" spans="1:14" hidden="1" outlineLevel="1" x14ac:dyDescent="0.3">
      <c r="A234" s="56" t="s">
        <v>120</v>
      </c>
      <c r="B234" s="56" t="s">
        <v>940</v>
      </c>
      <c r="C234" s="56" t="s">
        <v>837</v>
      </c>
      <c r="D234" s="163">
        <v>5</v>
      </c>
      <c r="E234" s="163">
        <v>5</v>
      </c>
      <c r="F234" s="163">
        <v>5</v>
      </c>
      <c r="G234" s="163">
        <v>5</v>
      </c>
      <c r="H234" s="163">
        <v>5</v>
      </c>
      <c r="I234" s="163"/>
      <c r="J234" s="321"/>
      <c r="L234" s="37"/>
      <c r="M234" s="37"/>
      <c r="N234" s="37"/>
    </row>
    <row r="235" spans="1:14" hidden="1" outlineLevel="1" x14ac:dyDescent="0.3">
      <c r="A235" s="56" t="s">
        <v>120</v>
      </c>
      <c r="B235" s="56" t="s">
        <v>940</v>
      </c>
      <c r="C235" s="56" t="s">
        <v>839</v>
      </c>
      <c r="D235" s="163">
        <v>5</v>
      </c>
      <c r="E235" s="163">
        <v>5</v>
      </c>
      <c r="F235" s="163">
        <v>5</v>
      </c>
      <c r="G235" s="163">
        <v>5</v>
      </c>
      <c r="H235" s="163">
        <v>5</v>
      </c>
      <c r="I235" s="163"/>
      <c r="J235" s="321"/>
      <c r="L235" s="37"/>
      <c r="M235" s="37"/>
      <c r="N235" s="37"/>
    </row>
    <row r="236" spans="1:14" hidden="1" outlineLevel="1" x14ac:dyDescent="0.3">
      <c r="A236" s="56" t="s">
        <v>120</v>
      </c>
      <c r="B236" s="56" t="s">
        <v>940</v>
      </c>
      <c r="C236" s="56" t="s">
        <v>840</v>
      </c>
      <c r="D236" s="163">
        <v>5</v>
      </c>
      <c r="E236" s="163">
        <v>5</v>
      </c>
      <c r="F236" s="163">
        <v>5</v>
      </c>
      <c r="G236" s="163">
        <v>5</v>
      </c>
      <c r="H236" s="163">
        <v>5</v>
      </c>
      <c r="I236" s="163"/>
      <c r="J236" s="321"/>
      <c r="L236" s="37"/>
      <c r="M236" s="37"/>
      <c r="N236" s="37"/>
    </row>
    <row r="237" spans="1:14" collapsed="1" x14ac:dyDescent="0.3">
      <c r="A237" s="56"/>
      <c r="B237" s="56"/>
      <c r="C237" s="56"/>
      <c r="D237" s="56"/>
      <c r="E237" s="56"/>
      <c r="F237" s="56"/>
      <c r="G237" s="56"/>
      <c r="H237" s="56"/>
      <c r="I237" s="56"/>
      <c r="J237" s="308"/>
      <c r="L237" s="37"/>
      <c r="M237" s="37"/>
      <c r="N237" s="37"/>
    </row>
    <row r="238" spans="1:14" x14ac:dyDescent="0.3">
      <c r="A238" s="143" t="s">
        <v>122</v>
      </c>
      <c r="B238" s="143"/>
      <c r="C238" s="144" t="s">
        <v>4032</v>
      </c>
      <c r="D238" s="252">
        <v>10.714285714285714</v>
      </c>
      <c r="E238" s="252">
        <v>10.714285714285714</v>
      </c>
      <c r="F238" s="252">
        <v>10.714285714285714</v>
      </c>
      <c r="G238" s="252">
        <v>10.714285714285714</v>
      </c>
      <c r="H238" s="252">
        <v>10.714285714285714</v>
      </c>
      <c r="I238" s="143"/>
      <c r="J238" s="321"/>
    </row>
    <row r="239" spans="1:14" x14ac:dyDescent="0.3">
      <c r="A239" s="131" t="s">
        <v>5</v>
      </c>
      <c r="B239" s="131" t="s">
        <v>847</v>
      </c>
      <c r="C239" s="131" t="s">
        <v>193</v>
      </c>
      <c r="D239" s="131">
        <v>2025</v>
      </c>
      <c r="E239" s="131">
        <v>2030</v>
      </c>
      <c r="F239" s="131">
        <v>2035</v>
      </c>
      <c r="G239" s="131">
        <v>2040</v>
      </c>
      <c r="H239" s="131">
        <v>2045</v>
      </c>
      <c r="I239" s="131" t="s">
        <v>153</v>
      </c>
      <c r="J239" s="321"/>
    </row>
    <row r="240" spans="1:14" hidden="1" outlineLevel="1" x14ac:dyDescent="0.3">
      <c r="A240" s="56" t="s">
        <v>122</v>
      </c>
      <c r="B240" s="56" t="s">
        <v>855</v>
      </c>
      <c r="C240" s="56" t="s">
        <v>747</v>
      </c>
      <c r="D240" s="163">
        <v>0</v>
      </c>
      <c r="E240" s="163">
        <v>0</v>
      </c>
      <c r="F240" s="163">
        <v>0</v>
      </c>
      <c r="G240" s="163">
        <v>0</v>
      </c>
      <c r="H240" s="163">
        <v>0</v>
      </c>
      <c r="I240" s="163" t="s">
        <v>5918</v>
      </c>
      <c r="J240" s="321"/>
    </row>
    <row r="241" spans="1:14" hidden="1" outlineLevel="1" x14ac:dyDescent="0.3">
      <c r="A241" s="56" t="s">
        <v>122</v>
      </c>
      <c r="B241" s="56" t="s">
        <v>855</v>
      </c>
      <c r="C241" s="56" t="s">
        <v>751</v>
      </c>
      <c r="D241" s="163">
        <v>0</v>
      </c>
      <c r="E241" s="163">
        <v>0</v>
      </c>
      <c r="F241" s="163">
        <v>0</v>
      </c>
      <c r="G241" s="163">
        <v>0</v>
      </c>
      <c r="H241" s="163">
        <v>0</v>
      </c>
      <c r="I241" s="163" t="s">
        <v>5918</v>
      </c>
      <c r="J241" s="321"/>
    </row>
    <row r="242" spans="1:14" hidden="1" outlineLevel="1" x14ac:dyDescent="0.3">
      <c r="A242" s="56" t="s">
        <v>122</v>
      </c>
      <c r="B242" s="56" t="s">
        <v>855</v>
      </c>
      <c r="C242" s="56" t="s">
        <v>755</v>
      </c>
      <c r="D242" s="163">
        <v>0</v>
      </c>
      <c r="E242" s="163">
        <v>0</v>
      </c>
      <c r="F242" s="163">
        <v>0</v>
      </c>
      <c r="G242" s="163">
        <v>0</v>
      </c>
      <c r="H242" s="163">
        <v>0</v>
      </c>
      <c r="I242" s="163" t="s">
        <v>5918</v>
      </c>
      <c r="J242" s="321"/>
    </row>
    <row r="243" spans="1:14" hidden="1" outlineLevel="1" x14ac:dyDescent="0.3">
      <c r="A243" s="56" t="s">
        <v>122</v>
      </c>
      <c r="B243" s="56" t="s">
        <v>855</v>
      </c>
      <c r="C243" s="56" t="s">
        <v>758</v>
      </c>
      <c r="D243" s="163">
        <v>0</v>
      </c>
      <c r="E243" s="163">
        <v>0</v>
      </c>
      <c r="F243" s="163">
        <v>0</v>
      </c>
      <c r="G243" s="163">
        <v>0</v>
      </c>
      <c r="H243" s="163">
        <v>0</v>
      </c>
      <c r="I243" s="163" t="s">
        <v>5918</v>
      </c>
      <c r="J243" s="321"/>
      <c r="L243" s="37"/>
      <c r="M243" s="37"/>
      <c r="N243" s="37"/>
    </row>
    <row r="244" spans="1:14" hidden="1" outlineLevel="1" x14ac:dyDescent="0.3">
      <c r="A244" s="56" t="s">
        <v>122</v>
      </c>
      <c r="B244" s="56" t="s">
        <v>855</v>
      </c>
      <c r="C244" s="56" t="s">
        <v>761</v>
      </c>
      <c r="D244" s="163">
        <v>0</v>
      </c>
      <c r="E244" s="163">
        <v>0</v>
      </c>
      <c r="F244" s="163">
        <v>0</v>
      </c>
      <c r="G244" s="163">
        <v>0</v>
      </c>
      <c r="H244" s="163">
        <v>0</v>
      </c>
      <c r="I244" s="163" t="s">
        <v>5918</v>
      </c>
      <c r="J244" s="321"/>
      <c r="L244" s="37"/>
      <c r="M244" s="37"/>
      <c r="N244" s="37"/>
    </row>
    <row r="245" spans="1:14" hidden="1" outlineLevel="1" x14ac:dyDescent="0.3">
      <c r="A245" s="56" t="s">
        <v>122</v>
      </c>
      <c r="B245" s="56" t="s">
        <v>855</v>
      </c>
      <c r="C245" s="56" t="s">
        <v>763</v>
      </c>
      <c r="D245" s="163">
        <v>0</v>
      </c>
      <c r="E245" s="163">
        <v>0</v>
      </c>
      <c r="F245" s="163">
        <v>0</v>
      </c>
      <c r="G245" s="163">
        <v>0</v>
      </c>
      <c r="H245" s="163">
        <v>0</v>
      </c>
      <c r="I245" s="163" t="s">
        <v>5918</v>
      </c>
      <c r="J245" s="321"/>
      <c r="L245" s="37"/>
      <c r="M245" s="37"/>
      <c r="N245" s="37"/>
    </row>
    <row r="246" spans="1:14" hidden="1" outlineLevel="1" x14ac:dyDescent="0.3">
      <c r="A246" s="56" t="s">
        <v>122</v>
      </c>
      <c r="B246" s="56" t="s">
        <v>855</v>
      </c>
      <c r="C246" s="56" t="s">
        <v>765</v>
      </c>
      <c r="D246" s="163">
        <v>0</v>
      </c>
      <c r="E246" s="163">
        <v>0</v>
      </c>
      <c r="F246" s="163">
        <v>0</v>
      </c>
      <c r="G246" s="163">
        <v>0</v>
      </c>
      <c r="H246" s="163">
        <v>0</v>
      </c>
      <c r="I246" s="163" t="s">
        <v>5918</v>
      </c>
      <c r="J246" s="321"/>
      <c r="L246" s="37"/>
      <c r="M246" s="37"/>
      <c r="N246" s="37"/>
    </row>
    <row r="247" spans="1:14" hidden="1" outlineLevel="1" x14ac:dyDescent="0.3">
      <c r="A247" s="56" t="s">
        <v>122</v>
      </c>
      <c r="B247" s="56" t="s">
        <v>855</v>
      </c>
      <c r="C247" s="56" t="s">
        <v>768</v>
      </c>
      <c r="D247" s="163">
        <v>0</v>
      </c>
      <c r="E247" s="163">
        <v>0</v>
      </c>
      <c r="F247" s="163">
        <v>0</v>
      </c>
      <c r="G247" s="163">
        <v>0</v>
      </c>
      <c r="H247" s="163">
        <v>0</v>
      </c>
      <c r="I247" s="163" t="s">
        <v>5918</v>
      </c>
      <c r="J247" s="321"/>
      <c r="L247" s="37"/>
      <c r="M247" s="37"/>
      <c r="N247" s="37"/>
    </row>
    <row r="248" spans="1:14" hidden="1" outlineLevel="1" x14ac:dyDescent="0.3">
      <c r="A248" s="56" t="s">
        <v>122</v>
      </c>
      <c r="B248" s="56" t="s">
        <v>855</v>
      </c>
      <c r="C248" s="56" t="s">
        <v>771</v>
      </c>
      <c r="D248" s="163">
        <v>0</v>
      </c>
      <c r="E248" s="163">
        <v>0</v>
      </c>
      <c r="F248" s="163">
        <v>0</v>
      </c>
      <c r="G248" s="163">
        <v>0</v>
      </c>
      <c r="H248" s="163">
        <v>0</v>
      </c>
      <c r="I248" s="163" t="s">
        <v>5918</v>
      </c>
      <c r="J248" s="321"/>
      <c r="L248" s="37"/>
      <c r="M248" s="37"/>
      <c r="N248" s="37"/>
    </row>
    <row r="249" spans="1:14" hidden="1" outlineLevel="1" x14ac:dyDescent="0.3">
      <c r="A249" s="56" t="s">
        <v>122</v>
      </c>
      <c r="B249" s="56" t="s">
        <v>855</v>
      </c>
      <c r="C249" s="56" t="s">
        <v>772</v>
      </c>
      <c r="D249" s="163">
        <v>0</v>
      </c>
      <c r="E249" s="163">
        <v>0</v>
      </c>
      <c r="F249" s="163">
        <v>0</v>
      </c>
      <c r="G249" s="163">
        <v>0</v>
      </c>
      <c r="H249" s="163">
        <v>0</v>
      </c>
      <c r="I249" s="163" t="s">
        <v>5918</v>
      </c>
      <c r="J249" s="321"/>
      <c r="L249" s="37"/>
      <c r="M249" s="37"/>
      <c r="N249" s="37"/>
    </row>
    <row r="250" spans="1:14" hidden="1" outlineLevel="1" x14ac:dyDescent="0.3">
      <c r="A250" s="56" t="s">
        <v>122</v>
      </c>
      <c r="B250" s="56" t="s">
        <v>855</v>
      </c>
      <c r="C250" s="56" t="s">
        <v>774</v>
      </c>
      <c r="D250" s="163">
        <v>0</v>
      </c>
      <c r="E250" s="163">
        <v>0</v>
      </c>
      <c r="F250" s="163">
        <v>0</v>
      </c>
      <c r="G250" s="163">
        <v>0</v>
      </c>
      <c r="H250" s="163">
        <v>0</v>
      </c>
      <c r="I250" s="163" t="s">
        <v>5918</v>
      </c>
      <c r="J250" s="321"/>
      <c r="L250" s="37"/>
      <c r="M250" s="37"/>
      <c r="N250" s="37"/>
    </row>
    <row r="251" spans="1:14" hidden="1" outlineLevel="1" x14ac:dyDescent="0.3">
      <c r="A251" s="56" t="s">
        <v>122</v>
      </c>
      <c r="B251" s="56" t="s">
        <v>855</v>
      </c>
      <c r="C251" s="56" t="s">
        <v>775</v>
      </c>
      <c r="D251" s="163">
        <v>0</v>
      </c>
      <c r="E251" s="163">
        <v>0</v>
      </c>
      <c r="F251" s="163">
        <v>0</v>
      </c>
      <c r="G251" s="163">
        <v>0</v>
      </c>
      <c r="H251" s="163">
        <v>0</v>
      </c>
      <c r="I251" s="163" t="s">
        <v>5918</v>
      </c>
      <c r="J251" s="321"/>
      <c r="L251" s="37"/>
      <c r="M251" s="37"/>
      <c r="N251" s="37"/>
    </row>
    <row r="252" spans="1:14" hidden="1" outlineLevel="1" x14ac:dyDescent="0.3">
      <c r="A252" s="56" t="s">
        <v>122</v>
      </c>
      <c r="B252" s="56" t="s">
        <v>855</v>
      </c>
      <c r="C252" s="56" t="s">
        <v>779</v>
      </c>
      <c r="D252" s="163">
        <v>0</v>
      </c>
      <c r="E252" s="163">
        <v>0</v>
      </c>
      <c r="F252" s="163">
        <v>0</v>
      </c>
      <c r="G252" s="163">
        <v>0</v>
      </c>
      <c r="H252" s="163">
        <v>0</v>
      </c>
      <c r="I252" s="163" t="s">
        <v>5918</v>
      </c>
      <c r="J252" s="321"/>
      <c r="L252" s="37"/>
      <c r="M252" s="37"/>
      <c r="N252" s="37"/>
    </row>
    <row r="253" spans="1:14" hidden="1" outlineLevel="1" x14ac:dyDescent="0.3">
      <c r="A253" s="56" t="s">
        <v>122</v>
      </c>
      <c r="B253" s="56" t="s">
        <v>894</v>
      </c>
      <c r="C253" s="56" t="s">
        <v>781</v>
      </c>
      <c r="D253" s="163">
        <v>18</v>
      </c>
      <c r="E253" s="163">
        <v>18</v>
      </c>
      <c r="F253" s="163">
        <v>18</v>
      </c>
      <c r="G253" s="163">
        <v>18</v>
      </c>
      <c r="H253" s="163">
        <v>18</v>
      </c>
      <c r="I253" s="163" t="s">
        <v>5919</v>
      </c>
      <c r="J253" s="321"/>
      <c r="L253" s="37"/>
      <c r="M253" s="37"/>
      <c r="N253" s="37"/>
    </row>
    <row r="254" spans="1:14" hidden="1" outlineLevel="1" x14ac:dyDescent="0.3">
      <c r="A254" s="56" t="s">
        <v>122</v>
      </c>
      <c r="B254" s="56" t="s">
        <v>894</v>
      </c>
      <c r="C254" s="56" t="s">
        <v>783</v>
      </c>
      <c r="D254" s="163">
        <v>18</v>
      </c>
      <c r="E254" s="163">
        <v>18</v>
      </c>
      <c r="F254" s="163">
        <v>18</v>
      </c>
      <c r="G254" s="163">
        <v>18</v>
      </c>
      <c r="H254" s="163">
        <v>18</v>
      </c>
      <c r="I254" s="163" t="s">
        <v>5919</v>
      </c>
      <c r="J254" s="321"/>
      <c r="L254" s="37"/>
      <c r="M254" s="37"/>
      <c r="N254" s="37"/>
    </row>
    <row r="255" spans="1:14" hidden="1" outlineLevel="1" x14ac:dyDescent="0.3">
      <c r="A255" s="56" t="s">
        <v>122</v>
      </c>
      <c r="B255" s="56" t="s">
        <v>894</v>
      </c>
      <c r="C255" s="56" t="s">
        <v>785</v>
      </c>
      <c r="D255" s="163">
        <v>0</v>
      </c>
      <c r="E255" s="163">
        <v>0</v>
      </c>
      <c r="F255" s="163">
        <v>0</v>
      </c>
      <c r="G255" s="163">
        <v>0</v>
      </c>
      <c r="H255" s="163">
        <v>0</v>
      </c>
      <c r="I255" s="163" t="s">
        <v>5920</v>
      </c>
      <c r="J255" s="321"/>
      <c r="L255" s="37"/>
      <c r="M255" s="37"/>
      <c r="N255" s="37"/>
    </row>
    <row r="256" spans="1:14" hidden="1" outlineLevel="1" x14ac:dyDescent="0.3">
      <c r="A256" s="56" t="s">
        <v>122</v>
      </c>
      <c r="B256" s="56" t="s">
        <v>894</v>
      </c>
      <c r="C256" s="56" t="s">
        <v>787</v>
      </c>
      <c r="D256" s="163">
        <v>18</v>
      </c>
      <c r="E256" s="163">
        <v>18</v>
      </c>
      <c r="F256" s="163">
        <v>18</v>
      </c>
      <c r="G256" s="163">
        <v>18</v>
      </c>
      <c r="H256" s="163">
        <v>18</v>
      </c>
      <c r="I256" s="163" t="s">
        <v>5919</v>
      </c>
      <c r="J256" s="321"/>
      <c r="L256" s="37"/>
      <c r="M256" s="37"/>
      <c r="N256" s="37"/>
    </row>
    <row r="257" spans="1:14" hidden="1" outlineLevel="1" x14ac:dyDescent="0.3">
      <c r="A257" s="56" t="s">
        <v>122</v>
      </c>
      <c r="B257" s="56" t="s">
        <v>894</v>
      </c>
      <c r="C257" s="56" t="s">
        <v>788</v>
      </c>
      <c r="D257" s="163">
        <v>0</v>
      </c>
      <c r="E257" s="163">
        <v>0</v>
      </c>
      <c r="F257" s="163">
        <v>0</v>
      </c>
      <c r="G257" s="163">
        <v>0</v>
      </c>
      <c r="H257" s="163">
        <v>0</v>
      </c>
      <c r="I257" s="163" t="s">
        <v>5920</v>
      </c>
      <c r="J257" s="321"/>
      <c r="L257" s="37"/>
      <c r="M257" s="37"/>
      <c r="N257" s="37"/>
    </row>
    <row r="258" spans="1:14" hidden="1" outlineLevel="1" x14ac:dyDescent="0.3">
      <c r="A258" s="56" t="s">
        <v>122</v>
      </c>
      <c r="B258" s="56" t="s">
        <v>894</v>
      </c>
      <c r="C258" s="56" t="s">
        <v>789</v>
      </c>
      <c r="D258" s="163">
        <v>0</v>
      </c>
      <c r="E258" s="163">
        <v>0</v>
      </c>
      <c r="F258" s="163">
        <v>0</v>
      </c>
      <c r="G258" s="163">
        <v>0</v>
      </c>
      <c r="H258" s="163">
        <v>0</v>
      </c>
      <c r="I258" s="163" t="s">
        <v>5920</v>
      </c>
      <c r="J258" s="321"/>
      <c r="L258" s="37"/>
      <c r="M258" s="37"/>
      <c r="N258" s="37"/>
    </row>
    <row r="259" spans="1:14" hidden="1" outlineLevel="1" x14ac:dyDescent="0.3">
      <c r="A259" s="56" t="s">
        <v>122</v>
      </c>
      <c r="B259" s="56" t="s">
        <v>894</v>
      </c>
      <c r="C259" s="56" t="s">
        <v>790</v>
      </c>
      <c r="D259" s="163">
        <v>18</v>
      </c>
      <c r="E259" s="163">
        <v>18</v>
      </c>
      <c r="F259" s="163">
        <v>18</v>
      </c>
      <c r="G259" s="163">
        <v>18</v>
      </c>
      <c r="H259" s="163">
        <v>18</v>
      </c>
      <c r="I259" s="163" t="s">
        <v>5919</v>
      </c>
      <c r="J259" s="321"/>
      <c r="L259" s="37"/>
      <c r="M259" s="37"/>
      <c r="N259" s="37"/>
    </row>
    <row r="260" spans="1:14" hidden="1" outlineLevel="1" x14ac:dyDescent="0.3">
      <c r="A260" s="56" t="s">
        <v>122</v>
      </c>
      <c r="B260" s="56" t="s">
        <v>894</v>
      </c>
      <c r="C260" s="56" t="s">
        <v>793</v>
      </c>
      <c r="D260" s="163">
        <v>18</v>
      </c>
      <c r="E260" s="163">
        <v>18</v>
      </c>
      <c r="F260" s="163">
        <v>18</v>
      </c>
      <c r="G260" s="163">
        <v>18</v>
      </c>
      <c r="H260" s="163">
        <v>18</v>
      </c>
      <c r="I260" s="163" t="s">
        <v>5919</v>
      </c>
      <c r="J260" s="321"/>
      <c r="L260" s="37"/>
      <c r="M260" s="37"/>
      <c r="N260" s="37"/>
    </row>
    <row r="261" spans="1:14" hidden="1" outlineLevel="1" x14ac:dyDescent="0.3">
      <c r="A261" s="56" t="s">
        <v>122</v>
      </c>
      <c r="B261" s="56" t="s">
        <v>894</v>
      </c>
      <c r="C261" s="56" t="s">
        <v>795</v>
      </c>
      <c r="D261" s="163">
        <v>0</v>
      </c>
      <c r="E261" s="163">
        <v>0</v>
      </c>
      <c r="F261" s="163">
        <v>0</v>
      </c>
      <c r="G261" s="163">
        <v>0</v>
      </c>
      <c r="H261" s="163">
        <v>0</v>
      </c>
      <c r="I261" s="163" t="s">
        <v>5920</v>
      </c>
      <c r="J261" s="321"/>
      <c r="L261" s="37"/>
      <c r="M261" s="37"/>
      <c r="N261" s="37"/>
    </row>
    <row r="262" spans="1:14" hidden="1" outlineLevel="1" x14ac:dyDescent="0.3">
      <c r="A262" s="56" t="s">
        <v>122</v>
      </c>
      <c r="B262" s="56" t="s">
        <v>894</v>
      </c>
      <c r="C262" s="56" t="s">
        <v>797</v>
      </c>
      <c r="D262" s="163">
        <v>18</v>
      </c>
      <c r="E262" s="163">
        <v>18</v>
      </c>
      <c r="F262" s="163">
        <v>18</v>
      </c>
      <c r="G262" s="163">
        <v>18</v>
      </c>
      <c r="H262" s="163">
        <v>18</v>
      </c>
      <c r="I262" s="163" t="s">
        <v>5919</v>
      </c>
      <c r="J262" s="321"/>
      <c r="L262" s="37"/>
      <c r="M262" s="37"/>
      <c r="N262" s="37"/>
    </row>
    <row r="263" spans="1:14" hidden="1" outlineLevel="1" x14ac:dyDescent="0.3">
      <c r="A263" s="56" t="s">
        <v>122</v>
      </c>
      <c r="B263" s="56" t="s">
        <v>915</v>
      </c>
      <c r="C263" s="56" t="s">
        <v>799</v>
      </c>
      <c r="D263" s="163">
        <v>18</v>
      </c>
      <c r="E263" s="163">
        <v>18</v>
      </c>
      <c r="F263" s="163">
        <v>18</v>
      </c>
      <c r="G263" s="163">
        <v>18</v>
      </c>
      <c r="H263" s="163">
        <v>18</v>
      </c>
      <c r="I263" s="163" t="s">
        <v>5919</v>
      </c>
      <c r="J263" s="321"/>
      <c r="L263" s="37"/>
      <c r="M263" s="37"/>
      <c r="N263" s="37"/>
    </row>
    <row r="264" spans="1:14" hidden="1" outlineLevel="1" x14ac:dyDescent="0.3">
      <c r="A264" s="56" t="s">
        <v>122</v>
      </c>
      <c r="B264" s="56" t="s">
        <v>915</v>
      </c>
      <c r="C264" s="56" t="s">
        <v>801</v>
      </c>
      <c r="D264" s="163">
        <v>18</v>
      </c>
      <c r="E264" s="163">
        <v>18</v>
      </c>
      <c r="F264" s="163">
        <v>18</v>
      </c>
      <c r="G264" s="163">
        <v>18</v>
      </c>
      <c r="H264" s="163">
        <v>18</v>
      </c>
      <c r="I264" s="163" t="s">
        <v>5919</v>
      </c>
      <c r="J264" s="321"/>
      <c r="L264" s="37"/>
      <c r="M264" s="37"/>
      <c r="N264" s="37"/>
    </row>
    <row r="265" spans="1:14" hidden="1" outlineLevel="1" x14ac:dyDescent="0.3">
      <c r="A265" s="56" t="s">
        <v>122</v>
      </c>
      <c r="B265" s="56" t="s">
        <v>915</v>
      </c>
      <c r="C265" s="56" t="s">
        <v>804</v>
      </c>
      <c r="D265" s="163">
        <v>18</v>
      </c>
      <c r="E265" s="163">
        <v>18</v>
      </c>
      <c r="F265" s="163">
        <v>18</v>
      </c>
      <c r="G265" s="163">
        <v>18</v>
      </c>
      <c r="H265" s="163">
        <v>18</v>
      </c>
      <c r="I265" s="163" t="s">
        <v>5919</v>
      </c>
      <c r="J265" s="321"/>
      <c r="L265" s="37"/>
      <c r="M265" s="37"/>
      <c r="N265" s="37"/>
    </row>
    <row r="266" spans="1:14" hidden="1" outlineLevel="1" x14ac:dyDescent="0.3">
      <c r="A266" s="56" t="s">
        <v>122</v>
      </c>
      <c r="B266" s="56" t="s">
        <v>915</v>
      </c>
      <c r="C266" s="56" t="s">
        <v>806</v>
      </c>
      <c r="D266" s="163">
        <v>18</v>
      </c>
      <c r="E266" s="163">
        <v>18</v>
      </c>
      <c r="F266" s="163">
        <v>18</v>
      </c>
      <c r="G266" s="163">
        <v>18</v>
      </c>
      <c r="H266" s="163">
        <v>18</v>
      </c>
      <c r="I266" s="163" t="s">
        <v>5919</v>
      </c>
      <c r="J266" s="321"/>
      <c r="L266" s="37"/>
      <c r="M266" s="37"/>
      <c r="N266" s="37"/>
    </row>
    <row r="267" spans="1:14" hidden="1" outlineLevel="1" x14ac:dyDescent="0.3">
      <c r="A267" s="56" t="s">
        <v>122</v>
      </c>
      <c r="B267" s="56" t="s">
        <v>915</v>
      </c>
      <c r="C267" s="56" t="s">
        <v>808</v>
      </c>
      <c r="D267" s="163">
        <v>18</v>
      </c>
      <c r="E267" s="163">
        <v>18</v>
      </c>
      <c r="F267" s="163">
        <v>18</v>
      </c>
      <c r="G267" s="163">
        <v>18</v>
      </c>
      <c r="H267" s="163">
        <v>18</v>
      </c>
      <c r="I267" s="163" t="s">
        <v>5919</v>
      </c>
      <c r="J267" s="321"/>
      <c r="L267" s="37"/>
      <c r="M267" s="37"/>
      <c r="N267" s="37"/>
    </row>
    <row r="268" spans="1:14" hidden="1" outlineLevel="1" x14ac:dyDescent="0.3">
      <c r="A268" s="56" t="s">
        <v>122</v>
      </c>
      <c r="B268" s="56" t="s">
        <v>915</v>
      </c>
      <c r="C268" s="56" t="s">
        <v>811</v>
      </c>
      <c r="D268" s="163">
        <v>18</v>
      </c>
      <c r="E268" s="163">
        <v>18</v>
      </c>
      <c r="F268" s="163">
        <v>18</v>
      </c>
      <c r="G268" s="163">
        <v>18</v>
      </c>
      <c r="H268" s="163">
        <v>18</v>
      </c>
      <c r="I268" s="163" t="s">
        <v>5919</v>
      </c>
      <c r="J268" s="321"/>
      <c r="L268" s="37"/>
      <c r="M268" s="37"/>
      <c r="N268" s="37"/>
    </row>
    <row r="269" spans="1:14" hidden="1" outlineLevel="1" x14ac:dyDescent="0.3">
      <c r="A269" s="56" t="s">
        <v>122</v>
      </c>
      <c r="B269" s="56" t="s">
        <v>934</v>
      </c>
      <c r="C269" s="56" t="s">
        <v>814</v>
      </c>
      <c r="D269" s="163">
        <v>18</v>
      </c>
      <c r="E269" s="163">
        <v>18</v>
      </c>
      <c r="F269" s="163">
        <v>18</v>
      </c>
      <c r="G269" s="163">
        <v>18</v>
      </c>
      <c r="H269" s="163">
        <v>18</v>
      </c>
      <c r="I269" s="163" t="s">
        <v>5919</v>
      </c>
      <c r="J269" s="321"/>
      <c r="L269" s="37"/>
      <c r="M269" s="37"/>
      <c r="N269" s="37"/>
    </row>
    <row r="270" spans="1:14" hidden="1" outlineLevel="1" x14ac:dyDescent="0.3">
      <c r="A270" s="56" t="s">
        <v>122</v>
      </c>
      <c r="B270" s="56" t="s">
        <v>934</v>
      </c>
      <c r="C270" s="56" t="s">
        <v>815</v>
      </c>
      <c r="D270" s="163">
        <v>18</v>
      </c>
      <c r="E270" s="163">
        <v>18</v>
      </c>
      <c r="F270" s="163">
        <v>18</v>
      </c>
      <c r="G270" s="163">
        <v>18</v>
      </c>
      <c r="H270" s="163">
        <v>18</v>
      </c>
      <c r="I270" s="163" t="s">
        <v>5919</v>
      </c>
      <c r="J270" s="321"/>
      <c r="L270" s="37"/>
      <c r="M270" s="37"/>
      <c r="N270" s="37"/>
    </row>
    <row r="271" spans="1:14" hidden="1" outlineLevel="1" x14ac:dyDescent="0.3">
      <c r="A271" s="56" t="s">
        <v>122</v>
      </c>
      <c r="B271" s="56" t="s">
        <v>940</v>
      </c>
      <c r="C271" s="56" t="s">
        <v>817</v>
      </c>
      <c r="D271" s="163">
        <v>18</v>
      </c>
      <c r="E271" s="163">
        <v>18</v>
      </c>
      <c r="F271" s="163">
        <v>18</v>
      </c>
      <c r="G271" s="163">
        <v>18</v>
      </c>
      <c r="H271" s="163">
        <v>18</v>
      </c>
      <c r="I271" s="163" t="s">
        <v>5919</v>
      </c>
      <c r="J271" s="321"/>
      <c r="L271" s="37"/>
      <c r="M271" s="37"/>
      <c r="N271" s="37"/>
    </row>
    <row r="272" spans="1:14" hidden="1" outlineLevel="1" x14ac:dyDescent="0.3">
      <c r="A272" s="56" t="s">
        <v>122</v>
      </c>
      <c r="B272" s="56" t="s">
        <v>940</v>
      </c>
      <c r="C272" s="56" t="s">
        <v>944</v>
      </c>
      <c r="D272" s="163">
        <v>18</v>
      </c>
      <c r="E272" s="163">
        <v>18</v>
      </c>
      <c r="F272" s="163">
        <v>18</v>
      </c>
      <c r="G272" s="163">
        <v>18</v>
      </c>
      <c r="H272" s="163">
        <v>18</v>
      </c>
      <c r="I272" s="163" t="s">
        <v>5919</v>
      </c>
      <c r="J272" s="321"/>
      <c r="L272" s="37"/>
      <c r="M272" s="37"/>
      <c r="N272" s="37"/>
    </row>
    <row r="273" spans="1:14" hidden="1" outlineLevel="1" x14ac:dyDescent="0.3">
      <c r="A273" s="56" t="s">
        <v>122</v>
      </c>
      <c r="B273" s="56" t="s">
        <v>940</v>
      </c>
      <c r="C273" s="56" t="s">
        <v>821</v>
      </c>
      <c r="D273" s="163">
        <v>18</v>
      </c>
      <c r="E273" s="163">
        <v>18</v>
      </c>
      <c r="F273" s="163">
        <v>18</v>
      </c>
      <c r="G273" s="163">
        <v>18</v>
      </c>
      <c r="H273" s="163">
        <v>18</v>
      </c>
      <c r="I273" s="163" t="s">
        <v>5919</v>
      </c>
      <c r="J273" s="321"/>
      <c r="L273" s="37"/>
      <c r="M273" s="37"/>
      <c r="N273" s="37"/>
    </row>
    <row r="274" spans="1:14" hidden="1" outlineLevel="1" x14ac:dyDescent="0.3">
      <c r="A274" s="56" t="s">
        <v>122</v>
      </c>
      <c r="B274" s="56" t="s">
        <v>940</v>
      </c>
      <c r="C274" s="56" t="s">
        <v>823</v>
      </c>
      <c r="D274" s="163">
        <v>18</v>
      </c>
      <c r="E274" s="163">
        <v>18</v>
      </c>
      <c r="F274" s="163">
        <v>18</v>
      </c>
      <c r="G274" s="163">
        <v>18</v>
      </c>
      <c r="H274" s="163">
        <v>18</v>
      </c>
      <c r="I274" s="163" t="s">
        <v>5919</v>
      </c>
      <c r="J274" s="321"/>
      <c r="L274" s="37"/>
      <c r="M274" s="37"/>
      <c r="N274" s="37"/>
    </row>
    <row r="275" spans="1:14" hidden="1" outlineLevel="1" x14ac:dyDescent="0.3">
      <c r="A275" s="56" t="s">
        <v>122</v>
      </c>
      <c r="B275" s="56" t="s">
        <v>940</v>
      </c>
      <c r="C275" s="56" t="s">
        <v>825</v>
      </c>
      <c r="D275" s="163">
        <v>18</v>
      </c>
      <c r="E275" s="163">
        <v>18</v>
      </c>
      <c r="F275" s="163">
        <v>18</v>
      </c>
      <c r="G275" s="163">
        <v>18</v>
      </c>
      <c r="H275" s="163">
        <v>18</v>
      </c>
      <c r="I275" s="163" t="s">
        <v>5919</v>
      </c>
      <c r="J275" s="321"/>
      <c r="L275" s="37"/>
      <c r="M275" s="37"/>
      <c r="N275" s="37"/>
    </row>
    <row r="276" spans="1:14" hidden="1" outlineLevel="1" x14ac:dyDescent="0.3">
      <c r="A276" s="56" t="s">
        <v>122</v>
      </c>
      <c r="B276" s="56" t="s">
        <v>940</v>
      </c>
      <c r="C276" s="56" t="s">
        <v>827</v>
      </c>
      <c r="D276" s="163">
        <v>18</v>
      </c>
      <c r="E276" s="163">
        <v>18</v>
      </c>
      <c r="F276" s="163">
        <v>18</v>
      </c>
      <c r="G276" s="163">
        <v>18</v>
      </c>
      <c r="H276" s="163">
        <v>18</v>
      </c>
      <c r="I276" s="163" t="s">
        <v>5919</v>
      </c>
      <c r="J276" s="321"/>
      <c r="L276" s="37"/>
      <c r="M276" s="37"/>
      <c r="N276" s="37"/>
    </row>
    <row r="277" spans="1:14" hidden="1" outlineLevel="1" x14ac:dyDescent="0.3">
      <c r="A277" s="56" t="s">
        <v>122</v>
      </c>
      <c r="B277" s="56" t="s">
        <v>940</v>
      </c>
      <c r="C277" s="56" t="s">
        <v>829</v>
      </c>
      <c r="D277" s="163">
        <v>18</v>
      </c>
      <c r="E277" s="163">
        <v>18</v>
      </c>
      <c r="F277" s="163">
        <v>18</v>
      </c>
      <c r="G277" s="163">
        <v>18</v>
      </c>
      <c r="H277" s="163">
        <v>18</v>
      </c>
      <c r="I277" s="163" t="s">
        <v>5919</v>
      </c>
      <c r="J277" s="321"/>
      <c r="L277" s="37"/>
      <c r="M277" s="37"/>
      <c r="N277" s="37"/>
    </row>
    <row r="278" spans="1:14" hidden="1" outlineLevel="1" x14ac:dyDescent="0.3">
      <c r="A278" s="56" t="s">
        <v>122</v>
      </c>
      <c r="B278" s="56" t="s">
        <v>940</v>
      </c>
      <c r="C278" s="56" t="s">
        <v>833</v>
      </c>
      <c r="D278" s="163">
        <v>18</v>
      </c>
      <c r="E278" s="163">
        <v>18</v>
      </c>
      <c r="F278" s="163">
        <v>18</v>
      </c>
      <c r="G278" s="163">
        <v>18</v>
      </c>
      <c r="H278" s="163">
        <v>18</v>
      </c>
      <c r="I278" s="163" t="s">
        <v>5919</v>
      </c>
      <c r="J278" s="321"/>
      <c r="L278" s="37"/>
      <c r="M278" s="37"/>
      <c r="N278" s="37"/>
    </row>
    <row r="279" spans="1:14" hidden="1" outlineLevel="1" x14ac:dyDescent="0.3">
      <c r="A279" s="56" t="s">
        <v>122</v>
      </c>
      <c r="B279" s="56" t="s">
        <v>940</v>
      </c>
      <c r="C279" s="56" t="s">
        <v>836</v>
      </c>
      <c r="D279" s="163">
        <v>18</v>
      </c>
      <c r="E279" s="163">
        <v>18</v>
      </c>
      <c r="F279" s="163">
        <v>18</v>
      </c>
      <c r="G279" s="163">
        <v>18</v>
      </c>
      <c r="H279" s="163">
        <v>18</v>
      </c>
      <c r="I279" s="163" t="s">
        <v>5919</v>
      </c>
      <c r="J279" s="321"/>
      <c r="L279" s="37"/>
      <c r="M279" s="37"/>
      <c r="N279" s="37"/>
    </row>
    <row r="280" spans="1:14" hidden="1" outlineLevel="1" x14ac:dyDescent="0.3">
      <c r="A280" s="56" t="s">
        <v>122</v>
      </c>
      <c r="B280" s="56" t="s">
        <v>940</v>
      </c>
      <c r="C280" s="56" t="s">
        <v>837</v>
      </c>
      <c r="D280" s="163">
        <v>18</v>
      </c>
      <c r="E280" s="163">
        <v>18</v>
      </c>
      <c r="F280" s="163">
        <v>18</v>
      </c>
      <c r="G280" s="163">
        <v>18</v>
      </c>
      <c r="H280" s="163">
        <v>18</v>
      </c>
      <c r="I280" s="163" t="s">
        <v>5919</v>
      </c>
      <c r="J280" s="321"/>
      <c r="L280" s="37"/>
      <c r="M280" s="37"/>
      <c r="N280" s="37"/>
    </row>
    <row r="281" spans="1:14" hidden="1" outlineLevel="1" x14ac:dyDescent="0.3">
      <c r="A281" s="56" t="s">
        <v>122</v>
      </c>
      <c r="B281" s="56" t="s">
        <v>940</v>
      </c>
      <c r="C281" s="56" t="s">
        <v>839</v>
      </c>
      <c r="D281" s="163">
        <v>18</v>
      </c>
      <c r="E281" s="163">
        <v>18</v>
      </c>
      <c r="F281" s="163">
        <v>18</v>
      </c>
      <c r="G281" s="163">
        <v>18</v>
      </c>
      <c r="H281" s="163">
        <v>18</v>
      </c>
      <c r="I281" s="163" t="s">
        <v>5919</v>
      </c>
      <c r="J281" s="321"/>
      <c r="L281" s="37"/>
      <c r="M281" s="37"/>
      <c r="N281" s="37"/>
    </row>
    <row r="282" spans="1:14" hidden="1" outlineLevel="1" x14ac:dyDescent="0.3">
      <c r="A282" s="56" t="s">
        <v>122</v>
      </c>
      <c r="B282" s="56" t="s">
        <v>940</v>
      </c>
      <c r="C282" s="56" t="s">
        <v>840</v>
      </c>
      <c r="D282" s="163">
        <v>18</v>
      </c>
      <c r="E282" s="163">
        <v>18</v>
      </c>
      <c r="F282" s="163">
        <v>18</v>
      </c>
      <c r="G282" s="163">
        <v>18</v>
      </c>
      <c r="H282" s="163">
        <v>18</v>
      </c>
      <c r="I282" s="163" t="s">
        <v>5919</v>
      </c>
      <c r="J282" s="321"/>
      <c r="L282" s="37"/>
      <c r="M282" s="37"/>
      <c r="N282" s="37"/>
    </row>
    <row r="283" spans="1:14" collapsed="1" x14ac:dyDescent="0.3">
      <c r="A283" s="56"/>
      <c r="B283" s="56"/>
      <c r="C283" s="56"/>
      <c r="D283" s="56"/>
      <c r="E283" s="56"/>
      <c r="F283" s="56"/>
      <c r="G283" s="56"/>
      <c r="H283" s="56"/>
      <c r="I283" s="56"/>
      <c r="J283" s="308"/>
      <c r="L283" s="37"/>
      <c r="M283" s="37"/>
      <c r="N283" s="37"/>
    </row>
    <row r="284" spans="1:14" x14ac:dyDescent="0.3">
      <c r="A284" s="143" t="s">
        <v>6007</v>
      </c>
      <c r="B284" s="143"/>
      <c r="C284" s="144" t="s">
        <v>4032</v>
      </c>
      <c r="D284" s="252">
        <v>4872.166666666667</v>
      </c>
      <c r="E284" s="252">
        <v>4980.2857142857147</v>
      </c>
      <c r="F284" s="252">
        <v>5105.0238095238092</v>
      </c>
      <c r="G284" s="252">
        <v>5229.7857142857147</v>
      </c>
      <c r="H284" s="252">
        <v>5354.5476190476193</v>
      </c>
      <c r="I284" s="143"/>
      <c r="J284" s="321"/>
    </row>
    <row r="285" spans="1:14" x14ac:dyDescent="0.3">
      <c r="A285" s="131" t="s">
        <v>5</v>
      </c>
      <c r="B285" s="131" t="s">
        <v>847</v>
      </c>
      <c r="C285" s="131" t="s">
        <v>193</v>
      </c>
      <c r="D285" s="131">
        <v>2025</v>
      </c>
      <c r="E285" s="131">
        <v>2030</v>
      </c>
      <c r="F285" s="131">
        <v>2035</v>
      </c>
      <c r="G285" s="131">
        <v>2040</v>
      </c>
      <c r="H285" s="131">
        <v>2045</v>
      </c>
      <c r="I285" s="131" t="s">
        <v>153</v>
      </c>
      <c r="J285" s="321"/>
    </row>
    <row r="286" spans="1:14" hidden="1" outlineLevel="1" x14ac:dyDescent="0.3">
      <c r="A286" s="56" t="s">
        <v>6007</v>
      </c>
      <c r="B286" s="56" t="s">
        <v>855</v>
      </c>
      <c r="C286" s="56" t="s">
        <v>747</v>
      </c>
      <c r="D286" s="163">
        <v>1000</v>
      </c>
      <c r="E286" s="163">
        <v>1000</v>
      </c>
      <c r="F286" s="163">
        <v>1000</v>
      </c>
      <c r="G286" s="163">
        <v>1000</v>
      </c>
      <c r="H286" s="163">
        <v>1000</v>
      </c>
      <c r="I286" s="163" t="s">
        <v>5921</v>
      </c>
      <c r="J286" s="321"/>
    </row>
    <row r="287" spans="1:14" hidden="1" outlineLevel="1" x14ac:dyDescent="0.3">
      <c r="A287" s="56" t="s">
        <v>6007</v>
      </c>
      <c r="B287" s="56" t="s">
        <v>855</v>
      </c>
      <c r="C287" s="56" t="s">
        <v>751</v>
      </c>
      <c r="D287" s="163">
        <v>1000</v>
      </c>
      <c r="E287" s="163">
        <v>1000</v>
      </c>
      <c r="F287" s="163">
        <v>1000</v>
      </c>
      <c r="G287" s="163">
        <v>1000</v>
      </c>
      <c r="H287" s="163">
        <v>1000</v>
      </c>
      <c r="I287" s="163" t="s">
        <v>5921</v>
      </c>
      <c r="J287" s="321"/>
    </row>
    <row r="288" spans="1:14" hidden="1" outlineLevel="1" x14ac:dyDescent="0.3">
      <c r="A288" s="56" t="s">
        <v>6007</v>
      </c>
      <c r="B288" s="56" t="s">
        <v>855</v>
      </c>
      <c r="C288" s="56" t="s">
        <v>755</v>
      </c>
      <c r="D288" s="163">
        <v>1000</v>
      </c>
      <c r="E288" s="163">
        <v>1000</v>
      </c>
      <c r="F288" s="163">
        <v>1000</v>
      </c>
      <c r="G288" s="163">
        <v>1000</v>
      </c>
      <c r="H288" s="163">
        <v>1000</v>
      </c>
      <c r="I288" s="163" t="s">
        <v>5921</v>
      </c>
      <c r="J288" s="321"/>
    </row>
    <row r="289" spans="1:14" hidden="1" outlineLevel="1" x14ac:dyDescent="0.3">
      <c r="A289" s="56" t="s">
        <v>6007</v>
      </c>
      <c r="B289" s="56" t="s">
        <v>855</v>
      </c>
      <c r="C289" s="56" t="s">
        <v>758</v>
      </c>
      <c r="D289" s="163">
        <v>1000</v>
      </c>
      <c r="E289" s="163">
        <v>1000</v>
      </c>
      <c r="F289" s="163">
        <v>1000</v>
      </c>
      <c r="G289" s="163">
        <v>1000</v>
      </c>
      <c r="H289" s="163">
        <v>1000</v>
      </c>
      <c r="I289" s="163" t="s">
        <v>5921</v>
      </c>
      <c r="J289" s="321"/>
      <c r="L289" s="37"/>
      <c r="M289" s="37"/>
      <c r="N289" s="37"/>
    </row>
    <row r="290" spans="1:14" hidden="1" outlineLevel="1" x14ac:dyDescent="0.3">
      <c r="A290" s="56" t="s">
        <v>6007</v>
      </c>
      <c r="B290" s="56" t="s">
        <v>855</v>
      </c>
      <c r="C290" s="56" t="s">
        <v>761</v>
      </c>
      <c r="D290" s="163">
        <v>1000</v>
      </c>
      <c r="E290" s="163">
        <v>1000</v>
      </c>
      <c r="F290" s="163">
        <v>1000</v>
      </c>
      <c r="G290" s="163">
        <v>1000</v>
      </c>
      <c r="H290" s="163">
        <v>1000</v>
      </c>
      <c r="I290" s="163" t="s">
        <v>5921</v>
      </c>
      <c r="J290" s="321"/>
      <c r="L290" s="37"/>
      <c r="M290" s="37"/>
      <c r="N290" s="37"/>
    </row>
    <row r="291" spans="1:14" hidden="1" outlineLevel="1" x14ac:dyDescent="0.3">
      <c r="A291" s="56" t="s">
        <v>6007</v>
      </c>
      <c r="B291" s="56" t="s">
        <v>855</v>
      </c>
      <c r="C291" s="56" t="s">
        <v>763</v>
      </c>
      <c r="D291" s="163">
        <v>1000</v>
      </c>
      <c r="E291" s="163">
        <v>1000</v>
      </c>
      <c r="F291" s="163">
        <v>1000</v>
      </c>
      <c r="G291" s="163">
        <v>1000</v>
      </c>
      <c r="H291" s="163">
        <v>1000</v>
      </c>
      <c r="I291" s="163" t="s">
        <v>5921</v>
      </c>
      <c r="J291" s="321"/>
      <c r="L291" s="37"/>
      <c r="M291" s="37"/>
      <c r="N291" s="37"/>
    </row>
    <row r="292" spans="1:14" hidden="1" outlineLevel="1" x14ac:dyDescent="0.3">
      <c r="A292" s="56" t="s">
        <v>6007</v>
      </c>
      <c r="B292" s="56" t="s">
        <v>855</v>
      </c>
      <c r="C292" s="56" t="s">
        <v>765</v>
      </c>
      <c r="D292" s="163">
        <v>1000</v>
      </c>
      <c r="E292" s="163">
        <v>1000</v>
      </c>
      <c r="F292" s="163">
        <v>1000</v>
      </c>
      <c r="G292" s="163">
        <v>1000</v>
      </c>
      <c r="H292" s="163">
        <v>1000</v>
      </c>
      <c r="I292" s="163" t="s">
        <v>5921</v>
      </c>
      <c r="J292" s="321"/>
      <c r="L292" s="37"/>
      <c r="M292" s="37"/>
      <c r="N292" s="37"/>
    </row>
    <row r="293" spans="1:14" hidden="1" outlineLevel="1" x14ac:dyDescent="0.3">
      <c r="A293" s="56" t="s">
        <v>6007</v>
      </c>
      <c r="B293" s="56" t="s">
        <v>855</v>
      </c>
      <c r="C293" s="56" t="s">
        <v>768</v>
      </c>
      <c r="D293" s="163">
        <v>1000</v>
      </c>
      <c r="E293" s="163">
        <v>1000</v>
      </c>
      <c r="F293" s="163">
        <v>1000</v>
      </c>
      <c r="G293" s="163">
        <v>1000</v>
      </c>
      <c r="H293" s="163">
        <v>1000</v>
      </c>
      <c r="I293" s="163" t="s">
        <v>5921</v>
      </c>
      <c r="J293" s="321"/>
      <c r="L293" s="37"/>
      <c r="M293" s="37"/>
      <c r="N293" s="37"/>
    </row>
    <row r="294" spans="1:14" hidden="1" outlineLevel="1" x14ac:dyDescent="0.3">
      <c r="A294" s="56" t="s">
        <v>6007</v>
      </c>
      <c r="B294" s="56" t="s">
        <v>855</v>
      </c>
      <c r="C294" s="56" t="s">
        <v>771</v>
      </c>
      <c r="D294" s="163">
        <v>1000</v>
      </c>
      <c r="E294" s="163">
        <v>1000</v>
      </c>
      <c r="F294" s="163">
        <v>1000</v>
      </c>
      <c r="G294" s="163">
        <v>1000</v>
      </c>
      <c r="H294" s="163">
        <v>1000</v>
      </c>
      <c r="I294" s="163" t="s">
        <v>5921</v>
      </c>
      <c r="J294" s="321"/>
      <c r="L294" s="37"/>
      <c r="M294" s="37"/>
      <c r="N294" s="37"/>
    </row>
    <row r="295" spans="1:14" hidden="1" outlineLevel="1" x14ac:dyDescent="0.3">
      <c r="A295" s="56" t="s">
        <v>6007</v>
      </c>
      <c r="B295" s="56" t="s">
        <v>855</v>
      </c>
      <c r="C295" s="56" t="s">
        <v>772</v>
      </c>
      <c r="D295" s="163">
        <v>1000</v>
      </c>
      <c r="E295" s="163">
        <v>1000</v>
      </c>
      <c r="F295" s="163">
        <v>1000</v>
      </c>
      <c r="G295" s="163">
        <v>1000</v>
      </c>
      <c r="H295" s="163">
        <v>1000</v>
      </c>
      <c r="I295" s="163" t="s">
        <v>5921</v>
      </c>
      <c r="J295" s="321"/>
      <c r="L295" s="37"/>
      <c r="M295" s="37"/>
      <c r="N295" s="37"/>
    </row>
    <row r="296" spans="1:14" hidden="1" outlineLevel="1" x14ac:dyDescent="0.3">
      <c r="A296" s="56" t="s">
        <v>6007</v>
      </c>
      <c r="B296" s="56" t="s">
        <v>855</v>
      </c>
      <c r="C296" s="56" t="s">
        <v>774</v>
      </c>
      <c r="D296" s="163">
        <v>1000</v>
      </c>
      <c r="E296" s="163">
        <v>1000</v>
      </c>
      <c r="F296" s="163">
        <v>1000</v>
      </c>
      <c r="G296" s="163">
        <v>1000</v>
      </c>
      <c r="H296" s="163">
        <v>1000</v>
      </c>
      <c r="I296" s="163" t="s">
        <v>5922</v>
      </c>
      <c r="J296" s="321"/>
      <c r="L296" s="37"/>
      <c r="M296" s="37"/>
      <c r="N296" s="37"/>
    </row>
    <row r="297" spans="1:14" hidden="1" outlineLevel="1" x14ac:dyDescent="0.3">
      <c r="A297" s="56" t="s">
        <v>6007</v>
      </c>
      <c r="B297" s="56" t="s">
        <v>855</v>
      </c>
      <c r="C297" s="56" t="s">
        <v>775</v>
      </c>
      <c r="D297" s="163">
        <v>1000</v>
      </c>
      <c r="E297" s="163">
        <v>1000</v>
      </c>
      <c r="F297" s="163">
        <v>1000</v>
      </c>
      <c r="G297" s="163">
        <v>1000</v>
      </c>
      <c r="H297" s="163">
        <v>1000</v>
      </c>
      <c r="I297" s="163" t="s">
        <v>5921</v>
      </c>
      <c r="J297" s="321"/>
      <c r="L297" s="37"/>
      <c r="M297" s="37"/>
      <c r="N297" s="37"/>
    </row>
    <row r="298" spans="1:14" hidden="1" outlineLevel="1" x14ac:dyDescent="0.3">
      <c r="A298" s="56" t="s">
        <v>6007</v>
      </c>
      <c r="B298" s="56" t="s">
        <v>855</v>
      </c>
      <c r="C298" s="56" t="s">
        <v>779</v>
      </c>
      <c r="D298" s="163">
        <v>1000</v>
      </c>
      <c r="E298" s="163">
        <v>1000</v>
      </c>
      <c r="F298" s="163">
        <v>1000</v>
      </c>
      <c r="G298" s="163">
        <v>1000</v>
      </c>
      <c r="H298" s="163">
        <v>1000</v>
      </c>
      <c r="I298" s="163" t="s">
        <v>5921</v>
      </c>
      <c r="J298" s="321"/>
      <c r="L298" s="37"/>
      <c r="M298" s="37"/>
      <c r="N298" s="37"/>
    </row>
    <row r="299" spans="1:14" hidden="1" outlineLevel="1" x14ac:dyDescent="0.3">
      <c r="A299" s="56" t="s">
        <v>6007</v>
      </c>
      <c r="B299" s="56" t="s">
        <v>894</v>
      </c>
      <c r="C299" s="56" t="s">
        <v>781</v>
      </c>
      <c r="D299" s="163">
        <v>1000</v>
      </c>
      <c r="E299" s="163">
        <v>1000</v>
      </c>
      <c r="F299" s="163">
        <v>1000</v>
      </c>
      <c r="G299" s="163">
        <v>1000</v>
      </c>
      <c r="H299" s="163">
        <v>1000</v>
      </c>
      <c r="I299" s="163" t="s">
        <v>5921</v>
      </c>
      <c r="J299" s="321"/>
      <c r="L299" s="37"/>
      <c r="M299" s="37"/>
      <c r="N299" s="37"/>
    </row>
    <row r="300" spans="1:14" hidden="1" outlineLevel="1" x14ac:dyDescent="0.3">
      <c r="A300" s="56" t="s">
        <v>6007</v>
      </c>
      <c r="B300" s="56" t="s">
        <v>894</v>
      </c>
      <c r="C300" s="56" t="s">
        <v>783</v>
      </c>
      <c r="D300" s="163">
        <v>3000</v>
      </c>
      <c r="E300" s="163">
        <v>3000</v>
      </c>
      <c r="F300" s="163">
        <v>3000</v>
      </c>
      <c r="G300" s="163">
        <v>3000</v>
      </c>
      <c r="H300" s="163">
        <v>3000</v>
      </c>
      <c r="I300" s="163" t="s">
        <v>2706</v>
      </c>
      <c r="J300" s="321"/>
      <c r="L300" s="37"/>
      <c r="M300" s="37"/>
      <c r="N300" s="37"/>
    </row>
    <row r="301" spans="1:14" hidden="1" outlineLevel="1" x14ac:dyDescent="0.3">
      <c r="A301" s="56" t="s">
        <v>6007</v>
      </c>
      <c r="B301" s="56" t="s">
        <v>894</v>
      </c>
      <c r="C301" s="56" t="s">
        <v>785</v>
      </c>
      <c r="D301" s="163">
        <v>1000</v>
      </c>
      <c r="E301" s="163">
        <v>1000</v>
      </c>
      <c r="F301" s="163">
        <v>1000</v>
      </c>
      <c r="G301" s="163">
        <v>1000</v>
      </c>
      <c r="H301" s="163">
        <v>1000</v>
      </c>
      <c r="I301" s="163" t="s">
        <v>5921</v>
      </c>
      <c r="J301" s="321"/>
      <c r="L301" s="37"/>
      <c r="M301" s="37"/>
      <c r="N301" s="37"/>
    </row>
    <row r="302" spans="1:14" hidden="1" outlineLevel="1" x14ac:dyDescent="0.3">
      <c r="A302" s="56" t="s">
        <v>6007</v>
      </c>
      <c r="B302" s="56" t="s">
        <v>894</v>
      </c>
      <c r="C302" s="56" t="s">
        <v>787</v>
      </c>
      <c r="D302" s="163">
        <v>1000</v>
      </c>
      <c r="E302" s="163">
        <v>1000</v>
      </c>
      <c r="F302" s="163">
        <v>1000</v>
      </c>
      <c r="G302" s="163">
        <v>1000</v>
      </c>
      <c r="H302" s="163">
        <v>1000</v>
      </c>
      <c r="I302" s="163" t="s">
        <v>5921</v>
      </c>
      <c r="J302" s="321"/>
      <c r="L302" s="37"/>
      <c r="M302" s="37"/>
      <c r="N302" s="37"/>
    </row>
    <row r="303" spans="1:14" hidden="1" outlineLevel="1" x14ac:dyDescent="0.3">
      <c r="A303" s="56" t="s">
        <v>6007</v>
      </c>
      <c r="B303" s="56" t="s">
        <v>894</v>
      </c>
      <c r="C303" s="56" t="s">
        <v>788</v>
      </c>
      <c r="D303" s="163">
        <v>1000</v>
      </c>
      <c r="E303" s="163">
        <v>1000</v>
      </c>
      <c r="F303" s="163">
        <v>1000</v>
      </c>
      <c r="G303" s="163">
        <v>1000</v>
      </c>
      <c r="H303" s="163">
        <v>1000</v>
      </c>
      <c r="I303" s="163" t="s">
        <v>5921</v>
      </c>
      <c r="J303" s="321"/>
      <c r="L303" s="37"/>
      <c r="M303" s="37"/>
      <c r="N303" s="37"/>
    </row>
    <row r="304" spans="1:14" hidden="1" outlineLevel="1" x14ac:dyDescent="0.3">
      <c r="A304" s="56" t="s">
        <v>6007</v>
      </c>
      <c r="B304" s="56" t="s">
        <v>894</v>
      </c>
      <c r="C304" s="56" t="s">
        <v>789</v>
      </c>
      <c r="D304" s="163">
        <v>1000</v>
      </c>
      <c r="E304" s="163">
        <v>1000</v>
      </c>
      <c r="F304" s="163">
        <v>1000</v>
      </c>
      <c r="G304" s="163">
        <v>1000</v>
      </c>
      <c r="H304" s="163">
        <v>1000</v>
      </c>
      <c r="I304" s="163" t="s">
        <v>5921</v>
      </c>
      <c r="J304" s="321"/>
      <c r="L304" s="37"/>
      <c r="M304" s="37"/>
      <c r="N304" s="37"/>
    </row>
    <row r="305" spans="1:14" hidden="1" outlineLevel="1" x14ac:dyDescent="0.3">
      <c r="A305" s="56" t="s">
        <v>6007</v>
      </c>
      <c r="B305" s="56" t="s">
        <v>894</v>
      </c>
      <c r="C305" s="56" t="s">
        <v>790</v>
      </c>
      <c r="D305" s="163">
        <v>1000</v>
      </c>
      <c r="E305" s="163">
        <v>1000</v>
      </c>
      <c r="F305" s="163">
        <v>1000</v>
      </c>
      <c r="G305" s="163">
        <v>1000</v>
      </c>
      <c r="H305" s="163">
        <v>1000</v>
      </c>
      <c r="I305" s="163" t="s">
        <v>5921</v>
      </c>
      <c r="J305" s="321"/>
      <c r="L305" s="37"/>
      <c r="M305" s="37"/>
      <c r="N305" s="37"/>
    </row>
    <row r="306" spans="1:14" hidden="1" outlineLevel="1" x14ac:dyDescent="0.3">
      <c r="A306" s="56" t="s">
        <v>6007</v>
      </c>
      <c r="B306" s="56" t="s">
        <v>894</v>
      </c>
      <c r="C306" s="56" t="s">
        <v>793</v>
      </c>
      <c r="D306" s="163">
        <v>29231</v>
      </c>
      <c r="E306" s="163">
        <v>29231</v>
      </c>
      <c r="F306" s="163">
        <v>29231</v>
      </c>
      <c r="G306" s="163">
        <v>29231</v>
      </c>
      <c r="H306" s="163">
        <v>29231</v>
      </c>
      <c r="I306" s="163" t="s">
        <v>5923</v>
      </c>
      <c r="J306" s="321"/>
      <c r="L306" s="37"/>
      <c r="M306" s="37"/>
      <c r="N306" s="37"/>
    </row>
    <row r="307" spans="1:14" hidden="1" outlineLevel="1" x14ac:dyDescent="0.3">
      <c r="A307" s="56" t="s">
        <v>6007</v>
      </c>
      <c r="B307" s="56" t="s">
        <v>894</v>
      </c>
      <c r="C307" s="56" t="s">
        <v>795</v>
      </c>
      <c r="D307" s="163">
        <v>1000</v>
      </c>
      <c r="E307" s="163">
        <v>1000</v>
      </c>
      <c r="F307" s="163">
        <v>1000</v>
      </c>
      <c r="G307" s="163">
        <v>1000</v>
      </c>
      <c r="H307" s="163">
        <v>1000</v>
      </c>
      <c r="I307" s="163" t="s">
        <v>5921</v>
      </c>
      <c r="J307" s="321"/>
      <c r="L307" s="37"/>
      <c r="M307" s="37"/>
      <c r="N307" s="37"/>
    </row>
    <row r="308" spans="1:14" hidden="1" outlineLevel="1" x14ac:dyDescent="0.3">
      <c r="A308" s="56" t="s">
        <v>6007</v>
      </c>
      <c r="B308" s="56" t="s">
        <v>894</v>
      </c>
      <c r="C308" s="56" t="s">
        <v>797</v>
      </c>
      <c r="D308" s="163">
        <v>10000</v>
      </c>
      <c r="E308" s="163">
        <v>13541</v>
      </c>
      <c r="F308" s="163">
        <v>18280</v>
      </c>
      <c r="G308" s="163">
        <v>23020</v>
      </c>
      <c r="H308" s="163">
        <v>27760</v>
      </c>
      <c r="I308" s="163" t="s">
        <v>2726</v>
      </c>
      <c r="J308" s="321"/>
      <c r="L308" s="37"/>
      <c r="M308" s="37"/>
      <c r="N308" s="37"/>
    </row>
    <row r="309" spans="1:14" hidden="1" outlineLevel="1" x14ac:dyDescent="0.3">
      <c r="A309" s="56" t="s">
        <v>6007</v>
      </c>
      <c r="B309" s="56" t="s">
        <v>915</v>
      </c>
      <c r="C309" s="56" t="s">
        <v>799</v>
      </c>
      <c r="D309" s="163">
        <v>10000</v>
      </c>
      <c r="E309" s="163">
        <v>10000</v>
      </c>
      <c r="F309" s="163">
        <v>10000</v>
      </c>
      <c r="G309" s="163">
        <v>10000</v>
      </c>
      <c r="H309" s="163">
        <v>10000</v>
      </c>
      <c r="I309" s="474" t="s">
        <v>5924</v>
      </c>
      <c r="J309" s="321"/>
      <c r="L309" s="37"/>
      <c r="M309" s="37"/>
      <c r="N309" s="37"/>
    </row>
    <row r="310" spans="1:14" hidden="1" outlineLevel="1" x14ac:dyDescent="0.3">
      <c r="A310" s="56" t="s">
        <v>6007</v>
      </c>
      <c r="B310" s="56" t="s">
        <v>915</v>
      </c>
      <c r="C310" s="56" t="s">
        <v>801</v>
      </c>
      <c r="D310" s="163">
        <v>5000</v>
      </c>
      <c r="E310" s="163">
        <v>5000</v>
      </c>
      <c r="F310" s="163">
        <v>5000</v>
      </c>
      <c r="G310" s="163">
        <v>5000</v>
      </c>
      <c r="H310" s="163">
        <v>5000</v>
      </c>
      <c r="I310" s="163" t="s">
        <v>5925</v>
      </c>
      <c r="J310" s="321"/>
      <c r="L310" s="37"/>
      <c r="M310" s="37"/>
      <c r="N310" s="37"/>
    </row>
    <row r="311" spans="1:14" hidden="1" outlineLevel="1" x14ac:dyDescent="0.3">
      <c r="A311" s="56" t="s">
        <v>6007</v>
      </c>
      <c r="B311" s="56" t="s">
        <v>915</v>
      </c>
      <c r="C311" s="56" t="s">
        <v>804</v>
      </c>
      <c r="D311" s="163">
        <v>6000</v>
      </c>
      <c r="E311" s="163">
        <v>6000</v>
      </c>
      <c r="F311" s="163">
        <v>6000</v>
      </c>
      <c r="G311" s="163">
        <v>6000</v>
      </c>
      <c r="H311" s="163">
        <v>6000</v>
      </c>
      <c r="I311" s="163" t="s">
        <v>5926</v>
      </c>
      <c r="J311" s="321"/>
      <c r="L311" s="37"/>
      <c r="M311" s="37"/>
      <c r="N311" s="37"/>
    </row>
    <row r="312" spans="1:14" hidden="1" outlineLevel="1" x14ac:dyDescent="0.3">
      <c r="A312" s="56" t="s">
        <v>6007</v>
      </c>
      <c r="B312" s="56" t="s">
        <v>915</v>
      </c>
      <c r="C312" s="56" t="s">
        <v>806</v>
      </c>
      <c r="D312" s="163">
        <v>1000</v>
      </c>
      <c r="E312" s="163">
        <v>1000</v>
      </c>
      <c r="F312" s="163">
        <v>1000</v>
      </c>
      <c r="G312" s="163">
        <v>1000</v>
      </c>
      <c r="H312" s="163">
        <v>1000</v>
      </c>
      <c r="I312" s="163" t="s">
        <v>5921</v>
      </c>
      <c r="J312" s="321"/>
      <c r="L312" s="37"/>
      <c r="M312" s="37"/>
      <c r="N312" s="37"/>
    </row>
    <row r="313" spans="1:14" hidden="1" outlineLevel="1" x14ac:dyDescent="0.3">
      <c r="A313" s="56" t="s">
        <v>6007</v>
      </c>
      <c r="B313" s="56" t="s">
        <v>915</v>
      </c>
      <c r="C313" s="56" t="s">
        <v>808</v>
      </c>
      <c r="D313" s="163">
        <v>1250</v>
      </c>
      <c r="E313" s="163">
        <v>1250</v>
      </c>
      <c r="F313" s="163">
        <v>1250</v>
      </c>
      <c r="G313" s="163">
        <v>1250</v>
      </c>
      <c r="H313" s="163">
        <v>1250</v>
      </c>
      <c r="I313" s="163" t="s">
        <v>4002</v>
      </c>
      <c r="J313" s="321"/>
      <c r="L313" s="37"/>
      <c r="M313" s="37"/>
      <c r="N313" s="37"/>
    </row>
    <row r="314" spans="1:14" hidden="1" outlineLevel="1" x14ac:dyDescent="0.3">
      <c r="A314" s="56" t="s">
        <v>6007</v>
      </c>
      <c r="B314" s="56" t="s">
        <v>915</v>
      </c>
      <c r="C314" s="56" t="s">
        <v>811</v>
      </c>
      <c r="D314" s="163">
        <v>6500</v>
      </c>
      <c r="E314" s="163">
        <v>6500</v>
      </c>
      <c r="F314" s="163">
        <v>6500</v>
      </c>
      <c r="G314" s="163">
        <v>6500</v>
      </c>
      <c r="H314" s="163">
        <v>6500</v>
      </c>
      <c r="I314" s="163" t="s">
        <v>5927</v>
      </c>
      <c r="J314" s="321"/>
      <c r="L314" s="37"/>
      <c r="M314" s="37"/>
      <c r="N314" s="37"/>
    </row>
    <row r="315" spans="1:14" hidden="1" outlineLevel="1" x14ac:dyDescent="0.3">
      <c r="A315" s="56" t="s">
        <v>6007</v>
      </c>
      <c r="B315" s="56" t="s">
        <v>934</v>
      </c>
      <c r="C315" s="56" t="s">
        <v>814</v>
      </c>
      <c r="D315" s="163">
        <v>1000</v>
      </c>
      <c r="E315" s="163">
        <v>1000</v>
      </c>
      <c r="F315" s="163">
        <v>1000</v>
      </c>
      <c r="G315" s="163">
        <v>1000</v>
      </c>
      <c r="H315" s="163">
        <v>1000</v>
      </c>
      <c r="I315" s="163" t="s">
        <v>5921</v>
      </c>
      <c r="J315" s="321"/>
      <c r="L315" s="37"/>
      <c r="M315" s="37"/>
      <c r="N315" s="37"/>
    </row>
    <row r="316" spans="1:14" hidden="1" outlineLevel="1" x14ac:dyDescent="0.3">
      <c r="A316" s="56" t="s">
        <v>6007</v>
      </c>
      <c r="B316" s="56" t="s">
        <v>934</v>
      </c>
      <c r="C316" s="56" t="s">
        <v>815</v>
      </c>
      <c r="D316" s="163">
        <v>1000</v>
      </c>
      <c r="E316" s="163">
        <v>1000</v>
      </c>
      <c r="F316" s="163">
        <v>1000</v>
      </c>
      <c r="G316" s="163">
        <v>1000</v>
      </c>
      <c r="H316" s="163">
        <v>1000</v>
      </c>
      <c r="I316" s="163" t="s">
        <v>5921</v>
      </c>
      <c r="J316" s="321"/>
      <c r="L316" s="37"/>
      <c r="M316" s="37"/>
      <c r="N316" s="37"/>
    </row>
    <row r="317" spans="1:14" hidden="1" outlineLevel="1" x14ac:dyDescent="0.3">
      <c r="A317" s="56" t="s">
        <v>6007</v>
      </c>
      <c r="B317" s="56" t="s">
        <v>940</v>
      </c>
      <c r="C317" s="56" t="s">
        <v>817</v>
      </c>
      <c r="D317" s="163">
        <v>1000</v>
      </c>
      <c r="E317" s="163">
        <v>1000</v>
      </c>
      <c r="F317" s="163">
        <v>1000</v>
      </c>
      <c r="G317" s="163">
        <v>1000</v>
      </c>
      <c r="H317" s="163">
        <v>1000</v>
      </c>
      <c r="I317" s="163" t="s">
        <v>5921</v>
      </c>
      <c r="J317" s="321"/>
      <c r="L317" s="37"/>
      <c r="M317" s="37"/>
      <c r="N317" s="37"/>
    </row>
    <row r="318" spans="1:14" hidden="1" outlineLevel="1" x14ac:dyDescent="0.3">
      <c r="A318" s="56" t="s">
        <v>6007</v>
      </c>
      <c r="B318" s="56" t="s">
        <v>940</v>
      </c>
      <c r="C318" s="56" t="s">
        <v>944</v>
      </c>
      <c r="D318" s="163">
        <v>1150</v>
      </c>
      <c r="E318" s="163">
        <v>1150</v>
      </c>
      <c r="F318" s="163">
        <v>1150</v>
      </c>
      <c r="G318" s="163">
        <v>1150</v>
      </c>
      <c r="H318" s="163">
        <v>1150</v>
      </c>
      <c r="I318" s="163" t="s">
        <v>5928</v>
      </c>
      <c r="J318" s="321"/>
      <c r="L318" s="37"/>
      <c r="M318" s="37"/>
      <c r="N318" s="37"/>
    </row>
    <row r="319" spans="1:14" hidden="1" outlineLevel="1" x14ac:dyDescent="0.3">
      <c r="A319" s="56" t="s">
        <v>6007</v>
      </c>
      <c r="B319" s="56" t="s">
        <v>940</v>
      </c>
      <c r="C319" s="56" t="s">
        <v>821</v>
      </c>
      <c r="D319" s="163">
        <v>1000</v>
      </c>
      <c r="E319" s="163">
        <v>1000</v>
      </c>
      <c r="F319" s="163">
        <v>1000</v>
      </c>
      <c r="G319" s="163">
        <v>1000</v>
      </c>
      <c r="H319" s="163">
        <v>1000</v>
      </c>
      <c r="I319" s="163" t="s">
        <v>5921</v>
      </c>
      <c r="J319" s="321"/>
      <c r="L319" s="37"/>
      <c r="M319" s="37"/>
      <c r="N319" s="37"/>
    </row>
    <row r="320" spans="1:14" hidden="1" outlineLevel="1" x14ac:dyDescent="0.3">
      <c r="A320" s="56" t="s">
        <v>6007</v>
      </c>
      <c r="B320" s="56" t="s">
        <v>940</v>
      </c>
      <c r="C320" s="56" t="s">
        <v>823</v>
      </c>
      <c r="D320" s="163">
        <v>1000</v>
      </c>
      <c r="E320" s="163">
        <v>1000</v>
      </c>
      <c r="F320" s="163">
        <v>1000</v>
      </c>
      <c r="G320" s="163">
        <v>1000</v>
      </c>
      <c r="H320" s="163">
        <v>1000</v>
      </c>
      <c r="I320" s="163" t="s">
        <v>5921</v>
      </c>
      <c r="J320" s="321"/>
      <c r="L320" s="37"/>
      <c r="M320" s="37"/>
      <c r="N320" s="37"/>
    </row>
    <row r="321" spans="1:14" hidden="1" outlineLevel="1" x14ac:dyDescent="0.3">
      <c r="A321" s="56" t="s">
        <v>6007</v>
      </c>
      <c r="B321" s="56" t="s">
        <v>940</v>
      </c>
      <c r="C321" s="56" t="s">
        <v>825</v>
      </c>
      <c r="D321" s="163">
        <v>1000</v>
      </c>
      <c r="E321" s="163">
        <v>1000</v>
      </c>
      <c r="F321" s="163">
        <v>1000</v>
      </c>
      <c r="G321" s="163">
        <v>1000</v>
      </c>
      <c r="H321" s="163">
        <v>1000</v>
      </c>
      <c r="I321" s="163" t="s">
        <v>5921</v>
      </c>
      <c r="J321" s="321"/>
      <c r="L321" s="37"/>
      <c r="M321" s="37"/>
      <c r="N321" s="37"/>
    </row>
    <row r="322" spans="1:14" hidden="1" outlineLevel="1" x14ac:dyDescent="0.3">
      <c r="A322" s="56" t="s">
        <v>6007</v>
      </c>
      <c r="B322" s="56" t="s">
        <v>940</v>
      </c>
      <c r="C322" s="56" t="s">
        <v>827</v>
      </c>
      <c r="D322" s="163">
        <v>100000</v>
      </c>
      <c r="E322" s="163">
        <v>100000</v>
      </c>
      <c r="F322" s="163">
        <v>100000</v>
      </c>
      <c r="G322" s="163">
        <v>100000</v>
      </c>
      <c r="H322" s="163">
        <v>100000</v>
      </c>
      <c r="I322" s="163" t="s">
        <v>5929</v>
      </c>
      <c r="J322" s="321"/>
      <c r="L322" s="37"/>
      <c r="M322" s="37"/>
      <c r="N322" s="37"/>
    </row>
    <row r="323" spans="1:14" hidden="1" outlineLevel="1" x14ac:dyDescent="0.3">
      <c r="A323" s="56" t="s">
        <v>6007</v>
      </c>
      <c r="B323" s="56" t="s">
        <v>940</v>
      </c>
      <c r="C323" s="56" t="s">
        <v>829</v>
      </c>
      <c r="D323" s="163">
        <v>1000</v>
      </c>
      <c r="E323" s="163">
        <v>1000</v>
      </c>
      <c r="F323" s="163">
        <v>1000</v>
      </c>
      <c r="G323" s="163">
        <v>1000</v>
      </c>
      <c r="H323" s="163">
        <v>1000</v>
      </c>
      <c r="I323" s="163" t="s">
        <v>5997</v>
      </c>
      <c r="J323" s="321"/>
      <c r="L323" s="37"/>
      <c r="M323" s="37"/>
      <c r="N323" s="37"/>
    </row>
    <row r="324" spans="1:14" hidden="1" outlineLevel="1" x14ac:dyDescent="0.3">
      <c r="A324" s="56" t="s">
        <v>6007</v>
      </c>
      <c r="B324" s="56" t="s">
        <v>940</v>
      </c>
      <c r="C324" s="56" t="s">
        <v>833</v>
      </c>
      <c r="D324" s="163">
        <v>1000</v>
      </c>
      <c r="E324" s="163">
        <v>1000</v>
      </c>
      <c r="F324" s="163">
        <v>1000</v>
      </c>
      <c r="G324" s="163">
        <v>1000</v>
      </c>
      <c r="H324" s="163">
        <v>1000</v>
      </c>
      <c r="I324" s="163" t="s">
        <v>5921</v>
      </c>
      <c r="J324" s="321"/>
      <c r="L324" s="37"/>
      <c r="M324" s="37"/>
      <c r="N324" s="37"/>
    </row>
    <row r="325" spans="1:14" hidden="1" outlineLevel="1" x14ac:dyDescent="0.3">
      <c r="A325" s="56" t="s">
        <v>6007</v>
      </c>
      <c r="B325" s="56" t="s">
        <v>940</v>
      </c>
      <c r="C325" s="56" t="s">
        <v>836</v>
      </c>
      <c r="D325" s="163">
        <v>1000</v>
      </c>
      <c r="E325" s="163">
        <v>1000</v>
      </c>
      <c r="F325" s="163">
        <v>1000</v>
      </c>
      <c r="G325" s="163">
        <v>1000</v>
      </c>
      <c r="H325" s="163">
        <v>1000</v>
      </c>
      <c r="I325" s="163" t="s">
        <v>5921</v>
      </c>
      <c r="J325" s="321"/>
      <c r="L325" s="37"/>
      <c r="M325" s="37"/>
      <c r="N325" s="37"/>
    </row>
    <row r="326" spans="1:14" hidden="1" outlineLevel="1" x14ac:dyDescent="0.3">
      <c r="A326" s="56" t="s">
        <v>6007</v>
      </c>
      <c r="B326" s="56" t="s">
        <v>940</v>
      </c>
      <c r="C326" s="56" t="s">
        <v>837</v>
      </c>
      <c r="D326" s="163">
        <v>1000</v>
      </c>
      <c r="E326" s="163">
        <v>1000</v>
      </c>
      <c r="F326" s="163">
        <v>1000</v>
      </c>
      <c r="G326" s="163">
        <v>1000</v>
      </c>
      <c r="H326" s="163">
        <v>1000</v>
      </c>
      <c r="I326" s="163" t="s">
        <v>5921</v>
      </c>
      <c r="J326" s="321"/>
      <c r="L326" s="37"/>
      <c r="M326" s="37"/>
      <c r="N326" s="37"/>
    </row>
    <row r="327" spans="1:14" hidden="1" outlineLevel="1" x14ac:dyDescent="0.3">
      <c r="A327" s="56" t="s">
        <v>6007</v>
      </c>
      <c r="B327" s="56" t="s">
        <v>940</v>
      </c>
      <c r="C327" s="56" t="s">
        <v>839</v>
      </c>
      <c r="D327" s="163">
        <v>1500</v>
      </c>
      <c r="E327" s="163">
        <v>2500</v>
      </c>
      <c r="F327" s="163">
        <v>3000</v>
      </c>
      <c r="G327" s="163">
        <v>3500</v>
      </c>
      <c r="H327" s="163">
        <v>4000</v>
      </c>
      <c r="I327" s="163" t="s">
        <v>5930</v>
      </c>
      <c r="J327" s="321"/>
      <c r="L327" s="37"/>
      <c r="M327" s="37"/>
      <c r="N327" s="37"/>
    </row>
    <row r="328" spans="1:14" hidden="1" outlineLevel="1" x14ac:dyDescent="0.3">
      <c r="A328" s="56" t="s">
        <v>6007</v>
      </c>
      <c r="B328" s="56" t="s">
        <v>940</v>
      </c>
      <c r="C328" s="56" t="s">
        <v>840</v>
      </c>
      <c r="D328" s="163">
        <v>1000</v>
      </c>
      <c r="E328" s="163">
        <v>1000</v>
      </c>
      <c r="F328" s="163">
        <v>1000</v>
      </c>
      <c r="G328" s="163">
        <v>1000</v>
      </c>
      <c r="H328" s="163">
        <v>1000</v>
      </c>
      <c r="I328" s="163" t="s">
        <v>5921</v>
      </c>
      <c r="J328" s="321"/>
      <c r="L328" s="37"/>
      <c r="M328" s="37"/>
      <c r="N328" s="37"/>
    </row>
    <row r="329" spans="1:14" collapsed="1" x14ac:dyDescent="0.3">
      <c r="A329" s="56"/>
      <c r="B329" s="56"/>
      <c r="C329" s="56"/>
      <c r="D329" s="56"/>
      <c r="E329" s="56"/>
      <c r="F329" s="56"/>
      <c r="G329" s="56"/>
      <c r="H329" s="56"/>
      <c r="I329" s="56"/>
      <c r="J329" s="308"/>
      <c r="L329" s="37"/>
      <c r="M329" s="37"/>
      <c r="N329" s="37"/>
    </row>
    <row r="330" spans="1:14" x14ac:dyDescent="0.3">
      <c r="A330" s="143" t="s">
        <v>6008</v>
      </c>
      <c r="B330" s="143"/>
      <c r="C330" s="144" t="s">
        <v>4032</v>
      </c>
      <c r="D330" s="329">
        <v>4753.1190476190477</v>
      </c>
      <c r="E330" s="329">
        <v>4861.2380952380954</v>
      </c>
      <c r="F330" s="329">
        <v>4985.9761904761908</v>
      </c>
      <c r="G330" s="329">
        <v>5110.7380952380954</v>
      </c>
      <c r="H330" s="252">
        <v>5235.5</v>
      </c>
      <c r="I330" s="143"/>
      <c r="J330" s="321"/>
    </row>
    <row r="331" spans="1:14" x14ac:dyDescent="0.3">
      <c r="A331" s="131" t="s">
        <v>5</v>
      </c>
      <c r="B331" s="131" t="s">
        <v>847</v>
      </c>
      <c r="C331" s="131" t="s">
        <v>193</v>
      </c>
      <c r="D331" s="131">
        <v>2025</v>
      </c>
      <c r="E331" s="131">
        <v>2030</v>
      </c>
      <c r="F331" s="131">
        <v>2035</v>
      </c>
      <c r="G331" s="131">
        <v>2040</v>
      </c>
      <c r="H331" s="131">
        <v>2045</v>
      </c>
      <c r="I331" s="131" t="s">
        <v>153</v>
      </c>
      <c r="J331" s="321"/>
    </row>
    <row r="332" spans="1:14" hidden="1" outlineLevel="1" x14ac:dyDescent="0.3">
      <c r="A332" s="56" t="s">
        <v>6008</v>
      </c>
      <c r="B332" s="56" t="s">
        <v>855</v>
      </c>
      <c r="C332" s="56" t="s">
        <v>747</v>
      </c>
      <c r="D332" s="163">
        <v>1000</v>
      </c>
      <c r="E332" s="163">
        <v>1000</v>
      </c>
      <c r="F332" s="163">
        <v>1000</v>
      </c>
      <c r="G332" s="163">
        <v>1000</v>
      </c>
      <c r="H332" s="163">
        <v>1000</v>
      </c>
      <c r="I332" s="163" t="s">
        <v>5921</v>
      </c>
      <c r="J332" s="321"/>
    </row>
    <row r="333" spans="1:14" hidden="1" outlineLevel="1" x14ac:dyDescent="0.3">
      <c r="A333" s="56" t="s">
        <v>6008</v>
      </c>
      <c r="B333" s="56" t="s">
        <v>855</v>
      </c>
      <c r="C333" s="56" t="s">
        <v>751</v>
      </c>
      <c r="D333" s="163">
        <v>1000</v>
      </c>
      <c r="E333" s="163">
        <v>1000</v>
      </c>
      <c r="F333" s="163">
        <v>1000</v>
      </c>
      <c r="G333" s="163">
        <v>1000</v>
      </c>
      <c r="H333" s="163">
        <v>1000</v>
      </c>
      <c r="I333" s="163" t="s">
        <v>5921</v>
      </c>
      <c r="J333" s="321"/>
    </row>
    <row r="334" spans="1:14" hidden="1" outlineLevel="1" x14ac:dyDescent="0.3">
      <c r="A334" s="56" t="s">
        <v>6008</v>
      </c>
      <c r="B334" s="56" t="s">
        <v>855</v>
      </c>
      <c r="C334" s="56" t="s">
        <v>755</v>
      </c>
      <c r="D334" s="163">
        <v>1000</v>
      </c>
      <c r="E334" s="163">
        <v>1000</v>
      </c>
      <c r="F334" s="163">
        <v>1000</v>
      </c>
      <c r="G334" s="163">
        <v>1000</v>
      </c>
      <c r="H334" s="163">
        <v>1000</v>
      </c>
      <c r="I334" s="163" t="s">
        <v>5921</v>
      </c>
      <c r="J334" s="321"/>
    </row>
    <row r="335" spans="1:14" hidden="1" outlineLevel="1" x14ac:dyDescent="0.3">
      <c r="A335" s="56" t="s">
        <v>6008</v>
      </c>
      <c r="B335" s="56" t="s">
        <v>855</v>
      </c>
      <c r="C335" s="56" t="s">
        <v>758</v>
      </c>
      <c r="D335" s="163">
        <v>1000</v>
      </c>
      <c r="E335" s="163">
        <v>1000</v>
      </c>
      <c r="F335" s="163">
        <v>1000</v>
      </c>
      <c r="G335" s="163">
        <v>1000</v>
      </c>
      <c r="H335" s="163">
        <v>1000</v>
      </c>
      <c r="I335" s="163" t="s">
        <v>5921</v>
      </c>
      <c r="J335" s="321"/>
      <c r="L335" s="37"/>
      <c r="M335" s="37"/>
      <c r="N335" s="37"/>
    </row>
    <row r="336" spans="1:14" hidden="1" outlineLevel="1" x14ac:dyDescent="0.3">
      <c r="A336" s="56" t="s">
        <v>6008</v>
      </c>
      <c r="B336" s="56" t="s">
        <v>855</v>
      </c>
      <c r="C336" s="56" t="s">
        <v>761</v>
      </c>
      <c r="D336" s="163">
        <v>1000</v>
      </c>
      <c r="E336" s="163">
        <v>1000</v>
      </c>
      <c r="F336" s="163">
        <v>1000</v>
      </c>
      <c r="G336" s="163">
        <v>1000</v>
      </c>
      <c r="H336" s="163">
        <v>1000</v>
      </c>
      <c r="I336" s="163" t="s">
        <v>5921</v>
      </c>
      <c r="J336" s="321"/>
      <c r="L336" s="37"/>
      <c r="M336" s="37"/>
      <c r="N336" s="37"/>
    </row>
    <row r="337" spans="1:14" hidden="1" outlineLevel="1" x14ac:dyDescent="0.3">
      <c r="A337" s="56" t="s">
        <v>6008</v>
      </c>
      <c r="B337" s="56" t="s">
        <v>855</v>
      </c>
      <c r="C337" s="56" t="s">
        <v>763</v>
      </c>
      <c r="D337" s="163">
        <v>1000</v>
      </c>
      <c r="E337" s="163">
        <v>1000</v>
      </c>
      <c r="F337" s="163">
        <v>1000</v>
      </c>
      <c r="G337" s="163">
        <v>1000</v>
      </c>
      <c r="H337" s="163">
        <v>1000</v>
      </c>
      <c r="I337" s="163" t="s">
        <v>5921</v>
      </c>
      <c r="J337" s="321"/>
      <c r="L337" s="37"/>
      <c r="M337" s="37"/>
      <c r="N337" s="37"/>
    </row>
    <row r="338" spans="1:14" hidden="1" outlineLevel="1" x14ac:dyDescent="0.3">
      <c r="A338" s="56" t="s">
        <v>6008</v>
      </c>
      <c r="B338" s="56" t="s">
        <v>855</v>
      </c>
      <c r="C338" s="56" t="s">
        <v>765</v>
      </c>
      <c r="D338" s="163">
        <v>1000</v>
      </c>
      <c r="E338" s="163">
        <v>1000</v>
      </c>
      <c r="F338" s="163">
        <v>1000</v>
      </c>
      <c r="G338" s="163">
        <v>1000</v>
      </c>
      <c r="H338" s="163">
        <v>1000</v>
      </c>
      <c r="I338" s="163" t="s">
        <v>5921</v>
      </c>
      <c r="J338" s="321"/>
      <c r="L338" s="37"/>
      <c r="M338" s="37"/>
      <c r="N338" s="37"/>
    </row>
    <row r="339" spans="1:14" hidden="1" outlineLevel="1" x14ac:dyDescent="0.3">
      <c r="A339" s="56" t="s">
        <v>6008</v>
      </c>
      <c r="B339" s="56" t="s">
        <v>855</v>
      </c>
      <c r="C339" s="56" t="s">
        <v>768</v>
      </c>
      <c r="D339" s="163">
        <v>1000</v>
      </c>
      <c r="E339" s="163">
        <v>1000</v>
      </c>
      <c r="F339" s="163">
        <v>1000</v>
      </c>
      <c r="G339" s="163">
        <v>1000</v>
      </c>
      <c r="H339" s="163">
        <v>1000</v>
      </c>
      <c r="I339" s="163" t="s">
        <v>5921</v>
      </c>
      <c r="J339" s="321"/>
      <c r="L339" s="37"/>
      <c r="M339" s="37"/>
      <c r="N339" s="37"/>
    </row>
    <row r="340" spans="1:14" hidden="1" outlineLevel="1" x14ac:dyDescent="0.3">
      <c r="A340" s="56" t="s">
        <v>6008</v>
      </c>
      <c r="B340" s="56" t="s">
        <v>855</v>
      </c>
      <c r="C340" s="56" t="s">
        <v>771</v>
      </c>
      <c r="D340" s="163">
        <v>1000</v>
      </c>
      <c r="E340" s="163">
        <v>1000</v>
      </c>
      <c r="F340" s="163">
        <v>1000</v>
      </c>
      <c r="G340" s="163">
        <v>1000</v>
      </c>
      <c r="H340" s="163">
        <v>1000</v>
      </c>
      <c r="I340" s="163" t="s">
        <v>5921</v>
      </c>
      <c r="J340" s="321"/>
      <c r="L340" s="37"/>
      <c r="M340" s="37"/>
      <c r="N340" s="37"/>
    </row>
    <row r="341" spans="1:14" hidden="1" outlineLevel="1" x14ac:dyDescent="0.3">
      <c r="A341" s="56" t="s">
        <v>6008</v>
      </c>
      <c r="B341" s="56" t="s">
        <v>855</v>
      </c>
      <c r="C341" s="56" t="s">
        <v>772</v>
      </c>
      <c r="D341" s="163">
        <v>1000</v>
      </c>
      <c r="E341" s="163">
        <v>1000</v>
      </c>
      <c r="F341" s="163">
        <v>1000</v>
      </c>
      <c r="G341" s="163">
        <v>1000</v>
      </c>
      <c r="H341" s="163">
        <v>1000</v>
      </c>
      <c r="I341" s="163" t="s">
        <v>5921</v>
      </c>
      <c r="J341" s="321"/>
      <c r="L341" s="37"/>
      <c r="M341" s="37"/>
      <c r="N341" s="37"/>
    </row>
    <row r="342" spans="1:14" hidden="1" outlineLevel="1" x14ac:dyDescent="0.3">
      <c r="A342" s="56" t="s">
        <v>6008</v>
      </c>
      <c r="B342" s="56" t="s">
        <v>855</v>
      </c>
      <c r="C342" s="56" t="s">
        <v>774</v>
      </c>
      <c r="D342" s="163">
        <v>1000</v>
      </c>
      <c r="E342" s="163">
        <v>1000</v>
      </c>
      <c r="F342" s="163">
        <v>1000</v>
      </c>
      <c r="G342" s="163">
        <v>1000</v>
      </c>
      <c r="H342" s="163">
        <v>1000</v>
      </c>
      <c r="I342" s="163" t="s">
        <v>5922</v>
      </c>
      <c r="J342" s="321"/>
      <c r="L342" s="37"/>
      <c r="M342" s="37"/>
      <c r="N342" s="37"/>
    </row>
    <row r="343" spans="1:14" hidden="1" outlineLevel="1" x14ac:dyDescent="0.3">
      <c r="A343" s="56" t="s">
        <v>6008</v>
      </c>
      <c r="B343" s="56" t="s">
        <v>855</v>
      </c>
      <c r="C343" s="56" t="s">
        <v>775</v>
      </c>
      <c r="D343" s="163">
        <v>1000</v>
      </c>
      <c r="E343" s="163">
        <v>1000</v>
      </c>
      <c r="F343" s="163">
        <v>1000</v>
      </c>
      <c r="G343" s="163">
        <v>1000</v>
      </c>
      <c r="H343" s="163">
        <v>1000</v>
      </c>
      <c r="I343" s="163" t="s">
        <v>5921</v>
      </c>
      <c r="J343" s="321"/>
      <c r="L343" s="37"/>
      <c r="M343" s="37"/>
      <c r="N343" s="37"/>
    </row>
    <row r="344" spans="1:14" hidden="1" outlineLevel="1" x14ac:dyDescent="0.3">
      <c r="A344" s="56" t="s">
        <v>6008</v>
      </c>
      <c r="B344" s="56" t="s">
        <v>855</v>
      </c>
      <c r="C344" s="56" t="s">
        <v>779</v>
      </c>
      <c r="D344" s="163">
        <v>1000</v>
      </c>
      <c r="E344" s="163">
        <v>1000</v>
      </c>
      <c r="F344" s="163">
        <v>1000</v>
      </c>
      <c r="G344" s="163">
        <v>1000</v>
      </c>
      <c r="H344" s="163">
        <v>1000</v>
      </c>
      <c r="I344" s="163" t="s">
        <v>5921</v>
      </c>
      <c r="J344" s="321"/>
      <c r="L344" s="37"/>
      <c r="M344" s="37"/>
      <c r="N344" s="37"/>
    </row>
    <row r="345" spans="1:14" hidden="1" outlineLevel="1" x14ac:dyDescent="0.3">
      <c r="A345" s="56" t="s">
        <v>6008</v>
      </c>
      <c r="B345" s="56" t="s">
        <v>894</v>
      </c>
      <c r="C345" s="56" t="s">
        <v>781</v>
      </c>
      <c r="D345" s="163">
        <v>1000</v>
      </c>
      <c r="E345" s="163">
        <v>1000</v>
      </c>
      <c r="F345" s="163">
        <v>1000</v>
      </c>
      <c r="G345" s="163">
        <v>1000</v>
      </c>
      <c r="H345" s="163">
        <v>1000</v>
      </c>
      <c r="I345" s="163" t="s">
        <v>5921</v>
      </c>
      <c r="J345" s="321"/>
      <c r="L345" s="37"/>
      <c r="M345" s="37"/>
      <c r="N345" s="37"/>
    </row>
    <row r="346" spans="1:14" hidden="1" outlineLevel="1" x14ac:dyDescent="0.3">
      <c r="A346" s="56" t="s">
        <v>6008</v>
      </c>
      <c r="B346" s="56" t="s">
        <v>894</v>
      </c>
      <c r="C346" s="56" t="s">
        <v>783</v>
      </c>
      <c r="D346" s="163">
        <v>3000</v>
      </c>
      <c r="E346" s="163">
        <v>3000</v>
      </c>
      <c r="F346" s="163">
        <v>3000</v>
      </c>
      <c r="G346" s="163">
        <v>3000</v>
      </c>
      <c r="H346" s="163">
        <v>3000</v>
      </c>
      <c r="I346" s="163" t="s">
        <v>2706</v>
      </c>
      <c r="J346" s="321"/>
      <c r="L346" s="37"/>
      <c r="M346" s="37"/>
      <c r="N346" s="37"/>
    </row>
    <row r="347" spans="1:14" hidden="1" outlineLevel="1" x14ac:dyDescent="0.3">
      <c r="A347" s="56" t="s">
        <v>6008</v>
      </c>
      <c r="B347" s="56" t="s">
        <v>894</v>
      </c>
      <c r="C347" s="56" t="s">
        <v>785</v>
      </c>
      <c r="D347" s="163">
        <v>1000</v>
      </c>
      <c r="E347" s="163">
        <v>1000</v>
      </c>
      <c r="F347" s="163">
        <v>1000</v>
      </c>
      <c r="G347" s="163">
        <v>1000</v>
      </c>
      <c r="H347" s="163">
        <v>1000</v>
      </c>
      <c r="I347" s="163" t="s">
        <v>5921</v>
      </c>
      <c r="J347" s="321"/>
      <c r="L347" s="37"/>
      <c r="M347" s="37"/>
      <c r="N347" s="37"/>
    </row>
    <row r="348" spans="1:14" hidden="1" outlineLevel="1" x14ac:dyDescent="0.3">
      <c r="A348" s="56" t="s">
        <v>6008</v>
      </c>
      <c r="B348" s="56" t="s">
        <v>894</v>
      </c>
      <c r="C348" s="56" t="s">
        <v>787</v>
      </c>
      <c r="D348" s="163">
        <v>1000</v>
      </c>
      <c r="E348" s="163">
        <v>1000</v>
      </c>
      <c r="F348" s="163">
        <v>1000</v>
      </c>
      <c r="G348" s="163">
        <v>1000</v>
      </c>
      <c r="H348" s="163">
        <v>1000</v>
      </c>
      <c r="I348" s="163" t="s">
        <v>5921</v>
      </c>
      <c r="J348" s="321"/>
      <c r="L348" s="37"/>
      <c r="M348" s="37"/>
      <c r="N348" s="37"/>
    </row>
    <row r="349" spans="1:14" hidden="1" outlineLevel="1" x14ac:dyDescent="0.3">
      <c r="A349" s="56" t="s">
        <v>6008</v>
      </c>
      <c r="B349" s="56" t="s">
        <v>894</v>
      </c>
      <c r="C349" s="56" t="s">
        <v>788</v>
      </c>
      <c r="D349" s="163">
        <v>1000</v>
      </c>
      <c r="E349" s="163">
        <v>1000</v>
      </c>
      <c r="F349" s="163">
        <v>1000</v>
      </c>
      <c r="G349" s="163">
        <v>1000</v>
      </c>
      <c r="H349" s="163">
        <v>1000</v>
      </c>
      <c r="I349" s="163" t="s">
        <v>5921</v>
      </c>
      <c r="J349" s="321"/>
      <c r="L349" s="37"/>
      <c r="M349" s="37"/>
      <c r="N349" s="37"/>
    </row>
    <row r="350" spans="1:14" hidden="1" outlineLevel="1" x14ac:dyDescent="0.3">
      <c r="A350" s="56" t="s">
        <v>6008</v>
      </c>
      <c r="B350" s="56" t="s">
        <v>894</v>
      </c>
      <c r="C350" s="56" t="s">
        <v>789</v>
      </c>
      <c r="D350" s="163">
        <v>1000</v>
      </c>
      <c r="E350" s="163">
        <v>1000</v>
      </c>
      <c r="F350" s="163">
        <v>1000</v>
      </c>
      <c r="G350" s="163">
        <v>1000</v>
      </c>
      <c r="H350" s="163">
        <v>1000</v>
      </c>
      <c r="I350" s="163" t="s">
        <v>5921</v>
      </c>
      <c r="J350" s="321"/>
      <c r="L350" s="37"/>
      <c r="M350" s="37"/>
      <c r="N350" s="37"/>
    </row>
    <row r="351" spans="1:14" hidden="1" outlineLevel="1" x14ac:dyDescent="0.3">
      <c r="A351" s="56" t="s">
        <v>6008</v>
      </c>
      <c r="B351" s="56" t="s">
        <v>894</v>
      </c>
      <c r="C351" s="56" t="s">
        <v>790</v>
      </c>
      <c r="D351" s="163">
        <v>1000</v>
      </c>
      <c r="E351" s="163">
        <v>1000</v>
      </c>
      <c r="F351" s="163">
        <v>1000</v>
      </c>
      <c r="G351" s="163">
        <v>1000</v>
      </c>
      <c r="H351" s="163">
        <v>1000</v>
      </c>
      <c r="I351" s="163" t="s">
        <v>5921</v>
      </c>
      <c r="J351" s="321"/>
      <c r="L351" s="37"/>
      <c r="M351" s="37"/>
      <c r="N351" s="37"/>
    </row>
    <row r="352" spans="1:14" hidden="1" outlineLevel="1" x14ac:dyDescent="0.3">
      <c r="A352" s="56" t="s">
        <v>6008</v>
      </c>
      <c r="B352" s="56" t="s">
        <v>894</v>
      </c>
      <c r="C352" s="56" t="s">
        <v>793</v>
      </c>
      <c r="D352" s="163">
        <v>29231</v>
      </c>
      <c r="E352" s="163">
        <v>29231</v>
      </c>
      <c r="F352" s="163">
        <v>29231</v>
      </c>
      <c r="G352" s="163">
        <v>29231</v>
      </c>
      <c r="H352" s="163">
        <v>29231</v>
      </c>
      <c r="I352" s="163" t="s">
        <v>5923</v>
      </c>
      <c r="J352" s="321"/>
      <c r="L352" s="37"/>
      <c r="M352" s="37"/>
      <c r="N352" s="37"/>
    </row>
    <row r="353" spans="1:14" hidden="1" outlineLevel="1" x14ac:dyDescent="0.3">
      <c r="A353" s="56" t="s">
        <v>6008</v>
      </c>
      <c r="B353" s="56" t="s">
        <v>894</v>
      </c>
      <c r="C353" s="56" t="s">
        <v>795</v>
      </c>
      <c r="D353" s="163">
        <v>1000</v>
      </c>
      <c r="E353" s="163">
        <v>1000</v>
      </c>
      <c r="F353" s="163">
        <v>1000</v>
      </c>
      <c r="G353" s="163">
        <v>1000</v>
      </c>
      <c r="H353" s="163">
        <v>1000</v>
      </c>
      <c r="I353" s="163" t="s">
        <v>5921</v>
      </c>
      <c r="J353" s="321"/>
      <c r="L353" s="37"/>
      <c r="M353" s="37"/>
      <c r="N353" s="37"/>
    </row>
    <row r="354" spans="1:14" hidden="1" outlineLevel="1" x14ac:dyDescent="0.3">
      <c r="A354" s="56" t="s">
        <v>6008</v>
      </c>
      <c r="B354" s="56" t="s">
        <v>894</v>
      </c>
      <c r="C354" s="56" t="s">
        <v>797</v>
      </c>
      <c r="D354" s="163">
        <v>10000</v>
      </c>
      <c r="E354" s="163">
        <v>13541</v>
      </c>
      <c r="F354" s="163">
        <v>18280</v>
      </c>
      <c r="G354" s="163">
        <v>23020</v>
      </c>
      <c r="H354" s="163">
        <v>27760</v>
      </c>
      <c r="I354" s="163" t="s">
        <v>2726</v>
      </c>
      <c r="J354" s="321"/>
      <c r="L354" s="37"/>
      <c r="M354" s="37"/>
      <c r="N354" s="37"/>
    </row>
    <row r="355" spans="1:14" hidden="1" outlineLevel="1" x14ac:dyDescent="0.3">
      <c r="A355" s="56" t="s">
        <v>6008</v>
      </c>
      <c r="B355" s="56" t="s">
        <v>915</v>
      </c>
      <c r="C355" s="56" t="s">
        <v>799</v>
      </c>
      <c r="D355" s="163">
        <v>5000</v>
      </c>
      <c r="E355" s="163">
        <v>5000</v>
      </c>
      <c r="F355" s="163">
        <v>5000</v>
      </c>
      <c r="G355" s="163">
        <v>5000</v>
      </c>
      <c r="H355" s="163">
        <v>5000</v>
      </c>
      <c r="I355" s="163" t="s">
        <v>2775</v>
      </c>
      <c r="J355" s="321"/>
      <c r="L355" s="37"/>
      <c r="M355" s="37"/>
      <c r="N355" s="37"/>
    </row>
    <row r="356" spans="1:14" hidden="1" outlineLevel="1" x14ac:dyDescent="0.3">
      <c r="A356" s="56" t="s">
        <v>6008</v>
      </c>
      <c r="B356" s="56" t="s">
        <v>915</v>
      </c>
      <c r="C356" s="56" t="s">
        <v>801</v>
      </c>
      <c r="D356" s="163">
        <v>5000</v>
      </c>
      <c r="E356" s="163">
        <v>5000</v>
      </c>
      <c r="F356" s="163">
        <v>5000</v>
      </c>
      <c r="G356" s="163">
        <v>5000</v>
      </c>
      <c r="H356" s="163">
        <v>5000</v>
      </c>
      <c r="I356" s="163" t="s">
        <v>5925</v>
      </c>
      <c r="J356" s="321"/>
      <c r="L356" s="37"/>
      <c r="M356" s="37"/>
      <c r="N356" s="37"/>
    </row>
    <row r="357" spans="1:14" hidden="1" outlineLevel="1" x14ac:dyDescent="0.3">
      <c r="A357" s="56" t="s">
        <v>6008</v>
      </c>
      <c r="B357" s="56" t="s">
        <v>915</v>
      </c>
      <c r="C357" s="56" t="s">
        <v>804</v>
      </c>
      <c r="D357" s="163">
        <v>6000</v>
      </c>
      <c r="E357" s="163">
        <v>6000</v>
      </c>
      <c r="F357" s="163">
        <v>6000</v>
      </c>
      <c r="G357" s="163">
        <v>6000</v>
      </c>
      <c r="H357" s="163">
        <v>6000</v>
      </c>
      <c r="I357" s="163" t="s">
        <v>5926</v>
      </c>
      <c r="J357" s="321"/>
      <c r="L357" s="37"/>
      <c r="M357" s="37"/>
      <c r="N357" s="37"/>
    </row>
    <row r="358" spans="1:14" hidden="1" outlineLevel="1" x14ac:dyDescent="0.3">
      <c r="A358" s="56" t="s">
        <v>6008</v>
      </c>
      <c r="B358" s="56" t="s">
        <v>915</v>
      </c>
      <c r="C358" s="56" t="s">
        <v>806</v>
      </c>
      <c r="D358" s="163">
        <v>1000</v>
      </c>
      <c r="E358" s="163">
        <v>1000</v>
      </c>
      <c r="F358" s="163">
        <v>1000</v>
      </c>
      <c r="G358" s="163">
        <v>1000</v>
      </c>
      <c r="H358" s="163">
        <v>1000</v>
      </c>
      <c r="I358" s="163" t="s">
        <v>5921</v>
      </c>
      <c r="J358" s="321"/>
      <c r="L358" s="37"/>
      <c r="M358" s="37"/>
      <c r="N358" s="37"/>
    </row>
    <row r="359" spans="1:14" hidden="1" outlineLevel="1" x14ac:dyDescent="0.3">
      <c r="A359" s="56" t="s">
        <v>6008</v>
      </c>
      <c r="B359" s="56" t="s">
        <v>915</v>
      </c>
      <c r="C359" s="56" t="s">
        <v>808</v>
      </c>
      <c r="D359" s="163">
        <v>1250</v>
      </c>
      <c r="E359" s="163">
        <v>1250</v>
      </c>
      <c r="F359" s="163">
        <v>1250</v>
      </c>
      <c r="G359" s="163">
        <v>1250</v>
      </c>
      <c r="H359" s="163">
        <v>1250</v>
      </c>
      <c r="I359" s="163" t="s">
        <v>4002</v>
      </c>
      <c r="J359" s="321"/>
      <c r="L359" s="37"/>
      <c r="M359" s="37"/>
      <c r="N359" s="37"/>
    </row>
    <row r="360" spans="1:14" hidden="1" outlineLevel="1" x14ac:dyDescent="0.3">
      <c r="A360" s="56" t="s">
        <v>6008</v>
      </c>
      <c r="B360" s="56" t="s">
        <v>915</v>
      </c>
      <c r="C360" s="56" t="s">
        <v>811</v>
      </c>
      <c r="D360" s="163">
        <v>6500</v>
      </c>
      <c r="E360" s="163">
        <v>6500</v>
      </c>
      <c r="F360" s="163">
        <v>6500</v>
      </c>
      <c r="G360" s="163">
        <v>6500</v>
      </c>
      <c r="H360" s="163">
        <v>6500</v>
      </c>
      <c r="I360" s="163" t="s">
        <v>5927</v>
      </c>
      <c r="J360" s="321"/>
      <c r="L360" s="37"/>
      <c r="M360" s="37"/>
      <c r="N360" s="37"/>
    </row>
    <row r="361" spans="1:14" hidden="1" outlineLevel="1" x14ac:dyDescent="0.3">
      <c r="A361" s="56" t="s">
        <v>6008</v>
      </c>
      <c r="B361" s="56" t="s">
        <v>934</v>
      </c>
      <c r="C361" s="56" t="s">
        <v>814</v>
      </c>
      <c r="D361" s="163">
        <v>1000</v>
      </c>
      <c r="E361" s="163">
        <v>1000</v>
      </c>
      <c r="F361" s="163">
        <v>1000</v>
      </c>
      <c r="G361" s="163">
        <v>1000</v>
      </c>
      <c r="H361" s="163">
        <v>1000</v>
      </c>
      <c r="I361" s="163" t="s">
        <v>5921</v>
      </c>
      <c r="J361" s="321"/>
      <c r="L361" s="37"/>
      <c r="M361" s="37"/>
      <c r="N361" s="37"/>
    </row>
    <row r="362" spans="1:14" hidden="1" outlineLevel="1" x14ac:dyDescent="0.3">
      <c r="A362" s="56" t="s">
        <v>6008</v>
      </c>
      <c r="B362" s="56" t="s">
        <v>934</v>
      </c>
      <c r="C362" s="56" t="s">
        <v>815</v>
      </c>
      <c r="D362" s="163">
        <v>1000</v>
      </c>
      <c r="E362" s="163">
        <v>1000</v>
      </c>
      <c r="F362" s="163">
        <v>1000</v>
      </c>
      <c r="G362" s="163">
        <v>1000</v>
      </c>
      <c r="H362" s="163">
        <v>1000</v>
      </c>
      <c r="I362" s="163" t="s">
        <v>5921</v>
      </c>
      <c r="J362" s="321"/>
      <c r="L362" s="37"/>
      <c r="M362" s="37"/>
      <c r="N362" s="37"/>
    </row>
    <row r="363" spans="1:14" hidden="1" outlineLevel="1" x14ac:dyDescent="0.3">
      <c r="A363" s="56" t="s">
        <v>6008</v>
      </c>
      <c r="B363" s="56" t="s">
        <v>940</v>
      </c>
      <c r="C363" s="56" t="s">
        <v>817</v>
      </c>
      <c r="D363" s="163">
        <v>1000</v>
      </c>
      <c r="E363" s="163">
        <v>1000</v>
      </c>
      <c r="F363" s="163">
        <v>1000</v>
      </c>
      <c r="G363" s="163">
        <v>1000</v>
      </c>
      <c r="H363" s="163">
        <v>1000</v>
      </c>
      <c r="I363" s="163" t="s">
        <v>5921</v>
      </c>
      <c r="J363" s="321"/>
      <c r="L363" s="37"/>
      <c r="M363" s="37"/>
      <c r="N363" s="37"/>
    </row>
    <row r="364" spans="1:14" hidden="1" outlineLevel="1" x14ac:dyDescent="0.3">
      <c r="A364" s="56" t="s">
        <v>6008</v>
      </c>
      <c r="B364" s="56" t="s">
        <v>940</v>
      </c>
      <c r="C364" s="56" t="s">
        <v>944</v>
      </c>
      <c r="D364" s="163">
        <v>1150</v>
      </c>
      <c r="E364" s="163">
        <v>1150</v>
      </c>
      <c r="F364" s="163">
        <v>1150</v>
      </c>
      <c r="G364" s="163">
        <v>1150</v>
      </c>
      <c r="H364" s="163">
        <v>1150</v>
      </c>
      <c r="I364" s="163" t="s">
        <v>5928</v>
      </c>
      <c r="J364" s="321"/>
      <c r="L364" s="37"/>
      <c r="M364" s="37"/>
      <c r="N364" s="37"/>
    </row>
    <row r="365" spans="1:14" hidden="1" outlineLevel="1" x14ac:dyDescent="0.3">
      <c r="A365" s="56" t="s">
        <v>6008</v>
      </c>
      <c r="B365" s="56" t="s">
        <v>940</v>
      </c>
      <c r="C365" s="56" t="s">
        <v>821</v>
      </c>
      <c r="D365" s="163">
        <v>1000</v>
      </c>
      <c r="E365" s="163">
        <v>1000</v>
      </c>
      <c r="F365" s="163">
        <v>1000</v>
      </c>
      <c r="G365" s="163">
        <v>1000</v>
      </c>
      <c r="H365" s="163">
        <v>1000</v>
      </c>
      <c r="I365" s="163" t="s">
        <v>5921</v>
      </c>
      <c r="J365" s="321"/>
      <c r="L365" s="37"/>
      <c r="M365" s="37"/>
      <c r="N365" s="37"/>
    </row>
    <row r="366" spans="1:14" hidden="1" outlineLevel="1" x14ac:dyDescent="0.3">
      <c r="A366" s="56" t="s">
        <v>6008</v>
      </c>
      <c r="B366" s="56" t="s">
        <v>940</v>
      </c>
      <c r="C366" s="56" t="s">
        <v>823</v>
      </c>
      <c r="D366" s="163">
        <v>1000</v>
      </c>
      <c r="E366" s="163">
        <v>1000</v>
      </c>
      <c r="F366" s="163">
        <v>1000</v>
      </c>
      <c r="G366" s="163">
        <v>1000</v>
      </c>
      <c r="H366" s="163">
        <v>1000</v>
      </c>
      <c r="I366" s="163" t="s">
        <v>5921</v>
      </c>
      <c r="J366" s="321"/>
      <c r="L366" s="37"/>
      <c r="M366" s="37"/>
      <c r="N366" s="37"/>
    </row>
    <row r="367" spans="1:14" hidden="1" outlineLevel="1" x14ac:dyDescent="0.3">
      <c r="A367" s="56" t="s">
        <v>6008</v>
      </c>
      <c r="B367" s="56" t="s">
        <v>940</v>
      </c>
      <c r="C367" s="56" t="s">
        <v>825</v>
      </c>
      <c r="D367" s="163">
        <v>1000</v>
      </c>
      <c r="E367" s="163">
        <v>1000</v>
      </c>
      <c r="F367" s="163">
        <v>1000</v>
      </c>
      <c r="G367" s="163">
        <v>1000</v>
      </c>
      <c r="H367" s="163">
        <v>1000</v>
      </c>
      <c r="I367" s="163" t="s">
        <v>5921</v>
      </c>
      <c r="J367" s="321"/>
      <c r="L367" s="37"/>
      <c r="M367" s="37"/>
      <c r="N367" s="37"/>
    </row>
    <row r="368" spans="1:14" hidden="1" outlineLevel="1" x14ac:dyDescent="0.3">
      <c r="A368" s="56" t="s">
        <v>6008</v>
      </c>
      <c r="B368" s="56" t="s">
        <v>940</v>
      </c>
      <c r="C368" s="56" t="s">
        <v>827</v>
      </c>
      <c r="D368" s="163">
        <v>100000</v>
      </c>
      <c r="E368" s="163">
        <v>100000</v>
      </c>
      <c r="F368" s="163">
        <v>100000</v>
      </c>
      <c r="G368" s="163">
        <v>100000</v>
      </c>
      <c r="H368" s="163">
        <v>100000</v>
      </c>
      <c r="I368" s="163" t="s">
        <v>5931</v>
      </c>
      <c r="J368" s="321"/>
      <c r="L368" s="37"/>
      <c r="M368" s="37"/>
      <c r="N368" s="37"/>
    </row>
    <row r="369" spans="1:14" hidden="1" outlineLevel="1" x14ac:dyDescent="0.3">
      <c r="A369" s="56" t="s">
        <v>6008</v>
      </c>
      <c r="B369" s="56" t="s">
        <v>940</v>
      </c>
      <c r="C369" s="56" t="s">
        <v>829</v>
      </c>
      <c r="D369" s="163">
        <v>1000</v>
      </c>
      <c r="E369" s="163">
        <v>1000</v>
      </c>
      <c r="F369" s="163">
        <v>1000</v>
      </c>
      <c r="G369" s="163">
        <v>1000</v>
      </c>
      <c r="H369" s="163">
        <v>1000</v>
      </c>
      <c r="I369" s="163" t="s">
        <v>5921</v>
      </c>
      <c r="J369" s="321"/>
      <c r="L369" s="37"/>
      <c r="M369" s="37"/>
      <c r="N369" s="37"/>
    </row>
    <row r="370" spans="1:14" hidden="1" outlineLevel="1" x14ac:dyDescent="0.3">
      <c r="A370" s="56" t="s">
        <v>6008</v>
      </c>
      <c r="B370" s="56" t="s">
        <v>940</v>
      </c>
      <c r="C370" s="56" t="s">
        <v>833</v>
      </c>
      <c r="D370" s="163">
        <v>1000</v>
      </c>
      <c r="E370" s="163">
        <v>1000</v>
      </c>
      <c r="F370" s="163">
        <v>1000</v>
      </c>
      <c r="G370" s="163">
        <v>1000</v>
      </c>
      <c r="H370" s="163">
        <v>1000</v>
      </c>
      <c r="I370" s="163" t="s">
        <v>5921</v>
      </c>
      <c r="J370" s="321"/>
      <c r="L370" s="37"/>
      <c r="M370" s="37"/>
      <c r="N370" s="37"/>
    </row>
    <row r="371" spans="1:14" hidden="1" outlineLevel="1" x14ac:dyDescent="0.3">
      <c r="A371" s="56" t="s">
        <v>6008</v>
      </c>
      <c r="B371" s="56" t="s">
        <v>940</v>
      </c>
      <c r="C371" s="56" t="s">
        <v>836</v>
      </c>
      <c r="D371" s="163">
        <v>1000</v>
      </c>
      <c r="E371" s="163">
        <v>1000</v>
      </c>
      <c r="F371" s="163">
        <v>1000</v>
      </c>
      <c r="G371" s="163">
        <v>1000</v>
      </c>
      <c r="H371" s="163">
        <v>1000</v>
      </c>
      <c r="I371" s="163" t="s">
        <v>5921</v>
      </c>
      <c r="J371" s="321"/>
      <c r="L371" s="37"/>
      <c r="M371" s="37"/>
      <c r="N371" s="37"/>
    </row>
    <row r="372" spans="1:14" hidden="1" outlineLevel="1" x14ac:dyDescent="0.3">
      <c r="A372" s="56" t="s">
        <v>6008</v>
      </c>
      <c r="B372" s="56" t="s">
        <v>940</v>
      </c>
      <c r="C372" s="56" t="s">
        <v>837</v>
      </c>
      <c r="D372" s="163">
        <v>1000</v>
      </c>
      <c r="E372" s="163">
        <v>1000</v>
      </c>
      <c r="F372" s="163">
        <v>1000</v>
      </c>
      <c r="G372" s="163">
        <v>1000</v>
      </c>
      <c r="H372" s="163">
        <v>1000</v>
      </c>
      <c r="I372" s="163" t="s">
        <v>5921</v>
      </c>
      <c r="J372" s="321"/>
      <c r="L372" s="37"/>
      <c r="M372" s="37"/>
      <c r="N372" s="37"/>
    </row>
    <row r="373" spans="1:14" hidden="1" outlineLevel="1" x14ac:dyDescent="0.3">
      <c r="A373" s="56" t="s">
        <v>6008</v>
      </c>
      <c r="B373" s="56" t="s">
        <v>940</v>
      </c>
      <c r="C373" s="56" t="s">
        <v>839</v>
      </c>
      <c r="D373" s="163">
        <v>1500</v>
      </c>
      <c r="E373" s="163">
        <v>2500</v>
      </c>
      <c r="F373" s="163">
        <v>3000</v>
      </c>
      <c r="G373" s="163">
        <v>3500</v>
      </c>
      <c r="H373" s="163">
        <v>4000</v>
      </c>
      <c r="I373" s="163" t="s">
        <v>5930</v>
      </c>
      <c r="J373" s="321"/>
      <c r="L373" s="37"/>
      <c r="M373" s="37"/>
      <c r="N373" s="37"/>
    </row>
    <row r="374" spans="1:14" hidden="1" outlineLevel="1" x14ac:dyDescent="0.3">
      <c r="A374" s="56" t="s">
        <v>6008</v>
      </c>
      <c r="B374" s="56" t="s">
        <v>940</v>
      </c>
      <c r="C374" s="56" t="s">
        <v>840</v>
      </c>
      <c r="D374" s="163">
        <v>1000</v>
      </c>
      <c r="E374" s="163">
        <v>1000</v>
      </c>
      <c r="F374" s="163">
        <v>1000</v>
      </c>
      <c r="G374" s="163">
        <v>1000</v>
      </c>
      <c r="H374" s="163">
        <v>1000</v>
      </c>
      <c r="I374" s="163" t="s">
        <v>5921</v>
      </c>
      <c r="J374" s="321"/>
      <c r="L374" s="37"/>
      <c r="M374" s="37"/>
      <c r="N374" s="37"/>
    </row>
    <row r="375" spans="1:14" collapsed="1" x14ac:dyDescent="0.3">
      <c r="A375" s="56"/>
      <c r="B375" s="56"/>
      <c r="C375" s="56"/>
      <c r="D375" s="56"/>
      <c r="E375" s="56"/>
      <c r="F375" s="56"/>
      <c r="G375" s="56"/>
      <c r="H375" s="56"/>
      <c r="I375" s="56"/>
      <c r="J375" s="308"/>
      <c r="L375" s="37"/>
      <c r="M375" s="37"/>
      <c r="N375" s="37"/>
    </row>
    <row r="376" spans="1:14" x14ac:dyDescent="0.3">
      <c r="A376" s="143" t="s">
        <v>5932</v>
      </c>
      <c r="B376" s="143"/>
      <c r="C376" s="144" t="s">
        <v>4032</v>
      </c>
      <c r="D376" s="329">
        <v>100</v>
      </c>
      <c r="E376" s="329">
        <v>100</v>
      </c>
      <c r="F376" s="329">
        <v>100</v>
      </c>
      <c r="G376" s="329">
        <v>100</v>
      </c>
      <c r="H376" s="252">
        <v>100</v>
      </c>
      <c r="I376" s="143"/>
      <c r="J376" s="321"/>
    </row>
    <row r="377" spans="1:14" x14ac:dyDescent="0.3">
      <c r="A377" s="131" t="s">
        <v>5</v>
      </c>
      <c r="B377" s="131" t="s">
        <v>847</v>
      </c>
      <c r="C377" s="131" t="s">
        <v>193</v>
      </c>
      <c r="D377" s="131">
        <v>2025</v>
      </c>
      <c r="E377" s="131">
        <v>2030</v>
      </c>
      <c r="F377" s="131">
        <v>2035</v>
      </c>
      <c r="G377" s="131">
        <v>2040</v>
      </c>
      <c r="H377" s="131">
        <v>2045</v>
      </c>
      <c r="I377" s="131" t="s">
        <v>153</v>
      </c>
      <c r="J377" s="321"/>
    </row>
    <row r="378" spans="1:14" hidden="1" outlineLevel="1" x14ac:dyDescent="0.3">
      <c r="A378" s="56" t="s">
        <v>5932</v>
      </c>
      <c r="B378" s="56" t="s">
        <v>855</v>
      </c>
      <c r="C378" s="56" t="s">
        <v>747</v>
      </c>
      <c r="D378" s="163">
        <v>100</v>
      </c>
      <c r="E378" s="163">
        <v>100</v>
      </c>
      <c r="F378" s="163">
        <v>100</v>
      </c>
      <c r="G378" s="163">
        <v>100</v>
      </c>
      <c r="H378" s="163">
        <v>100</v>
      </c>
      <c r="I378" s="163" t="s">
        <v>130</v>
      </c>
      <c r="J378" s="321"/>
    </row>
    <row r="379" spans="1:14" hidden="1" outlineLevel="1" x14ac:dyDescent="0.3">
      <c r="A379" s="56" t="s">
        <v>5932</v>
      </c>
      <c r="B379" s="56" t="s">
        <v>855</v>
      </c>
      <c r="C379" s="56" t="s">
        <v>751</v>
      </c>
      <c r="D379" s="163">
        <v>100</v>
      </c>
      <c r="E379" s="163">
        <v>100</v>
      </c>
      <c r="F379" s="163">
        <v>100</v>
      </c>
      <c r="G379" s="163">
        <v>100</v>
      </c>
      <c r="H379" s="163">
        <v>100</v>
      </c>
      <c r="I379" s="163" t="s">
        <v>130</v>
      </c>
      <c r="J379" s="321"/>
    </row>
    <row r="380" spans="1:14" hidden="1" outlineLevel="1" x14ac:dyDescent="0.3">
      <c r="A380" s="56" t="s">
        <v>5932</v>
      </c>
      <c r="B380" s="56" t="s">
        <v>855</v>
      </c>
      <c r="C380" s="56" t="s">
        <v>755</v>
      </c>
      <c r="D380" s="163">
        <v>100</v>
      </c>
      <c r="E380" s="163">
        <v>100</v>
      </c>
      <c r="F380" s="163">
        <v>100</v>
      </c>
      <c r="G380" s="163">
        <v>100</v>
      </c>
      <c r="H380" s="163">
        <v>100</v>
      </c>
      <c r="I380" s="163" t="s">
        <v>130</v>
      </c>
      <c r="J380" s="321"/>
    </row>
    <row r="381" spans="1:14" hidden="1" outlineLevel="1" x14ac:dyDescent="0.3">
      <c r="A381" s="56" t="s">
        <v>5932</v>
      </c>
      <c r="B381" s="56" t="s">
        <v>855</v>
      </c>
      <c r="C381" s="56" t="s">
        <v>758</v>
      </c>
      <c r="D381" s="163">
        <v>100</v>
      </c>
      <c r="E381" s="163">
        <v>100</v>
      </c>
      <c r="F381" s="163">
        <v>100</v>
      </c>
      <c r="G381" s="163">
        <v>100</v>
      </c>
      <c r="H381" s="163">
        <v>100</v>
      </c>
      <c r="I381" s="163" t="s">
        <v>130</v>
      </c>
      <c r="J381" s="321"/>
      <c r="L381" s="37"/>
      <c r="M381" s="37"/>
      <c r="N381" s="37"/>
    </row>
    <row r="382" spans="1:14" hidden="1" outlineLevel="1" x14ac:dyDescent="0.3">
      <c r="A382" s="56" t="s">
        <v>5932</v>
      </c>
      <c r="B382" s="56" t="s">
        <v>855</v>
      </c>
      <c r="C382" s="56" t="s">
        <v>761</v>
      </c>
      <c r="D382" s="163">
        <v>100</v>
      </c>
      <c r="E382" s="163">
        <v>100</v>
      </c>
      <c r="F382" s="163">
        <v>100</v>
      </c>
      <c r="G382" s="163">
        <v>100</v>
      </c>
      <c r="H382" s="163">
        <v>100</v>
      </c>
      <c r="I382" s="163" t="s">
        <v>130</v>
      </c>
      <c r="J382" s="321"/>
      <c r="L382" s="37"/>
      <c r="M382" s="37"/>
      <c r="N382" s="37"/>
    </row>
    <row r="383" spans="1:14" hidden="1" outlineLevel="1" x14ac:dyDescent="0.3">
      <c r="A383" s="56" t="s">
        <v>5932</v>
      </c>
      <c r="B383" s="56" t="s">
        <v>855</v>
      </c>
      <c r="C383" s="56" t="s">
        <v>763</v>
      </c>
      <c r="D383" s="163">
        <v>100</v>
      </c>
      <c r="E383" s="163">
        <v>100</v>
      </c>
      <c r="F383" s="163">
        <v>100</v>
      </c>
      <c r="G383" s="163">
        <v>100</v>
      </c>
      <c r="H383" s="163">
        <v>100</v>
      </c>
      <c r="I383" s="163" t="s">
        <v>130</v>
      </c>
      <c r="J383" s="321"/>
      <c r="L383" s="37"/>
      <c r="M383" s="37"/>
      <c r="N383" s="37"/>
    </row>
    <row r="384" spans="1:14" hidden="1" outlineLevel="1" x14ac:dyDescent="0.3">
      <c r="A384" s="56" t="s">
        <v>5932</v>
      </c>
      <c r="B384" s="56" t="s">
        <v>855</v>
      </c>
      <c r="C384" s="56" t="s">
        <v>765</v>
      </c>
      <c r="D384" s="163">
        <v>100</v>
      </c>
      <c r="E384" s="163">
        <v>100</v>
      </c>
      <c r="F384" s="163">
        <v>100</v>
      </c>
      <c r="G384" s="163">
        <v>100</v>
      </c>
      <c r="H384" s="163">
        <v>100</v>
      </c>
      <c r="I384" s="163" t="s">
        <v>130</v>
      </c>
      <c r="J384" s="321"/>
      <c r="L384" s="37"/>
      <c r="M384" s="37"/>
      <c r="N384" s="37"/>
    </row>
    <row r="385" spans="1:14" hidden="1" outlineLevel="1" x14ac:dyDescent="0.3">
      <c r="A385" s="56" t="s">
        <v>5932</v>
      </c>
      <c r="B385" s="56" t="s">
        <v>855</v>
      </c>
      <c r="C385" s="56" t="s">
        <v>768</v>
      </c>
      <c r="D385" s="163">
        <v>100</v>
      </c>
      <c r="E385" s="163">
        <v>100</v>
      </c>
      <c r="F385" s="163">
        <v>100</v>
      </c>
      <c r="G385" s="163">
        <v>100</v>
      </c>
      <c r="H385" s="163">
        <v>100</v>
      </c>
      <c r="I385" s="163" t="s">
        <v>130</v>
      </c>
      <c r="J385" s="321"/>
      <c r="L385" s="37"/>
      <c r="M385" s="37"/>
      <c r="N385" s="37"/>
    </row>
    <row r="386" spans="1:14" hidden="1" outlineLevel="1" x14ac:dyDescent="0.3">
      <c r="A386" s="56" t="s">
        <v>5932</v>
      </c>
      <c r="B386" s="56" t="s">
        <v>855</v>
      </c>
      <c r="C386" s="56" t="s">
        <v>771</v>
      </c>
      <c r="D386" s="163">
        <v>100</v>
      </c>
      <c r="E386" s="163">
        <v>100</v>
      </c>
      <c r="F386" s="163">
        <v>100</v>
      </c>
      <c r="G386" s="163">
        <v>100</v>
      </c>
      <c r="H386" s="163">
        <v>100</v>
      </c>
      <c r="I386" s="163" t="s">
        <v>130</v>
      </c>
      <c r="J386" s="321"/>
      <c r="L386" s="37"/>
      <c r="M386" s="37"/>
      <c r="N386" s="37"/>
    </row>
    <row r="387" spans="1:14" hidden="1" outlineLevel="1" x14ac:dyDescent="0.3">
      <c r="A387" s="56" t="s">
        <v>5932</v>
      </c>
      <c r="B387" s="56" t="s">
        <v>855</v>
      </c>
      <c r="C387" s="56" t="s">
        <v>772</v>
      </c>
      <c r="D387" s="163">
        <v>100</v>
      </c>
      <c r="E387" s="163">
        <v>100</v>
      </c>
      <c r="F387" s="163">
        <v>100</v>
      </c>
      <c r="G387" s="163">
        <v>100</v>
      </c>
      <c r="H387" s="163">
        <v>100</v>
      </c>
      <c r="I387" s="163" t="s">
        <v>130</v>
      </c>
      <c r="J387" s="321"/>
      <c r="L387" s="37"/>
      <c r="M387" s="37"/>
      <c r="N387" s="37"/>
    </row>
    <row r="388" spans="1:14" hidden="1" outlineLevel="1" x14ac:dyDescent="0.3">
      <c r="A388" s="56" t="s">
        <v>5932</v>
      </c>
      <c r="B388" s="56" t="s">
        <v>855</v>
      </c>
      <c r="C388" s="56" t="s">
        <v>774</v>
      </c>
      <c r="D388" s="163">
        <v>100</v>
      </c>
      <c r="E388" s="163">
        <v>100</v>
      </c>
      <c r="F388" s="163">
        <v>100</v>
      </c>
      <c r="G388" s="163">
        <v>100</v>
      </c>
      <c r="H388" s="163">
        <v>100</v>
      </c>
      <c r="I388" s="163" t="s">
        <v>130</v>
      </c>
      <c r="J388" s="321"/>
      <c r="L388" s="37"/>
      <c r="M388" s="37"/>
      <c r="N388" s="37"/>
    </row>
    <row r="389" spans="1:14" hidden="1" outlineLevel="1" x14ac:dyDescent="0.3">
      <c r="A389" s="56" t="s">
        <v>5932</v>
      </c>
      <c r="B389" s="56" t="s">
        <v>855</v>
      </c>
      <c r="C389" s="56" t="s">
        <v>775</v>
      </c>
      <c r="D389" s="163">
        <v>100</v>
      </c>
      <c r="E389" s="163">
        <v>100</v>
      </c>
      <c r="F389" s="163">
        <v>100</v>
      </c>
      <c r="G389" s="163">
        <v>100</v>
      </c>
      <c r="H389" s="163">
        <v>100</v>
      </c>
      <c r="I389" s="163" t="s">
        <v>130</v>
      </c>
      <c r="J389" s="321"/>
      <c r="L389" s="37"/>
      <c r="M389" s="37"/>
      <c r="N389" s="37"/>
    </row>
    <row r="390" spans="1:14" hidden="1" outlineLevel="1" x14ac:dyDescent="0.3">
      <c r="A390" s="56" t="s">
        <v>5932</v>
      </c>
      <c r="B390" s="56" t="s">
        <v>855</v>
      </c>
      <c r="C390" s="56" t="s">
        <v>779</v>
      </c>
      <c r="D390" s="163">
        <v>100</v>
      </c>
      <c r="E390" s="163">
        <v>100</v>
      </c>
      <c r="F390" s="163">
        <v>100</v>
      </c>
      <c r="G390" s="163">
        <v>100</v>
      </c>
      <c r="H390" s="163">
        <v>100</v>
      </c>
      <c r="I390" s="163" t="s">
        <v>130</v>
      </c>
      <c r="J390" s="321"/>
      <c r="L390" s="37"/>
      <c r="M390" s="37"/>
      <c r="N390" s="37"/>
    </row>
    <row r="391" spans="1:14" hidden="1" outlineLevel="1" x14ac:dyDescent="0.3">
      <c r="A391" s="56" t="s">
        <v>5932</v>
      </c>
      <c r="B391" s="56" t="s">
        <v>894</v>
      </c>
      <c r="C391" s="56" t="s">
        <v>781</v>
      </c>
      <c r="D391" s="163">
        <v>100</v>
      </c>
      <c r="E391" s="163">
        <v>100</v>
      </c>
      <c r="F391" s="163">
        <v>100</v>
      </c>
      <c r="G391" s="163">
        <v>100</v>
      </c>
      <c r="H391" s="163">
        <v>100</v>
      </c>
      <c r="I391" s="163" t="s">
        <v>130</v>
      </c>
      <c r="J391" s="321"/>
      <c r="L391" s="37"/>
      <c r="M391" s="37"/>
      <c r="N391" s="37"/>
    </row>
    <row r="392" spans="1:14" hidden="1" outlineLevel="1" x14ac:dyDescent="0.3">
      <c r="A392" s="56" t="s">
        <v>5932</v>
      </c>
      <c r="B392" s="56" t="s">
        <v>894</v>
      </c>
      <c r="C392" s="56" t="s">
        <v>783</v>
      </c>
      <c r="D392" s="163">
        <v>100</v>
      </c>
      <c r="E392" s="163">
        <v>100</v>
      </c>
      <c r="F392" s="163">
        <v>100</v>
      </c>
      <c r="G392" s="163">
        <v>100</v>
      </c>
      <c r="H392" s="163">
        <v>100</v>
      </c>
      <c r="I392" s="163" t="s">
        <v>130</v>
      </c>
      <c r="J392" s="321"/>
      <c r="L392" s="37"/>
      <c r="M392" s="37"/>
      <c r="N392" s="37"/>
    </row>
    <row r="393" spans="1:14" hidden="1" outlineLevel="1" x14ac:dyDescent="0.3">
      <c r="A393" s="56" t="s">
        <v>5932</v>
      </c>
      <c r="B393" s="56" t="s">
        <v>894</v>
      </c>
      <c r="C393" s="56" t="s">
        <v>785</v>
      </c>
      <c r="D393" s="163">
        <v>100</v>
      </c>
      <c r="E393" s="163">
        <v>100</v>
      </c>
      <c r="F393" s="163">
        <v>100</v>
      </c>
      <c r="G393" s="163">
        <v>100</v>
      </c>
      <c r="H393" s="163">
        <v>100</v>
      </c>
      <c r="I393" s="163" t="s">
        <v>130</v>
      </c>
      <c r="J393" s="321"/>
      <c r="L393" s="37"/>
      <c r="M393" s="37"/>
      <c r="N393" s="37"/>
    </row>
    <row r="394" spans="1:14" hidden="1" outlineLevel="1" x14ac:dyDescent="0.3">
      <c r="A394" s="56" t="s">
        <v>5932</v>
      </c>
      <c r="B394" s="56" t="s">
        <v>894</v>
      </c>
      <c r="C394" s="56" t="s">
        <v>787</v>
      </c>
      <c r="D394" s="163">
        <v>100</v>
      </c>
      <c r="E394" s="163">
        <v>100</v>
      </c>
      <c r="F394" s="163">
        <v>100</v>
      </c>
      <c r="G394" s="163">
        <v>100</v>
      </c>
      <c r="H394" s="163">
        <v>100</v>
      </c>
      <c r="I394" s="163" t="s">
        <v>130</v>
      </c>
      <c r="J394" s="321"/>
      <c r="L394" s="37"/>
      <c r="M394" s="37"/>
      <c r="N394" s="37"/>
    </row>
    <row r="395" spans="1:14" hidden="1" outlineLevel="1" x14ac:dyDescent="0.3">
      <c r="A395" s="56" t="s">
        <v>5932</v>
      </c>
      <c r="B395" s="56" t="s">
        <v>894</v>
      </c>
      <c r="C395" s="56" t="s">
        <v>788</v>
      </c>
      <c r="D395" s="163">
        <v>100</v>
      </c>
      <c r="E395" s="163">
        <v>100</v>
      </c>
      <c r="F395" s="163">
        <v>100</v>
      </c>
      <c r="G395" s="163">
        <v>100</v>
      </c>
      <c r="H395" s="163">
        <v>100</v>
      </c>
      <c r="I395" s="163" t="s">
        <v>130</v>
      </c>
      <c r="J395" s="321"/>
      <c r="L395" s="37"/>
      <c r="M395" s="37"/>
      <c r="N395" s="37"/>
    </row>
    <row r="396" spans="1:14" hidden="1" outlineLevel="1" x14ac:dyDescent="0.3">
      <c r="A396" s="56" t="s">
        <v>5932</v>
      </c>
      <c r="B396" s="56" t="s">
        <v>894</v>
      </c>
      <c r="C396" s="56" t="s">
        <v>789</v>
      </c>
      <c r="D396" s="163">
        <v>100</v>
      </c>
      <c r="E396" s="163">
        <v>100</v>
      </c>
      <c r="F396" s="163">
        <v>100</v>
      </c>
      <c r="G396" s="163">
        <v>100</v>
      </c>
      <c r="H396" s="163">
        <v>100</v>
      </c>
      <c r="I396" s="163" t="s">
        <v>130</v>
      </c>
      <c r="J396" s="321"/>
      <c r="L396" s="37"/>
      <c r="M396" s="37"/>
      <c r="N396" s="37"/>
    </row>
    <row r="397" spans="1:14" hidden="1" outlineLevel="1" x14ac:dyDescent="0.3">
      <c r="A397" s="56" t="s">
        <v>5932</v>
      </c>
      <c r="B397" s="56" t="s">
        <v>894</v>
      </c>
      <c r="C397" s="56" t="s">
        <v>790</v>
      </c>
      <c r="D397" s="163">
        <v>100</v>
      </c>
      <c r="E397" s="163">
        <v>100</v>
      </c>
      <c r="F397" s="163">
        <v>100</v>
      </c>
      <c r="G397" s="163">
        <v>100</v>
      </c>
      <c r="H397" s="163">
        <v>100</v>
      </c>
      <c r="I397" s="163" t="s">
        <v>130</v>
      </c>
      <c r="J397" s="321"/>
      <c r="L397" s="37"/>
      <c r="M397" s="37"/>
      <c r="N397" s="37"/>
    </row>
    <row r="398" spans="1:14" hidden="1" outlineLevel="1" x14ac:dyDescent="0.3">
      <c r="A398" s="56" t="s">
        <v>5932</v>
      </c>
      <c r="B398" s="56" t="s">
        <v>894</v>
      </c>
      <c r="C398" s="56" t="s">
        <v>793</v>
      </c>
      <c r="D398" s="163">
        <v>100</v>
      </c>
      <c r="E398" s="163">
        <v>100</v>
      </c>
      <c r="F398" s="163">
        <v>100</v>
      </c>
      <c r="G398" s="163">
        <v>100</v>
      </c>
      <c r="H398" s="163">
        <v>100</v>
      </c>
      <c r="I398" s="163" t="s">
        <v>130</v>
      </c>
      <c r="J398" s="321"/>
      <c r="L398" s="37"/>
      <c r="M398" s="37"/>
      <c r="N398" s="37"/>
    </row>
    <row r="399" spans="1:14" hidden="1" outlineLevel="1" x14ac:dyDescent="0.3">
      <c r="A399" s="56" t="s">
        <v>5932</v>
      </c>
      <c r="B399" s="56" t="s">
        <v>894</v>
      </c>
      <c r="C399" s="56" t="s">
        <v>795</v>
      </c>
      <c r="D399" s="163">
        <v>100</v>
      </c>
      <c r="E399" s="163">
        <v>100</v>
      </c>
      <c r="F399" s="163">
        <v>100</v>
      </c>
      <c r="G399" s="163">
        <v>100</v>
      </c>
      <c r="H399" s="163">
        <v>100</v>
      </c>
      <c r="I399" s="163" t="s">
        <v>130</v>
      </c>
      <c r="J399" s="321"/>
      <c r="L399" s="37"/>
      <c r="M399" s="37"/>
      <c r="N399" s="37"/>
    </row>
    <row r="400" spans="1:14" hidden="1" outlineLevel="1" x14ac:dyDescent="0.3">
      <c r="A400" s="56" t="s">
        <v>5932</v>
      </c>
      <c r="B400" s="56" t="s">
        <v>894</v>
      </c>
      <c r="C400" s="56" t="s">
        <v>797</v>
      </c>
      <c r="D400" s="163">
        <v>100</v>
      </c>
      <c r="E400" s="163">
        <v>100</v>
      </c>
      <c r="F400" s="163">
        <v>100</v>
      </c>
      <c r="G400" s="163">
        <v>100</v>
      </c>
      <c r="H400" s="163">
        <v>100</v>
      </c>
      <c r="I400" s="163" t="s">
        <v>130</v>
      </c>
      <c r="J400" s="321"/>
      <c r="L400" s="37"/>
      <c r="M400" s="37"/>
      <c r="N400" s="37"/>
    </row>
    <row r="401" spans="1:14" hidden="1" outlineLevel="1" x14ac:dyDescent="0.3">
      <c r="A401" s="56" t="s">
        <v>5932</v>
      </c>
      <c r="B401" s="56" t="s">
        <v>915</v>
      </c>
      <c r="C401" s="56" t="s">
        <v>799</v>
      </c>
      <c r="D401" s="163">
        <v>100</v>
      </c>
      <c r="E401" s="163">
        <v>100</v>
      </c>
      <c r="F401" s="163">
        <v>100</v>
      </c>
      <c r="G401" s="163">
        <v>100</v>
      </c>
      <c r="H401" s="163">
        <v>100</v>
      </c>
      <c r="I401" s="163" t="s">
        <v>130</v>
      </c>
      <c r="J401" s="321"/>
      <c r="L401" s="37"/>
      <c r="M401" s="37"/>
      <c r="N401" s="37"/>
    </row>
    <row r="402" spans="1:14" hidden="1" outlineLevel="1" x14ac:dyDescent="0.3">
      <c r="A402" s="56" t="s">
        <v>5932</v>
      </c>
      <c r="B402" s="56" t="s">
        <v>915</v>
      </c>
      <c r="C402" s="56" t="s">
        <v>801</v>
      </c>
      <c r="D402" s="163">
        <v>100</v>
      </c>
      <c r="E402" s="163">
        <v>100</v>
      </c>
      <c r="F402" s="163">
        <v>100</v>
      </c>
      <c r="G402" s="163">
        <v>100</v>
      </c>
      <c r="H402" s="163">
        <v>100</v>
      </c>
      <c r="I402" s="163" t="s">
        <v>130</v>
      </c>
      <c r="J402" s="321"/>
      <c r="L402" s="37"/>
      <c r="M402" s="37"/>
      <c r="N402" s="37"/>
    </row>
    <row r="403" spans="1:14" hidden="1" outlineLevel="1" x14ac:dyDescent="0.3">
      <c r="A403" s="56" t="s">
        <v>5932</v>
      </c>
      <c r="B403" s="56" t="s">
        <v>915</v>
      </c>
      <c r="C403" s="56" t="s">
        <v>804</v>
      </c>
      <c r="D403" s="163">
        <v>100</v>
      </c>
      <c r="E403" s="163">
        <v>100</v>
      </c>
      <c r="F403" s="163">
        <v>100</v>
      </c>
      <c r="G403" s="163">
        <v>100</v>
      </c>
      <c r="H403" s="163">
        <v>100</v>
      </c>
      <c r="I403" s="163" t="s">
        <v>130</v>
      </c>
      <c r="J403" s="321"/>
      <c r="L403" s="37"/>
      <c r="M403" s="37"/>
      <c r="N403" s="37"/>
    </row>
    <row r="404" spans="1:14" hidden="1" outlineLevel="1" x14ac:dyDescent="0.3">
      <c r="A404" s="56" t="s">
        <v>5932</v>
      </c>
      <c r="B404" s="56" t="s">
        <v>915</v>
      </c>
      <c r="C404" s="56" t="s">
        <v>806</v>
      </c>
      <c r="D404" s="163">
        <v>100</v>
      </c>
      <c r="E404" s="163">
        <v>100</v>
      </c>
      <c r="F404" s="163">
        <v>100</v>
      </c>
      <c r="G404" s="163">
        <v>100</v>
      </c>
      <c r="H404" s="163">
        <v>100</v>
      </c>
      <c r="I404" s="163" t="s">
        <v>130</v>
      </c>
      <c r="J404" s="321"/>
      <c r="L404" s="37"/>
      <c r="M404" s="37"/>
      <c r="N404" s="37"/>
    </row>
    <row r="405" spans="1:14" hidden="1" outlineLevel="1" x14ac:dyDescent="0.3">
      <c r="A405" s="56" t="s">
        <v>5932</v>
      </c>
      <c r="B405" s="56" t="s">
        <v>915</v>
      </c>
      <c r="C405" s="56" t="s">
        <v>808</v>
      </c>
      <c r="D405" s="163">
        <v>100</v>
      </c>
      <c r="E405" s="163">
        <v>100</v>
      </c>
      <c r="F405" s="163">
        <v>100</v>
      </c>
      <c r="G405" s="163">
        <v>100</v>
      </c>
      <c r="H405" s="163">
        <v>100</v>
      </c>
      <c r="I405" s="163" t="s">
        <v>130</v>
      </c>
      <c r="J405" s="321"/>
      <c r="L405" s="37"/>
      <c r="M405" s="37"/>
      <c r="N405" s="37"/>
    </row>
    <row r="406" spans="1:14" hidden="1" outlineLevel="1" x14ac:dyDescent="0.3">
      <c r="A406" s="56" t="s">
        <v>5932</v>
      </c>
      <c r="B406" s="56" t="s">
        <v>915</v>
      </c>
      <c r="C406" s="56" t="s">
        <v>811</v>
      </c>
      <c r="D406" s="163">
        <v>100</v>
      </c>
      <c r="E406" s="163">
        <v>100</v>
      </c>
      <c r="F406" s="163">
        <v>100</v>
      </c>
      <c r="G406" s="163">
        <v>100</v>
      </c>
      <c r="H406" s="163">
        <v>100</v>
      </c>
      <c r="I406" s="163" t="s">
        <v>130</v>
      </c>
      <c r="J406" s="321"/>
      <c r="L406" s="37"/>
      <c r="M406" s="37"/>
      <c r="N406" s="37"/>
    </row>
    <row r="407" spans="1:14" hidden="1" outlineLevel="1" x14ac:dyDescent="0.3">
      <c r="A407" s="56" t="s">
        <v>5932</v>
      </c>
      <c r="B407" s="56" t="s">
        <v>934</v>
      </c>
      <c r="C407" s="56" t="s">
        <v>814</v>
      </c>
      <c r="D407" s="163">
        <v>100</v>
      </c>
      <c r="E407" s="163">
        <v>100</v>
      </c>
      <c r="F407" s="163">
        <v>100</v>
      </c>
      <c r="G407" s="163">
        <v>100</v>
      </c>
      <c r="H407" s="163">
        <v>100</v>
      </c>
      <c r="I407" s="163" t="s">
        <v>130</v>
      </c>
      <c r="J407" s="321"/>
      <c r="L407" s="37"/>
      <c r="M407" s="37"/>
      <c r="N407" s="37"/>
    </row>
    <row r="408" spans="1:14" hidden="1" outlineLevel="1" x14ac:dyDescent="0.3">
      <c r="A408" s="56" t="s">
        <v>5932</v>
      </c>
      <c r="B408" s="56" t="s">
        <v>934</v>
      </c>
      <c r="C408" s="56" t="s">
        <v>815</v>
      </c>
      <c r="D408" s="163">
        <v>100</v>
      </c>
      <c r="E408" s="163">
        <v>100</v>
      </c>
      <c r="F408" s="163">
        <v>100</v>
      </c>
      <c r="G408" s="163">
        <v>100</v>
      </c>
      <c r="H408" s="163">
        <v>100</v>
      </c>
      <c r="I408" s="163" t="s">
        <v>130</v>
      </c>
      <c r="J408" s="321"/>
      <c r="L408" s="37"/>
      <c r="M408" s="37"/>
      <c r="N408" s="37"/>
    </row>
    <row r="409" spans="1:14" hidden="1" outlineLevel="1" x14ac:dyDescent="0.3">
      <c r="A409" s="56" t="s">
        <v>5932</v>
      </c>
      <c r="B409" s="56" t="s">
        <v>940</v>
      </c>
      <c r="C409" s="56" t="s">
        <v>817</v>
      </c>
      <c r="D409" s="163">
        <v>100</v>
      </c>
      <c r="E409" s="163">
        <v>100</v>
      </c>
      <c r="F409" s="163">
        <v>100</v>
      </c>
      <c r="G409" s="163">
        <v>100</v>
      </c>
      <c r="H409" s="163">
        <v>100</v>
      </c>
      <c r="I409" s="163" t="s">
        <v>130</v>
      </c>
      <c r="J409" s="321"/>
      <c r="L409" s="37"/>
      <c r="M409" s="37"/>
      <c r="N409" s="37"/>
    </row>
    <row r="410" spans="1:14" hidden="1" outlineLevel="1" x14ac:dyDescent="0.3">
      <c r="A410" s="56" t="s">
        <v>5932</v>
      </c>
      <c r="B410" s="56" t="s">
        <v>940</v>
      </c>
      <c r="C410" s="56" t="s">
        <v>944</v>
      </c>
      <c r="D410" s="163">
        <v>100</v>
      </c>
      <c r="E410" s="163">
        <v>100</v>
      </c>
      <c r="F410" s="163">
        <v>100</v>
      </c>
      <c r="G410" s="163">
        <v>100</v>
      </c>
      <c r="H410" s="163">
        <v>100</v>
      </c>
      <c r="I410" s="163" t="s">
        <v>130</v>
      </c>
      <c r="J410" s="321"/>
      <c r="L410" s="37"/>
      <c r="M410" s="37"/>
      <c r="N410" s="37"/>
    </row>
    <row r="411" spans="1:14" hidden="1" outlineLevel="1" x14ac:dyDescent="0.3">
      <c r="A411" s="56" t="s">
        <v>5932</v>
      </c>
      <c r="B411" s="56" t="s">
        <v>940</v>
      </c>
      <c r="C411" s="56" t="s">
        <v>821</v>
      </c>
      <c r="D411" s="163">
        <v>100</v>
      </c>
      <c r="E411" s="163">
        <v>100</v>
      </c>
      <c r="F411" s="163">
        <v>100</v>
      </c>
      <c r="G411" s="163">
        <v>100</v>
      </c>
      <c r="H411" s="163">
        <v>100</v>
      </c>
      <c r="I411" s="163" t="s">
        <v>130</v>
      </c>
      <c r="J411" s="321"/>
      <c r="L411" s="37"/>
      <c r="M411" s="37"/>
      <c r="N411" s="37"/>
    </row>
    <row r="412" spans="1:14" hidden="1" outlineLevel="1" x14ac:dyDescent="0.3">
      <c r="A412" s="56" t="s">
        <v>5932</v>
      </c>
      <c r="B412" s="56" t="s">
        <v>940</v>
      </c>
      <c r="C412" s="56" t="s">
        <v>823</v>
      </c>
      <c r="D412" s="163">
        <v>100</v>
      </c>
      <c r="E412" s="163">
        <v>100</v>
      </c>
      <c r="F412" s="163">
        <v>100</v>
      </c>
      <c r="G412" s="163">
        <v>100</v>
      </c>
      <c r="H412" s="163">
        <v>100</v>
      </c>
      <c r="I412" s="163" t="s">
        <v>130</v>
      </c>
      <c r="J412" s="321"/>
      <c r="L412" s="37"/>
      <c r="M412" s="37"/>
      <c r="N412" s="37"/>
    </row>
    <row r="413" spans="1:14" hidden="1" outlineLevel="1" x14ac:dyDescent="0.3">
      <c r="A413" s="56" t="s">
        <v>5932</v>
      </c>
      <c r="B413" s="56" t="s">
        <v>940</v>
      </c>
      <c r="C413" s="56" t="s">
        <v>825</v>
      </c>
      <c r="D413" s="163">
        <v>100</v>
      </c>
      <c r="E413" s="163">
        <v>100</v>
      </c>
      <c r="F413" s="163">
        <v>100</v>
      </c>
      <c r="G413" s="163">
        <v>100</v>
      </c>
      <c r="H413" s="163">
        <v>100</v>
      </c>
      <c r="I413" s="163" t="s">
        <v>130</v>
      </c>
      <c r="J413" s="321"/>
      <c r="L413" s="37"/>
      <c r="M413" s="37"/>
      <c r="N413" s="37"/>
    </row>
    <row r="414" spans="1:14" hidden="1" outlineLevel="1" x14ac:dyDescent="0.3">
      <c r="A414" s="56" t="s">
        <v>5932</v>
      </c>
      <c r="B414" s="56" t="s">
        <v>940</v>
      </c>
      <c r="C414" s="56" t="s">
        <v>827</v>
      </c>
      <c r="D414" s="163">
        <v>100</v>
      </c>
      <c r="E414" s="163">
        <v>100</v>
      </c>
      <c r="F414" s="163">
        <v>100</v>
      </c>
      <c r="G414" s="163">
        <v>100</v>
      </c>
      <c r="H414" s="163">
        <v>100</v>
      </c>
      <c r="I414" s="163" t="s">
        <v>130</v>
      </c>
      <c r="J414" s="321"/>
      <c r="L414" s="37"/>
      <c r="M414" s="37"/>
      <c r="N414" s="37"/>
    </row>
    <row r="415" spans="1:14" hidden="1" outlineLevel="1" x14ac:dyDescent="0.3">
      <c r="A415" s="56" t="s">
        <v>5932</v>
      </c>
      <c r="B415" s="56" t="s">
        <v>940</v>
      </c>
      <c r="C415" s="56" t="s">
        <v>829</v>
      </c>
      <c r="D415" s="163">
        <v>100</v>
      </c>
      <c r="E415" s="163">
        <v>100</v>
      </c>
      <c r="F415" s="163">
        <v>100</v>
      </c>
      <c r="G415" s="163">
        <v>100</v>
      </c>
      <c r="H415" s="163">
        <v>100</v>
      </c>
      <c r="I415" s="163" t="s">
        <v>130</v>
      </c>
      <c r="J415" s="321"/>
      <c r="L415" s="37"/>
      <c r="M415" s="37"/>
      <c r="N415" s="37"/>
    </row>
    <row r="416" spans="1:14" hidden="1" outlineLevel="1" x14ac:dyDescent="0.3">
      <c r="A416" s="56" t="s">
        <v>5932</v>
      </c>
      <c r="B416" s="56" t="s">
        <v>940</v>
      </c>
      <c r="C416" s="56" t="s">
        <v>833</v>
      </c>
      <c r="D416" s="163">
        <v>100</v>
      </c>
      <c r="E416" s="163">
        <v>100</v>
      </c>
      <c r="F416" s="163">
        <v>100</v>
      </c>
      <c r="G416" s="163">
        <v>100</v>
      </c>
      <c r="H416" s="163">
        <v>100</v>
      </c>
      <c r="I416" s="163" t="s">
        <v>130</v>
      </c>
      <c r="J416" s="321"/>
      <c r="L416" s="37"/>
      <c r="M416" s="37"/>
      <c r="N416" s="37"/>
    </row>
    <row r="417" spans="1:14" hidden="1" outlineLevel="1" x14ac:dyDescent="0.3">
      <c r="A417" s="56" t="s">
        <v>5932</v>
      </c>
      <c r="B417" s="56" t="s">
        <v>940</v>
      </c>
      <c r="C417" s="56" t="s">
        <v>836</v>
      </c>
      <c r="D417" s="163">
        <v>100</v>
      </c>
      <c r="E417" s="163">
        <v>100</v>
      </c>
      <c r="F417" s="163">
        <v>100</v>
      </c>
      <c r="G417" s="163">
        <v>100</v>
      </c>
      <c r="H417" s="163">
        <v>100</v>
      </c>
      <c r="I417" s="163" t="s">
        <v>130</v>
      </c>
      <c r="J417" s="321"/>
      <c r="L417" s="37"/>
      <c r="M417" s="37"/>
      <c r="N417" s="37"/>
    </row>
    <row r="418" spans="1:14" hidden="1" outlineLevel="1" x14ac:dyDescent="0.3">
      <c r="A418" s="56" t="s">
        <v>5932</v>
      </c>
      <c r="B418" s="56" t="s">
        <v>940</v>
      </c>
      <c r="C418" s="56" t="s">
        <v>837</v>
      </c>
      <c r="D418" s="163">
        <v>100</v>
      </c>
      <c r="E418" s="163">
        <v>100</v>
      </c>
      <c r="F418" s="163">
        <v>100</v>
      </c>
      <c r="G418" s="163">
        <v>100</v>
      </c>
      <c r="H418" s="163">
        <v>100</v>
      </c>
      <c r="I418" s="163" t="s">
        <v>130</v>
      </c>
      <c r="J418" s="321"/>
      <c r="L418" s="37"/>
      <c r="M418" s="37"/>
      <c r="N418" s="37"/>
    </row>
    <row r="419" spans="1:14" hidden="1" outlineLevel="1" x14ac:dyDescent="0.3">
      <c r="A419" s="56" t="s">
        <v>5932</v>
      </c>
      <c r="B419" s="56" t="s">
        <v>940</v>
      </c>
      <c r="C419" s="56" t="s">
        <v>839</v>
      </c>
      <c r="D419" s="163">
        <v>100</v>
      </c>
      <c r="E419" s="163">
        <v>100</v>
      </c>
      <c r="F419" s="163">
        <v>100</v>
      </c>
      <c r="G419" s="163">
        <v>100</v>
      </c>
      <c r="H419" s="163">
        <v>100</v>
      </c>
      <c r="I419" s="163" t="s">
        <v>5930</v>
      </c>
      <c r="J419" s="321"/>
      <c r="L419" s="37"/>
      <c r="M419" s="37"/>
      <c r="N419" s="37"/>
    </row>
    <row r="420" spans="1:14" hidden="1" outlineLevel="1" x14ac:dyDescent="0.3">
      <c r="A420" s="56" t="s">
        <v>5932</v>
      </c>
      <c r="B420" s="56" t="s">
        <v>940</v>
      </c>
      <c r="C420" s="56" t="s">
        <v>840</v>
      </c>
      <c r="D420" s="163">
        <v>100</v>
      </c>
      <c r="E420" s="163">
        <v>100</v>
      </c>
      <c r="F420" s="163">
        <v>100</v>
      </c>
      <c r="G420" s="163">
        <v>100</v>
      </c>
      <c r="H420" s="163">
        <v>100</v>
      </c>
      <c r="I420" s="163" t="s">
        <v>130</v>
      </c>
      <c r="J420" s="321"/>
      <c r="L420" s="37"/>
      <c r="M420" s="37"/>
      <c r="N420" s="37"/>
    </row>
    <row r="421" spans="1:14" collapsed="1" x14ac:dyDescent="0.3">
      <c r="A421" s="56"/>
      <c r="B421" s="56"/>
      <c r="C421" s="56"/>
      <c r="D421" s="56"/>
      <c r="E421" s="56"/>
      <c r="F421" s="56"/>
      <c r="G421" s="56"/>
      <c r="H421" s="56"/>
      <c r="I421" s="56"/>
      <c r="J421" s="308"/>
      <c r="L421" s="37"/>
      <c r="M421" s="37"/>
      <c r="N421" s="37"/>
    </row>
    <row r="422" spans="1:14" x14ac:dyDescent="0.3">
      <c r="A422" s="143" t="s">
        <v>6009</v>
      </c>
      <c r="B422" s="56"/>
      <c r="C422" s="144" t="s">
        <v>4032</v>
      </c>
      <c r="D422" s="329">
        <v>225.72227238831084</v>
      </c>
      <c r="E422" s="329">
        <v>225.72227238831084</v>
      </c>
      <c r="F422" s="329">
        <v>279.86661018446392</v>
      </c>
      <c r="G422" s="329">
        <v>334.01094798061678</v>
      </c>
      <c r="H422" s="329">
        <v>388.15528577676963</v>
      </c>
      <c r="I422" s="163"/>
      <c r="J422" s="308"/>
      <c r="L422" s="37"/>
      <c r="M422" s="37"/>
      <c r="N422" s="37"/>
    </row>
    <row r="423" spans="1:14" x14ac:dyDescent="0.3">
      <c r="A423" s="131" t="s">
        <v>5</v>
      </c>
      <c r="B423" s="131" t="s">
        <v>847</v>
      </c>
      <c r="C423" s="131" t="s">
        <v>193</v>
      </c>
      <c r="D423" s="131">
        <v>2025</v>
      </c>
      <c r="E423" s="131">
        <v>2030</v>
      </c>
      <c r="F423" s="131">
        <v>2035</v>
      </c>
      <c r="G423" s="131">
        <v>2040</v>
      </c>
      <c r="H423" s="131">
        <v>2045</v>
      </c>
      <c r="I423" s="131" t="s">
        <v>153</v>
      </c>
      <c r="J423" s="308" t="s">
        <v>5933</v>
      </c>
    </row>
    <row r="424" spans="1:14" hidden="1" outlineLevel="1" x14ac:dyDescent="0.3">
      <c r="A424" s="56" t="s">
        <v>6009</v>
      </c>
      <c r="B424" s="56" t="s">
        <v>855</v>
      </c>
      <c r="C424" s="56" t="s">
        <v>747</v>
      </c>
      <c r="D424" s="163">
        <v>176.1645222607483</v>
      </c>
      <c r="E424" s="163">
        <v>176.1645222607483</v>
      </c>
      <c r="F424" s="163">
        <v>178.1894018269638</v>
      </c>
      <c r="G424" s="163">
        <v>180.21428139317928</v>
      </c>
      <c r="H424" s="163">
        <v>182.23916095939478</v>
      </c>
      <c r="I424" s="163" t="s">
        <v>5934</v>
      </c>
      <c r="J424" s="308"/>
    </row>
    <row r="425" spans="1:14" hidden="1" outlineLevel="1" x14ac:dyDescent="0.3">
      <c r="A425" s="56" t="s">
        <v>6009</v>
      </c>
      <c r="B425" s="56" t="s">
        <v>855</v>
      </c>
      <c r="C425" s="56" t="s">
        <v>751</v>
      </c>
      <c r="D425" s="163">
        <v>176.1645222607483</v>
      </c>
      <c r="E425" s="163">
        <v>176.1645222607483</v>
      </c>
      <c r="F425" s="163">
        <v>178.1894018269638</v>
      </c>
      <c r="G425" s="163">
        <v>180.21428139317928</v>
      </c>
      <c r="H425" s="163">
        <v>182.23916095939478</v>
      </c>
      <c r="I425" s="163" t="s">
        <v>5934</v>
      </c>
      <c r="J425" s="308"/>
    </row>
    <row r="426" spans="1:14" hidden="1" outlineLevel="1" x14ac:dyDescent="0.3">
      <c r="A426" s="56" t="s">
        <v>6009</v>
      </c>
      <c r="B426" s="56" t="s">
        <v>855</v>
      </c>
      <c r="C426" s="56" t="s">
        <v>755</v>
      </c>
      <c r="D426" s="163">
        <v>176.1645222607483</v>
      </c>
      <c r="E426" s="163">
        <v>176.1645222607483</v>
      </c>
      <c r="F426" s="163">
        <v>178.1894018269638</v>
      </c>
      <c r="G426" s="163">
        <v>180.21428139317928</v>
      </c>
      <c r="H426" s="163">
        <v>182.23916095939478</v>
      </c>
      <c r="I426" s="163" t="s">
        <v>5934</v>
      </c>
      <c r="J426" s="308"/>
    </row>
    <row r="427" spans="1:14" hidden="1" outlineLevel="1" x14ac:dyDescent="0.3">
      <c r="A427" s="56" t="s">
        <v>6009</v>
      </c>
      <c r="B427" s="56" t="s">
        <v>855</v>
      </c>
      <c r="C427" s="56" t="s">
        <v>758</v>
      </c>
      <c r="D427" s="163">
        <v>176.1645222607483</v>
      </c>
      <c r="E427" s="163">
        <v>176.1645222607483</v>
      </c>
      <c r="F427" s="163">
        <v>178.1894018269638</v>
      </c>
      <c r="G427" s="163">
        <v>180.21428139317928</v>
      </c>
      <c r="H427" s="163">
        <v>182.23916095939478</v>
      </c>
      <c r="I427" s="163" t="s">
        <v>5934</v>
      </c>
      <c r="J427" s="308"/>
      <c r="L427" s="37"/>
      <c r="M427" s="37"/>
      <c r="N427" s="37"/>
    </row>
    <row r="428" spans="1:14" hidden="1" outlineLevel="1" x14ac:dyDescent="0.3">
      <c r="A428" s="56" t="s">
        <v>6009</v>
      </c>
      <c r="B428" s="56" t="s">
        <v>855</v>
      </c>
      <c r="C428" s="56" t="s">
        <v>761</v>
      </c>
      <c r="D428" s="163">
        <v>176.1645222607483</v>
      </c>
      <c r="E428" s="163">
        <v>176.1645222607483</v>
      </c>
      <c r="F428" s="163">
        <v>178.1894018269638</v>
      </c>
      <c r="G428" s="163">
        <v>180.21428139317928</v>
      </c>
      <c r="H428" s="163">
        <v>182.23916095939478</v>
      </c>
      <c r="I428" s="163" t="s">
        <v>5934</v>
      </c>
      <c r="J428" s="308"/>
      <c r="L428" s="37"/>
      <c r="M428" s="37"/>
      <c r="N428" s="37"/>
    </row>
    <row r="429" spans="1:14" hidden="1" outlineLevel="1" x14ac:dyDescent="0.3">
      <c r="A429" s="56" t="s">
        <v>6009</v>
      </c>
      <c r="B429" s="56" t="s">
        <v>855</v>
      </c>
      <c r="C429" s="56" t="s">
        <v>763</v>
      </c>
      <c r="D429" s="163">
        <v>176.1645222607483</v>
      </c>
      <c r="E429" s="163">
        <v>176.1645222607483</v>
      </c>
      <c r="F429" s="163">
        <v>178.1894018269638</v>
      </c>
      <c r="G429" s="163">
        <v>180.21428139317928</v>
      </c>
      <c r="H429" s="163">
        <v>182.23916095939478</v>
      </c>
      <c r="I429" s="163" t="s">
        <v>5934</v>
      </c>
      <c r="J429" s="308"/>
      <c r="L429" s="37"/>
      <c r="M429" s="37"/>
      <c r="N429" s="37"/>
    </row>
    <row r="430" spans="1:14" hidden="1" outlineLevel="1" x14ac:dyDescent="0.3">
      <c r="A430" s="56" t="s">
        <v>6009</v>
      </c>
      <c r="B430" s="56" t="s">
        <v>855</v>
      </c>
      <c r="C430" s="56" t="s">
        <v>765</v>
      </c>
      <c r="D430" s="163">
        <v>176.1645222607483</v>
      </c>
      <c r="E430" s="163">
        <v>176.1645222607483</v>
      </c>
      <c r="F430" s="163">
        <v>178.1894018269638</v>
      </c>
      <c r="G430" s="163">
        <v>180.21428139317928</v>
      </c>
      <c r="H430" s="163">
        <v>182.23916095939478</v>
      </c>
      <c r="I430" s="163" t="s">
        <v>5934</v>
      </c>
      <c r="J430" s="308"/>
      <c r="L430" s="37"/>
      <c r="M430" s="37"/>
      <c r="N430" s="37"/>
    </row>
    <row r="431" spans="1:14" hidden="1" outlineLevel="1" x14ac:dyDescent="0.3">
      <c r="A431" s="56" t="s">
        <v>6009</v>
      </c>
      <c r="B431" s="56" t="s">
        <v>855</v>
      </c>
      <c r="C431" s="56" t="s">
        <v>768</v>
      </c>
      <c r="D431" s="163">
        <v>176.1645222607483</v>
      </c>
      <c r="E431" s="163">
        <v>176.1645222607483</v>
      </c>
      <c r="F431" s="163">
        <v>178.1894018269638</v>
      </c>
      <c r="G431" s="163">
        <v>180.21428139317928</v>
      </c>
      <c r="H431" s="163">
        <v>182.23916095939478</v>
      </c>
      <c r="I431" s="163" t="s">
        <v>5934</v>
      </c>
      <c r="J431" s="308"/>
      <c r="L431" s="37"/>
      <c r="M431" s="37"/>
      <c r="N431" s="37"/>
    </row>
    <row r="432" spans="1:14" hidden="1" outlineLevel="1" x14ac:dyDescent="0.3">
      <c r="A432" s="56" t="s">
        <v>6009</v>
      </c>
      <c r="B432" s="56" t="s">
        <v>855</v>
      </c>
      <c r="C432" s="56" t="s">
        <v>771</v>
      </c>
      <c r="D432" s="163">
        <v>176.1645222607483</v>
      </c>
      <c r="E432" s="163">
        <v>176.1645222607483</v>
      </c>
      <c r="F432" s="163">
        <v>178.1894018269638</v>
      </c>
      <c r="G432" s="163">
        <v>180.21428139317928</v>
      </c>
      <c r="H432" s="163">
        <v>182.23916095939478</v>
      </c>
      <c r="I432" s="163" t="s">
        <v>5934</v>
      </c>
      <c r="J432" s="308"/>
      <c r="L432" s="37"/>
      <c r="M432" s="37"/>
      <c r="N432" s="37"/>
    </row>
    <row r="433" spans="1:14" hidden="1" outlineLevel="1" x14ac:dyDescent="0.3">
      <c r="A433" s="56" t="s">
        <v>6009</v>
      </c>
      <c r="B433" s="56" t="s">
        <v>855</v>
      </c>
      <c r="C433" s="56" t="s">
        <v>772</v>
      </c>
      <c r="D433" s="163">
        <v>176.1645222607483</v>
      </c>
      <c r="E433" s="163">
        <v>176.1645222607483</v>
      </c>
      <c r="F433" s="163">
        <v>178.1894018269638</v>
      </c>
      <c r="G433" s="163">
        <v>180.21428139317928</v>
      </c>
      <c r="H433" s="163">
        <v>182.23916095939478</v>
      </c>
      <c r="I433" s="163" t="s">
        <v>5934</v>
      </c>
      <c r="J433" s="308"/>
      <c r="L433" s="37"/>
      <c r="M433" s="37"/>
      <c r="N433" s="37"/>
    </row>
    <row r="434" spans="1:14" hidden="1" outlineLevel="1" x14ac:dyDescent="0.3">
      <c r="A434" s="56" t="s">
        <v>6009</v>
      </c>
      <c r="B434" s="56" t="s">
        <v>855</v>
      </c>
      <c r="C434" s="56" t="s">
        <v>774</v>
      </c>
      <c r="D434" s="163">
        <v>176.1645222607483</v>
      </c>
      <c r="E434" s="163">
        <v>176.1645222607483</v>
      </c>
      <c r="F434" s="163">
        <v>178.1894018269638</v>
      </c>
      <c r="G434" s="163">
        <v>180.21428139317928</v>
      </c>
      <c r="H434" s="163">
        <v>182.23916095939478</v>
      </c>
      <c r="I434" s="163" t="s">
        <v>5934</v>
      </c>
      <c r="J434" s="308"/>
      <c r="L434" s="37"/>
      <c r="M434" s="37"/>
      <c r="N434" s="37"/>
    </row>
    <row r="435" spans="1:14" hidden="1" outlineLevel="1" x14ac:dyDescent="0.3">
      <c r="A435" s="56" t="s">
        <v>6009</v>
      </c>
      <c r="B435" s="56" t="s">
        <v>855</v>
      </c>
      <c r="C435" s="56" t="s">
        <v>775</v>
      </c>
      <c r="D435" s="163">
        <v>176.1645222607483</v>
      </c>
      <c r="E435" s="163">
        <v>176.1645222607483</v>
      </c>
      <c r="F435" s="163">
        <v>178.1894018269638</v>
      </c>
      <c r="G435" s="163">
        <v>180.21428139317928</v>
      </c>
      <c r="H435" s="163">
        <v>182.23916095939478</v>
      </c>
      <c r="I435" s="163" t="s">
        <v>5934</v>
      </c>
      <c r="J435" s="308"/>
      <c r="L435" s="37"/>
      <c r="M435" s="37"/>
      <c r="N435" s="37"/>
    </row>
    <row r="436" spans="1:14" hidden="1" outlineLevel="1" x14ac:dyDescent="0.3">
      <c r="A436" s="56" t="s">
        <v>6009</v>
      </c>
      <c r="B436" s="56" t="s">
        <v>855</v>
      </c>
      <c r="C436" s="56" t="s">
        <v>779</v>
      </c>
      <c r="D436" s="163">
        <v>176.1645222607483</v>
      </c>
      <c r="E436" s="163">
        <v>176.1645222607483</v>
      </c>
      <c r="F436" s="163">
        <v>178.1894018269638</v>
      </c>
      <c r="G436" s="163">
        <v>180.21428139317928</v>
      </c>
      <c r="H436" s="163">
        <v>182.23916095939478</v>
      </c>
      <c r="I436" s="163" t="s">
        <v>5934</v>
      </c>
      <c r="J436" s="308"/>
      <c r="L436" s="37"/>
      <c r="M436" s="37"/>
      <c r="N436" s="37"/>
    </row>
    <row r="437" spans="1:14" hidden="1" outlineLevel="1" x14ac:dyDescent="0.3">
      <c r="A437" s="56" t="s">
        <v>6009</v>
      </c>
      <c r="B437" s="56" t="s">
        <v>894</v>
      </c>
      <c r="C437" s="56" t="s">
        <v>781</v>
      </c>
      <c r="D437" s="163">
        <v>247.8452589047769</v>
      </c>
      <c r="E437" s="163">
        <v>247.8452589047769</v>
      </c>
      <c r="F437" s="163">
        <v>332.89020068582778</v>
      </c>
      <c r="G437" s="163">
        <v>417.93514246687869</v>
      </c>
      <c r="H437" s="163">
        <v>502.9800842479296</v>
      </c>
      <c r="I437" s="163" t="s">
        <v>5935</v>
      </c>
      <c r="J437" s="308"/>
      <c r="L437" s="37"/>
      <c r="M437" s="37"/>
      <c r="N437" s="37"/>
    </row>
    <row r="438" spans="1:14" hidden="1" outlineLevel="1" x14ac:dyDescent="0.3">
      <c r="A438" s="56" t="s">
        <v>6009</v>
      </c>
      <c r="B438" s="56" t="s">
        <v>894</v>
      </c>
      <c r="C438" s="56" t="s">
        <v>783</v>
      </c>
      <c r="D438" s="163">
        <v>247.8452589047769</v>
      </c>
      <c r="E438" s="163">
        <v>247.8452589047769</v>
      </c>
      <c r="F438" s="163">
        <v>332.89020068582778</v>
      </c>
      <c r="G438" s="163">
        <v>417.93514246687869</v>
      </c>
      <c r="H438" s="163">
        <v>502.9800842479296</v>
      </c>
      <c r="I438" s="163" t="s">
        <v>5935</v>
      </c>
      <c r="J438" s="308"/>
      <c r="L438" s="37"/>
      <c r="M438" s="37"/>
      <c r="N438" s="37"/>
    </row>
    <row r="439" spans="1:14" hidden="1" outlineLevel="1" x14ac:dyDescent="0.3">
      <c r="A439" s="56" t="s">
        <v>6009</v>
      </c>
      <c r="B439" s="56" t="s">
        <v>894</v>
      </c>
      <c r="C439" s="56" t="s">
        <v>785</v>
      </c>
      <c r="D439" s="163">
        <v>242.98554794585971</v>
      </c>
      <c r="E439" s="163">
        <v>242.98554794585971</v>
      </c>
      <c r="F439" s="163">
        <v>265.66419908747326</v>
      </c>
      <c r="G439" s="163">
        <v>288.34285022908688</v>
      </c>
      <c r="H439" s="163">
        <v>311.02150137070043</v>
      </c>
      <c r="I439" s="163" t="s">
        <v>5936</v>
      </c>
      <c r="J439" s="308"/>
      <c r="L439" s="37"/>
      <c r="M439" s="37"/>
      <c r="N439" s="37"/>
    </row>
    <row r="440" spans="1:14" hidden="1" outlineLevel="1" x14ac:dyDescent="0.3">
      <c r="A440" s="56" t="s">
        <v>6009</v>
      </c>
      <c r="B440" s="56" t="s">
        <v>894</v>
      </c>
      <c r="C440" s="56" t="s">
        <v>787</v>
      </c>
      <c r="D440" s="163">
        <v>247.8452589047769</v>
      </c>
      <c r="E440" s="163">
        <v>247.8452589047769</v>
      </c>
      <c r="F440" s="163">
        <v>332.89020068582778</v>
      </c>
      <c r="G440" s="163">
        <v>417.93514246687869</v>
      </c>
      <c r="H440" s="163">
        <v>502.9800842479296</v>
      </c>
      <c r="I440" s="163" t="s">
        <v>5935</v>
      </c>
      <c r="J440" s="308"/>
      <c r="L440" s="37"/>
      <c r="M440" s="37"/>
      <c r="N440" s="37"/>
    </row>
    <row r="441" spans="1:14" hidden="1" outlineLevel="1" x14ac:dyDescent="0.3">
      <c r="A441" s="56" t="s">
        <v>6009</v>
      </c>
      <c r="B441" s="56" t="s">
        <v>894</v>
      </c>
      <c r="C441" s="56" t="s">
        <v>788</v>
      </c>
      <c r="D441" s="163">
        <v>242.98554794585971</v>
      </c>
      <c r="E441" s="163">
        <v>242.98554794585971</v>
      </c>
      <c r="F441" s="163">
        <v>265.66419908747326</v>
      </c>
      <c r="G441" s="163">
        <v>288.34285022908688</v>
      </c>
      <c r="H441" s="163">
        <v>311.02150137070043</v>
      </c>
      <c r="I441" s="163" t="s">
        <v>5936</v>
      </c>
      <c r="J441" s="308"/>
      <c r="L441" s="37"/>
      <c r="M441" s="37"/>
      <c r="N441" s="37"/>
    </row>
    <row r="442" spans="1:14" hidden="1" outlineLevel="1" x14ac:dyDescent="0.3">
      <c r="A442" s="56" t="s">
        <v>6009</v>
      </c>
      <c r="B442" s="56" t="s">
        <v>894</v>
      </c>
      <c r="C442" s="56" t="s">
        <v>789</v>
      </c>
      <c r="D442" s="163">
        <v>242.98554794585971</v>
      </c>
      <c r="E442" s="163">
        <v>242.98554794585971</v>
      </c>
      <c r="F442" s="163">
        <v>265.66419908747326</v>
      </c>
      <c r="G442" s="163">
        <v>288.34285022908688</v>
      </c>
      <c r="H442" s="163">
        <v>311.02150137070043</v>
      </c>
      <c r="I442" s="163" t="s">
        <v>5936</v>
      </c>
      <c r="J442" s="308"/>
      <c r="L442" s="37"/>
      <c r="M442" s="37"/>
      <c r="N442" s="37"/>
    </row>
    <row r="443" spans="1:14" hidden="1" outlineLevel="1" x14ac:dyDescent="0.3">
      <c r="A443" s="56" t="s">
        <v>6009</v>
      </c>
      <c r="B443" s="56" t="s">
        <v>894</v>
      </c>
      <c r="C443" s="56" t="s">
        <v>790</v>
      </c>
      <c r="D443" s="163">
        <v>247.8452589047769</v>
      </c>
      <c r="E443" s="163">
        <v>247.8452589047769</v>
      </c>
      <c r="F443" s="163">
        <v>332.89020068582778</v>
      </c>
      <c r="G443" s="163">
        <v>417.93514246687869</v>
      </c>
      <c r="H443" s="163">
        <v>502.9800842479296</v>
      </c>
      <c r="I443" s="163" t="s">
        <v>5935</v>
      </c>
      <c r="J443" s="308"/>
      <c r="L443" s="37"/>
      <c r="M443" s="37"/>
      <c r="N443" s="37"/>
    </row>
    <row r="444" spans="1:14" hidden="1" outlineLevel="1" x14ac:dyDescent="0.3">
      <c r="A444" s="56" t="s">
        <v>6009</v>
      </c>
      <c r="B444" s="56" t="s">
        <v>894</v>
      </c>
      <c r="C444" s="56" t="s">
        <v>793</v>
      </c>
      <c r="D444" s="163">
        <v>247.8452589047769</v>
      </c>
      <c r="E444" s="163">
        <v>247.8452589047769</v>
      </c>
      <c r="F444" s="163">
        <v>332.89020068582778</v>
      </c>
      <c r="G444" s="163">
        <v>417.93514246687869</v>
      </c>
      <c r="H444" s="163">
        <v>502.9800842479296</v>
      </c>
      <c r="I444" s="163" t="s">
        <v>5935</v>
      </c>
      <c r="J444" s="308"/>
      <c r="L444" s="37"/>
      <c r="M444" s="37"/>
      <c r="N444" s="37"/>
    </row>
    <row r="445" spans="1:14" hidden="1" outlineLevel="1" x14ac:dyDescent="0.3">
      <c r="A445" s="56" t="s">
        <v>6009</v>
      </c>
      <c r="B445" s="56" t="s">
        <v>894</v>
      </c>
      <c r="C445" s="56" t="s">
        <v>795</v>
      </c>
      <c r="D445" s="163">
        <v>242.98554794585971</v>
      </c>
      <c r="E445" s="163">
        <v>242.98554794585971</v>
      </c>
      <c r="F445" s="163">
        <v>265.66419908747326</v>
      </c>
      <c r="G445" s="163">
        <v>288.34285022908688</v>
      </c>
      <c r="H445" s="163">
        <v>311.02150137070043</v>
      </c>
      <c r="I445" s="163" t="s">
        <v>5936</v>
      </c>
      <c r="J445" s="308"/>
      <c r="L445" s="37"/>
      <c r="M445" s="37"/>
      <c r="N445" s="37"/>
    </row>
    <row r="446" spans="1:14" hidden="1" outlineLevel="1" x14ac:dyDescent="0.3">
      <c r="A446" s="56" t="s">
        <v>6009</v>
      </c>
      <c r="B446" s="56" t="s">
        <v>894</v>
      </c>
      <c r="C446" s="56" t="s">
        <v>797</v>
      </c>
      <c r="D446" s="163">
        <v>247.8452589047769</v>
      </c>
      <c r="E446" s="163">
        <v>247.8452589047769</v>
      </c>
      <c r="F446" s="163">
        <v>332.89020068582778</v>
      </c>
      <c r="G446" s="163">
        <v>417.93514246687869</v>
      </c>
      <c r="H446" s="163">
        <v>502.9800842479296</v>
      </c>
      <c r="I446" s="163" t="s">
        <v>5935</v>
      </c>
      <c r="J446" s="308"/>
      <c r="L446" s="37"/>
      <c r="M446" s="37"/>
      <c r="N446" s="37"/>
    </row>
    <row r="447" spans="1:14" hidden="1" outlineLevel="1" x14ac:dyDescent="0.3">
      <c r="A447" s="56" t="s">
        <v>6009</v>
      </c>
      <c r="B447" s="56" t="s">
        <v>915</v>
      </c>
      <c r="C447" s="56" t="s">
        <v>799</v>
      </c>
      <c r="D447" s="163">
        <v>247.8452589047769</v>
      </c>
      <c r="E447" s="163">
        <v>247.8452589047769</v>
      </c>
      <c r="F447" s="163">
        <v>332.89020068582778</v>
      </c>
      <c r="G447" s="163">
        <v>417.93514246687869</v>
      </c>
      <c r="H447" s="163">
        <v>502.9800842479296</v>
      </c>
      <c r="I447" s="163" t="s">
        <v>5935</v>
      </c>
      <c r="J447" s="308"/>
      <c r="L447" s="37"/>
      <c r="M447" s="37"/>
      <c r="N447" s="37"/>
    </row>
    <row r="448" spans="1:14" hidden="1" outlineLevel="1" x14ac:dyDescent="0.3">
      <c r="A448" s="56" t="s">
        <v>6009</v>
      </c>
      <c r="B448" s="56" t="s">
        <v>915</v>
      </c>
      <c r="C448" s="56" t="s">
        <v>801</v>
      </c>
      <c r="D448" s="163">
        <v>247.8452589047769</v>
      </c>
      <c r="E448" s="163">
        <v>247.8452589047769</v>
      </c>
      <c r="F448" s="163">
        <v>332.89020068582778</v>
      </c>
      <c r="G448" s="163">
        <v>417.93514246687869</v>
      </c>
      <c r="H448" s="163">
        <v>502.9800842479296</v>
      </c>
      <c r="I448" s="163" t="s">
        <v>5935</v>
      </c>
      <c r="J448" s="308"/>
      <c r="L448" s="37"/>
      <c r="M448" s="37"/>
      <c r="N448" s="37"/>
    </row>
    <row r="449" spans="1:14" hidden="1" outlineLevel="1" x14ac:dyDescent="0.3">
      <c r="A449" s="56" t="s">
        <v>6009</v>
      </c>
      <c r="B449" s="56" t="s">
        <v>915</v>
      </c>
      <c r="C449" s="56" t="s">
        <v>804</v>
      </c>
      <c r="D449" s="163">
        <v>247.8452589047769</v>
      </c>
      <c r="E449" s="163">
        <v>247.8452589047769</v>
      </c>
      <c r="F449" s="163">
        <v>332.89020068582778</v>
      </c>
      <c r="G449" s="163">
        <v>417.93514246687869</v>
      </c>
      <c r="H449" s="163">
        <v>502.9800842479296</v>
      </c>
      <c r="I449" s="163" t="s">
        <v>5935</v>
      </c>
      <c r="J449" s="308"/>
      <c r="L449" s="37"/>
      <c r="M449" s="37"/>
      <c r="N449" s="37"/>
    </row>
    <row r="450" spans="1:14" hidden="1" outlineLevel="1" x14ac:dyDescent="0.3">
      <c r="A450" s="56" t="s">
        <v>6009</v>
      </c>
      <c r="B450" s="56" t="s">
        <v>915</v>
      </c>
      <c r="C450" s="56" t="s">
        <v>806</v>
      </c>
      <c r="D450" s="163">
        <v>247.8452589047769</v>
      </c>
      <c r="E450" s="163">
        <v>247.8452589047769</v>
      </c>
      <c r="F450" s="163">
        <v>332.89020068582778</v>
      </c>
      <c r="G450" s="163">
        <v>417.93514246687869</v>
      </c>
      <c r="H450" s="163">
        <v>502.9800842479296</v>
      </c>
      <c r="I450" s="163" t="s">
        <v>5935</v>
      </c>
      <c r="J450" s="308"/>
      <c r="L450" s="37"/>
      <c r="M450" s="37"/>
      <c r="N450" s="37"/>
    </row>
    <row r="451" spans="1:14" hidden="1" outlineLevel="1" x14ac:dyDescent="0.3">
      <c r="A451" s="56" t="s">
        <v>6009</v>
      </c>
      <c r="B451" s="56" t="s">
        <v>915</v>
      </c>
      <c r="C451" s="56" t="s">
        <v>808</v>
      </c>
      <c r="D451" s="163">
        <v>247.8452589047769</v>
      </c>
      <c r="E451" s="163">
        <v>247.8452589047769</v>
      </c>
      <c r="F451" s="163">
        <v>332.89020068582778</v>
      </c>
      <c r="G451" s="163">
        <v>417.93514246687869</v>
      </c>
      <c r="H451" s="163">
        <v>502.9800842479296</v>
      </c>
      <c r="I451" s="163" t="s">
        <v>5935</v>
      </c>
      <c r="J451" s="308"/>
      <c r="L451" s="37"/>
      <c r="M451" s="37"/>
      <c r="N451" s="37"/>
    </row>
    <row r="452" spans="1:14" hidden="1" outlineLevel="1" x14ac:dyDescent="0.3">
      <c r="A452" s="56" t="s">
        <v>6009</v>
      </c>
      <c r="B452" s="56" t="s">
        <v>915</v>
      </c>
      <c r="C452" s="56" t="s">
        <v>811</v>
      </c>
      <c r="D452" s="163">
        <v>247.8452589047769</v>
      </c>
      <c r="E452" s="163">
        <v>247.8452589047769</v>
      </c>
      <c r="F452" s="163">
        <v>332.89020068582778</v>
      </c>
      <c r="G452" s="163">
        <v>417.93514246687869</v>
      </c>
      <c r="H452" s="163">
        <v>502.9800842479296</v>
      </c>
      <c r="I452" s="163" t="s">
        <v>5935</v>
      </c>
      <c r="J452" s="308"/>
      <c r="L452" s="37"/>
      <c r="M452" s="37"/>
      <c r="N452" s="37"/>
    </row>
    <row r="453" spans="1:14" hidden="1" outlineLevel="1" x14ac:dyDescent="0.3">
      <c r="A453" s="56" t="s">
        <v>6009</v>
      </c>
      <c r="B453" s="56" t="s">
        <v>934</v>
      </c>
      <c r="C453" s="56" t="s">
        <v>814</v>
      </c>
      <c r="D453" s="163">
        <v>247.8452589047769</v>
      </c>
      <c r="E453" s="163">
        <v>247.8452589047769</v>
      </c>
      <c r="F453" s="163">
        <v>332.89020068582778</v>
      </c>
      <c r="G453" s="163">
        <v>417.93514246687869</v>
      </c>
      <c r="H453" s="163">
        <v>502.9800842479296</v>
      </c>
      <c r="I453" s="163" t="s">
        <v>5935</v>
      </c>
      <c r="J453" s="308"/>
      <c r="L453" s="37"/>
      <c r="M453" s="37"/>
      <c r="N453" s="37"/>
    </row>
    <row r="454" spans="1:14" hidden="1" outlineLevel="1" x14ac:dyDescent="0.3">
      <c r="A454" s="56" t="s">
        <v>6009</v>
      </c>
      <c r="B454" s="56" t="s">
        <v>934</v>
      </c>
      <c r="C454" s="56" t="s">
        <v>815</v>
      </c>
      <c r="D454" s="163">
        <v>247.8452589047769</v>
      </c>
      <c r="E454" s="163">
        <v>247.8452589047769</v>
      </c>
      <c r="F454" s="163">
        <v>332.89020068582778</v>
      </c>
      <c r="G454" s="163">
        <v>417.93514246687869</v>
      </c>
      <c r="H454" s="163">
        <v>502.9800842479296</v>
      </c>
      <c r="I454" s="163" t="s">
        <v>5935</v>
      </c>
      <c r="J454" s="308"/>
      <c r="L454" s="37"/>
      <c r="M454" s="37"/>
      <c r="N454" s="37"/>
    </row>
    <row r="455" spans="1:14" hidden="1" outlineLevel="1" x14ac:dyDescent="0.3">
      <c r="A455" s="56" t="s">
        <v>6009</v>
      </c>
      <c r="B455" s="56" t="s">
        <v>940</v>
      </c>
      <c r="C455" s="56" t="s">
        <v>817</v>
      </c>
      <c r="D455" s="163">
        <v>247.8452589047769</v>
      </c>
      <c r="E455" s="163">
        <v>247.8452589047769</v>
      </c>
      <c r="F455" s="163">
        <v>332.89020068582778</v>
      </c>
      <c r="G455" s="163">
        <v>417.93514246687869</v>
      </c>
      <c r="H455" s="163">
        <v>502.9800842479296</v>
      </c>
      <c r="I455" s="163" t="s">
        <v>5935</v>
      </c>
      <c r="J455" s="308"/>
      <c r="L455" s="37"/>
      <c r="M455" s="37"/>
      <c r="N455" s="37"/>
    </row>
    <row r="456" spans="1:14" hidden="1" outlineLevel="1" x14ac:dyDescent="0.3">
      <c r="A456" s="56" t="s">
        <v>6009</v>
      </c>
      <c r="B456" s="56" t="s">
        <v>940</v>
      </c>
      <c r="C456" s="56" t="s">
        <v>944</v>
      </c>
      <c r="D456" s="163">
        <v>247.8452589047769</v>
      </c>
      <c r="E456" s="163">
        <v>247.8452589047769</v>
      </c>
      <c r="F456" s="163">
        <v>332.89020068582778</v>
      </c>
      <c r="G456" s="163">
        <v>417.93514246687869</v>
      </c>
      <c r="H456" s="163">
        <v>502.9800842479296</v>
      </c>
      <c r="I456" s="163" t="s">
        <v>5935</v>
      </c>
      <c r="J456" s="308"/>
      <c r="L456" s="37"/>
      <c r="M456" s="37"/>
      <c r="N456" s="37"/>
    </row>
    <row r="457" spans="1:14" hidden="1" outlineLevel="1" x14ac:dyDescent="0.3">
      <c r="A457" s="56" t="s">
        <v>6009</v>
      </c>
      <c r="B457" s="56" t="s">
        <v>940</v>
      </c>
      <c r="C457" s="56" t="s">
        <v>821</v>
      </c>
      <c r="D457" s="163">
        <v>247.8452589047769</v>
      </c>
      <c r="E457" s="163">
        <v>247.8452589047769</v>
      </c>
      <c r="F457" s="163">
        <v>332.89020068582778</v>
      </c>
      <c r="G457" s="163">
        <v>417.93514246687869</v>
      </c>
      <c r="H457" s="163">
        <v>502.9800842479296</v>
      </c>
      <c r="I457" s="163" t="s">
        <v>5935</v>
      </c>
      <c r="J457" s="308"/>
      <c r="L457" s="37"/>
      <c r="M457" s="37"/>
      <c r="N457" s="37"/>
    </row>
    <row r="458" spans="1:14" hidden="1" outlineLevel="1" x14ac:dyDescent="0.3">
      <c r="A458" s="56" t="s">
        <v>6009</v>
      </c>
      <c r="B458" s="56" t="s">
        <v>940</v>
      </c>
      <c r="C458" s="56" t="s">
        <v>823</v>
      </c>
      <c r="D458" s="163">
        <v>247.8452589047769</v>
      </c>
      <c r="E458" s="163">
        <v>247.8452589047769</v>
      </c>
      <c r="F458" s="163">
        <v>332.89020068582778</v>
      </c>
      <c r="G458" s="163">
        <v>417.93514246687869</v>
      </c>
      <c r="H458" s="163">
        <v>502.9800842479296</v>
      </c>
      <c r="I458" s="163" t="s">
        <v>5935</v>
      </c>
      <c r="J458" s="308"/>
      <c r="L458" s="37"/>
      <c r="M458" s="37"/>
      <c r="N458" s="37"/>
    </row>
    <row r="459" spans="1:14" hidden="1" outlineLevel="1" x14ac:dyDescent="0.3">
      <c r="A459" s="56" t="s">
        <v>6009</v>
      </c>
      <c r="B459" s="56" t="s">
        <v>940</v>
      </c>
      <c r="C459" s="56" t="s">
        <v>825</v>
      </c>
      <c r="D459" s="163">
        <v>247.8452589047769</v>
      </c>
      <c r="E459" s="163">
        <v>247.8452589047769</v>
      </c>
      <c r="F459" s="163">
        <v>332.89020068582778</v>
      </c>
      <c r="G459" s="163">
        <v>417.93514246687869</v>
      </c>
      <c r="H459" s="163">
        <v>502.9800842479296</v>
      </c>
      <c r="I459" s="163" t="s">
        <v>5935</v>
      </c>
      <c r="J459" s="308"/>
      <c r="L459" s="37"/>
      <c r="M459" s="37"/>
      <c r="N459" s="37"/>
    </row>
    <row r="460" spans="1:14" hidden="1" outlineLevel="1" x14ac:dyDescent="0.3">
      <c r="A460" s="56" t="s">
        <v>6009</v>
      </c>
      <c r="B460" s="56" t="s">
        <v>940</v>
      </c>
      <c r="C460" s="56" t="s">
        <v>827</v>
      </c>
      <c r="D460" s="163">
        <v>247.8452589047769</v>
      </c>
      <c r="E460" s="163">
        <v>247.8452589047769</v>
      </c>
      <c r="F460" s="163">
        <v>332.89020068582778</v>
      </c>
      <c r="G460" s="163">
        <v>417.93514246687869</v>
      </c>
      <c r="H460" s="163">
        <v>502.9800842479296</v>
      </c>
      <c r="I460" s="163" t="s">
        <v>5935</v>
      </c>
      <c r="J460" s="308"/>
      <c r="L460" s="37"/>
      <c r="M460" s="37"/>
      <c r="N460" s="37"/>
    </row>
    <row r="461" spans="1:14" hidden="1" outlineLevel="1" x14ac:dyDescent="0.3">
      <c r="A461" s="56" t="s">
        <v>6009</v>
      </c>
      <c r="B461" s="56" t="s">
        <v>940</v>
      </c>
      <c r="C461" s="56" t="s">
        <v>829</v>
      </c>
      <c r="D461" s="163">
        <v>247.8452589047769</v>
      </c>
      <c r="E461" s="163">
        <v>247.8452589047769</v>
      </c>
      <c r="F461" s="163">
        <v>332.89020068582778</v>
      </c>
      <c r="G461" s="163">
        <v>417.93514246687869</v>
      </c>
      <c r="H461" s="163">
        <v>502.9800842479296</v>
      </c>
      <c r="I461" s="163" t="s">
        <v>5935</v>
      </c>
      <c r="J461" s="308"/>
      <c r="L461" s="37"/>
      <c r="M461" s="37"/>
      <c r="N461" s="37"/>
    </row>
    <row r="462" spans="1:14" hidden="1" outlineLevel="1" x14ac:dyDescent="0.3">
      <c r="A462" s="56" t="s">
        <v>6009</v>
      </c>
      <c r="B462" s="56" t="s">
        <v>940</v>
      </c>
      <c r="C462" s="56" t="s">
        <v>833</v>
      </c>
      <c r="D462" s="163">
        <v>247.8452589047769</v>
      </c>
      <c r="E462" s="163">
        <v>247.8452589047769</v>
      </c>
      <c r="F462" s="163">
        <v>332.89020068582778</v>
      </c>
      <c r="G462" s="163">
        <v>417.93514246687869</v>
      </c>
      <c r="H462" s="163">
        <v>502.9800842479296</v>
      </c>
      <c r="I462" s="163" t="s">
        <v>5935</v>
      </c>
      <c r="J462" s="308"/>
      <c r="L462" s="37"/>
      <c r="M462" s="37"/>
      <c r="N462" s="37"/>
    </row>
    <row r="463" spans="1:14" hidden="1" outlineLevel="1" x14ac:dyDescent="0.3">
      <c r="A463" s="56" t="s">
        <v>6009</v>
      </c>
      <c r="B463" s="56" t="s">
        <v>940</v>
      </c>
      <c r="C463" s="56" t="s">
        <v>836</v>
      </c>
      <c r="D463" s="163">
        <v>247.8452589047769</v>
      </c>
      <c r="E463" s="163">
        <v>247.8452589047769</v>
      </c>
      <c r="F463" s="163">
        <v>332.89020068582778</v>
      </c>
      <c r="G463" s="163">
        <v>417.93514246687869</v>
      </c>
      <c r="H463" s="163">
        <v>502.9800842479296</v>
      </c>
      <c r="I463" s="163" t="s">
        <v>5935</v>
      </c>
      <c r="J463" s="308"/>
      <c r="L463" s="37"/>
      <c r="M463" s="37"/>
      <c r="N463" s="37"/>
    </row>
    <row r="464" spans="1:14" hidden="1" outlineLevel="1" x14ac:dyDescent="0.3">
      <c r="A464" s="56" t="s">
        <v>6009</v>
      </c>
      <c r="B464" s="56" t="s">
        <v>940</v>
      </c>
      <c r="C464" s="56" t="s">
        <v>837</v>
      </c>
      <c r="D464" s="163">
        <v>247.8452589047769</v>
      </c>
      <c r="E464" s="163">
        <v>247.8452589047769</v>
      </c>
      <c r="F464" s="163">
        <v>332.89020068582778</v>
      </c>
      <c r="G464" s="163">
        <v>417.93514246687869</v>
      </c>
      <c r="H464" s="163">
        <v>502.9800842479296</v>
      </c>
      <c r="I464" s="163" t="s">
        <v>5935</v>
      </c>
      <c r="J464" s="308"/>
      <c r="L464" s="37"/>
      <c r="M464" s="37"/>
      <c r="N464" s="37"/>
    </row>
    <row r="465" spans="1:14" hidden="1" outlineLevel="1" x14ac:dyDescent="0.3">
      <c r="A465" s="56" t="s">
        <v>6009</v>
      </c>
      <c r="B465" s="56" t="s">
        <v>940</v>
      </c>
      <c r="C465" s="56" t="s">
        <v>839</v>
      </c>
      <c r="D465" s="163">
        <v>247.8452589047769</v>
      </c>
      <c r="E465" s="163">
        <v>247.8452589047769</v>
      </c>
      <c r="F465" s="163">
        <v>332.89020068582778</v>
      </c>
      <c r="G465" s="163">
        <v>417.93514246687869</v>
      </c>
      <c r="H465" s="163">
        <v>502.9800842479296</v>
      </c>
      <c r="I465" s="163" t="s">
        <v>5935</v>
      </c>
      <c r="J465" s="308"/>
      <c r="L465" s="37"/>
      <c r="M465" s="37"/>
      <c r="N465" s="37"/>
    </row>
    <row r="466" spans="1:14" hidden="1" outlineLevel="1" x14ac:dyDescent="0.3">
      <c r="A466" s="56" t="s">
        <v>6009</v>
      </c>
      <c r="B466" s="56" t="s">
        <v>940</v>
      </c>
      <c r="C466" s="56" t="s">
        <v>840</v>
      </c>
      <c r="D466" s="163">
        <v>247.8452589047769</v>
      </c>
      <c r="E466" s="163">
        <v>247.8452589047769</v>
      </c>
      <c r="F466" s="163">
        <v>332.89020068582778</v>
      </c>
      <c r="G466" s="163">
        <v>417.93514246687869</v>
      </c>
      <c r="H466" s="163">
        <v>502.9800842479296</v>
      </c>
      <c r="I466" s="163" t="s">
        <v>5935</v>
      </c>
      <c r="J466" s="308"/>
      <c r="L466" s="37"/>
      <c r="M466" s="37"/>
      <c r="N466" s="37"/>
    </row>
    <row r="467" spans="1:14" collapsed="1" x14ac:dyDescent="0.3">
      <c r="A467" s="56"/>
      <c r="B467" s="56"/>
      <c r="C467" s="56"/>
      <c r="D467" s="163"/>
      <c r="E467" s="163"/>
      <c r="F467" s="56"/>
      <c r="G467" s="56"/>
      <c r="H467" s="56"/>
      <c r="I467" s="163"/>
      <c r="J467" s="308"/>
      <c r="L467" s="37"/>
      <c r="M467" s="37"/>
      <c r="N467" s="37"/>
    </row>
    <row r="468" spans="1:14" x14ac:dyDescent="0.3">
      <c r="A468" s="143" t="s">
        <v>6010</v>
      </c>
      <c r="B468" s="56"/>
      <c r="C468" s="144" t="s">
        <v>4032</v>
      </c>
      <c r="D468" s="252">
        <v>285.99977530246593</v>
      </c>
      <c r="E468" s="252">
        <v>285.99977530246593</v>
      </c>
      <c r="F468" s="252">
        <v>352.97507752595567</v>
      </c>
      <c r="G468" s="252">
        <v>419.95037974944552</v>
      </c>
      <c r="H468" s="252">
        <v>486.92568197293519</v>
      </c>
      <c r="I468" s="163"/>
      <c r="J468" s="308"/>
      <c r="L468" s="37"/>
      <c r="M468" s="37"/>
      <c r="N468" s="37"/>
    </row>
    <row r="469" spans="1:14" x14ac:dyDescent="0.3">
      <c r="A469" s="131" t="s">
        <v>5</v>
      </c>
      <c r="B469" s="131" t="s">
        <v>847</v>
      </c>
      <c r="C469" s="131" t="s">
        <v>193</v>
      </c>
      <c r="D469" s="131">
        <v>2025</v>
      </c>
      <c r="E469" s="131">
        <v>2030</v>
      </c>
      <c r="F469" s="131">
        <v>2035</v>
      </c>
      <c r="G469" s="131">
        <v>2040</v>
      </c>
      <c r="H469" s="131">
        <v>2045</v>
      </c>
      <c r="I469" s="131" t="s">
        <v>153</v>
      </c>
      <c r="J469" s="308"/>
    </row>
    <row r="470" spans="1:14" hidden="1" outlineLevel="1" x14ac:dyDescent="0.3">
      <c r="A470" s="56" t="s">
        <v>6010</v>
      </c>
      <c r="B470" s="56" t="s">
        <v>855</v>
      </c>
      <c r="C470" s="56" t="s">
        <v>747</v>
      </c>
      <c r="D470" s="163">
        <v>232.05119828829601</v>
      </c>
      <c r="E470" s="163">
        <v>232.05119828829601</v>
      </c>
      <c r="F470" s="163">
        <v>234.88602968099769</v>
      </c>
      <c r="G470" s="163">
        <v>237.72086107369941</v>
      </c>
      <c r="H470" s="163">
        <v>240.5556924664011</v>
      </c>
      <c r="I470" s="163" t="s">
        <v>5934</v>
      </c>
      <c r="J470" s="308"/>
    </row>
    <row r="471" spans="1:14" hidden="1" outlineLevel="1" x14ac:dyDescent="0.3">
      <c r="A471" s="56" t="s">
        <v>6010</v>
      </c>
      <c r="B471" s="56" t="s">
        <v>855</v>
      </c>
      <c r="C471" s="56" t="s">
        <v>751</v>
      </c>
      <c r="D471" s="163">
        <v>232.05119828829601</v>
      </c>
      <c r="E471" s="163">
        <v>232.05119828829601</v>
      </c>
      <c r="F471" s="163">
        <v>234.88602968099769</v>
      </c>
      <c r="G471" s="163">
        <v>237.72086107369941</v>
      </c>
      <c r="H471" s="163">
        <v>240.5556924664011</v>
      </c>
      <c r="I471" s="163" t="s">
        <v>5934</v>
      </c>
      <c r="J471" s="308"/>
    </row>
    <row r="472" spans="1:14" hidden="1" outlineLevel="1" x14ac:dyDescent="0.3">
      <c r="A472" s="56" t="s">
        <v>6010</v>
      </c>
      <c r="B472" s="56" t="s">
        <v>855</v>
      </c>
      <c r="C472" s="56" t="s">
        <v>755</v>
      </c>
      <c r="D472" s="163">
        <v>232.05119828829601</v>
      </c>
      <c r="E472" s="163">
        <v>232.05119828829601</v>
      </c>
      <c r="F472" s="163">
        <v>234.88602968099769</v>
      </c>
      <c r="G472" s="163">
        <v>237.72086107369941</v>
      </c>
      <c r="H472" s="163">
        <v>240.5556924664011</v>
      </c>
      <c r="I472" s="163" t="s">
        <v>5934</v>
      </c>
      <c r="J472" s="308"/>
    </row>
    <row r="473" spans="1:14" hidden="1" outlineLevel="1" x14ac:dyDescent="0.3">
      <c r="A473" s="56" t="s">
        <v>6010</v>
      </c>
      <c r="B473" s="56" t="s">
        <v>855</v>
      </c>
      <c r="C473" s="56" t="s">
        <v>758</v>
      </c>
      <c r="D473" s="163">
        <v>232.05119828829601</v>
      </c>
      <c r="E473" s="163">
        <v>232.05119828829601</v>
      </c>
      <c r="F473" s="163">
        <v>234.88602968099769</v>
      </c>
      <c r="G473" s="163">
        <v>237.72086107369941</v>
      </c>
      <c r="H473" s="163">
        <v>240.5556924664011</v>
      </c>
      <c r="I473" s="163" t="s">
        <v>5934</v>
      </c>
      <c r="J473" s="308"/>
      <c r="L473" s="37"/>
      <c r="M473" s="37"/>
      <c r="N473" s="37"/>
    </row>
    <row r="474" spans="1:14" hidden="1" outlineLevel="1" x14ac:dyDescent="0.3">
      <c r="A474" s="56" t="s">
        <v>6010</v>
      </c>
      <c r="B474" s="56" t="s">
        <v>855</v>
      </c>
      <c r="C474" s="56" t="s">
        <v>761</v>
      </c>
      <c r="D474" s="163">
        <v>232.05119828829601</v>
      </c>
      <c r="E474" s="163">
        <v>232.05119828829601</v>
      </c>
      <c r="F474" s="163">
        <v>234.88602968099769</v>
      </c>
      <c r="G474" s="163">
        <v>237.72086107369941</v>
      </c>
      <c r="H474" s="163">
        <v>240.5556924664011</v>
      </c>
      <c r="I474" s="163" t="s">
        <v>5934</v>
      </c>
      <c r="J474" s="308"/>
      <c r="L474" s="37"/>
      <c r="M474" s="37"/>
      <c r="N474" s="37"/>
    </row>
    <row r="475" spans="1:14" hidden="1" outlineLevel="1" x14ac:dyDescent="0.3">
      <c r="A475" s="56" t="s">
        <v>6010</v>
      </c>
      <c r="B475" s="56" t="s">
        <v>855</v>
      </c>
      <c r="C475" s="56" t="s">
        <v>763</v>
      </c>
      <c r="D475" s="163">
        <v>232.05119828829601</v>
      </c>
      <c r="E475" s="163">
        <v>232.05119828829601</v>
      </c>
      <c r="F475" s="163">
        <v>234.88602968099769</v>
      </c>
      <c r="G475" s="163">
        <v>237.72086107369941</v>
      </c>
      <c r="H475" s="163">
        <v>240.5556924664011</v>
      </c>
      <c r="I475" s="163" t="s">
        <v>5934</v>
      </c>
      <c r="J475" s="308"/>
      <c r="L475" s="37"/>
      <c r="M475" s="37"/>
      <c r="N475" s="37"/>
    </row>
    <row r="476" spans="1:14" hidden="1" outlineLevel="1" x14ac:dyDescent="0.3">
      <c r="A476" s="56" t="s">
        <v>6010</v>
      </c>
      <c r="B476" s="56" t="s">
        <v>855</v>
      </c>
      <c r="C476" s="56" t="s">
        <v>765</v>
      </c>
      <c r="D476" s="163">
        <v>232.05119828829601</v>
      </c>
      <c r="E476" s="163">
        <v>232.05119828829601</v>
      </c>
      <c r="F476" s="163">
        <v>234.88602968099769</v>
      </c>
      <c r="G476" s="163">
        <v>237.72086107369941</v>
      </c>
      <c r="H476" s="163">
        <v>240.5556924664011</v>
      </c>
      <c r="I476" s="163" t="s">
        <v>5934</v>
      </c>
      <c r="J476" s="308"/>
      <c r="L476" s="37"/>
      <c r="M476" s="37"/>
      <c r="N476" s="37"/>
    </row>
    <row r="477" spans="1:14" hidden="1" outlineLevel="1" x14ac:dyDescent="0.3">
      <c r="A477" s="56" t="s">
        <v>6010</v>
      </c>
      <c r="B477" s="56" t="s">
        <v>855</v>
      </c>
      <c r="C477" s="56" t="s">
        <v>768</v>
      </c>
      <c r="D477" s="163">
        <v>232.05119828829601</v>
      </c>
      <c r="E477" s="163">
        <v>232.05119828829601</v>
      </c>
      <c r="F477" s="163">
        <v>234.88602968099769</v>
      </c>
      <c r="G477" s="163">
        <v>237.72086107369941</v>
      </c>
      <c r="H477" s="163">
        <v>240.5556924664011</v>
      </c>
      <c r="I477" s="163" t="s">
        <v>5934</v>
      </c>
      <c r="J477" s="308"/>
      <c r="L477" s="37"/>
      <c r="M477" s="37"/>
      <c r="N477" s="37"/>
    </row>
    <row r="478" spans="1:14" hidden="1" outlineLevel="1" x14ac:dyDescent="0.3">
      <c r="A478" s="56" t="s">
        <v>6010</v>
      </c>
      <c r="B478" s="56" t="s">
        <v>855</v>
      </c>
      <c r="C478" s="56" t="s">
        <v>771</v>
      </c>
      <c r="D478" s="163">
        <v>232.05119828829601</v>
      </c>
      <c r="E478" s="163">
        <v>232.05119828829601</v>
      </c>
      <c r="F478" s="163">
        <v>234.88602968099769</v>
      </c>
      <c r="G478" s="163">
        <v>237.72086107369941</v>
      </c>
      <c r="H478" s="163">
        <v>240.5556924664011</v>
      </c>
      <c r="I478" s="163" t="s">
        <v>5934</v>
      </c>
      <c r="J478" s="308"/>
      <c r="L478" s="37"/>
      <c r="M478" s="37"/>
      <c r="N478" s="37"/>
    </row>
    <row r="479" spans="1:14" hidden="1" outlineLevel="1" x14ac:dyDescent="0.3">
      <c r="A479" s="56" t="s">
        <v>6010</v>
      </c>
      <c r="B479" s="56" t="s">
        <v>855</v>
      </c>
      <c r="C479" s="56" t="s">
        <v>772</v>
      </c>
      <c r="D479" s="163">
        <v>232.05119828829601</v>
      </c>
      <c r="E479" s="163">
        <v>232.05119828829601</v>
      </c>
      <c r="F479" s="163">
        <v>234.88602968099769</v>
      </c>
      <c r="G479" s="163">
        <v>237.72086107369941</v>
      </c>
      <c r="H479" s="163">
        <v>240.5556924664011</v>
      </c>
      <c r="I479" s="163" t="s">
        <v>5934</v>
      </c>
      <c r="J479" s="308"/>
      <c r="L479" s="37"/>
      <c r="M479" s="37"/>
      <c r="N479" s="37"/>
    </row>
    <row r="480" spans="1:14" hidden="1" outlineLevel="1" x14ac:dyDescent="0.3">
      <c r="A480" s="56" t="s">
        <v>6010</v>
      </c>
      <c r="B480" s="56" t="s">
        <v>855</v>
      </c>
      <c r="C480" s="56" t="s">
        <v>774</v>
      </c>
      <c r="D480" s="163">
        <v>232.05119828829601</v>
      </c>
      <c r="E480" s="163">
        <v>232.05119828829601</v>
      </c>
      <c r="F480" s="163">
        <v>234.88602968099769</v>
      </c>
      <c r="G480" s="163">
        <v>237.72086107369941</v>
      </c>
      <c r="H480" s="163">
        <v>240.5556924664011</v>
      </c>
      <c r="I480" s="163" t="s">
        <v>5934</v>
      </c>
      <c r="J480" s="308"/>
      <c r="L480" s="37"/>
      <c r="M480" s="37"/>
      <c r="N480" s="37"/>
    </row>
    <row r="481" spans="1:14" hidden="1" outlineLevel="1" x14ac:dyDescent="0.3">
      <c r="A481" s="56" t="s">
        <v>6010</v>
      </c>
      <c r="B481" s="56" t="s">
        <v>855</v>
      </c>
      <c r="C481" s="56" t="s">
        <v>775</v>
      </c>
      <c r="D481" s="163">
        <v>232.05119828829601</v>
      </c>
      <c r="E481" s="163">
        <v>232.05119828829601</v>
      </c>
      <c r="F481" s="163">
        <v>234.88602968099769</v>
      </c>
      <c r="G481" s="163">
        <v>237.72086107369941</v>
      </c>
      <c r="H481" s="163">
        <v>240.5556924664011</v>
      </c>
      <c r="I481" s="163" t="s">
        <v>5934</v>
      </c>
      <c r="J481" s="308"/>
      <c r="L481" s="37"/>
      <c r="M481" s="37"/>
      <c r="N481" s="37"/>
    </row>
    <row r="482" spans="1:14" hidden="1" outlineLevel="1" x14ac:dyDescent="0.3">
      <c r="A482" s="56" t="s">
        <v>6010</v>
      </c>
      <c r="B482" s="56" t="s">
        <v>855</v>
      </c>
      <c r="C482" s="56" t="s">
        <v>779</v>
      </c>
      <c r="D482" s="163">
        <v>232.05119828829601</v>
      </c>
      <c r="E482" s="163">
        <v>232.05119828829601</v>
      </c>
      <c r="F482" s="163">
        <v>234.88602968099769</v>
      </c>
      <c r="G482" s="163">
        <v>237.72086107369941</v>
      </c>
      <c r="H482" s="163">
        <v>240.5556924664011</v>
      </c>
      <c r="I482" s="163" t="s">
        <v>5934</v>
      </c>
      <c r="J482" s="308"/>
      <c r="L482" s="37"/>
      <c r="M482" s="37"/>
      <c r="N482" s="37"/>
    </row>
    <row r="483" spans="1:14" hidden="1" outlineLevel="1" x14ac:dyDescent="0.3">
      <c r="A483" s="56" t="s">
        <v>6010</v>
      </c>
      <c r="B483" s="56" t="s">
        <v>894</v>
      </c>
      <c r="C483" s="56" t="s">
        <v>781</v>
      </c>
      <c r="D483" s="163">
        <v>311.02150137070043</v>
      </c>
      <c r="E483" s="163">
        <v>311.02150137070043</v>
      </c>
      <c r="F483" s="163">
        <v>417.53016655363564</v>
      </c>
      <c r="G483" s="163">
        <v>524.03883173657084</v>
      </c>
      <c r="H483" s="163">
        <v>630.54749691950599</v>
      </c>
      <c r="I483" s="163" t="s">
        <v>5935</v>
      </c>
      <c r="J483" s="308"/>
      <c r="L483" s="37"/>
      <c r="M483" s="37"/>
      <c r="N483" s="37"/>
    </row>
    <row r="484" spans="1:14" hidden="1" outlineLevel="1" x14ac:dyDescent="0.3">
      <c r="A484" s="56" t="s">
        <v>6010</v>
      </c>
      <c r="B484" s="56" t="s">
        <v>894</v>
      </c>
      <c r="C484" s="56" t="s">
        <v>783</v>
      </c>
      <c r="D484" s="163">
        <v>311.02150137070043</v>
      </c>
      <c r="E484" s="163">
        <v>311.02150137070043</v>
      </c>
      <c r="F484" s="163">
        <v>417.53016655363564</v>
      </c>
      <c r="G484" s="163">
        <v>524.03883173657084</v>
      </c>
      <c r="H484" s="163">
        <v>630.54749691950599</v>
      </c>
      <c r="I484" s="163" t="s">
        <v>5935</v>
      </c>
      <c r="J484" s="308"/>
      <c r="L484" s="37"/>
      <c r="M484" s="37"/>
      <c r="N484" s="37"/>
    </row>
    <row r="485" spans="1:14" hidden="1" outlineLevel="1" x14ac:dyDescent="0.3">
      <c r="A485" s="56" t="s">
        <v>6010</v>
      </c>
      <c r="B485" s="56" t="s">
        <v>894</v>
      </c>
      <c r="C485" s="56" t="s">
        <v>785</v>
      </c>
      <c r="D485" s="163">
        <v>304.9468626720539</v>
      </c>
      <c r="E485" s="163">
        <v>304.9468626720539</v>
      </c>
      <c r="F485" s="163">
        <v>333.29517659907089</v>
      </c>
      <c r="G485" s="163">
        <v>361.64349052608782</v>
      </c>
      <c r="H485" s="163">
        <v>389.99180445310481</v>
      </c>
      <c r="I485" s="163" t="s">
        <v>5936</v>
      </c>
      <c r="J485" s="308"/>
      <c r="L485" s="37"/>
      <c r="M485" s="37"/>
      <c r="N485" s="37"/>
    </row>
    <row r="486" spans="1:14" hidden="1" outlineLevel="1" x14ac:dyDescent="0.3">
      <c r="A486" s="56" t="s">
        <v>6010</v>
      </c>
      <c r="B486" s="56" t="s">
        <v>894</v>
      </c>
      <c r="C486" s="56" t="s">
        <v>787</v>
      </c>
      <c r="D486" s="163">
        <v>311.02150137070043</v>
      </c>
      <c r="E486" s="163">
        <v>311.02150137070043</v>
      </c>
      <c r="F486" s="163">
        <v>417.53016655363564</v>
      </c>
      <c r="G486" s="163">
        <v>524.03883173657084</v>
      </c>
      <c r="H486" s="163">
        <v>630.54749691950599</v>
      </c>
      <c r="I486" s="163" t="s">
        <v>5935</v>
      </c>
      <c r="J486" s="308"/>
      <c r="L486" s="37"/>
      <c r="M486" s="37"/>
      <c r="N486" s="37"/>
    </row>
    <row r="487" spans="1:14" hidden="1" outlineLevel="1" x14ac:dyDescent="0.3">
      <c r="A487" s="56" t="s">
        <v>6010</v>
      </c>
      <c r="B487" s="56" t="s">
        <v>894</v>
      </c>
      <c r="C487" s="56" t="s">
        <v>788</v>
      </c>
      <c r="D487" s="163">
        <v>304.9468626720539</v>
      </c>
      <c r="E487" s="163">
        <v>304.9468626720539</v>
      </c>
      <c r="F487" s="163">
        <v>333.29517659907089</v>
      </c>
      <c r="G487" s="163">
        <v>361.64349052608782</v>
      </c>
      <c r="H487" s="163">
        <v>389.99180445310481</v>
      </c>
      <c r="I487" s="163" t="s">
        <v>5936</v>
      </c>
      <c r="J487" s="308"/>
      <c r="L487" s="37"/>
      <c r="M487" s="37"/>
      <c r="N487" s="37"/>
    </row>
    <row r="488" spans="1:14" hidden="1" outlineLevel="1" x14ac:dyDescent="0.3">
      <c r="A488" s="56" t="s">
        <v>6010</v>
      </c>
      <c r="B488" s="56" t="s">
        <v>894</v>
      </c>
      <c r="C488" s="56" t="s">
        <v>789</v>
      </c>
      <c r="D488" s="163">
        <v>304.9468626720539</v>
      </c>
      <c r="E488" s="163">
        <v>304.9468626720539</v>
      </c>
      <c r="F488" s="163">
        <v>333.29517659907089</v>
      </c>
      <c r="G488" s="163">
        <v>361.64349052608782</v>
      </c>
      <c r="H488" s="163">
        <v>389.99180445310481</v>
      </c>
      <c r="I488" s="163" t="s">
        <v>5936</v>
      </c>
      <c r="J488" s="308"/>
      <c r="L488" s="37"/>
      <c r="M488" s="37"/>
      <c r="N488" s="37"/>
    </row>
    <row r="489" spans="1:14" hidden="1" outlineLevel="1" x14ac:dyDescent="0.3">
      <c r="A489" s="56" t="s">
        <v>6010</v>
      </c>
      <c r="B489" s="56" t="s">
        <v>894</v>
      </c>
      <c r="C489" s="56" t="s">
        <v>790</v>
      </c>
      <c r="D489" s="163">
        <v>311.02150137070043</v>
      </c>
      <c r="E489" s="163">
        <v>311.02150137070043</v>
      </c>
      <c r="F489" s="163">
        <v>417.53016655363564</v>
      </c>
      <c r="G489" s="163">
        <v>524.03883173657084</v>
      </c>
      <c r="H489" s="163">
        <v>630.54749691950599</v>
      </c>
      <c r="I489" s="163" t="s">
        <v>5935</v>
      </c>
      <c r="J489" s="308"/>
      <c r="L489" s="37"/>
      <c r="M489" s="37"/>
      <c r="N489" s="37"/>
    </row>
    <row r="490" spans="1:14" hidden="1" outlineLevel="1" x14ac:dyDescent="0.3">
      <c r="A490" s="56" t="s">
        <v>6010</v>
      </c>
      <c r="B490" s="56" t="s">
        <v>894</v>
      </c>
      <c r="C490" s="56" t="s">
        <v>793</v>
      </c>
      <c r="D490" s="163">
        <v>311.02150137070043</v>
      </c>
      <c r="E490" s="163">
        <v>311.02150137070043</v>
      </c>
      <c r="F490" s="163">
        <v>417.53016655363564</v>
      </c>
      <c r="G490" s="163">
        <v>524.03883173657084</v>
      </c>
      <c r="H490" s="163">
        <v>630.54749691950599</v>
      </c>
      <c r="I490" s="163" t="s">
        <v>5935</v>
      </c>
      <c r="J490" s="308"/>
      <c r="L490" s="37"/>
      <c r="M490" s="37"/>
      <c r="N490" s="37"/>
    </row>
    <row r="491" spans="1:14" hidden="1" outlineLevel="1" x14ac:dyDescent="0.3">
      <c r="A491" s="56" t="s">
        <v>6010</v>
      </c>
      <c r="B491" s="56" t="s">
        <v>894</v>
      </c>
      <c r="C491" s="56" t="s">
        <v>795</v>
      </c>
      <c r="D491" s="163">
        <v>304.9468626720539</v>
      </c>
      <c r="E491" s="163">
        <v>304.9468626720539</v>
      </c>
      <c r="F491" s="163">
        <v>333.29517659907089</v>
      </c>
      <c r="G491" s="163">
        <v>361.64349052608782</v>
      </c>
      <c r="H491" s="163">
        <v>389.99180445310481</v>
      </c>
      <c r="I491" s="163" t="s">
        <v>5936</v>
      </c>
      <c r="J491" s="308"/>
      <c r="L491" s="37"/>
      <c r="M491" s="37"/>
      <c r="N491" s="37"/>
    </row>
    <row r="492" spans="1:14" hidden="1" outlineLevel="1" x14ac:dyDescent="0.3">
      <c r="A492" s="56" t="s">
        <v>6010</v>
      </c>
      <c r="B492" s="56" t="s">
        <v>894</v>
      </c>
      <c r="C492" s="56" t="s">
        <v>797</v>
      </c>
      <c r="D492" s="163">
        <v>311.02150137070043</v>
      </c>
      <c r="E492" s="163">
        <v>311.02150137070043</v>
      </c>
      <c r="F492" s="163">
        <v>417.53016655363564</v>
      </c>
      <c r="G492" s="163">
        <v>524.03883173657084</v>
      </c>
      <c r="H492" s="163">
        <v>630.54749691950599</v>
      </c>
      <c r="I492" s="163" t="s">
        <v>5935</v>
      </c>
      <c r="J492" s="308"/>
      <c r="L492" s="37"/>
      <c r="M492" s="37"/>
      <c r="N492" s="37"/>
    </row>
    <row r="493" spans="1:14" hidden="1" outlineLevel="1" x14ac:dyDescent="0.3">
      <c r="A493" s="56" t="s">
        <v>6010</v>
      </c>
      <c r="B493" s="56" t="s">
        <v>915</v>
      </c>
      <c r="C493" s="56" t="s">
        <v>799</v>
      </c>
      <c r="D493" s="163">
        <v>311.02150137070043</v>
      </c>
      <c r="E493" s="163">
        <v>311.02150137070043</v>
      </c>
      <c r="F493" s="163">
        <v>417.53016655363564</v>
      </c>
      <c r="G493" s="163">
        <v>524.03883173657084</v>
      </c>
      <c r="H493" s="163">
        <v>630.54749691950599</v>
      </c>
      <c r="I493" s="163" t="s">
        <v>5935</v>
      </c>
      <c r="J493" s="308"/>
      <c r="L493" s="37"/>
      <c r="M493" s="37"/>
      <c r="N493" s="37"/>
    </row>
    <row r="494" spans="1:14" hidden="1" outlineLevel="1" x14ac:dyDescent="0.3">
      <c r="A494" s="56" t="s">
        <v>6010</v>
      </c>
      <c r="B494" s="56" t="s">
        <v>915</v>
      </c>
      <c r="C494" s="56" t="s">
        <v>801</v>
      </c>
      <c r="D494" s="163">
        <v>311.02150137070043</v>
      </c>
      <c r="E494" s="163">
        <v>311.02150137070043</v>
      </c>
      <c r="F494" s="163">
        <v>417.53016655363564</v>
      </c>
      <c r="G494" s="163">
        <v>524.03883173657084</v>
      </c>
      <c r="H494" s="163">
        <v>630.54749691950599</v>
      </c>
      <c r="I494" s="163" t="s">
        <v>5935</v>
      </c>
      <c r="J494" s="308"/>
      <c r="L494" s="37"/>
      <c r="M494" s="37"/>
      <c r="N494" s="37"/>
    </row>
    <row r="495" spans="1:14" hidden="1" outlineLevel="1" x14ac:dyDescent="0.3">
      <c r="A495" s="56" t="s">
        <v>6010</v>
      </c>
      <c r="B495" s="56" t="s">
        <v>915</v>
      </c>
      <c r="C495" s="56" t="s">
        <v>804</v>
      </c>
      <c r="D495" s="163">
        <v>311.02150137070043</v>
      </c>
      <c r="E495" s="163">
        <v>311.02150137070043</v>
      </c>
      <c r="F495" s="163">
        <v>417.53016655363564</v>
      </c>
      <c r="G495" s="163">
        <v>524.03883173657084</v>
      </c>
      <c r="H495" s="163">
        <v>630.54749691950599</v>
      </c>
      <c r="I495" s="163" t="s">
        <v>5935</v>
      </c>
      <c r="J495" s="308"/>
      <c r="L495" s="37"/>
      <c r="M495" s="37"/>
      <c r="N495" s="37"/>
    </row>
    <row r="496" spans="1:14" hidden="1" outlineLevel="1" x14ac:dyDescent="0.3">
      <c r="A496" s="56" t="s">
        <v>6010</v>
      </c>
      <c r="B496" s="56" t="s">
        <v>915</v>
      </c>
      <c r="C496" s="56" t="s">
        <v>806</v>
      </c>
      <c r="D496" s="163">
        <v>311.02150137070043</v>
      </c>
      <c r="E496" s="163">
        <v>311.02150137070043</v>
      </c>
      <c r="F496" s="163">
        <v>417.53016655363564</v>
      </c>
      <c r="G496" s="163">
        <v>524.03883173657084</v>
      </c>
      <c r="H496" s="163">
        <v>630.54749691950599</v>
      </c>
      <c r="I496" s="163" t="s">
        <v>5935</v>
      </c>
      <c r="J496" s="308"/>
      <c r="L496" s="37"/>
      <c r="M496" s="37"/>
      <c r="N496" s="37"/>
    </row>
    <row r="497" spans="1:14" hidden="1" outlineLevel="1" x14ac:dyDescent="0.3">
      <c r="A497" s="56" t="s">
        <v>6010</v>
      </c>
      <c r="B497" s="56" t="s">
        <v>915</v>
      </c>
      <c r="C497" s="56" t="s">
        <v>808</v>
      </c>
      <c r="D497" s="163">
        <v>311.02150137070043</v>
      </c>
      <c r="E497" s="163">
        <v>311.02150137070043</v>
      </c>
      <c r="F497" s="163">
        <v>417.53016655363564</v>
      </c>
      <c r="G497" s="163">
        <v>524.03883173657084</v>
      </c>
      <c r="H497" s="163">
        <v>630.54749691950599</v>
      </c>
      <c r="I497" s="163" t="s">
        <v>5935</v>
      </c>
      <c r="J497" s="308"/>
      <c r="L497" s="37"/>
      <c r="M497" s="37"/>
      <c r="N497" s="37"/>
    </row>
    <row r="498" spans="1:14" hidden="1" outlineLevel="1" x14ac:dyDescent="0.3">
      <c r="A498" s="56" t="s">
        <v>6010</v>
      </c>
      <c r="B498" s="56" t="s">
        <v>915</v>
      </c>
      <c r="C498" s="56" t="s">
        <v>811</v>
      </c>
      <c r="D498" s="163">
        <v>311.02150137070043</v>
      </c>
      <c r="E498" s="163">
        <v>311.02150137070043</v>
      </c>
      <c r="F498" s="163">
        <v>417.53016655363564</v>
      </c>
      <c r="G498" s="163">
        <v>524.03883173657084</v>
      </c>
      <c r="H498" s="163">
        <v>630.54749691950599</v>
      </c>
      <c r="I498" s="163" t="s">
        <v>5935</v>
      </c>
      <c r="J498" s="308"/>
      <c r="L498" s="37"/>
      <c r="M498" s="37"/>
      <c r="N498" s="37"/>
    </row>
    <row r="499" spans="1:14" hidden="1" outlineLevel="1" x14ac:dyDescent="0.3">
      <c r="A499" s="56" t="s">
        <v>6010</v>
      </c>
      <c r="B499" s="56" t="s">
        <v>934</v>
      </c>
      <c r="C499" s="56" t="s">
        <v>814</v>
      </c>
      <c r="D499" s="163">
        <v>311.02150137070043</v>
      </c>
      <c r="E499" s="163">
        <v>311.02150137070043</v>
      </c>
      <c r="F499" s="163">
        <v>417.53016655363564</v>
      </c>
      <c r="G499" s="163">
        <v>524.03883173657084</v>
      </c>
      <c r="H499" s="163">
        <v>630.54749691950599</v>
      </c>
      <c r="I499" s="163" t="s">
        <v>5935</v>
      </c>
      <c r="J499" s="308"/>
      <c r="L499" s="37"/>
      <c r="M499" s="37"/>
      <c r="N499" s="37"/>
    </row>
    <row r="500" spans="1:14" hidden="1" outlineLevel="1" x14ac:dyDescent="0.3">
      <c r="A500" s="56" t="s">
        <v>6010</v>
      </c>
      <c r="B500" s="56" t="s">
        <v>934</v>
      </c>
      <c r="C500" s="56" t="s">
        <v>815</v>
      </c>
      <c r="D500" s="163">
        <v>311.02150137070043</v>
      </c>
      <c r="E500" s="163">
        <v>311.02150137070043</v>
      </c>
      <c r="F500" s="163">
        <v>417.53016655363564</v>
      </c>
      <c r="G500" s="163">
        <v>524.03883173657084</v>
      </c>
      <c r="H500" s="163">
        <v>630.54749691950599</v>
      </c>
      <c r="I500" s="163" t="s">
        <v>5935</v>
      </c>
      <c r="J500" s="308"/>
      <c r="L500" s="37"/>
      <c r="M500" s="37"/>
      <c r="N500" s="37"/>
    </row>
    <row r="501" spans="1:14" hidden="1" outlineLevel="1" x14ac:dyDescent="0.3">
      <c r="A501" s="56" t="s">
        <v>6010</v>
      </c>
      <c r="B501" s="56" t="s">
        <v>940</v>
      </c>
      <c r="C501" s="56" t="s">
        <v>817</v>
      </c>
      <c r="D501" s="163">
        <v>311.02150137070043</v>
      </c>
      <c r="E501" s="163">
        <v>311.02150137070043</v>
      </c>
      <c r="F501" s="163">
        <v>417.53016655363564</v>
      </c>
      <c r="G501" s="163">
        <v>524.03883173657084</v>
      </c>
      <c r="H501" s="163">
        <v>630.54749691950599</v>
      </c>
      <c r="I501" s="163" t="s">
        <v>5935</v>
      </c>
      <c r="J501" s="308"/>
      <c r="L501" s="37"/>
      <c r="M501" s="37"/>
      <c r="N501" s="37"/>
    </row>
    <row r="502" spans="1:14" hidden="1" outlineLevel="1" x14ac:dyDescent="0.3">
      <c r="A502" s="56" t="s">
        <v>6010</v>
      </c>
      <c r="B502" s="56" t="s">
        <v>940</v>
      </c>
      <c r="C502" s="56" t="s">
        <v>944</v>
      </c>
      <c r="D502" s="163">
        <v>311.02150137070043</v>
      </c>
      <c r="E502" s="163">
        <v>311.02150137070043</v>
      </c>
      <c r="F502" s="163">
        <v>417.53016655363564</v>
      </c>
      <c r="G502" s="163">
        <v>524.03883173657084</v>
      </c>
      <c r="H502" s="163">
        <v>630.54749691950599</v>
      </c>
      <c r="I502" s="163" t="s">
        <v>5935</v>
      </c>
      <c r="J502" s="308"/>
      <c r="L502" s="37"/>
      <c r="M502" s="37"/>
      <c r="N502" s="37"/>
    </row>
    <row r="503" spans="1:14" hidden="1" outlineLevel="1" x14ac:dyDescent="0.3">
      <c r="A503" s="56" t="s">
        <v>6010</v>
      </c>
      <c r="B503" s="56" t="s">
        <v>940</v>
      </c>
      <c r="C503" s="56" t="s">
        <v>821</v>
      </c>
      <c r="D503" s="163">
        <v>311.02150137070043</v>
      </c>
      <c r="E503" s="163">
        <v>311.02150137070043</v>
      </c>
      <c r="F503" s="163">
        <v>417.53016655363564</v>
      </c>
      <c r="G503" s="163">
        <v>524.03883173657084</v>
      </c>
      <c r="H503" s="163">
        <v>630.54749691950599</v>
      </c>
      <c r="I503" s="163" t="s">
        <v>5935</v>
      </c>
      <c r="J503" s="308"/>
      <c r="L503" s="37"/>
      <c r="M503" s="37"/>
      <c r="N503" s="37"/>
    </row>
    <row r="504" spans="1:14" hidden="1" outlineLevel="1" x14ac:dyDescent="0.3">
      <c r="A504" s="56" t="s">
        <v>6010</v>
      </c>
      <c r="B504" s="56" t="s">
        <v>940</v>
      </c>
      <c r="C504" s="56" t="s">
        <v>823</v>
      </c>
      <c r="D504" s="163">
        <v>311.02150137070043</v>
      </c>
      <c r="E504" s="163">
        <v>311.02150137070043</v>
      </c>
      <c r="F504" s="163">
        <v>417.53016655363564</v>
      </c>
      <c r="G504" s="163">
        <v>524.03883173657084</v>
      </c>
      <c r="H504" s="163">
        <v>630.54749691950599</v>
      </c>
      <c r="I504" s="163" t="s">
        <v>5935</v>
      </c>
      <c r="J504" s="308"/>
      <c r="L504" s="37"/>
      <c r="M504" s="37"/>
      <c r="N504" s="37"/>
    </row>
    <row r="505" spans="1:14" hidden="1" outlineLevel="1" x14ac:dyDescent="0.3">
      <c r="A505" s="56" t="s">
        <v>6010</v>
      </c>
      <c r="B505" s="56" t="s">
        <v>940</v>
      </c>
      <c r="C505" s="56" t="s">
        <v>825</v>
      </c>
      <c r="D505" s="163">
        <v>311.02150137070043</v>
      </c>
      <c r="E505" s="163">
        <v>311.02150137070043</v>
      </c>
      <c r="F505" s="163">
        <v>417.53016655363564</v>
      </c>
      <c r="G505" s="163">
        <v>524.03883173657084</v>
      </c>
      <c r="H505" s="163">
        <v>630.54749691950599</v>
      </c>
      <c r="I505" s="163" t="s">
        <v>5935</v>
      </c>
      <c r="J505" s="308"/>
      <c r="L505" s="37"/>
      <c r="M505" s="37"/>
      <c r="N505" s="37"/>
    </row>
    <row r="506" spans="1:14" hidden="1" outlineLevel="1" x14ac:dyDescent="0.3">
      <c r="A506" s="56" t="s">
        <v>6010</v>
      </c>
      <c r="B506" s="56" t="s">
        <v>940</v>
      </c>
      <c r="C506" s="56" t="s">
        <v>827</v>
      </c>
      <c r="D506" s="163">
        <v>311.02150137070043</v>
      </c>
      <c r="E506" s="163">
        <v>311.02150137070043</v>
      </c>
      <c r="F506" s="163">
        <v>417.53016655363564</v>
      </c>
      <c r="G506" s="163">
        <v>524.03883173657084</v>
      </c>
      <c r="H506" s="163">
        <v>630.54749691950599</v>
      </c>
      <c r="I506" s="163" t="s">
        <v>5935</v>
      </c>
      <c r="J506" s="308"/>
      <c r="L506" s="37"/>
      <c r="M506" s="37"/>
      <c r="N506" s="37"/>
    </row>
    <row r="507" spans="1:14" hidden="1" outlineLevel="1" x14ac:dyDescent="0.3">
      <c r="A507" s="56" t="s">
        <v>6010</v>
      </c>
      <c r="B507" s="56" t="s">
        <v>940</v>
      </c>
      <c r="C507" s="56" t="s">
        <v>829</v>
      </c>
      <c r="D507" s="163">
        <v>311.02150137070043</v>
      </c>
      <c r="E507" s="163">
        <v>311.02150137070043</v>
      </c>
      <c r="F507" s="163">
        <v>417.53016655363564</v>
      </c>
      <c r="G507" s="163">
        <v>524.03883173657084</v>
      </c>
      <c r="H507" s="163">
        <v>630.54749691950599</v>
      </c>
      <c r="I507" s="163" t="s">
        <v>5935</v>
      </c>
      <c r="J507" s="308"/>
      <c r="L507" s="37"/>
      <c r="M507" s="37"/>
      <c r="N507" s="37"/>
    </row>
    <row r="508" spans="1:14" hidden="1" outlineLevel="1" x14ac:dyDescent="0.3">
      <c r="A508" s="56" t="s">
        <v>6010</v>
      </c>
      <c r="B508" s="56" t="s">
        <v>940</v>
      </c>
      <c r="C508" s="56" t="s">
        <v>833</v>
      </c>
      <c r="D508" s="163">
        <v>311.02150137070043</v>
      </c>
      <c r="E508" s="163">
        <v>311.02150137070043</v>
      </c>
      <c r="F508" s="163">
        <v>417.53016655363564</v>
      </c>
      <c r="G508" s="163">
        <v>524.03883173657084</v>
      </c>
      <c r="H508" s="163">
        <v>630.54749691950599</v>
      </c>
      <c r="I508" s="163" t="s">
        <v>5935</v>
      </c>
      <c r="J508" s="308"/>
      <c r="L508" s="37"/>
      <c r="M508" s="37"/>
      <c r="N508" s="37"/>
    </row>
    <row r="509" spans="1:14" hidden="1" outlineLevel="1" x14ac:dyDescent="0.3">
      <c r="A509" s="56" t="s">
        <v>6010</v>
      </c>
      <c r="B509" s="56" t="s">
        <v>940</v>
      </c>
      <c r="C509" s="56" t="s">
        <v>836</v>
      </c>
      <c r="D509" s="163">
        <v>311.02150137070043</v>
      </c>
      <c r="E509" s="163">
        <v>311.02150137070043</v>
      </c>
      <c r="F509" s="163">
        <v>417.53016655363564</v>
      </c>
      <c r="G509" s="163">
        <v>524.03883173657084</v>
      </c>
      <c r="H509" s="163">
        <v>630.54749691950599</v>
      </c>
      <c r="I509" s="163" t="s">
        <v>5935</v>
      </c>
      <c r="J509" s="308"/>
      <c r="L509" s="37"/>
      <c r="M509" s="37"/>
      <c r="N509" s="37"/>
    </row>
    <row r="510" spans="1:14" hidden="1" outlineLevel="1" x14ac:dyDescent="0.3">
      <c r="A510" s="56" t="s">
        <v>6010</v>
      </c>
      <c r="B510" s="56" t="s">
        <v>940</v>
      </c>
      <c r="C510" s="56" t="s">
        <v>837</v>
      </c>
      <c r="D510" s="163">
        <v>311.02150137070043</v>
      </c>
      <c r="E510" s="163">
        <v>311.02150137070043</v>
      </c>
      <c r="F510" s="163">
        <v>417.53016655363564</v>
      </c>
      <c r="G510" s="163">
        <v>524.03883173657084</v>
      </c>
      <c r="H510" s="163">
        <v>630.54749691950599</v>
      </c>
      <c r="I510" s="163" t="s">
        <v>5935</v>
      </c>
      <c r="J510" s="308"/>
      <c r="L510" s="37"/>
      <c r="M510" s="37"/>
      <c r="N510" s="37"/>
    </row>
    <row r="511" spans="1:14" hidden="1" outlineLevel="1" x14ac:dyDescent="0.3">
      <c r="A511" s="56" t="s">
        <v>6010</v>
      </c>
      <c r="B511" s="56" t="s">
        <v>940</v>
      </c>
      <c r="C511" s="56" t="s">
        <v>839</v>
      </c>
      <c r="D511" s="163">
        <v>311.02150137070043</v>
      </c>
      <c r="E511" s="163">
        <v>311.02150137070043</v>
      </c>
      <c r="F511" s="163">
        <v>417.53016655363564</v>
      </c>
      <c r="G511" s="163">
        <v>524.03883173657084</v>
      </c>
      <c r="H511" s="163">
        <v>630.54749691950599</v>
      </c>
      <c r="I511" s="163" t="s">
        <v>5935</v>
      </c>
      <c r="J511" s="308"/>
      <c r="L511" s="37"/>
      <c r="M511" s="37"/>
      <c r="N511" s="37"/>
    </row>
    <row r="512" spans="1:14" hidden="1" outlineLevel="1" x14ac:dyDescent="0.3">
      <c r="A512" s="56" t="s">
        <v>6010</v>
      </c>
      <c r="B512" s="56" t="s">
        <v>940</v>
      </c>
      <c r="C512" s="56" t="s">
        <v>840</v>
      </c>
      <c r="D512" s="163">
        <v>311.02150137070043</v>
      </c>
      <c r="E512" s="163">
        <v>311.02150137070043</v>
      </c>
      <c r="F512" s="163">
        <v>417.53016655363564</v>
      </c>
      <c r="G512" s="163">
        <v>524.03883173657084</v>
      </c>
      <c r="H512" s="163">
        <v>630.54749691950599</v>
      </c>
      <c r="I512" s="163" t="s">
        <v>5935</v>
      </c>
      <c r="J512" s="308"/>
      <c r="L512" s="37"/>
      <c r="M512" s="37"/>
      <c r="N512" s="37"/>
    </row>
    <row r="513" spans="1:14" collapsed="1" x14ac:dyDescent="0.3">
      <c r="A513" s="56"/>
      <c r="B513" s="56"/>
      <c r="C513" s="56"/>
      <c r="D513" s="163"/>
      <c r="E513" s="163"/>
      <c r="F513" s="56"/>
      <c r="G513" s="56"/>
      <c r="H513" s="56"/>
      <c r="I513" s="163"/>
      <c r="J513" s="308"/>
      <c r="L513" s="37"/>
      <c r="M513" s="37"/>
      <c r="N513" s="37"/>
    </row>
    <row r="514" spans="1:14" x14ac:dyDescent="0.3">
      <c r="A514" s="143" t="s">
        <v>6011</v>
      </c>
      <c r="B514" s="56"/>
      <c r="C514" s="144" t="s">
        <v>4032</v>
      </c>
      <c r="D514" s="252">
        <v>319.17887333745426</v>
      </c>
      <c r="E514" s="252">
        <v>319.17887333745426</v>
      </c>
      <c r="F514" s="252">
        <v>417.01912552025766</v>
      </c>
      <c r="G514" s="252">
        <v>514.85937770306032</v>
      </c>
      <c r="H514" s="252">
        <v>612.69962988586326</v>
      </c>
      <c r="I514" s="163"/>
      <c r="J514" s="308"/>
      <c r="L514" s="37"/>
      <c r="M514" s="37"/>
      <c r="N514" s="37"/>
    </row>
    <row r="515" spans="1:14" x14ac:dyDescent="0.3">
      <c r="A515" s="131" t="s">
        <v>5</v>
      </c>
      <c r="B515" s="131" t="s">
        <v>847</v>
      </c>
      <c r="C515" s="131" t="s">
        <v>193</v>
      </c>
      <c r="D515" s="131">
        <v>2025</v>
      </c>
      <c r="E515" s="131">
        <v>2030</v>
      </c>
      <c r="F515" s="131">
        <v>2035</v>
      </c>
      <c r="G515" s="131">
        <v>2040</v>
      </c>
      <c r="H515" s="131">
        <v>2045</v>
      </c>
      <c r="I515" s="131" t="s">
        <v>153</v>
      </c>
      <c r="J515" s="308"/>
    </row>
    <row r="516" spans="1:14" hidden="1" outlineLevel="1" x14ac:dyDescent="0.3">
      <c r="A516" s="56" t="s">
        <v>6011</v>
      </c>
      <c r="B516" s="56" t="s">
        <v>855</v>
      </c>
      <c r="C516" s="56" t="s">
        <v>747</v>
      </c>
      <c r="D516" s="163">
        <v>309.80657363097112</v>
      </c>
      <c r="E516" s="163">
        <v>309.80657363097112</v>
      </c>
      <c r="F516" s="163">
        <v>313.45135685015902</v>
      </c>
      <c r="G516" s="163">
        <v>317.09614006934692</v>
      </c>
      <c r="H516" s="163">
        <v>320.74092328853482</v>
      </c>
      <c r="I516" s="163" t="s">
        <v>5934</v>
      </c>
      <c r="J516" s="308"/>
    </row>
    <row r="517" spans="1:14" hidden="1" outlineLevel="1" x14ac:dyDescent="0.3">
      <c r="A517" s="56" t="s">
        <v>6011</v>
      </c>
      <c r="B517" s="56" t="s">
        <v>855</v>
      </c>
      <c r="C517" s="56" t="s">
        <v>751</v>
      </c>
      <c r="D517" s="163">
        <v>309.80657363097112</v>
      </c>
      <c r="E517" s="163">
        <v>309.80657363097112</v>
      </c>
      <c r="F517" s="163">
        <v>313.45135685015902</v>
      </c>
      <c r="G517" s="163">
        <v>317.09614006934692</v>
      </c>
      <c r="H517" s="163">
        <v>320.74092328853482</v>
      </c>
      <c r="I517" s="163" t="s">
        <v>5934</v>
      </c>
      <c r="J517" s="308"/>
    </row>
    <row r="518" spans="1:14" hidden="1" outlineLevel="1" x14ac:dyDescent="0.3">
      <c r="A518" s="56" t="s">
        <v>6011</v>
      </c>
      <c r="B518" s="56" t="s">
        <v>855</v>
      </c>
      <c r="C518" s="56" t="s">
        <v>755</v>
      </c>
      <c r="D518" s="163">
        <v>309.80657363097112</v>
      </c>
      <c r="E518" s="163">
        <v>309.80657363097112</v>
      </c>
      <c r="F518" s="163">
        <v>313.45135685015902</v>
      </c>
      <c r="G518" s="163">
        <v>317.09614006934692</v>
      </c>
      <c r="H518" s="163">
        <v>320.74092328853482</v>
      </c>
      <c r="I518" s="163" t="s">
        <v>5934</v>
      </c>
      <c r="J518" s="308"/>
    </row>
    <row r="519" spans="1:14" hidden="1" outlineLevel="1" x14ac:dyDescent="0.3">
      <c r="A519" s="56" t="s">
        <v>6011</v>
      </c>
      <c r="B519" s="56" t="s">
        <v>855</v>
      </c>
      <c r="C519" s="56" t="s">
        <v>758</v>
      </c>
      <c r="D519" s="163">
        <v>309.80657363097112</v>
      </c>
      <c r="E519" s="163">
        <v>309.80657363097112</v>
      </c>
      <c r="F519" s="163">
        <v>313.45135685015902</v>
      </c>
      <c r="G519" s="163">
        <v>317.09614006934692</v>
      </c>
      <c r="H519" s="163">
        <v>320.74092328853482</v>
      </c>
      <c r="I519" s="163" t="s">
        <v>5934</v>
      </c>
      <c r="J519" s="308"/>
      <c r="L519" s="37"/>
      <c r="M519" s="37"/>
      <c r="N519" s="37"/>
    </row>
    <row r="520" spans="1:14" hidden="1" outlineLevel="1" x14ac:dyDescent="0.3">
      <c r="A520" s="56" t="s">
        <v>6011</v>
      </c>
      <c r="B520" s="56" t="s">
        <v>855</v>
      </c>
      <c r="C520" s="56" t="s">
        <v>761</v>
      </c>
      <c r="D520" s="163">
        <v>309.80657363097112</v>
      </c>
      <c r="E520" s="163">
        <v>309.80657363097112</v>
      </c>
      <c r="F520" s="163">
        <v>313.45135685015902</v>
      </c>
      <c r="G520" s="163">
        <v>317.09614006934692</v>
      </c>
      <c r="H520" s="163">
        <v>320.74092328853482</v>
      </c>
      <c r="I520" s="163" t="s">
        <v>5934</v>
      </c>
      <c r="J520" s="308"/>
      <c r="L520" s="37"/>
      <c r="M520" s="37"/>
      <c r="N520" s="37"/>
    </row>
    <row r="521" spans="1:14" hidden="1" outlineLevel="1" x14ac:dyDescent="0.3">
      <c r="A521" s="56" t="s">
        <v>6011</v>
      </c>
      <c r="B521" s="56" t="s">
        <v>855</v>
      </c>
      <c r="C521" s="56" t="s">
        <v>763</v>
      </c>
      <c r="D521" s="163">
        <v>309.80657363097112</v>
      </c>
      <c r="E521" s="163">
        <v>309.80657363097112</v>
      </c>
      <c r="F521" s="163">
        <v>313.45135685015902</v>
      </c>
      <c r="G521" s="163">
        <v>317.09614006934692</v>
      </c>
      <c r="H521" s="163">
        <v>320.74092328853482</v>
      </c>
      <c r="I521" s="163" t="s">
        <v>5934</v>
      </c>
      <c r="J521" s="308"/>
      <c r="L521" s="37"/>
      <c r="M521" s="37"/>
      <c r="N521" s="37"/>
    </row>
    <row r="522" spans="1:14" hidden="1" outlineLevel="1" x14ac:dyDescent="0.3">
      <c r="A522" s="56" t="s">
        <v>6011</v>
      </c>
      <c r="B522" s="56" t="s">
        <v>855</v>
      </c>
      <c r="C522" s="56" t="s">
        <v>765</v>
      </c>
      <c r="D522" s="163">
        <v>309.80657363097112</v>
      </c>
      <c r="E522" s="163">
        <v>309.80657363097112</v>
      </c>
      <c r="F522" s="163">
        <v>313.45135685015902</v>
      </c>
      <c r="G522" s="163">
        <v>317.09614006934692</v>
      </c>
      <c r="H522" s="163">
        <v>320.74092328853482</v>
      </c>
      <c r="I522" s="163" t="s">
        <v>5934</v>
      </c>
      <c r="J522" s="308"/>
      <c r="L522" s="37"/>
      <c r="M522" s="37"/>
      <c r="N522" s="37"/>
    </row>
    <row r="523" spans="1:14" hidden="1" outlineLevel="1" x14ac:dyDescent="0.3">
      <c r="A523" s="56" t="s">
        <v>6011</v>
      </c>
      <c r="B523" s="56" t="s">
        <v>855</v>
      </c>
      <c r="C523" s="56" t="s">
        <v>768</v>
      </c>
      <c r="D523" s="163">
        <v>309.80657363097112</v>
      </c>
      <c r="E523" s="163">
        <v>309.80657363097112</v>
      </c>
      <c r="F523" s="163">
        <v>313.45135685015902</v>
      </c>
      <c r="G523" s="163">
        <v>317.09614006934692</v>
      </c>
      <c r="H523" s="163">
        <v>320.74092328853482</v>
      </c>
      <c r="I523" s="163" t="s">
        <v>5934</v>
      </c>
      <c r="J523" s="308"/>
      <c r="L523" s="37"/>
      <c r="M523" s="37"/>
      <c r="N523" s="37"/>
    </row>
    <row r="524" spans="1:14" hidden="1" outlineLevel="1" x14ac:dyDescent="0.3">
      <c r="A524" s="56" t="s">
        <v>6011</v>
      </c>
      <c r="B524" s="56" t="s">
        <v>855</v>
      </c>
      <c r="C524" s="56" t="s">
        <v>771</v>
      </c>
      <c r="D524" s="163">
        <v>309.80657363097112</v>
      </c>
      <c r="E524" s="163">
        <v>309.80657363097112</v>
      </c>
      <c r="F524" s="163">
        <v>313.45135685015902</v>
      </c>
      <c r="G524" s="163">
        <v>317.09614006934692</v>
      </c>
      <c r="H524" s="163">
        <v>320.74092328853482</v>
      </c>
      <c r="I524" s="163" t="s">
        <v>5934</v>
      </c>
      <c r="J524" s="308"/>
      <c r="L524" s="37"/>
      <c r="M524" s="37"/>
      <c r="N524" s="37"/>
    </row>
    <row r="525" spans="1:14" hidden="1" outlineLevel="1" x14ac:dyDescent="0.3">
      <c r="A525" s="56" t="s">
        <v>6011</v>
      </c>
      <c r="B525" s="56" t="s">
        <v>855</v>
      </c>
      <c r="C525" s="56" t="s">
        <v>772</v>
      </c>
      <c r="D525" s="163">
        <v>309.80657363097112</v>
      </c>
      <c r="E525" s="163">
        <v>309.80657363097112</v>
      </c>
      <c r="F525" s="163">
        <v>313.45135685015902</v>
      </c>
      <c r="G525" s="163">
        <v>317.09614006934692</v>
      </c>
      <c r="H525" s="163">
        <v>320.74092328853482</v>
      </c>
      <c r="I525" s="163" t="s">
        <v>5934</v>
      </c>
      <c r="J525" s="308"/>
      <c r="L525" s="37"/>
      <c r="M525" s="37"/>
      <c r="N525" s="37"/>
    </row>
    <row r="526" spans="1:14" hidden="1" outlineLevel="1" x14ac:dyDescent="0.3">
      <c r="A526" s="56" t="s">
        <v>6011</v>
      </c>
      <c r="B526" s="56" t="s">
        <v>855</v>
      </c>
      <c r="C526" s="56" t="s">
        <v>774</v>
      </c>
      <c r="D526" s="163">
        <v>309.80657363097112</v>
      </c>
      <c r="E526" s="163">
        <v>309.80657363097112</v>
      </c>
      <c r="F526" s="163">
        <v>313.45135685015902</v>
      </c>
      <c r="G526" s="163">
        <v>317.09614006934692</v>
      </c>
      <c r="H526" s="163">
        <v>320.74092328853482</v>
      </c>
      <c r="I526" s="163" t="s">
        <v>5934</v>
      </c>
      <c r="J526" s="308"/>
      <c r="L526" s="37"/>
      <c r="M526" s="37"/>
      <c r="N526" s="37"/>
    </row>
    <row r="527" spans="1:14" hidden="1" outlineLevel="1" x14ac:dyDescent="0.3">
      <c r="A527" s="56" t="s">
        <v>6011</v>
      </c>
      <c r="B527" s="56" t="s">
        <v>855</v>
      </c>
      <c r="C527" s="56" t="s">
        <v>775</v>
      </c>
      <c r="D527" s="163">
        <v>309.80657363097112</v>
      </c>
      <c r="E527" s="163">
        <v>309.80657363097112</v>
      </c>
      <c r="F527" s="163">
        <v>313.45135685015902</v>
      </c>
      <c r="G527" s="163">
        <v>317.09614006934692</v>
      </c>
      <c r="H527" s="163">
        <v>320.74092328853482</v>
      </c>
      <c r="I527" s="163" t="s">
        <v>5934</v>
      </c>
      <c r="J527" s="308"/>
      <c r="L527" s="37"/>
      <c r="M527" s="37"/>
      <c r="N527" s="37"/>
    </row>
    <row r="528" spans="1:14" hidden="1" outlineLevel="1" x14ac:dyDescent="0.3">
      <c r="A528" s="56" t="s">
        <v>6011</v>
      </c>
      <c r="B528" s="56" t="s">
        <v>855</v>
      </c>
      <c r="C528" s="56" t="s">
        <v>779</v>
      </c>
      <c r="D528" s="163">
        <v>309.80657363097112</v>
      </c>
      <c r="E528" s="163">
        <v>309.80657363097112</v>
      </c>
      <c r="F528" s="163">
        <v>313.45135685015902</v>
      </c>
      <c r="G528" s="163">
        <v>317.09614006934692</v>
      </c>
      <c r="H528" s="163">
        <v>320.74092328853482</v>
      </c>
      <c r="I528" s="163" t="s">
        <v>5934</v>
      </c>
      <c r="J528" s="308"/>
      <c r="L528" s="37"/>
      <c r="M528" s="37"/>
      <c r="N528" s="37"/>
    </row>
    <row r="529" spans="1:14" hidden="1" outlineLevel="1" x14ac:dyDescent="0.3">
      <c r="A529" s="56" t="s">
        <v>6011</v>
      </c>
      <c r="B529" s="56" t="s">
        <v>894</v>
      </c>
      <c r="C529" s="56" t="s">
        <v>781</v>
      </c>
      <c r="D529" s="163">
        <v>324.38570650772272</v>
      </c>
      <c r="E529" s="163">
        <v>324.38570650772272</v>
      </c>
      <c r="F529" s="163">
        <v>472.60689075469713</v>
      </c>
      <c r="G529" s="163">
        <v>620.82807500167155</v>
      </c>
      <c r="H529" s="163">
        <v>769.04925924864597</v>
      </c>
      <c r="I529" s="163" t="s">
        <v>5935</v>
      </c>
      <c r="J529" s="308"/>
      <c r="L529" s="37"/>
      <c r="M529" s="37"/>
      <c r="N529" s="37"/>
    </row>
    <row r="530" spans="1:14" hidden="1" outlineLevel="1" x14ac:dyDescent="0.3">
      <c r="A530" s="56" t="s">
        <v>6011</v>
      </c>
      <c r="B530" s="56" t="s">
        <v>894</v>
      </c>
      <c r="C530" s="56" t="s">
        <v>783</v>
      </c>
      <c r="D530" s="163">
        <v>324.38570650772272</v>
      </c>
      <c r="E530" s="163">
        <v>324.38570650772272</v>
      </c>
      <c r="F530" s="163">
        <v>472.60689075469713</v>
      </c>
      <c r="G530" s="163">
        <v>620.82807500167155</v>
      </c>
      <c r="H530" s="163">
        <v>769.04925924864597</v>
      </c>
      <c r="I530" s="163" t="s">
        <v>5935</v>
      </c>
      <c r="J530" s="308"/>
      <c r="L530" s="37"/>
      <c r="M530" s="37"/>
      <c r="N530" s="37"/>
    </row>
    <row r="531" spans="1:14" hidden="1" outlineLevel="1" x14ac:dyDescent="0.3">
      <c r="A531" s="56" t="s">
        <v>6011</v>
      </c>
      <c r="B531" s="56" t="s">
        <v>894</v>
      </c>
      <c r="C531" s="56" t="s">
        <v>785</v>
      </c>
      <c r="D531" s="163">
        <v>317.09614006934692</v>
      </c>
      <c r="E531" s="163">
        <v>317.09614006934692</v>
      </c>
      <c r="F531" s="163">
        <v>406.19084098282883</v>
      </c>
      <c r="G531" s="163">
        <v>495.28554189631075</v>
      </c>
      <c r="H531" s="163">
        <v>584.38024280979266</v>
      </c>
      <c r="I531" s="163" t="s">
        <v>5936</v>
      </c>
      <c r="J531" s="308"/>
      <c r="L531" s="37"/>
      <c r="M531" s="37"/>
      <c r="N531" s="37"/>
    </row>
    <row r="532" spans="1:14" hidden="1" outlineLevel="1" x14ac:dyDescent="0.3">
      <c r="A532" s="56" t="s">
        <v>6011</v>
      </c>
      <c r="B532" s="56" t="s">
        <v>894</v>
      </c>
      <c r="C532" s="56" t="s">
        <v>787</v>
      </c>
      <c r="D532" s="163">
        <v>324.38570650772272</v>
      </c>
      <c r="E532" s="163">
        <v>324.38570650772272</v>
      </c>
      <c r="F532" s="163">
        <v>472.60689075469713</v>
      </c>
      <c r="G532" s="163">
        <v>620.82807500167155</v>
      </c>
      <c r="H532" s="163">
        <v>769.04925924864597</v>
      </c>
      <c r="I532" s="163" t="s">
        <v>5935</v>
      </c>
      <c r="J532" s="308"/>
      <c r="L532" s="37"/>
      <c r="M532" s="37"/>
      <c r="N532" s="37"/>
    </row>
    <row r="533" spans="1:14" hidden="1" outlineLevel="1" x14ac:dyDescent="0.3">
      <c r="A533" s="56" t="s">
        <v>6011</v>
      </c>
      <c r="B533" s="56" t="s">
        <v>894</v>
      </c>
      <c r="C533" s="56" t="s">
        <v>788</v>
      </c>
      <c r="D533" s="163">
        <v>317.09614006934692</v>
      </c>
      <c r="E533" s="163">
        <v>317.09614006934692</v>
      </c>
      <c r="F533" s="163">
        <v>406.19084098282883</v>
      </c>
      <c r="G533" s="163">
        <v>495.28554189631075</v>
      </c>
      <c r="H533" s="163">
        <v>584.38024280979266</v>
      </c>
      <c r="I533" s="163" t="s">
        <v>5936</v>
      </c>
      <c r="J533" s="308"/>
      <c r="L533" s="37"/>
      <c r="M533" s="37"/>
      <c r="N533" s="37"/>
    </row>
    <row r="534" spans="1:14" hidden="1" outlineLevel="1" x14ac:dyDescent="0.3">
      <c r="A534" s="56" t="s">
        <v>6011</v>
      </c>
      <c r="B534" s="56" t="s">
        <v>894</v>
      </c>
      <c r="C534" s="56" t="s">
        <v>789</v>
      </c>
      <c r="D534" s="163">
        <v>317.09614006934692</v>
      </c>
      <c r="E534" s="163">
        <v>317.09614006934692</v>
      </c>
      <c r="F534" s="163">
        <v>406.19084098282883</v>
      </c>
      <c r="G534" s="163">
        <v>495.28554189631075</v>
      </c>
      <c r="H534" s="163">
        <v>584.38024280979266</v>
      </c>
      <c r="I534" s="163" t="s">
        <v>5936</v>
      </c>
      <c r="J534" s="308"/>
      <c r="L534" s="37"/>
      <c r="M534" s="37"/>
      <c r="N534" s="37"/>
    </row>
    <row r="535" spans="1:14" hidden="1" outlineLevel="1" x14ac:dyDescent="0.3">
      <c r="A535" s="56" t="s">
        <v>6011</v>
      </c>
      <c r="B535" s="56" t="s">
        <v>894</v>
      </c>
      <c r="C535" s="56" t="s">
        <v>790</v>
      </c>
      <c r="D535" s="163">
        <v>324.38570650772272</v>
      </c>
      <c r="E535" s="163">
        <v>324.38570650772272</v>
      </c>
      <c r="F535" s="163">
        <v>472.60689075469713</v>
      </c>
      <c r="G535" s="163">
        <v>620.82807500167155</v>
      </c>
      <c r="H535" s="163">
        <v>769.04925924864597</v>
      </c>
      <c r="I535" s="163" t="s">
        <v>5935</v>
      </c>
      <c r="J535" s="308"/>
      <c r="L535" s="37"/>
      <c r="M535" s="37"/>
      <c r="N535" s="37"/>
    </row>
    <row r="536" spans="1:14" hidden="1" outlineLevel="1" x14ac:dyDescent="0.3">
      <c r="A536" s="56" t="s">
        <v>6011</v>
      </c>
      <c r="B536" s="56" t="s">
        <v>894</v>
      </c>
      <c r="C536" s="56" t="s">
        <v>793</v>
      </c>
      <c r="D536" s="163">
        <v>324.38570650772272</v>
      </c>
      <c r="E536" s="163">
        <v>324.38570650772272</v>
      </c>
      <c r="F536" s="163">
        <v>472.60689075469713</v>
      </c>
      <c r="G536" s="163">
        <v>620.82807500167155</v>
      </c>
      <c r="H536" s="163">
        <v>769.04925924864597</v>
      </c>
      <c r="I536" s="163" t="s">
        <v>5935</v>
      </c>
      <c r="J536" s="308"/>
      <c r="L536" s="37"/>
      <c r="M536" s="37"/>
      <c r="N536" s="37"/>
    </row>
    <row r="537" spans="1:14" hidden="1" outlineLevel="1" x14ac:dyDescent="0.3">
      <c r="A537" s="56" t="s">
        <v>6011</v>
      </c>
      <c r="B537" s="56" t="s">
        <v>894</v>
      </c>
      <c r="C537" s="56" t="s">
        <v>795</v>
      </c>
      <c r="D537" s="163">
        <v>317.09614006934692</v>
      </c>
      <c r="E537" s="163">
        <v>317.09614006934692</v>
      </c>
      <c r="F537" s="163">
        <v>406.19084098282883</v>
      </c>
      <c r="G537" s="163">
        <v>495.28554189631075</v>
      </c>
      <c r="H537" s="163">
        <v>584.38024280979266</v>
      </c>
      <c r="I537" s="163" t="s">
        <v>5936</v>
      </c>
      <c r="J537" s="308"/>
      <c r="L537" s="37"/>
      <c r="M537" s="37"/>
      <c r="N537" s="37"/>
    </row>
    <row r="538" spans="1:14" hidden="1" outlineLevel="1" x14ac:dyDescent="0.3">
      <c r="A538" s="56" t="s">
        <v>6011</v>
      </c>
      <c r="B538" s="56" t="s">
        <v>894</v>
      </c>
      <c r="C538" s="56" t="s">
        <v>797</v>
      </c>
      <c r="D538" s="163">
        <v>324.38570650772272</v>
      </c>
      <c r="E538" s="163">
        <v>324.38570650772272</v>
      </c>
      <c r="F538" s="163">
        <v>472.60689075469713</v>
      </c>
      <c r="G538" s="163">
        <v>620.82807500167155</v>
      </c>
      <c r="H538" s="163">
        <v>769.04925924864597</v>
      </c>
      <c r="I538" s="163" t="s">
        <v>5935</v>
      </c>
      <c r="J538" s="308"/>
      <c r="L538" s="37"/>
      <c r="M538" s="37"/>
      <c r="N538" s="37"/>
    </row>
    <row r="539" spans="1:14" hidden="1" outlineLevel="1" x14ac:dyDescent="0.3">
      <c r="A539" s="56" t="s">
        <v>6011</v>
      </c>
      <c r="B539" s="56" t="s">
        <v>915</v>
      </c>
      <c r="C539" s="56" t="s">
        <v>799</v>
      </c>
      <c r="D539" s="163">
        <v>324.38570650772272</v>
      </c>
      <c r="E539" s="163">
        <v>324.38570650772272</v>
      </c>
      <c r="F539" s="163">
        <v>472.60689075469713</v>
      </c>
      <c r="G539" s="163">
        <v>620.82807500167155</v>
      </c>
      <c r="H539" s="163">
        <v>769.04925924864597</v>
      </c>
      <c r="I539" s="163" t="s">
        <v>5935</v>
      </c>
      <c r="J539" s="308"/>
      <c r="L539" s="37"/>
      <c r="M539" s="37"/>
      <c r="N539" s="37"/>
    </row>
    <row r="540" spans="1:14" hidden="1" outlineLevel="1" x14ac:dyDescent="0.3">
      <c r="A540" s="56" t="s">
        <v>6011</v>
      </c>
      <c r="B540" s="56" t="s">
        <v>915</v>
      </c>
      <c r="C540" s="56" t="s">
        <v>801</v>
      </c>
      <c r="D540" s="163">
        <v>324.38570650772272</v>
      </c>
      <c r="E540" s="163">
        <v>324.38570650772272</v>
      </c>
      <c r="F540" s="163">
        <v>472.60689075469713</v>
      </c>
      <c r="G540" s="163">
        <v>620.82807500167155</v>
      </c>
      <c r="H540" s="163">
        <v>769.04925924864597</v>
      </c>
      <c r="I540" s="163" t="s">
        <v>5935</v>
      </c>
      <c r="J540" s="308"/>
      <c r="L540" s="37"/>
      <c r="M540" s="37"/>
      <c r="N540" s="37"/>
    </row>
    <row r="541" spans="1:14" hidden="1" outlineLevel="1" x14ac:dyDescent="0.3">
      <c r="A541" s="56" t="s">
        <v>6011</v>
      </c>
      <c r="B541" s="56" t="s">
        <v>915</v>
      </c>
      <c r="C541" s="56" t="s">
        <v>804</v>
      </c>
      <c r="D541" s="163">
        <v>324.38570650772272</v>
      </c>
      <c r="E541" s="163">
        <v>324.38570650772272</v>
      </c>
      <c r="F541" s="163">
        <v>472.60689075469713</v>
      </c>
      <c r="G541" s="163">
        <v>620.82807500167155</v>
      </c>
      <c r="H541" s="163">
        <v>769.04925924864597</v>
      </c>
      <c r="I541" s="163" t="s">
        <v>5935</v>
      </c>
      <c r="J541" s="308"/>
      <c r="L541" s="37"/>
      <c r="M541" s="37"/>
      <c r="N541" s="37"/>
    </row>
    <row r="542" spans="1:14" hidden="1" outlineLevel="1" x14ac:dyDescent="0.3">
      <c r="A542" s="56" t="s">
        <v>6011</v>
      </c>
      <c r="B542" s="56" t="s">
        <v>915</v>
      </c>
      <c r="C542" s="56" t="s">
        <v>806</v>
      </c>
      <c r="D542" s="163">
        <v>324.38570650772272</v>
      </c>
      <c r="E542" s="163">
        <v>324.38570650772272</v>
      </c>
      <c r="F542" s="163">
        <v>472.60689075469713</v>
      </c>
      <c r="G542" s="163">
        <v>620.82807500167155</v>
      </c>
      <c r="H542" s="163">
        <v>769.04925924864597</v>
      </c>
      <c r="I542" s="163" t="s">
        <v>5935</v>
      </c>
      <c r="J542" s="308"/>
      <c r="L542" s="37"/>
      <c r="M542" s="37"/>
      <c r="N542" s="37"/>
    </row>
    <row r="543" spans="1:14" hidden="1" outlineLevel="1" x14ac:dyDescent="0.3">
      <c r="A543" s="56" t="s">
        <v>6011</v>
      </c>
      <c r="B543" s="56" t="s">
        <v>915</v>
      </c>
      <c r="C543" s="56" t="s">
        <v>808</v>
      </c>
      <c r="D543" s="163">
        <v>324.38570650772272</v>
      </c>
      <c r="E543" s="163">
        <v>324.38570650772272</v>
      </c>
      <c r="F543" s="163">
        <v>472.60689075469713</v>
      </c>
      <c r="G543" s="163">
        <v>620.82807500167155</v>
      </c>
      <c r="H543" s="163">
        <v>769.04925924864597</v>
      </c>
      <c r="I543" s="163" t="s">
        <v>5935</v>
      </c>
      <c r="J543" s="308"/>
      <c r="L543" s="37"/>
      <c r="M543" s="37"/>
      <c r="N543" s="37"/>
    </row>
    <row r="544" spans="1:14" hidden="1" outlineLevel="1" x14ac:dyDescent="0.3">
      <c r="A544" s="56" t="s">
        <v>6011</v>
      </c>
      <c r="B544" s="56" t="s">
        <v>915</v>
      </c>
      <c r="C544" s="56" t="s">
        <v>811</v>
      </c>
      <c r="D544" s="163">
        <v>324.38570650772272</v>
      </c>
      <c r="E544" s="163">
        <v>324.38570650772272</v>
      </c>
      <c r="F544" s="163">
        <v>472.60689075469713</v>
      </c>
      <c r="G544" s="163">
        <v>620.82807500167155</v>
      </c>
      <c r="H544" s="163">
        <v>769.04925924864597</v>
      </c>
      <c r="I544" s="163" t="s">
        <v>5935</v>
      </c>
      <c r="J544" s="308"/>
      <c r="L544" s="37"/>
      <c r="M544" s="37"/>
      <c r="N544" s="37"/>
    </row>
    <row r="545" spans="1:14" hidden="1" outlineLevel="1" x14ac:dyDescent="0.3">
      <c r="A545" s="56" t="s">
        <v>6011</v>
      </c>
      <c r="B545" s="56" t="s">
        <v>934</v>
      </c>
      <c r="C545" s="56" t="s">
        <v>814</v>
      </c>
      <c r="D545" s="163">
        <v>324.38570650772272</v>
      </c>
      <c r="E545" s="163">
        <v>324.38570650772272</v>
      </c>
      <c r="F545" s="163">
        <v>472.60689075469713</v>
      </c>
      <c r="G545" s="163">
        <v>620.82807500167155</v>
      </c>
      <c r="H545" s="163">
        <v>769.04925924864597</v>
      </c>
      <c r="I545" s="163" t="s">
        <v>5935</v>
      </c>
      <c r="J545" s="308"/>
      <c r="L545" s="37"/>
      <c r="M545" s="37"/>
      <c r="N545" s="37"/>
    </row>
    <row r="546" spans="1:14" hidden="1" outlineLevel="1" x14ac:dyDescent="0.3">
      <c r="A546" s="56" t="s">
        <v>6011</v>
      </c>
      <c r="B546" s="56" t="s">
        <v>934</v>
      </c>
      <c r="C546" s="56" t="s">
        <v>815</v>
      </c>
      <c r="D546" s="163">
        <v>324.38570650772272</v>
      </c>
      <c r="E546" s="163">
        <v>324.38570650772272</v>
      </c>
      <c r="F546" s="163">
        <v>472.60689075469713</v>
      </c>
      <c r="G546" s="163">
        <v>620.82807500167155</v>
      </c>
      <c r="H546" s="163">
        <v>769.04925924864597</v>
      </c>
      <c r="I546" s="163" t="s">
        <v>5935</v>
      </c>
      <c r="J546" s="308"/>
      <c r="L546" s="37"/>
      <c r="M546" s="37"/>
      <c r="N546" s="37"/>
    </row>
    <row r="547" spans="1:14" hidden="1" outlineLevel="1" x14ac:dyDescent="0.3">
      <c r="A547" s="56" t="s">
        <v>6011</v>
      </c>
      <c r="B547" s="56" t="s">
        <v>940</v>
      </c>
      <c r="C547" s="56" t="s">
        <v>817</v>
      </c>
      <c r="D547" s="163">
        <v>324.38570650772272</v>
      </c>
      <c r="E547" s="163">
        <v>324.38570650772272</v>
      </c>
      <c r="F547" s="163">
        <v>472.60689075469713</v>
      </c>
      <c r="G547" s="163">
        <v>620.82807500167155</v>
      </c>
      <c r="H547" s="163">
        <v>769.04925924864597</v>
      </c>
      <c r="I547" s="163" t="s">
        <v>5935</v>
      </c>
      <c r="J547" s="308"/>
      <c r="L547" s="37"/>
      <c r="M547" s="37"/>
      <c r="N547" s="37"/>
    </row>
    <row r="548" spans="1:14" hidden="1" outlineLevel="1" x14ac:dyDescent="0.3">
      <c r="A548" s="56" t="s">
        <v>6011</v>
      </c>
      <c r="B548" s="56" t="s">
        <v>940</v>
      </c>
      <c r="C548" s="56" t="s">
        <v>944</v>
      </c>
      <c r="D548" s="163">
        <v>324.38570650772272</v>
      </c>
      <c r="E548" s="163">
        <v>324.38570650772272</v>
      </c>
      <c r="F548" s="163">
        <v>472.60689075469713</v>
      </c>
      <c r="G548" s="163">
        <v>620.82807500167155</v>
      </c>
      <c r="H548" s="163">
        <v>769.04925924864597</v>
      </c>
      <c r="I548" s="163" t="s">
        <v>5935</v>
      </c>
      <c r="J548" s="308"/>
      <c r="L548" s="37"/>
      <c r="M548" s="37"/>
      <c r="N548" s="37"/>
    </row>
    <row r="549" spans="1:14" hidden="1" outlineLevel="1" x14ac:dyDescent="0.3">
      <c r="A549" s="56" t="s">
        <v>6011</v>
      </c>
      <c r="B549" s="56" t="s">
        <v>940</v>
      </c>
      <c r="C549" s="56" t="s">
        <v>821</v>
      </c>
      <c r="D549" s="163">
        <v>324.38570650772272</v>
      </c>
      <c r="E549" s="163">
        <v>324.38570650772272</v>
      </c>
      <c r="F549" s="163">
        <v>472.60689075469713</v>
      </c>
      <c r="G549" s="163">
        <v>620.82807500167155</v>
      </c>
      <c r="H549" s="163">
        <v>769.04925924864597</v>
      </c>
      <c r="I549" s="163" t="s">
        <v>5935</v>
      </c>
      <c r="J549" s="308"/>
      <c r="L549" s="37"/>
      <c r="M549" s="37"/>
      <c r="N549" s="37"/>
    </row>
    <row r="550" spans="1:14" hidden="1" outlineLevel="1" x14ac:dyDescent="0.3">
      <c r="A550" s="56" t="s">
        <v>6011</v>
      </c>
      <c r="B550" s="56" t="s">
        <v>940</v>
      </c>
      <c r="C550" s="56" t="s">
        <v>823</v>
      </c>
      <c r="D550" s="163">
        <v>324.38570650772272</v>
      </c>
      <c r="E550" s="163">
        <v>324.38570650772272</v>
      </c>
      <c r="F550" s="163">
        <v>472.60689075469713</v>
      </c>
      <c r="G550" s="163">
        <v>620.82807500167155</v>
      </c>
      <c r="H550" s="163">
        <v>769.04925924864597</v>
      </c>
      <c r="I550" s="163" t="s">
        <v>5935</v>
      </c>
      <c r="J550" s="308"/>
      <c r="L550" s="37"/>
      <c r="M550" s="37"/>
      <c r="N550" s="37"/>
    </row>
    <row r="551" spans="1:14" hidden="1" outlineLevel="1" x14ac:dyDescent="0.3">
      <c r="A551" s="56" t="s">
        <v>6011</v>
      </c>
      <c r="B551" s="56" t="s">
        <v>940</v>
      </c>
      <c r="C551" s="56" t="s">
        <v>825</v>
      </c>
      <c r="D551" s="163">
        <v>324.38570650772272</v>
      </c>
      <c r="E551" s="163">
        <v>324.38570650772272</v>
      </c>
      <c r="F551" s="163">
        <v>472.60689075469713</v>
      </c>
      <c r="G551" s="163">
        <v>620.82807500167155</v>
      </c>
      <c r="H551" s="163">
        <v>769.04925924864597</v>
      </c>
      <c r="I551" s="163" t="s">
        <v>5935</v>
      </c>
      <c r="J551" s="308"/>
      <c r="L551" s="37"/>
      <c r="M551" s="37"/>
      <c r="N551" s="37"/>
    </row>
    <row r="552" spans="1:14" hidden="1" outlineLevel="1" x14ac:dyDescent="0.3">
      <c r="A552" s="56" t="s">
        <v>6011</v>
      </c>
      <c r="B552" s="56" t="s">
        <v>940</v>
      </c>
      <c r="C552" s="56" t="s">
        <v>827</v>
      </c>
      <c r="D552" s="163">
        <v>324.38570650772272</v>
      </c>
      <c r="E552" s="163">
        <v>324.38570650772272</v>
      </c>
      <c r="F552" s="163">
        <v>472.60689075469713</v>
      </c>
      <c r="G552" s="163">
        <v>620.82807500167155</v>
      </c>
      <c r="H552" s="163">
        <v>769.04925924864597</v>
      </c>
      <c r="I552" s="163" t="s">
        <v>5935</v>
      </c>
      <c r="J552" s="308"/>
      <c r="L552" s="37"/>
      <c r="M552" s="37"/>
      <c r="N552" s="37"/>
    </row>
    <row r="553" spans="1:14" hidden="1" outlineLevel="1" x14ac:dyDescent="0.3">
      <c r="A553" s="56" t="s">
        <v>6011</v>
      </c>
      <c r="B553" s="56" t="s">
        <v>940</v>
      </c>
      <c r="C553" s="56" t="s">
        <v>829</v>
      </c>
      <c r="D553" s="163">
        <v>324.38570650772272</v>
      </c>
      <c r="E553" s="163">
        <v>324.38570650772272</v>
      </c>
      <c r="F553" s="163">
        <v>472.60689075469713</v>
      </c>
      <c r="G553" s="163">
        <v>620.82807500167155</v>
      </c>
      <c r="H553" s="163">
        <v>769.04925924864597</v>
      </c>
      <c r="I553" s="163" t="s">
        <v>5935</v>
      </c>
      <c r="J553" s="308"/>
      <c r="L553" s="37"/>
      <c r="M553" s="37"/>
      <c r="N553" s="37"/>
    </row>
    <row r="554" spans="1:14" hidden="1" outlineLevel="1" x14ac:dyDescent="0.3">
      <c r="A554" s="56" t="s">
        <v>6011</v>
      </c>
      <c r="B554" s="56" t="s">
        <v>940</v>
      </c>
      <c r="C554" s="56" t="s">
        <v>833</v>
      </c>
      <c r="D554" s="163">
        <v>324.38570650772272</v>
      </c>
      <c r="E554" s="163">
        <v>324.38570650772272</v>
      </c>
      <c r="F554" s="163">
        <v>472.60689075469713</v>
      </c>
      <c r="G554" s="163">
        <v>620.82807500167155</v>
      </c>
      <c r="H554" s="163">
        <v>769.04925924864597</v>
      </c>
      <c r="I554" s="163" t="s">
        <v>5935</v>
      </c>
      <c r="J554" s="308"/>
      <c r="L554" s="37"/>
      <c r="M554" s="37"/>
      <c r="N554" s="37"/>
    </row>
    <row r="555" spans="1:14" hidden="1" outlineLevel="1" x14ac:dyDescent="0.3">
      <c r="A555" s="56" t="s">
        <v>6011</v>
      </c>
      <c r="B555" s="56" t="s">
        <v>940</v>
      </c>
      <c r="C555" s="56" t="s">
        <v>836</v>
      </c>
      <c r="D555" s="163">
        <v>324.38570650772272</v>
      </c>
      <c r="E555" s="163">
        <v>324.38570650772272</v>
      </c>
      <c r="F555" s="163">
        <v>472.60689075469713</v>
      </c>
      <c r="G555" s="163">
        <v>620.82807500167155</v>
      </c>
      <c r="H555" s="163">
        <v>769.04925924864597</v>
      </c>
      <c r="I555" s="163" t="s">
        <v>5935</v>
      </c>
      <c r="J555" s="308"/>
      <c r="L555" s="37"/>
      <c r="M555" s="37"/>
      <c r="N555" s="37"/>
    </row>
    <row r="556" spans="1:14" hidden="1" outlineLevel="1" x14ac:dyDescent="0.3">
      <c r="A556" s="56" t="s">
        <v>6011</v>
      </c>
      <c r="B556" s="56" t="s">
        <v>940</v>
      </c>
      <c r="C556" s="56" t="s">
        <v>837</v>
      </c>
      <c r="D556" s="163">
        <v>324.38570650772272</v>
      </c>
      <c r="E556" s="163">
        <v>324.38570650772272</v>
      </c>
      <c r="F556" s="163">
        <v>472.60689075469713</v>
      </c>
      <c r="G556" s="163">
        <v>620.82807500167155</v>
      </c>
      <c r="H556" s="163">
        <v>769.04925924864597</v>
      </c>
      <c r="I556" s="163" t="s">
        <v>5935</v>
      </c>
      <c r="J556" s="308"/>
      <c r="L556" s="37"/>
      <c r="M556" s="37"/>
      <c r="N556" s="37"/>
    </row>
    <row r="557" spans="1:14" hidden="1" outlineLevel="1" x14ac:dyDescent="0.3">
      <c r="A557" s="56" t="s">
        <v>6011</v>
      </c>
      <c r="B557" s="56" t="s">
        <v>940</v>
      </c>
      <c r="C557" s="56" t="s">
        <v>839</v>
      </c>
      <c r="D557" s="163">
        <v>324.38570650772272</v>
      </c>
      <c r="E557" s="163">
        <v>324.38570650772272</v>
      </c>
      <c r="F557" s="163">
        <v>472.60689075469713</v>
      </c>
      <c r="G557" s="163">
        <v>620.82807500167155</v>
      </c>
      <c r="H557" s="163">
        <v>769.04925924864597</v>
      </c>
      <c r="I557" s="163" t="s">
        <v>5935</v>
      </c>
      <c r="J557" s="308"/>
      <c r="L557" s="37"/>
      <c r="M557" s="37"/>
      <c r="N557" s="37"/>
    </row>
    <row r="558" spans="1:14" hidden="1" outlineLevel="1" x14ac:dyDescent="0.3">
      <c r="A558" s="56" t="s">
        <v>6011</v>
      </c>
      <c r="B558" s="56" t="s">
        <v>940</v>
      </c>
      <c r="C558" s="56" t="s">
        <v>840</v>
      </c>
      <c r="D558" s="163">
        <v>324.38570650772272</v>
      </c>
      <c r="E558" s="163">
        <v>324.38570650772272</v>
      </c>
      <c r="F558" s="163">
        <v>472.60689075469713</v>
      </c>
      <c r="G558" s="163">
        <v>620.82807500167155</v>
      </c>
      <c r="H558" s="163">
        <v>769.04925924864597</v>
      </c>
      <c r="I558" s="163" t="s">
        <v>5935</v>
      </c>
      <c r="J558" s="308"/>
      <c r="L558" s="37"/>
      <c r="M558" s="37"/>
      <c r="N558" s="37"/>
    </row>
    <row r="559" spans="1:14" collapsed="1" x14ac:dyDescent="0.3">
      <c r="A559" s="56"/>
      <c r="B559" s="56"/>
      <c r="C559" s="56"/>
      <c r="D559" s="163"/>
      <c r="E559" s="163"/>
      <c r="F559" s="56"/>
      <c r="G559" s="56"/>
      <c r="H559" s="56"/>
      <c r="I559" s="163"/>
      <c r="J559" s="308"/>
      <c r="L559" s="37"/>
      <c r="M559" s="37"/>
      <c r="N559" s="37"/>
    </row>
    <row r="560" spans="1:14" x14ac:dyDescent="0.3">
      <c r="A560" s="143" t="s">
        <v>6012</v>
      </c>
      <c r="B560" s="56"/>
      <c r="C560" s="144" t="s">
        <v>4032</v>
      </c>
      <c r="D560" s="252">
        <v>494.79378543022983</v>
      </c>
      <c r="E560" s="252">
        <v>494.79378543022983</v>
      </c>
      <c r="F560" s="252">
        <v>547.55636155561649</v>
      </c>
      <c r="G560" s="252">
        <v>600.31893768100349</v>
      </c>
      <c r="H560" s="252">
        <v>653.08151380638947</v>
      </c>
      <c r="I560" s="163"/>
      <c r="J560" s="308"/>
      <c r="L560" s="37"/>
      <c r="M560" s="37"/>
      <c r="N560" s="37"/>
    </row>
    <row r="561" spans="1:14" x14ac:dyDescent="0.3">
      <c r="A561" s="131" t="s">
        <v>5</v>
      </c>
      <c r="B561" s="131" t="s">
        <v>847</v>
      </c>
      <c r="C561" s="131" t="s">
        <v>193</v>
      </c>
      <c r="D561" s="131">
        <v>2025</v>
      </c>
      <c r="E561" s="131">
        <v>2030</v>
      </c>
      <c r="F561" s="131">
        <v>2035</v>
      </c>
      <c r="G561" s="131">
        <v>2040</v>
      </c>
      <c r="H561" s="131">
        <v>2045</v>
      </c>
      <c r="I561" s="131" t="s">
        <v>153</v>
      </c>
      <c r="J561" s="308"/>
    </row>
    <row r="562" spans="1:14" hidden="1" outlineLevel="1" x14ac:dyDescent="0.3">
      <c r="A562" s="56" t="s">
        <v>6012</v>
      </c>
      <c r="B562" s="56" t="s">
        <v>855</v>
      </c>
      <c r="C562" s="56" t="s">
        <v>747</v>
      </c>
      <c r="D562" s="163">
        <v>377.84252705581184</v>
      </c>
      <c r="E562" s="163">
        <v>377.84252705581184</v>
      </c>
      <c r="F562" s="163">
        <v>366.50320148500504</v>
      </c>
      <c r="G562" s="163">
        <v>355.16387591419829</v>
      </c>
      <c r="H562" s="163">
        <v>343.82455034339148</v>
      </c>
      <c r="I562" s="163" t="s">
        <v>5934</v>
      </c>
      <c r="J562" s="308"/>
    </row>
    <row r="563" spans="1:14" hidden="1" outlineLevel="1" x14ac:dyDescent="0.3">
      <c r="A563" s="56" t="s">
        <v>6012</v>
      </c>
      <c r="B563" s="56" t="s">
        <v>855</v>
      </c>
      <c r="C563" s="56" t="s">
        <v>751</v>
      </c>
      <c r="D563" s="163">
        <v>377.84252705581184</v>
      </c>
      <c r="E563" s="163">
        <v>377.84252705581184</v>
      </c>
      <c r="F563" s="163">
        <v>366.50320148500504</v>
      </c>
      <c r="G563" s="163">
        <v>355.16387591419829</v>
      </c>
      <c r="H563" s="163">
        <v>343.82455034339148</v>
      </c>
      <c r="I563" s="163" t="s">
        <v>5934</v>
      </c>
      <c r="J563" s="308"/>
    </row>
    <row r="564" spans="1:14" hidden="1" outlineLevel="1" x14ac:dyDescent="0.3">
      <c r="A564" s="56" t="s">
        <v>6012</v>
      </c>
      <c r="B564" s="56" t="s">
        <v>855</v>
      </c>
      <c r="C564" s="56" t="s">
        <v>755</v>
      </c>
      <c r="D564" s="163">
        <v>377.84252705581184</v>
      </c>
      <c r="E564" s="163">
        <v>377.84252705581184</v>
      </c>
      <c r="F564" s="163">
        <v>366.50320148500504</v>
      </c>
      <c r="G564" s="163">
        <v>355.16387591419829</v>
      </c>
      <c r="H564" s="163">
        <v>343.82455034339148</v>
      </c>
      <c r="I564" s="163" t="s">
        <v>5934</v>
      </c>
      <c r="J564" s="308"/>
    </row>
    <row r="565" spans="1:14" hidden="1" outlineLevel="1" x14ac:dyDescent="0.3">
      <c r="A565" s="56" t="s">
        <v>6012</v>
      </c>
      <c r="B565" s="56" t="s">
        <v>855</v>
      </c>
      <c r="C565" s="56" t="s">
        <v>758</v>
      </c>
      <c r="D565" s="163">
        <v>377.84252705581184</v>
      </c>
      <c r="E565" s="163">
        <v>377.84252705581184</v>
      </c>
      <c r="F565" s="163">
        <v>366.50320148500504</v>
      </c>
      <c r="G565" s="163">
        <v>355.16387591419829</v>
      </c>
      <c r="H565" s="163">
        <v>343.82455034339148</v>
      </c>
      <c r="I565" s="163" t="s">
        <v>5934</v>
      </c>
      <c r="J565" s="308"/>
      <c r="L565" s="37"/>
      <c r="M565" s="37"/>
      <c r="N565" s="37"/>
    </row>
    <row r="566" spans="1:14" hidden="1" outlineLevel="1" x14ac:dyDescent="0.3">
      <c r="A566" s="56" t="s">
        <v>6012</v>
      </c>
      <c r="B566" s="56" t="s">
        <v>855</v>
      </c>
      <c r="C566" s="56" t="s">
        <v>761</v>
      </c>
      <c r="D566" s="163">
        <v>377.84252705581184</v>
      </c>
      <c r="E566" s="163">
        <v>377.84252705581184</v>
      </c>
      <c r="F566" s="163">
        <v>366.50320148500504</v>
      </c>
      <c r="G566" s="163">
        <v>355.16387591419829</v>
      </c>
      <c r="H566" s="163">
        <v>343.82455034339148</v>
      </c>
      <c r="I566" s="163" t="s">
        <v>5934</v>
      </c>
      <c r="J566" s="308"/>
      <c r="L566" s="37"/>
      <c r="M566" s="37"/>
      <c r="N566" s="37"/>
    </row>
    <row r="567" spans="1:14" hidden="1" outlineLevel="1" x14ac:dyDescent="0.3">
      <c r="A567" s="56" t="s">
        <v>6012</v>
      </c>
      <c r="B567" s="56" t="s">
        <v>855</v>
      </c>
      <c r="C567" s="56" t="s">
        <v>763</v>
      </c>
      <c r="D567" s="163">
        <v>377.84252705581184</v>
      </c>
      <c r="E567" s="163">
        <v>377.84252705581184</v>
      </c>
      <c r="F567" s="163">
        <v>366.50320148500504</v>
      </c>
      <c r="G567" s="163">
        <v>355.16387591419829</v>
      </c>
      <c r="H567" s="163">
        <v>343.82455034339148</v>
      </c>
      <c r="I567" s="163" t="s">
        <v>5934</v>
      </c>
      <c r="J567" s="308"/>
      <c r="L567" s="37"/>
      <c r="M567" s="37"/>
      <c r="N567" s="37"/>
    </row>
    <row r="568" spans="1:14" hidden="1" outlineLevel="1" x14ac:dyDescent="0.3">
      <c r="A568" s="56" t="s">
        <v>6012</v>
      </c>
      <c r="B568" s="56" t="s">
        <v>855</v>
      </c>
      <c r="C568" s="56" t="s">
        <v>765</v>
      </c>
      <c r="D568" s="163">
        <v>377.84252705581184</v>
      </c>
      <c r="E568" s="163">
        <v>377.84252705581184</v>
      </c>
      <c r="F568" s="163">
        <v>366.50320148500504</v>
      </c>
      <c r="G568" s="163">
        <v>355.16387591419829</v>
      </c>
      <c r="H568" s="163">
        <v>343.82455034339148</v>
      </c>
      <c r="I568" s="163" t="s">
        <v>5934</v>
      </c>
      <c r="J568" s="308"/>
      <c r="L568" s="37"/>
      <c r="M568" s="37"/>
      <c r="N568" s="37"/>
    </row>
    <row r="569" spans="1:14" hidden="1" outlineLevel="1" x14ac:dyDescent="0.3">
      <c r="A569" s="56" t="s">
        <v>6012</v>
      </c>
      <c r="B569" s="56" t="s">
        <v>855</v>
      </c>
      <c r="C569" s="56" t="s">
        <v>768</v>
      </c>
      <c r="D569" s="163">
        <v>377.84252705581184</v>
      </c>
      <c r="E569" s="163">
        <v>377.84252705581184</v>
      </c>
      <c r="F569" s="163">
        <v>366.50320148500504</v>
      </c>
      <c r="G569" s="163">
        <v>355.16387591419829</v>
      </c>
      <c r="H569" s="163">
        <v>343.82455034339148</v>
      </c>
      <c r="I569" s="163" t="s">
        <v>5934</v>
      </c>
      <c r="J569" s="308"/>
      <c r="L569" s="37"/>
      <c r="M569" s="37"/>
      <c r="N569" s="37"/>
    </row>
    <row r="570" spans="1:14" hidden="1" outlineLevel="1" x14ac:dyDescent="0.3">
      <c r="A570" s="56" t="s">
        <v>6012</v>
      </c>
      <c r="B570" s="56" t="s">
        <v>855</v>
      </c>
      <c r="C570" s="56" t="s">
        <v>771</v>
      </c>
      <c r="D570" s="163">
        <v>377.84252705581184</v>
      </c>
      <c r="E570" s="163">
        <v>377.84252705581184</v>
      </c>
      <c r="F570" s="163">
        <v>366.50320148500504</v>
      </c>
      <c r="G570" s="163">
        <v>355.16387591419829</v>
      </c>
      <c r="H570" s="163">
        <v>343.82455034339148</v>
      </c>
      <c r="I570" s="163" t="s">
        <v>5934</v>
      </c>
      <c r="J570" s="308"/>
      <c r="L570" s="37"/>
      <c r="M570" s="37"/>
      <c r="N570" s="37"/>
    </row>
    <row r="571" spans="1:14" hidden="1" outlineLevel="1" x14ac:dyDescent="0.3">
      <c r="A571" s="56" t="s">
        <v>6012</v>
      </c>
      <c r="B571" s="56" t="s">
        <v>855</v>
      </c>
      <c r="C571" s="56" t="s">
        <v>772</v>
      </c>
      <c r="D571" s="163">
        <v>377.84252705581184</v>
      </c>
      <c r="E571" s="163">
        <v>377.84252705581184</v>
      </c>
      <c r="F571" s="163">
        <v>366.50320148500504</v>
      </c>
      <c r="G571" s="163">
        <v>355.16387591419829</v>
      </c>
      <c r="H571" s="163">
        <v>343.82455034339148</v>
      </c>
      <c r="I571" s="163" t="s">
        <v>5934</v>
      </c>
      <c r="J571" s="308"/>
      <c r="L571" s="37"/>
      <c r="M571" s="37"/>
      <c r="N571" s="37"/>
    </row>
    <row r="572" spans="1:14" hidden="1" outlineLevel="1" x14ac:dyDescent="0.3">
      <c r="A572" s="56" t="s">
        <v>6012</v>
      </c>
      <c r="B572" s="56" t="s">
        <v>855</v>
      </c>
      <c r="C572" s="56" t="s">
        <v>774</v>
      </c>
      <c r="D572" s="163">
        <v>377.84252705581184</v>
      </c>
      <c r="E572" s="163">
        <v>377.84252705581184</v>
      </c>
      <c r="F572" s="163">
        <v>366.50320148500504</v>
      </c>
      <c r="G572" s="163">
        <v>355.16387591419829</v>
      </c>
      <c r="H572" s="163">
        <v>343.82455034339148</v>
      </c>
      <c r="I572" s="163" t="s">
        <v>5934</v>
      </c>
      <c r="J572" s="308"/>
      <c r="L572" s="37"/>
      <c r="M572" s="37"/>
      <c r="N572" s="37"/>
    </row>
    <row r="573" spans="1:14" hidden="1" outlineLevel="1" x14ac:dyDescent="0.3">
      <c r="A573" s="56" t="s">
        <v>6012</v>
      </c>
      <c r="B573" s="56" t="s">
        <v>855</v>
      </c>
      <c r="C573" s="56" t="s">
        <v>775</v>
      </c>
      <c r="D573" s="163">
        <v>377.84252705581184</v>
      </c>
      <c r="E573" s="163">
        <v>377.84252705581184</v>
      </c>
      <c r="F573" s="163">
        <v>366.50320148500504</v>
      </c>
      <c r="G573" s="163">
        <v>355.16387591419829</v>
      </c>
      <c r="H573" s="163">
        <v>343.82455034339148</v>
      </c>
      <c r="I573" s="163" t="s">
        <v>5934</v>
      </c>
      <c r="J573" s="308"/>
      <c r="L573" s="37"/>
      <c r="M573" s="37"/>
      <c r="N573" s="37"/>
    </row>
    <row r="574" spans="1:14" hidden="1" outlineLevel="1" x14ac:dyDescent="0.3">
      <c r="A574" s="56" t="s">
        <v>6012</v>
      </c>
      <c r="B574" s="56" t="s">
        <v>855</v>
      </c>
      <c r="C574" s="56" t="s">
        <v>779</v>
      </c>
      <c r="D574" s="163">
        <v>377.84252705581184</v>
      </c>
      <c r="E574" s="163">
        <v>377.84252705581184</v>
      </c>
      <c r="F574" s="163">
        <v>366.50320148500504</v>
      </c>
      <c r="G574" s="163">
        <v>355.16387591419829</v>
      </c>
      <c r="H574" s="163">
        <v>343.82455034339148</v>
      </c>
      <c r="I574" s="163" t="s">
        <v>5934</v>
      </c>
      <c r="J574" s="308"/>
      <c r="L574" s="37"/>
      <c r="M574" s="37"/>
      <c r="N574" s="37"/>
    </row>
    <row r="575" spans="1:14" hidden="1" outlineLevel="1" x14ac:dyDescent="0.3">
      <c r="A575" s="56" t="s">
        <v>6012</v>
      </c>
      <c r="B575" s="56" t="s">
        <v>894</v>
      </c>
      <c r="C575" s="56" t="s">
        <v>781</v>
      </c>
      <c r="D575" s="163">
        <v>580.73545959060471</v>
      </c>
      <c r="E575" s="163">
        <v>580.73545959060471</v>
      </c>
      <c r="F575" s="163">
        <v>660.11073858625218</v>
      </c>
      <c r="G575" s="163">
        <v>739.48601758189977</v>
      </c>
      <c r="H575" s="163">
        <v>818.86129657754725</v>
      </c>
      <c r="I575" s="163" t="s">
        <v>5935</v>
      </c>
      <c r="J575" s="308"/>
      <c r="L575" s="37"/>
      <c r="M575" s="37"/>
      <c r="N575" s="37"/>
    </row>
    <row r="576" spans="1:14" hidden="1" outlineLevel="1" x14ac:dyDescent="0.3">
      <c r="A576" s="56" t="s">
        <v>6012</v>
      </c>
      <c r="B576" s="56" t="s">
        <v>894</v>
      </c>
      <c r="C576" s="56" t="s">
        <v>783</v>
      </c>
      <c r="D576" s="163">
        <v>580.73545959060471</v>
      </c>
      <c r="E576" s="163">
        <v>580.73545959060471</v>
      </c>
      <c r="F576" s="163">
        <v>660.11073858625218</v>
      </c>
      <c r="G576" s="163">
        <v>739.48601758189977</v>
      </c>
      <c r="H576" s="163">
        <v>818.86129657754725</v>
      </c>
      <c r="I576" s="163" t="s">
        <v>5935</v>
      </c>
      <c r="J576" s="308"/>
      <c r="L576" s="37"/>
      <c r="M576" s="37"/>
      <c r="N576" s="37"/>
    </row>
    <row r="577" spans="1:14" hidden="1" outlineLevel="1" x14ac:dyDescent="0.3">
      <c r="A577" s="56" t="s">
        <v>6012</v>
      </c>
      <c r="B577" s="56" t="s">
        <v>894</v>
      </c>
      <c r="C577" s="56" t="s">
        <v>785</v>
      </c>
      <c r="D577" s="163">
        <v>337.749911644745</v>
      </c>
      <c r="E577" s="163">
        <v>337.749911644745</v>
      </c>
      <c r="F577" s="163">
        <v>432.51427534363029</v>
      </c>
      <c r="G577" s="163">
        <v>527.27863904251558</v>
      </c>
      <c r="H577" s="163">
        <v>622.04300274140087</v>
      </c>
      <c r="I577" s="163" t="s">
        <v>5936</v>
      </c>
      <c r="J577" s="308"/>
      <c r="L577" s="37"/>
      <c r="M577" s="37"/>
      <c r="N577" s="37"/>
    </row>
    <row r="578" spans="1:14" hidden="1" outlineLevel="1" x14ac:dyDescent="0.3">
      <c r="A578" s="56" t="s">
        <v>6012</v>
      </c>
      <c r="B578" s="56" t="s">
        <v>894</v>
      </c>
      <c r="C578" s="56" t="s">
        <v>787</v>
      </c>
      <c r="D578" s="163">
        <v>580.73545959060471</v>
      </c>
      <c r="E578" s="163">
        <v>580.73545959060471</v>
      </c>
      <c r="F578" s="163">
        <v>660.11073858625218</v>
      </c>
      <c r="G578" s="163">
        <v>739.48601758189977</v>
      </c>
      <c r="H578" s="163">
        <v>818.86129657754725</v>
      </c>
      <c r="I578" s="163" t="s">
        <v>5935</v>
      </c>
      <c r="J578" s="308"/>
      <c r="L578" s="37"/>
      <c r="M578" s="37"/>
      <c r="N578" s="37"/>
    </row>
    <row r="579" spans="1:14" hidden="1" outlineLevel="1" x14ac:dyDescent="0.3">
      <c r="A579" s="56" t="s">
        <v>6012</v>
      </c>
      <c r="B579" s="56" t="s">
        <v>894</v>
      </c>
      <c r="C579" s="56" t="s">
        <v>788</v>
      </c>
      <c r="D579" s="163">
        <v>337.749911644745</v>
      </c>
      <c r="E579" s="163">
        <v>337.749911644745</v>
      </c>
      <c r="F579" s="163">
        <v>432.51427534363029</v>
      </c>
      <c r="G579" s="163">
        <v>527.27863904251558</v>
      </c>
      <c r="H579" s="163">
        <v>622.04300274140087</v>
      </c>
      <c r="I579" s="163" t="s">
        <v>5936</v>
      </c>
      <c r="J579" s="308"/>
      <c r="L579" s="37"/>
      <c r="M579" s="37"/>
      <c r="N579" s="37"/>
    </row>
    <row r="580" spans="1:14" hidden="1" outlineLevel="1" x14ac:dyDescent="0.3">
      <c r="A580" s="56" t="s">
        <v>6012</v>
      </c>
      <c r="B580" s="56" t="s">
        <v>894</v>
      </c>
      <c r="C580" s="56" t="s">
        <v>789</v>
      </c>
      <c r="D580" s="163">
        <v>337.749911644745</v>
      </c>
      <c r="E580" s="163">
        <v>337.749911644745</v>
      </c>
      <c r="F580" s="163">
        <v>432.51427534363029</v>
      </c>
      <c r="G580" s="163">
        <v>527.27863904251558</v>
      </c>
      <c r="H580" s="163">
        <v>622.04300274140087</v>
      </c>
      <c r="I580" s="163" t="s">
        <v>5936</v>
      </c>
      <c r="J580" s="308"/>
      <c r="L580" s="37"/>
      <c r="M580" s="37"/>
      <c r="N580" s="37"/>
    </row>
    <row r="581" spans="1:14" hidden="1" outlineLevel="1" x14ac:dyDescent="0.3">
      <c r="A581" s="56" t="s">
        <v>6012</v>
      </c>
      <c r="B581" s="56" t="s">
        <v>894</v>
      </c>
      <c r="C581" s="56" t="s">
        <v>790</v>
      </c>
      <c r="D581" s="163">
        <v>580.73545959060471</v>
      </c>
      <c r="E581" s="163">
        <v>580.73545959060471</v>
      </c>
      <c r="F581" s="163">
        <v>660.11073858625218</v>
      </c>
      <c r="G581" s="163">
        <v>739.48601758189977</v>
      </c>
      <c r="H581" s="163">
        <v>818.86129657754725</v>
      </c>
      <c r="I581" s="163" t="s">
        <v>5935</v>
      </c>
      <c r="J581" s="308"/>
      <c r="L581" s="37"/>
      <c r="M581" s="37"/>
      <c r="N581" s="37"/>
    </row>
    <row r="582" spans="1:14" hidden="1" outlineLevel="1" x14ac:dyDescent="0.3">
      <c r="A582" s="56" t="s">
        <v>6012</v>
      </c>
      <c r="B582" s="56" t="s">
        <v>894</v>
      </c>
      <c r="C582" s="56" t="s">
        <v>793</v>
      </c>
      <c r="D582" s="163">
        <v>580.73545959060471</v>
      </c>
      <c r="E582" s="163">
        <v>580.73545959060471</v>
      </c>
      <c r="F582" s="163">
        <v>660.11073858625218</v>
      </c>
      <c r="G582" s="163">
        <v>739.48601758189977</v>
      </c>
      <c r="H582" s="163">
        <v>818.86129657754725</v>
      </c>
      <c r="I582" s="163" t="s">
        <v>5935</v>
      </c>
      <c r="J582" s="308"/>
      <c r="L582" s="37"/>
      <c r="M582" s="37"/>
      <c r="N582" s="37"/>
    </row>
    <row r="583" spans="1:14" hidden="1" outlineLevel="1" x14ac:dyDescent="0.3">
      <c r="A583" s="56" t="s">
        <v>6012</v>
      </c>
      <c r="B583" s="56" t="s">
        <v>894</v>
      </c>
      <c r="C583" s="56" t="s">
        <v>795</v>
      </c>
      <c r="D583" s="163">
        <v>337.749911644745</v>
      </c>
      <c r="E583" s="163">
        <v>337.749911644745</v>
      </c>
      <c r="F583" s="163">
        <v>432.51427534363029</v>
      </c>
      <c r="G583" s="163">
        <v>527.27863904251558</v>
      </c>
      <c r="H583" s="163">
        <v>622.04300274140087</v>
      </c>
      <c r="I583" s="163" t="s">
        <v>5936</v>
      </c>
      <c r="J583" s="308"/>
      <c r="L583" s="37"/>
      <c r="M583" s="37"/>
      <c r="N583" s="37"/>
    </row>
    <row r="584" spans="1:14" hidden="1" outlineLevel="1" x14ac:dyDescent="0.3">
      <c r="A584" s="56" t="s">
        <v>6012</v>
      </c>
      <c r="B584" s="56" t="s">
        <v>894</v>
      </c>
      <c r="C584" s="56" t="s">
        <v>797</v>
      </c>
      <c r="D584" s="163">
        <v>580.73545959060471</v>
      </c>
      <c r="E584" s="163">
        <v>580.73545959060471</v>
      </c>
      <c r="F584" s="163">
        <v>660.11073858625218</v>
      </c>
      <c r="G584" s="163">
        <v>739.48601758189977</v>
      </c>
      <c r="H584" s="163">
        <v>818.86129657754725</v>
      </c>
      <c r="I584" s="163" t="s">
        <v>5935</v>
      </c>
      <c r="J584" s="308"/>
      <c r="L584" s="37"/>
      <c r="M584" s="37"/>
      <c r="N584" s="37"/>
    </row>
    <row r="585" spans="1:14" hidden="1" outlineLevel="1" x14ac:dyDescent="0.3">
      <c r="A585" s="56" t="s">
        <v>6012</v>
      </c>
      <c r="B585" s="56" t="s">
        <v>915</v>
      </c>
      <c r="C585" s="56" t="s">
        <v>799</v>
      </c>
      <c r="D585" s="163">
        <v>580.73545959060471</v>
      </c>
      <c r="E585" s="163">
        <v>580.73545959060471</v>
      </c>
      <c r="F585" s="163">
        <v>660.11073858625218</v>
      </c>
      <c r="G585" s="163">
        <v>739.48601758189977</v>
      </c>
      <c r="H585" s="163">
        <v>818.86129657754725</v>
      </c>
      <c r="I585" s="163" t="s">
        <v>5935</v>
      </c>
      <c r="J585" s="308"/>
      <c r="L585" s="37"/>
      <c r="M585" s="37"/>
      <c r="N585" s="37"/>
    </row>
    <row r="586" spans="1:14" hidden="1" outlineLevel="1" x14ac:dyDescent="0.3">
      <c r="A586" s="56" t="s">
        <v>6012</v>
      </c>
      <c r="B586" s="56" t="s">
        <v>915</v>
      </c>
      <c r="C586" s="56" t="s">
        <v>801</v>
      </c>
      <c r="D586" s="163">
        <v>580.73545959060471</v>
      </c>
      <c r="E586" s="163">
        <v>580.73545959060471</v>
      </c>
      <c r="F586" s="163">
        <v>660.11073858625218</v>
      </c>
      <c r="G586" s="163">
        <v>739.48601758189977</v>
      </c>
      <c r="H586" s="163">
        <v>818.86129657754725</v>
      </c>
      <c r="I586" s="163" t="s">
        <v>5935</v>
      </c>
      <c r="J586" s="308"/>
      <c r="L586" s="37"/>
      <c r="M586" s="37"/>
      <c r="N586" s="37"/>
    </row>
    <row r="587" spans="1:14" hidden="1" outlineLevel="1" x14ac:dyDescent="0.3">
      <c r="A587" s="56" t="s">
        <v>6012</v>
      </c>
      <c r="B587" s="56" t="s">
        <v>915</v>
      </c>
      <c r="C587" s="56" t="s">
        <v>804</v>
      </c>
      <c r="D587" s="163">
        <v>580.73545959060471</v>
      </c>
      <c r="E587" s="163">
        <v>580.73545959060471</v>
      </c>
      <c r="F587" s="163">
        <v>660.11073858625218</v>
      </c>
      <c r="G587" s="163">
        <v>739.48601758189977</v>
      </c>
      <c r="H587" s="163">
        <v>818.86129657754725</v>
      </c>
      <c r="I587" s="163" t="s">
        <v>5935</v>
      </c>
      <c r="J587" s="308"/>
      <c r="L587" s="37"/>
      <c r="M587" s="37"/>
      <c r="N587" s="37"/>
    </row>
    <row r="588" spans="1:14" hidden="1" outlineLevel="1" x14ac:dyDescent="0.3">
      <c r="A588" s="56" t="s">
        <v>6012</v>
      </c>
      <c r="B588" s="56" t="s">
        <v>915</v>
      </c>
      <c r="C588" s="56" t="s">
        <v>806</v>
      </c>
      <c r="D588" s="163">
        <v>580.73545959060471</v>
      </c>
      <c r="E588" s="163">
        <v>580.73545959060471</v>
      </c>
      <c r="F588" s="163">
        <v>660.11073858625218</v>
      </c>
      <c r="G588" s="163">
        <v>739.48601758189977</v>
      </c>
      <c r="H588" s="163">
        <v>818.86129657754725</v>
      </c>
      <c r="I588" s="163" t="s">
        <v>5935</v>
      </c>
      <c r="J588" s="308"/>
      <c r="L588" s="37"/>
      <c r="M588" s="37"/>
      <c r="N588" s="37"/>
    </row>
    <row r="589" spans="1:14" hidden="1" outlineLevel="1" x14ac:dyDescent="0.3">
      <c r="A589" s="56" t="s">
        <v>6012</v>
      </c>
      <c r="B589" s="56" t="s">
        <v>915</v>
      </c>
      <c r="C589" s="56" t="s">
        <v>808</v>
      </c>
      <c r="D589" s="163">
        <v>580.73545959060471</v>
      </c>
      <c r="E589" s="163">
        <v>580.73545959060471</v>
      </c>
      <c r="F589" s="163">
        <v>660.11073858625218</v>
      </c>
      <c r="G589" s="163">
        <v>739.48601758189977</v>
      </c>
      <c r="H589" s="163">
        <v>818.86129657754725</v>
      </c>
      <c r="I589" s="163" t="s">
        <v>5935</v>
      </c>
      <c r="J589" s="308"/>
      <c r="L589" s="37"/>
      <c r="M589" s="37"/>
      <c r="N589" s="37"/>
    </row>
    <row r="590" spans="1:14" hidden="1" outlineLevel="1" x14ac:dyDescent="0.3">
      <c r="A590" s="56" t="s">
        <v>6012</v>
      </c>
      <c r="B590" s="56" t="s">
        <v>915</v>
      </c>
      <c r="C590" s="56" t="s">
        <v>811</v>
      </c>
      <c r="D590" s="163">
        <v>580.73545959060471</v>
      </c>
      <c r="E590" s="163">
        <v>580.73545959060471</v>
      </c>
      <c r="F590" s="163">
        <v>660.11073858625218</v>
      </c>
      <c r="G590" s="163">
        <v>739.48601758189977</v>
      </c>
      <c r="H590" s="163">
        <v>818.86129657754725</v>
      </c>
      <c r="I590" s="163" t="s">
        <v>5935</v>
      </c>
      <c r="J590" s="308"/>
      <c r="L590" s="37"/>
      <c r="M590" s="37"/>
      <c r="N590" s="37"/>
    </row>
    <row r="591" spans="1:14" hidden="1" outlineLevel="1" x14ac:dyDescent="0.3">
      <c r="A591" s="56" t="s">
        <v>6012</v>
      </c>
      <c r="B591" s="56" t="s">
        <v>934</v>
      </c>
      <c r="C591" s="56" t="s">
        <v>814</v>
      </c>
      <c r="D591" s="163">
        <v>580.73545959060471</v>
      </c>
      <c r="E591" s="163">
        <v>580.73545959060471</v>
      </c>
      <c r="F591" s="163">
        <v>660.11073858625218</v>
      </c>
      <c r="G591" s="163">
        <v>739.48601758189977</v>
      </c>
      <c r="H591" s="163">
        <v>818.86129657754725</v>
      </c>
      <c r="I591" s="163" t="s">
        <v>5935</v>
      </c>
      <c r="J591" s="308"/>
      <c r="L591" s="37"/>
      <c r="M591" s="37"/>
      <c r="N591" s="37"/>
    </row>
    <row r="592" spans="1:14" hidden="1" outlineLevel="1" x14ac:dyDescent="0.3">
      <c r="A592" s="56" t="s">
        <v>6012</v>
      </c>
      <c r="B592" s="56" t="s">
        <v>934</v>
      </c>
      <c r="C592" s="56" t="s">
        <v>815</v>
      </c>
      <c r="D592" s="163">
        <v>580.73545959060471</v>
      </c>
      <c r="E592" s="163">
        <v>580.73545959060471</v>
      </c>
      <c r="F592" s="163">
        <v>660.11073858625218</v>
      </c>
      <c r="G592" s="163">
        <v>739.48601758189977</v>
      </c>
      <c r="H592" s="163">
        <v>818.86129657754725</v>
      </c>
      <c r="I592" s="163" t="s">
        <v>5935</v>
      </c>
      <c r="J592" s="308"/>
      <c r="L592" s="37"/>
      <c r="M592" s="37"/>
      <c r="N592" s="37"/>
    </row>
    <row r="593" spans="1:14" hidden="1" outlineLevel="1" x14ac:dyDescent="0.3">
      <c r="A593" s="56" t="s">
        <v>6012</v>
      </c>
      <c r="B593" s="56" t="s">
        <v>940</v>
      </c>
      <c r="C593" s="56" t="s">
        <v>817</v>
      </c>
      <c r="D593" s="163">
        <v>580.73545959060471</v>
      </c>
      <c r="E593" s="163">
        <v>580.73545959060471</v>
      </c>
      <c r="F593" s="163">
        <v>660.11073858625218</v>
      </c>
      <c r="G593" s="163">
        <v>739.48601758189977</v>
      </c>
      <c r="H593" s="163">
        <v>818.86129657754725</v>
      </c>
      <c r="I593" s="163" t="s">
        <v>5935</v>
      </c>
      <c r="J593" s="308"/>
      <c r="L593" s="37"/>
      <c r="M593" s="37"/>
      <c r="N593" s="37"/>
    </row>
    <row r="594" spans="1:14" hidden="1" outlineLevel="1" x14ac:dyDescent="0.3">
      <c r="A594" s="56" t="s">
        <v>6012</v>
      </c>
      <c r="B594" s="56" t="s">
        <v>940</v>
      </c>
      <c r="C594" s="56" t="s">
        <v>944</v>
      </c>
      <c r="D594" s="163">
        <v>580.73545959060471</v>
      </c>
      <c r="E594" s="163">
        <v>580.73545959060471</v>
      </c>
      <c r="F594" s="163">
        <v>660.11073858625218</v>
      </c>
      <c r="G594" s="163">
        <v>739.48601758189977</v>
      </c>
      <c r="H594" s="163">
        <v>818.86129657754725</v>
      </c>
      <c r="I594" s="163" t="s">
        <v>5935</v>
      </c>
      <c r="J594" s="308"/>
      <c r="L594" s="37"/>
      <c r="M594" s="37"/>
      <c r="N594" s="37"/>
    </row>
    <row r="595" spans="1:14" hidden="1" outlineLevel="1" x14ac:dyDescent="0.3">
      <c r="A595" s="56" t="s">
        <v>6012</v>
      </c>
      <c r="B595" s="56" t="s">
        <v>940</v>
      </c>
      <c r="C595" s="56" t="s">
        <v>821</v>
      </c>
      <c r="D595" s="163">
        <v>580.73545959060471</v>
      </c>
      <c r="E595" s="163">
        <v>580.73545959060471</v>
      </c>
      <c r="F595" s="163">
        <v>660.11073858625218</v>
      </c>
      <c r="G595" s="163">
        <v>739.48601758189977</v>
      </c>
      <c r="H595" s="163">
        <v>818.86129657754725</v>
      </c>
      <c r="I595" s="163" t="s">
        <v>5935</v>
      </c>
      <c r="J595" s="308"/>
      <c r="L595" s="37"/>
      <c r="M595" s="37"/>
      <c r="N595" s="37"/>
    </row>
    <row r="596" spans="1:14" hidden="1" outlineLevel="1" x14ac:dyDescent="0.3">
      <c r="A596" s="56" t="s">
        <v>6012</v>
      </c>
      <c r="B596" s="56" t="s">
        <v>940</v>
      </c>
      <c r="C596" s="56" t="s">
        <v>823</v>
      </c>
      <c r="D596" s="163">
        <v>580.73545959060471</v>
      </c>
      <c r="E596" s="163">
        <v>580.73545959060471</v>
      </c>
      <c r="F596" s="163">
        <v>660.11073858625218</v>
      </c>
      <c r="G596" s="163">
        <v>739.48601758189977</v>
      </c>
      <c r="H596" s="163">
        <v>818.86129657754725</v>
      </c>
      <c r="I596" s="163" t="s">
        <v>5935</v>
      </c>
      <c r="J596" s="308"/>
      <c r="L596" s="37"/>
      <c r="M596" s="37"/>
      <c r="N596" s="37"/>
    </row>
    <row r="597" spans="1:14" hidden="1" outlineLevel="1" x14ac:dyDescent="0.3">
      <c r="A597" s="56" t="s">
        <v>6012</v>
      </c>
      <c r="B597" s="56" t="s">
        <v>940</v>
      </c>
      <c r="C597" s="56" t="s">
        <v>825</v>
      </c>
      <c r="D597" s="163">
        <v>580.73545959060471</v>
      </c>
      <c r="E597" s="163">
        <v>580.73545959060471</v>
      </c>
      <c r="F597" s="163">
        <v>660.11073858625218</v>
      </c>
      <c r="G597" s="163">
        <v>739.48601758189977</v>
      </c>
      <c r="H597" s="163">
        <v>818.86129657754725</v>
      </c>
      <c r="I597" s="163" t="s">
        <v>5935</v>
      </c>
      <c r="J597" s="308"/>
      <c r="L597" s="37"/>
      <c r="M597" s="37"/>
      <c r="N597" s="37"/>
    </row>
    <row r="598" spans="1:14" hidden="1" outlineLevel="1" x14ac:dyDescent="0.3">
      <c r="A598" s="56" t="s">
        <v>6012</v>
      </c>
      <c r="B598" s="56" t="s">
        <v>940</v>
      </c>
      <c r="C598" s="56" t="s">
        <v>827</v>
      </c>
      <c r="D598" s="163">
        <v>580.73545959060471</v>
      </c>
      <c r="E598" s="163">
        <v>580.73545959060471</v>
      </c>
      <c r="F598" s="163">
        <v>660.11073858625218</v>
      </c>
      <c r="G598" s="163">
        <v>739.48601758189977</v>
      </c>
      <c r="H598" s="163">
        <v>818.86129657754725</v>
      </c>
      <c r="I598" s="163" t="s">
        <v>5935</v>
      </c>
      <c r="J598" s="308"/>
      <c r="L598" s="37"/>
      <c r="M598" s="37"/>
      <c r="N598" s="37"/>
    </row>
    <row r="599" spans="1:14" hidden="1" outlineLevel="1" x14ac:dyDescent="0.3">
      <c r="A599" s="56" t="s">
        <v>6012</v>
      </c>
      <c r="B599" s="56" t="s">
        <v>940</v>
      </c>
      <c r="C599" s="56" t="s">
        <v>829</v>
      </c>
      <c r="D599" s="163">
        <v>580.73545959060471</v>
      </c>
      <c r="E599" s="163">
        <v>580.73545959060471</v>
      </c>
      <c r="F599" s="163">
        <v>660.11073858625218</v>
      </c>
      <c r="G599" s="163">
        <v>739.48601758189977</v>
      </c>
      <c r="H599" s="163">
        <v>818.86129657754725</v>
      </c>
      <c r="I599" s="163" t="s">
        <v>5935</v>
      </c>
      <c r="J599" s="308"/>
      <c r="L599" s="37"/>
      <c r="M599" s="37"/>
      <c r="N599" s="37"/>
    </row>
    <row r="600" spans="1:14" hidden="1" outlineLevel="1" x14ac:dyDescent="0.3">
      <c r="A600" s="56" t="s">
        <v>6012</v>
      </c>
      <c r="B600" s="56" t="s">
        <v>940</v>
      </c>
      <c r="C600" s="56" t="s">
        <v>833</v>
      </c>
      <c r="D600" s="163">
        <v>580.73545959060471</v>
      </c>
      <c r="E600" s="163">
        <v>580.73545959060471</v>
      </c>
      <c r="F600" s="163">
        <v>660.11073858625218</v>
      </c>
      <c r="G600" s="163">
        <v>739.48601758189977</v>
      </c>
      <c r="H600" s="163">
        <v>818.86129657754725</v>
      </c>
      <c r="I600" s="163" t="s">
        <v>5935</v>
      </c>
      <c r="J600" s="308"/>
      <c r="L600" s="37"/>
      <c r="M600" s="37"/>
      <c r="N600" s="37"/>
    </row>
    <row r="601" spans="1:14" hidden="1" outlineLevel="1" x14ac:dyDescent="0.3">
      <c r="A601" s="56" t="s">
        <v>6012</v>
      </c>
      <c r="B601" s="56" t="s">
        <v>940</v>
      </c>
      <c r="C601" s="56" t="s">
        <v>836</v>
      </c>
      <c r="D601" s="163">
        <v>580.73545959060471</v>
      </c>
      <c r="E601" s="163">
        <v>580.73545959060471</v>
      </c>
      <c r="F601" s="163">
        <v>660.11073858625218</v>
      </c>
      <c r="G601" s="163">
        <v>739.48601758189977</v>
      </c>
      <c r="H601" s="163">
        <v>818.86129657754725</v>
      </c>
      <c r="I601" s="163" t="s">
        <v>5935</v>
      </c>
      <c r="J601" s="308"/>
      <c r="L601" s="37"/>
      <c r="M601" s="37"/>
      <c r="N601" s="37"/>
    </row>
    <row r="602" spans="1:14" hidden="1" outlineLevel="1" x14ac:dyDescent="0.3">
      <c r="A602" s="56" t="s">
        <v>6012</v>
      </c>
      <c r="B602" s="56" t="s">
        <v>940</v>
      </c>
      <c r="C602" s="56" t="s">
        <v>837</v>
      </c>
      <c r="D602" s="163">
        <v>580.73545959060471</v>
      </c>
      <c r="E602" s="163">
        <v>580.73545959060471</v>
      </c>
      <c r="F602" s="163">
        <v>660.11073858625218</v>
      </c>
      <c r="G602" s="163">
        <v>739.48601758189977</v>
      </c>
      <c r="H602" s="163">
        <v>818.86129657754725</v>
      </c>
      <c r="I602" s="163" t="s">
        <v>5935</v>
      </c>
      <c r="J602" s="308"/>
      <c r="L602" s="37"/>
      <c r="M602" s="37"/>
      <c r="N602" s="37"/>
    </row>
    <row r="603" spans="1:14" hidden="1" outlineLevel="1" x14ac:dyDescent="0.3">
      <c r="A603" s="56" t="s">
        <v>6012</v>
      </c>
      <c r="B603" s="56" t="s">
        <v>940</v>
      </c>
      <c r="C603" s="56" t="s">
        <v>839</v>
      </c>
      <c r="D603" s="163">
        <v>580.73545959060471</v>
      </c>
      <c r="E603" s="163">
        <v>580.73545959060471</v>
      </c>
      <c r="F603" s="163">
        <v>660.11073858625218</v>
      </c>
      <c r="G603" s="163">
        <v>739.48601758189977</v>
      </c>
      <c r="H603" s="163">
        <v>818.86129657754725</v>
      </c>
      <c r="I603" s="163" t="s">
        <v>5935</v>
      </c>
      <c r="J603" s="308"/>
      <c r="L603" s="37"/>
      <c r="M603" s="37"/>
      <c r="N603" s="37"/>
    </row>
    <row r="604" spans="1:14" hidden="1" outlineLevel="1" x14ac:dyDescent="0.3">
      <c r="A604" s="56" t="s">
        <v>6012</v>
      </c>
      <c r="B604" s="56" t="s">
        <v>940</v>
      </c>
      <c r="C604" s="56" t="s">
        <v>840</v>
      </c>
      <c r="D604" s="163">
        <v>580.73545959060471</v>
      </c>
      <c r="E604" s="163">
        <v>580.73545959060471</v>
      </c>
      <c r="F604" s="163">
        <v>660.11073858625218</v>
      </c>
      <c r="G604" s="163">
        <v>739.48601758189977</v>
      </c>
      <c r="H604" s="163">
        <v>818.86129657754725</v>
      </c>
      <c r="I604" s="163" t="s">
        <v>5935</v>
      </c>
      <c r="J604" s="308"/>
      <c r="L604" s="37"/>
      <c r="M604" s="37"/>
      <c r="N604" s="37"/>
    </row>
    <row r="605" spans="1:14" collapsed="1" x14ac:dyDescent="0.3">
      <c r="A605" s="56"/>
      <c r="B605" s="56"/>
      <c r="C605" s="56"/>
      <c r="D605" s="163"/>
      <c r="E605" s="163"/>
      <c r="F605" s="56"/>
      <c r="G605" s="56"/>
      <c r="H605" s="56"/>
      <c r="I605" s="163"/>
      <c r="J605" s="308"/>
      <c r="L605" s="37"/>
      <c r="M605" s="37"/>
      <c r="N605" s="37"/>
    </row>
    <row r="606" spans="1:14" x14ac:dyDescent="0.3">
      <c r="A606" s="143" t="s">
        <v>6013</v>
      </c>
      <c r="B606" s="143"/>
      <c r="C606" s="144" t="s">
        <v>4032</v>
      </c>
      <c r="D606" s="252">
        <v>893.00081555198062</v>
      </c>
      <c r="E606" s="252">
        <v>893.00081555198062</v>
      </c>
      <c r="F606" s="252">
        <v>936.88284843696476</v>
      </c>
      <c r="G606" s="252">
        <v>980.76488132194845</v>
      </c>
      <c r="H606" s="252">
        <v>1024.6469142069336</v>
      </c>
      <c r="I606" s="163"/>
      <c r="J606" s="308"/>
    </row>
    <row r="607" spans="1:14" x14ac:dyDescent="0.3">
      <c r="A607" s="131" t="s">
        <v>5</v>
      </c>
      <c r="B607" s="131" t="s">
        <v>847</v>
      </c>
      <c r="C607" s="131" t="s">
        <v>193</v>
      </c>
      <c r="D607" s="131">
        <v>2025</v>
      </c>
      <c r="E607" s="131">
        <v>2030</v>
      </c>
      <c r="F607" s="131">
        <v>2035</v>
      </c>
      <c r="G607" s="131">
        <v>2040</v>
      </c>
      <c r="H607" s="131">
        <v>2045</v>
      </c>
      <c r="I607" s="131" t="s">
        <v>153</v>
      </c>
      <c r="J607" s="308"/>
    </row>
    <row r="608" spans="1:14" hidden="1" outlineLevel="1" x14ac:dyDescent="0.3">
      <c r="A608" s="56" t="s">
        <v>6013</v>
      </c>
      <c r="B608" s="56" t="s">
        <v>855</v>
      </c>
      <c r="C608" s="56" t="s">
        <v>747</v>
      </c>
      <c r="D608" s="163">
        <v>698.58345034434672</v>
      </c>
      <c r="E608" s="163">
        <v>698.58345034434672</v>
      </c>
      <c r="F608" s="163">
        <v>609.08377351762169</v>
      </c>
      <c r="G608" s="163">
        <v>519.58409669089667</v>
      </c>
      <c r="H608" s="163">
        <v>430.08441986417165</v>
      </c>
      <c r="I608" s="163" t="s">
        <v>5934</v>
      </c>
      <c r="J608" s="308"/>
    </row>
    <row r="609" spans="1:14" hidden="1" outlineLevel="1" x14ac:dyDescent="0.3">
      <c r="A609" s="56" t="s">
        <v>6013</v>
      </c>
      <c r="B609" s="56" t="s">
        <v>855</v>
      </c>
      <c r="C609" s="56" t="s">
        <v>751</v>
      </c>
      <c r="D609" s="163">
        <v>698.58345034434672</v>
      </c>
      <c r="E609" s="163">
        <v>698.58345034434672</v>
      </c>
      <c r="F609" s="163">
        <v>609.08377351762169</v>
      </c>
      <c r="G609" s="163">
        <v>519.58409669089667</v>
      </c>
      <c r="H609" s="163">
        <v>430.08441986417165</v>
      </c>
      <c r="I609" s="163" t="s">
        <v>5934</v>
      </c>
      <c r="J609" s="308"/>
    </row>
    <row r="610" spans="1:14" hidden="1" outlineLevel="1" x14ac:dyDescent="0.3">
      <c r="A610" s="56" t="s">
        <v>6013</v>
      </c>
      <c r="B610" s="56" t="s">
        <v>855</v>
      </c>
      <c r="C610" s="56" t="s">
        <v>755</v>
      </c>
      <c r="D610" s="163">
        <v>698.58345034434672</v>
      </c>
      <c r="E610" s="163">
        <v>698.58345034434672</v>
      </c>
      <c r="F610" s="163">
        <v>609.08377351762169</v>
      </c>
      <c r="G610" s="163">
        <v>519.58409669089667</v>
      </c>
      <c r="H610" s="163">
        <v>430.08441986417165</v>
      </c>
      <c r="I610" s="163" t="s">
        <v>5934</v>
      </c>
      <c r="J610" s="308"/>
      <c r="L610" s="37"/>
      <c r="M610" s="37"/>
      <c r="N610" s="37"/>
    </row>
    <row r="611" spans="1:14" hidden="1" outlineLevel="1" x14ac:dyDescent="0.3">
      <c r="A611" s="56" t="s">
        <v>6013</v>
      </c>
      <c r="B611" s="56" t="s">
        <v>855</v>
      </c>
      <c r="C611" s="56" t="s">
        <v>758</v>
      </c>
      <c r="D611" s="163">
        <v>698.58345034434672</v>
      </c>
      <c r="E611" s="163">
        <v>698.58345034434672</v>
      </c>
      <c r="F611" s="163">
        <v>609.08377351762169</v>
      </c>
      <c r="G611" s="163">
        <v>519.58409669089667</v>
      </c>
      <c r="H611" s="163">
        <v>430.08441986417165</v>
      </c>
      <c r="I611" s="163" t="s">
        <v>5934</v>
      </c>
      <c r="J611" s="308"/>
      <c r="L611" s="37"/>
      <c r="M611" s="37"/>
      <c r="N611" s="37"/>
    </row>
    <row r="612" spans="1:14" hidden="1" outlineLevel="1" x14ac:dyDescent="0.3">
      <c r="A612" s="56" t="s">
        <v>6013</v>
      </c>
      <c r="B612" s="56" t="s">
        <v>855</v>
      </c>
      <c r="C612" s="56" t="s">
        <v>761</v>
      </c>
      <c r="D612" s="163">
        <v>698.58345034434672</v>
      </c>
      <c r="E612" s="163">
        <v>698.58345034434672</v>
      </c>
      <c r="F612" s="163">
        <v>609.08377351762169</v>
      </c>
      <c r="G612" s="163">
        <v>519.58409669089667</v>
      </c>
      <c r="H612" s="163">
        <v>430.08441986417165</v>
      </c>
      <c r="I612" s="163" t="s">
        <v>5934</v>
      </c>
      <c r="J612" s="308"/>
      <c r="L612" s="37"/>
      <c r="M612" s="37"/>
      <c r="N612" s="37"/>
    </row>
    <row r="613" spans="1:14" hidden="1" outlineLevel="1" x14ac:dyDescent="0.3">
      <c r="A613" s="56" t="s">
        <v>6013</v>
      </c>
      <c r="B613" s="56" t="s">
        <v>855</v>
      </c>
      <c r="C613" s="56" t="s">
        <v>763</v>
      </c>
      <c r="D613" s="163">
        <v>698.58345034434672</v>
      </c>
      <c r="E613" s="163">
        <v>698.58345034434672</v>
      </c>
      <c r="F613" s="163">
        <v>609.08377351762169</v>
      </c>
      <c r="G613" s="163">
        <v>519.58409669089667</v>
      </c>
      <c r="H613" s="163">
        <v>430.08441986417165</v>
      </c>
      <c r="I613" s="163" t="s">
        <v>5934</v>
      </c>
      <c r="J613" s="308"/>
      <c r="L613" s="37"/>
      <c r="M613" s="37"/>
      <c r="N613" s="37"/>
    </row>
    <row r="614" spans="1:14" hidden="1" outlineLevel="1" x14ac:dyDescent="0.3">
      <c r="A614" s="56" t="s">
        <v>6013</v>
      </c>
      <c r="B614" s="56" t="s">
        <v>855</v>
      </c>
      <c r="C614" s="56" t="s">
        <v>765</v>
      </c>
      <c r="D614" s="163">
        <v>698.58345034434672</v>
      </c>
      <c r="E614" s="163">
        <v>698.58345034434672</v>
      </c>
      <c r="F614" s="163">
        <v>609.08377351762169</v>
      </c>
      <c r="G614" s="163">
        <v>519.58409669089667</v>
      </c>
      <c r="H614" s="163">
        <v>430.08441986417165</v>
      </c>
      <c r="I614" s="56" t="s">
        <v>5934</v>
      </c>
      <c r="J614" s="308"/>
      <c r="L614" s="37"/>
      <c r="M614" s="37"/>
      <c r="N614" s="37"/>
    </row>
    <row r="615" spans="1:14" hidden="1" outlineLevel="1" x14ac:dyDescent="0.3">
      <c r="A615" s="56" t="s">
        <v>6013</v>
      </c>
      <c r="B615" s="56" t="s">
        <v>855</v>
      </c>
      <c r="C615" s="56" t="s">
        <v>768</v>
      </c>
      <c r="D615" s="163">
        <v>698.58345034434672</v>
      </c>
      <c r="E615" s="163">
        <v>698.58345034434672</v>
      </c>
      <c r="F615" s="163">
        <v>609.08377351762169</v>
      </c>
      <c r="G615" s="163">
        <v>519.58409669089667</v>
      </c>
      <c r="H615" s="163">
        <v>430.08441986417165</v>
      </c>
      <c r="I615" s="163" t="s">
        <v>5934</v>
      </c>
      <c r="J615" s="308"/>
      <c r="L615" s="37"/>
      <c r="M615" s="37"/>
      <c r="N615" s="37"/>
    </row>
    <row r="616" spans="1:14" hidden="1" outlineLevel="1" x14ac:dyDescent="0.3">
      <c r="A616" s="56" t="s">
        <v>6013</v>
      </c>
      <c r="B616" s="56" t="s">
        <v>855</v>
      </c>
      <c r="C616" s="56" t="s">
        <v>771</v>
      </c>
      <c r="D616" s="163">
        <v>698.58345034434672</v>
      </c>
      <c r="E616" s="163">
        <v>698.58345034434672</v>
      </c>
      <c r="F616" s="163">
        <v>609.08377351762169</v>
      </c>
      <c r="G616" s="163">
        <v>519.58409669089667</v>
      </c>
      <c r="H616" s="163">
        <v>430.08441986417165</v>
      </c>
      <c r="I616" s="163" t="s">
        <v>5934</v>
      </c>
      <c r="J616" s="308"/>
      <c r="L616" s="37"/>
      <c r="M616" s="37"/>
      <c r="N616" s="37"/>
    </row>
    <row r="617" spans="1:14" hidden="1" outlineLevel="1" x14ac:dyDescent="0.3">
      <c r="A617" s="56" t="s">
        <v>6013</v>
      </c>
      <c r="B617" s="56" t="s">
        <v>855</v>
      </c>
      <c r="C617" s="56" t="s">
        <v>772</v>
      </c>
      <c r="D617" s="163">
        <v>698.58345034434672</v>
      </c>
      <c r="E617" s="163">
        <v>698.58345034434672</v>
      </c>
      <c r="F617" s="163">
        <v>609.08377351762169</v>
      </c>
      <c r="G617" s="163">
        <v>519.58409669089667</v>
      </c>
      <c r="H617" s="163">
        <v>430.08441986417165</v>
      </c>
      <c r="I617" s="163" t="s">
        <v>5934</v>
      </c>
      <c r="J617" s="308"/>
      <c r="L617" s="37"/>
      <c r="M617" s="37"/>
      <c r="N617" s="37"/>
    </row>
    <row r="618" spans="1:14" hidden="1" outlineLevel="1" x14ac:dyDescent="0.3">
      <c r="A618" s="56" t="s">
        <v>6013</v>
      </c>
      <c r="B618" s="56" t="s">
        <v>855</v>
      </c>
      <c r="C618" s="56" t="s">
        <v>774</v>
      </c>
      <c r="D618" s="163">
        <v>698.58345034434672</v>
      </c>
      <c r="E618" s="163">
        <v>698.58345034434672</v>
      </c>
      <c r="F618" s="163">
        <v>609.08377351762169</v>
      </c>
      <c r="G618" s="163">
        <v>519.58409669089667</v>
      </c>
      <c r="H618" s="163">
        <v>430.08441986417165</v>
      </c>
      <c r="I618" s="163" t="s">
        <v>5934</v>
      </c>
      <c r="J618" s="308"/>
      <c r="L618" s="37"/>
      <c r="M618" s="37"/>
      <c r="N618" s="37"/>
    </row>
    <row r="619" spans="1:14" hidden="1" outlineLevel="1" x14ac:dyDescent="0.3">
      <c r="A619" s="56" t="s">
        <v>6013</v>
      </c>
      <c r="B619" s="56" t="s">
        <v>855</v>
      </c>
      <c r="C619" s="56" t="s">
        <v>775</v>
      </c>
      <c r="D619" s="163">
        <v>698.58345034434672</v>
      </c>
      <c r="E619" s="163">
        <v>698.58345034434672</v>
      </c>
      <c r="F619" s="163">
        <v>609.08377351762169</v>
      </c>
      <c r="G619" s="163">
        <v>519.58409669089667</v>
      </c>
      <c r="H619" s="163">
        <v>430.08441986417165</v>
      </c>
      <c r="I619" s="163" t="s">
        <v>5934</v>
      </c>
      <c r="J619" s="308"/>
      <c r="L619" s="37"/>
      <c r="M619" s="37"/>
      <c r="N619" s="37"/>
    </row>
    <row r="620" spans="1:14" hidden="1" outlineLevel="1" x14ac:dyDescent="0.3">
      <c r="A620" s="56" t="s">
        <v>6013</v>
      </c>
      <c r="B620" s="56" t="s">
        <v>855</v>
      </c>
      <c r="C620" s="56" t="s">
        <v>779</v>
      </c>
      <c r="D620" s="163">
        <v>698.58345034434672</v>
      </c>
      <c r="E620" s="163">
        <v>698.58345034434672</v>
      </c>
      <c r="F620" s="163">
        <v>609.08377351762169</v>
      </c>
      <c r="G620" s="163">
        <v>519.58409669089667</v>
      </c>
      <c r="H620" s="163">
        <v>430.08441986417165</v>
      </c>
      <c r="I620" s="163" t="s">
        <v>5934</v>
      </c>
      <c r="J620" s="308"/>
      <c r="L620" s="37"/>
      <c r="M620" s="37"/>
      <c r="N620" s="37"/>
    </row>
    <row r="621" spans="1:14" hidden="1" outlineLevel="1" x14ac:dyDescent="0.3">
      <c r="A621" s="56" t="s">
        <v>6013</v>
      </c>
      <c r="B621" s="56" t="s">
        <v>894</v>
      </c>
      <c r="C621" s="56" t="s">
        <v>781</v>
      </c>
      <c r="D621" s="163">
        <v>1073.9961219206998</v>
      </c>
      <c r="E621" s="163">
        <v>1073.9961219206998</v>
      </c>
      <c r="F621" s="163">
        <v>1143.651978998513</v>
      </c>
      <c r="G621" s="163">
        <v>1213.3078360763261</v>
      </c>
      <c r="H621" s="163">
        <v>1282.9636931541393</v>
      </c>
      <c r="I621" s="163" t="s">
        <v>5935</v>
      </c>
      <c r="J621" s="308"/>
      <c r="L621" s="37"/>
      <c r="M621" s="37"/>
      <c r="N621" s="37"/>
    </row>
    <row r="622" spans="1:14" hidden="1" outlineLevel="1" x14ac:dyDescent="0.3">
      <c r="A622" s="56" t="s">
        <v>6013</v>
      </c>
      <c r="B622" s="56" t="s">
        <v>894</v>
      </c>
      <c r="C622" s="56" t="s">
        <v>783</v>
      </c>
      <c r="D622" s="163">
        <v>1073.9961219206998</v>
      </c>
      <c r="E622" s="163">
        <v>1073.9961219206998</v>
      </c>
      <c r="F622" s="163">
        <v>1143.651978998513</v>
      </c>
      <c r="G622" s="163">
        <v>1213.3078360763261</v>
      </c>
      <c r="H622" s="163">
        <v>1282.9636931541393</v>
      </c>
      <c r="I622" s="163" t="s">
        <v>5935</v>
      </c>
      <c r="J622" s="308"/>
      <c r="L622" s="37"/>
      <c r="M622" s="37"/>
      <c r="N622" s="37"/>
    </row>
    <row r="623" spans="1:14" hidden="1" outlineLevel="1" x14ac:dyDescent="0.3">
      <c r="A623" s="56" t="s">
        <v>6013</v>
      </c>
      <c r="B623" s="56" t="s">
        <v>894</v>
      </c>
      <c r="C623" s="56" t="s">
        <v>785</v>
      </c>
      <c r="D623" s="163">
        <v>393.63658767229271</v>
      </c>
      <c r="E623" s="163">
        <v>393.63658767229271</v>
      </c>
      <c r="F623" s="163">
        <v>709.92277591515347</v>
      </c>
      <c r="G623" s="163">
        <v>1026.2089641580142</v>
      </c>
      <c r="H623" s="163">
        <v>1342.495152400875</v>
      </c>
      <c r="I623" s="163" t="s">
        <v>5936</v>
      </c>
      <c r="J623" s="308"/>
      <c r="L623" s="37"/>
      <c r="M623" s="37"/>
      <c r="N623" s="37"/>
    </row>
    <row r="624" spans="1:14" hidden="1" outlineLevel="1" x14ac:dyDescent="0.3">
      <c r="A624" s="56" t="s">
        <v>6013</v>
      </c>
      <c r="B624" s="56" t="s">
        <v>894</v>
      </c>
      <c r="C624" s="56" t="s">
        <v>787</v>
      </c>
      <c r="D624" s="163">
        <v>1073.9961219206998</v>
      </c>
      <c r="E624" s="163">
        <v>1073.9961219206998</v>
      </c>
      <c r="F624" s="163">
        <v>1143.651978998513</v>
      </c>
      <c r="G624" s="163">
        <v>1213.3078360763261</v>
      </c>
      <c r="H624" s="163">
        <v>1282.9636931541393</v>
      </c>
      <c r="I624" s="163" t="s">
        <v>5935</v>
      </c>
      <c r="J624" s="308"/>
      <c r="L624" s="37"/>
      <c r="M624" s="37"/>
      <c r="N624" s="37"/>
    </row>
    <row r="625" spans="1:14" hidden="1" outlineLevel="1" x14ac:dyDescent="0.3">
      <c r="A625" s="56" t="s">
        <v>6013</v>
      </c>
      <c r="B625" s="56" t="s">
        <v>894</v>
      </c>
      <c r="C625" s="56" t="s">
        <v>788</v>
      </c>
      <c r="D625" s="163">
        <v>393.63658767229271</v>
      </c>
      <c r="E625" s="163">
        <v>393.63658767229271</v>
      </c>
      <c r="F625" s="163">
        <v>709.92277591515347</v>
      </c>
      <c r="G625" s="163">
        <v>1026.2089641580142</v>
      </c>
      <c r="H625" s="163">
        <v>1342.495152400875</v>
      </c>
      <c r="I625" s="163" t="s">
        <v>5936</v>
      </c>
      <c r="J625" s="308"/>
      <c r="L625" s="37"/>
      <c r="M625" s="37"/>
      <c r="N625" s="37"/>
    </row>
    <row r="626" spans="1:14" hidden="1" outlineLevel="1" x14ac:dyDescent="0.3">
      <c r="A626" s="56" t="s">
        <v>6013</v>
      </c>
      <c r="B626" s="56" t="s">
        <v>894</v>
      </c>
      <c r="C626" s="56" t="s">
        <v>789</v>
      </c>
      <c r="D626" s="163">
        <v>393.63658767229271</v>
      </c>
      <c r="E626" s="163">
        <v>393.63658767229271</v>
      </c>
      <c r="F626" s="163">
        <v>709.92277591515347</v>
      </c>
      <c r="G626" s="163">
        <v>1026.2089641580142</v>
      </c>
      <c r="H626" s="163">
        <v>1342.495152400875</v>
      </c>
      <c r="I626" s="163" t="s">
        <v>5936</v>
      </c>
      <c r="J626" s="308"/>
      <c r="L626" s="37"/>
      <c r="M626" s="37"/>
      <c r="N626" s="37"/>
    </row>
    <row r="627" spans="1:14" hidden="1" outlineLevel="1" x14ac:dyDescent="0.3">
      <c r="A627" s="56" t="s">
        <v>6013</v>
      </c>
      <c r="B627" s="56" t="s">
        <v>894</v>
      </c>
      <c r="C627" s="56" t="s">
        <v>790</v>
      </c>
      <c r="D627" s="163">
        <v>1073.9961219206998</v>
      </c>
      <c r="E627" s="163">
        <v>1073.9961219206998</v>
      </c>
      <c r="F627" s="163">
        <v>1143.651978998513</v>
      </c>
      <c r="G627" s="163">
        <v>1213.3078360763261</v>
      </c>
      <c r="H627" s="163">
        <v>1282.9636931541393</v>
      </c>
      <c r="I627" s="163" t="s">
        <v>5935</v>
      </c>
      <c r="J627" s="308"/>
      <c r="L627" s="37"/>
      <c r="M627" s="37"/>
      <c r="N627" s="37"/>
    </row>
    <row r="628" spans="1:14" hidden="1" outlineLevel="1" x14ac:dyDescent="0.3">
      <c r="A628" s="56" t="s">
        <v>6013</v>
      </c>
      <c r="B628" s="56" t="s">
        <v>894</v>
      </c>
      <c r="C628" s="56" t="s">
        <v>793</v>
      </c>
      <c r="D628" s="163">
        <v>1073.9961219206998</v>
      </c>
      <c r="E628" s="163">
        <v>1073.9961219206998</v>
      </c>
      <c r="F628" s="163">
        <v>1143.651978998513</v>
      </c>
      <c r="G628" s="163">
        <v>1213.3078360763261</v>
      </c>
      <c r="H628" s="163">
        <v>1282.9636931541393</v>
      </c>
      <c r="I628" s="163" t="s">
        <v>5935</v>
      </c>
      <c r="J628" s="308"/>
      <c r="L628" s="37"/>
      <c r="M628" s="37"/>
      <c r="N628" s="37"/>
    </row>
    <row r="629" spans="1:14" hidden="1" outlineLevel="1" x14ac:dyDescent="0.3">
      <c r="A629" s="56" t="s">
        <v>6013</v>
      </c>
      <c r="B629" s="56" t="s">
        <v>894</v>
      </c>
      <c r="C629" s="56" t="s">
        <v>795</v>
      </c>
      <c r="D629" s="163">
        <v>393.63658767229271</v>
      </c>
      <c r="E629" s="163">
        <v>393.63658767229271</v>
      </c>
      <c r="F629" s="163">
        <v>709.92277591515347</v>
      </c>
      <c r="G629" s="163">
        <v>1026.2089641580142</v>
      </c>
      <c r="H629" s="163">
        <v>1342.495152400875</v>
      </c>
      <c r="I629" s="163" t="s">
        <v>5936</v>
      </c>
      <c r="J629" s="308"/>
      <c r="L629" s="37"/>
      <c r="M629" s="37"/>
      <c r="N629" s="37"/>
    </row>
    <row r="630" spans="1:14" hidden="1" outlineLevel="1" x14ac:dyDescent="0.3">
      <c r="A630" s="56" t="s">
        <v>6013</v>
      </c>
      <c r="B630" s="56" t="s">
        <v>894</v>
      </c>
      <c r="C630" s="56" t="s">
        <v>797</v>
      </c>
      <c r="D630" s="163">
        <v>1073.9961219206998</v>
      </c>
      <c r="E630" s="163">
        <v>1073.9961219206998</v>
      </c>
      <c r="F630" s="163">
        <v>1143.651978998513</v>
      </c>
      <c r="G630" s="163">
        <v>1213.3078360763261</v>
      </c>
      <c r="H630" s="163">
        <v>1282.9636931541393</v>
      </c>
      <c r="I630" s="56" t="s">
        <v>5935</v>
      </c>
      <c r="J630" s="308"/>
      <c r="L630" s="37"/>
      <c r="M630" s="37"/>
      <c r="N630" s="37"/>
    </row>
    <row r="631" spans="1:14" hidden="1" outlineLevel="1" x14ac:dyDescent="0.3">
      <c r="A631" s="56" t="s">
        <v>6013</v>
      </c>
      <c r="B631" s="56" t="s">
        <v>915</v>
      </c>
      <c r="C631" s="56" t="s">
        <v>799</v>
      </c>
      <c r="D631" s="163">
        <v>1073.9961219206998</v>
      </c>
      <c r="E631" s="163">
        <v>1073.9961219206998</v>
      </c>
      <c r="F631" s="163">
        <v>1143.651978998513</v>
      </c>
      <c r="G631" s="163">
        <v>1213.3078360763261</v>
      </c>
      <c r="H631" s="163">
        <v>1282.9636931541393</v>
      </c>
      <c r="I631" s="56" t="s">
        <v>5935</v>
      </c>
      <c r="J631" s="308"/>
      <c r="L631" s="37"/>
      <c r="M631" s="37"/>
      <c r="N631" s="37"/>
    </row>
    <row r="632" spans="1:14" hidden="1" outlineLevel="1" x14ac:dyDescent="0.3">
      <c r="A632" s="56" t="s">
        <v>6013</v>
      </c>
      <c r="B632" s="56" t="s">
        <v>915</v>
      </c>
      <c r="C632" s="56" t="s">
        <v>801</v>
      </c>
      <c r="D632" s="163">
        <v>1073.9961219206998</v>
      </c>
      <c r="E632" s="163">
        <v>1073.9961219206998</v>
      </c>
      <c r="F632" s="163">
        <v>1143.651978998513</v>
      </c>
      <c r="G632" s="163">
        <v>1213.3078360763261</v>
      </c>
      <c r="H632" s="163">
        <v>1282.9636931541393</v>
      </c>
      <c r="I632" s="56" t="s">
        <v>5935</v>
      </c>
      <c r="J632" s="308"/>
      <c r="L632" s="37"/>
      <c r="M632" s="37"/>
      <c r="N632" s="37"/>
    </row>
    <row r="633" spans="1:14" hidden="1" outlineLevel="1" x14ac:dyDescent="0.3">
      <c r="A633" s="56" t="s">
        <v>6013</v>
      </c>
      <c r="B633" s="56" t="s">
        <v>915</v>
      </c>
      <c r="C633" s="56" t="s">
        <v>804</v>
      </c>
      <c r="D633" s="163">
        <v>1073.9961219206998</v>
      </c>
      <c r="E633" s="163">
        <v>1073.9961219206998</v>
      </c>
      <c r="F633" s="163">
        <v>1143.651978998513</v>
      </c>
      <c r="G633" s="163">
        <v>1213.3078360763261</v>
      </c>
      <c r="H633" s="163">
        <v>1282.9636931541393</v>
      </c>
      <c r="I633" s="56" t="s">
        <v>5935</v>
      </c>
      <c r="J633" s="308"/>
      <c r="L633" s="37"/>
      <c r="M633" s="37"/>
      <c r="N633" s="37"/>
    </row>
    <row r="634" spans="1:14" hidden="1" outlineLevel="1" x14ac:dyDescent="0.3">
      <c r="A634" s="56" t="s">
        <v>6013</v>
      </c>
      <c r="B634" s="56" t="s">
        <v>915</v>
      </c>
      <c r="C634" s="56" t="s">
        <v>806</v>
      </c>
      <c r="D634" s="163">
        <v>1073.9961219206998</v>
      </c>
      <c r="E634" s="163">
        <v>1073.9961219206998</v>
      </c>
      <c r="F634" s="163">
        <v>1143.651978998513</v>
      </c>
      <c r="G634" s="163">
        <v>1213.3078360763261</v>
      </c>
      <c r="H634" s="163">
        <v>1282.9636931541393</v>
      </c>
      <c r="I634" s="56" t="s">
        <v>5935</v>
      </c>
      <c r="J634" s="308"/>
      <c r="L634" s="37"/>
      <c r="M634" s="37"/>
      <c r="N634" s="37"/>
    </row>
    <row r="635" spans="1:14" hidden="1" outlineLevel="1" x14ac:dyDescent="0.3">
      <c r="A635" s="56" t="s">
        <v>6013</v>
      </c>
      <c r="B635" s="56" t="s">
        <v>915</v>
      </c>
      <c r="C635" s="56" t="s">
        <v>808</v>
      </c>
      <c r="D635" s="163">
        <v>1073.9961219206998</v>
      </c>
      <c r="E635" s="163">
        <v>1073.9961219206998</v>
      </c>
      <c r="F635" s="163">
        <v>1143.651978998513</v>
      </c>
      <c r="G635" s="163">
        <v>1213.3078360763261</v>
      </c>
      <c r="H635" s="163">
        <v>1282.9636931541393</v>
      </c>
      <c r="I635" s="56" t="s">
        <v>5935</v>
      </c>
      <c r="J635" s="308"/>
      <c r="L635" s="37"/>
      <c r="M635" s="37"/>
      <c r="N635" s="37"/>
    </row>
    <row r="636" spans="1:14" hidden="1" outlineLevel="1" x14ac:dyDescent="0.3">
      <c r="A636" s="56" t="s">
        <v>6013</v>
      </c>
      <c r="B636" s="56" t="s">
        <v>915</v>
      </c>
      <c r="C636" s="56" t="s">
        <v>811</v>
      </c>
      <c r="D636" s="163">
        <v>1073.9961219206998</v>
      </c>
      <c r="E636" s="163">
        <v>1073.9961219206998</v>
      </c>
      <c r="F636" s="163">
        <v>1143.651978998513</v>
      </c>
      <c r="G636" s="163">
        <v>1213.3078360763261</v>
      </c>
      <c r="H636" s="163">
        <v>1282.9636931541393</v>
      </c>
      <c r="I636" s="56" t="s">
        <v>5935</v>
      </c>
      <c r="J636" s="308"/>
      <c r="L636" s="37"/>
      <c r="M636" s="37"/>
      <c r="N636" s="37"/>
    </row>
    <row r="637" spans="1:14" hidden="1" outlineLevel="1" x14ac:dyDescent="0.3">
      <c r="A637" s="56" t="s">
        <v>6013</v>
      </c>
      <c r="B637" s="56" t="s">
        <v>934</v>
      </c>
      <c r="C637" s="56" t="s">
        <v>814</v>
      </c>
      <c r="D637" s="163">
        <v>1073.9961219206998</v>
      </c>
      <c r="E637" s="163">
        <v>1073.9961219206998</v>
      </c>
      <c r="F637" s="163">
        <v>1143.651978998513</v>
      </c>
      <c r="G637" s="163">
        <v>1213.3078360763261</v>
      </c>
      <c r="H637" s="163">
        <v>1282.9636931541393</v>
      </c>
      <c r="I637" s="56" t="s">
        <v>5935</v>
      </c>
      <c r="J637" s="308"/>
      <c r="L637" s="37"/>
      <c r="M637" s="37"/>
      <c r="N637" s="37"/>
    </row>
    <row r="638" spans="1:14" hidden="1" outlineLevel="1" x14ac:dyDescent="0.3">
      <c r="A638" s="56" t="s">
        <v>6013</v>
      </c>
      <c r="B638" s="56" t="s">
        <v>934</v>
      </c>
      <c r="C638" s="56" t="s">
        <v>815</v>
      </c>
      <c r="D638" s="163">
        <v>1073.9961219206998</v>
      </c>
      <c r="E638" s="163">
        <v>1073.9961219206998</v>
      </c>
      <c r="F638" s="163">
        <v>1143.651978998513</v>
      </c>
      <c r="G638" s="163">
        <v>1213.3078360763261</v>
      </c>
      <c r="H638" s="163">
        <v>1282.9636931541393</v>
      </c>
      <c r="I638" s="163" t="s">
        <v>5935</v>
      </c>
      <c r="J638" s="308"/>
      <c r="L638" s="37"/>
      <c r="M638" s="37"/>
      <c r="N638" s="37"/>
    </row>
    <row r="639" spans="1:14" hidden="1" outlineLevel="1" x14ac:dyDescent="0.3">
      <c r="A639" s="56" t="s">
        <v>6013</v>
      </c>
      <c r="B639" s="56" t="s">
        <v>940</v>
      </c>
      <c r="C639" s="56" t="s">
        <v>817</v>
      </c>
      <c r="D639" s="163">
        <v>1073.9961219206998</v>
      </c>
      <c r="E639" s="163">
        <v>1073.9961219206998</v>
      </c>
      <c r="F639" s="163">
        <v>1143.651978998513</v>
      </c>
      <c r="G639" s="163">
        <v>1213.3078360763261</v>
      </c>
      <c r="H639" s="163">
        <v>1282.9636931541393</v>
      </c>
      <c r="I639" s="163" t="s">
        <v>5935</v>
      </c>
      <c r="J639" s="308"/>
      <c r="L639" s="37"/>
      <c r="M639" s="37"/>
      <c r="N639" s="37"/>
    </row>
    <row r="640" spans="1:14" hidden="1" outlineLevel="1" x14ac:dyDescent="0.3">
      <c r="A640" s="56" t="s">
        <v>6013</v>
      </c>
      <c r="B640" s="56" t="s">
        <v>940</v>
      </c>
      <c r="C640" s="56" t="s">
        <v>944</v>
      </c>
      <c r="D640" s="163">
        <v>1073.9961219206998</v>
      </c>
      <c r="E640" s="163">
        <v>1073.9961219206998</v>
      </c>
      <c r="F640" s="163">
        <v>1143.651978998513</v>
      </c>
      <c r="G640" s="163">
        <v>1213.3078360763261</v>
      </c>
      <c r="H640" s="163">
        <v>1282.9636931541393</v>
      </c>
      <c r="I640" s="163" t="s">
        <v>5935</v>
      </c>
      <c r="J640" s="308"/>
      <c r="L640" s="37"/>
      <c r="M640" s="37"/>
      <c r="N640" s="37"/>
    </row>
    <row r="641" spans="1:14" hidden="1" outlineLevel="1" x14ac:dyDescent="0.3">
      <c r="A641" s="56" t="s">
        <v>6013</v>
      </c>
      <c r="B641" s="56" t="s">
        <v>940</v>
      </c>
      <c r="C641" s="56" t="s">
        <v>821</v>
      </c>
      <c r="D641" s="163">
        <v>1073.9961219206998</v>
      </c>
      <c r="E641" s="163">
        <v>1073.9961219206998</v>
      </c>
      <c r="F641" s="163">
        <v>1143.651978998513</v>
      </c>
      <c r="G641" s="163">
        <v>1213.3078360763261</v>
      </c>
      <c r="H641" s="163">
        <v>1282.9636931541393</v>
      </c>
      <c r="I641" s="163" t="s">
        <v>5935</v>
      </c>
      <c r="J641" s="308"/>
      <c r="L641" s="37"/>
      <c r="M641" s="37"/>
      <c r="N641" s="37"/>
    </row>
    <row r="642" spans="1:14" hidden="1" outlineLevel="1" x14ac:dyDescent="0.3">
      <c r="A642" s="56" t="s">
        <v>6013</v>
      </c>
      <c r="B642" s="56" t="s">
        <v>940</v>
      </c>
      <c r="C642" s="56" t="s">
        <v>823</v>
      </c>
      <c r="D642" s="163">
        <v>1073.9961219206998</v>
      </c>
      <c r="E642" s="163">
        <v>1073.9961219206998</v>
      </c>
      <c r="F642" s="163">
        <v>1143.651978998513</v>
      </c>
      <c r="G642" s="163">
        <v>1213.3078360763261</v>
      </c>
      <c r="H642" s="163">
        <v>1282.9636931541393</v>
      </c>
      <c r="I642" s="163" t="s">
        <v>5935</v>
      </c>
      <c r="J642" s="308"/>
      <c r="L642" s="37"/>
      <c r="M642" s="37"/>
      <c r="N642" s="37"/>
    </row>
    <row r="643" spans="1:14" hidden="1" outlineLevel="1" x14ac:dyDescent="0.3">
      <c r="A643" s="56" t="s">
        <v>6013</v>
      </c>
      <c r="B643" s="56" t="s">
        <v>940</v>
      </c>
      <c r="C643" s="56" t="s">
        <v>825</v>
      </c>
      <c r="D643" s="163">
        <v>1073.9961219206998</v>
      </c>
      <c r="E643" s="163">
        <v>1073.9961219206998</v>
      </c>
      <c r="F643" s="163">
        <v>1143.651978998513</v>
      </c>
      <c r="G643" s="163">
        <v>1213.3078360763261</v>
      </c>
      <c r="H643" s="163">
        <v>1282.9636931541393</v>
      </c>
      <c r="I643" s="163" t="s">
        <v>5935</v>
      </c>
      <c r="J643" s="308"/>
      <c r="L643" s="37"/>
      <c r="M643" s="37"/>
      <c r="N643" s="37"/>
    </row>
    <row r="644" spans="1:14" hidden="1" outlineLevel="1" x14ac:dyDescent="0.3">
      <c r="A644" s="56" t="s">
        <v>6013</v>
      </c>
      <c r="B644" s="56" t="s">
        <v>940</v>
      </c>
      <c r="C644" s="56" t="s">
        <v>827</v>
      </c>
      <c r="D644" s="163">
        <v>1073.9961219206998</v>
      </c>
      <c r="E644" s="163">
        <v>1073.9961219206998</v>
      </c>
      <c r="F644" s="163">
        <v>1143.651978998513</v>
      </c>
      <c r="G644" s="163">
        <v>1213.3078360763261</v>
      </c>
      <c r="H644" s="163">
        <v>1282.9636931541393</v>
      </c>
      <c r="I644" s="163" t="s">
        <v>5935</v>
      </c>
      <c r="J644" s="308"/>
      <c r="L644" s="37"/>
      <c r="M644" s="37"/>
      <c r="N644" s="37"/>
    </row>
    <row r="645" spans="1:14" hidden="1" outlineLevel="1" x14ac:dyDescent="0.3">
      <c r="A645" s="56" t="s">
        <v>6013</v>
      </c>
      <c r="B645" s="56" t="s">
        <v>940</v>
      </c>
      <c r="C645" s="56" t="s">
        <v>829</v>
      </c>
      <c r="D645" s="163">
        <v>1073.9961219206998</v>
      </c>
      <c r="E645" s="163">
        <v>1073.9961219206998</v>
      </c>
      <c r="F645" s="163">
        <v>1143.651978998513</v>
      </c>
      <c r="G645" s="163">
        <v>1213.3078360763261</v>
      </c>
      <c r="H645" s="163">
        <v>1282.9636931541393</v>
      </c>
      <c r="I645" s="163" t="s">
        <v>5935</v>
      </c>
      <c r="J645" s="308"/>
      <c r="L645" s="37"/>
      <c r="M645" s="37"/>
      <c r="N645" s="37"/>
    </row>
    <row r="646" spans="1:14" hidden="1" outlineLevel="1" x14ac:dyDescent="0.3">
      <c r="A646" s="56" t="s">
        <v>6013</v>
      </c>
      <c r="B646" s="56" t="s">
        <v>940</v>
      </c>
      <c r="C646" s="56" t="s">
        <v>833</v>
      </c>
      <c r="D646" s="163">
        <v>1073.9961219206998</v>
      </c>
      <c r="E646" s="163">
        <v>1073.9961219206998</v>
      </c>
      <c r="F646" s="163">
        <v>1143.651978998513</v>
      </c>
      <c r="G646" s="163">
        <v>1213.3078360763261</v>
      </c>
      <c r="H646" s="163">
        <v>1282.9636931541393</v>
      </c>
      <c r="I646" s="163" t="s">
        <v>5935</v>
      </c>
      <c r="J646" s="308"/>
      <c r="L646" s="37"/>
      <c r="M646" s="37"/>
      <c r="N646" s="37"/>
    </row>
    <row r="647" spans="1:14" hidden="1" outlineLevel="1" x14ac:dyDescent="0.3">
      <c r="A647" s="56" t="s">
        <v>6013</v>
      </c>
      <c r="B647" s="56" t="s">
        <v>940</v>
      </c>
      <c r="C647" s="56" t="s">
        <v>836</v>
      </c>
      <c r="D647" s="163">
        <v>1073.9961219206998</v>
      </c>
      <c r="E647" s="163">
        <v>1073.9961219206998</v>
      </c>
      <c r="F647" s="163">
        <v>1143.651978998513</v>
      </c>
      <c r="G647" s="163">
        <v>1213.3078360763261</v>
      </c>
      <c r="H647" s="163">
        <v>1282.9636931541393</v>
      </c>
      <c r="I647" s="163" t="s">
        <v>5935</v>
      </c>
      <c r="J647" s="308"/>
      <c r="L647" s="37"/>
      <c r="M647" s="37"/>
      <c r="N647" s="37"/>
    </row>
    <row r="648" spans="1:14" hidden="1" outlineLevel="1" x14ac:dyDescent="0.3">
      <c r="A648" s="56" t="s">
        <v>6013</v>
      </c>
      <c r="B648" s="56" t="s">
        <v>940</v>
      </c>
      <c r="C648" s="56" t="s">
        <v>837</v>
      </c>
      <c r="D648" s="163">
        <v>1073.9961219206998</v>
      </c>
      <c r="E648" s="163">
        <v>1073.9961219206998</v>
      </c>
      <c r="F648" s="163">
        <v>1143.651978998513</v>
      </c>
      <c r="G648" s="163">
        <v>1213.3078360763261</v>
      </c>
      <c r="H648" s="163">
        <v>1282.9636931541393</v>
      </c>
      <c r="I648" s="163" t="s">
        <v>5935</v>
      </c>
      <c r="J648" s="308"/>
      <c r="L648" s="37"/>
      <c r="M648" s="37"/>
      <c r="N648" s="37"/>
    </row>
    <row r="649" spans="1:14" hidden="1" outlineLevel="1" x14ac:dyDescent="0.3">
      <c r="A649" s="56" t="s">
        <v>6013</v>
      </c>
      <c r="B649" s="56" t="s">
        <v>940</v>
      </c>
      <c r="C649" s="56" t="s">
        <v>839</v>
      </c>
      <c r="D649" s="163">
        <v>1073.9961219206998</v>
      </c>
      <c r="E649" s="163">
        <v>1073.9961219206998</v>
      </c>
      <c r="F649" s="163">
        <v>1143.651978998513</v>
      </c>
      <c r="G649" s="163">
        <v>1213.3078360763261</v>
      </c>
      <c r="H649" s="163">
        <v>1282.9636931541393</v>
      </c>
      <c r="I649" s="163" t="s">
        <v>5935</v>
      </c>
      <c r="J649" s="308"/>
      <c r="L649" s="37"/>
      <c r="M649" s="37"/>
      <c r="N649" s="37"/>
    </row>
    <row r="650" spans="1:14" hidden="1" outlineLevel="1" x14ac:dyDescent="0.3">
      <c r="A650" s="56" t="s">
        <v>6013</v>
      </c>
      <c r="B650" s="56" t="s">
        <v>940</v>
      </c>
      <c r="C650" s="56" t="s">
        <v>840</v>
      </c>
      <c r="D650" s="163">
        <v>1073.9961219206998</v>
      </c>
      <c r="E650" s="163">
        <v>1073.9961219206998</v>
      </c>
      <c r="F650" s="163">
        <v>1143.651978998513</v>
      </c>
      <c r="G650" s="163">
        <v>1213.3078360763261</v>
      </c>
      <c r="H650" s="163">
        <v>1282.9636931541393</v>
      </c>
      <c r="I650" s="163" t="s">
        <v>5935</v>
      </c>
      <c r="J650" s="308"/>
      <c r="L650" s="37"/>
      <c r="M650" s="37"/>
      <c r="N650" s="37"/>
    </row>
    <row r="651" spans="1:14" collapsed="1" x14ac:dyDescent="0.3">
      <c r="A651" s="56"/>
      <c r="B651" s="56"/>
      <c r="C651" s="56"/>
      <c r="D651" s="163"/>
      <c r="E651" s="163"/>
      <c r="F651" s="163"/>
      <c r="G651" s="163"/>
      <c r="H651" s="163"/>
      <c r="I651" s="163"/>
      <c r="J651" s="308"/>
      <c r="L651" s="37"/>
      <c r="M651" s="37"/>
      <c r="N651" s="37"/>
    </row>
    <row r="652" spans="1:14" x14ac:dyDescent="0.3">
      <c r="A652" s="70"/>
      <c r="B652" s="70"/>
      <c r="C652" s="70"/>
      <c r="D652" s="70"/>
      <c r="E652" s="70"/>
      <c r="F652" s="70"/>
      <c r="G652" s="70"/>
      <c r="H652" s="70"/>
      <c r="I652" s="70"/>
    </row>
    <row r="653" spans="1:14" ht="23.4" x14ac:dyDescent="0.45">
      <c r="A653" s="585" t="s">
        <v>5937</v>
      </c>
      <c r="B653" s="585"/>
      <c r="C653" s="586"/>
      <c r="D653" s="586"/>
      <c r="E653" s="586"/>
      <c r="F653" s="586"/>
      <c r="G653" s="586"/>
      <c r="H653" s="586"/>
      <c r="I653" s="166"/>
    </row>
    <row r="654" spans="1:14" ht="111.9" customHeight="1" x14ac:dyDescent="0.3">
      <c r="A654" s="557" t="s">
        <v>5938</v>
      </c>
      <c r="B654" s="557"/>
      <c r="C654" s="557"/>
      <c r="D654" s="557"/>
      <c r="E654" s="557"/>
      <c r="F654" s="557"/>
      <c r="G654" s="557"/>
      <c r="H654" s="557"/>
      <c r="I654" s="247"/>
    </row>
    <row r="655" spans="1:14" x14ac:dyDescent="0.3">
      <c r="A655" s="53" t="s">
        <v>6014</v>
      </c>
      <c r="B655" s="203"/>
      <c r="C655" s="52" t="s">
        <v>3973</v>
      </c>
      <c r="D655" s="220">
        <v>1000000</v>
      </c>
      <c r="E655" s="220">
        <v>1000000</v>
      </c>
      <c r="F655" s="220">
        <v>1000000</v>
      </c>
      <c r="G655" s="220">
        <v>1000000</v>
      </c>
      <c r="H655" s="220">
        <v>1000000</v>
      </c>
      <c r="I655" s="228"/>
      <c r="K655" s="41"/>
    </row>
    <row r="656" spans="1:14" x14ac:dyDescent="0.3">
      <c r="A656" s="127" t="s">
        <v>5</v>
      </c>
      <c r="B656" s="127" t="s">
        <v>847</v>
      </c>
      <c r="C656" s="127" t="s">
        <v>193</v>
      </c>
      <c r="D656" s="253">
        <v>2025</v>
      </c>
      <c r="E656" s="253">
        <v>2030</v>
      </c>
      <c r="F656" s="253">
        <v>2035</v>
      </c>
      <c r="G656" s="253">
        <v>2040</v>
      </c>
      <c r="H656" s="253">
        <v>2045</v>
      </c>
      <c r="I656" s="322" t="s">
        <v>153</v>
      </c>
      <c r="K656" s="41"/>
      <c r="L656" s="37"/>
      <c r="M656" s="37"/>
      <c r="N656" s="37"/>
    </row>
    <row r="657" spans="1:16" hidden="1" outlineLevel="1" x14ac:dyDescent="0.3">
      <c r="A657" s="51" t="s">
        <v>6014</v>
      </c>
      <c r="B657" s="51" t="s">
        <v>855</v>
      </c>
      <c r="C657" s="51" t="s">
        <v>747</v>
      </c>
      <c r="D657" s="221">
        <v>0</v>
      </c>
      <c r="E657" s="221">
        <v>0</v>
      </c>
      <c r="F657" s="221">
        <v>0</v>
      </c>
      <c r="G657" s="221">
        <v>0</v>
      </c>
      <c r="H657" s="221">
        <v>0</v>
      </c>
      <c r="I657" s="228"/>
      <c r="J657" s="37"/>
      <c r="K657" s="41"/>
      <c r="L657" s="37"/>
      <c r="M657" s="37"/>
      <c r="N657" s="37"/>
      <c r="O657" s="37"/>
      <c r="P657" s="37"/>
    </row>
    <row r="658" spans="1:16" hidden="1" outlineLevel="1" x14ac:dyDescent="0.3">
      <c r="A658" s="51" t="s">
        <v>6014</v>
      </c>
      <c r="B658" s="51" t="s">
        <v>855</v>
      </c>
      <c r="C658" s="51" t="s">
        <v>751</v>
      </c>
      <c r="D658" s="221">
        <v>0</v>
      </c>
      <c r="E658" s="221">
        <v>0</v>
      </c>
      <c r="F658" s="221">
        <v>0</v>
      </c>
      <c r="G658" s="221">
        <v>0</v>
      </c>
      <c r="H658" s="221">
        <v>0</v>
      </c>
      <c r="I658" s="228"/>
      <c r="J658" s="37"/>
      <c r="K658" s="41"/>
      <c r="L658" s="37"/>
      <c r="M658" s="37"/>
      <c r="N658" s="37"/>
      <c r="O658" s="37"/>
      <c r="P658" s="37"/>
    </row>
    <row r="659" spans="1:16" hidden="1" outlineLevel="1" x14ac:dyDescent="0.3">
      <c r="A659" s="51" t="s">
        <v>6014</v>
      </c>
      <c r="B659" s="51" t="s">
        <v>855</v>
      </c>
      <c r="C659" s="51" t="s">
        <v>755</v>
      </c>
      <c r="D659" s="221">
        <v>0</v>
      </c>
      <c r="E659" s="221">
        <v>0</v>
      </c>
      <c r="F659" s="221">
        <v>0</v>
      </c>
      <c r="G659" s="221">
        <v>0</v>
      </c>
      <c r="H659" s="221">
        <v>0</v>
      </c>
      <c r="I659" s="228"/>
      <c r="J659" s="37"/>
      <c r="K659" s="41"/>
      <c r="L659" s="37"/>
      <c r="M659" s="37"/>
      <c r="N659" s="37"/>
      <c r="O659" s="37"/>
      <c r="P659" s="37"/>
    </row>
    <row r="660" spans="1:16" hidden="1" outlineLevel="1" x14ac:dyDescent="0.3">
      <c r="A660" s="51" t="s">
        <v>6014</v>
      </c>
      <c r="B660" s="51" t="s">
        <v>855</v>
      </c>
      <c r="C660" s="51" t="s">
        <v>758</v>
      </c>
      <c r="D660" s="221">
        <v>0</v>
      </c>
      <c r="E660" s="221">
        <v>0</v>
      </c>
      <c r="F660" s="221">
        <v>0</v>
      </c>
      <c r="G660" s="221">
        <v>0</v>
      </c>
      <c r="H660" s="221">
        <v>0</v>
      </c>
      <c r="I660" s="228"/>
      <c r="J660" s="37"/>
      <c r="K660" s="41"/>
      <c r="L660" s="37"/>
      <c r="M660" s="37"/>
      <c r="N660" s="37"/>
      <c r="O660" s="37"/>
      <c r="P660" s="37"/>
    </row>
    <row r="661" spans="1:16" hidden="1" outlineLevel="1" x14ac:dyDescent="0.3">
      <c r="A661" s="51" t="s">
        <v>6014</v>
      </c>
      <c r="B661" s="51" t="s">
        <v>855</v>
      </c>
      <c r="C661" s="51" t="s">
        <v>761</v>
      </c>
      <c r="D661" s="221">
        <v>0</v>
      </c>
      <c r="E661" s="221">
        <v>0</v>
      </c>
      <c r="F661" s="221">
        <v>0</v>
      </c>
      <c r="G661" s="221">
        <v>0</v>
      </c>
      <c r="H661" s="221">
        <v>0</v>
      </c>
      <c r="I661" s="228"/>
      <c r="J661" s="37"/>
      <c r="K661" s="41"/>
      <c r="L661" s="37"/>
      <c r="M661" s="37"/>
      <c r="N661" s="37"/>
      <c r="O661" s="37"/>
      <c r="P661" s="37"/>
    </row>
    <row r="662" spans="1:16" hidden="1" outlineLevel="1" x14ac:dyDescent="0.3">
      <c r="A662" s="51" t="s">
        <v>6014</v>
      </c>
      <c r="B662" s="51" t="s">
        <v>855</v>
      </c>
      <c r="C662" s="51" t="s">
        <v>763</v>
      </c>
      <c r="D662" s="221">
        <v>0</v>
      </c>
      <c r="E662" s="221">
        <v>0</v>
      </c>
      <c r="F662" s="221">
        <v>0</v>
      </c>
      <c r="G662" s="221">
        <v>0</v>
      </c>
      <c r="H662" s="221">
        <v>0</v>
      </c>
      <c r="I662" s="228"/>
      <c r="J662" s="37"/>
      <c r="K662" s="41"/>
      <c r="L662" s="37"/>
      <c r="M662" s="37"/>
      <c r="N662" s="37"/>
      <c r="O662" s="37"/>
      <c r="P662" s="37"/>
    </row>
    <row r="663" spans="1:16" hidden="1" outlineLevel="1" x14ac:dyDescent="0.3">
      <c r="A663" s="51" t="s">
        <v>6014</v>
      </c>
      <c r="B663" s="51" t="s">
        <v>855</v>
      </c>
      <c r="C663" s="51" t="s">
        <v>765</v>
      </c>
      <c r="D663" s="221">
        <v>0</v>
      </c>
      <c r="E663" s="221">
        <v>0</v>
      </c>
      <c r="F663" s="221">
        <v>0</v>
      </c>
      <c r="G663" s="221">
        <v>0</v>
      </c>
      <c r="H663" s="221">
        <v>0</v>
      </c>
      <c r="I663" s="228"/>
      <c r="J663" s="37"/>
      <c r="K663" s="41"/>
      <c r="L663" s="37"/>
      <c r="M663" s="37"/>
      <c r="N663" s="37"/>
      <c r="O663" s="37"/>
      <c r="P663" s="37"/>
    </row>
    <row r="664" spans="1:16" hidden="1" outlineLevel="1" x14ac:dyDescent="0.3">
      <c r="A664" s="51" t="s">
        <v>6014</v>
      </c>
      <c r="B664" s="51" t="s">
        <v>855</v>
      </c>
      <c r="C664" s="51" t="s">
        <v>768</v>
      </c>
      <c r="D664" s="221">
        <v>0</v>
      </c>
      <c r="E664" s="221">
        <v>0</v>
      </c>
      <c r="F664" s="221">
        <v>0</v>
      </c>
      <c r="G664" s="221">
        <v>0</v>
      </c>
      <c r="H664" s="221">
        <v>0</v>
      </c>
      <c r="I664" s="228"/>
      <c r="J664" s="37"/>
      <c r="K664" s="41"/>
      <c r="L664" s="37"/>
      <c r="M664" s="37"/>
      <c r="N664" s="37"/>
      <c r="O664" s="37"/>
      <c r="P664" s="37"/>
    </row>
    <row r="665" spans="1:16" hidden="1" outlineLevel="1" x14ac:dyDescent="0.3">
      <c r="A665" s="51" t="s">
        <v>6014</v>
      </c>
      <c r="B665" s="51" t="s">
        <v>855</v>
      </c>
      <c r="C665" s="51" t="s">
        <v>771</v>
      </c>
      <c r="D665" s="221">
        <v>0</v>
      </c>
      <c r="E665" s="221">
        <v>0</v>
      </c>
      <c r="F665" s="221">
        <v>0</v>
      </c>
      <c r="G665" s="221">
        <v>0</v>
      </c>
      <c r="H665" s="221">
        <v>0</v>
      </c>
      <c r="I665" s="228"/>
      <c r="J665" s="37"/>
      <c r="K665" s="41"/>
      <c r="L665" s="37"/>
      <c r="M665" s="37"/>
      <c r="N665" s="37"/>
      <c r="O665" s="37"/>
      <c r="P665" s="37"/>
    </row>
    <row r="666" spans="1:16" hidden="1" outlineLevel="1" x14ac:dyDescent="0.3">
      <c r="A666" s="51" t="s">
        <v>6014</v>
      </c>
      <c r="B666" s="51" t="s">
        <v>855</v>
      </c>
      <c r="C666" s="51" t="s">
        <v>772</v>
      </c>
      <c r="D666" s="221">
        <v>0</v>
      </c>
      <c r="E666" s="221">
        <v>0</v>
      </c>
      <c r="F666" s="221">
        <v>0</v>
      </c>
      <c r="G666" s="221">
        <v>0</v>
      </c>
      <c r="H666" s="221">
        <v>0</v>
      </c>
      <c r="I666" s="228"/>
      <c r="J666" s="37"/>
      <c r="K666" s="41"/>
      <c r="L666" s="37"/>
      <c r="M666" s="37"/>
      <c r="N666" s="37"/>
      <c r="O666" s="37"/>
      <c r="P666" s="37"/>
    </row>
    <row r="667" spans="1:16" hidden="1" outlineLevel="1" x14ac:dyDescent="0.3">
      <c r="A667" s="51" t="s">
        <v>6014</v>
      </c>
      <c r="B667" s="51" t="s">
        <v>855</v>
      </c>
      <c r="C667" s="51" t="s">
        <v>774</v>
      </c>
      <c r="D667" s="221">
        <v>0</v>
      </c>
      <c r="E667" s="221">
        <v>0</v>
      </c>
      <c r="F667" s="221">
        <v>0</v>
      </c>
      <c r="G667" s="221">
        <v>0</v>
      </c>
      <c r="H667" s="221">
        <v>0</v>
      </c>
      <c r="I667" s="228"/>
      <c r="J667" s="37"/>
      <c r="K667" s="41"/>
      <c r="L667" s="37"/>
      <c r="M667" s="37"/>
      <c r="N667" s="37"/>
      <c r="O667" s="37"/>
      <c r="P667" s="37"/>
    </row>
    <row r="668" spans="1:16" hidden="1" outlineLevel="1" x14ac:dyDescent="0.3">
      <c r="A668" s="51" t="s">
        <v>6014</v>
      </c>
      <c r="B668" s="51" t="s">
        <v>855</v>
      </c>
      <c r="C668" s="51" t="s">
        <v>775</v>
      </c>
      <c r="D668" s="221">
        <v>0</v>
      </c>
      <c r="E668" s="221">
        <v>0</v>
      </c>
      <c r="F668" s="221">
        <v>0</v>
      </c>
      <c r="G668" s="221">
        <v>0</v>
      </c>
      <c r="H668" s="221">
        <v>0</v>
      </c>
      <c r="I668" s="228"/>
      <c r="J668" s="37"/>
      <c r="K668" s="41"/>
      <c r="L668" s="37"/>
      <c r="M668" s="37"/>
      <c r="N668" s="37"/>
      <c r="O668" s="37"/>
      <c r="P668" s="37"/>
    </row>
    <row r="669" spans="1:16" hidden="1" outlineLevel="1" x14ac:dyDescent="0.3">
      <c r="A669" s="51" t="s">
        <v>6014</v>
      </c>
      <c r="B669" s="51" t="s">
        <v>855</v>
      </c>
      <c r="C669" s="51" t="s">
        <v>779</v>
      </c>
      <c r="D669" s="221">
        <v>0</v>
      </c>
      <c r="E669" s="221">
        <v>0</v>
      </c>
      <c r="F669" s="221">
        <v>0</v>
      </c>
      <c r="G669" s="221">
        <v>0</v>
      </c>
      <c r="H669" s="221">
        <v>0</v>
      </c>
      <c r="I669" s="228"/>
      <c r="J669" s="37"/>
      <c r="K669" s="41"/>
      <c r="L669" s="37"/>
      <c r="M669" s="37"/>
      <c r="N669" s="37"/>
      <c r="O669" s="37"/>
      <c r="P669" s="37"/>
    </row>
    <row r="670" spans="1:16" hidden="1" outlineLevel="1" x14ac:dyDescent="0.3">
      <c r="A670" s="51" t="s">
        <v>6014</v>
      </c>
      <c r="B670" s="51" t="s">
        <v>894</v>
      </c>
      <c r="C670" s="51" t="s">
        <v>781</v>
      </c>
      <c r="D670" s="221">
        <v>0</v>
      </c>
      <c r="E670" s="221">
        <v>0</v>
      </c>
      <c r="F670" s="221">
        <v>0</v>
      </c>
      <c r="G670" s="221">
        <v>0</v>
      </c>
      <c r="H670" s="221">
        <v>0</v>
      </c>
      <c r="I670" s="228"/>
      <c r="J670" s="37"/>
      <c r="K670" s="41"/>
      <c r="L670" s="37"/>
      <c r="M670" s="37"/>
      <c r="N670" s="37"/>
      <c r="O670" s="37"/>
      <c r="P670" s="37"/>
    </row>
    <row r="671" spans="1:16" hidden="1" outlineLevel="1" x14ac:dyDescent="0.3">
      <c r="A671" s="51" t="s">
        <v>6014</v>
      </c>
      <c r="B671" s="51" t="s">
        <v>894</v>
      </c>
      <c r="C671" s="51" t="s">
        <v>783</v>
      </c>
      <c r="D671" s="221">
        <v>0</v>
      </c>
      <c r="E671" s="221">
        <v>0</v>
      </c>
      <c r="F671" s="221">
        <v>0</v>
      </c>
      <c r="G671" s="221">
        <v>0</v>
      </c>
      <c r="H671" s="221">
        <v>0</v>
      </c>
      <c r="I671" s="228"/>
      <c r="J671" s="37"/>
      <c r="K671" s="41"/>
      <c r="L671" s="37"/>
      <c r="M671" s="37"/>
      <c r="N671" s="37"/>
      <c r="O671" s="37"/>
      <c r="P671" s="37"/>
    </row>
    <row r="672" spans="1:16" hidden="1" outlineLevel="1" x14ac:dyDescent="0.3">
      <c r="A672" s="51" t="s">
        <v>6014</v>
      </c>
      <c r="B672" s="51" t="s">
        <v>894</v>
      </c>
      <c r="C672" s="51" t="s">
        <v>785</v>
      </c>
      <c r="D672" s="221">
        <v>0</v>
      </c>
      <c r="E672" s="221">
        <v>0</v>
      </c>
      <c r="F672" s="221">
        <v>0</v>
      </c>
      <c r="G672" s="221">
        <v>0</v>
      </c>
      <c r="H672" s="221">
        <v>0</v>
      </c>
      <c r="I672" s="228"/>
      <c r="J672" s="37"/>
      <c r="K672" s="41"/>
      <c r="L672" s="37"/>
      <c r="M672" s="37"/>
      <c r="N672" s="37"/>
      <c r="O672" s="37"/>
      <c r="P672" s="37"/>
    </row>
    <row r="673" spans="1:16" hidden="1" outlineLevel="1" x14ac:dyDescent="0.3">
      <c r="A673" s="51" t="s">
        <v>6014</v>
      </c>
      <c r="B673" s="51" t="s">
        <v>894</v>
      </c>
      <c r="C673" s="51" t="s">
        <v>787</v>
      </c>
      <c r="D673" s="221">
        <v>0</v>
      </c>
      <c r="E673" s="221">
        <v>0</v>
      </c>
      <c r="F673" s="221">
        <v>0</v>
      </c>
      <c r="G673" s="221">
        <v>0</v>
      </c>
      <c r="H673" s="221">
        <v>0</v>
      </c>
      <c r="I673" s="228"/>
      <c r="J673" s="37"/>
      <c r="K673" s="41"/>
      <c r="L673" s="37"/>
      <c r="M673" s="37"/>
      <c r="N673" s="37"/>
      <c r="O673" s="37"/>
      <c r="P673" s="37"/>
    </row>
    <row r="674" spans="1:16" hidden="1" outlineLevel="1" x14ac:dyDescent="0.3">
      <c r="A674" s="51" t="s">
        <v>6014</v>
      </c>
      <c r="B674" s="51" t="s">
        <v>894</v>
      </c>
      <c r="C674" s="51" t="s">
        <v>788</v>
      </c>
      <c r="D674" s="221">
        <v>0</v>
      </c>
      <c r="E674" s="221">
        <v>0</v>
      </c>
      <c r="F674" s="221">
        <v>0</v>
      </c>
      <c r="G674" s="221">
        <v>0</v>
      </c>
      <c r="H674" s="221">
        <v>0</v>
      </c>
      <c r="I674" s="228"/>
      <c r="J674" s="37"/>
      <c r="K674" s="41"/>
      <c r="L674" s="37"/>
      <c r="M674" s="37"/>
      <c r="N674" s="37"/>
      <c r="O674" s="37"/>
      <c r="P674" s="37"/>
    </row>
    <row r="675" spans="1:16" hidden="1" outlineLevel="1" x14ac:dyDescent="0.3">
      <c r="A675" s="51" t="s">
        <v>6014</v>
      </c>
      <c r="B675" s="51" t="s">
        <v>894</v>
      </c>
      <c r="C675" s="51" t="s">
        <v>789</v>
      </c>
      <c r="D675" s="221">
        <v>0</v>
      </c>
      <c r="E675" s="221">
        <v>0</v>
      </c>
      <c r="F675" s="221">
        <v>0</v>
      </c>
      <c r="G675" s="221">
        <v>0</v>
      </c>
      <c r="H675" s="221">
        <v>0</v>
      </c>
      <c r="I675" s="228"/>
      <c r="J675" s="37"/>
      <c r="K675" s="41"/>
      <c r="L675" s="37"/>
      <c r="M675" s="37"/>
      <c r="N675" s="37"/>
      <c r="O675" s="37"/>
      <c r="P675" s="37"/>
    </row>
    <row r="676" spans="1:16" hidden="1" outlineLevel="1" x14ac:dyDescent="0.3">
      <c r="A676" s="51" t="s">
        <v>6014</v>
      </c>
      <c r="B676" s="51" t="s">
        <v>894</v>
      </c>
      <c r="C676" s="51" t="s">
        <v>790</v>
      </c>
      <c r="D676" s="221">
        <v>0</v>
      </c>
      <c r="E676" s="221">
        <v>0</v>
      </c>
      <c r="F676" s="221">
        <v>0</v>
      </c>
      <c r="G676" s="221">
        <v>0</v>
      </c>
      <c r="H676" s="221">
        <v>0</v>
      </c>
      <c r="I676" s="228"/>
      <c r="J676" s="37"/>
      <c r="K676" s="41"/>
      <c r="L676" s="37"/>
      <c r="M676" s="37"/>
      <c r="N676" s="37"/>
      <c r="O676" s="37"/>
      <c r="P676" s="37"/>
    </row>
    <row r="677" spans="1:16" hidden="1" outlineLevel="1" x14ac:dyDescent="0.3">
      <c r="A677" s="51" t="s">
        <v>6014</v>
      </c>
      <c r="B677" s="51" t="s">
        <v>894</v>
      </c>
      <c r="C677" s="51" t="s">
        <v>793</v>
      </c>
      <c r="D677" s="221">
        <v>0</v>
      </c>
      <c r="E677" s="221">
        <v>0</v>
      </c>
      <c r="F677" s="221">
        <v>0</v>
      </c>
      <c r="G677" s="221">
        <v>0</v>
      </c>
      <c r="H677" s="221">
        <v>0</v>
      </c>
      <c r="I677" s="228"/>
      <c r="J677" s="37"/>
      <c r="K677" s="41"/>
      <c r="L677" s="37"/>
      <c r="M677" s="37"/>
      <c r="N677" s="37"/>
      <c r="O677" s="37"/>
      <c r="P677" s="37"/>
    </row>
    <row r="678" spans="1:16" hidden="1" outlineLevel="1" x14ac:dyDescent="0.3">
      <c r="A678" s="51" t="s">
        <v>6014</v>
      </c>
      <c r="B678" s="51" t="s">
        <v>894</v>
      </c>
      <c r="C678" s="51" t="s">
        <v>795</v>
      </c>
      <c r="D678" s="221">
        <v>0</v>
      </c>
      <c r="E678" s="221">
        <v>0</v>
      </c>
      <c r="F678" s="221">
        <v>0</v>
      </c>
      <c r="G678" s="221">
        <v>0</v>
      </c>
      <c r="H678" s="221">
        <v>0</v>
      </c>
      <c r="I678" s="228"/>
      <c r="J678" s="37"/>
      <c r="K678" s="41"/>
      <c r="L678" s="37"/>
      <c r="M678" s="37"/>
      <c r="N678" s="37"/>
      <c r="O678" s="37"/>
      <c r="P678" s="37"/>
    </row>
    <row r="679" spans="1:16" hidden="1" outlineLevel="1" x14ac:dyDescent="0.3">
      <c r="A679" s="51" t="s">
        <v>6014</v>
      </c>
      <c r="B679" s="51" t="s">
        <v>894</v>
      </c>
      <c r="C679" s="51" t="s">
        <v>797</v>
      </c>
      <c r="D679" s="221">
        <v>0</v>
      </c>
      <c r="E679" s="221">
        <v>0</v>
      </c>
      <c r="F679" s="221">
        <v>0</v>
      </c>
      <c r="G679" s="221">
        <v>0</v>
      </c>
      <c r="H679" s="221">
        <v>0</v>
      </c>
      <c r="I679" s="228"/>
      <c r="J679" s="37"/>
      <c r="K679" s="41"/>
      <c r="L679" s="37"/>
      <c r="M679" s="37"/>
      <c r="N679" s="37"/>
      <c r="O679" s="37"/>
      <c r="P679" s="37"/>
    </row>
    <row r="680" spans="1:16" hidden="1" outlineLevel="1" x14ac:dyDescent="0.3">
      <c r="A680" s="51" t="s">
        <v>6014</v>
      </c>
      <c r="B680" s="51" t="s">
        <v>915</v>
      </c>
      <c r="C680" s="51" t="s">
        <v>799</v>
      </c>
      <c r="D680" s="221">
        <v>0</v>
      </c>
      <c r="E680" s="221">
        <v>0</v>
      </c>
      <c r="F680" s="221">
        <v>0</v>
      </c>
      <c r="G680" s="221">
        <v>0</v>
      </c>
      <c r="H680" s="221">
        <v>0</v>
      </c>
      <c r="I680" s="228"/>
      <c r="J680" s="37"/>
      <c r="K680" s="41"/>
      <c r="L680" s="37"/>
      <c r="M680" s="37"/>
      <c r="N680" s="37"/>
      <c r="O680" s="37"/>
      <c r="P680" s="37"/>
    </row>
    <row r="681" spans="1:16" hidden="1" outlineLevel="1" x14ac:dyDescent="0.3">
      <c r="A681" s="51" t="s">
        <v>6014</v>
      </c>
      <c r="B681" s="51" t="s">
        <v>915</v>
      </c>
      <c r="C681" s="51" t="s">
        <v>801</v>
      </c>
      <c r="D681" s="221">
        <v>0</v>
      </c>
      <c r="E681" s="221">
        <v>0</v>
      </c>
      <c r="F681" s="221">
        <v>0</v>
      </c>
      <c r="G681" s="221">
        <v>0</v>
      </c>
      <c r="H681" s="221">
        <v>0</v>
      </c>
      <c r="I681" s="228"/>
      <c r="J681" s="37"/>
      <c r="K681" s="41"/>
      <c r="L681" s="37"/>
      <c r="M681" s="37"/>
      <c r="N681" s="37"/>
      <c r="O681" s="37"/>
      <c r="P681" s="37"/>
    </row>
    <row r="682" spans="1:16" hidden="1" outlineLevel="1" x14ac:dyDescent="0.3">
      <c r="A682" s="51" t="s">
        <v>6014</v>
      </c>
      <c r="B682" s="51" t="s">
        <v>915</v>
      </c>
      <c r="C682" s="51" t="s">
        <v>804</v>
      </c>
      <c r="D682" s="221">
        <v>0</v>
      </c>
      <c r="E682" s="221">
        <v>0</v>
      </c>
      <c r="F682" s="221">
        <v>0</v>
      </c>
      <c r="G682" s="221">
        <v>0</v>
      </c>
      <c r="H682" s="221">
        <v>0</v>
      </c>
      <c r="I682" s="228"/>
      <c r="J682" s="37"/>
      <c r="K682" s="41"/>
      <c r="L682" s="37"/>
      <c r="M682" s="37"/>
      <c r="N682" s="37"/>
      <c r="O682" s="37"/>
      <c r="P682" s="37"/>
    </row>
    <row r="683" spans="1:16" hidden="1" outlineLevel="1" x14ac:dyDescent="0.3">
      <c r="A683" s="51" t="s">
        <v>6014</v>
      </c>
      <c r="B683" s="51" t="s">
        <v>915</v>
      </c>
      <c r="C683" s="51" t="s">
        <v>806</v>
      </c>
      <c r="D683" s="221">
        <v>0</v>
      </c>
      <c r="E683" s="221">
        <v>0</v>
      </c>
      <c r="F683" s="221">
        <v>0</v>
      </c>
      <c r="G683" s="221">
        <v>0</v>
      </c>
      <c r="H683" s="221">
        <v>0</v>
      </c>
      <c r="I683" s="228"/>
      <c r="J683" s="37"/>
      <c r="K683" s="41"/>
      <c r="L683" s="37"/>
      <c r="M683" s="37"/>
      <c r="N683" s="37"/>
      <c r="O683" s="37"/>
      <c r="P683" s="37"/>
    </row>
    <row r="684" spans="1:16" hidden="1" outlineLevel="1" x14ac:dyDescent="0.3">
      <c r="A684" s="51" t="s">
        <v>6014</v>
      </c>
      <c r="B684" s="51" t="s">
        <v>915</v>
      </c>
      <c r="C684" s="51" t="s">
        <v>808</v>
      </c>
      <c r="D684" s="221">
        <v>0</v>
      </c>
      <c r="E684" s="221">
        <v>0</v>
      </c>
      <c r="F684" s="221">
        <v>0</v>
      </c>
      <c r="G684" s="221">
        <v>0</v>
      </c>
      <c r="H684" s="221">
        <v>0</v>
      </c>
      <c r="I684" s="228"/>
      <c r="J684" s="37"/>
      <c r="K684" s="41"/>
      <c r="L684" s="37"/>
      <c r="M684" s="37"/>
      <c r="N684" s="37"/>
      <c r="O684" s="37"/>
      <c r="P684" s="37"/>
    </row>
    <row r="685" spans="1:16" hidden="1" outlineLevel="1" x14ac:dyDescent="0.3">
      <c r="A685" s="51" t="s">
        <v>6014</v>
      </c>
      <c r="B685" s="51" t="s">
        <v>915</v>
      </c>
      <c r="C685" s="51" t="s">
        <v>811</v>
      </c>
      <c r="D685" s="221">
        <v>0</v>
      </c>
      <c r="E685" s="221">
        <v>0</v>
      </c>
      <c r="F685" s="221">
        <v>0</v>
      </c>
      <c r="G685" s="221">
        <v>0</v>
      </c>
      <c r="H685" s="221">
        <v>0</v>
      </c>
      <c r="I685" s="228"/>
      <c r="J685" s="37"/>
      <c r="K685" s="41"/>
      <c r="L685" s="37"/>
      <c r="M685" s="37"/>
      <c r="N685" s="37"/>
      <c r="O685" s="37"/>
      <c r="P685" s="37"/>
    </row>
    <row r="686" spans="1:16" hidden="1" outlineLevel="1" x14ac:dyDescent="0.3">
      <c r="A686" s="51" t="s">
        <v>6014</v>
      </c>
      <c r="B686" s="51" t="s">
        <v>934</v>
      </c>
      <c r="C686" s="51" t="s">
        <v>814</v>
      </c>
      <c r="D686" s="221">
        <v>0</v>
      </c>
      <c r="E686" s="221">
        <v>0</v>
      </c>
      <c r="F686" s="221">
        <v>0</v>
      </c>
      <c r="G686" s="221">
        <v>0</v>
      </c>
      <c r="H686" s="221">
        <v>0</v>
      </c>
      <c r="I686" s="228"/>
      <c r="J686" s="37"/>
      <c r="K686" s="41"/>
      <c r="L686" s="37"/>
      <c r="M686" s="37"/>
      <c r="N686" s="37"/>
      <c r="O686" s="37"/>
      <c r="P686" s="37"/>
    </row>
    <row r="687" spans="1:16" hidden="1" outlineLevel="1" x14ac:dyDescent="0.3">
      <c r="A687" s="51" t="s">
        <v>6014</v>
      </c>
      <c r="B687" s="51" t="s">
        <v>934</v>
      </c>
      <c r="C687" s="51" t="s">
        <v>815</v>
      </c>
      <c r="D687" s="221">
        <v>0</v>
      </c>
      <c r="E687" s="221">
        <v>0</v>
      </c>
      <c r="F687" s="221">
        <v>0</v>
      </c>
      <c r="G687" s="221">
        <v>0</v>
      </c>
      <c r="H687" s="221">
        <v>0</v>
      </c>
      <c r="I687" s="228"/>
      <c r="J687" s="37"/>
      <c r="K687" s="41"/>
      <c r="L687" s="37"/>
      <c r="M687" s="37"/>
      <c r="N687" s="37"/>
      <c r="O687" s="37"/>
      <c r="P687" s="37"/>
    </row>
    <row r="688" spans="1:16" hidden="1" outlineLevel="1" x14ac:dyDescent="0.3">
      <c r="A688" s="51" t="s">
        <v>6014</v>
      </c>
      <c r="B688" s="51" t="s">
        <v>940</v>
      </c>
      <c r="C688" s="51" t="s">
        <v>817</v>
      </c>
      <c r="D688" s="221">
        <v>0</v>
      </c>
      <c r="E688" s="221">
        <v>0</v>
      </c>
      <c r="F688" s="221">
        <v>0</v>
      </c>
      <c r="G688" s="221">
        <v>0</v>
      </c>
      <c r="H688" s="221">
        <v>0</v>
      </c>
      <c r="I688" s="228"/>
      <c r="J688" s="37"/>
      <c r="K688" s="41"/>
      <c r="L688" s="37"/>
      <c r="M688" s="37"/>
      <c r="N688" s="37"/>
      <c r="O688" s="37"/>
      <c r="P688" s="37"/>
    </row>
    <row r="689" spans="1:16" hidden="1" outlineLevel="1" x14ac:dyDescent="0.3">
      <c r="A689" s="51" t="s">
        <v>6014</v>
      </c>
      <c r="B689" s="51" t="s">
        <v>940</v>
      </c>
      <c r="C689" s="51" t="s">
        <v>944</v>
      </c>
      <c r="D689" s="221">
        <v>0</v>
      </c>
      <c r="E689" s="221">
        <v>0</v>
      </c>
      <c r="F689" s="221">
        <v>0</v>
      </c>
      <c r="G689" s="221">
        <v>0</v>
      </c>
      <c r="H689" s="221">
        <v>0</v>
      </c>
      <c r="I689" s="228"/>
      <c r="J689" s="37"/>
      <c r="K689" s="41"/>
      <c r="L689" s="37"/>
      <c r="M689" s="37"/>
      <c r="N689" s="37"/>
      <c r="O689" s="37"/>
      <c r="P689" s="37"/>
    </row>
    <row r="690" spans="1:16" hidden="1" outlineLevel="1" x14ac:dyDescent="0.3">
      <c r="A690" s="51" t="s">
        <v>6014</v>
      </c>
      <c r="B690" s="51" t="s">
        <v>940</v>
      </c>
      <c r="C690" s="51" t="s">
        <v>821</v>
      </c>
      <c r="D690" s="221">
        <v>0</v>
      </c>
      <c r="E690" s="221">
        <v>0</v>
      </c>
      <c r="F690" s="221">
        <v>0</v>
      </c>
      <c r="G690" s="221">
        <v>0</v>
      </c>
      <c r="H690" s="221">
        <v>0</v>
      </c>
      <c r="I690" s="228"/>
      <c r="J690" s="37"/>
      <c r="K690" s="41"/>
      <c r="L690" s="37"/>
      <c r="M690" s="37"/>
      <c r="N690" s="37"/>
      <c r="O690" s="37"/>
      <c r="P690" s="37"/>
    </row>
    <row r="691" spans="1:16" hidden="1" outlineLevel="1" x14ac:dyDescent="0.3">
      <c r="A691" s="51" t="s">
        <v>6014</v>
      </c>
      <c r="B691" s="51" t="s">
        <v>940</v>
      </c>
      <c r="C691" s="51" t="s">
        <v>823</v>
      </c>
      <c r="D691" s="221">
        <v>0</v>
      </c>
      <c r="E691" s="221">
        <v>0</v>
      </c>
      <c r="F691" s="221">
        <v>0</v>
      </c>
      <c r="G691" s="221">
        <v>0</v>
      </c>
      <c r="H691" s="221">
        <v>0</v>
      </c>
      <c r="I691" s="228"/>
      <c r="J691" s="37"/>
      <c r="K691" s="41"/>
      <c r="L691" s="37"/>
      <c r="M691" s="37"/>
      <c r="N691" s="37"/>
      <c r="O691" s="37"/>
      <c r="P691" s="37"/>
    </row>
    <row r="692" spans="1:16" hidden="1" outlineLevel="1" x14ac:dyDescent="0.3">
      <c r="A692" s="51" t="s">
        <v>6014</v>
      </c>
      <c r="B692" s="51" t="s">
        <v>940</v>
      </c>
      <c r="C692" s="51" t="s">
        <v>825</v>
      </c>
      <c r="D692" s="221">
        <v>0</v>
      </c>
      <c r="E692" s="221">
        <v>0</v>
      </c>
      <c r="F692" s="221">
        <v>0</v>
      </c>
      <c r="G692" s="221">
        <v>0</v>
      </c>
      <c r="H692" s="221">
        <v>0</v>
      </c>
      <c r="I692" s="228"/>
      <c r="J692" s="37"/>
      <c r="K692" s="41"/>
      <c r="L692" s="37"/>
      <c r="M692" s="37"/>
      <c r="N692" s="37"/>
      <c r="O692" s="37"/>
      <c r="P692" s="37"/>
    </row>
    <row r="693" spans="1:16" hidden="1" outlineLevel="1" x14ac:dyDescent="0.3">
      <c r="A693" s="51" t="s">
        <v>6014</v>
      </c>
      <c r="B693" s="51" t="s">
        <v>940</v>
      </c>
      <c r="C693" s="51" t="s">
        <v>827</v>
      </c>
      <c r="D693" s="221">
        <v>1000000</v>
      </c>
      <c r="E693" s="221">
        <v>1000000</v>
      </c>
      <c r="F693" s="221">
        <v>1000000</v>
      </c>
      <c r="G693" s="221">
        <v>1000000</v>
      </c>
      <c r="H693" s="221">
        <v>1000000</v>
      </c>
      <c r="I693" s="228" t="s">
        <v>3971</v>
      </c>
      <c r="J693" s="37"/>
      <c r="K693" s="41"/>
      <c r="L693" s="37"/>
      <c r="M693" s="37"/>
      <c r="N693" s="37"/>
      <c r="O693" s="37"/>
      <c r="P693" s="37"/>
    </row>
    <row r="694" spans="1:16" hidden="1" outlineLevel="1" x14ac:dyDescent="0.3">
      <c r="A694" s="51" t="s">
        <v>6014</v>
      </c>
      <c r="B694" s="51" t="s">
        <v>940</v>
      </c>
      <c r="C694" s="51" t="s">
        <v>829</v>
      </c>
      <c r="D694" s="221">
        <v>0</v>
      </c>
      <c r="E694" s="221">
        <v>0</v>
      </c>
      <c r="F694" s="221">
        <v>0</v>
      </c>
      <c r="G694" s="221">
        <v>0</v>
      </c>
      <c r="H694" s="221">
        <v>0</v>
      </c>
      <c r="I694" s="228"/>
      <c r="J694" s="37"/>
      <c r="K694" s="41"/>
      <c r="L694" s="37"/>
      <c r="M694" s="37"/>
      <c r="N694" s="37"/>
      <c r="O694" s="37"/>
      <c r="P694" s="37"/>
    </row>
    <row r="695" spans="1:16" hidden="1" outlineLevel="1" x14ac:dyDescent="0.3">
      <c r="A695" s="51" t="s">
        <v>6014</v>
      </c>
      <c r="B695" s="51" t="s">
        <v>940</v>
      </c>
      <c r="C695" s="51" t="s">
        <v>833</v>
      </c>
      <c r="D695" s="221">
        <v>0</v>
      </c>
      <c r="E695" s="221">
        <v>0</v>
      </c>
      <c r="F695" s="221">
        <v>0</v>
      </c>
      <c r="G695" s="221">
        <v>0</v>
      </c>
      <c r="H695" s="221">
        <v>0</v>
      </c>
      <c r="I695" s="228"/>
      <c r="J695" s="37"/>
      <c r="K695" s="41"/>
      <c r="L695" s="37"/>
      <c r="M695" s="37"/>
      <c r="N695" s="37"/>
      <c r="O695" s="37"/>
      <c r="P695" s="37"/>
    </row>
    <row r="696" spans="1:16" hidden="1" outlineLevel="1" x14ac:dyDescent="0.3">
      <c r="A696" s="51" t="s">
        <v>6014</v>
      </c>
      <c r="B696" s="51" t="s">
        <v>940</v>
      </c>
      <c r="C696" s="51" t="s">
        <v>836</v>
      </c>
      <c r="D696" s="221">
        <v>0</v>
      </c>
      <c r="E696" s="221">
        <v>0</v>
      </c>
      <c r="F696" s="221">
        <v>0</v>
      </c>
      <c r="G696" s="221">
        <v>0</v>
      </c>
      <c r="H696" s="221">
        <v>0</v>
      </c>
      <c r="I696" s="228"/>
      <c r="J696" s="37"/>
      <c r="K696" s="41"/>
      <c r="L696" s="37"/>
      <c r="M696" s="37"/>
      <c r="N696" s="37"/>
      <c r="O696" s="37"/>
      <c r="P696" s="37"/>
    </row>
    <row r="697" spans="1:16" hidden="1" outlineLevel="1" x14ac:dyDescent="0.3">
      <c r="A697" s="51" t="s">
        <v>6014</v>
      </c>
      <c r="B697" s="51" t="s">
        <v>940</v>
      </c>
      <c r="C697" s="51" t="s">
        <v>837</v>
      </c>
      <c r="D697" s="221">
        <v>0</v>
      </c>
      <c r="E697" s="221">
        <v>0</v>
      </c>
      <c r="F697" s="221">
        <v>0</v>
      </c>
      <c r="G697" s="221">
        <v>0</v>
      </c>
      <c r="H697" s="221">
        <v>0</v>
      </c>
      <c r="I697" s="228"/>
      <c r="J697" s="37"/>
      <c r="K697" s="41"/>
      <c r="L697" s="37"/>
      <c r="M697" s="37"/>
      <c r="N697" s="37"/>
      <c r="O697" s="37"/>
      <c r="P697" s="37"/>
    </row>
    <row r="698" spans="1:16" hidden="1" outlineLevel="1" x14ac:dyDescent="0.3">
      <c r="A698" s="51" t="s">
        <v>6014</v>
      </c>
      <c r="B698" s="51" t="s">
        <v>940</v>
      </c>
      <c r="C698" s="51" t="s">
        <v>839</v>
      </c>
      <c r="D698" s="221">
        <v>0</v>
      </c>
      <c r="E698" s="221">
        <v>0</v>
      </c>
      <c r="F698" s="221">
        <v>0</v>
      </c>
      <c r="G698" s="221">
        <v>0</v>
      </c>
      <c r="H698" s="221">
        <v>0</v>
      </c>
      <c r="I698" s="228"/>
      <c r="J698" s="37"/>
      <c r="K698" s="41"/>
      <c r="L698" s="37"/>
      <c r="M698" s="37"/>
      <c r="N698" s="37"/>
      <c r="O698" s="37"/>
      <c r="P698" s="37"/>
    </row>
    <row r="699" spans="1:16" hidden="1" outlineLevel="1" x14ac:dyDescent="0.3">
      <c r="A699" s="51" t="s">
        <v>6014</v>
      </c>
      <c r="B699" s="51" t="s">
        <v>940</v>
      </c>
      <c r="C699" s="51" t="s">
        <v>840</v>
      </c>
      <c r="D699" s="221">
        <v>0</v>
      </c>
      <c r="E699" s="221">
        <v>0</v>
      </c>
      <c r="F699" s="221">
        <v>0</v>
      </c>
      <c r="G699" s="221">
        <v>0</v>
      </c>
      <c r="H699" s="221">
        <v>0</v>
      </c>
      <c r="I699" s="228"/>
      <c r="J699" s="37"/>
      <c r="K699" s="41"/>
      <c r="L699" s="37"/>
      <c r="M699" s="37"/>
      <c r="N699" s="37"/>
      <c r="O699" s="37"/>
      <c r="P699" s="37"/>
    </row>
    <row r="700" spans="1:16" collapsed="1" x14ac:dyDescent="0.3">
      <c r="A700" s="51"/>
      <c r="B700" s="51"/>
      <c r="C700" s="51"/>
      <c r="D700" s="220"/>
      <c r="E700" s="220"/>
      <c r="F700" s="220"/>
      <c r="G700" s="220"/>
      <c r="H700" s="220"/>
      <c r="I700" s="228"/>
      <c r="J700" s="251"/>
      <c r="K700" s="41"/>
      <c r="L700" s="42"/>
      <c r="M700" s="42"/>
    </row>
    <row r="701" spans="1:16" x14ac:dyDescent="0.3">
      <c r="A701" s="53" t="s">
        <v>5939</v>
      </c>
      <c r="B701" s="51"/>
      <c r="C701" s="52" t="s">
        <v>4032</v>
      </c>
      <c r="D701" s="284">
        <v>0.80000000000000027</v>
      </c>
      <c r="E701" s="284">
        <v>0.80000000000000027</v>
      </c>
      <c r="F701" s="284">
        <v>0.80000000000000027</v>
      </c>
      <c r="G701" s="284">
        <v>0.80000000000000027</v>
      </c>
      <c r="H701" s="284">
        <v>0.80000000000000027</v>
      </c>
      <c r="I701" s="51"/>
    </row>
    <row r="702" spans="1:16" x14ac:dyDescent="0.3">
      <c r="A702" s="127" t="s">
        <v>5</v>
      </c>
      <c r="B702" s="127" t="s">
        <v>847</v>
      </c>
      <c r="C702" s="127" t="s">
        <v>193</v>
      </c>
      <c r="D702" s="253">
        <v>2025</v>
      </c>
      <c r="E702" s="253">
        <v>2030</v>
      </c>
      <c r="F702" s="253">
        <v>2035</v>
      </c>
      <c r="G702" s="253">
        <v>2040</v>
      </c>
      <c r="H702" s="253">
        <v>2045</v>
      </c>
      <c r="I702" s="322" t="s">
        <v>153</v>
      </c>
    </row>
    <row r="703" spans="1:16" hidden="1" outlineLevel="1" x14ac:dyDescent="0.3">
      <c r="A703" s="51" t="s">
        <v>5939</v>
      </c>
      <c r="B703" s="51" t="s">
        <v>855</v>
      </c>
      <c r="C703" s="51" t="s">
        <v>747</v>
      </c>
      <c r="D703" s="284">
        <v>0.8</v>
      </c>
      <c r="E703" s="51">
        <v>0.8</v>
      </c>
      <c r="F703" s="51">
        <v>0.8</v>
      </c>
      <c r="G703" s="51">
        <v>0.8</v>
      </c>
      <c r="H703" s="51">
        <v>0.8</v>
      </c>
      <c r="I703" s="51"/>
    </row>
    <row r="704" spans="1:16" hidden="1" outlineLevel="1" x14ac:dyDescent="0.3">
      <c r="A704" s="51" t="s">
        <v>5939</v>
      </c>
      <c r="B704" s="51" t="s">
        <v>855</v>
      </c>
      <c r="C704" s="51" t="s">
        <v>751</v>
      </c>
      <c r="D704" s="284">
        <v>0.8</v>
      </c>
      <c r="E704" s="51">
        <v>0.8</v>
      </c>
      <c r="F704" s="51">
        <v>0.8</v>
      </c>
      <c r="G704" s="51">
        <v>0.8</v>
      </c>
      <c r="H704" s="51">
        <v>0.8</v>
      </c>
      <c r="I704" s="51"/>
    </row>
    <row r="705" spans="1:9" hidden="1" outlineLevel="1" x14ac:dyDescent="0.3">
      <c r="A705" s="51" t="s">
        <v>5939</v>
      </c>
      <c r="B705" s="51" t="s">
        <v>855</v>
      </c>
      <c r="C705" s="51" t="s">
        <v>755</v>
      </c>
      <c r="D705" s="284">
        <v>0.8</v>
      </c>
      <c r="E705" s="51">
        <v>0.8</v>
      </c>
      <c r="F705" s="51">
        <v>0.8</v>
      </c>
      <c r="G705" s="51">
        <v>0.8</v>
      </c>
      <c r="H705" s="51">
        <v>0.8</v>
      </c>
      <c r="I705" s="51"/>
    </row>
    <row r="706" spans="1:9" hidden="1" outlineLevel="1" x14ac:dyDescent="0.3">
      <c r="A706" s="51" t="s">
        <v>5939</v>
      </c>
      <c r="B706" s="51" t="s">
        <v>855</v>
      </c>
      <c r="C706" s="51" t="s">
        <v>758</v>
      </c>
      <c r="D706" s="284">
        <v>0.8</v>
      </c>
      <c r="E706" s="51">
        <v>0.8</v>
      </c>
      <c r="F706" s="51">
        <v>0.8</v>
      </c>
      <c r="G706" s="51">
        <v>0.8</v>
      </c>
      <c r="H706" s="51">
        <v>0.8</v>
      </c>
      <c r="I706" s="51"/>
    </row>
    <row r="707" spans="1:9" hidden="1" outlineLevel="1" x14ac:dyDescent="0.3">
      <c r="A707" s="51" t="s">
        <v>5939</v>
      </c>
      <c r="B707" s="51" t="s">
        <v>855</v>
      </c>
      <c r="C707" s="51" t="s">
        <v>761</v>
      </c>
      <c r="D707" s="284">
        <v>0.8</v>
      </c>
      <c r="E707" s="51">
        <v>0.8</v>
      </c>
      <c r="F707" s="51">
        <v>0.8</v>
      </c>
      <c r="G707" s="51">
        <v>0.8</v>
      </c>
      <c r="H707" s="51">
        <v>0.8</v>
      </c>
      <c r="I707" s="51"/>
    </row>
    <row r="708" spans="1:9" hidden="1" outlineLevel="1" x14ac:dyDescent="0.3">
      <c r="A708" s="51" t="s">
        <v>5939</v>
      </c>
      <c r="B708" s="51" t="s">
        <v>855</v>
      </c>
      <c r="C708" s="51" t="s">
        <v>763</v>
      </c>
      <c r="D708" s="284">
        <v>0.8</v>
      </c>
      <c r="E708" s="51">
        <v>0.8</v>
      </c>
      <c r="F708" s="51">
        <v>0.8</v>
      </c>
      <c r="G708" s="51">
        <v>0.8</v>
      </c>
      <c r="H708" s="51">
        <v>0.8</v>
      </c>
      <c r="I708" s="51"/>
    </row>
    <row r="709" spans="1:9" hidden="1" outlineLevel="1" x14ac:dyDescent="0.3">
      <c r="A709" s="51" t="s">
        <v>5939</v>
      </c>
      <c r="B709" s="51" t="s">
        <v>855</v>
      </c>
      <c r="C709" s="51" t="s">
        <v>765</v>
      </c>
      <c r="D709" s="284">
        <v>0.8</v>
      </c>
      <c r="E709" s="51">
        <v>0.8</v>
      </c>
      <c r="F709" s="51">
        <v>0.8</v>
      </c>
      <c r="G709" s="51">
        <v>0.8</v>
      </c>
      <c r="H709" s="51">
        <v>0.8</v>
      </c>
      <c r="I709" s="51"/>
    </row>
    <row r="710" spans="1:9" hidden="1" outlineLevel="1" x14ac:dyDescent="0.3">
      <c r="A710" s="51" t="s">
        <v>5939</v>
      </c>
      <c r="B710" s="51" t="s">
        <v>855</v>
      </c>
      <c r="C710" s="51" t="s">
        <v>768</v>
      </c>
      <c r="D710" s="284">
        <v>0.8</v>
      </c>
      <c r="E710" s="51">
        <v>0.8</v>
      </c>
      <c r="F710" s="51">
        <v>0.8</v>
      </c>
      <c r="G710" s="51">
        <v>0.8</v>
      </c>
      <c r="H710" s="51">
        <v>0.8</v>
      </c>
      <c r="I710" s="51"/>
    </row>
    <row r="711" spans="1:9" hidden="1" outlineLevel="1" x14ac:dyDescent="0.3">
      <c r="A711" s="51" t="s">
        <v>5939</v>
      </c>
      <c r="B711" s="51" t="s">
        <v>855</v>
      </c>
      <c r="C711" s="51" t="s">
        <v>771</v>
      </c>
      <c r="D711" s="284">
        <v>0.8</v>
      </c>
      <c r="E711" s="51">
        <v>0.8</v>
      </c>
      <c r="F711" s="51">
        <v>0.8</v>
      </c>
      <c r="G711" s="51">
        <v>0.8</v>
      </c>
      <c r="H711" s="51">
        <v>0.8</v>
      </c>
      <c r="I711" s="51"/>
    </row>
    <row r="712" spans="1:9" hidden="1" outlineLevel="1" x14ac:dyDescent="0.3">
      <c r="A712" s="51" t="s">
        <v>5939</v>
      </c>
      <c r="B712" s="51" t="s">
        <v>855</v>
      </c>
      <c r="C712" s="51" t="s">
        <v>772</v>
      </c>
      <c r="D712" s="284">
        <v>0.8</v>
      </c>
      <c r="E712" s="51">
        <v>0.8</v>
      </c>
      <c r="F712" s="51">
        <v>0.8</v>
      </c>
      <c r="G712" s="51">
        <v>0.8</v>
      </c>
      <c r="H712" s="51">
        <v>0.8</v>
      </c>
      <c r="I712" s="51"/>
    </row>
    <row r="713" spans="1:9" hidden="1" outlineLevel="1" x14ac:dyDescent="0.3">
      <c r="A713" s="51" t="s">
        <v>5939</v>
      </c>
      <c r="B713" s="51" t="s">
        <v>855</v>
      </c>
      <c r="C713" s="51" t="s">
        <v>774</v>
      </c>
      <c r="D713" s="284">
        <v>0.8</v>
      </c>
      <c r="E713" s="51">
        <v>0.8</v>
      </c>
      <c r="F713" s="51">
        <v>0.8</v>
      </c>
      <c r="G713" s="51">
        <v>0.8</v>
      </c>
      <c r="H713" s="51">
        <v>0.8</v>
      </c>
      <c r="I713" s="51"/>
    </row>
    <row r="714" spans="1:9" hidden="1" outlineLevel="1" x14ac:dyDescent="0.3">
      <c r="A714" s="51" t="s">
        <v>5939</v>
      </c>
      <c r="B714" s="51" t="s">
        <v>855</v>
      </c>
      <c r="C714" s="51" t="s">
        <v>775</v>
      </c>
      <c r="D714" s="284">
        <v>0.8</v>
      </c>
      <c r="E714" s="51">
        <v>0.8</v>
      </c>
      <c r="F714" s="51">
        <v>0.8</v>
      </c>
      <c r="G714" s="51">
        <v>0.8</v>
      </c>
      <c r="H714" s="51">
        <v>0.8</v>
      </c>
      <c r="I714" s="51"/>
    </row>
    <row r="715" spans="1:9" hidden="1" outlineLevel="1" x14ac:dyDescent="0.3">
      <c r="A715" s="51" t="s">
        <v>5939</v>
      </c>
      <c r="B715" s="51" t="s">
        <v>855</v>
      </c>
      <c r="C715" s="51" t="s">
        <v>779</v>
      </c>
      <c r="D715" s="284">
        <v>0.8</v>
      </c>
      <c r="E715" s="51">
        <v>0.8</v>
      </c>
      <c r="F715" s="51">
        <v>0.8</v>
      </c>
      <c r="G715" s="51">
        <v>0.8</v>
      </c>
      <c r="H715" s="51">
        <v>0.8</v>
      </c>
      <c r="I715" s="51"/>
    </row>
    <row r="716" spans="1:9" hidden="1" outlineLevel="1" x14ac:dyDescent="0.3">
      <c r="A716" s="51" t="s">
        <v>5939</v>
      </c>
      <c r="B716" s="51" t="s">
        <v>894</v>
      </c>
      <c r="C716" s="51" t="s">
        <v>781</v>
      </c>
      <c r="D716" s="284">
        <v>0.8</v>
      </c>
      <c r="E716" s="51">
        <v>0.8</v>
      </c>
      <c r="F716" s="51">
        <v>0.8</v>
      </c>
      <c r="G716" s="51">
        <v>0.8</v>
      </c>
      <c r="H716" s="51">
        <v>0.8</v>
      </c>
      <c r="I716" s="51"/>
    </row>
    <row r="717" spans="1:9" hidden="1" outlineLevel="1" x14ac:dyDescent="0.3">
      <c r="A717" s="51" t="s">
        <v>5939</v>
      </c>
      <c r="B717" s="51" t="s">
        <v>894</v>
      </c>
      <c r="C717" s="51" t="s">
        <v>783</v>
      </c>
      <c r="D717" s="284">
        <v>0.8</v>
      </c>
      <c r="E717" s="51">
        <v>0.8</v>
      </c>
      <c r="F717" s="51">
        <v>0.8</v>
      </c>
      <c r="G717" s="51">
        <v>0.8</v>
      </c>
      <c r="H717" s="51">
        <v>0.8</v>
      </c>
      <c r="I717" s="51"/>
    </row>
    <row r="718" spans="1:9" hidden="1" outlineLevel="1" x14ac:dyDescent="0.3">
      <c r="A718" s="51" t="s">
        <v>5939</v>
      </c>
      <c r="B718" s="51" t="s">
        <v>894</v>
      </c>
      <c r="C718" s="51" t="s">
        <v>785</v>
      </c>
      <c r="D718" s="284">
        <v>0.8</v>
      </c>
      <c r="E718" s="51">
        <v>0.8</v>
      </c>
      <c r="F718" s="51">
        <v>0.8</v>
      </c>
      <c r="G718" s="51">
        <v>0.8</v>
      </c>
      <c r="H718" s="51">
        <v>0.8</v>
      </c>
      <c r="I718" s="51"/>
    </row>
    <row r="719" spans="1:9" hidden="1" outlineLevel="1" x14ac:dyDescent="0.3">
      <c r="A719" s="51" t="s">
        <v>5939</v>
      </c>
      <c r="B719" s="51" t="s">
        <v>894</v>
      </c>
      <c r="C719" s="51" t="s">
        <v>787</v>
      </c>
      <c r="D719" s="284">
        <v>0.8</v>
      </c>
      <c r="E719" s="51">
        <v>0.8</v>
      </c>
      <c r="F719" s="51">
        <v>0.8</v>
      </c>
      <c r="G719" s="51">
        <v>0.8</v>
      </c>
      <c r="H719" s="51">
        <v>0.8</v>
      </c>
      <c r="I719" s="51"/>
    </row>
    <row r="720" spans="1:9" hidden="1" outlineLevel="1" x14ac:dyDescent="0.3">
      <c r="A720" s="51" t="s">
        <v>5939</v>
      </c>
      <c r="B720" s="51" t="s">
        <v>894</v>
      </c>
      <c r="C720" s="51" t="s">
        <v>788</v>
      </c>
      <c r="D720" s="284">
        <v>0.8</v>
      </c>
      <c r="E720" s="51">
        <v>0.8</v>
      </c>
      <c r="F720" s="51">
        <v>0.8</v>
      </c>
      <c r="G720" s="51">
        <v>0.8</v>
      </c>
      <c r="H720" s="51">
        <v>0.8</v>
      </c>
      <c r="I720" s="51"/>
    </row>
    <row r="721" spans="1:9" hidden="1" outlineLevel="1" x14ac:dyDescent="0.3">
      <c r="A721" s="51" t="s">
        <v>5939</v>
      </c>
      <c r="B721" s="51" t="s">
        <v>894</v>
      </c>
      <c r="C721" s="51" t="s">
        <v>789</v>
      </c>
      <c r="D721" s="284">
        <v>0.8</v>
      </c>
      <c r="E721" s="51">
        <v>0.8</v>
      </c>
      <c r="F721" s="51">
        <v>0.8</v>
      </c>
      <c r="G721" s="51">
        <v>0.8</v>
      </c>
      <c r="H721" s="51">
        <v>0.8</v>
      </c>
      <c r="I721" s="51"/>
    </row>
    <row r="722" spans="1:9" hidden="1" outlineLevel="1" x14ac:dyDescent="0.3">
      <c r="A722" s="51" t="s">
        <v>5939</v>
      </c>
      <c r="B722" s="51" t="s">
        <v>894</v>
      </c>
      <c r="C722" s="51" t="s">
        <v>790</v>
      </c>
      <c r="D722" s="284">
        <v>0.8</v>
      </c>
      <c r="E722" s="51">
        <v>0.8</v>
      </c>
      <c r="F722" s="51">
        <v>0.8</v>
      </c>
      <c r="G722" s="51">
        <v>0.8</v>
      </c>
      <c r="H722" s="51">
        <v>0.8</v>
      </c>
      <c r="I722" s="51"/>
    </row>
    <row r="723" spans="1:9" hidden="1" outlineLevel="1" x14ac:dyDescent="0.3">
      <c r="A723" s="51" t="s">
        <v>5939</v>
      </c>
      <c r="B723" s="51" t="s">
        <v>894</v>
      </c>
      <c r="C723" s="51" t="s">
        <v>793</v>
      </c>
      <c r="D723" s="284">
        <v>0.8</v>
      </c>
      <c r="E723" s="51">
        <v>0.8</v>
      </c>
      <c r="F723" s="51">
        <v>0.8</v>
      </c>
      <c r="G723" s="51">
        <v>0.8</v>
      </c>
      <c r="H723" s="51">
        <v>0.8</v>
      </c>
      <c r="I723" s="51"/>
    </row>
    <row r="724" spans="1:9" hidden="1" outlineLevel="1" x14ac:dyDescent="0.3">
      <c r="A724" s="51" t="s">
        <v>5939</v>
      </c>
      <c r="B724" s="51" t="s">
        <v>894</v>
      </c>
      <c r="C724" s="51" t="s">
        <v>795</v>
      </c>
      <c r="D724" s="284">
        <v>0.8</v>
      </c>
      <c r="E724" s="51">
        <v>0.8</v>
      </c>
      <c r="F724" s="51">
        <v>0.8</v>
      </c>
      <c r="G724" s="51">
        <v>0.8</v>
      </c>
      <c r="H724" s="51">
        <v>0.8</v>
      </c>
      <c r="I724" s="51"/>
    </row>
    <row r="725" spans="1:9" hidden="1" outlineLevel="1" x14ac:dyDescent="0.3">
      <c r="A725" s="51" t="s">
        <v>5939</v>
      </c>
      <c r="B725" s="51" t="s">
        <v>894</v>
      </c>
      <c r="C725" s="51" t="s">
        <v>797</v>
      </c>
      <c r="D725" s="284">
        <v>0.8</v>
      </c>
      <c r="E725" s="51">
        <v>0.8</v>
      </c>
      <c r="F725" s="51">
        <v>0.8</v>
      </c>
      <c r="G725" s="51">
        <v>0.8</v>
      </c>
      <c r="H725" s="51">
        <v>0.8</v>
      </c>
      <c r="I725" s="51"/>
    </row>
    <row r="726" spans="1:9" hidden="1" outlineLevel="1" x14ac:dyDescent="0.3">
      <c r="A726" s="51" t="s">
        <v>5939</v>
      </c>
      <c r="B726" s="51" t="s">
        <v>915</v>
      </c>
      <c r="C726" s="51" t="s">
        <v>799</v>
      </c>
      <c r="D726" s="284">
        <v>0.8</v>
      </c>
      <c r="E726" s="51">
        <v>0.8</v>
      </c>
      <c r="F726" s="51">
        <v>0.8</v>
      </c>
      <c r="G726" s="51">
        <v>0.8</v>
      </c>
      <c r="H726" s="51">
        <v>0.8</v>
      </c>
      <c r="I726" s="51"/>
    </row>
    <row r="727" spans="1:9" hidden="1" outlineLevel="1" x14ac:dyDescent="0.3">
      <c r="A727" s="51" t="s">
        <v>5939</v>
      </c>
      <c r="B727" s="51" t="s">
        <v>915</v>
      </c>
      <c r="C727" s="51" t="s">
        <v>801</v>
      </c>
      <c r="D727" s="284">
        <v>0.8</v>
      </c>
      <c r="E727" s="51">
        <v>0.8</v>
      </c>
      <c r="F727" s="51">
        <v>0.8</v>
      </c>
      <c r="G727" s="51">
        <v>0.8</v>
      </c>
      <c r="H727" s="51">
        <v>0.8</v>
      </c>
      <c r="I727" s="51"/>
    </row>
    <row r="728" spans="1:9" hidden="1" outlineLevel="1" x14ac:dyDescent="0.3">
      <c r="A728" s="51" t="s">
        <v>5939</v>
      </c>
      <c r="B728" s="51" t="s">
        <v>915</v>
      </c>
      <c r="C728" s="51" t="s">
        <v>804</v>
      </c>
      <c r="D728" s="284">
        <v>0.8</v>
      </c>
      <c r="E728" s="51">
        <v>0.8</v>
      </c>
      <c r="F728" s="51">
        <v>0.8</v>
      </c>
      <c r="G728" s="51">
        <v>0.8</v>
      </c>
      <c r="H728" s="51">
        <v>0.8</v>
      </c>
      <c r="I728" s="51"/>
    </row>
    <row r="729" spans="1:9" hidden="1" outlineLevel="1" x14ac:dyDescent="0.3">
      <c r="A729" s="51" t="s">
        <v>5939</v>
      </c>
      <c r="B729" s="51" t="s">
        <v>915</v>
      </c>
      <c r="C729" s="51" t="s">
        <v>806</v>
      </c>
      <c r="D729" s="284">
        <v>0.8</v>
      </c>
      <c r="E729" s="51">
        <v>0.8</v>
      </c>
      <c r="F729" s="51">
        <v>0.8</v>
      </c>
      <c r="G729" s="51">
        <v>0.8</v>
      </c>
      <c r="H729" s="51">
        <v>0.8</v>
      </c>
      <c r="I729" s="51"/>
    </row>
    <row r="730" spans="1:9" hidden="1" outlineLevel="1" x14ac:dyDescent="0.3">
      <c r="A730" s="51" t="s">
        <v>5939</v>
      </c>
      <c r="B730" s="51" t="s">
        <v>915</v>
      </c>
      <c r="C730" s="51" t="s">
        <v>808</v>
      </c>
      <c r="D730" s="284">
        <v>0.8</v>
      </c>
      <c r="E730" s="51">
        <v>0.8</v>
      </c>
      <c r="F730" s="51">
        <v>0.8</v>
      </c>
      <c r="G730" s="51">
        <v>0.8</v>
      </c>
      <c r="H730" s="51">
        <v>0.8</v>
      </c>
      <c r="I730" s="51"/>
    </row>
    <row r="731" spans="1:9" hidden="1" outlineLevel="1" x14ac:dyDescent="0.3">
      <c r="A731" s="51" t="s">
        <v>5939</v>
      </c>
      <c r="B731" s="51" t="s">
        <v>915</v>
      </c>
      <c r="C731" s="51" t="s">
        <v>811</v>
      </c>
      <c r="D731" s="284">
        <v>0.8</v>
      </c>
      <c r="E731" s="51">
        <v>0.8</v>
      </c>
      <c r="F731" s="51">
        <v>0.8</v>
      </c>
      <c r="G731" s="51">
        <v>0.8</v>
      </c>
      <c r="H731" s="51">
        <v>0.8</v>
      </c>
      <c r="I731" s="51"/>
    </row>
    <row r="732" spans="1:9" hidden="1" outlineLevel="1" x14ac:dyDescent="0.3">
      <c r="A732" s="51" t="s">
        <v>5939</v>
      </c>
      <c r="B732" s="51" t="s">
        <v>934</v>
      </c>
      <c r="C732" s="51" t="s">
        <v>814</v>
      </c>
      <c r="D732" s="284">
        <v>0.8</v>
      </c>
      <c r="E732" s="51">
        <v>0.8</v>
      </c>
      <c r="F732" s="51">
        <v>0.8</v>
      </c>
      <c r="G732" s="51">
        <v>0.8</v>
      </c>
      <c r="H732" s="51">
        <v>0.8</v>
      </c>
      <c r="I732" s="51"/>
    </row>
    <row r="733" spans="1:9" hidden="1" outlineLevel="1" x14ac:dyDescent="0.3">
      <c r="A733" s="51" t="s">
        <v>5939</v>
      </c>
      <c r="B733" s="51" t="s">
        <v>934</v>
      </c>
      <c r="C733" s="51" t="s">
        <v>815</v>
      </c>
      <c r="D733" s="284">
        <v>0.8</v>
      </c>
      <c r="E733" s="51">
        <v>0.8</v>
      </c>
      <c r="F733" s="51">
        <v>0.8</v>
      </c>
      <c r="G733" s="51">
        <v>0.8</v>
      </c>
      <c r="H733" s="51">
        <v>0.8</v>
      </c>
      <c r="I733" s="51"/>
    </row>
    <row r="734" spans="1:9" hidden="1" outlineLevel="1" x14ac:dyDescent="0.3">
      <c r="A734" s="51" t="s">
        <v>5939</v>
      </c>
      <c r="B734" s="51" t="s">
        <v>940</v>
      </c>
      <c r="C734" s="51" t="s">
        <v>817</v>
      </c>
      <c r="D734" s="284">
        <v>0.8</v>
      </c>
      <c r="E734" s="51">
        <v>0.8</v>
      </c>
      <c r="F734" s="51">
        <v>0.8</v>
      </c>
      <c r="G734" s="51">
        <v>0.8</v>
      </c>
      <c r="H734" s="51">
        <v>0.8</v>
      </c>
      <c r="I734" s="51"/>
    </row>
    <row r="735" spans="1:9" hidden="1" outlineLevel="1" x14ac:dyDescent="0.3">
      <c r="A735" s="51" t="s">
        <v>5939</v>
      </c>
      <c r="B735" s="51" t="s">
        <v>940</v>
      </c>
      <c r="C735" s="51" t="s">
        <v>944</v>
      </c>
      <c r="D735" s="284">
        <v>0.8</v>
      </c>
      <c r="E735" s="51">
        <v>0.8</v>
      </c>
      <c r="F735" s="51">
        <v>0.8</v>
      </c>
      <c r="G735" s="51">
        <v>0.8</v>
      </c>
      <c r="H735" s="51">
        <v>0.8</v>
      </c>
      <c r="I735" s="51"/>
    </row>
    <row r="736" spans="1:9" hidden="1" outlineLevel="1" x14ac:dyDescent="0.3">
      <c r="A736" s="51" t="s">
        <v>5939</v>
      </c>
      <c r="B736" s="51" t="s">
        <v>940</v>
      </c>
      <c r="C736" s="51" t="s">
        <v>821</v>
      </c>
      <c r="D736" s="284">
        <v>0.8</v>
      </c>
      <c r="E736" s="51">
        <v>0.8</v>
      </c>
      <c r="F736" s="51">
        <v>0.8</v>
      </c>
      <c r="G736" s="51">
        <v>0.8</v>
      </c>
      <c r="H736" s="51">
        <v>0.8</v>
      </c>
      <c r="I736" s="51"/>
    </row>
    <row r="737" spans="1:9" hidden="1" outlineLevel="1" x14ac:dyDescent="0.3">
      <c r="A737" s="51" t="s">
        <v>5939</v>
      </c>
      <c r="B737" s="51" t="s">
        <v>940</v>
      </c>
      <c r="C737" s="51" t="s">
        <v>823</v>
      </c>
      <c r="D737" s="284">
        <v>0.8</v>
      </c>
      <c r="E737" s="51">
        <v>0.8</v>
      </c>
      <c r="F737" s="51">
        <v>0.8</v>
      </c>
      <c r="G737" s="51">
        <v>0.8</v>
      </c>
      <c r="H737" s="51">
        <v>0.8</v>
      </c>
      <c r="I737" s="51"/>
    </row>
    <row r="738" spans="1:9" hidden="1" outlineLevel="1" x14ac:dyDescent="0.3">
      <c r="A738" s="51" t="s">
        <v>5939</v>
      </c>
      <c r="B738" s="51" t="s">
        <v>940</v>
      </c>
      <c r="C738" s="51" t="s">
        <v>825</v>
      </c>
      <c r="D738" s="284">
        <v>0.8</v>
      </c>
      <c r="E738" s="51">
        <v>0.8</v>
      </c>
      <c r="F738" s="51">
        <v>0.8</v>
      </c>
      <c r="G738" s="51">
        <v>0.8</v>
      </c>
      <c r="H738" s="51">
        <v>0.8</v>
      </c>
      <c r="I738" s="51"/>
    </row>
    <row r="739" spans="1:9" hidden="1" outlineLevel="1" x14ac:dyDescent="0.3">
      <c r="A739" s="51" t="s">
        <v>5939</v>
      </c>
      <c r="B739" s="51" t="s">
        <v>940</v>
      </c>
      <c r="C739" s="51" t="s">
        <v>827</v>
      </c>
      <c r="D739" s="284">
        <v>0.8</v>
      </c>
      <c r="E739" s="51">
        <v>0.8</v>
      </c>
      <c r="F739" s="51">
        <v>0.8</v>
      </c>
      <c r="G739" s="51">
        <v>0.8</v>
      </c>
      <c r="H739" s="51">
        <v>0.8</v>
      </c>
      <c r="I739" s="51"/>
    </row>
    <row r="740" spans="1:9" hidden="1" outlineLevel="1" x14ac:dyDescent="0.3">
      <c r="A740" s="51" t="s">
        <v>5939</v>
      </c>
      <c r="B740" s="51" t="s">
        <v>940</v>
      </c>
      <c r="C740" s="51" t="s">
        <v>829</v>
      </c>
      <c r="D740" s="284">
        <v>0.8</v>
      </c>
      <c r="E740" s="51">
        <v>0.8</v>
      </c>
      <c r="F740" s="51">
        <v>0.8</v>
      </c>
      <c r="G740" s="51">
        <v>0.8</v>
      </c>
      <c r="H740" s="51">
        <v>0.8</v>
      </c>
      <c r="I740" s="51"/>
    </row>
    <row r="741" spans="1:9" hidden="1" outlineLevel="1" x14ac:dyDescent="0.3">
      <c r="A741" s="51" t="s">
        <v>5939</v>
      </c>
      <c r="B741" s="51" t="s">
        <v>940</v>
      </c>
      <c r="C741" s="51" t="s">
        <v>833</v>
      </c>
      <c r="D741" s="284">
        <v>0.8</v>
      </c>
      <c r="E741" s="51">
        <v>0.8</v>
      </c>
      <c r="F741" s="51">
        <v>0.8</v>
      </c>
      <c r="G741" s="51">
        <v>0.8</v>
      </c>
      <c r="H741" s="51">
        <v>0.8</v>
      </c>
      <c r="I741" s="51"/>
    </row>
    <row r="742" spans="1:9" hidden="1" outlineLevel="1" x14ac:dyDescent="0.3">
      <c r="A742" s="51" t="s">
        <v>5939</v>
      </c>
      <c r="B742" s="51" t="s">
        <v>940</v>
      </c>
      <c r="C742" s="51" t="s">
        <v>836</v>
      </c>
      <c r="D742" s="284">
        <v>0.8</v>
      </c>
      <c r="E742" s="51">
        <v>0.8</v>
      </c>
      <c r="F742" s="51">
        <v>0.8</v>
      </c>
      <c r="G742" s="51">
        <v>0.8</v>
      </c>
      <c r="H742" s="51">
        <v>0.8</v>
      </c>
      <c r="I742" s="51"/>
    </row>
    <row r="743" spans="1:9" hidden="1" outlineLevel="1" x14ac:dyDescent="0.3">
      <c r="A743" s="51" t="s">
        <v>5939</v>
      </c>
      <c r="B743" s="51" t="s">
        <v>940</v>
      </c>
      <c r="C743" s="51" t="s">
        <v>837</v>
      </c>
      <c r="D743" s="284">
        <v>0.8</v>
      </c>
      <c r="E743" s="51">
        <v>0.8</v>
      </c>
      <c r="F743" s="51">
        <v>0.8</v>
      </c>
      <c r="G743" s="51">
        <v>0.8</v>
      </c>
      <c r="H743" s="51">
        <v>0.8</v>
      </c>
      <c r="I743" s="51"/>
    </row>
    <row r="744" spans="1:9" hidden="1" outlineLevel="1" x14ac:dyDescent="0.3">
      <c r="A744" s="51" t="s">
        <v>5939</v>
      </c>
      <c r="B744" s="51" t="s">
        <v>940</v>
      </c>
      <c r="C744" s="51" t="s">
        <v>839</v>
      </c>
      <c r="D744" s="284">
        <v>0.8</v>
      </c>
      <c r="E744" s="51">
        <v>0.8</v>
      </c>
      <c r="F744" s="51">
        <v>0.8</v>
      </c>
      <c r="G744" s="51">
        <v>0.8</v>
      </c>
      <c r="H744" s="51">
        <v>0.8</v>
      </c>
      <c r="I744" s="51"/>
    </row>
    <row r="745" spans="1:9" hidden="1" outlineLevel="1" x14ac:dyDescent="0.3">
      <c r="A745" s="51" t="s">
        <v>5939</v>
      </c>
      <c r="B745" s="51" t="s">
        <v>940</v>
      </c>
      <c r="C745" s="51" t="s">
        <v>840</v>
      </c>
      <c r="D745" s="284">
        <v>0.8</v>
      </c>
      <c r="E745" s="51">
        <v>0.8</v>
      </c>
      <c r="F745" s="51">
        <v>0.8</v>
      </c>
      <c r="G745" s="51">
        <v>0.8</v>
      </c>
      <c r="H745" s="51">
        <v>0.8</v>
      </c>
      <c r="I745" s="51"/>
    </row>
    <row r="746" spans="1:9" collapsed="1" x14ac:dyDescent="0.3">
      <c r="A746" s="51"/>
      <c r="B746" s="51"/>
      <c r="C746" s="51"/>
      <c r="D746" s="284"/>
      <c r="E746" s="51"/>
      <c r="F746" s="51"/>
      <c r="G746" s="51"/>
      <c r="H746" s="51"/>
      <c r="I746" s="51"/>
    </row>
    <row r="747" spans="1:9" x14ac:dyDescent="0.3">
      <c r="A747" s="53" t="s">
        <v>5940</v>
      </c>
      <c r="B747" s="53"/>
      <c r="C747" s="52" t="s">
        <v>4032</v>
      </c>
      <c r="D747" s="278">
        <v>1</v>
      </c>
      <c r="E747" s="278">
        <v>0.60000000000000042</v>
      </c>
      <c r="F747" s="278">
        <v>0.25</v>
      </c>
      <c r="G747" s="278">
        <v>0.55000000000000038</v>
      </c>
      <c r="H747" s="278">
        <v>1.6000000000000003</v>
      </c>
      <c r="I747" s="279"/>
    </row>
    <row r="748" spans="1:9" x14ac:dyDescent="0.3">
      <c r="A748" s="127" t="s">
        <v>5</v>
      </c>
      <c r="B748" s="127" t="s">
        <v>847</v>
      </c>
      <c r="C748" s="127" t="s">
        <v>193</v>
      </c>
      <c r="D748" s="280" t="s">
        <v>696</v>
      </c>
      <c r="E748" s="280" t="s">
        <v>698</v>
      </c>
      <c r="F748" s="280" t="s">
        <v>701</v>
      </c>
      <c r="G748" s="280" t="s">
        <v>5941</v>
      </c>
      <c r="H748" s="280" t="s">
        <v>702</v>
      </c>
      <c r="I748" s="280" t="s">
        <v>153</v>
      </c>
    </row>
    <row r="749" spans="1:9" hidden="1" outlineLevel="1" x14ac:dyDescent="0.3">
      <c r="A749" s="51" t="s">
        <v>5940</v>
      </c>
      <c r="B749" s="51" t="s">
        <v>855</v>
      </c>
      <c r="C749" s="51" t="s">
        <v>747</v>
      </c>
      <c r="D749" s="51">
        <v>1</v>
      </c>
      <c r="E749" s="51">
        <v>0.6</v>
      </c>
      <c r="F749" s="51">
        <v>0.25</v>
      </c>
      <c r="G749" s="51">
        <v>0.55000000000000004</v>
      </c>
      <c r="H749" s="51">
        <v>1.6</v>
      </c>
      <c r="I749" s="51"/>
    </row>
    <row r="750" spans="1:9" hidden="1" outlineLevel="1" x14ac:dyDescent="0.3">
      <c r="A750" s="51" t="s">
        <v>5940</v>
      </c>
      <c r="B750" s="51" t="s">
        <v>855</v>
      </c>
      <c r="C750" s="51" t="s">
        <v>751</v>
      </c>
      <c r="D750" s="51">
        <v>1</v>
      </c>
      <c r="E750" s="51">
        <v>0.6</v>
      </c>
      <c r="F750" s="51">
        <v>0.25</v>
      </c>
      <c r="G750" s="51">
        <v>0.55000000000000004</v>
      </c>
      <c r="H750" s="51">
        <v>1.6</v>
      </c>
      <c r="I750" s="51"/>
    </row>
    <row r="751" spans="1:9" hidden="1" outlineLevel="1" x14ac:dyDescent="0.3">
      <c r="A751" s="51" t="s">
        <v>5940</v>
      </c>
      <c r="B751" s="51" t="s">
        <v>855</v>
      </c>
      <c r="C751" s="51" t="s">
        <v>755</v>
      </c>
      <c r="D751" s="51">
        <v>1</v>
      </c>
      <c r="E751" s="51">
        <v>0.6</v>
      </c>
      <c r="F751" s="51">
        <v>0.25</v>
      </c>
      <c r="G751" s="51">
        <v>0.55000000000000004</v>
      </c>
      <c r="H751" s="51">
        <v>1.6</v>
      </c>
      <c r="I751" s="51"/>
    </row>
    <row r="752" spans="1:9" hidden="1" outlineLevel="1" x14ac:dyDescent="0.3">
      <c r="A752" s="51" t="s">
        <v>5940</v>
      </c>
      <c r="B752" s="51" t="s">
        <v>855</v>
      </c>
      <c r="C752" s="51" t="s">
        <v>758</v>
      </c>
      <c r="D752" s="51">
        <v>1</v>
      </c>
      <c r="E752" s="51">
        <v>0.6</v>
      </c>
      <c r="F752" s="51">
        <v>0.25</v>
      </c>
      <c r="G752" s="51">
        <v>0.55000000000000004</v>
      </c>
      <c r="H752" s="51">
        <v>1.6</v>
      </c>
      <c r="I752" s="51"/>
    </row>
    <row r="753" spans="1:9" hidden="1" outlineLevel="1" x14ac:dyDescent="0.3">
      <c r="A753" s="51" t="s">
        <v>5940</v>
      </c>
      <c r="B753" s="51" t="s">
        <v>855</v>
      </c>
      <c r="C753" s="51" t="s">
        <v>761</v>
      </c>
      <c r="D753" s="51">
        <v>1</v>
      </c>
      <c r="E753" s="51">
        <v>0.6</v>
      </c>
      <c r="F753" s="51">
        <v>0.25</v>
      </c>
      <c r="G753" s="51">
        <v>0.55000000000000004</v>
      </c>
      <c r="H753" s="51">
        <v>1.6</v>
      </c>
      <c r="I753" s="51"/>
    </row>
    <row r="754" spans="1:9" hidden="1" outlineLevel="1" x14ac:dyDescent="0.3">
      <c r="A754" s="51" t="s">
        <v>5940</v>
      </c>
      <c r="B754" s="51" t="s">
        <v>855</v>
      </c>
      <c r="C754" s="51" t="s">
        <v>763</v>
      </c>
      <c r="D754" s="51">
        <v>1</v>
      </c>
      <c r="E754" s="51">
        <v>0.6</v>
      </c>
      <c r="F754" s="51">
        <v>0.25</v>
      </c>
      <c r="G754" s="51">
        <v>0.55000000000000004</v>
      </c>
      <c r="H754" s="51">
        <v>1.6</v>
      </c>
      <c r="I754" s="51"/>
    </row>
    <row r="755" spans="1:9" hidden="1" outlineLevel="1" x14ac:dyDescent="0.3">
      <c r="A755" s="51" t="s">
        <v>5940</v>
      </c>
      <c r="B755" s="51" t="s">
        <v>855</v>
      </c>
      <c r="C755" s="51" t="s">
        <v>765</v>
      </c>
      <c r="D755" s="51">
        <v>1</v>
      </c>
      <c r="E755" s="51">
        <v>0.6</v>
      </c>
      <c r="F755" s="51">
        <v>0.25</v>
      </c>
      <c r="G755" s="51">
        <v>0.55000000000000004</v>
      </c>
      <c r="H755" s="51">
        <v>1.6</v>
      </c>
      <c r="I755" s="51"/>
    </row>
    <row r="756" spans="1:9" hidden="1" outlineLevel="1" x14ac:dyDescent="0.3">
      <c r="A756" s="51" t="s">
        <v>5940</v>
      </c>
      <c r="B756" s="51" t="s">
        <v>855</v>
      </c>
      <c r="C756" s="51" t="s">
        <v>768</v>
      </c>
      <c r="D756" s="51">
        <v>1</v>
      </c>
      <c r="E756" s="51">
        <v>0.6</v>
      </c>
      <c r="F756" s="51">
        <v>0.25</v>
      </c>
      <c r="G756" s="51">
        <v>0.55000000000000004</v>
      </c>
      <c r="H756" s="51">
        <v>1.6</v>
      </c>
      <c r="I756" s="51"/>
    </row>
    <row r="757" spans="1:9" hidden="1" outlineLevel="1" x14ac:dyDescent="0.3">
      <c r="A757" s="51" t="s">
        <v>5940</v>
      </c>
      <c r="B757" s="51" t="s">
        <v>855</v>
      </c>
      <c r="C757" s="51" t="s">
        <v>771</v>
      </c>
      <c r="D757" s="51">
        <v>1</v>
      </c>
      <c r="E757" s="51">
        <v>0.6</v>
      </c>
      <c r="F757" s="51">
        <v>0.25</v>
      </c>
      <c r="G757" s="51">
        <v>0.55000000000000004</v>
      </c>
      <c r="H757" s="51">
        <v>1.6</v>
      </c>
      <c r="I757" s="51"/>
    </row>
    <row r="758" spans="1:9" hidden="1" outlineLevel="1" x14ac:dyDescent="0.3">
      <c r="A758" s="51" t="s">
        <v>5940</v>
      </c>
      <c r="B758" s="51" t="s">
        <v>855</v>
      </c>
      <c r="C758" s="51" t="s">
        <v>772</v>
      </c>
      <c r="D758" s="51">
        <v>1</v>
      </c>
      <c r="E758" s="51">
        <v>0.6</v>
      </c>
      <c r="F758" s="51">
        <v>0.25</v>
      </c>
      <c r="G758" s="51">
        <v>0.55000000000000004</v>
      </c>
      <c r="H758" s="51">
        <v>1.6</v>
      </c>
      <c r="I758" s="51"/>
    </row>
    <row r="759" spans="1:9" hidden="1" outlineLevel="1" x14ac:dyDescent="0.3">
      <c r="A759" s="51" t="s">
        <v>5940</v>
      </c>
      <c r="B759" s="51" t="s">
        <v>855</v>
      </c>
      <c r="C759" s="51" t="s">
        <v>774</v>
      </c>
      <c r="D759" s="51">
        <v>1</v>
      </c>
      <c r="E759" s="51">
        <v>0.6</v>
      </c>
      <c r="F759" s="51">
        <v>0.25</v>
      </c>
      <c r="G759" s="51">
        <v>0.55000000000000004</v>
      </c>
      <c r="H759" s="51">
        <v>1.6</v>
      </c>
      <c r="I759" s="51"/>
    </row>
    <row r="760" spans="1:9" hidden="1" outlineLevel="1" x14ac:dyDescent="0.3">
      <c r="A760" s="51" t="s">
        <v>5940</v>
      </c>
      <c r="B760" s="51" t="s">
        <v>855</v>
      </c>
      <c r="C760" s="51" t="s">
        <v>775</v>
      </c>
      <c r="D760" s="51">
        <v>1</v>
      </c>
      <c r="E760" s="51">
        <v>0.6</v>
      </c>
      <c r="F760" s="51">
        <v>0.25</v>
      </c>
      <c r="G760" s="51">
        <v>0.55000000000000004</v>
      </c>
      <c r="H760" s="51">
        <v>1.6</v>
      </c>
      <c r="I760" s="51"/>
    </row>
    <row r="761" spans="1:9" hidden="1" outlineLevel="1" x14ac:dyDescent="0.3">
      <c r="A761" s="51" t="s">
        <v>5940</v>
      </c>
      <c r="B761" s="51" t="s">
        <v>855</v>
      </c>
      <c r="C761" s="51" t="s">
        <v>779</v>
      </c>
      <c r="D761" s="51">
        <v>1</v>
      </c>
      <c r="E761" s="51">
        <v>0.6</v>
      </c>
      <c r="F761" s="51">
        <v>0.25</v>
      </c>
      <c r="G761" s="51">
        <v>0.55000000000000004</v>
      </c>
      <c r="H761" s="51">
        <v>1.6</v>
      </c>
      <c r="I761" s="51"/>
    </row>
    <row r="762" spans="1:9" hidden="1" outlineLevel="1" x14ac:dyDescent="0.3">
      <c r="A762" s="51" t="s">
        <v>5940</v>
      </c>
      <c r="B762" s="51" t="s">
        <v>894</v>
      </c>
      <c r="C762" s="51" t="s">
        <v>781</v>
      </c>
      <c r="D762" s="51">
        <v>1</v>
      </c>
      <c r="E762" s="51">
        <v>0.6</v>
      </c>
      <c r="F762" s="51">
        <v>0.25</v>
      </c>
      <c r="G762" s="51">
        <v>0.55000000000000004</v>
      </c>
      <c r="H762" s="51">
        <v>1.6</v>
      </c>
      <c r="I762" s="51"/>
    </row>
    <row r="763" spans="1:9" hidden="1" outlineLevel="1" x14ac:dyDescent="0.3">
      <c r="A763" s="51" t="s">
        <v>5940</v>
      </c>
      <c r="B763" s="51" t="s">
        <v>894</v>
      </c>
      <c r="C763" s="51" t="s">
        <v>783</v>
      </c>
      <c r="D763" s="51">
        <v>1</v>
      </c>
      <c r="E763" s="51">
        <v>0.6</v>
      </c>
      <c r="F763" s="51">
        <v>0.25</v>
      </c>
      <c r="G763" s="51">
        <v>0.55000000000000004</v>
      </c>
      <c r="H763" s="51">
        <v>1.6</v>
      </c>
      <c r="I763" s="51"/>
    </row>
    <row r="764" spans="1:9" hidden="1" outlineLevel="1" x14ac:dyDescent="0.3">
      <c r="A764" s="51" t="s">
        <v>5940</v>
      </c>
      <c r="B764" s="51" t="s">
        <v>894</v>
      </c>
      <c r="C764" s="51" t="s">
        <v>785</v>
      </c>
      <c r="D764" s="51">
        <v>1</v>
      </c>
      <c r="E764" s="51">
        <v>0.6</v>
      </c>
      <c r="F764" s="51">
        <v>0.25</v>
      </c>
      <c r="G764" s="51">
        <v>0.55000000000000004</v>
      </c>
      <c r="H764" s="51">
        <v>1.6</v>
      </c>
      <c r="I764" s="51"/>
    </row>
    <row r="765" spans="1:9" hidden="1" outlineLevel="1" x14ac:dyDescent="0.3">
      <c r="A765" s="51" t="s">
        <v>5940</v>
      </c>
      <c r="B765" s="51" t="s">
        <v>894</v>
      </c>
      <c r="C765" s="51" t="s">
        <v>787</v>
      </c>
      <c r="D765" s="51">
        <v>1</v>
      </c>
      <c r="E765" s="51">
        <v>0.6</v>
      </c>
      <c r="F765" s="51">
        <v>0.25</v>
      </c>
      <c r="G765" s="51">
        <v>0.55000000000000004</v>
      </c>
      <c r="H765" s="51">
        <v>1.6</v>
      </c>
      <c r="I765" s="51"/>
    </row>
    <row r="766" spans="1:9" hidden="1" outlineLevel="1" x14ac:dyDescent="0.3">
      <c r="A766" s="51" t="s">
        <v>5940</v>
      </c>
      <c r="B766" s="51" t="s">
        <v>894</v>
      </c>
      <c r="C766" s="51" t="s">
        <v>788</v>
      </c>
      <c r="D766" s="51">
        <v>1</v>
      </c>
      <c r="E766" s="51">
        <v>0.6</v>
      </c>
      <c r="F766" s="51">
        <v>0.25</v>
      </c>
      <c r="G766" s="51">
        <v>0.55000000000000004</v>
      </c>
      <c r="H766" s="51">
        <v>1.6</v>
      </c>
      <c r="I766" s="51"/>
    </row>
    <row r="767" spans="1:9" hidden="1" outlineLevel="1" x14ac:dyDescent="0.3">
      <c r="A767" s="51" t="s">
        <v>5940</v>
      </c>
      <c r="B767" s="51" t="s">
        <v>894</v>
      </c>
      <c r="C767" s="51" t="s">
        <v>789</v>
      </c>
      <c r="D767" s="51">
        <v>1</v>
      </c>
      <c r="E767" s="51">
        <v>0.6</v>
      </c>
      <c r="F767" s="51">
        <v>0.25</v>
      </c>
      <c r="G767" s="51">
        <v>0.55000000000000004</v>
      </c>
      <c r="H767" s="51">
        <v>1.6</v>
      </c>
      <c r="I767" s="51"/>
    </row>
    <row r="768" spans="1:9" hidden="1" outlineLevel="1" x14ac:dyDescent="0.3">
      <c r="A768" s="51" t="s">
        <v>5940</v>
      </c>
      <c r="B768" s="51" t="s">
        <v>894</v>
      </c>
      <c r="C768" s="51" t="s">
        <v>790</v>
      </c>
      <c r="D768" s="51">
        <v>1</v>
      </c>
      <c r="E768" s="51">
        <v>0.6</v>
      </c>
      <c r="F768" s="51">
        <v>0.25</v>
      </c>
      <c r="G768" s="51">
        <v>0.55000000000000004</v>
      </c>
      <c r="H768" s="51">
        <v>1.6</v>
      </c>
      <c r="I768" s="51"/>
    </row>
    <row r="769" spans="1:9" hidden="1" outlineLevel="1" x14ac:dyDescent="0.3">
      <c r="A769" s="51" t="s">
        <v>5940</v>
      </c>
      <c r="B769" s="51" t="s">
        <v>894</v>
      </c>
      <c r="C769" s="51" t="s">
        <v>793</v>
      </c>
      <c r="D769" s="51">
        <v>1</v>
      </c>
      <c r="E769" s="51">
        <v>0.6</v>
      </c>
      <c r="F769" s="51">
        <v>0.25</v>
      </c>
      <c r="G769" s="51">
        <v>0.55000000000000004</v>
      </c>
      <c r="H769" s="51">
        <v>1.6</v>
      </c>
      <c r="I769" s="51"/>
    </row>
    <row r="770" spans="1:9" hidden="1" outlineLevel="1" x14ac:dyDescent="0.3">
      <c r="A770" s="51" t="s">
        <v>5940</v>
      </c>
      <c r="B770" s="51" t="s">
        <v>894</v>
      </c>
      <c r="C770" s="51" t="s">
        <v>795</v>
      </c>
      <c r="D770" s="51">
        <v>1</v>
      </c>
      <c r="E770" s="51">
        <v>0.6</v>
      </c>
      <c r="F770" s="51">
        <v>0.25</v>
      </c>
      <c r="G770" s="51">
        <v>0.55000000000000004</v>
      </c>
      <c r="H770" s="51">
        <v>1.6</v>
      </c>
      <c r="I770" s="51"/>
    </row>
    <row r="771" spans="1:9" hidden="1" outlineLevel="1" x14ac:dyDescent="0.3">
      <c r="A771" s="51" t="s">
        <v>5940</v>
      </c>
      <c r="B771" s="51" t="s">
        <v>894</v>
      </c>
      <c r="C771" s="51" t="s">
        <v>797</v>
      </c>
      <c r="D771" s="51">
        <v>1</v>
      </c>
      <c r="E771" s="51">
        <v>0.6</v>
      </c>
      <c r="F771" s="51">
        <v>0.25</v>
      </c>
      <c r="G771" s="51">
        <v>0.55000000000000004</v>
      </c>
      <c r="H771" s="51">
        <v>1.6</v>
      </c>
      <c r="I771" s="51"/>
    </row>
    <row r="772" spans="1:9" hidden="1" outlineLevel="1" x14ac:dyDescent="0.3">
      <c r="A772" s="51" t="s">
        <v>5940</v>
      </c>
      <c r="B772" s="51" t="s">
        <v>915</v>
      </c>
      <c r="C772" s="51" t="s">
        <v>799</v>
      </c>
      <c r="D772" s="51">
        <v>1</v>
      </c>
      <c r="E772" s="51">
        <v>0.6</v>
      </c>
      <c r="F772" s="51">
        <v>0.25</v>
      </c>
      <c r="G772" s="51">
        <v>0.55000000000000004</v>
      </c>
      <c r="H772" s="51">
        <v>1.6</v>
      </c>
      <c r="I772" s="51"/>
    </row>
    <row r="773" spans="1:9" hidden="1" outlineLevel="1" x14ac:dyDescent="0.3">
      <c r="A773" s="51" t="s">
        <v>5940</v>
      </c>
      <c r="B773" s="51" t="s">
        <v>915</v>
      </c>
      <c r="C773" s="51" t="s">
        <v>801</v>
      </c>
      <c r="D773" s="51">
        <v>1</v>
      </c>
      <c r="E773" s="51">
        <v>0.6</v>
      </c>
      <c r="F773" s="51">
        <v>0.25</v>
      </c>
      <c r="G773" s="51">
        <v>0.55000000000000004</v>
      </c>
      <c r="H773" s="51">
        <v>1.6</v>
      </c>
      <c r="I773" s="51"/>
    </row>
    <row r="774" spans="1:9" hidden="1" outlineLevel="1" x14ac:dyDescent="0.3">
      <c r="A774" s="51" t="s">
        <v>5940</v>
      </c>
      <c r="B774" s="51" t="s">
        <v>915</v>
      </c>
      <c r="C774" s="51" t="s">
        <v>804</v>
      </c>
      <c r="D774" s="51">
        <v>1</v>
      </c>
      <c r="E774" s="51">
        <v>0.6</v>
      </c>
      <c r="F774" s="51">
        <v>0.25</v>
      </c>
      <c r="G774" s="51">
        <v>0.55000000000000004</v>
      </c>
      <c r="H774" s="51">
        <v>1.6</v>
      </c>
      <c r="I774" s="51"/>
    </row>
    <row r="775" spans="1:9" hidden="1" outlineLevel="1" x14ac:dyDescent="0.3">
      <c r="A775" s="51" t="s">
        <v>5940</v>
      </c>
      <c r="B775" s="51" t="s">
        <v>915</v>
      </c>
      <c r="C775" s="51" t="s">
        <v>806</v>
      </c>
      <c r="D775" s="51">
        <v>1</v>
      </c>
      <c r="E775" s="51">
        <v>0.6</v>
      </c>
      <c r="F775" s="51">
        <v>0.25</v>
      </c>
      <c r="G775" s="51">
        <v>0.55000000000000004</v>
      </c>
      <c r="H775" s="51">
        <v>1.6</v>
      </c>
      <c r="I775" s="51"/>
    </row>
    <row r="776" spans="1:9" hidden="1" outlineLevel="1" x14ac:dyDescent="0.3">
      <c r="A776" s="51" t="s">
        <v>5940</v>
      </c>
      <c r="B776" s="51" t="s">
        <v>915</v>
      </c>
      <c r="C776" s="51" t="s">
        <v>808</v>
      </c>
      <c r="D776" s="51">
        <v>1</v>
      </c>
      <c r="E776" s="51">
        <v>0.6</v>
      </c>
      <c r="F776" s="51">
        <v>0.25</v>
      </c>
      <c r="G776" s="51">
        <v>0.55000000000000004</v>
      </c>
      <c r="H776" s="51">
        <v>1.6</v>
      </c>
      <c r="I776" s="51"/>
    </row>
    <row r="777" spans="1:9" hidden="1" outlineLevel="1" x14ac:dyDescent="0.3">
      <c r="A777" s="51" t="s">
        <v>5940</v>
      </c>
      <c r="B777" s="51" t="s">
        <v>915</v>
      </c>
      <c r="C777" s="51" t="s">
        <v>811</v>
      </c>
      <c r="D777" s="51">
        <v>1</v>
      </c>
      <c r="E777" s="51">
        <v>0.6</v>
      </c>
      <c r="F777" s="51">
        <v>0.25</v>
      </c>
      <c r="G777" s="51">
        <v>0.55000000000000004</v>
      </c>
      <c r="H777" s="51">
        <v>1.6</v>
      </c>
      <c r="I777" s="51"/>
    </row>
    <row r="778" spans="1:9" hidden="1" outlineLevel="1" x14ac:dyDescent="0.3">
      <c r="A778" s="51" t="s">
        <v>5940</v>
      </c>
      <c r="B778" s="51" t="s">
        <v>934</v>
      </c>
      <c r="C778" s="51" t="s">
        <v>814</v>
      </c>
      <c r="D778" s="51">
        <v>1</v>
      </c>
      <c r="E778" s="51">
        <v>0.6</v>
      </c>
      <c r="F778" s="51">
        <v>0.25</v>
      </c>
      <c r="G778" s="51">
        <v>0.55000000000000004</v>
      </c>
      <c r="H778" s="51">
        <v>1.6</v>
      </c>
      <c r="I778" s="51"/>
    </row>
    <row r="779" spans="1:9" hidden="1" outlineLevel="1" x14ac:dyDescent="0.3">
      <c r="A779" s="51" t="s">
        <v>5940</v>
      </c>
      <c r="B779" s="51" t="s">
        <v>934</v>
      </c>
      <c r="C779" s="51" t="s">
        <v>815</v>
      </c>
      <c r="D779" s="51">
        <v>1</v>
      </c>
      <c r="E779" s="51">
        <v>0.6</v>
      </c>
      <c r="F779" s="51">
        <v>0.25</v>
      </c>
      <c r="G779" s="51">
        <v>0.55000000000000004</v>
      </c>
      <c r="H779" s="51">
        <v>1.6</v>
      </c>
      <c r="I779" s="51"/>
    </row>
    <row r="780" spans="1:9" hidden="1" outlineLevel="1" x14ac:dyDescent="0.3">
      <c r="A780" s="51" t="s">
        <v>5940</v>
      </c>
      <c r="B780" s="51" t="s">
        <v>940</v>
      </c>
      <c r="C780" s="51" t="s">
        <v>817</v>
      </c>
      <c r="D780" s="51">
        <v>1</v>
      </c>
      <c r="E780" s="51">
        <v>0.6</v>
      </c>
      <c r="F780" s="51">
        <v>0.25</v>
      </c>
      <c r="G780" s="51">
        <v>0.55000000000000004</v>
      </c>
      <c r="H780" s="51">
        <v>1.6</v>
      </c>
      <c r="I780" s="51"/>
    </row>
    <row r="781" spans="1:9" hidden="1" outlineLevel="1" x14ac:dyDescent="0.3">
      <c r="A781" s="51" t="s">
        <v>5940</v>
      </c>
      <c r="B781" s="51" t="s">
        <v>940</v>
      </c>
      <c r="C781" s="51" t="s">
        <v>944</v>
      </c>
      <c r="D781" s="51">
        <v>1</v>
      </c>
      <c r="E781" s="51">
        <v>0.6</v>
      </c>
      <c r="F781" s="51">
        <v>0.25</v>
      </c>
      <c r="G781" s="51">
        <v>0.55000000000000004</v>
      </c>
      <c r="H781" s="51">
        <v>1.6</v>
      </c>
      <c r="I781" s="51"/>
    </row>
    <row r="782" spans="1:9" hidden="1" outlineLevel="1" x14ac:dyDescent="0.3">
      <c r="A782" s="51" t="s">
        <v>5940</v>
      </c>
      <c r="B782" s="51" t="s">
        <v>940</v>
      </c>
      <c r="C782" s="51" t="s">
        <v>821</v>
      </c>
      <c r="D782" s="51">
        <v>1</v>
      </c>
      <c r="E782" s="51">
        <v>0.6</v>
      </c>
      <c r="F782" s="51">
        <v>0.25</v>
      </c>
      <c r="G782" s="51">
        <v>0.55000000000000004</v>
      </c>
      <c r="H782" s="51">
        <v>1.6</v>
      </c>
      <c r="I782" s="51"/>
    </row>
    <row r="783" spans="1:9" hidden="1" outlineLevel="1" x14ac:dyDescent="0.3">
      <c r="A783" s="51" t="s">
        <v>5940</v>
      </c>
      <c r="B783" s="51" t="s">
        <v>940</v>
      </c>
      <c r="C783" s="51" t="s">
        <v>823</v>
      </c>
      <c r="D783" s="51">
        <v>1</v>
      </c>
      <c r="E783" s="51">
        <v>0.6</v>
      </c>
      <c r="F783" s="51">
        <v>0.25</v>
      </c>
      <c r="G783" s="51">
        <v>0.55000000000000004</v>
      </c>
      <c r="H783" s="51">
        <v>1.6</v>
      </c>
      <c r="I783" s="51"/>
    </row>
    <row r="784" spans="1:9" hidden="1" outlineLevel="1" x14ac:dyDescent="0.3">
      <c r="A784" s="51" t="s">
        <v>5940</v>
      </c>
      <c r="B784" s="51" t="s">
        <v>940</v>
      </c>
      <c r="C784" s="51" t="s">
        <v>825</v>
      </c>
      <c r="D784" s="51">
        <v>1</v>
      </c>
      <c r="E784" s="51">
        <v>0.6</v>
      </c>
      <c r="F784" s="51">
        <v>0.25</v>
      </c>
      <c r="G784" s="51">
        <v>0.55000000000000004</v>
      </c>
      <c r="H784" s="51">
        <v>1.6</v>
      </c>
      <c r="I784" s="51"/>
    </row>
    <row r="785" spans="1:10" hidden="1" outlineLevel="1" x14ac:dyDescent="0.3">
      <c r="A785" s="51" t="s">
        <v>5940</v>
      </c>
      <c r="B785" s="51" t="s">
        <v>940</v>
      </c>
      <c r="C785" s="51" t="s">
        <v>827</v>
      </c>
      <c r="D785" s="51">
        <v>1</v>
      </c>
      <c r="E785" s="51">
        <v>0.6</v>
      </c>
      <c r="F785" s="51">
        <v>0.25</v>
      </c>
      <c r="G785" s="51">
        <v>0.55000000000000004</v>
      </c>
      <c r="H785" s="51">
        <v>1.6</v>
      </c>
      <c r="I785" s="51"/>
    </row>
    <row r="786" spans="1:10" hidden="1" outlineLevel="1" x14ac:dyDescent="0.3">
      <c r="A786" s="51" t="s">
        <v>5940</v>
      </c>
      <c r="B786" s="51" t="s">
        <v>940</v>
      </c>
      <c r="C786" s="51" t="s">
        <v>829</v>
      </c>
      <c r="D786" s="51">
        <v>1</v>
      </c>
      <c r="E786" s="51">
        <v>0.6</v>
      </c>
      <c r="F786" s="51">
        <v>0.25</v>
      </c>
      <c r="G786" s="51">
        <v>0.55000000000000004</v>
      </c>
      <c r="H786" s="51">
        <v>1.6</v>
      </c>
      <c r="I786" s="51"/>
    </row>
    <row r="787" spans="1:10" hidden="1" outlineLevel="1" x14ac:dyDescent="0.3">
      <c r="A787" s="51" t="s">
        <v>5940</v>
      </c>
      <c r="B787" s="51" t="s">
        <v>940</v>
      </c>
      <c r="C787" s="51" t="s">
        <v>833</v>
      </c>
      <c r="D787" s="51">
        <v>1</v>
      </c>
      <c r="E787" s="51">
        <v>0.6</v>
      </c>
      <c r="F787" s="51">
        <v>0.25</v>
      </c>
      <c r="G787" s="51">
        <v>0.55000000000000004</v>
      </c>
      <c r="H787" s="51">
        <v>1.6</v>
      </c>
      <c r="I787" s="51"/>
    </row>
    <row r="788" spans="1:10" hidden="1" outlineLevel="1" x14ac:dyDescent="0.3">
      <c r="A788" s="51" t="s">
        <v>5940</v>
      </c>
      <c r="B788" s="51" t="s">
        <v>940</v>
      </c>
      <c r="C788" s="51" t="s">
        <v>836</v>
      </c>
      <c r="D788" s="51">
        <v>1</v>
      </c>
      <c r="E788" s="51">
        <v>0.6</v>
      </c>
      <c r="F788" s="51">
        <v>0.25</v>
      </c>
      <c r="G788" s="51">
        <v>0.55000000000000004</v>
      </c>
      <c r="H788" s="51">
        <v>1.6</v>
      </c>
      <c r="I788" s="51"/>
    </row>
    <row r="789" spans="1:10" hidden="1" outlineLevel="1" x14ac:dyDescent="0.3">
      <c r="A789" s="51" t="s">
        <v>5940</v>
      </c>
      <c r="B789" s="51" t="s">
        <v>940</v>
      </c>
      <c r="C789" s="51" t="s">
        <v>837</v>
      </c>
      <c r="D789" s="51">
        <v>1</v>
      </c>
      <c r="E789" s="51">
        <v>0.6</v>
      </c>
      <c r="F789" s="51">
        <v>0.25</v>
      </c>
      <c r="G789" s="51">
        <v>0.55000000000000004</v>
      </c>
      <c r="H789" s="51">
        <v>1.6</v>
      </c>
      <c r="I789" s="51"/>
    </row>
    <row r="790" spans="1:10" hidden="1" outlineLevel="1" x14ac:dyDescent="0.3">
      <c r="A790" s="51" t="s">
        <v>5940</v>
      </c>
      <c r="B790" s="51" t="s">
        <v>940</v>
      </c>
      <c r="C790" s="51" t="s">
        <v>839</v>
      </c>
      <c r="D790" s="51">
        <v>1</v>
      </c>
      <c r="E790" s="51">
        <v>0.6</v>
      </c>
      <c r="F790" s="51">
        <v>0.25</v>
      </c>
      <c r="G790" s="51">
        <v>0.55000000000000004</v>
      </c>
      <c r="H790" s="51">
        <v>1.6</v>
      </c>
      <c r="I790" s="51"/>
    </row>
    <row r="791" spans="1:10" hidden="1" outlineLevel="1" x14ac:dyDescent="0.3">
      <c r="A791" s="51" t="s">
        <v>5940</v>
      </c>
      <c r="B791" s="51" t="s">
        <v>940</v>
      </c>
      <c r="C791" s="51" t="s">
        <v>840</v>
      </c>
      <c r="D791" s="51">
        <v>1</v>
      </c>
      <c r="E791" s="51">
        <v>0.6</v>
      </c>
      <c r="F791" s="51">
        <v>0.25</v>
      </c>
      <c r="G791" s="51">
        <v>0.55000000000000004</v>
      </c>
      <c r="H791" s="51">
        <v>1.6</v>
      </c>
      <c r="I791" s="51"/>
    </row>
    <row r="792" spans="1:10" collapsed="1" x14ac:dyDescent="0.3">
      <c r="A792" s="51"/>
      <c r="B792" s="51"/>
      <c r="C792" s="51"/>
      <c r="D792" s="51"/>
      <c r="E792" s="51"/>
      <c r="F792" s="51"/>
      <c r="G792" s="51"/>
      <c r="H792" s="51"/>
      <c r="I792" s="51"/>
    </row>
    <row r="793" spans="1:10" x14ac:dyDescent="0.3">
      <c r="A793" s="53" t="s">
        <v>5942</v>
      </c>
      <c r="B793" s="51"/>
      <c r="C793" s="325" t="s">
        <v>1035</v>
      </c>
      <c r="D793" s="55">
        <v>50</v>
      </c>
      <c r="E793" s="55">
        <v>50</v>
      </c>
      <c r="F793" s="55">
        <v>50</v>
      </c>
      <c r="G793" s="55">
        <v>50</v>
      </c>
      <c r="H793" s="55">
        <v>50</v>
      </c>
      <c r="I793" s="326"/>
      <c r="J793" s="321"/>
    </row>
    <row r="794" spans="1:10" x14ac:dyDescent="0.3">
      <c r="A794" s="127" t="s">
        <v>5</v>
      </c>
      <c r="B794" s="127" t="s">
        <v>847</v>
      </c>
      <c r="C794" s="127" t="s">
        <v>193</v>
      </c>
      <c r="D794" s="128">
        <v>2025</v>
      </c>
      <c r="E794" s="128">
        <v>2030</v>
      </c>
      <c r="F794" s="128">
        <v>2035</v>
      </c>
      <c r="G794" s="128">
        <v>2040</v>
      </c>
      <c r="H794" s="128">
        <v>2045</v>
      </c>
      <c r="I794" s="128" t="s">
        <v>153</v>
      </c>
    </row>
    <row r="795" spans="1:10" hidden="1" outlineLevel="1" x14ac:dyDescent="0.3">
      <c r="A795" s="51" t="s">
        <v>5942</v>
      </c>
      <c r="B795" s="51" t="s">
        <v>855</v>
      </c>
      <c r="C795" s="51" t="s">
        <v>747</v>
      </c>
      <c r="D795" s="55">
        <v>50</v>
      </c>
      <c r="E795" s="55">
        <v>50</v>
      </c>
      <c r="F795" s="55">
        <v>50</v>
      </c>
      <c r="G795" s="55">
        <v>50</v>
      </c>
      <c r="H795" s="55">
        <v>50</v>
      </c>
      <c r="I795" s="326" t="s">
        <v>130</v>
      </c>
    </row>
    <row r="796" spans="1:10" hidden="1" outlineLevel="1" x14ac:dyDescent="0.3">
      <c r="A796" s="51" t="s">
        <v>5942</v>
      </c>
      <c r="B796" s="51" t="s">
        <v>855</v>
      </c>
      <c r="C796" s="51" t="s">
        <v>755</v>
      </c>
      <c r="D796" s="55">
        <v>50</v>
      </c>
      <c r="E796" s="55">
        <v>50</v>
      </c>
      <c r="F796" s="55">
        <v>50</v>
      </c>
      <c r="G796" s="55">
        <v>50</v>
      </c>
      <c r="H796" s="55">
        <v>50</v>
      </c>
      <c r="I796" s="326" t="s">
        <v>130</v>
      </c>
    </row>
    <row r="797" spans="1:10" hidden="1" outlineLevel="1" x14ac:dyDescent="0.3">
      <c r="A797" s="51" t="s">
        <v>5942</v>
      </c>
      <c r="B797" s="51" t="s">
        <v>855</v>
      </c>
      <c r="C797" s="51" t="s">
        <v>758</v>
      </c>
      <c r="D797" s="55">
        <v>50</v>
      </c>
      <c r="E797" s="55">
        <v>50</v>
      </c>
      <c r="F797" s="55">
        <v>50</v>
      </c>
      <c r="G797" s="55">
        <v>50</v>
      </c>
      <c r="H797" s="55">
        <v>50</v>
      </c>
      <c r="I797" s="326" t="s">
        <v>130</v>
      </c>
    </row>
    <row r="798" spans="1:10" hidden="1" outlineLevel="1" x14ac:dyDescent="0.3">
      <c r="A798" s="51" t="s">
        <v>5942</v>
      </c>
      <c r="B798" s="51" t="s">
        <v>855</v>
      </c>
      <c r="C798" s="51" t="s">
        <v>761</v>
      </c>
      <c r="D798" s="55">
        <v>50</v>
      </c>
      <c r="E798" s="55">
        <v>50</v>
      </c>
      <c r="F798" s="55">
        <v>50</v>
      </c>
      <c r="G798" s="55">
        <v>50</v>
      </c>
      <c r="H798" s="55">
        <v>50</v>
      </c>
      <c r="I798" s="326" t="s">
        <v>130</v>
      </c>
    </row>
    <row r="799" spans="1:10" hidden="1" outlineLevel="1" x14ac:dyDescent="0.3">
      <c r="A799" s="51" t="s">
        <v>5942</v>
      </c>
      <c r="B799" s="51" t="s">
        <v>855</v>
      </c>
      <c r="C799" s="51" t="s">
        <v>763</v>
      </c>
      <c r="D799" s="55">
        <v>50</v>
      </c>
      <c r="E799" s="55">
        <v>50</v>
      </c>
      <c r="F799" s="55">
        <v>50</v>
      </c>
      <c r="G799" s="55">
        <v>50</v>
      </c>
      <c r="H799" s="55">
        <v>50</v>
      </c>
      <c r="I799" s="326" t="s">
        <v>130</v>
      </c>
    </row>
    <row r="800" spans="1:10" hidden="1" outlineLevel="1" x14ac:dyDescent="0.3">
      <c r="A800" s="51" t="s">
        <v>5942</v>
      </c>
      <c r="B800" s="51" t="s">
        <v>855</v>
      </c>
      <c r="C800" s="51" t="s">
        <v>765</v>
      </c>
      <c r="D800" s="55">
        <v>50</v>
      </c>
      <c r="E800" s="55">
        <v>50</v>
      </c>
      <c r="F800" s="55">
        <v>50</v>
      </c>
      <c r="G800" s="55">
        <v>50</v>
      </c>
      <c r="H800" s="55">
        <v>50</v>
      </c>
      <c r="I800" s="326" t="s">
        <v>130</v>
      </c>
    </row>
    <row r="801" spans="1:9" hidden="1" outlineLevel="1" x14ac:dyDescent="0.3">
      <c r="A801" s="51" t="s">
        <v>5942</v>
      </c>
      <c r="B801" s="51" t="s">
        <v>855</v>
      </c>
      <c r="C801" s="51" t="s">
        <v>768</v>
      </c>
      <c r="D801" s="55">
        <v>50</v>
      </c>
      <c r="E801" s="55">
        <v>50</v>
      </c>
      <c r="F801" s="55">
        <v>50</v>
      </c>
      <c r="G801" s="55">
        <v>50</v>
      </c>
      <c r="H801" s="55">
        <v>50</v>
      </c>
      <c r="I801" s="326" t="s">
        <v>130</v>
      </c>
    </row>
    <row r="802" spans="1:9" hidden="1" outlineLevel="1" x14ac:dyDescent="0.3">
      <c r="A802" s="51" t="s">
        <v>5942</v>
      </c>
      <c r="B802" s="51" t="s">
        <v>855</v>
      </c>
      <c r="C802" s="51" t="s">
        <v>771</v>
      </c>
      <c r="D802" s="55">
        <v>50</v>
      </c>
      <c r="E802" s="55">
        <v>50</v>
      </c>
      <c r="F802" s="55">
        <v>50</v>
      </c>
      <c r="G802" s="55">
        <v>50</v>
      </c>
      <c r="H802" s="55">
        <v>50</v>
      </c>
      <c r="I802" s="326" t="s">
        <v>130</v>
      </c>
    </row>
    <row r="803" spans="1:9" hidden="1" outlineLevel="1" x14ac:dyDescent="0.3">
      <c r="A803" s="51" t="s">
        <v>5942</v>
      </c>
      <c r="B803" s="51" t="s">
        <v>855</v>
      </c>
      <c r="C803" s="51" t="s">
        <v>772</v>
      </c>
      <c r="D803" s="55">
        <v>50</v>
      </c>
      <c r="E803" s="55">
        <v>50</v>
      </c>
      <c r="F803" s="55">
        <v>50</v>
      </c>
      <c r="G803" s="55">
        <v>50</v>
      </c>
      <c r="H803" s="55">
        <v>50</v>
      </c>
      <c r="I803" s="326" t="s">
        <v>130</v>
      </c>
    </row>
    <row r="804" spans="1:9" hidden="1" outlineLevel="1" x14ac:dyDescent="0.3">
      <c r="A804" s="51" t="s">
        <v>5942</v>
      </c>
      <c r="B804" s="51" t="s">
        <v>855</v>
      </c>
      <c r="C804" s="51" t="s">
        <v>774</v>
      </c>
      <c r="D804" s="55">
        <v>50</v>
      </c>
      <c r="E804" s="55">
        <v>50</v>
      </c>
      <c r="F804" s="55">
        <v>50</v>
      </c>
      <c r="G804" s="55">
        <v>50</v>
      </c>
      <c r="H804" s="55">
        <v>50</v>
      </c>
      <c r="I804" s="326" t="s">
        <v>130</v>
      </c>
    </row>
    <row r="805" spans="1:9" hidden="1" outlineLevel="1" x14ac:dyDescent="0.3">
      <c r="A805" s="51" t="s">
        <v>5942</v>
      </c>
      <c r="B805" s="51" t="s">
        <v>855</v>
      </c>
      <c r="C805" s="51" t="s">
        <v>775</v>
      </c>
      <c r="D805" s="55">
        <v>50</v>
      </c>
      <c r="E805" s="55">
        <v>50</v>
      </c>
      <c r="F805" s="55">
        <v>50</v>
      </c>
      <c r="G805" s="55">
        <v>50</v>
      </c>
      <c r="H805" s="55">
        <v>50</v>
      </c>
      <c r="I805" s="326" t="s">
        <v>130</v>
      </c>
    </row>
    <row r="806" spans="1:9" hidden="1" outlineLevel="1" x14ac:dyDescent="0.3">
      <c r="A806" s="51" t="s">
        <v>5942</v>
      </c>
      <c r="B806" s="51" t="s">
        <v>855</v>
      </c>
      <c r="C806" s="51" t="s">
        <v>779</v>
      </c>
      <c r="D806" s="55">
        <v>50</v>
      </c>
      <c r="E806" s="55">
        <v>50</v>
      </c>
      <c r="F806" s="55">
        <v>50</v>
      </c>
      <c r="G806" s="55">
        <v>50</v>
      </c>
      <c r="H806" s="55">
        <v>50</v>
      </c>
      <c r="I806" s="326" t="s">
        <v>130</v>
      </c>
    </row>
    <row r="807" spans="1:9" hidden="1" outlineLevel="1" x14ac:dyDescent="0.3">
      <c r="A807" s="51" t="s">
        <v>5942</v>
      </c>
      <c r="B807" s="51" t="s">
        <v>894</v>
      </c>
      <c r="C807" s="51" t="s">
        <v>781</v>
      </c>
      <c r="D807" s="55">
        <v>50</v>
      </c>
      <c r="E807" s="55">
        <v>50</v>
      </c>
      <c r="F807" s="55">
        <v>50</v>
      </c>
      <c r="G807" s="55">
        <v>50</v>
      </c>
      <c r="H807" s="55">
        <v>50</v>
      </c>
      <c r="I807" s="326" t="s">
        <v>130</v>
      </c>
    </row>
    <row r="808" spans="1:9" hidden="1" outlineLevel="1" x14ac:dyDescent="0.3">
      <c r="A808" s="51" t="s">
        <v>5942</v>
      </c>
      <c r="B808" s="51" t="s">
        <v>894</v>
      </c>
      <c r="C808" s="51" t="s">
        <v>783</v>
      </c>
      <c r="D808" s="55">
        <v>50</v>
      </c>
      <c r="E808" s="55">
        <v>50</v>
      </c>
      <c r="F808" s="55">
        <v>50</v>
      </c>
      <c r="G808" s="55">
        <v>50</v>
      </c>
      <c r="H808" s="55">
        <v>50</v>
      </c>
      <c r="I808" s="326" t="s">
        <v>130</v>
      </c>
    </row>
    <row r="809" spans="1:9" hidden="1" outlineLevel="1" x14ac:dyDescent="0.3">
      <c r="A809" s="51" t="s">
        <v>5942</v>
      </c>
      <c r="B809" s="51" t="s">
        <v>894</v>
      </c>
      <c r="C809" s="51" t="s">
        <v>785</v>
      </c>
      <c r="D809" s="55">
        <v>50</v>
      </c>
      <c r="E809" s="55">
        <v>50</v>
      </c>
      <c r="F809" s="55">
        <v>50</v>
      </c>
      <c r="G809" s="55">
        <v>50</v>
      </c>
      <c r="H809" s="55">
        <v>50</v>
      </c>
      <c r="I809" s="326" t="s">
        <v>130</v>
      </c>
    </row>
    <row r="810" spans="1:9" hidden="1" outlineLevel="1" x14ac:dyDescent="0.3">
      <c r="A810" s="51" t="s">
        <v>5942</v>
      </c>
      <c r="B810" s="51" t="s">
        <v>894</v>
      </c>
      <c r="C810" s="51" t="s">
        <v>787</v>
      </c>
      <c r="D810" s="55">
        <v>50</v>
      </c>
      <c r="E810" s="55">
        <v>50</v>
      </c>
      <c r="F810" s="55">
        <v>50</v>
      </c>
      <c r="G810" s="55">
        <v>50</v>
      </c>
      <c r="H810" s="55">
        <v>50</v>
      </c>
      <c r="I810" s="326" t="s">
        <v>130</v>
      </c>
    </row>
    <row r="811" spans="1:9" hidden="1" outlineLevel="1" x14ac:dyDescent="0.3">
      <c r="A811" s="51" t="s">
        <v>5942</v>
      </c>
      <c r="B811" s="51" t="s">
        <v>894</v>
      </c>
      <c r="C811" s="51" t="s">
        <v>788</v>
      </c>
      <c r="D811" s="55">
        <v>50</v>
      </c>
      <c r="E811" s="55">
        <v>50</v>
      </c>
      <c r="F811" s="55">
        <v>50</v>
      </c>
      <c r="G811" s="55">
        <v>50</v>
      </c>
      <c r="H811" s="55">
        <v>50</v>
      </c>
      <c r="I811" s="326" t="s">
        <v>130</v>
      </c>
    </row>
    <row r="812" spans="1:9" hidden="1" outlineLevel="1" x14ac:dyDescent="0.3">
      <c r="A812" s="51" t="s">
        <v>5942</v>
      </c>
      <c r="B812" s="51" t="s">
        <v>894</v>
      </c>
      <c r="C812" s="51" t="s">
        <v>789</v>
      </c>
      <c r="D812" s="55">
        <v>50</v>
      </c>
      <c r="E812" s="55">
        <v>50</v>
      </c>
      <c r="F812" s="55">
        <v>50</v>
      </c>
      <c r="G812" s="55">
        <v>50</v>
      </c>
      <c r="H812" s="55">
        <v>50</v>
      </c>
      <c r="I812" s="326" t="s">
        <v>130</v>
      </c>
    </row>
    <row r="813" spans="1:9" hidden="1" outlineLevel="1" x14ac:dyDescent="0.3">
      <c r="A813" s="51" t="s">
        <v>5942</v>
      </c>
      <c r="B813" s="51" t="s">
        <v>894</v>
      </c>
      <c r="C813" s="51" t="s">
        <v>790</v>
      </c>
      <c r="D813" s="55">
        <v>50</v>
      </c>
      <c r="E813" s="55">
        <v>50</v>
      </c>
      <c r="F813" s="55">
        <v>50</v>
      </c>
      <c r="G813" s="55">
        <v>50</v>
      </c>
      <c r="H813" s="55">
        <v>50</v>
      </c>
      <c r="I813" s="326" t="s">
        <v>130</v>
      </c>
    </row>
    <row r="814" spans="1:9" hidden="1" outlineLevel="1" x14ac:dyDescent="0.3">
      <c r="A814" s="51" t="s">
        <v>5942</v>
      </c>
      <c r="B814" s="51" t="s">
        <v>894</v>
      </c>
      <c r="C814" s="51" t="s">
        <v>793</v>
      </c>
      <c r="D814" s="55">
        <v>50</v>
      </c>
      <c r="E814" s="55">
        <v>50</v>
      </c>
      <c r="F814" s="55">
        <v>50</v>
      </c>
      <c r="G814" s="55">
        <v>50</v>
      </c>
      <c r="H814" s="55">
        <v>50</v>
      </c>
      <c r="I814" s="326" t="s">
        <v>130</v>
      </c>
    </row>
    <row r="815" spans="1:9" hidden="1" outlineLevel="1" x14ac:dyDescent="0.3">
      <c r="A815" s="51" t="s">
        <v>5942</v>
      </c>
      <c r="B815" s="51" t="s">
        <v>894</v>
      </c>
      <c r="C815" s="51" t="s">
        <v>795</v>
      </c>
      <c r="D815" s="55">
        <v>50</v>
      </c>
      <c r="E815" s="55">
        <v>50</v>
      </c>
      <c r="F815" s="55">
        <v>50</v>
      </c>
      <c r="G815" s="55">
        <v>50</v>
      </c>
      <c r="H815" s="55">
        <v>50</v>
      </c>
      <c r="I815" s="326" t="s">
        <v>130</v>
      </c>
    </row>
    <row r="816" spans="1:9" hidden="1" outlineLevel="1" x14ac:dyDescent="0.3">
      <c r="A816" s="51" t="s">
        <v>5942</v>
      </c>
      <c r="B816" s="51" t="s">
        <v>894</v>
      </c>
      <c r="C816" s="51" t="s">
        <v>797</v>
      </c>
      <c r="D816" s="55">
        <v>50</v>
      </c>
      <c r="E816" s="55">
        <v>50</v>
      </c>
      <c r="F816" s="55">
        <v>50</v>
      </c>
      <c r="G816" s="55">
        <v>50</v>
      </c>
      <c r="H816" s="55">
        <v>50</v>
      </c>
      <c r="I816" s="326" t="s">
        <v>130</v>
      </c>
    </row>
    <row r="817" spans="1:15" hidden="1" outlineLevel="1" x14ac:dyDescent="0.3">
      <c r="A817" s="51" t="s">
        <v>5942</v>
      </c>
      <c r="B817" s="51" t="s">
        <v>915</v>
      </c>
      <c r="C817" s="51" t="s">
        <v>799</v>
      </c>
      <c r="D817" s="55">
        <v>50</v>
      </c>
      <c r="E817" s="55">
        <v>50</v>
      </c>
      <c r="F817" s="55">
        <v>50</v>
      </c>
      <c r="G817" s="55">
        <v>50</v>
      </c>
      <c r="H817" s="55">
        <v>50</v>
      </c>
      <c r="I817" s="326" t="s">
        <v>130</v>
      </c>
    </row>
    <row r="818" spans="1:15" hidden="1" outlineLevel="1" x14ac:dyDescent="0.3">
      <c r="A818" s="51" t="s">
        <v>5942</v>
      </c>
      <c r="B818" s="51" t="s">
        <v>915</v>
      </c>
      <c r="C818" s="51" t="s">
        <v>801</v>
      </c>
      <c r="D818" s="55">
        <v>50</v>
      </c>
      <c r="E818" s="55">
        <v>50</v>
      </c>
      <c r="F818" s="55">
        <v>50</v>
      </c>
      <c r="G818" s="55">
        <v>50</v>
      </c>
      <c r="H818" s="55">
        <v>50</v>
      </c>
      <c r="I818" s="326" t="s">
        <v>130</v>
      </c>
    </row>
    <row r="819" spans="1:15" hidden="1" outlineLevel="1" x14ac:dyDescent="0.3">
      <c r="A819" s="51" t="s">
        <v>5942</v>
      </c>
      <c r="B819" s="51" t="s">
        <v>915</v>
      </c>
      <c r="C819" s="51" t="s">
        <v>804</v>
      </c>
      <c r="D819" s="55">
        <v>50</v>
      </c>
      <c r="E819" s="55">
        <v>50</v>
      </c>
      <c r="F819" s="55">
        <v>50</v>
      </c>
      <c r="G819" s="55">
        <v>50</v>
      </c>
      <c r="H819" s="55">
        <v>50</v>
      </c>
      <c r="I819" s="326" t="s">
        <v>130</v>
      </c>
    </row>
    <row r="820" spans="1:15" hidden="1" outlineLevel="1" x14ac:dyDescent="0.3">
      <c r="A820" s="51" t="s">
        <v>5942</v>
      </c>
      <c r="B820" s="51" t="s">
        <v>915</v>
      </c>
      <c r="C820" s="51" t="s">
        <v>806</v>
      </c>
      <c r="D820" s="55">
        <v>50</v>
      </c>
      <c r="E820" s="55">
        <v>50</v>
      </c>
      <c r="F820" s="55">
        <v>50</v>
      </c>
      <c r="G820" s="55">
        <v>50</v>
      </c>
      <c r="H820" s="55">
        <v>50</v>
      </c>
      <c r="I820" s="326" t="s">
        <v>130</v>
      </c>
    </row>
    <row r="821" spans="1:15" hidden="1" outlineLevel="1" x14ac:dyDescent="0.3">
      <c r="A821" s="51" t="s">
        <v>5942</v>
      </c>
      <c r="B821" s="51" t="s">
        <v>915</v>
      </c>
      <c r="C821" s="51" t="s">
        <v>808</v>
      </c>
      <c r="D821" s="55">
        <v>50</v>
      </c>
      <c r="E821" s="55">
        <v>50</v>
      </c>
      <c r="F821" s="55">
        <v>50</v>
      </c>
      <c r="G821" s="55">
        <v>50</v>
      </c>
      <c r="H821" s="55">
        <v>50</v>
      </c>
      <c r="I821" s="326" t="s">
        <v>130</v>
      </c>
      <c r="J821" s="37"/>
      <c r="K821" s="37"/>
      <c r="L821" s="37"/>
      <c r="M821" s="37"/>
      <c r="N821" s="37"/>
      <c r="O821" s="37"/>
    </row>
    <row r="822" spans="1:15" hidden="1" outlineLevel="1" x14ac:dyDescent="0.3">
      <c r="A822" s="51" t="s">
        <v>5942</v>
      </c>
      <c r="B822" s="51" t="s">
        <v>915</v>
      </c>
      <c r="C822" s="51" t="s">
        <v>811</v>
      </c>
      <c r="D822" s="55">
        <v>50</v>
      </c>
      <c r="E822" s="55">
        <v>50</v>
      </c>
      <c r="F822" s="55">
        <v>50</v>
      </c>
      <c r="G822" s="55">
        <v>50</v>
      </c>
      <c r="H822" s="55">
        <v>50</v>
      </c>
      <c r="I822" s="326" t="s">
        <v>130</v>
      </c>
    </row>
    <row r="823" spans="1:15" hidden="1" outlineLevel="1" x14ac:dyDescent="0.3">
      <c r="A823" s="51" t="s">
        <v>5942</v>
      </c>
      <c r="B823" s="51" t="s">
        <v>934</v>
      </c>
      <c r="C823" s="51" t="s">
        <v>814</v>
      </c>
      <c r="D823" s="55">
        <v>50</v>
      </c>
      <c r="E823" s="55">
        <v>50</v>
      </c>
      <c r="F823" s="55">
        <v>50</v>
      </c>
      <c r="G823" s="55">
        <v>50</v>
      </c>
      <c r="H823" s="55">
        <v>50</v>
      </c>
      <c r="I823" s="326" t="s">
        <v>130</v>
      </c>
    </row>
    <row r="824" spans="1:15" hidden="1" outlineLevel="1" x14ac:dyDescent="0.3">
      <c r="A824" s="51" t="s">
        <v>5942</v>
      </c>
      <c r="B824" s="51" t="s">
        <v>934</v>
      </c>
      <c r="C824" s="51" t="s">
        <v>815</v>
      </c>
      <c r="D824" s="55">
        <v>50</v>
      </c>
      <c r="E824" s="55">
        <v>50</v>
      </c>
      <c r="F824" s="55">
        <v>50</v>
      </c>
      <c r="G824" s="55">
        <v>50</v>
      </c>
      <c r="H824" s="55">
        <v>50</v>
      </c>
      <c r="I824" s="326" t="s">
        <v>130</v>
      </c>
    </row>
    <row r="825" spans="1:15" hidden="1" outlineLevel="1" x14ac:dyDescent="0.3">
      <c r="A825" s="51" t="s">
        <v>5942</v>
      </c>
      <c r="B825" s="51" t="s">
        <v>940</v>
      </c>
      <c r="C825" s="51" t="s">
        <v>817</v>
      </c>
      <c r="D825" s="55">
        <v>50</v>
      </c>
      <c r="E825" s="55">
        <v>50</v>
      </c>
      <c r="F825" s="55">
        <v>50</v>
      </c>
      <c r="G825" s="55">
        <v>50</v>
      </c>
      <c r="H825" s="55">
        <v>50</v>
      </c>
      <c r="I825" s="326" t="s">
        <v>130</v>
      </c>
    </row>
    <row r="826" spans="1:15" hidden="1" outlineLevel="1" x14ac:dyDescent="0.3">
      <c r="A826" s="51" t="s">
        <v>5942</v>
      </c>
      <c r="B826" s="51" t="s">
        <v>940</v>
      </c>
      <c r="C826" s="51" t="s">
        <v>944</v>
      </c>
      <c r="D826" s="55">
        <v>50</v>
      </c>
      <c r="E826" s="55">
        <v>50</v>
      </c>
      <c r="F826" s="55">
        <v>50</v>
      </c>
      <c r="G826" s="55">
        <v>50</v>
      </c>
      <c r="H826" s="55">
        <v>50</v>
      </c>
      <c r="I826" s="326" t="s">
        <v>130</v>
      </c>
    </row>
    <row r="827" spans="1:15" hidden="1" outlineLevel="1" x14ac:dyDescent="0.3">
      <c r="A827" s="51" t="s">
        <v>5942</v>
      </c>
      <c r="B827" s="51" t="s">
        <v>940</v>
      </c>
      <c r="C827" s="51" t="s">
        <v>821</v>
      </c>
      <c r="D827" s="55">
        <v>50</v>
      </c>
      <c r="E827" s="55">
        <v>50</v>
      </c>
      <c r="F827" s="55">
        <v>50</v>
      </c>
      <c r="G827" s="55">
        <v>50</v>
      </c>
      <c r="H827" s="55">
        <v>50</v>
      </c>
      <c r="I827" s="326" t="s">
        <v>130</v>
      </c>
    </row>
    <row r="828" spans="1:15" hidden="1" outlineLevel="1" x14ac:dyDescent="0.3">
      <c r="A828" s="51" t="s">
        <v>5942</v>
      </c>
      <c r="B828" s="51" t="s">
        <v>940</v>
      </c>
      <c r="C828" s="51" t="s">
        <v>823</v>
      </c>
      <c r="D828" s="55">
        <v>50</v>
      </c>
      <c r="E828" s="55">
        <v>50</v>
      </c>
      <c r="F828" s="55">
        <v>50</v>
      </c>
      <c r="G828" s="55">
        <v>50</v>
      </c>
      <c r="H828" s="55">
        <v>50</v>
      </c>
      <c r="I828" s="326" t="s">
        <v>130</v>
      </c>
    </row>
    <row r="829" spans="1:15" hidden="1" outlineLevel="1" x14ac:dyDescent="0.3">
      <c r="A829" s="51" t="s">
        <v>5942</v>
      </c>
      <c r="B829" s="51" t="s">
        <v>940</v>
      </c>
      <c r="C829" s="51" t="s">
        <v>825</v>
      </c>
      <c r="D829" s="55">
        <v>50</v>
      </c>
      <c r="E829" s="55">
        <v>50</v>
      </c>
      <c r="F829" s="55">
        <v>50</v>
      </c>
      <c r="G829" s="55">
        <v>50</v>
      </c>
      <c r="H829" s="55">
        <v>50</v>
      </c>
      <c r="I829" s="326" t="s">
        <v>130</v>
      </c>
    </row>
    <row r="830" spans="1:15" hidden="1" outlineLevel="1" x14ac:dyDescent="0.3">
      <c r="A830" s="51" t="s">
        <v>5942</v>
      </c>
      <c r="B830" s="51" t="s">
        <v>940</v>
      </c>
      <c r="C830" s="51" t="s">
        <v>827</v>
      </c>
      <c r="D830" s="55">
        <v>50</v>
      </c>
      <c r="E830" s="55">
        <v>50</v>
      </c>
      <c r="F830" s="55">
        <v>50</v>
      </c>
      <c r="G830" s="55">
        <v>50</v>
      </c>
      <c r="H830" s="55">
        <v>50</v>
      </c>
      <c r="I830" s="326" t="s">
        <v>130</v>
      </c>
    </row>
    <row r="831" spans="1:15" hidden="1" outlineLevel="1" x14ac:dyDescent="0.3">
      <c r="A831" s="51" t="s">
        <v>5942</v>
      </c>
      <c r="B831" s="51" t="s">
        <v>940</v>
      </c>
      <c r="C831" s="51" t="s">
        <v>829</v>
      </c>
      <c r="D831" s="55">
        <v>50</v>
      </c>
      <c r="E831" s="55">
        <v>50</v>
      </c>
      <c r="F831" s="55">
        <v>50</v>
      </c>
      <c r="G831" s="55">
        <v>50</v>
      </c>
      <c r="H831" s="55">
        <v>50</v>
      </c>
      <c r="I831" s="326" t="s">
        <v>130</v>
      </c>
    </row>
    <row r="832" spans="1:15" hidden="1" outlineLevel="1" x14ac:dyDescent="0.3">
      <c r="A832" s="51" t="s">
        <v>5942</v>
      </c>
      <c r="B832" s="51" t="s">
        <v>940</v>
      </c>
      <c r="C832" s="51" t="s">
        <v>833</v>
      </c>
      <c r="D832" s="55">
        <v>50</v>
      </c>
      <c r="E832" s="55">
        <v>50</v>
      </c>
      <c r="F832" s="55">
        <v>50</v>
      </c>
      <c r="G832" s="55">
        <v>50</v>
      </c>
      <c r="H832" s="55">
        <v>50</v>
      </c>
      <c r="I832" s="326" t="s">
        <v>130</v>
      </c>
    </row>
    <row r="833" spans="1:9" hidden="1" outlineLevel="1" x14ac:dyDescent="0.3">
      <c r="A833" s="51" t="s">
        <v>5942</v>
      </c>
      <c r="B833" s="51" t="s">
        <v>940</v>
      </c>
      <c r="C833" s="51" t="s">
        <v>836</v>
      </c>
      <c r="D833" s="55">
        <v>50</v>
      </c>
      <c r="E833" s="55">
        <v>50</v>
      </c>
      <c r="F833" s="55">
        <v>50</v>
      </c>
      <c r="G833" s="55">
        <v>50</v>
      </c>
      <c r="H833" s="55">
        <v>50</v>
      </c>
      <c r="I833" s="326" t="s">
        <v>130</v>
      </c>
    </row>
    <row r="834" spans="1:9" hidden="1" outlineLevel="1" x14ac:dyDescent="0.3">
      <c r="A834" s="51" t="s">
        <v>5942</v>
      </c>
      <c r="B834" s="51" t="s">
        <v>940</v>
      </c>
      <c r="C834" s="51" t="s">
        <v>837</v>
      </c>
      <c r="D834" s="55">
        <v>50</v>
      </c>
      <c r="E834" s="55">
        <v>50</v>
      </c>
      <c r="F834" s="55">
        <v>50</v>
      </c>
      <c r="G834" s="55">
        <v>50</v>
      </c>
      <c r="H834" s="55">
        <v>50</v>
      </c>
      <c r="I834" s="326" t="s">
        <v>130</v>
      </c>
    </row>
    <row r="835" spans="1:9" hidden="1" outlineLevel="1" x14ac:dyDescent="0.3">
      <c r="A835" s="51" t="s">
        <v>5942</v>
      </c>
      <c r="B835" s="51" t="s">
        <v>940</v>
      </c>
      <c r="C835" s="51" t="s">
        <v>839</v>
      </c>
      <c r="D835" s="55">
        <v>50</v>
      </c>
      <c r="E835" s="55">
        <v>50</v>
      </c>
      <c r="F835" s="55">
        <v>50</v>
      </c>
      <c r="G835" s="55">
        <v>50</v>
      </c>
      <c r="H835" s="55">
        <v>50</v>
      </c>
      <c r="I835" s="326" t="s">
        <v>130</v>
      </c>
    </row>
    <row r="836" spans="1:9" hidden="1" outlineLevel="1" x14ac:dyDescent="0.3">
      <c r="A836" s="51" t="s">
        <v>5942</v>
      </c>
      <c r="B836" s="51" t="s">
        <v>940</v>
      </c>
      <c r="C836" s="51" t="s">
        <v>840</v>
      </c>
      <c r="D836" s="55">
        <v>50</v>
      </c>
      <c r="E836" s="55">
        <v>50</v>
      </c>
      <c r="F836" s="55">
        <v>50</v>
      </c>
      <c r="G836" s="55">
        <v>50</v>
      </c>
      <c r="H836" s="55">
        <v>50</v>
      </c>
      <c r="I836" s="326" t="s">
        <v>130</v>
      </c>
    </row>
    <row r="837" spans="1:9" collapsed="1" x14ac:dyDescent="0.3">
      <c r="A837" s="51"/>
      <c r="B837" s="51"/>
      <c r="C837" s="51"/>
      <c r="D837" s="55"/>
      <c r="E837" s="55"/>
      <c r="F837" s="55"/>
      <c r="G837" s="55"/>
      <c r="H837" s="55"/>
      <c r="I837" s="55"/>
    </row>
    <row r="838" spans="1:9" x14ac:dyDescent="0.3">
      <c r="A838" s="53" t="s">
        <v>5943</v>
      </c>
      <c r="B838" s="51"/>
      <c r="C838" s="52" t="s">
        <v>4032</v>
      </c>
      <c r="D838" s="281">
        <v>-0.23582267441860458</v>
      </c>
      <c r="E838" s="278">
        <v>0</v>
      </c>
      <c r="F838" s="51"/>
      <c r="G838" s="51"/>
      <c r="H838" s="51"/>
      <c r="I838" s="51"/>
    </row>
    <row r="839" spans="1:9" s="1" customFormat="1" x14ac:dyDescent="0.3">
      <c r="A839" s="127" t="s">
        <v>5</v>
      </c>
      <c r="B839" s="127" t="s">
        <v>847</v>
      </c>
      <c r="C839" s="127" t="s">
        <v>193</v>
      </c>
      <c r="D839" s="282" t="s">
        <v>517</v>
      </c>
      <c r="E839" s="127" t="s">
        <v>5944</v>
      </c>
      <c r="F839" s="127" t="s">
        <v>210</v>
      </c>
      <c r="G839" s="127" t="s">
        <v>153</v>
      </c>
      <c r="H839" s="283"/>
      <c r="I839" s="283"/>
    </row>
    <row r="840" spans="1:9" hidden="1" outlineLevel="1" x14ac:dyDescent="0.3">
      <c r="A840" s="51" t="s">
        <v>5943</v>
      </c>
      <c r="B840" s="51" t="s">
        <v>855</v>
      </c>
      <c r="C840" s="51" t="s">
        <v>747</v>
      </c>
      <c r="D840" s="284">
        <v>-0.23474999999999999</v>
      </c>
      <c r="E840" s="51">
        <v>0</v>
      </c>
      <c r="F840" s="51">
        <v>0.7</v>
      </c>
      <c r="G840" s="51"/>
      <c r="H840" s="51"/>
      <c r="I840" s="51"/>
    </row>
    <row r="841" spans="1:9" hidden="1" outlineLevel="1" x14ac:dyDescent="0.3">
      <c r="A841" s="51" t="s">
        <v>5943</v>
      </c>
      <c r="B841" s="51" t="s">
        <v>855</v>
      </c>
      <c r="C841" s="51" t="s">
        <v>751</v>
      </c>
      <c r="D841" s="284">
        <v>-0.23474999999999999</v>
      </c>
      <c r="E841" s="51">
        <v>0</v>
      </c>
      <c r="F841" s="51">
        <v>0.7</v>
      </c>
      <c r="G841" s="51"/>
      <c r="H841" s="51"/>
      <c r="I841" s="51"/>
    </row>
    <row r="842" spans="1:9" hidden="1" outlineLevel="1" x14ac:dyDescent="0.3">
      <c r="A842" s="51" t="s">
        <v>5943</v>
      </c>
      <c r="B842" s="51" t="s">
        <v>855</v>
      </c>
      <c r="C842" s="51" t="s">
        <v>755</v>
      </c>
      <c r="D842" s="284">
        <v>-0.23474999999999999</v>
      </c>
      <c r="E842" s="51">
        <v>0</v>
      </c>
      <c r="F842" s="51">
        <v>0.7</v>
      </c>
      <c r="G842" s="51"/>
      <c r="H842" s="51"/>
      <c r="I842" s="51"/>
    </row>
    <row r="843" spans="1:9" hidden="1" outlineLevel="1" x14ac:dyDescent="0.3">
      <c r="A843" s="51" t="s">
        <v>5943</v>
      </c>
      <c r="B843" s="51" t="s">
        <v>855</v>
      </c>
      <c r="C843" s="51" t="s">
        <v>758</v>
      </c>
      <c r="D843" s="284">
        <v>-0.23474999999999999</v>
      </c>
      <c r="E843" s="51">
        <v>0</v>
      </c>
      <c r="F843" s="51">
        <v>0.7</v>
      </c>
      <c r="G843" s="51"/>
      <c r="H843" s="51"/>
      <c r="I843" s="51"/>
    </row>
    <row r="844" spans="1:9" hidden="1" outlineLevel="1" x14ac:dyDescent="0.3">
      <c r="A844" s="51" t="s">
        <v>5943</v>
      </c>
      <c r="B844" s="51" t="s">
        <v>855</v>
      </c>
      <c r="C844" s="51" t="s">
        <v>761</v>
      </c>
      <c r="D844" s="284">
        <v>-0.23474999999999999</v>
      </c>
      <c r="E844" s="51">
        <v>0</v>
      </c>
      <c r="F844" s="51">
        <v>0.7</v>
      </c>
      <c r="G844" s="51"/>
      <c r="H844" s="51"/>
      <c r="I844" s="51"/>
    </row>
    <row r="845" spans="1:9" hidden="1" outlineLevel="1" x14ac:dyDescent="0.3">
      <c r="A845" s="51" t="s">
        <v>5943</v>
      </c>
      <c r="B845" s="51" t="s">
        <v>855</v>
      </c>
      <c r="C845" s="51" t="s">
        <v>763</v>
      </c>
      <c r="D845" s="284">
        <v>-0.23474999999999999</v>
      </c>
      <c r="E845" s="51">
        <v>0</v>
      </c>
      <c r="F845" s="51">
        <v>0.7</v>
      </c>
      <c r="G845" s="51"/>
      <c r="H845" s="51"/>
      <c r="I845" s="51"/>
    </row>
    <row r="846" spans="1:9" hidden="1" outlineLevel="1" x14ac:dyDescent="0.3">
      <c r="A846" s="51" t="s">
        <v>5943</v>
      </c>
      <c r="B846" s="51" t="s">
        <v>855</v>
      </c>
      <c r="C846" s="51" t="s">
        <v>765</v>
      </c>
      <c r="D846" s="284">
        <v>-0.23474999999999999</v>
      </c>
      <c r="E846" s="51">
        <v>0</v>
      </c>
      <c r="F846" s="51">
        <v>0.7</v>
      </c>
      <c r="G846" s="51"/>
      <c r="H846" s="51"/>
      <c r="I846" s="51"/>
    </row>
    <row r="847" spans="1:9" hidden="1" outlineLevel="1" x14ac:dyDescent="0.3">
      <c r="A847" s="51" t="s">
        <v>5943</v>
      </c>
      <c r="B847" s="51" t="s">
        <v>855</v>
      </c>
      <c r="C847" s="51" t="s">
        <v>768</v>
      </c>
      <c r="D847" s="284">
        <v>-0.23474999999999999</v>
      </c>
      <c r="E847" s="51">
        <v>0</v>
      </c>
      <c r="F847" s="51">
        <v>0.7</v>
      </c>
      <c r="G847" s="51"/>
      <c r="H847" s="51"/>
      <c r="I847" s="51"/>
    </row>
    <row r="848" spans="1:9" hidden="1" outlineLevel="1" x14ac:dyDescent="0.3">
      <c r="A848" s="51" t="s">
        <v>5943</v>
      </c>
      <c r="B848" s="51" t="s">
        <v>855</v>
      </c>
      <c r="C848" s="51" t="s">
        <v>771</v>
      </c>
      <c r="D848" s="284">
        <v>-0.23474999999999999</v>
      </c>
      <c r="E848" s="51">
        <v>0</v>
      </c>
      <c r="F848" s="51">
        <v>0.7</v>
      </c>
      <c r="G848" s="51"/>
      <c r="H848" s="51"/>
      <c r="I848" s="51"/>
    </row>
    <row r="849" spans="1:9" hidden="1" outlineLevel="1" x14ac:dyDescent="0.3">
      <c r="A849" s="51" t="s">
        <v>5943</v>
      </c>
      <c r="B849" s="51" t="s">
        <v>855</v>
      </c>
      <c r="C849" s="51" t="s">
        <v>772</v>
      </c>
      <c r="D849" s="284">
        <v>-0.23474999999999999</v>
      </c>
      <c r="E849" s="51">
        <v>0</v>
      </c>
      <c r="F849" s="51">
        <v>0.7</v>
      </c>
      <c r="G849" s="51"/>
      <c r="H849" s="51"/>
      <c r="I849" s="51"/>
    </row>
    <row r="850" spans="1:9" hidden="1" outlineLevel="1" x14ac:dyDescent="0.3">
      <c r="A850" s="51" t="s">
        <v>5943</v>
      </c>
      <c r="B850" s="51" t="s">
        <v>855</v>
      </c>
      <c r="C850" s="51" t="s">
        <v>774</v>
      </c>
      <c r="D850" s="284">
        <v>-0.23474999999999999</v>
      </c>
      <c r="E850" s="51">
        <v>0</v>
      </c>
      <c r="F850" s="51">
        <v>0.7</v>
      </c>
      <c r="G850" s="51"/>
      <c r="H850" s="51"/>
      <c r="I850" s="51"/>
    </row>
    <row r="851" spans="1:9" hidden="1" outlineLevel="1" x14ac:dyDescent="0.3">
      <c r="A851" s="51" t="s">
        <v>5943</v>
      </c>
      <c r="B851" s="51" t="s">
        <v>855</v>
      </c>
      <c r="C851" s="51" t="s">
        <v>775</v>
      </c>
      <c r="D851" s="284">
        <v>-0.23474999999999999</v>
      </c>
      <c r="E851" s="51">
        <v>0</v>
      </c>
      <c r="F851" s="51">
        <v>0.7</v>
      </c>
      <c r="G851" s="51"/>
      <c r="H851" s="51"/>
      <c r="I851" s="51"/>
    </row>
    <row r="852" spans="1:9" hidden="1" outlineLevel="1" x14ac:dyDescent="0.3">
      <c r="A852" s="51" t="s">
        <v>5943</v>
      </c>
      <c r="B852" s="51" t="s">
        <v>855</v>
      </c>
      <c r="C852" s="51" t="s">
        <v>779</v>
      </c>
      <c r="D852" s="284">
        <v>-0.23474999999999999</v>
      </c>
      <c r="E852" s="51">
        <v>0</v>
      </c>
      <c r="F852" s="51">
        <v>0.7</v>
      </c>
      <c r="G852" s="51"/>
      <c r="H852" s="51"/>
      <c r="I852" s="51"/>
    </row>
    <row r="853" spans="1:9" hidden="1" outlineLevel="1" x14ac:dyDescent="0.3">
      <c r="A853" s="51" t="s">
        <v>5943</v>
      </c>
      <c r="B853" s="51" t="s">
        <v>894</v>
      </c>
      <c r="C853" s="51" t="s">
        <v>781</v>
      </c>
      <c r="D853" s="284">
        <v>-0.23474999999999999</v>
      </c>
      <c r="E853" s="51">
        <v>0</v>
      </c>
      <c r="F853" s="51">
        <v>0.7</v>
      </c>
      <c r="G853" s="51"/>
      <c r="H853" s="51"/>
      <c r="I853" s="51"/>
    </row>
    <row r="854" spans="1:9" hidden="1" outlineLevel="1" x14ac:dyDescent="0.3">
      <c r="A854" s="51" t="s">
        <v>5943</v>
      </c>
      <c r="B854" s="51" t="s">
        <v>894</v>
      </c>
      <c r="C854" s="51" t="s">
        <v>783</v>
      </c>
      <c r="D854" s="284">
        <v>-0.23474999999999999</v>
      </c>
      <c r="E854" s="51">
        <v>0</v>
      </c>
      <c r="F854" s="51">
        <v>0.7</v>
      </c>
      <c r="G854" s="51"/>
      <c r="H854" s="51"/>
      <c r="I854" s="51"/>
    </row>
    <row r="855" spans="1:9" hidden="1" outlineLevel="1" x14ac:dyDescent="0.3">
      <c r="A855" s="51" t="s">
        <v>5943</v>
      </c>
      <c r="B855" s="51" t="s">
        <v>894</v>
      </c>
      <c r="C855" s="51" t="s">
        <v>785</v>
      </c>
      <c r="D855" s="284">
        <v>-0.23474999999999999</v>
      </c>
      <c r="E855" s="51">
        <v>0</v>
      </c>
      <c r="F855" s="51">
        <v>0.7</v>
      </c>
      <c r="G855" s="51"/>
      <c r="H855" s="51"/>
      <c r="I855" s="51"/>
    </row>
    <row r="856" spans="1:9" hidden="1" outlineLevel="1" x14ac:dyDescent="0.3">
      <c r="A856" s="51" t="s">
        <v>5943</v>
      </c>
      <c r="B856" s="51" t="s">
        <v>894</v>
      </c>
      <c r="C856" s="51" t="s">
        <v>787</v>
      </c>
      <c r="D856" s="284">
        <v>-0.23474999999999999</v>
      </c>
      <c r="E856" s="51">
        <v>0</v>
      </c>
      <c r="F856" s="51">
        <v>0.7</v>
      </c>
      <c r="G856" s="51"/>
      <c r="H856" s="51"/>
      <c r="I856" s="51"/>
    </row>
    <row r="857" spans="1:9" hidden="1" outlineLevel="1" x14ac:dyDescent="0.3">
      <c r="A857" s="51" t="s">
        <v>5943</v>
      </c>
      <c r="B857" s="51" t="s">
        <v>894</v>
      </c>
      <c r="C857" s="51" t="s">
        <v>788</v>
      </c>
      <c r="D857" s="284">
        <v>-0.23474999999999999</v>
      </c>
      <c r="E857" s="51">
        <v>0</v>
      </c>
      <c r="F857" s="51">
        <v>0.7</v>
      </c>
      <c r="G857" s="51"/>
      <c r="H857" s="51"/>
      <c r="I857" s="51"/>
    </row>
    <row r="858" spans="1:9" hidden="1" outlineLevel="1" x14ac:dyDescent="0.3">
      <c r="A858" s="51" t="s">
        <v>5943</v>
      </c>
      <c r="B858" s="51" t="s">
        <v>894</v>
      </c>
      <c r="C858" s="51" t="s">
        <v>789</v>
      </c>
      <c r="D858" s="284">
        <v>-0.23474999999999999</v>
      </c>
      <c r="E858" s="51">
        <v>0</v>
      </c>
      <c r="F858" s="51">
        <v>0.7</v>
      </c>
      <c r="G858" s="51"/>
      <c r="H858" s="51"/>
      <c r="I858" s="51"/>
    </row>
    <row r="859" spans="1:9" hidden="1" outlineLevel="1" x14ac:dyDescent="0.3">
      <c r="A859" s="51" t="s">
        <v>5943</v>
      </c>
      <c r="B859" s="51" t="s">
        <v>894</v>
      </c>
      <c r="C859" s="51" t="s">
        <v>790</v>
      </c>
      <c r="D859" s="284">
        <v>-0.23474999999999999</v>
      </c>
      <c r="E859" s="51">
        <v>0</v>
      </c>
      <c r="F859" s="51">
        <v>0.7</v>
      </c>
      <c r="G859" s="51"/>
      <c r="H859" s="51"/>
      <c r="I859" s="51"/>
    </row>
    <row r="860" spans="1:9" hidden="1" outlineLevel="1" x14ac:dyDescent="0.3">
      <c r="A860" s="51" t="s">
        <v>5943</v>
      </c>
      <c r="B860" s="51" t="s">
        <v>894</v>
      </c>
      <c r="C860" s="51" t="s">
        <v>793</v>
      </c>
      <c r="D860" s="284">
        <v>-0.23474999999999999</v>
      </c>
      <c r="E860" s="51">
        <v>0</v>
      </c>
      <c r="F860" s="51">
        <v>0.7</v>
      </c>
      <c r="G860" s="51"/>
      <c r="H860" s="51"/>
      <c r="I860" s="51"/>
    </row>
    <row r="861" spans="1:9" hidden="1" outlineLevel="1" x14ac:dyDescent="0.3">
      <c r="A861" s="51" t="s">
        <v>5943</v>
      </c>
      <c r="B861" s="51" t="s">
        <v>894</v>
      </c>
      <c r="C861" s="51" t="s">
        <v>795</v>
      </c>
      <c r="D861" s="284">
        <v>-0.23474999999999999</v>
      </c>
      <c r="E861" s="51">
        <v>0</v>
      </c>
      <c r="F861" s="51">
        <v>0.7</v>
      </c>
      <c r="G861" s="51"/>
      <c r="H861" s="51"/>
      <c r="I861" s="51"/>
    </row>
    <row r="862" spans="1:9" hidden="1" outlineLevel="1" x14ac:dyDescent="0.3">
      <c r="A862" s="51" t="s">
        <v>5943</v>
      </c>
      <c r="B862" s="51" t="s">
        <v>894</v>
      </c>
      <c r="C862" s="51" t="s">
        <v>797</v>
      </c>
      <c r="D862" s="284">
        <v>-0.23474999999999999</v>
      </c>
      <c r="E862" s="51">
        <v>0</v>
      </c>
      <c r="F862" s="51">
        <v>0.7</v>
      </c>
      <c r="G862" s="51"/>
      <c r="H862" s="51"/>
      <c r="I862" s="51"/>
    </row>
    <row r="863" spans="1:9" hidden="1" outlineLevel="1" x14ac:dyDescent="0.3">
      <c r="A863" s="51" t="s">
        <v>5943</v>
      </c>
      <c r="B863" s="51" t="s">
        <v>915</v>
      </c>
      <c r="C863" s="51" t="s">
        <v>799</v>
      </c>
      <c r="D863" s="51">
        <v>-0.187</v>
      </c>
      <c r="E863" s="51">
        <v>0</v>
      </c>
      <c r="F863" s="51">
        <v>0.7</v>
      </c>
      <c r="G863" s="51"/>
      <c r="H863" s="51"/>
      <c r="I863" s="51"/>
    </row>
    <row r="864" spans="1:9" hidden="1" outlineLevel="1" x14ac:dyDescent="0.3">
      <c r="A864" s="51" t="s">
        <v>5943</v>
      </c>
      <c r="B864" s="51" t="s">
        <v>915</v>
      </c>
      <c r="C864" s="51" t="s">
        <v>801</v>
      </c>
      <c r="D864" s="51">
        <v>-0.19700000000000001</v>
      </c>
      <c r="E864" s="51">
        <v>0</v>
      </c>
      <c r="F864" s="51">
        <v>0.7</v>
      </c>
      <c r="G864" s="51"/>
      <c r="H864" s="51"/>
      <c r="I864" s="51"/>
    </row>
    <row r="865" spans="1:9" hidden="1" outlineLevel="1" x14ac:dyDescent="0.3">
      <c r="A865" s="51" t="s">
        <v>5943</v>
      </c>
      <c r="B865" s="51" t="s">
        <v>915</v>
      </c>
      <c r="C865" s="51" t="s">
        <v>804</v>
      </c>
      <c r="D865" s="284">
        <v>-0.23474999999999999</v>
      </c>
      <c r="E865" s="51">
        <v>0</v>
      </c>
      <c r="F865" s="51">
        <v>0.7</v>
      </c>
      <c r="G865" s="51"/>
      <c r="H865" s="51"/>
      <c r="I865" s="51"/>
    </row>
    <row r="866" spans="1:9" hidden="1" outlineLevel="1" x14ac:dyDescent="0.3">
      <c r="A866" s="51" t="s">
        <v>5943</v>
      </c>
      <c r="B866" s="51" t="s">
        <v>915</v>
      </c>
      <c r="C866" s="51" t="s">
        <v>806</v>
      </c>
      <c r="D866" s="284">
        <v>-0.23474999999999999</v>
      </c>
      <c r="E866" s="51">
        <v>0</v>
      </c>
      <c r="F866" s="51">
        <v>0.7</v>
      </c>
      <c r="G866" s="51"/>
      <c r="H866" s="51"/>
      <c r="I866" s="51"/>
    </row>
    <row r="867" spans="1:9" hidden="1" outlineLevel="1" x14ac:dyDescent="0.3">
      <c r="A867" s="51" t="s">
        <v>5943</v>
      </c>
      <c r="B867" s="51" t="s">
        <v>915</v>
      </c>
      <c r="C867" s="51" t="s">
        <v>808</v>
      </c>
      <c r="D867" s="284">
        <v>-0.23474999999999999</v>
      </c>
      <c r="E867" s="51">
        <v>0</v>
      </c>
      <c r="F867" s="51">
        <v>0.7</v>
      </c>
      <c r="G867" s="51"/>
      <c r="H867" s="51"/>
      <c r="I867" s="51"/>
    </row>
    <row r="868" spans="1:9" hidden="1" outlineLevel="1" x14ac:dyDescent="0.3">
      <c r="A868" s="51" t="s">
        <v>5943</v>
      </c>
      <c r="B868" s="51" t="s">
        <v>915</v>
      </c>
      <c r="C868" s="51" t="s">
        <v>811</v>
      </c>
      <c r="D868" s="51">
        <v>-0.189</v>
      </c>
      <c r="E868" s="51">
        <v>0</v>
      </c>
      <c r="F868" s="51">
        <v>0.7</v>
      </c>
      <c r="G868" s="51"/>
      <c r="H868" s="51"/>
      <c r="I868" s="51"/>
    </row>
    <row r="869" spans="1:9" hidden="1" outlineLevel="1" x14ac:dyDescent="0.3">
      <c r="A869" s="51" t="s">
        <v>5943</v>
      </c>
      <c r="B869" s="51" t="s">
        <v>934</v>
      </c>
      <c r="C869" s="51" t="s">
        <v>814</v>
      </c>
      <c r="D869" s="284">
        <v>-0.23474999999999999</v>
      </c>
      <c r="E869" s="51">
        <v>0</v>
      </c>
      <c r="F869" s="51">
        <v>0.7</v>
      </c>
      <c r="G869" s="51"/>
      <c r="H869" s="51"/>
      <c r="I869" s="51"/>
    </row>
    <row r="870" spans="1:9" hidden="1" outlineLevel="1" x14ac:dyDescent="0.3">
      <c r="A870" s="51" t="s">
        <v>5943</v>
      </c>
      <c r="B870" s="51" t="s">
        <v>934</v>
      </c>
      <c r="C870" s="51" t="s">
        <v>815</v>
      </c>
      <c r="D870" s="284">
        <v>-0.23474999999999999</v>
      </c>
      <c r="E870" s="51">
        <v>0</v>
      </c>
      <c r="F870" s="51">
        <v>0.7</v>
      </c>
      <c r="G870" s="51"/>
      <c r="H870" s="51"/>
      <c r="I870" s="51"/>
    </row>
    <row r="871" spans="1:9" hidden="1" outlineLevel="1" x14ac:dyDescent="0.3">
      <c r="A871" s="51" t="s">
        <v>5943</v>
      </c>
      <c r="B871" s="51" t="s">
        <v>940</v>
      </c>
      <c r="C871" s="51" t="s">
        <v>817</v>
      </c>
      <c r="D871" s="51">
        <v>-0.20799999999999999</v>
      </c>
      <c r="E871" s="51">
        <v>0</v>
      </c>
      <c r="F871" s="51">
        <v>0.7</v>
      </c>
      <c r="G871" s="51"/>
      <c r="H871" s="51"/>
      <c r="I871" s="51"/>
    </row>
    <row r="872" spans="1:9" hidden="1" outlineLevel="1" x14ac:dyDescent="0.3">
      <c r="A872" s="51" t="s">
        <v>5943</v>
      </c>
      <c r="B872" s="51" t="s">
        <v>940</v>
      </c>
      <c r="C872" s="51" t="s">
        <v>944</v>
      </c>
      <c r="D872" s="284">
        <v>-0.23987500000000003</v>
      </c>
      <c r="E872" s="51">
        <v>0</v>
      </c>
      <c r="F872" s="51">
        <v>0.7</v>
      </c>
      <c r="G872" s="51"/>
      <c r="H872" s="51"/>
      <c r="I872" s="51"/>
    </row>
    <row r="873" spans="1:9" hidden="1" outlineLevel="1" x14ac:dyDescent="0.3">
      <c r="A873" s="51" t="s">
        <v>5943</v>
      </c>
      <c r="B873" s="51" t="s">
        <v>940</v>
      </c>
      <c r="C873" s="51" t="s">
        <v>821</v>
      </c>
      <c r="D873" s="284">
        <v>-0.23474999999999999</v>
      </c>
      <c r="E873" s="51">
        <v>0</v>
      </c>
      <c r="F873" s="51">
        <v>0.7</v>
      </c>
      <c r="G873" s="51"/>
      <c r="H873" s="51"/>
      <c r="I873" s="51"/>
    </row>
    <row r="874" spans="1:9" hidden="1" outlineLevel="1" x14ac:dyDescent="0.3">
      <c r="A874" s="51" t="s">
        <v>5943</v>
      </c>
      <c r="B874" s="51" t="s">
        <v>940</v>
      </c>
      <c r="C874" s="51" t="s">
        <v>823</v>
      </c>
      <c r="D874" s="284">
        <v>-0.23474999999999999</v>
      </c>
      <c r="E874" s="51">
        <v>0</v>
      </c>
      <c r="F874" s="51">
        <v>0.7</v>
      </c>
      <c r="G874" s="51"/>
      <c r="H874" s="51"/>
      <c r="I874" s="51"/>
    </row>
    <row r="875" spans="1:9" hidden="1" outlineLevel="1" x14ac:dyDescent="0.3">
      <c r="A875" s="51" t="s">
        <v>5943</v>
      </c>
      <c r="B875" s="51" t="s">
        <v>940</v>
      </c>
      <c r="C875" s="51" t="s">
        <v>825</v>
      </c>
      <c r="D875" s="284">
        <v>-0.23474999999999999</v>
      </c>
      <c r="E875" s="51">
        <v>0</v>
      </c>
      <c r="F875" s="51">
        <v>0.7</v>
      </c>
      <c r="G875" s="51"/>
      <c r="H875" s="51"/>
      <c r="I875" s="51"/>
    </row>
    <row r="876" spans="1:9" hidden="1" outlineLevel="1" x14ac:dyDescent="0.3">
      <c r="A876" s="51" t="s">
        <v>5943</v>
      </c>
      <c r="B876" s="51" t="s">
        <v>940</v>
      </c>
      <c r="C876" s="51" t="s">
        <v>827</v>
      </c>
      <c r="D876" s="284">
        <v>-0.23474999999999999</v>
      </c>
      <c r="E876" s="51">
        <v>0</v>
      </c>
      <c r="F876" s="51">
        <v>0.7</v>
      </c>
      <c r="G876" s="51"/>
      <c r="H876" s="51"/>
      <c r="I876" s="51"/>
    </row>
    <row r="877" spans="1:9" hidden="1" outlineLevel="1" x14ac:dyDescent="0.3">
      <c r="A877" s="51" t="s">
        <v>5943</v>
      </c>
      <c r="B877" s="51" t="s">
        <v>940</v>
      </c>
      <c r="C877" s="51" t="s">
        <v>829</v>
      </c>
      <c r="D877" s="51">
        <v>-0.26100000000000001</v>
      </c>
      <c r="E877" s="51">
        <v>0</v>
      </c>
      <c r="F877" s="51">
        <v>0.7</v>
      </c>
      <c r="G877" s="51"/>
      <c r="H877" s="51"/>
      <c r="I877" s="51"/>
    </row>
    <row r="878" spans="1:9" hidden="1" outlineLevel="1" x14ac:dyDescent="0.3">
      <c r="A878" s="51" t="s">
        <v>5943</v>
      </c>
      <c r="B878" s="51" t="s">
        <v>940</v>
      </c>
      <c r="C878" s="51" t="s">
        <v>833</v>
      </c>
      <c r="D878" s="51">
        <v>-0.27300000000000002</v>
      </c>
      <c r="E878" s="51">
        <v>0</v>
      </c>
      <c r="F878" s="51">
        <v>0.7</v>
      </c>
      <c r="G878" s="51"/>
      <c r="H878" s="51"/>
      <c r="I878" s="51"/>
    </row>
    <row r="879" spans="1:9" hidden="1" outlineLevel="1" x14ac:dyDescent="0.3">
      <c r="A879" s="51" t="s">
        <v>5943</v>
      </c>
      <c r="B879" s="51" t="s">
        <v>940</v>
      </c>
      <c r="C879" s="51" t="s">
        <v>836</v>
      </c>
      <c r="D879" s="51">
        <v>-0.32200000000000001</v>
      </c>
      <c r="E879" s="51">
        <v>0</v>
      </c>
      <c r="F879" s="51">
        <v>0.7</v>
      </c>
      <c r="G879" s="51"/>
      <c r="H879" s="51"/>
      <c r="I879" s="51"/>
    </row>
    <row r="880" spans="1:9" hidden="1" outlineLevel="1" x14ac:dyDescent="0.3">
      <c r="A880" s="51" t="s">
        <v>5943</v>
      </c>
      <c r="B880" s="51" t="s">
        <v>940</v>
      </c>
      <c r="C880" s="51" t="s">
        <v>837</v>
      </c>
      <c r="D880" s="284">
        <v>-0.23474999999999999</v>
      </c>
      <c r="E880" s="51">
        <v>0</v>
      </c>
      <c r="F880" s="51">
        <v>0.7</v>
      </c>
      <c r="G880" s="51"/>
      <c r="H880" s="51"/>
      <c r="I880" s="51"/>
    </row>
    <row r="881" spans="1:9" hidden="1" outlineLevel="1" x14ac:dyDescent="0.3">
      <c r="A881" s="51" t="s">
        <v>5943</v>
      </c>
      <c r="B881" s="51" t="s">
        <v>940</v>
      </c>
      <c r="C881" s="51" t="s">
        <v>839</v>
      </c>
      <c r="D881" s="51">
        <v>-0.28199999999999997</v>
      </c>
      <c r="E881" s="51">
        <v>0</v>
      </c>
      <c r="F881" s="51">
        <v>0.7</v>
      </c>
      <c r="G881" s="51"/>
      <c r="H881" s="51"/>
      <c r="I881" s="51"/>
    </row>
    <row r="882" spans="1:9" hidden="1" outlineLevel="1" x14ac:dyDescent="0.3">
      <c r="A882" s="51" t="s">
        <v>5943</v>
      </c>
      <c r="B882" s="51" t="s">
        <v>940</v>
      </c>
      <c r="C882" s="51" t="s">
        <v>840</v>
      </c>
      <c r="D882" s="284">
        <v>-0.23474999999999999</v>
      </c>
      <c r="E882" s="51">
        <v>0</v>
      </c>
      <c r="F882" s="51">
        <v>0.7</v>
      </c>
      <c r="G882" s="51"/>
      <c r="H882" s="51"/>
      <c r="I882" s="51"/>
    </row>
    <row r="883" spans="1:9" collapsed="1" x14ac:dyDescent="0.3">
      <c r="A883" s="51"/>
      <c r="B883" s="51"/>
      <c r="C883" s="51"/>
      <c r="D883" s="284"/>
      <c r="E883" s="51"/>
      <c r="F883" s="51"/>
      <c r="G883" s="51"/>
      <c r="H883" s="51"/>
      <c r="I883" s="51"/>
    </row>
    <row r="884" spans="1:9" x14ac:dyDescent="0.3">
      <c r="A884" s="53" t="s">
        <v>138</v>
      </c>
      <c r="B884" s="51"/>
      <c r="C884" s="52" t="s">
        <v>4032</v>
      </c>
      <c r="D884" s="284"/>
      <c r="E884" s="284"/>
      <c r="F884" s="51"/>
      <c r="G884" s="51"/>
      <c r="H884" s="51"/>
      <c r="I884" s="51"/>
    </row>
    <row r="885" spans="1:9" x14ac:dyDescent="0.3">
      <c r="A885" s="127" t="s">
        <v>5</v>
      </c>
      <c r="B885" s="127" t="s">
        <v>847</v>
      </c>
      <c r="C885" s="127" t="s">
        <v>193</v>
      </c>
      <c r="D885" s="253">
        <v>2025</v>
      </c>
      <c r="E885" s="253">
        <v>2030</v>
      </c>
      <c r="F885" s="253">
        <v>2035</v>
      </c>
      <c r="G885" s="253">
        <v>2040</v>
      </c>
      <c r="H885" s="253">
        <v>2045</v>
      </c>
      <c r="I885" s="322" t="s">
        <v>153</v>
      </c>
    </row>
    <row r="886" spans="1:9" hidden="1" outlineLevel="1" x14ac:dyDescent="0.3">
      <c r="A886" s="51" t="s">
        <v>138</v>
      </c>
      <c r="B886" s="51" t="s">
        <v>855</v>
      </c>
      <c r="C886" s="51" t="s">
        <v>747</v>
      </c>
      <c r="D886" s="55">
        <v>0</v>
      </c>
      <c r="E886" s="55">
        <v>0</v>
      </c>
      <c r="F886" s="55">
        <v>0</v>
      </c>
      <c r="G886" s="55">
        <v>0</v>
      </c>
      <c r="H886" s="55">
        <v>0</v>
      </c>
      <c r="I886" s="51"/>
    </row>
    <row r="887" spans="1:9" hidden="1" outlineLevel="1" x14ac:dyDescent="0.3">
      <c r="A887" s="51" t="s">
        <v>138</v>
      </c>
      <c r="B887" s="51" t="s">
        <v>855</v>
      </c>
      <c r="C887" s="51" t="s">
        <v>751</v>
      </c>
      <c r="D887" s="55">
        <v>789.66266369652226</v>
      </c>
      <c r="E887" s="55">
        <v>917.63662067931853</v>
      </c>
      <c r="F887" s="55">
        <v>1066.3502357702619</v>
      </c>
      <c r="G887" s="55">
        <v>1239.1646101541867</v>
      </c>
      <c r="H887" s="55">
        <v>1439.9855502909995</v>
      </c>
      <c r="I887" s="51"/>
    </row>
    <row r="888" spans="1:9" hidden="1" outlineLevel="1" x14ac:dyDescent="0.3">
      <c r="A888" s="51" t="s">
        <v>138</v>
      </c>
      <c r="B888" s="51" t="s">
        <v>855</v>
      </c>
      <c r="C888" s="51" t="s">
        <v>755</v>
      </c>
      <c r="D888" s="55">
        <v>713.73356141801037</v>
      </c>
      <c r="E888" s="55">
        <v>829.40233022938389</v>
      </c>
      <c r="F888" s="55">
        <v>963.81655925389043</v>
      </c>
      <c r="G888" s="55">
        <v>1120.0141668701303</v>
      </c>
      <c r="H888" s="55">
        <v>1301.5254012245573</v>
      </c>
      <c r="I888" s="51"/>
    </row>
    <row r="889" spans="1:9" hidden="1" outlineLevel="1" x14ac:dyDescent="0.3">
      <c r="A889" s="51" t="s">
        <v>138</v>
      </c>
      <c r="B889" s="51" t="s">
        <v>855</v>
      </c>
      <c r="C889" s="51" t="s">
        <v>758</v>
      </c>
      <c r="D889" s="55">
        <v>804.84848415222461</v>
      </c>
      <c r="E889" s="55">
        <v>935.28347876930547</v>
      </c>
      <c r="F889" s="55">
        <v>1086.8569710735362</v>
      </c>
      <c r="G889" s="55">
        <v>1262.9946988109982</v>
      </c>
      <c r="H889" s="55">
        <v>1467.6775801042882</v>
      </c>
      <c r="I889" s="51"/>
    </row>
    <row r="890" spans="1:9" hidden="1" outlineLevel="1" x14ac:dyDescent="0.3">
      <c r="A890" s="51" t="s">
        <v>138</v>
      </c>
      <c r="B890" s="51" t="s">
        <v>855</v>
      </c>
      <c r="C890" s="51" t="s">
        <v>761</v>
      </c>
      <c r="D890" s="55">
        <v>1209.8036963042873</v>
      </c>
      <c r="E890" s="55">
        <v>1405.866361168956</v>
      </c>
      <c r="F890" s="55">
        <v>1633.7032458275166</v>
      </c>
      <c r="G890" s="55">
        <v>1898.4637296592991</v>
      </c>
      <c r="H890" s="55">
        <v>2206.1317084586472</v>
      </c>
      <c r="I890" s="51"/>
    </row>
    <row r="891" spans="1:9" hidden="1" outlineLevel="1" x14ac:dyDescent="0.3">
      <c r="A891" s="51" t="s">
        <v>138</v>
      </c>
      <c r="B891" s="51" t="s">
        <v>855</v>
      </c>
      <c r="C891" s="51" t="s">
        <v>763</v>
      </c>
      <c r="D891" s="55">
        <v>931.39698794974424</v>
      </c>
      <c r="E891" s="55">
        <v>1082.3406295191962</v>
      </c>
      <c r="F891" s="55">
        <v>1257.746431934155</v>
      </c>
      <c r="G891" s="55">
        <v>1461.5787709510921</v>
      </c>
      <c r="H891" s="55">
        <v>1698.4444952150252</v>
      </c>
      <c r="I891" s="51"/>
    </row>
    <row r="892" spans="1:9" hidden="1" outlineLevel="1" x14ac:dyDescent="0.3">
      <c r="A892" s="51" t="s">
        <v>138</v>
      </c>
      <c r="B892" s="51" t="s">
        <v>855</v>
      </c>
      <c r="C892" s="51" t="s">
        <v>765</v>
      </c>
      <c r="D892" s="55">
        <v>942.53325628392588</v>
      </c>
      <c r="E892" s="55">
        <v>1095.2816587851867</v>
      </c>
      <c r="F892" s="55">
        <v>1272.7847044898897</v>
      </c>
      <c r="G892" s="55">
        <v>1479.0541692994207</v>
      </c>
      <c r="H892" s="55">
        <v>1718.7519837447703</v>
      </c>
      <c r="I892" s="51"/>
    </row>
    <row r="893" spans="1:9" hidden="1" outlineLevel="1" x14ac:dyDescent="0.3">
      <c r="A893" s="51" t="s">
        <v>138</v>
      </c>
      <c r="B893" s="51" t="s">
        <v>855</v>
      </c>
      <c r="C893" s="51" t="s">
        <v>768</v>
      </c>
      <c r="D893" s="55">
        <v>0</v>
      </c>
      <c r="E893" s="55">
        <v>0</v>
      </c>
      <c r="F893" s="55">
        <v>0</v>
      </c>
      <c r="G893" s="55">
        <v>0</v>
      </c>
      <c r="H893" s="55">
        <v>0</v>
      </c>
      <c r="I893" s="51"/>
    </row>
    <row r="894" spans="1:9" hidden="1" outlineLevel="1" x14ac:dyDescent="0.3">
      <c r="A894" s="51" t="s">
        <v>138</v>
      </c>
      <c r="B894" s="51" t="s">
        <v>855</v>
      </c>
      <c r="C894" s="51" t="s">
        <v>771</v>
      </c>
      <c r="D894" s="55">
        <v>818.12349159780638</v>
      </c>
      <c r="E894" s="55">
        <v>963.0044582854506</v>
      </c>
      <c r="F894" s="55">
        <v>1132.3801006001859</v>
      </c>
      <c r="G894" s="55">
        <v>1321.8156400909784</v>
      </c>
      <c r="H894" s="55">
        <v>1555.4674599409841</v>
      </c>
      <c r="I894" s="51"/>
    </row>
    <row r="895" spans="1:9" hidden="1" outlineLevel="1" x14ac:dyDescent="0.3">
      <c r="A895" s="51" t="s">
        <v>138</v>
      </c>
      <c r="B895" s="51" t="s">
        <v>855</v>
      </c>
      <c r="C895" s="51" t="s">
        <v>772</v>
      </c>
      <c r="D895" s="55">
        <v>1322.9350880649215</v>
      </c>
      <c r="E895" s="55">
        <v>1535.5164034809238</v>
      </c>
      <c r="F895" s="55">
        <v>1781.8031784909472</v>
      </c>
      <c r="G895" s="55">
        <v>2065.8562069828445</v>
      </c>
      <c r="H895" s="55">
        <v>2395.8207926655309</v>
      </c>
      <c r="I895" s="51"/>
    </row>
    <row r="896" spans="1:9" hidden="1" outlineLevel="1" x14ac:dyDescent="0.3">
      <c r="A896" s="51" t="s">
        <v>138</v>
      </c>
      <c r="B896" s="51" t="s">
        <v>855</v>
      </c>
      <c r="C896" s="51" t="s">
        <v>774</v>
      </c>
      <c r="D896" s="55">
        <v>490.61287465915962</v>
      </c>
      <c r="E896" s="55">
        <v>570.3016541514537</v>
      </c>
      <c r="F896" s="55">
        <v>663.05231122829525</v>
      </c>
      <c r="G896" s="55">
        <v>771.87214065315584</v>
      </c>
      <c r="H896" s="55">
        <v>898.65493116650805</v>
      </c>
      <c r="I896" s="51"/>
    </row>
    <row r="897" spans="1:9" hidden="1" outlineLevel="1" x14ac:dyDescent="0.3">
      <c r="A897" s="51" t="s">
        <v>138</v>
      </c>
      <c r="B897" s="51" t="s">
        <v>855</v>
      </c>
      <c r="C897" s="51" t="s">
        <v>775</v>
      </c>
      <c r="D897" s="55">
        <v>0</v>
      </c>
      <c r="E897" s="55">
        <v>0</v>
      </c>
      <c r="F897" s="55">
        <v>0</v>
      </c>
      <c r="G897" s="55">
        <v>0</v>
      </c>
      <c r="H897" s="55">
        <v>0</v>
      </c>
      <c r="I897" s="51"/>
    </row>
    <row r="898" spans="1:9" hidden="1" outlineLevel="1" x14ac:dyDescent="0.3">
      <c r="A898" s="51" t="s">
        <v>138</v>
      </c>
      <c r="B898" s="51" t="s">
        <v>855</v>
      </c>
      <c r="C898" s="51" t="s">
        <v>779</v>
      </c>
      <c r="D898" s="55">
        <v>0</v>
      </c>
      <c r="E898" s="55">
        <v>0</v>
      </c>
      <c r="F898" s="55">
        <v>0</v>
      </c>
      <c r="G898" s="55">
        <v>0</v>
      </c>
      <c r="H898" s="55">
        <v>0</v>
      </c>
      <c r="I898" s="51"/>
    </row>
    <row r="899" spans="1:9" hidden="1" outlineLevel="1" x14ac:dyDescent="0.3">
      <c r="A899" s="51" t="s">
        <v>138</v>
      </c>
      <c r="B899" s="51" t="s">
        <v>894</v>
      </c>
      <c r="C899" s="51" t="s">
        <v>781</v>
      </c>
      <c r="D899" s="55">
        <v>0</v>
      </c>
      <c r="E899" s="55">
        <v>0</v>
      </c>
      <c r="F899" s="55">
        <v>0</v>
      </c>
      <c r="G899" s="55">
        <v>0</v>
      </c>
      <c r="H899" s="55">
        <v>0</v>
      </c>
      <c r="I899" s="51"/>
    </row>
    <row r="900" spans="1:9" hidden="1" outlineLevel="1" x14ac:dyDescent="0.3">
      <c r="A900" s="51" t="s">
        <v>138</v>
      </c>
      <c r="B900" s="51" t="s">
        <v>894</v>
      </c>
      <c r="C900" s="51" t="s">
        <v>783</v>
      </c>
      <c r="D900" s="55">
        <v>1154.1223546333786</v>
      </c>
      <c r="E900" s="55">
        <v>1341.1612148390038</v>
      </c>
      <c r="F900" s="55">
        <v>1558.5118830488441</v>
      </c>
      <c r="G900" s="55">
        <v>1811.0867379176575</v>
      </c>
      <c r="H900" s="55">
        <v>2104.5942658099225</v>
      </c>
      <c r="I900" s="51"/>
    </row>
    <row r="901" spans="1:9" hidden="1" outlineLevel="1" x14ac:dyDescent="0.3">
      <c r="A901" s="51" t="s">
        <v>138</v>
      </c>
      <c r="B901" s="51" t="s">
        <v>894</v>
      </c>
      <c r="C901" s="51" t="s">
        <v>785</v>
      </c>
      <c r="D901" s="55">
        <v>880.77758643073639</v>
      </c>
      <c r="E901" s="55">
        <v>1023.51776921924</v>
      </c>
      <c r="F901" s="55">
        <v>1189.3906475899075</v>
      </c>
      <c r="G901" s="55">
        <v>1382.1451420950546</v>
      </c>
      <c r="H901" s="55">
        <v>1606.1377291707304</v>
      </c>
      <c r="I901" s="51"/>
    </row>
    <row r="902" spans="1:9" hidden="1" outlineLevel="1" x14ac:dyDescent="0.3">
      <c r="A902" s="51" t="s">
        <v>138</v>
      </c>
      <c r="B902" s="51" t="s">
        <v>894</v>
      </c>
      <c r="C902" s="51" t="s">
        <v>787</v>
      </c>
      <c r="D902" s="55">
        <v>0</v>
      </c>
      <c r="E902" s="55">
        <v>0</v>
      </c>
      <c r="F902" s="55">
        <v>0</v>
      </c>
      <c r="G902" s="55">
        <v>0</v>
      </c>
      <c r="H902" s="55">
        <v>0</v>
      </c>
      <c r="I902" s="51"/>
    </row>
    <row r="903" spans="1:9" hidden="1" outlineLevel="1" x14ac:dyDescent="0.3">
      <c r="A903" s="51" t="s">
        <v>138</v>
      </c>
      <c r="B903" s="51" t="s">
        <v>894</v>
      </c>
      <c r="C903" s="51" t="s">
        <v>788</v>
      </c>
      <c r="D903" s="55">
        <v>0</v>
      </c>
      <c r="E903" s="55">
        <v>0</v>
      </c>
      <c r="F903" s="55">
        <v>0</v>
      </c>
      <c r="G903" s="55">
        <v>0</v>
      </c>
      <c r="H903" s="55">
        <v>0</v>
      </c>
      <c r="I903" s="51"/>
    </row>
    <row r="904" spans="1:9" hidden="1" outlineLevel="1" x14ac:dyDescent="0.3">
      <c r="A904" s="51" t="s">
        <v>138</v>
      </c>
      <c r="B904" s="51" t="s">
        <v>894</v>
      </c>
      <c r="C904" s="51" t="s">
        <v>789</v>
      </c>
      <c r="D904" s="55">
        <v>0</v>
      </c>
      <c r="E904" s="55">
        <v>0</v>
      </c>
      <c r="F904" s="55">
        <v>0</v>
      </c>
      <c r="G904" s="55">
        <v>0</v>
      </c>
      <c r="H904" s="55">
        <v>0</v>
      </c>
      <c r="I904" s="51"/>
    </row>
    <row r="905" spans="1:9" hidden="1" outlineLevel="1" x14ac:dyDescent="0.3">
      <c r="A905" s="51" t="s">
        <v>138</v>
      </c>
      <c r="B905" s="51" t="s">
        <v>894</v>
      </c>
      <c r="C905" s="51" t="s">
        <v>790</v>
      </c>
      <c r="D905" s="55">
        <v>1055.4145216713134</v>
      </c>
      <c r="E905" s="55">
        <v>1226.4566372540892</v>
      </c>
      <c r="F905" s="55">
        <v>1425.2181035775616</v>
      </c>
      <c r="G905" s="55">
        <v>1656.1911616483844</v>
      </c>
      <c r="H905" s="55">
        <v>1924.5960720235478</v>
      </c>
      <c r="I905" s="51"/>
    </row>
    <row r="906" spans="1:9" hidden="1" outlineLevel="1" x14ac:dyDescent="0.3">
      <c r="A906" s="51" t="s">
        <v>138</v>
      </c>
      <c r="B906" s="51" t="s">
        <v>894</v>
      </c>
      <c r="C906" s="51" t="s">
        <v>793</v>
      </c>
      <c r="D906" s="55">
        <v>0</v>
      </c>
      <c r="E906" s="55">
        <v>0</v>
      </c>
      <c r="F906" s="55">
        <v>0</v>
      </c>
      <c r="G906" s="55">
        <v>0</v>
      </c>
      <c r="H906" s="55">
        <v>0</v>
      </c>
      <c r="I906" s="51"/>
    </row>
    <row r="907" spans="1:9" hidden="1" outlineLevel="1" x14ac:dyDescent="0.3">
      <c r="A907" s="51" t="s">
        <v>138</v>
      </c>
      <c r="B907" s="51" t="s">
        <v>894</v>
      </c>
      <c r="C907" s="51" t="s">
        <v>795</v>
      </c>
      <c r="D907" s="55">
        <v>0</v>
      </c>
      <c r="E907" s="55">
        <v>0</v>
      </c>
      <c r="F907" s="55">
        <v>0</v>
      </c>
      <c r="G907" s="55">
        <v>0</v>
      </c>
      <c r="H907" s="55">
        <v>0</v>
      </c>
      <c r="I907" s="51"/>
    </row>
    <row r="908" spans="1:9" hidden="1" outlineLevel="1" x14ac:dyDescent="0.3">
      <c r="A908" s="51" t="s">
        <v>138</v>
      </c>
      <c r="B908" s="51" t="s">
        <v>894</v>
      </c>
      <c r="C908" s="51" t="s">
        <v>797</v>
      </c>
      <c r="D908" s="55">
        <v>1503.1099170631728</v>
      </c>
      <c r="E908" s="55">
        <v>1739.1929000058299</v>
      </c>
      <c r="F908" s="55">
        <v>2007.9547042967235</v>
      </c>
      <c r="G908" s="55">
        <v>2320.3412564796645</v>
      </c>
      <c r="H908" s="55">
        <v>2686.6321479472622</v>
      </c>
      <c r="I908" s="51"/>
    </row>
    <row r="909" spans="1:9" hidden="1" outlineLevel="1" x14ac:dyDescent="0.3">
      <c r="A909" s="51" t="s">
        <v>138</v>
      </c>
      <c r="B909" s="51" t="s">
        <v>915</v>
      </c>
      <c r="C909" s="51" t="s">
        <v>799</v>
      </c>
      <c r="D909" s="55">
        <v>2039.2786914371077</v>
      </c>
      <c r="E909" s="55">
        <v>2416.8953754722784</v>
      </c>
      <c r="F909" s="55">
        <v>2825.0169310536098</v>
      </c>
      <c r="G909" s="55">
        <v>3257.0629448163327</v>
      </c>
      <c r="H909" s="55">
        <v>3797.0870803093585</v>
      </c>
      <c r="I909" s="51"/>
    </row>
    <row r="910" spans="1:9" hidden="1" outlineLevel="1" x14ac:dyDescent="0.3">
      <c r="A910" s="51" t="s">
        <v>138</v>
      </c>
      <c r="B910" s="51" t="s">
        <v>915</v>
      </c>
      <c r="C910" s="51" t="s">
        <v>801</v>
      </c>
      <c r="D910" s="55">
        <v>2326.4676938136004</v>
      </c>
      <c r="E910" s="55">
        <v>2703.4986593859926</v>
      </c>
      <c r="F910" s="55">
        <v>3141.6318484616181</v>
      </c>
      <c r="G910" s="55">
        <v>3650.7695822234891</v>
      </c>
      <c r="H910" s="55">
        <v>4242.4189673957917</v>
      </c>
      <c r="I910" s="51"/>
    </row>
    <row r="911" spans="1:9" hidden="1" outlineLevel="1" x14ac:dyDescent="0.3">
      <c r="A911" s="51" t="s">
        <v>138</v>
      </c>
      <c r="B911" s="51" t="s">
        <v>915</v>
      </c>
      <c r="C911" s="51" t="s">
        <v>804</v>
      </c>
      <c r="D911" s="55">
        <v>986.33241742827636</v>
      </c>
      <c r="E911" s="55">
        <v>1005.6656797007925</v>
      </c>
      <c r="F911" s="55">
        <v>1013.1031457599702</v>
      </c>
      <c r="G911" s="55">
        <v>1030.7114312260176</v>
      </c>
      <c r="H911" s="55">
        <v>1037.6390418046362</v>
      </c>
      <c r="I911" s="51"/>
    </row>
    <row r="912" spans="1:9" hidden="1" outlineLevel="1" x14ac:dyDescent="0.3">
      <c r="A912" s="51" t="s">
        <v>138</v>
      </c>
      <c r="B912" s="51" t="s">
        <v>915</v>
      </c>
      <c r="C912" s="51" t="s">
        <v>806</v>
      </c>
      <c r="D912" s="55">
        <v>2961.2349888619578</v>
      </c>
      <c r="E912" s="55">
        <v>3441.1373275474439</v>
      </c>
      <c r="F912" s="55">
        <v>3998.8133841384815</v>
      </c>
      <c r="G912" s="55">
        <v>4646.8672880781996</v>
      </c>
      <c r="H912" s="55">
        <v>5399.9458135912473</v>
      </c>
      <c r="I912" s="51"/>
    </row>
    <row r="913" spans="1:9" hidden="1" outlineLevel="1" x14ac:dyDescent="0.3">
      <c r="A913" s="51" t="s">
        <v>138</v>
      </c>
      <c r="B913" s="51" t="s">
        <v>915</v>
      </c>
      <c r="C913" s="51" t="s">
        <v>808</v>
      </c>
      <c r="D913" s="55">
        <v>1897.3552331207691</v>
      </c>
      <c r="E913" s="55">
        <v>2049.9162838917769</v>
      </c>
      <c r="F913" s="55">
        <v>2049.9162838917769</v>
      </c>
      <c r="G913" s="55">
        <v>2049.9162838917769</v>
      </c>
      <c r="H913" s="55">
        <v>2049.9162838917769</v>
      </c>
      <c r="I913" s="51"/>
    </row>
    <row r="914" spans="1:9" hidden="1" outlineLevel="1" x14ac:dyDescent="0.3">
      <c r="A914" s="51" t="s">
        <v>138</v>
      </c>
      <c r="B914" s="51" t="s">
        <v>915</v>
      </c>
      <c r="C914" s="51" t="s">
        <v>811</v>
      </c>
      <c r="D914" s="55">
        <v>0</v>
      </c>
      <c r="E914" s="55">
        <v>0</v>
      </c>
      <c r="F914" s="55">
        <v>0</v>
      </c>
      <c r="G914" s="55">
        <v>0</v>
      </c>
      <c r="H914" s="55">
        <v>0</v>
      </c>
      <c r="I914" s="51"/>
    </row>
    <row r="915" spans="1:9" hidden="1" outlineLevel="1" x14ac:dyDescent="0.3">
      <c r="A915" s="51" t="s">
        <v>138</v>
      </c>
      <c r="B915" s="51" t="s">
        <v>934</v>
      </c>
      <c r="C915" s="51" t="s">
        <v>814</v>
      </c>
      <c r="D915" s="55">
        <v>2399.5415433945277</v>
      </c>
      <c r="E915" s="55">
        <v>2788.4149704542856</v>
      </c>
      <c r="F915" s="55">
        <v>3240.3098287076355</v>
      </c>
      <c r="G915" s="55">
        <v>3765.4394691148564</v>
      </c>
      <c r="H915" s="55">
        <v>2270.5379297458026</v>
      </c>
      <c r="I915" s="51"/>
    </row>
    <row r="916" spans="1:9" hidden="1" outlineLevel="1" x14ac:dyDescent="0.3">
      <c r="A916" s="51" t="s">
        <v>138</v>
      </c>
      <c r="B916" s="51" t="s">
        <v>934</v>
      </c>
      <c r="C916" s="51" t="s">
        <v>815</v>
      </c>
      <c r="D916" s="55">
        <v>0</v>
      </c>
      <c r="E916" s="55">
        <v>0</v>
      </c>
      <c r="F916" s="55">
        <v>0</v>
      </c>
      <c r="G916" s="55">
        <v>0</v>
      </c>
      <c r="H916" s="55">
        <v>0</v>
      </c>
      <c r="I916" s="51"/>
    </row>
    <row r="917" spans="1:9" hidden="1" outlineLevel="1" x14ac:dyDescent="0.3">
      <c r="A917" s="51" t="s">
        <v>138</v>
      </c>
      <c r="B917" s="51" t="s">
        <v>940</v>
      </c>
      <c r="C917" s="51" t="s">
        <v>817</v>
      </c>
      <c r="D917" s="55">
        <v>975.10631366695213</v>
      </c>
      <c r="E917" s="55">
        <v>1133.1335564071831</v>
      </c>
      <c r="F917" s="55">
        <v>1316.7709393937314</v>
      </c>
      <c r="G917" s="55">
        <v>1530.1688817066415</v>
      </c>
      <c r="H917" s="55">
        <v>1778.1504257842987</v>
      </c>
      <c r="I917" s="51"/>
    </row>
    <row r="918" spans="1:9" hidden="1" outlineLevel="1" x14ac:dyDescent="0.3">
      <c r="A918" s="51" t="s">
        <v>138</v>
      </c>
      <c r="B918" s="51" t="s">
        <v>940</v>
      </c>
      <c r="C918" s="51" t="s">
        <v>944</v>
      </c>
      <c r="D918" s="55">
        <v>1096.2961089493253</v>
      </c>
      <c r="E918" s="55">
        <v>1273.963558022245</v>
      </c>
      <c r="F918" s="55">
        <v>1480.4240696650306</v>
      </c>
      <c r="G918" s="55">
        <v>1720.3438922899727</v>
      </c>
      <c r="H918" s="55">
        <v>1999.1454937699477</v>
      </c>
      <c r="I918" s="51"/>
    </row>
    <row r="919" spans="1:9" hidden="1" outlineLevel="1" x14ac:dyDescent="0.3">
      <c r="A919" s="51" t="s">
        <v>138</v>
      </c>
      <c r="B919" s="51" t="s">
        <v>940</v>
      </c>
      <c r="C919" s="51" t="s">
        <v>821</v>
      </c>
      <c r="D919" s="55">
        <v>594.77796784834209</v>
      </c>
      <c r="E919" s="55">
        <v>691.16860852448679</v>
      </c>
      <c r="F919" s="55">
        <v>803.18046604490894</v>
      </c>
      <c r="G919" s="55">
        <v>933.34513905844221</v>
      </c>
      <c r="H919" s="55">
        <v>1084.6045010204648</v>
      </c>
      <c r="I919" s="51"/>
    </row>
    <row r="920" spans="1:9" hidden="1" outlineLevel="1" x14ac:dyDescent="0.3">
      <c r="A920" s="51" t="s">
        <v>138</v>
      </c>
      <c r="B920" s="51" t="s">
        <v>940</v>
      </c>
      <c r="C920" s="51" t="s">
        <v>823</v>
      </c>
      <c r="D920" s="55">
        <v>0</v>
      </c>
      <c r="E920" s="55">
        <v>0</v>
      </c>
      <c r="F920" s="55">
        <v>0</v>
      </c>
      <c r="G920" s="55">
        <v>0</v>
      </c>
      <c r="H920" s="55">
        <v>0</v>
      </c>
      <c r="I920" s="51"/>
    </row>
    <row r="921" spans="1:9" hidden="1" outlineLevel="1" x14ac:dyDescent="0.3">
      <c r="A921" s="51" t="s">
        <v>138</v>
      </c>
      <c r="B921" s="51" t="s">
        <v>940</v>
      </c>
      <c r="C921" s="51" t="s">
        <v>825</v>
      </c>
      <c r="D921" s="55">
        <v>1052.8835515953631</v>
      </c>
      <c r="E921" s="55">
        <v>1223.5154942390916</v>
      </c>
      <c r="F921" s="55">
        <v>1421.8003143603494</v>
      </c>
      <c r="G921" s="55">
        <v>1652.2194802055826</v>
      </c>
      <c r="H921" s="55">
        <v>1919.9807337213331</v>
      </c>
      <c r="I921" s="51"/>
    </row>
    <row r="922" spans="1:9" hidden="1" outlineLevel="1" x14ac:dyDescent="0.3">
      <c r="A922" s="51" t="s">
        <v>138</v>
      </c>
      <c r="B922" s="51" t="s">
        <v>940</v>
      </c>
      <c r="C922" s="51" t="s">
        <v>827</v>
      </c>
      <c r="D922" s="55">
        <v>0</v>
      </c>
      <c r="E922" s="55">
        <v>0</v>
      </c>
      <c r="F922" s="55">
        <v>0</v>
      </c>
      <c r="G922" s="55">
        <v>0</v>
      </c>
      <c r="H922" s="55">
        <v>0</v>
      </c>
      <c r="I922" s="51"/>
    </row>
    <row r="923" spans="1:9" hidden="1" outlineLevel="1" x14ac:dyDescent="0.3">
      <c r="A923" s="51" t="s">
        <v>138</v>
      </c>
      <c r="B923" s="51" t="s">
        <v>940</v>
      </c>
      <c r="C923" s="51" t="s">
        <v>829</v>
      </c>
      <c r="D923" s="55">
        <v>1445.9862314542306</v>
      </c>
      <c r="E923" s="55">
        <v>1657.7487356842666</v>
      </c>
      <c r="F923" s="55">
        <v>1915.3238681694575</v>
      </c>
      <c r="G923" s="55">
        <v>2211.6228032695476</v>
      </c>
      <c r="H923" s="55">
        <v>1541.7632574539939</v>
      </c>
      <c r="I923" s="51"/>
    </row>
    <row r="924" spans="1:9" hidden="1" outlineLevel="1" x14ac:dyDescent="0.3">
      <c r="A924" s="51" t="s">
        <v>138</v>
      </c>
      <c r="B924" s="51" t="s">
        <v>940</v>
      </c>
      <c r="C924" s="51" t="s">
        <v>833</v>
      </c>
      <c r="D924" s="55">
        <v>663.11415989900263</v>
      </c>
      <c r="E924" s="55">
        <v>770.57946992942777</v>
      </c>
      <c r="F924" s="55">
        <v>895.46077490964308</v>
      </c>
      <c r="G924" s="55">
        <v>1040.5805380140928</v>
      </c>
      <c r="H924" s="55">
        <v>1209.2186351802625</v>
      </c>
      <c r="I924" s="51"/>
    </row>
    <row r="925" spans="1:9" hidden="1" outlineLevel="1" x14ac:dyDescent="0.3">
      <c r="A925" s="51" t="s">
        <v>138</v>
      </c>
      <c r="B925" s="51" t="s">
        <v>940</v>
      </c>
      <c r="C925" s="51" t="s">
        <v>836</v>
      </c>
      <c r="D925" s="55">
        <v>1072.633727496175</v>
      </c>
      <c r="E925" s="55">
        <v>1252.38740465607</v>
      </c>
      <c r="F925" s="55">
        <v>1454.2861358218574</v>
      </c>
      <c r="G925" s="55">
        <v>1689.712033020448</v>
      </c>
      <c r="H925" s="55">
        <v>1964.3729825969722</v>
      </c>
      <c r="I925" s="51"/>
    </row>
    <row r="926" spans="1:9" hidden="1" outlineLevel="1" x14ac:dyDescent="0.3">
      <c r="A926" s="51" t="s">
        <v>138</v>
      </c>
      <c r="B926" s="51" t="s">
        <v>940</v>
      </c>
      <c r="C926" s="51" t="s">
        <v>837</v>
      </c>
      <c r="D926" s="55">
        <v>1991.2807973860997</v>
      </c>
      <c r="E926" s="55">
        <v>2313.990854250701</v>
      </c>
      <c r="F926" s="55">
        <v>2688.9998038371414</v>
      </c>
      <c r="G926" s="55">
        <v>3124.7832858775846</v>
      </c>
      <c r="H926" s="55">
        <v>3631.190515434967</v>
      </c>
      <c r="I926" s="51"/>
    </row>
    <row r="927" spans="1:9" hidden="1" outlineLevel="1" x14ac:dyDescent="0.3">
      <c r="A927" s="51" t="s">
        <v>138</v>
      </c>
      <c r="B927" s="51" t="s">
        <v>940</v>
      </c>
      <c r="C927" s="51" t="s">
        <v>839</v>
      </c>
      <c r="D927" s="55">
        <v>981.1762911678851</v>
      </c>
      <c r="E927" s="55">
        <v>1135.7839177574672</v>
      </c>
      <c r="F927" s="55">
        <v>1314.5544772333349</v>
      </c>
      <c r="G927" s="55">
        <v>1523.0781953969201</v>
      </c>
      <c r="H927" s="55">
        <v>1769.5615990435836</v>
      </c>
      <c r="I927" s="51"/>
    </row>
    <row r="928" spans="1:9" hidden="1" outlineLevel="1" x14ac:dyDescent="0.3">
      <c r="A928" s="51" t="s">
        <v>138</v>
      </c>
      <c r="B928" s="51" t="s">
        <v>940</v>
      </c>
      <c r="C928" s="51" t="s">
        <v>840</v>
      </c>
      <c r="D928" s="55">
        <v>0</v>
      </c>
      <c r="E928" s="55">
        <v>0</v>
      </c>
      <c r="F928" s="55">
        <v>0</v>
      </c>
      <c r="G928" s="55">
        <v>0</v>
      </c>
      <c r="H928" s="55">
        <v>0</v>
      </c>
      <c r="I928" s="51"/>
    </row>
    <row r="929" spans="1:9" collapsed="1" x14ac:dyDescent="0.3">
      <c r="A929" s="53"/>
      <c r="B929" s="53"/>
      <c r="C929" s="53"/>
      <c r="D929" s="544"/>
      <c r="E929" s="544"/>
      <c r="F929" s="544"/>
      <c r="G929" s="544"/>
      <c r="H929" s="544"/>
      <c r="I929" s="545"/>
    </row>
  </sheetData>
  <mergeCells count="7">
    <mergeCell ref="A654:H654"/>
    <mergeCell ref="A2:E2"/>
    <mergeCell ref="A3:H3"/>
    <mergeCell ref="A4:H4"/>
    <mergeCell ref="A190:I190"/>
    <mergeCell ref="A191:I191"/>
    <mergeCell ref="A653:H653"/>
  </mergeCells>
  <hyperlinks>
    <hyperlink ref="I309" r:id="rId1" xr:uid="{DC15C857-3A1C-4606-AD00-0DF20569B535}"/>
  </hyperlinks>
  <pageMargins left="0.7" right="0.7" top="0.75" bottom="0.75" header="0.3" footer="0.3"/>
  <pageSetup orientation="portrait" r:id="rId2"/>
  <legacy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6A3A-86FA-426B-8546-495E96C7BD26}">
  <sheetPr codeName="Sheet11">
    <tabColor theme="9"/>
  </sheetPr>
  <dimension ref="A1:AS1979"/>
  <sheetViews>
    <sheetView tabSelected="1" topLeftCell="A2" zoomScale="60" zoomScaleNormal="60" workbookViewId="0">
      <selection activeCell="A191" sqref="A191"/>
    </sheetView>
  </sheetViews>
  <sheetFormatPr defaultColWidth="9.109375" defaultRowHeight="14.4" outlineLevelRow="1" x14ac:dyDescent="0.3"/>
  <cols>
    <col min="1" max="1" width="103.77734375" bestFit="1" customWidth="1"/>
    <col min="2" max="2" width="57.6640625" customWidth="1"/>
    <col min="3" max="3" width="61.33203125" customWidth="1"/>
    <col min="4" max="4" width="29.44140625" customWidth="1"/>
    <col min="5" max="5" width="15.5546875" bestFit="1" customWidth="1"/>
    <col min="6" max="6" width="11.44140625" customWidth="1"/>
    <col min="7" max="7" width="13.33203125" bestFit="1" customWidth="1"/>
    <col min="8" max="8" width="22.33203125" customWidth="1"/>
    <col min="9" max="9" width="23.44140625" customWidth="1"/>
    <col min="10" max="10" width="22.33203125" style="70" customWidth="1"/>
    <col min="11" max="13" width="22.33203125" customWidth="1"/>
    <col min="14" max="14" width="25.6640625" customWidth="1"/>
    <col min="15" max="15" width="14.88671875" bestFit="1" customWidth="1"/>
    <col min="16" max="16" width="16.5546875" customWidth="1"/>
    <col min="17" max="17" width="9.109375" customWidth="1"/>
    <col min="18" max="18" width="36" bestFit="1" customWidth="1"/>
    <col min="19" max="45" width="9.109375" customWidth="1"/>
  </cols>
  <sheetData>
    <row r="1" spans="1:17" ht="25.8" hidden="1" x14ac:dyDescent="0.5">
      <c r="A1" s="74" t="s">
        <v>5945</v>
      </c>
      <c r="B1" s="74"/>
      <c r="C1" s="70"/>
      <c r="D1" s="70"/>
      <c r="E1" s="70"/>
      <c r="F1" s="70"/>
      <c r="G1" s="70"/>
      <c r="H1" s="70"/>
      <c r="I1" s="70"/>
      <c r="J1" s="320"/>
      <c r="K1" s="546"/>
      <c r="O1" s="1"/>
    </row>
    <row r="2" spans="1:17" ht="117.6" customHeight="1" x14ac:dyDescent="0.3">
      <c r="A2" s="559" t="s">
        <v>5946</v>
      </c>
      <c r="B2" s="559"/>
      <c r="C2" s="587"/>
      <c r="D2" s="587"/>
      <c r="E2" s="70"/>
      <c r="F2" s="70"/>
      <c r="G2" s="70"/>
      <c r="H2" s="70"/>
      <c r="I2" s="70"/>
      <c r="J2" s="320"/>
      <c r="K2" s="546"/>
      <c r="O2" s="1"/>
    </row>
    <row r="3" spans="1:17" x14ac:dyDescent="0.3">
      <c r="A3" s="70"/>
      <c r="B3" s="70"/>
      <c r="C3" s="70"/>
      <c r="D3" s="70"/>
      <c r="E3" s="70"/>
      <c r="F3" s="70"/>
      <c r="G3" s="70"/>
      <c r="H3" s="70"/>
      <c r="I3" s="70"/>
      <c r="J3"/>
    </row>
    <row r="4" spans="1:17" ht="25.8" x14ac:dyDescent="0.5">
      <c r="A4" s="562" t="s">
        <v>5947</v>
      </c>
      <c r="B4" s="562"/>
      <c r="C4" s="567"/>
      <c r="D4" s="567"/>
      <c r="E4" s="567"/>
      <c r="F4" s="567"/>
      <c r="G4" s="567"/>
      <c r="H4" s="567"/>
      <c r="I4" s="567"/>
      <c r="J4"/>
    </row>
    <row r="5" spans="1:17" x14ac:dyDescent="0.3">
      <c r="A5" s="557" t="s">
        <v>5948</v>
      </c>
      <c r="B5" s="557"/>
      <c r="C5" s="557"/>
      <c r="D5" s="557"/>
      <c r="E5" s="557"/>
      <c r="F5" s="557"/>
      <c r="G5" s="557"/>
      <c r="H5" s="557"/>
      <c r="I5" s="557"/>
      <c r="J5"/>
    </row>
    <row r="6" spans="1:17" x14ac:dyDescent="0.3">
      <c r="A6" s="557"/>
      <c r="B6" s="557"/>
      <c r="C6" s="557"/>
      <c r="D6" s="557"/>
      <c r="E6" s="557"/>
      <c r="F6" s="557"/>
      <c r="G6" s="557"/>
      <c r="H6" s="557"/>
      <c r="I6" s="557"/>
      <c r="J6" s="320"/>
      <c r="K6" s="546"/>
    </row>
    <row r="7" spans="1:17" x14ac:dyDescent="0.3">
      <c r="A7" s="274" t="s">
        <v>6015</v>
      </c>
      <c r="B7" s="274"/>
      <c r="C7" s="299" t="s">
        <v>3973</v>
      </c>
      <c r="D7" s="547">
        <v>0</v>
      </c>
      <c r="E7" s="547">
        <v>0</v>
      </c>
      <c r="F7" s="547">
        <v>0</v>
      </c>
      <c r="G7" s="547">
        <v>0</v>
      </c>
      <c r="H7" s="547">
        <v>0</v>
      </c>
      <c r="I7" s="275"/>
      <c r="J7"/>
    </row>
    <row r="8" spans="1:17" x14ac:dyDescent="0.3">
      <c r="A8" s="548" t="s">
        <v>5</v>
      </c>
      <c r="B8" s="548" t="s">
        <v>847</v>
      </c>
      <c r="C8" s="548" t="s">
        <v>193</v>
      </c>
      <c r="D8" s="549">
        <v>2025</v>
      </c>
      <c r="E8" s="549">
        <v>2030</v>
      </c>
      <c r="F8" s="549">
        <v>2035</v>
      </c>
      <c r="G8" s="549">
        <v>2040</v>
      </c>
      <c r="H8" s="549">
        <v>2045</v>
      </c>
      <c r="I8" s="550" t="s">
        <v>153</v>
      </c>
      <c r="J8"/>
    </row>
    <row r="9" spans="1:17" hidden="1" outlineLevel="1" x14ac:dyDescent="0.3">
      <c r="A9" s="276" t="s">
        <v>6015</v>
      </c>
      <c r="B9" s="276" t="s">
        <v>855</v>
      </c>
      <c r="C9" s="276" t="s">
        <v>747</v>
      </c>
      <c r="D9" s="547">
        <v>0</v>
      </c>
      <c r="E9" s="547">
        <v>0</v>
      </c>
      <c r="F9" s="547">
        <v>0</v>
      </c>
      <c r="G9" s="547">
        <v>0</v>
      </c>
      <c r="H9" s="547">
        <v>0</v>
      </c>
      <c r="I9" s="275"/>
      <c r="J9" s="37"/>
      <c r="L9" s="37"/>
      <c r="M9" s="37"/>
      <c r="N9" s="37"/>
      <c r="O9" s="37"/>
      <c r="P9" s="37"/>
      <c r="Q9" s="37"/>
    </row>
    <row r="10" spans="1:17" hidden="1" outlineLevel="1" x14ac:dyDescent="0.3">
      <c r="A10" s="276" t="s">
        <v>6015</v>
      </c>
      <c r="B10" s="276" t="s">
        <v>855</v>
      </c>
      <c r="C10" s="276" t="s">
        <v>751</v>
      </c>
      <c r="D10" s="547">
        <v>0</v>
      </c>
      <c r="E10" s="547">
        <v>0</v>
      </c>
      <c r="F10" s="547">
        <v>0</v>
      </c>
      <c r="G10" s="547">
        <v>0</v>
      </c>
      <c r="H10" s="547">
        <v>0</v>
      </c>
      <c r="I10" s="275"/>
      <c r="J10" s="37"/>
      <c r="K10" s="37"/>
      <c r="L10" s="37"/>
      <c r="M10" s="37"/>
      <c r="N10" s="37"/>
      <c r="O10" s="37"/>
      <c r="P10" s="37"/>
      <c r="Q10" s="37"/>
    </row>
    <row r="11" spans="1:17" hidden="1" outlineLevel="1" x14ac:dyDescent="0.3">
      <c r="A11" s="276" t="s">
        <v>6015</v>
      </c>
      <c r="B11" s="276" t="s">
        <v>855</v>
      </c>
      <c r="C11" s="276" t="s">
        <v>755</v>
      </c>
      <c r="D11" s="547">
        <v>0</v>
      </c>
      <c r="E11" s="547">
        <v>0</v>
      </c>
      <c r="F11" s="547">
        <v>0</v>
      </c>
      <c r="G11" s="547">
        <v>0</v>
      </c>
      <c r="H11" s="547">
        <v>0</v>
      </c>
      <c r="I11" s="275"/>
      <c r="J11" s="37"/>
      <c r="K11" s="37"/>
      <c r="L11" s="37"/>
      <c r="M11" s="37"/>
      <c r="N11" s="37"/>
      <c r="O11" s="37"/>
      <c r="P11" s="37"/>
      <c r="Q11" s="37"/>
    </row>
    <row r="12" spans="1:17" hidden="1" outlineLevel="1" x14ac:dyDescent="0.3">
      <c r="A12" s="276" t="s">
        <v>6015</v>
      </c>
      <c r="B12" s="276" t="s">
        <v>855</v>
      </c>
      <c r="C12" s="276" t="s">
        <v>758</v>
      </c>
      <c r="D12" s="547">
        <v>0</v>
      </c>
      <c r="E12" s="547">
        <v>0</v>
      </c>
      <c r="F12" s="547">
        <v>0</v>
      </c>
      <c r="G12" s="547">
        <v>0</v>
      </c>
      <c r="H12" s="547">
        <v>0</v>
      </c>
      <c r="I12" s="275"/>
      <c r="J12" s="37"/>
      <c r="K12" s="37"/>
      <c r="L12" s="37"/>
      <c r="M12" s="37"/>
      <c r="N12" s="37"/>
      <c r="O12" s="37"/>
      <c r="P12" s="37"/>
      <c r="Q12" s="37"/>
    </row>
    <row r="13" spans="1:17" hidden="1" outlineLevel="1" x14ac:dyDescent="0.3">
      <c r="A13" s="276" t="s">
        <v>6015</v>
      </c>
      <c r="B13" s="276" t="s">
        <v>855</v>
      </c>
      <c r="C13" s="276" t="s">
        <v>761</v>
      </c>
      <c r="D13" s="547">
        <v>0</v>
      </c>
      <c r="E13" s="547">
        <v>0</v>
      </c>
      <c r="F13" s="547">
        <v>0</v>
      </c>
      <c r="G13" s="547">
        <v>0</v>
      </c>
      <c r="H13" s="547">
        <v>0</v>
      </c>
      <c r="I13" s="275"/>
      <c r="J13" s="37"/>
      <c r="K13" s="37"/>
      <c r="L13" s="37"/>
      <c r="M13" s="37"/>
      <c r="N13" s="37"/>
      <c r="O13" s="37"/>
      <c r="P13" s="37"/>
      <c r="Q13" s="37"/>
    </row>
    <row r="14" spans="1:17" hidden="1" outlineLevel="1" x14ac:dyDescent="0.3">
      <c r="A14" s="276" t="s">
        <v>6015</v>
      </c>
      <c r="B14" s="276" t="s">
        <v>855</v>
      </c>
      <c r="C14" s="276" t="s">
        <v>763</v>
      </c>
      <c r="D14" s="547">
        <v>0</v>
      </c>
      <c r="E14" s="547">
        <v>0</v>
      </c>
      <c r="F14" s="547">
        <v>0</v>
      </c>
      <c r="G14" s="547">
        <v>0</v>
      </c>
      <c r="H14" s="547">
        <v>0</v>
      </c>
      <c r="I14" s="275"/>
      <c r="J14" s="37"/>
      <c r="K14" s="37"/>
      <c r="L14" s="37"/>
      <c r="M14" s="37"/>
      <c r="N14" s="37"/>
      <c r="O14" s="37"/>
      <c r="P14" s="37"/>
      <c r="Q14" s="37"/>
    </row>
    <row r="15" spans="1:17" hidden="1" outlineLevel="1" x14ac:dyDescent="0.3">
      <c r="A15" s="276" t="s">
        <v>6015</v>
      </c>
      <c r="B15" s="276" t="s">
        <v>855</v>
      </c>
      <c r="C15" s="276" t="s">
        <v>765</v>
      </c>
      <c r="D15" s="547">
        <v>0</v>
      </c>
      <c r="E15" s="547">
        <v>0</v>
      </c>
      <c r="F15" s="547">
        <v>0</v>
      </c>
      <c r="G15" s="547">
        <v>0</v>
      </c>
      <c r="H15" s="547">
        <v>0</v>
      </c>
      <c r="I15" s="275"/>
      <c r="J15" s="37"/>
      <c r="L15" s="37"/>
      <c r="M15" s="37"/>
      <c r="N15" s="37"/>
      <c r="O15" s="37"/>
      <c r="P15" s="37"/>
      <c r="Q15" s="37"/>
    </row>
    <row r="16" spans="1:17" hidden="1" outlineLevel="1" x14ac:dyDescent="0.3">
      <c r="A16" s="276" t="s">
        <v>6015</v>
      </c>
      <c r="B16" s="276" t="s">
        <v>855</v>
      </c>
      <c r="C16" s="276" t="s">
        <v>768</v>
      </c>
      <c r="D16" s="547">
        <v>0</v>
      </c>
      <c r="E16" s="547">
        <v>0</v>
      </c>
      <c r="F16" s="547">
        <v>0</v>
      </c>
      <c r="G16" s="547">
        <v>0</v>
      </c>
      <c r="H16" s="547">
        <v>0</v>
      </c>
      <c r="I16" s="275"/>
      <c r="J16" s="37"/>
      <c r="K16" s="251"/>
      <c r="L16" s="37"/>
      <c r="M16" s="37"/>
      <c r="N16" s="37"/>
      <c r="O16" s="37"/>
      <c r="P16" s="37"/>
      <c r="Q16" s="37"/>
    </row>
    <row r="17" spans="1:17" hidden="1" outlineLevel="1" x14ac:dyDescent="0.3">
      <c r="A17" s="276" t="s">
        <v>6015</v>
      </c>
      <c r="B17" s="276" t="s">
        <v>855</v>
      </c>
      <c r="C17" s="276" t="s">
        <v>771</v>
      </c>
      <c r="D17" s="547">
        <v>0</v>
      </c>
      <c r="E17" s="547">
        <v>0</v>
      </c>
      <c r="F17" s="547">
        <v>0</v>
      </c>
      <c r="G17" s="547">
        <v>0</v>
      </c>
      <c r="H17" s="547">
        <v>0</v>
      </c>
      <c r="I17" s="275"/>
      <c r="J17" s="37"/>
      <c r="K17" s="37"/>
      <c r="L17" s="37"/>
      <c r="M17" s="37"/>
      <c r="N17" s="37"/>
      <c r="O17" s="37"/>
      <c r="P17" s="37"/>
      <c r="Q17" s="37"/>
    </row>
    <row r="18" spans="1:17" hidden="1" outlineLevel="1" x14ac:dyDescent="0.3">
      <c r="A18" s="276" t="s">
        <v>6015</v>
      </c>
      <c r="B18" s="276" t="s">
        <v>855</v>
      </c>
      <c r="C18" s="276" t="s">
        <v>772</v>
      </c>
      <c r="D18" s="547">
        <v>0</v>
      </c>
      <c r="E18" s="547">
        <v>0</v>
      </c>
      <c r="F18" s="547">
        <v>0</v>
      </c>
      <c r="G18" s="547">
        <v>0</v>
      </c>
      <c r="H18" s="547">
        <v>0</v>
      </c>
      <c r="I18" s="275" t="s">
        <v>5949</v>
      </c>
      <c r="J18" s="37"/>
      <c r="K18" s="37"/>
      <c r="L18" s="37"/>
      <c r="M18" s="37"/>
      <c r="N18" s="37"/>
      <c r="O18" s="37"/>
      <c r="P18" s="37"/>
      <c r="Q18" s="37"/>
    </row>
    <row r="19" spans="1:17" hidden="1" outlineLevel="1" x14ac:dyDescent="0.3">
      <c r="A19" s="276" t="s">
        <v>6015</v>
      </c>
      <c r="B19" s="276" t="s">
        <v>855</v>
      </c>
      <c r="C19" s="276" t="s">
        <v>774</v>
      </c>
      <c r="D19" s="547">
        <v>0</v>
      </c>
      <c r="E19" s="547">
        <v>0</v>
      </c>
      <c r="F19" s="547">
        <v>0</v>
      </c>
      <c r="G19" s="547">
        <v>0</v>
      </c>
      <c r="H19" s="547">
        <v>0</v>
      </c>
      <c r="I19" s="275"/>
      <c r="J19" s="37"/>
      <c r="K19" s="37"/>
      <c r="L19" s="37"/>
      <c r="M19" s="37"/>
      <c r="N19" s="37"/>
      <c r="O19" s="37"/>
      <c r="P19" s="37"/>
      <c r="Q19" s="37"/>
    </row>
    <row r="20" spans="1:17" hidden="1" outlineLevel="1" x14ac:dyDescent="0.3">
      <c r="A20" s="276" t="s">
        <v>6015</v>
      </c>
      <c r="B20" s="276" t="s">
        <v>855</v>
      </c>
      <c r="C20" s="276" t="s">
        <v>775</v>
      </c>
      <c r="D20" s="547">
        <v>0</v>
      </c>
      <c r="E20" s="547">
        <v>0</v>
      </c>
      <c r="F20" s="547">
        <v>0</v>
      </c>
      <c r="G20" s="547">
        <v>0</v>
      </c>
      <c r="H20" s="547">
        <v>0</v>
      </c>
      <c r="I20" s="275"/>
      <c r="J20" s="37"/>
      <c r="K20" s="37"/>
      <c r="L20" s="37"/>
      <c r="M20" s="37"/>
      <c r="N20" s="37"/>
      <c r="O20" s="37"/>
      <c r="P20" s="37"/>
      <c r="Q20" s="37"/>
    </row>
    <row r="21" spans="1:17" hidden="1" outlineLevel="1" x14ac:dyDescent="0.3">
      <c r="A21" s="276" t="s">
        <v>6015</v>
      </c>
      <c r="B21" s="276" t="s">
        <v>855</v>
      </c>
      <c r="C21" s="276" t="s">
        <v>779</v>
      </c>
      <c r="D21" s="547">
        <v>0</v>
      </c>
      <c r="E21" s="547">
        <v>0</v>
      </c>
      <c r="F21" s="547">
        <v>0</v>
      </c>
      <c r="G21" s="547">
        <v>0</v>
      </c>
      <c r="H21" s="547">
        <v>0</v>
      </c>
      <c r="I21" s="275"/>
      <c r="J21" s="37"/>
      <c r="K21" s="37"/>
      <c r="L21" s="37"/>
      <c r="M21" s="37"/>
      <c r="N21" s="37"/>
      <c r="O21" s="37"/>
      <c r="P21" s="37"/>
      <c r="Q21" s="37"/>
    </row>
    <row r="22" spans="1:17" hidden="1" outlineLevel="1" x14ac:dyDescent="0.3">
      <c r="A22" s="276" t="s">
        <v>6015</v>
      </c>
      <c r="B22" s="276" t="s">
        <v>894</v>
      </c>
      <c r="C22" s="276" t="s">
        <v>781</v>
      </c>
      <c r="D22" s="547">
        <v>0</v>
      </c>
      <c r="E22" s="547">
        <v>0</v>
      </c>
      <c r="F22" s="547">
        <v>0</v>
      </c>
      <c r="G22" s="547">
        <v>0</v>
      </c>
      <c r="H22" s="547">
        <v>0</v>
      </c>
      <c r="I22" s="275"/>
      <c r="J22" s="37"/>
      <c r="K22" s="37"/>
      <c r="L22" s="37"/>
      <c r="M22" s="37"/>
      <c r="N22" s="37"/>
      <c r="O22" s="37"/>
      <c r="P22" s="37"/>
      <c r="Q22" s="37"/>
    </row>
    <row r="23" spans="1:17" hidden="1" outlineLevel="1" x14ac:dyDescent="0.3">
      <c r="A23" s="276" t="s">
        <v>6015</v>
      </c>
      <c r="B23" s="276" t="s">
        <v>894</v>
      </c>
      <c r="C23" s="276" t="s">
        <v>783</v>
      </c>
      <c r="D23" s="547">
        <v>0</v>
      </c>
      <c r="E23" s="547">
        <v>0</v>
      </c>
      <c r="F23" s="547">
        <v>0</v>
      </c>
      <c r="G23" s="547">
        <v>0</v>
      </c>
      <c r="H23" s="547">
        <v>0</v>
      </c>
      <c r="I23" s="275"/>
      <c r="J23" s="37"/>
      <c r="K23" s="37"/>
      <c r="L23" s="37"/>
      <c r="M23" s="37"/>
      <c r="N23" s="37"/>
      <c r="O23" s="37"/>
      <c r="P23" s="37"/>
      <c r="Q23" s="37"/>
    </row>
    <row r="24" spans="1:17" hidden="1" outlineLevel="1" x14ac:dyDescent="0.3">
      <c r="A24" s="276" t="s">
        <v>6015</v>
      </c>
      <c r="B24" s="276" t="s">
        <v>894</v>
      </c>
      <c r="C24" s="276" t="s">
        <v>785</v>
      </c>
      <c r="D24" s="547">
        <v>0</v>
      </c>
      <c r="E24" s="547">
        <v>0</v>
      </c>
      <c r="F24" s="547">
        <v>0</v>
      </c>
      <c r="G24" s="547">
        <v>0</v>
      </c>
      <c r="H24" s="547">
        <v>0</v>
      </c>
      <c r="I24" s="275" t="s">
        <v>5950</v>
      </c>
      <c r="J24" s="37"/>
      <c r="K24" s="37"/>
      <c r="L24" s="37"/>
      <c r="M24" s="37"/>
      <c r="N24" s="37"/>
      <c r="O24" s="37"/>
      <c r="P24" s="37"/>
      <c r="Q24" s="37"/>
    </row>
    <row r="25" spans="1:17" hidden="1" outlineLevel="1" x14ac:dyDescent="0.3">
      <c r="A25" s="276" t="s">
        <v>6015</v>
      </c>
      <c r="B25" s="276" t="s">
        <v>894</v>
      </c>
      <c r="C25" s="276" t="s">
        <v>787</v>
      </c>
      <c r="D25" s="547">
        <v>0</v>
      </c>
      <c r="E25" s="547">
        <v>0</v>
      </c>
      <c r="F25" s="547">
        <v>0</v>
      </c>
      <c r="G25" s="547">
        <v>0</v>
      </c>
      <c r="H25" s="547">
        <v>0</v>
      </c>
      <c r="I25" s="275"/>
      <c r="J25" s="37"/>
      <c r="K25" s="37"/>
      <c r="L25" s="37"/>
      <c r="M25" s="37"/>
      <c r="N25" s="37"/>
      <c r="O25" s="37"/>
      <c r="P25" s="37"/>
      <c r="Q25" s="37"/>
    </row>
    <row r="26" spans="1:17" hidden="1" outlineLevel="1" x14ac:dyDescent="0.3">
      <c r="A26" s="276" t="s">
        <v>6015</v>
      </c>
      <c r="B26" s="276" t="s">
        <v>894</v>
      </c>
      <c r="C26" s="276" t="s">
        <v>788</v>
      </c>
      <c r="D26" s="547">
        <v>0</v>
      </c>
      <c r="E26" s="547">
        <v>0</v>
      </c>
      <c r="F26" s="547">
        <v>0</v>
      </c>
      <c r="G26" s="547">
        <v>0</v>
      </c>
      <c r="H26" s="547">
        <v>0</v>
      </c>
      <c r="I26" s="275"/>
      <c r="J26" s="37"/>
      <c r="K26" s="37"/>
      <c r="L26" s="37"/>
      <c r="M26" s="37"/>
      <c r="N26" s="37"/>
      <c r="O26" s="37"/>
      <c r="P26" s="37"/>
      <c r="Q26" s="37"/>
    </row>
    <row r="27" spans="1:17" hidden="1" outlineLevel="1" x14ac:dyDescent="0.3">
      <c r="A27" s="276" t="s">
        <v>6015</v>
      </c>
      <c r="B27" s="276" t="s">
        <v>894</v>
      </c>
      <c r="C27" s="276" t="s">
        <v>789</v>
      </c>
      <c r="D27" s="547">
        <v>0</v>
      </c>
      <c r="E27" s="547">
        <v>0</v>
      </c>
      <c r="F27" s="547">
        <v>0</v>
      </c>
      <c r="G27" s="547">
        <v>0</v>
      </c>
      <c r="H27" s="547">
        <v>0</v>
      </c>
      <c r="I27" s="275"/>
      <c r="J27" s="37"/>
      <c r="K27" s="37"/>
      <c r="L27" s="37"/>
      <c r="M27" s="37"/>
      <c r="N27" s="37"/>
      <c r="O27" s="37"/>
      <c r="P27" s="37"/>
      <c r="Q27" s="37"/>
    </row>
    <row r="28" spans="1:17" hidden="1" outlineLevel="1" x14ac:dyDescent="0.3">
      <c r="A28" s="276" t="s">
        <v>6015</v>
      </c>
      <c r="B28" s="276" t="s">
        <v>894</v>
      </c>
      <c r="C28" s="276" t="s">
        <v>790</v>
      </c>
      <c r="D28" s="547">
        <v>0</v>
      </c>
      <c r="E28" s="547">
        <v>0</v>
      </c>
      <c r="F28" s="547">
        <v>0</v>
      </c>
      <c r="G28" s="547">
        <v>0</v>
      </c>
      <c r="H28" s="547">
        <v>0</v>
      </c>
      <c r="I28" s="275"/>
      <c r="J28" s="37"/>
      <c r="K28" s="537"/>
      <c r="L28" s="37"/>
      <c r="M28" s="37"/>
      <c r="N28" s="37"/>
      <c r="O28" s="37"/>
      <c r="P28" s="37"/>
      <c r="Q28" s="37"/>
    </row>
    <row r="29" spans="1:17" hidden="1" outlineLevel="1" x14ac:dyDescent="0.3">
      <c r="A29" s="276" t="s">
        <v>6015</v>
      </c>
      <c r="B29" s="276" t="s">
        <v>894</v>
      </c>
      <c r="C29" s="276" t="s">
        <v>793</v>
      </c>
      <c r="D29" s="547">
        <v>0</v>
      </c>
      <c r="E29" s="547">
        <v>0</v>
      </c>
      <c r="F29" s="547">
        <v>0</v>
      </c>
      <c r="G29" s="547">
        <v>0</v>
      </c>
      <c r="H29" s="547">
        <v>0</v>
      </c>
      <c r="I29" s="275"/>
      <c r="J29" s="37"/>
      <c r="K29" s="37"/>
      <c r="L29" s="37"/>
      <c r="M29" s="37"/>
      <c r="N29" s="37"/>
      <c r="O29" s="37"/>
      <c r="P29" s="37"/>
      <c r="Q29" s="37"/>
    </row>
    <row r="30" spans="1:17" hidden="1" outlineLevel="1" x14ac:dyDescent="0.3">
      <c r="A30" s="276" t="s">
        <v>6015</v>
      </c>
      <c r="B30" s="276" t="s">
        <v>894</v>
      </c>
      <c r="C30" s="276" t="s">
        <v>795</v>
      </c>
      <c r="D30" s="547">
        <v>0</v>
      </c>
      <c r="E30" s="547">
        <v>0</v>
      </c>
      <c r="F30" s="547">
        <v>0</v>
      </c>
      <c r="G30" s="547">
        <v>0</v>
      </c>
      <c r="H30" s="547">
        <v>0</v>
      </c>
      <c r="I30" s="275"/>
      <c r="J30" s="37"/>
      <c r="L30" s="37"/>
      <c r="M30" s="37"/>
      <c r="N30" s="37"/>
      <c r="O30" s="37"/>
      <c r="P30" s="37"/>
      <c r="Q30" s="37"/>
    </row>
    <row r="31" spans="1:17" hidden="1" outlineLevel="1" x14ac:dyDescent="0.3">
      <c r="A31" s="276" t="s">
        <v>6015</v>
      </c>
      <c r="B31" s="276" t="s">
        <v>894</v>
      </c>
      <c r="C31" s="276" t="s">
        <v>797</v>
      </c>
      <c r="D31" s="547">
        <v>0</v>
      </c>
      <c r="E31" s="547">
        <v>0</v>
      </c>
      <c r="F31" s="547">
        <v>0</v>
      </c>
      <c r="G31" s="547">
        <v>0</v>
      </c>
      <c r="H31" s="547">
        <v>0</v>
      </c>
      <c r="I31" s="275" t="s">
        <v>5951</v>
      </c>
      <c r="J31" s="37"/>
      <c r="K31" s="37"/>
      <c r="L31" s="37"/>
      <c r="M31" s="37"/>
      <c r="N31" s="37"/>
      <c r="O31" s="37"/>
      <c r="P31" s="37"/>
      <c r="Q31" s="37"/>
    </row>
    <row r="32" spans="1:17" hidden="1" outlineLevel="1" x14ac:dyDescent="0.3">
      <c r="A32" s="276" t="s">
        <v>6015</v>
      </c>
      <c r="B32" s="276" t="s">
        <v>915</v>
      </c>
      <c r="C32" s="276" t="s">
        <v>799</v>
      </c>
      <c r="D32" s="547">
        <v>0</v>
      </c>
      <c r="E32" s="547">
        <v>0</v>
      </c>
      <c r="F32" s="547">
        <v>0</v>
      </c>
      <c r="G32" s="547">
        <v>0</v>
      </c>
      <c r="H32" s="547">
        <v>0</v>
      </c>
      <c r="I32" s="275"/>
      <c r="J32" s="37"/>
      <c r="K32" s="37"/>
      <c r="L32" s="37"/>
      <c r="M32" s="37"/>
      <c r="N32" s="37"/>
      <c r="O32" s="37"/>
      <c r="P32" s="37"/>
      <c r="Q32" s="37"/>
    </row>
    <row r="33" spans="1:17" hidden="1" outlineLevel="1" x14ac:dyDescent="0.3">
      <c r="A33" s="276" t="s">
        <v>6015</v>
      </c>
      <c r="B33" s="276" t="s">
        <v>915</v>
      </c>
      <c r="C33" s="276" t="s">
        <v>801</v>
      </c>
      <c r="D33" s="547">
        <v>0</v>
      </c>
      <c r="E33" s="547">
        <v>0</v>
      </c>
      <c r="F33" s="547">
        <v>0</v>
      </c>
      <c r="G33" s="547">
        <v>0</v>
      </c>
      <c r="H33" s="547">
        <v>0</v>
      </c>
      <c r="I33" s="275"/>
      <c r="J33" s="37"/>
      <c r="K33" s="37"/>
      <c r="L33" s="37"/>
      <c r="M33" s="37"/>
      <c r="N33" s="37"/>
      <c r="O33" s="37"/>
      <c r="P33" s="37"/>
      <c r="Q33" s="37"/>
    </row>
    <row r="34" spans="1:17" hidden="1" outlineLevel="1" x14ac:dyDescent="0.3">
      <c r="A34" s="276" t="s">
        <v>6015</v>
      </c>
      <c r="B34" s="276" t="s">
        <v>915</v>
      </c>
      <c r="C34" s="276" t="s">
        <v>804</v>
      </c>
      <c r="D34" s="547">
        <v>0</v>
      </c>
      <c r="E34" s="547">
        <v>0</v>
      </c>
      <c r="F34" s="547">
        <v>0</v>
      </c>
      <c r="G34" s="547">
        <v>0</v>
      </c>
      <c r="H34" s="547">
        <v>0</v>
      </c>
      <c r="I34" s="275"/>
      <c r="J34" s="37"/>
      <c r="K34" s="37"/>
      <c r="L34" s="37"/>
      <c r="M34" s="37"/>
      <c r="N34" s="37"/>
      <c r="O34" s="37"/>
      <c r="P34" s="37"/>
      <c r="Q34" s="37"/>
    </row>
    <row r="35" spans="1:17" hidden="1" outlineLevel="1" x14ac:dyDescent="0.3">
      <c r="A35" s="276" t="s">
        <v>6015</v>
      </c>
      <c r="B35" s="276" t="s">
        <v>915</v>
      </c>
      <c r="C35" s="276" t="s">
        <v>806</v>
      </c>
      <c r="D35" s="547">
        <v>0</v>
      </c>
      <c r="E35" s="547">
        <v>0</v>
      </c>
      <c r="F35" s="547">
        <v>0</v>
      </c>
      <c r="G35" s="547">
        <v>0</v>
      </c>
      <c r="H35" s="547">
        <v>0</v>
      </c>
      <c r="I35" s="275"/>
      <c r="J35" s="37"/>
      <c r="K35" s="37"/>
      <c r="L35" s="37"/>
      <c r="M35" s="37"/>
      <c r="N35" s="37"/>
      <c r="O35" s="37"/>
      <c r="P35" s="37"/>
      <c r="Q35" s="37"/>
    </row>
    <row r="36" spans="1:17" hidden="1" outlineLevel="1" x14ac:dyDescent="0.3">
      <c r="A36" s="276" t="s">
        <v>6015</v>
      </c>
      <c r="B36" s="276" t="s">
        <v>915</v>
      </c>
      <c r="C36" s="276" t="s">
        <v>808</v>
      </c>
      <c r="D36" s="547">
        <v>0</v>
      </c>
      <c r="E36" s="547">
        <v>0</v>
      </c>
      <c r="F36" s="547">
        <v>0</v>
      </c>
      <c r="G36" s="547">
        <v>0</v>
      </c>
      <c r="H36" s="547">
        <v>0</v>
      </c>
      <c r="I36" s="275"/>
      <c r="J36" s="37"/>
      <c r="K36" s="37"/>
      <c r="L36" s="37"/>
      <c r="M36" s="37"/>
      <c r="N36" s="37"/>
      <c r="O36" s="37"/>
      <c r="P36" s="37"/>
      <c r="Q36" s="37"/>
    </row>
    <row r="37" spans="1:17" hidden="1" outlineLevel="1" x14ac:dyDescent="0.3">
      <c r="A37" s="276" t="s">
        <v>6015</v>
      </c>
      <c r="B37" s="276" t="s">
        <v>915</v>
      </c>
      <c r="C37" s="276" t="s">
        <v>811</v>
      </c>
      <c r="D37" s="547">
        <v>0</v>
      </c>
      <c r="E37" s="547">
        <v>0</v>
      </c>
      <c r="F37" s="547">
        <v>0</v>
      </c>
      <c r="G37" s="547">
        <v>0</v>
      </c>
      <c r="H37" s="547">
        <v>0</v>
      </c>
      <c r="I37" s="275" t="s">
        <v>5952</v>
      </c>
      <c r="J37" s="37"/>
      <c r="K37" s="37"/>
      <c r="L37" s="37"/>
      <c r="M37" s="37"/>
      <c r="N37" s="37"/>
      <c r="O37" s="37"/>
      <c r="P37" s="37"/>
      <c r="Q37" s="37"/>
    </row>
    <row r="38" spans="1:17" hidden="1" outlineLevel="1" x14ac:dyDescent="0.3">
      <c r="A38" s="276" t="s">
        <v>6015</v>
      </c>
      <c r="B38" s="276" t="s">
        <v>934</v>
      </c>
      <c r="C38" s="276" t="s">
        <v>814</v>
      </c>
      <c r="D38" s="547">
        <v>0</v>
      </c>
      <c r="E38" s="547">
        <v>0</v>
      </c>
      <c r="F38" s="547">
        <v>0</v>
      </c>
      <c r="G38" s="547">
        <v>0</v>
      </c>
      <c r="H38" s="547">
        <v>0</v>
      </c>
      <c r="I38" s="275"/>
      <c r="J38" s="37"/>
      <c r="K38" s="37"/>
      <c r="L38" s="37"/>
      <c r="M38" s="37"/>
      <c r="N38" s="37"/>
      <c r="O38" s="37"/>
      <c r="P38" s="37"/>
      <c r="Q38" s="37"/>
    </row>
    <row r="39" spans="1:17" hidden="1" outlineLevel="1" x14ac:dyDescent="0.3">
      <c r="A39" s="276" t="s">
        <v>6015</v>
      </c>
      <c r="B39" s="276" t="s">
        <v>934</v>
      </c>
      <c r="C39" s="276" t="s">
        <v>815</v>
      </c>
      <c r="D39" s="547">
        <v>0</v>
      </c>
      <c r="E39" s="547">
        <v>0</v>
      </c>
      <c r="F39" s="547">
        <v>0</v>
      </c>
      <c r="G39" s="547">
        <v>0</v>
      </c>
      <c r="H39" s="547">
        <v>0</v>
      </c>
      <c r="I39" s="275"/>
      <c r="J39" s="37"/>
      <c r="K39" s="37"/>
      <c r="L39" s="37"/>
      <c r="M39" s="37"/>
      <c r="N39" s="37"/>
      <c r="O39" s="37"/>
      <c r="P39" s="37"/>
      <c r="Q39" s="37"/>
    </row>
    <row r="40" spans="1:17" hidden="1" outlineLevel="1" x14ac:dyDescent="0.3">
      <c r="A40" s="276" t="s">
        <v>6015</v>
      </c>
      <c r="B40" s="276" t="s">
        <v>940</v>
      </c>
      <c r="C40" s="276" t="s">
        <v>817</v>
      </c>
      <c r="D40" s="547">
        <v>0</v>
      </c>
      <c r="E40" s="547">
        <v>0</v>
      </c>
      <c r="F40" s="547">
        <v>0</v>
      </c>
      <c r="G40" s="547">
        <v>0</v>
      </c>
      <c r="H40" s="547">
        <v>0</v>
      </c>
      <c r="I40" s="275"/>
      <c r="J40" s="37"/>
      <c r="K40" s="37"/>
      <c r="L40" s="37"/>
      <c r="M40" s="37"/>
      <c r="N40" s="37"/>
      <c r="O40" s="37"/>
      <c r="P40" s="37"/>
      <c r="Q40" s="37"/>
    </row>
    <row r="41" spans="1:17" hidden="1" outlineLevel="1" x14ac:dyDescent="0.3">
      <c r="A41" s="276" t="s">
        <v>6015</v>
      </c>
      <c r="B41" s="276" t="s">
        <v>940</v>
      </c>
      <c r="C41" s="276" t="s">
        <v>944</v>
      </c>
      <c r="D41" s="547">
        <v>0</v>
      </c>
      <c r="E41" s="547">
        <v>0</v>
      </c>
      <c r="F41" s="547">
        <v>0</v>
      </c>
      <c r="G41" s="547">
        <v>0</v>
      </c>
      <c r="H41" s="547">
        <v>0</v>
      </c>
      <c r="I41" s="275"/>
      <c r="J41" s="37"/>
      <c r="K41" s="37"/>
      <c r="L41" s="37"/>
      <c r="M41" s="37"/>
      <c r="N41" s="37"/>
      <c r="O41" s="37"/>
      <c r="P41" s="37"/>
      <c r="Q41" s="37"/>
    </row>
    <row r="42" spans="1:17" hidden="1" outlineLevel="1" x14ac:dyDescent="0.3">
      <c r="A42" s="276" t="s">
        <v>6015</v>
      </c>
      <c r="B42" s="276" t="s">
        <v>940</v>
      </c>
      <c r="C42" s="276" t="s">
        <v>821</v>
      </c>
      <c r="D42" s="547">
        <v>0</v>
      </c>
      <c r="E42" s="547">
        <v>0</v>
      </c>
      <c r="F42" s="547">
        <v>0</v>
      </c>
      <c r="G42" s="547">
        <v>0</v>
      </c>
      <c r="H42" s="547">
        <v>0</v>
      </c>
      <c r="I42" s="275"/>
      <c r="J42" s="37"/>
      <c r="K42" s="37"/>
      <c r="L42" s="37"/>
      <c r="M42" s="37"/>
      <c r="N42" s="37"/>
      <c r="O42" s="37"/>
      <c r="P42" s="37"/>
      <c r="Q42" s="37"/>
    </row>
    <row r="43" spans="1:17" hidden="1" outlineLevel="1" x14ac:dyDescent="0.3">
      <c r="A43" s="276" t="s">
        <v>6015</v>
      </c>
      <c r="B43" s="276" t="s">
        <v>940</v>
      </c>
      <c r="C43" s="276" t="s">
        <v>823</v>
      </c>
      <c r="D43" s="547">
        <v>0</v>
      </c>
      <c r="E43" s="547">
        <v>0</v>
      </c>
      <c r="F43" s="547">
        <v>0</v>
      </c>
      <c r="G43" s="547">
        <v>0</v>
      </c>
      <c r="H43" s="547">
        <v>0</v>
      </c>
      <c r="I43" s="275"/>
      <c r="J43" s="37"/>
      <c r="K43" s="37"/>
      <c r="L43" s="37"/>
      <c r="M43" s="37"/>
      <c r="N43" s="37"/>
      <c r="O43" s="37"/>
      <c r="P43" s="37"/>
      <c r="Q43" s="37"/>
    </row>
    <row r="44" spans="1:17" hidden="1" outlineLevel="1" x14ac:dyDescent="0.3">
      <c r="A44" s="276" t="s">
        <v>6015</v>
      </c>
      <c r="B44" s="276" t="s">
        <v>940</v>
      </c>
      <c r="C44" s="276" t="s">
        <v>825</v>
      </c>
      <c r="D44" s="547">
        <v>0</v>
      </c>
      <c r="E44" s="547">
        <v>0</v>
      </c>
      <c r="F44" s="547">
        <v>0</v>
      </c>
      <c r="G44" s="547">
        <v>0</v>
      </c>
      <c r="H44" s="547">
        <v>0</v>
      </c>
      <c r="I44" s="275"/>
      <c r="J44" s="37"/>
      <c r="K44" s="37"/>
      <c r="L44" s="37"/>
      <c r="M44" s="37"/>
      <c r="N44" s="37"/>
      <c r="O44" s="37"/>
      <c r="P44" s="37"/>
      <c r="Q44" s="37"/>
    </row>
    <row r="45" spans="1:17" hidden="1" outlineLevel="1" x14ac:dyDescent="0.3">
      <c r="A45" s="276" t="s">
        <v>6015</v>
      </c>
      <c r="B45" s="276" t="s">
        <v>940</v>
      </c>
      <c r="C45" s="276" t="s">
        <v>827</v>
      </c>
      <c r="D45" s="547">
        <v>0</v>
      </c>
      <c r="E45" s="547">
        <v>0</v>
      </c>
      <c r="F45" s="547">
        <v>0</v>
      </c>
      <c r="G45" s="547">
        <v>0</v>
      </c>
      <c r="H45" s="547">
        <v>0</v>
      </c>
      <c r="I45" s="275"/>
      <c r="J45" s="37"/>
      <c r="K45" s="37"/>
      <c r="L45" s="37"/>
      <c r="M45" s="37"/>
      <c r="N45" s="37"/>
      <c r="O45" s="37"/>
      <c r="P45" s="37"/>
      <c r="Q45" s="37"/>
    </row>
    <row r="46" spans="1:17" hidden="1" outlineLevel="1" x14ac:dyDescent="0.3">
      <c r="A46" s="276" t="s">
        <v>6015</v>
      </c>
      <c r="B46" s="276" t="s">
        <v>940</v>
      </c>
      <c r="C46" s="276" t="s">
        <v>829</v>
      </c>
      <c r="D46" s="547">
        <v>0</v>
      </c>
      <c r="E46" s="547">
        <v>0</v>
      </c>
      <c r="F46" s="547">
        <v>0</v>
      </c>
      <c r="G46" s="547">
        <v>0</v>
      </c>
      <c r="H46" s="547">
        <v>0</v>
      </c>
      <c r="I46" s="275"/>
      <c r="J46" s="37"/>
      <c r="K46" s="37"/>
      <c r="L46" s="37"/>
      <c r="M46" s="37"/>
      <c r="N46" s="37"/>
      <c r="O46" s="37"/>
      <c r="P46" s="37"/>
      <c r="Q46" s="37"/>
    </row>
    <row r="47" spans="1:17" hidden="1" outlineLevel="1" x14ac:dyDescent="0.3">
      <c r="A47" s="276" t="s">
        <v>6015</v>
      </c>
      <c r="B47" s="276" t="s">
        <v>940</v>
      </c>
      <c r="C47" s="276" t="s">
        <v>833</v>
      </c>
      <c r="D47" s="547">
        <v>0</v>
      </c>
      <c r="E47" s="547">
        <v>0</v>
      </c>
      <c r="F47" s="547">
        <v>0</v>
      </c>
      <c r="G47" s="547">
        <v>0</v>
      </c>
      <c r="H47" s="547">
        <v>0</v>
      </c>
      <c r="I47" s="275"/>
      <c r="J47" s="37"/>
      <c r="K47" s="37"/>
      <c r="L47" s="37"/>
      <c r="M47" s="37"/>
      <c r="N47" s="37"/>
      <c r="O47" s="37"/>
      <c r="P47" s="37"/>
      <c r="Q47" s="37"/>
    </row>
    <row r="48" spans="1:17" hidden="1" outlineLevel="1" x14ac:dyDescent="0.3">
      <c r="A48" s="276" t="s">
        <v>6015</v>
      </c>
      <c r="B48" s="276" t="s">
        <v>940</v>
      </c>
      <c r="C48" s="276" t="s">
        <v>836</v>
      </c>
      <c r="D48" s="547">
        <v>0</v>
      </c>
      <c r="E48" s="547">
        <v>0</v>
      </c>
      <c r="F48" s="547">
        <v>0</v>
      </c>
      <c r="G48" s="547">
        <v>0</v>
      </c>
      <c r="H48" s="547">
        <v>0</v>
      </c>
      <c r="I48" s="275"/>
      <c r="J48" s="37"/>
      <c r="K48" s="37"/>
      <c r="L48" s="37"/>
      <c r="M48" s="37"/>
      <c r="N48" s="37"/>
      <c r="O48" s="37"/>
      <c r="P48" s="37"/>
      <c r="Q48" s="37"/>
    </row>
    <row r="49" spans="1:45" hidden="1" outlineLevel="1" x14ac:dyDescent="0.3">
      <c r="A49" s="276" t="s">
        <v>6015</v>
      </c>
      <c r="B49" s="276" t="s">
        <v>940</v>
      </c>
      <c r="C49" s="276" t="s">
        <v>837</v>
      </c>
      <c r="D49" s="547">
        <v>0</v>
      </c>
      <c r="E49" s="547">
        <v>0</v>
      </c>
      <c r="F49" s="547">
        <v>0</v>
      </c>
      <c r="G49" s="547">
        <v>0</v>
      </c>
      <c r="H49" s="547">
        <v>0</v>
      </c>
      <c r="I49" s="275"/>
      <c r="J49" s="37"/>
      <c r="K49" s="37"/>
      <c r="L49" s="37"/>
      <c r="M49" s="37"/>
      <c r="N49" s="37"/>
      <c r="O49" s="37"/>
      <c r="P49" s="37"/>
      <c r="Q49" s="37"/>
    </row>
    <row r="50" spans="1:45" hidden="1" outlineLevel="1" x14ac:dyDescent="0.3">
      <c r="A50" s="276" t="s">
        <v>6015</v>
      </c>
      <c r="B50" s="276" t="s">
        <v>940</v>
      </c>
      <c r="C50" s="276" t="s">
        <v>839</v>
      </c>
      <c r="D50" s="547">
        <v>0</v>
      </c>
      <c r="E50" s="547">
        <v>0</v>
      </c>
      <c r="F50" s="547">
        <v>0</v>
      </c>
      <c r="G50" s="547">
        <v>0</v>
      </c>
      <c r="H50" s="547">
        <v>0</v>
      </c>
      <c r="I50" s="275"/>
      <c r="J50" s="37"/>
      <c r="K50" s="37"/>
      <c r="L50" s="37"/>
      <c r="M50" s="37"/>
      <c r="N50" s="37"/>
      <c r="O50" s="37"/>
      <c r="P50" s="37"/>
      <c r="Q50" s="37"/>
    </row>
    <row r="51" spans="1:45" hidden="1" outlineLevel="1" x14ac:dyDescent="0.3">
      <c r="A51" s="276" t="s">
        <v>6015</v>
      </c>
      <c r="B51" s="276" t="s">
        <v>940</v>
      </c>
      <c r="C51" s="276" t="s">
        <v>840</v>
      </c>
      <c r="D51" s="547">
        <v>0</v>
      </c>
      <c r="E51" s="547">
        <v>0</v>
      </c>
      <c r="F51" s="547">
        <v>0</v>
      </c>
      <c r="G51" s="547">
        <v>0</v>
      </c>
      <c r="H51" s="547">
        <v>0</v>
      </c>
      <c r="I51" s="275"/>
      <c r="J51" s="37"/>
      <c r="K51" s="37"/>
      <c r="L51" s="37"/>
      <c r="M51" s="37"/>
      <c r="N51" s="37"/>
      <c r="O51" s="37"/>
      <c r="P51" s="37"/>
      <c r="Q51" s="37"/>
    </row>
    <row r="52" spans="1:45" collapsed="1" x14ac:dyDescent="0.3">
      <c r="A52" s="276"/>
      <c r="B52" s="276"/>
      <c r="C52" s="530" t="s">
        <v>2684</v>
      </c>
      <c r="D52" s="547"/>
      <c r="E52" s="547"/>
      <c r="F52" s="547"/>
      <c r="G52" s="547"/>
      <c r="H52" s="547"/>
      <c r="I52" s="275"/>
      <c r="J52"/>
    </row>
    <row r="53" spans="1:45" s="70" customFormat="1" x14ac:dyDescent="0.3">
      <c r="A53" s="274" t="s">
        <v>6016</v>
      </c>
      <c r="B53" s="274"/>
      <c r="C53" s="299" t="s">
        <v>3973</v>
      </c>
      <c r="D53" s="547">
        <v>313362</v>
      </c>
      <c r="E53" s="547">
        <v>604242</v>
      </c>
      <c r="F53" s="547">
        <v>622153</v>
      </c>
      <c r="G53" s="547">
        <v>622153</v>
      </c>
      <c r="H53" s="547">
        <v>622153</v>
      </c>
      <c r="I53" s="275"/>
      <c r="J53"/>
      <c r="K53"/>
      <c r="L53"/>
      <c r="M53"/>
      <c r="N53"/>
      <c r="O53"/>
      <c r="P53"/>
      <c r="Q53"/>
      <c r="R53"/>
      <c r="S53"/>
      <c r="T53"/>
      <c r="U53"/>
      <c r="V53"/>
      <c r="W53"/>
      <c r="X53"/>
      <c r="Y53"/>
      <c r="Z53"/>
      <c r="AA53"/>
      <c r="AB53"/>
      <c r="AC53"/>
      <c r="AD53"/>
      <c r="AE53"/>
      <c r="AF53"/>
      <c r="AG53"/>
      <c r="AH53"/>
      <c r="AI53"/>
      <c r="AJ53"/>
      <c r="AK53"/>
      <c r="AL53"/>
      <c r="AM53"/>
      <c r="AN53"/>
      <c r="AO53"/>
      <c r="AP53"/>
      <c r="AQ53"/>
      <c r="AR53"/>
      <c r="AS53"/>
    </row>
    <row r="54" spans="1:45" x14ac:dyDescent="0.3">
      <c r="A54" s="548" t="s">
        <v>5</v>
      </c>
      <c r="B54" s="548" t="s">
        <v>847</v>
      </c>
      <c r="C54" s="548" t="s">
        <v>193</v>
      </c>
      <c r="D54" s="549">
        <v>2025</v>
      </c>
      <c r="E54" s="549">
        <v>2030</v>
      </c>
      <c r="F54" s="549">
        <v>2035</v>
      </c>
      <c r="G54" s="549">
        <v>2040</v>
      </c>
      <c r="H54" s="549">
        <v>2045</v>
      </c>
      <c r="I54" s="550" t="s">
        <v>153</v>
      </c>
      <c r="J54"/>
    </row>
    <row r="55" spans="1:45" hidden="1" outlineLevel="1" x14ac:dyDescent="0.3">
      <c r="A55" s="276" t="s">
        <v>6016</v>
      </c>
      <c r="B55" s="276" t="s">
        <v>855</v>
      </c>
      <c r="C55" s="276" t="s">
        <v>747</v>
      </c>
      <c r="D55" s="547">
        <v>0</v>
      </c>
      <c r="E55" s="547">
        <v>0</v>
      </c>
      <c r="F55" s="547">
        <v>0</v>
      </c>
      <c r="G55" s="547">
        <v>0</v>
      </c>
      <c r="H55" s="547">
        <v>0</v>
      </c>
      <c r="I55" s="277"/>
      <c r="J55"/>
      <c r="L55" s="37"/>
      <c r="M55" s="37"/>
      <c r="N55" s="37"/>
      <c r="O55" s="37"/>
      <c r="P55" s="37"/>
      <c r="Q55" s="37"/>
    </row>
    <row r="56" spans="1:45" hidden="1" outlineLevel="1" x14ac:dyDescent="0.3">
      <c r="A56" s="276" t="s">
        <v>6016</v>
      </c>
      <c r="B56" s="276" t="s">
        <v>855</v>
      </c>
      <c r="C56" s="276" t="s">
        <v>751</v>
      </c>
      <c r="D56" s="547">
        <v>0</v>
      </c>
      <c r="E56" s="547">
        <v>0</v>
      </c>
      <c r="F56" s="547">
        <v>0</v>
      </c>
      <c r="G56" s="547">
        <v>0</v>
      </c>
      <c r="H56" s="547">
        <v>0</v>
      </c>
      <c r="I56" s="275"/>
      <c r="J56"/>
      <c r="L56" s="37"/>
      <c r="M56" s="37"/>
      <c r="N56" s="37"/>
      <c r="O56" s="37"/>
      <c r="P56" s="37"/>
      <c r="Q56" s="37"/>
    </row>
    <row r="57" spans="1:45" hidden="1" outlineLevel="1" x14ac:dyDescent="0.3">
      <c r="A57" s="276" t="s">
        <v>6016</v>
      </c>
      <c r="B57" s="276" t="s">
        <v>855</v>
      </c>
      <c r="C57" s="276" t="s">
        <v>755</v>
      </c>
      <c r="D57" s="547">
        <v>1000</v>
      </c>
      <c r="E57" s="547">
        <v>1000</v>
      </c>
      <c r="F57" s="547">
        <v>1000</v>
      </c>
      <c r="G57" s="547">
        <v>1000</v>
      </c>
      <c r="H57" s="547">
        <v>1000</v>
      </c>
      <c r="I57" s="275" t="s">
        <v>5953</v>
      </c>
      <c r="J57"/>
      <c r="L57" s="37"/>
      <c r="M57" s="37"/>
      <c r="N57" s="37"/>
      <c r="O57" s="37"/>
      <c r="P57" s="37"/>
      <c r="Q57" s="37"/>
    </row>
    <row r="58" spans="1:45" hidden="1" outlineLevel="1" x14ac:dyDescent="0.3">
      <c r="A58" s="276" t="s">
        <v>6016</v>
      </c>
      <c r="B58" s="276" t="s">
        <v>855</v>
      </c>
      <c r="C58" s="276" t="s">
        <v>758</v>
      </c>
      <c r="D58" s="547">
        <v>0</v>
      </c>
      <c r="E58" s="547">
        <v>0</v>
      </c>
      <c r="F58" s="547">
        <v>14431</v>
      </c>
      <c r="G58" s="547">
        <v>14431</v>
      </c>
      <c r="H58" s="547">
        <v>14431</v>
      </c>
      <c r="I58" s="275" t="s">
        <v>5954</v>
      </c>
      <c r="J58"/>
      <c r="L58" s="37"/>
      <c r="M58" s="37"/>
      <c r="N58" s="37"/>
      <c r="O58" s="37"/>
      <c r="P58" s="37"/>
      <c r="Q58" s="37"/>
    </row>
    <row r="59" spans="1:45" hidden="1" outlineLevel="1" x14ac:dyDescent="0.3">
      <c r="A59" s="276" t="s">
        <v>6016</v>
      </c>
      <c r="B59" s="276" t="s">
        <v>855</v>
      </c>
      <c r="C59" s="276" t="s">
        <v>761</v>
      </c>
      <c r="D59" s="547">
        <v>0</v>
      </c>
      <c r="E59" s="547">
        <v>0</v>
      </c>
      <c r="F59" s="547">
        <v>0</v>
      </c>
      <c r="G59" s="547">
        <v>0</v>
      </c>
      <c r="H59" s="547">
        <v>0</v>
      </c>
      <c r="I59" s="275"/>
      <c r="J59"/>
      <c r="L59" s="37"/>
      <c r="M59" s="37"/>
      <c r="N59" s="37"/>
      <c r="O59" s="37"/>
      <c r="P59" s="37"/>
      <c r="Q59" s="37"/>
    </row>
    <row r="60" spans="1:45" hidden="1" outlineLevel="1" x14ac:dyDescent="0.3">
      <c r="A60" s="276" t="s">
        <v>6016</v>
      </c>
      <c r="B60" s="276" t="s">
        <v>855</v>
      </c>
      <c r="C60" s="276" t="s">
        <v>763</v>
      </c>
      <c r="D60" s="547">
        <v>1000</v>
      </c>
      <c r="E60" s="547">
        <v>1000</v>
      </c>
      <c r="F60" s="547">
        <v>1000</v>
      </c>
      <c r="G60" s="547">
        <v>1000</v>
      </c>
      <c r="H60" s="547">
        <v>1000</v>
      </c>
      <c r="I60" s="275" t="s">
        <v>5955</v>
      </c>
      <c r="J60"/>
      <c r="L60" s="37"/>
      <c r="M60" s="37"/>
      <c r="N60" s="37"/>
      <c r="O60" s="37"/>
      <c r="P60" s="37"/>
      <c r="Q60" s="37"/>
    </row>
    <row r="61" spans="1:45" hidden="1" outlineLevel="1" x14ac:dyDescent="0.3">
      <c r="A61" s="276" t="s">
        <v>6016</v>
      </c>
      <c r="B61" s="276" t="s">
        <v>855</v>
      </c>
      <c r="C61" s="276" t="s">
        <v>765</v>
      </c>
      <c r="D61" s="547">
        <v>0</v>
      </c>
      <c r="E61" s="547">
        <v>0</v>
      </c>
      <c r="F61" s="547">
        <v>0</v>
      </c>
      <c r="G61" s="547">
        <v>0</v>
      </c>
      <c r="H61" s="547">
        <v>0</v>
      </c>
      <c r="I61" s="275"/>
      <c r="J61"/>
      <c r="L61" s="37"/>
      <c r="M61" s="37"/>
      <c r="N61" s="37"/>
      <c r="O61" s="37"/>
      <c r="P61" s="37"/>
      <c r="Q61" s="37"/>
    </row>
    <row r="62" spans="1:45" hidden="1" outlineLevel="1" x14ac:dyDescent="0.3">
      <c r="A62" s="276" t="s">
        <v>6016</v>
      </c>
      <c r="B62" s="276" t="s">
        <v>855</v>
      </c>
      <c r="C62" s="276" t="s">
        <v>768</v>
      </c>
      <c r="D62" s="547">
        <v>0</v>
      </c>
      <c r="E62" s="547">
        <v>0</v>
      </c>
      <c r="F62" s="547">
        <v>0</v>
      </c>
      <c r="G62" s="547">
        <v>0</v>
      </c>
      <c r="H62" s="547">
        <v>0</v>
      </c>
      <c r="I62" s="275"/>
      <c r="J62" s="37"/>
      <c r="K62" s="251"/>
      <c r="L62" s="37"/>
      <c r="M62" s="37"/>
      <c r="N62" s="37"/>
      <c r="O62" s="37"/>
      <c r="P62" s="37"/>
      <c r="Q62" s="37"/>
    </row>
    <row r="63" spans="1:45" hidden="1" outlineLevel="1" x14ac:dyDescent="0.3">
      <c r="A63" s="276" t="s">
        <v>6016</v>
      </c>
      <c r="B63" s="276" t="s">
        <v>855</v>
      </c>
      <c r="C63" s="276" t="s">
        <v>771</v>
      </c>
      <c r="D63" s="547">
        <v>0</v>
      </c>
      <c r="E63" s="547">
        <v>0</v>
      </c>
      <c r="F63" s="547">
        <v>0</v>
      </c>
      <c r="G63" s="547">
        <v>0</v>
      </c>
      <c r="H63" s="547">
        <v>0</v>
      </c>
      <c r="I63" s="275"/>
      <c r="J63" s="37"/>
      <c r="K63" s="37"/>
      <c r="L63" s="37"/>
      <c r="M63" s="37"/>
      <c r="N63" s="37"/>
      <c r="O63" s="37"/>
      <c r="P63" s="37"/>
      <c r="Q63" s="37"/>
    </row>
    <row r="64" spans="1:45" hidden="1" outlineLevel="1" x14ac:dyDescent="0.3">
      <c r="A64" s="276" t="s">
        <v>6016</v>
      </c>
      <c r="B64" s="276" t="s">
        <v>855</v>
      </c>
      <c r="C64" s="276" t="s">
        <v>772</v>
      </c>
      <c r="D64" s="547">
        <v>1000</v>
      </c>
      <c r="E64" s="547">
        <v>1000</v>
      </c>
      <c r="F64" s="547">
        <v>1000</v>
      </c>
      <c r="G64" s="547">
        <v>1000</v>
      </c>
      <c r="H64" s="547">
        <v>1000</v>
      </c>
      <c r="I64" s="275" t="s">
        <v>5956</v>
      </c>
      <c r="J64" s="37"/>
      <c r="K64" s="37"/>
      <c r="L64" s="37"/>
      <c r="M64" s="37"/>
      <c r="N64" s="37"/>
      <c r="O64" s="37"/>
      <c r="P64" s="37"/>
      <c r="Q64" s="37"/>
    </row>
    <row r="65" spans="1:17" hidden="1" outlineLevel="1" x14ac:dyDescent="0.3">
      <c r="A65" s="276" t="s">
        <v>6016</v>
      </c>
      <c r="B65" s="276" t="s">
        <v>855</v>
      </c>
      <c r="C65" s="276" t="s">
        <v>774</v>
      </c>
      <c r="D65" s="547">
        <v>1000</v>
      </c>
      <c r="E65" s="547">
        <v>1000</v>
      </c>
      <c r="F65" s="547">
        <v>1000</v>
      </c>
      <c r="G65" s="547">
        <v>1000</v>
      </c>
      <c r="H65" s="547">
        <v>1000</v>
      </c>
      <c r="I65" s="275" t="s">
        <v>5957</v>
      </c>
      <c r="J65" s="37"/>
      <c r="K65" s="37"/>
      <c r="L65" s="37"/>
      <c r="M65" s="37"/>
      <c r="N65" s="37"/>
      <c r="O65" s="37"/>
      <c r="P65" s="37"/>
      <c r="Q65" s="37"/>
    </row>
    <row r="66" spans="1:17" hidden="1" outlineLevel="1" x14ac:dyDescent="0.3">
      <c r="A66" s="276" t="s">
        <v>6016</v>
      </c>
      <c r="B66" s="276" t="s">
        <v>855</v>
      </c>
      <c r="C66" s="276" t="s">
        <v>775</v>
      </c>
      <c r="D66" s="547">
        <v>0</v>
      </c>
      <c r="E66" s="547">
        <v>0</v>
      </c>
      <c r="F66" s="547">
        <v>0</v>
      </c>
      <c r="G66" s="547">
        <v>0</v>
      </c>
      <c r="H66" s="547">
        <v>0</v>
      </c>
      <c r="I66" s="275"/>
      <c r="J66" s="37"/>
      <c r="K66" s="37"/>
      <c r="L66" s="37"/>
      <c r="M66" s="37"/>
      <c r="N66" s="37"/>
      <c r="O66" s="37"/>
      <c r="P66" s="37"/>
      <c r="Q66" s="37"/>
    </row>
    <row r="67" spans="1:17" hidden="1" outlineLevel="1" x14ac:dyDescent="0.3">
      <c r="A67" s="276" t="s">
        <v>6016</v>
      </c>
      <c r="B67" s="276" t="s">
        <v>855</v>
      </c>
      <c r="C67" s="276" t="s">
        <v>779</v>
      </c>
      <c r="D67" s="547">
        <v>0</v>
      </c>
      <c r="E67" s="547">
        <v>0</v>
      </c>
      <c r="F67" s="547">
        <v>0</v>
      </c>
      <c r="G67" s="547">
        <v>0</v>
      </c>
      <c r="H67" s="547">
        <v>0</v>
      </c>
      <c r="I67" s="275"/>
      <c r="J67" s="37"/>
      <c r="K67" s="37"/>
      <c r="L67" s="37"/>
      <c r="M67" s="37"/>
      <c r="N67" s="37"/>
      <c r="O67" s="37"/>
      <c r="P67" s="37"/>
      <c r="Q67" s="37"/>
    </row>
    <row r="68" spans="1:17" hidden="1" outlineLevel="1" x14ac:dyDescent="0.3">
      <c r="A68" s="276" t="s">
        <v>6016</v>
      </c>
      <c r="B68" s="276" t="s">
        <v>894</v>
      </c>
      <c r="C68" s="276" t="s">
        <v>781</v>
      </c>
      <c r="D68" s="547">
        <v>0</v>
      </c>
      <c r="E68" s="547">
        <v>0</v>
      </c>
      <c r="F68" s="547">
        <v>0</v>
      </c>
      <c r="G68" s="547">
        <v>0</v>
      </c>
      <c r="H68" s="547">
        <v>0</v>
      </c>
      <c r="I68" s="275"/>
      <c r="J68" s="37"/>
      <c r="K68" s="37"/>
      <c r="L68" s="37"/>
      <c r="M68" s="37"/>
      <c r="N68" s="37"/>
      <c r="O68" s="37"/>
      <c r="P68" s="37"/>
      <c r="Q68" s="37"/>
    </row>
    <row r="69" spans="1:17" hidden="1" outlineLevel="1" x14ac:dyDescent="0.3">
      <c r="A69" s="276" t="s">
        <v>6016</v>
      </c>
      <c r="B69" s="276" t="s">
        <v>894</v>
      </c>
      <c r="C69" s="276" t="s">
        <v>783</v>
      </c>
      <c r="D69" s="547">
        <v>0</v>
      </c>
      <c r="E69" s="547">
        <v>0</v>
      </c>
      <c r="F69" s="547">
        <v>0</v>
      </c>
      <c r="G69" s="547">
        <v>0</v>
      </c>
      <c r="H69" s="547">
        <v>0</v>
      </c>
      <c r="I69" s="275"/>
      <c r="J69" s="37"/>
      <c r="K69" s="37"/>
      <c r="L69" s="37"/>
      <c r="M69" s="37"/>
      <c r="N69" s="37"/>
      <c r="O69" s="37"/>
      <c r="P69" s="37"/>
      <c r="Q69" s="37"/>
    </row>
    <row r="70" spans="1:17" hidden="1" outlineLevel="1" x14ac:dyDescent="0.3">
      <c r="A70" s="276" t="s">
        <v>6016</v>
      </c>
      <c r="B70" s="276" t="s">
        <v>894</v>
      </c>
      <c r="C70" s="276" t="s">
        <v>785</v>
      </c>
      <c r="D70" s="547">
        <v>540</v>
      </c>
      <c r="E70" s="547">
        <v>540</v>
      </c>
      <c r="F70" s="547">
        <v>540</v>
      </c>
      <c r="G70" s="547">
        <v>540</v>
      </c>
      <c r="H70" s="547">
        <v>540</v>
      </c>
      <c r="I70" s="275" t="s">
        <v>5958</v>
      </c>
      <c r="J70" s="37"/>
      <c r="K70" s="37"/>
      <c r="L70" s="37"/>
      <c r="M70" s="37"/>
      <c r="N70" s="37"/>
      <c r="O70" s="37"/>
      <c r="P70" s="37"/>
      <c r="Q70" s="37"/>
    </row>
    <row r="71" spans="1:17" hidden="1" outlineLevel="1" x14ac:dyDescent="0.3">
      <c r="A71" s="276" t="s">
        <v>6016</v>
      </c>
      <c r="B71" s="276" t="s">
        <v>894</v>
      </c>
      <c r="C71" s="276" t="s">
        <v>787</v>
      </c>
      <c r="D71" s="547">
        <v>0</v>
      </c>
      <c r="E71" s="547">
        <v>0</v>
      </c>
      <c r="F71" s="547">
        <v>0</v>
      </c>
      <c r="G71" s="547">
        <v>0</v>
      </c>
      <c r="H71" s="547">
        <v>0</v>
      </c>
      <c r="I71" s="275"/>
      <c r="J71" s="37"/>
      <c r="K71" s="37"/>
      <c r="L71" s="37"/>
      <c r="M71" s="37"/>
      <c r="N71" s="37"/>
      <c r="O71" s="37"/>
      <c r="P71" s="37"/>
      <c r="Q71" s="37"/>
    </row>
    <row r="72" spans="1:17" hidden="1" outlineLevel="1" x14ac:dyDescent="0.3">
      <c r="A72" s="276" t="s">
        <v>6016</v>
      </c>
      <c r="B72" s="276" t="s">
        <v>894</v>
      </c>
      <c r="C72" s="276" t="s">
        <v>788</v>
      </c>
      <c r="D72" s="547">
        <v>0</v>
      </c>
      <c r="E72" s="547">
        <v>0</v>
      </c>
      <c r="F72" s="547">
        <v>0</v>
      </c>
      <c r="G72" s="547">
        <v>0</v>
      </c>
      <c r="H72" s="547">
        <v>0</v>
      </c>
      <c r="I72" s="275"/>
      <c r="J72" s="37"/>
      <c r="K72" s="37"/>
      <c r="L72" s="37"/>
      <c r="M72" s="37"/>
      <c r="N72" s="37"/>
      <c r="O72" s="37"/>
      <c r="P72" s="37"/>
      <c r="Q72" s="37"/>
    </row>
    <row r="73" spans="1:17" hidden="1" outlineLevel="1" x14ac:dyDescent="0.3">
      <c r="A73" s="276" t="s">
        <v>6016</v>
      </c>
      <c r="B73" s="276" t="s">
        <v>894</v>
      </c>
      <c r="C73" s="276" t="s">
        <v>789</v>
      </c>
      <c r="D73" s="547">
        <v>0</v>
      </c>
      <c r="E73" s="547">
        <v>0</v>
      </c>
      <c r="F73" s="547">
        <v>0</v>
      </c>
      <c r="G73" s="547">
        <v>0</v>
      </c>
      <c r="H73" s="547">
        <v>0</v>
      </c>
      <c r="I73" s="275"/>
      <c r="J73" s="37"/>
      <c r="K73" s="37"/>
      <c r="L73" s="37"/>
      <c r="M73" s="37"/>
      <c r="N73" s="37"/>
      <c r="O73" s="37"/>
      <c r="P73" s="37"/>
      <c r="Q73" s="37"/>
    </row>
    <row r="74" spans="1:17" hidden="1" outlineLevel="1" x14ac:dyDescent="0.3">
      <c r="A74" s="276" t="s">
        <v>6016</v>
      </c>
      <c r="B74" s="276" t="s">
        <v>894</v>
      </c>
      <c r="C74" s="276" t="s">
        <v>790</v>
      </c>
      <c r="D74" s="547">
        <v>0</v>
      </c>
      <c r="E74" s="547">
        <v>0</v>
      </c>
      <c r="F74" s="547">
        <v>0</v>
      </c>
      <c r="G74" s="547">
        <v>0</v>
      </c>
      <c r="H74" s="547">
        <v>0</v>
      </c>
      <c r="I74" s="275"/>
      <c r="J74" s="37"/>
      <c r="K74" s="37"/>
      <c r="L74" s="37"/>
      <c r="M74" s="37"/>
      <c r="N74" s="37"/>
      <c r="O74" s="37"/>
      <c r="P74" s="37"/>
      <c r="Q74" s="37"/>
    </row>
    <row r="75" spans="1:17" hidden="1" outlineLevel="1" x14ac:dyDescent="0.3">
      <c r="A75" s="276" t="s">
        <v>6016</v>
      </c>
      <c r="B75" s="276" t="s">
        <v>894</v>
      </c>
      <c r="C75" s="276" t="s">
        <v>793</v>
      </c>
      <c r="D75" s="547">
        <v>850</v>
      </c>
      <c r="E75" s="547">
        <v>850</v>
      </c>
      <c r="F75" s="547">
        <v>850</v>
      </c>
      <c r="G75" s="547">
        <v>850</v>
      </c>
      <c r="H75" s="547">
        <v>850</v>
      </c>
      <c r="I75" s="275" t="s">
        <v>5959</v>
      </c>
      <c r="J75" s="37"/>
      <c r="K75" s="37"/>
      <c r="L75" s="37"/>
      <c r="M75" s="37"/>
      <c r="N75" s="37"/>
      <c r="O75" s="37"/>
      <c r="P75" s="37"/>
      <c r="Q75" s="37"/>
    </row>
    <row r="76" spans="1:17" hidden="1" outlineLevel="1" x14ac:dyDescent="0.3">
      <c r="A76" s="276" t="s">
        <v>6016</v>
      </c>
      <c r="B76" s="276" t="s">
        <v>894</v>
      </c>
      <c r="C76" s="276" t="s">
        <v>795</v>
      </c>
      <c r="D76" s="547">
        <v>0</v>
      </c>
      <c r="E76" s="547">
        <v>0</v>
      </c>
      <c r="F76" s="547">
        <v>0</v>
      </c>
      <c r="G76" s="547">
        <v>0</v>
      </c>
      <c r="H76" s="547">
        <v>0</v>
      </c>
      <c r="I76" s="275"/>
      <c r="J76" s="37"/>
      <c r="K76" s="37"/>
      <c r="L76" s="37"/>
      <c r="M76" s="37"/>
      <c r="N76" s="37"/>
      <c r="O76" s="37"/>
      <c r="P76" s="37"/>
      <c r="Q76" s="37"/>
    </row>
    <row r="77" spans="1:17" hidden="1" outlineLevel="1" x14ac:dyDescent="0.3">
      <c r="A77" s="276" t="s">
        <v>6016</v>
      </c>
      <c r="B77" s="276" t="s">
        <v>894</v>
      </c>
      <c r="C77" s="276" t="s">
        <v>797</v>
      </c>
      <c r="D77" s="547">
        <v>2400</v>
      </c>
      <c r="E77" s="547">
        <v>32400</v>
      </c>
      <c r="F77" s="547">
        <v>32400</v>
      </c>
      <c r="G77" s="547">
        <v>32400</v>
      </c>
      <c r="H77" s="547">
        <v>32400</v>
      </c>
      <c r="I77" s="275" t="s">
        <v>5960</v>
      </c>
      <c r="J77" s="37"/>
      <c r="K77" s="37"/>
      <c r="L77" s="37"/>
      <c r="M77" s="37"/>
      <c r="N77" s="37"/>
      <c r="O77" s="37"/>
      <c r="P77" s="37"/>
      <c r="Q77" s="37"/>
    </row>
    <row r="78" spans="1:17" hidden="1" outlineLevel="1" x14ac:dyDescent="0.3">
      <c r="A78" s="276" t="s">
        <v>6016</v>
      </c>
      <c r="B78" s="276" t="s">
        <v>915</v>
      </c>
      <c r="C78" s="276" t="s">
        <v>799</v>
      </c>
      <c r="D78" s="547">
        <v>0</v>
      </c>
      <c r="E78" s="547">
        <v>0</v>
      </c>
      <c r="F78" s="547">
        <v>0</v>
      </c>
      <c r="G78" s="547">
        <v>0</v>
      </c>
      <c r="H78" s="547">
        <v>0</v>
      </c>
      <c r="I78" s="275"/>
      <c r="J78" s="37"/>
      <c r="K78" s="537"/>
      <c r="L78" s="37"/>
      <c r="M78" s="37"/>
      <c r="N78" s="37"/>
      <c r="O78" s="37"/>
      <c r="P78" s="37"/>
      <c r="Q78" s="37"/>
    </row>
    <row r="79" spans="1:17" hidden="1" outlineLevel="1" x14ac:dyDescent="0.3">
      <c r="A79" s="276" t="s">
        <v>6016</v>
      </c>
      <c r="B79" s="276" t="s">
        <v>915</v>
      </c>
      <c r="C79" s="276" t="s">
        <v>801</v>
      </c>
      <c r="D79" s="547">
        <v>0</v>
      </c>
      <c r="E79" s="547">
        <v>0</v>
      </c>
      <c r="F79" s="547">
        <v>0</v>
      </c>
      <c r="G79" s="547">
        <v>0</v>
      </c>
      <c r="H79" s="547">
        <v>0</v>
      </c>
      <c r="I79" s="275"/>
      <c r="J79" s="37"/>
      <c r="K79" s="37"/>
      <c r="L79" s="37"/>
      <c r="M79" s="37"/>
      <c r="N79" s="37"/>
      <c r="O79" s="37"/>
      <c r="P79" s="37"/>
      <c r="Q79" s="37"/>
    </row>
    <row r="80" spans="1:17" hidden="1" outlineLevel="1" x14ac:dyDescent="0.3">
      <c r="A80" s="276" t="s">
        <v>6016</v>
      </c>
      <c r="B80" s="276" t="s">
        <v>915</v>
      </c>
      <c r="C80" s="276" t="s">
        <v>804</v>
      </c>
      <c r="D80" s="547">
        <v>0</v>
      </c>
      <c r="E80" s="547">
        <v>0</v>
      </c>
      <c r="F80" s="547">
        <v>0</v>
      </c>
      <c r="G80" s="547">
        <v>0</v>
      </c>
      <c r="H80" s="547">
        <v>0</v>
      </c>
      <c r="I80" s="275"/>
      <c r="J80" s="37"/>
      <c r="L80" s="37"/>
      <c r="M80" s="37"/>
      <c r="N80" s="37"/>
      <c r="O80" s="37"/>
      <c r="P80" s="37"/>
      <c r="Q80" s="37"/>
    </row>
    <row r="81" spans="1:17" hidden="1" outlineLevel="1" x14ac:dyDescent="0.3">
      <c r="A81" s="276" t="s">
        <v>6016</v>
      </c>
      <c r="B81" s="276" t="s">
        <v>915</v>
      </c>
      <c r="C81" s="276" t="s">
        <v>806</v>
      </c>
      <c r="D81" s="547">
        <v>0</v>
      </c>
      <c r="E81" s="547">
        <v>0</v>
      </c>
      <c r="F81" s="547">
        <v>0</v>
      </c>
      <c r="G81" s="547">
        <v>0</v>
      </c>
      <c r="H81" s="547">
        <v>0</v>
      </c>
      <c r="I81" s="275"/>
      <c r="J81" s="37"/>
      <c r="K81" s="37"/>
      <c r="L81" s="37"/>
      <c r="M81" s="37"/>
      <c r="N81" s="37"/>
      <c r="O81" s="37"/>
      <c r="P81" s="37"/>
      <c r="Q81" s="37"/>
    </row>
    <row r="82" spans="1:17" hidden="1" outlineLevel="1" x14ac:dyDescent="0.3">
      <c r="A82" s="276" t="s">
        <v>6016</v>
      </c>
      <c r="B82" s="276" t="s">
        <v>915</v>
      </c>
      <c r="C82" s="276" t="s">
        <v>808</v>
      </c>
      <c r="D82" s="547">
        <v>4000</v>
      </c>
      <c r="E82" s="547">
        <v>4000</v>
      </c>
      <c r="F82" s="547">
        <v>4000</v>
      </c>
      <c r="G82" s="547">
        <v>4000</v>
      </c>
      <c r="H82" s="547">
        <v>4000</v>
      </c>
      <c r="I82" s="275" t="s">
        <v>5961</v>
      </c>
      <c r="J82" s="37"/>
      <c r="K82" s="37"/>
      <c r="L82" s="37"/>
      <c r="M82" s="37"/>
      <c r="N82" s="37"/>
      <c r="O82" s="37"/>
      <c r="P82" s="37"/>
      <c r="Q82" s="37"/>
    </row>
    <row r="83" spans="1:17" hidden="1" outlineLevel="1" x14ac:dyDescent="0.3">
      <c r="A83" s="276" t="s">
        <v>6016</v>
      </c>
      <c r="B83" s="276" t="s">
        <v>915</v>
      </c>
      <c r="C83" s="276" t="s">
        <v>811</v>
      </c>
      <c r="D83" s="547">
        <v>0</v>
      </c>
      <c r="E83" s="547">
        <v>0</v>
      </c>
      <c r="F83" s="547">
        <v>0</v>
      </c>
      <c r="G83" s="547">
        <v>0</v>
      </c>
      <c r="H83" s="547">
        <v>0</v>
      </c>
      <c r="I83" s="275"/>
      <c r="J83" s="37"/>
      <c r="K83" s="37"/>
      <c r="L83" s="37"/>
      <c r="M83" s="37"/>
      <c r="N83" s="37"/>
      <c r="O83" s="37"/>
      <c r="P83" s="37"/>
      <c r="Q83" s="37"/>
    </row>
    <row r="84" spans="1:17" hidden="1" outlineLevel="1" x14ac:dyDescent="0.3">
      <c r="A84" s="276" t="s">
        <v>6016</v>
      </c>
      <c r="B84" s="276" t="s">
        <v>934</v>
      </c>
      <c r="C84" s="276" t="s">
        <v>814</v>
      </c>
      <c r="D84" s="547">
        <v>0</v>
      </c>
      <c r="E84" s="547">
        <v>0</v>
      </c>
      <c r="F84" s="547">
        <v>0</v>
      </c>
      <c r="G84" s="547">
        <v>0</v>
      </c>
      <c r="H84" s="547">
        <v>0</v>
      </c>
      <c r="I84" s="275"/>
      <c r="J84" s="37"/>
      <c r="K84" s="37"/>
      <c r="L84" s="37"/>
      <c r="M84" s="37"/>
      <c r="N84" s="37"/>
      <c r="O84" s="37"/>
      <c r="P84" s="37"/>
      <c r="Q84" s="37"/>
    </row>
    <row r="85" spans="1:17" hidden="1" outlineLevel="1" x14ac:dyDescent="0.3">
      <c r="A85" s="276" t="s">
        <v>6016</v>
      </c>
      <c r="B85" s="276" t="s">
        <v>934</v>
      </c>
      <c r="C85" s="276" t="s">
        <v>815</v>
      </c>
      <c r="D85" s="547">
        <v>0</v>
      </c>
      <c r="E85" s="547">
        <v>0</v>
      </c>
      <c r="F85" s="547">
        <v>0</v>
      </c>
      <c r="G85" s="547">
        <v>0</v>
      </c>
      <c r="H85" s="547">
        <v>0</v>
      </c>
      <c r="I85" s="275"/>
      <c r="J85" s="37"/>
      <c r="K85" s="37"/>
      <c r="L85" s="37"/>
      <c r="M85" s="37"/>
      <c r="N85" s="37"/>
      <c r="O85" s="37"/>
      <c r="P85" s="37"/>
      <c r="Q85" s="37"/>
    </row>
    <row r="86" spans="1:17" hidden="1" outlineLevel="1" x14ac:dyDescent="0.3">
      <c r="A86" s="276" t="s">
        <v>6016</v>
      </c>
      <c r="B86" s="276" t="s">
        <v>940</v>
      </c>
      <c r="C86" s="276" t="s">
        <v>817</v>
      </c>
      <c r="D86" s="547">
        <v>0</v>
      </c>
      <c r="E86" s="547">
        <v>0</v>
      </c>
      <c r="F86" s="547">
        <v>0</v>
      </c>
      <c r="G86" s="547">
        <v>0</v>
      </c>
      <c r="H86" s="547">
        <v>0</v>
      </c>
      <c r="I86" s="275"/>
      <c r="J86" s="37"/>
      <c r="K86" s="37"/>
      <c r="L86" s="37"/>
      <c r="M86" s="37"/>
      <c r="N86" s="37"/>
      <c r="O86" s="37"/>
      <c r="P86" s="37"/>
      <c r="Q86" s="37"/>
    </row>
    <row r="87" spans="1:17" hidden="1" outlineLevel="1" x14ac:dyDescent="0.3">
      <c r="A87" s="276" t="s">
        <v>6016</v>
      </c>
      <c r="B87" s="276" t="s">
        <v>940</v>
      </c>
      <c r="C87" s="276" t="s">
        <v>944</v>
      </c>
      <c r="D87" s="547">
        <v>22060</v>
      </c>
      <c r="E87" s="547">
        <v>32940</v>
      </c>
      <c r="F87" s="547">
        <v>36420</v>
      </c>
      <c r="G87" s="547">
        <v>36420</v>
      </c>
      <c r="H87" s="547">
        <v>36420</v>
      </c>
      <c r="I87" s="275" t="s">
        <v>5962</v>
      </c>
      <c r="J87" s="37"/>
      <c r="K87" s="37"/>
      <c r="L87" s="37"/>
      <c r="M87" s="37"/>
      <c r="N87" s="37"/>
      <c r="O87" s="37"/>
      <c r="P87" s="37"/>
      <c r="Q87" s="37"/>
    </row>
    <row r="88" spans="1:17" hidden="1" outlineLevel="1" x14ac:dyDescent="0.3">
      <c r="A88" s="276" t="s">
        <v>6016</v>
      </c>
      <c r="B88" s="276" t="s">
        <v>940</v>
      </c>
      <c r="C88" s="276" t="s">
        <v>821</v>
      </c>
      <c r="D88" s="547">
        <v>0</v>
      </c>
      <c r="E88" s="547">
        <v>0</v>
      </c>
      <c r="F88" s="547">
        <v>0</v>
      </c>
      <c r="G88" s="547">
        <v>0</v>
      </c>
      <c r="H88" s="547">
        <v>0</v>
      </c>
      <c r="I88" s="275"/>
      <c r="J88" s="37"/>
      <c r="K88" s="37"/>
      <c r="L88" s="37"/>
      <c r="M88" s="37"/>
      <c r="N88" s="37"/>
      <c r="O88" s="37"/>
      <c r="P88" s="37"/>
      <c r="Q88" s="37"/>
    </row>
    <row r="89" spans="1:17" hidden="1" outlineLevel="1" x14ac:dyDescent="0.3">
      <c r="A89" s="276" t="s">
        <v>6016</v>
      </c>
      <c r="B89" s="276" t="s">
        <v>940</v>
      </c>
      <c r="C89" s="276" t="s">
        <v>823</v>
      </c>
      <c r="D89" s="547">
        <v>0</v>
      </c>
      <c r="E89" s="547">
        <v>0</v>
      </c>
      <c r="F89" s="547">
        <v>0</v>
      </c>
      <c r="G89" s="547">
        <v>0</v>
      </c>
      <c r="H89" s="547">
        <v>0</v>
      </c>
      <c r="I89" s="275"/>
      <c r="J89" s="37"/>
      <c r="K89" s="37"/>
      <c r="L89" s="37"/>
      <c r="M89" s="37"/>
      <c r="N89" s="37"/>
      <c r="O89" s="37"/>
      <c r="P89" s="37"/>
      <c r="Q89" s="37"/>
    </row>
    <row r="90" spans="1:17" hidden="1" outlineLevel="1" x14ac:dyDescent="0.3">
      <c r="A90" s="276" t="s">
        <v>6016</v>
      </c>
      <c r="B90" s="276" t="s">
        <v>940</v>
      </c>
      <c r="C90" s="276" t="s">
        <v>825</v>
      </c>
      <c r="D90" s="547">
        <v>0</v>
      </c>
      <c r="E90" s="547">
        <v>0</v>
      </c>
      <c r="F90" s="547">
        <v>0</v>
      </c>
      <c r="G90" s="547">
        <v>0</v>
      </c>
      <c r="H90" s="547">
        <v>0</v>
      </c>
      <c r="I90" s="275"/>
      <c r="J90" s="37"/>
      <c r="K90" s="37"/>
      <c r="L90" s="37"/>
      <c r="M90" s="37"/>
      <c r="N90" s="37"/>
      <c r="O90" s="37"/>
      <c r="P90" s="37"/>
      <c r="Q90" s="37"/>
    </row>
    <row r="91" spans="1:17" hidden="1" outlineLevel="1" x14ac:dyDescent="0.3">
      <c r="A91" s="276" t="s">
        <v>6016</v>
      </c>
      <c r="B91" s="276" t="s">
        <v>940</v>
      </c>
      <c r="C91" s="276" t="s">
        <v>827</v>
      </c>
      <c r="D91" s="547">
        <v>250000</v>
      </c>
      <c r="E91" s="547">
        <v>500000</v>
      </c>
      <c r="F91" s="547">
        <v>500000</v>
      </c>
      <c r="G91" s="547">
        <v>500000</v>
      </c>
      <c r="H91" s="547">
        <v>500000</v>
      </c>
      <c r="I91" s="275"/>
      <c r="J91" s="37"/>
      <c r="K91" s="37"/>
      <c r="L91" s="37"/>
      <c r="M91" s="37"/>
      <c r="N91" s="37"/>
      <c r="O91" s="37"/>
      <c r="P91" s="37"/>
      <c r="Q91" s="37"/>
    </row>
    <row r="92" spans="1:17" hidden="1" outlineLevel="1" x14ac:dyDescent="0.3">
      <c r="A92" s="276" t="s">
        <v>6016</v>
      </c>
      <c r="B92" s="276" t="s">
        <v>940</v>
      </c>
      <c r="C92" s="276" t="s">
        <v>829</v>
      </c>
      <c r="D92" s="547">
        <v>0</v>
      </c>
      <c r="E92" s="547">
        <v>0</v>
      </c>
      <c r="F92" s="547">
        <v>0</v>
      </c>
      <c r="G92" s="547">
        <v>0</v>
      </c>
      <c r="H92" s="547">
        <v>0</v>
      </c>
      <c r="I92" s="275"/>
      <c r="J92" s="37"/>
      <c r="K92" s="37"/>
      <c r="L92" s="37"/>
      <c r="M92" s="37"/>
      <c r="N92" s="37"/>
      <c r="O92" s="37"/>
      <c r="P92" s="37"/>
      <c r="Q92" s="37"/>
    </row>
    <row r="93" spans="1:17" hidden="1" outlineLevel="1" x14ac:dyDescent="0.3">
      <c r="A93" s="276" t="s">
        <v>6016</v>
      </c>
      <c r="B93" s="276" t="s">
        <v>940</v>
      </c>
      <c r="C93" s="276" t="s">
        <v>833</v>
      </c>
      <c r="D93" s="547">
        <v>0</v>
      </c>
      <c r="E93" s="547">
        <v>0</v>
      </c>
      <c r="F93" s="547">
        <v>0</v>
      </c>
      <c r="G93" s="547">
        <v>0</v>
      </c>
      <c r="H93" s="547">
        <v>0</v>
      </c>
      <c r="I93" s="275"/>
      <c r="J93" s="37"/>
      <c r="K93" s="37"/>
      <c r="L93" s="37"/>
      <c r="M93" s="37"/>
      <c r="N93" s="37"/>
      <c r="O93" s="37"/>
      <c r="P93" s="37"/>
      <c r="Q93" s="37"/>
    </row>
    <row r="94" spans="1:17" hidden="1" outlineLevel="1" x14ac:dyDescent="0.3">
      <c r="A94" s="276" t="s">
        <v>6016</v>
      </c>
      <c r="B94" s="276" t="s">
        <v>940</v>
      </c>
      <c r="C94" s="276" t="s">
        <v>836</v>
      </c>
      <c r="D94" s="547">
        <v>29512</v>
      </c>
      <c r="E94" s="547">
        <v>29512</v>
      </c>
      <c r="F94" s="547">
        <v>29512</v>
      </c>
      <c r="G94" s="547">
        <v>29512</v>
      </c>
      <c r="H94" s="547">
        <v>29512</v>
      </c>
      <c r="I94" s="275" t="s">
        <v>5963</v>
      </c>
      <c r="J94" s="37"/>
      <c r="K94" s="37"/>
      <c r="L94" s="37"/>
      <c r="M94" s="37"/>
      <c r="N94" s="37"/>
      <c r="O94" s="37"/>
      <c r="P94" s="37"/>
      <c r="Q94" s="37"/>
    </row>
    <row r="95" spans="1:17" hidden="1" outlineLevel="1" x14ac:dyDescent="0.3">
      <c r="A95" s="276" t="s">
        <v>6016</v>
      </c>
      <c r="B95" s="276" t="s">
        <v>940</v>
      </c>
      <c r="C95" s="276" t="s">
        <v>837</v>
      </c>
      <c r="D95" s="547">
        <v>0</v>
      </c>
      <c r="E95" s="547">
        <v>0</v>
      </c>
      <c r="F95" s="547">
        <v>0</v>
      </c>
      <c r="G95" s="547">
        <v>0</v>
      </c>
      <c r="H95" s="547">
        <v>0</v>
      </c>
      <c r="I95" s="275" t="s">
        <v>5964</v>
      </c>
      <c r="J95" s="37"/>
      <c r="K95" s="37"/>
      <c r="L95" s="37"/>
      <c r="M95" s="37"/>
      <c r="N95" s="37"/>
      <c r="O95" s="37"/>
      <c r="P95" s="37"/>
      <c r="Q95" s="37"/>
    </row>
    <row r="96" spans="1:17" hidden="1" outlineLevel="1" x14ac:dyDescent="0.3">
      <c r="A96" s="276" t="s">
        <v>6016</v>
      </c>
      <c r="B96" s="276" t="s">
        <v>940</v>
      </c>
      <c r="C96" s="276" t="s">
        <v>839</v>
      </c>
      <c r="D96" s="547">
        <v>0</v>
      </c>
      <c r="E96" s="547">
        <v>0</v>
      </c>
      <c r="F96" s="547">
        <v>0</v>
      </c>
      <c r="G96" s="547">
        <v>0</v>
      </c>
      <c r="H96" s="547">
        <v>0</v>
      </c>
      <c r="I96" s="275"/>
      <c r="J96" s="37"/>
      <c r="K96" s="37"/>
      <c r="L96" s="37"/>
      <c r="M96" s="37"/>
      <c r="N96" s="37"/>
      <c r="O96" s="37"/>
      <c r="P96" s="37"/>
      <c r="Q96" s="37"/>
    </row>
    <row r="97" spans="1:45" hidden="1" outlineLevel="1" x14ac:dyDescent="0.3">
      <c r="A97" s="276" t="s">
        <v>6016</v>
      </c>
      <c r="B97" s="276" t="s">
        <v>940</v>
      </c>
      <c r="C97" s="276" t="s">
        <v>840</v>
      </c>
      <c r="D97" s="547">
        <v>0</v>
      </c>
      <c r="E97" s="547">
        <v>0</v>
      </c>
      <c r="F97" s="547">
        <v>0</v>
      </c>
      <c r="G97" s="547">
        <v>0</v>
      </c>
      <c r="H97" s="547">
        <v>0</v>
      </c>
      <c r="I97" s="275"/>
      <c r="J97" s="37"/>
      <c r="K97" s="37"/>
      <c r="L97" s="37"/>
      <c r="M97" s="37"/>
      <c r="N97" s="37"/>
      <c r="O97" s="37"/>
      <c r="P97" s="37"/>
      <c r="Q97" s="37"/>
    </row>
    <row r="98" spans="1:45" collapsed="1" x14ac:dyDescent="0.3">
      <c r="A98" s="276"/>
      <c r="B98" s="276"/>
      <c r="C98" s="530" t="s">
        <v>2684</v>
      </c>
      <c r="D98" s="547"/>
      <c r="E98" s="547"/>
      <c r="F98" s="547"/>
      <c r="G98" s="547"/>
      <c r="H98" s="547"/>
      <c r="I98" s="275"/>
      <c r="J98"/>
    </row>
    <row r="99" spans="1:45" s="70" customFormat="1" x14ac:dyDescent="0.3">
      <c r="A99" s="274" t="s">
        <v>6017</v>
      </c>
      <c r="B99" s="274"/>
      <c r="C99" s="299" t="s">
        <v>3973</v>
      </c>
      <c r="D99" s="547">
        <v>0</v>
      </c>
      <c r="E99" s="547">
        <v>55600</v>
      </c>
      <c r="F99" s="547">
        <v>55600</v>
      </c>
      <c r="G99" s="547">
        <v>55600</v>
      </c>
      <c r="H99" s="547">
        <v>55600</v>
      </c>
      <c r="I99" s="275"/>
      <c r="J99"/>
      <c r="K99"/>
      <c r="L99"/>
      <c r="M99"/>
      <c r="N99"/>
      <c r="O99"/>
      <c r="P99"/>
      <c r="Q99"/>
      <c r="R99"/>
      <c r="S99"/>
      <c r="T99"/>
      <c r="U99"/>
      <c r="V99"/>
      <c r="W99"/>
      <c r="X99"/>
      <c r="Y99"/>
      <c r="Z99"/>
      <c r="AA99"/>
      <c r="AB99"/>
      <c r="AC99"/>
      <c r="AD99"/>
      <c r="AE99"/>
      <c r="AF99"/>
      <c r="AG99"/>
      <c r="AH99"/>
      <c r="AI99"/>
      <c r="AJ99"/>
      <c r="AK99"/>
      <c r="AL99"/>
      <c r="AM99"/>
      <c r="AN99"/>
      <c r="AO99"/>
      <c r="AP99"/>
      <c r="AQ99"/>
      <c r="AR99"/>
      <c r="AS99"/>
    </row>
    <row r="100" spans="1:45" x14ac:dyDescent="0.3">
      <c r="A100" s="548" t="s">
        <v>5</v>
      </c>
      <c r="B100" s="548" t="s">
        <v>847</v>
      </c>
      <c r="C100" s="548" t="s">
        <v>193</v>
      </c>
      <c r="D100" s="549">
        <v>2025</v>
      </c>
      <c r="E100" s="549">
        <v>2030</v>
      </c>
      <c r="F100" s="549">
        <v>2035</v>
      </c>
      <c r="G100" s="549">
        <v>2040</v>
      </c>
      <c r="H100" s="549">
        <v>2045</v>
      </c>
      <c r="I100" s="550" t="s">
        <v>153</v>
      </c>
      <c r="J100"/>
    </row>
    <row r="101" spans="1:45" hidden="1" outlineLevel="1" x14ac:dyDescent="0.3">
      <c r="A101" s="276" t="s">
        <v>6017</v>
      </c>
      <c r="B101" s="276" t="s">
        <v>855</v>
      </c>
      <c r="C101" s="276" t="s">
        <v>747</v>
      </c>
      <c r="D101" s="547">
        <v>0</v>
      </c>
      <c r="E101" s="547">
        <v>0</v>
      </c>
      <c r="F101" s="547">
        <v>0</v>
      </c>
      <c r="G101" s="547">
        <v>0</v>
      </c>
      <c r="H101" s="547">
        <v>0</v>
      </c>
      <c r="I101" s="275"/>
      <c r="J101" s="37"/>
      <c r="L101" s="37"/>
      <c r="M101" s="37"/>
      <c r="N101" s="37"/>
      <c r="O101" s="37"/>
      <c r="P101" s="37"/>
      <c r="Q101" s="37"/>
    </row>
    <row r="102" spans="1:45" hidden="1" outlineLevel="1" x14ac:dyDescent="0.3">
      <c r="A102" s="276" t="s">
        <v>6017</v>
      </c>
      <c r="B102" s="276" t="s">
        <v>855</v>
      </c>
      <c r="C102" s="276" t="s">
        <v>751</v>
      </c>
      <c r="D102" s="547">
        <v>0</v>
      </c>
      <c r="E102" s="547">
        <v>0</v>
      </c>
      <c r="F102" s="547">
        <v>0</v>
      </c>
      <c r="G102" s="547">
        <v>0</v>
      </c>
      <c r="H102" s="547">
        <v>0</v>
      </c>
      <c r="I102" s="275" t="s">
        <v>5965</v>
      </c>
      <c r="J102" s="37"/>
      <c r="K102" s="37"/>
      <c r="L102" s="37"/>
      <c r="M102" s="37"/>
      <c r="N102" s="37"/>
      <c r="O102" s="37"/>
      <c r="P102" s="37"/>
      <c r="Q102" s="37"/>
    </row>
    <row r="103" spans="1:45" hidden="1" outlineLevel="1" x14ac:dyDescent="0.3">
      <c r="A103" s="276" t="s">
        <v>6017</v>
      </c>
      <c r="B103" s="276" t="s">
        <v>855</v>
      </c>
      <c r="C103" s="276" t="s">
        <v>755</v>
      </c>
      <c r="D103" s="547">
        <v>0</v>
      </c>
      <c r="E103" s="547">
        <v>0</v>
      </c>
      <c r="F103" s="547">
        <v>0</v>
      </c>
      <c r="G103" s="547">
        <v>0</v>
      </c>
      <c r="H103" s="547">
        <v>0</v>
      </c>
      <c r="I103" s="275"/>
      <c r="J103" s="37"/>
      <c r="K103" s="37"/>
      <c r="L103" s="37"/>
      <c r="M103" s="37"/>
      <c r="N103" s="37"/>
      <c r="O103" s="37"/>
      <c r="P103" s="37"/>
      <c r="Q103" s="37"/>
    </row>
    <row r="104" spans="1:45" hidden="1" outlineLevel="1" x14ac:dyDescent="0.3">
      <c r="A104" s="276" t="s">
        <v>6017</v>
      </c>
      <c r="B104" s="276" t="s">
        <v>855</v>
      </c>
      <c r="C104" s="276" t="s">
        <v>758</v>
      </c>
      <c r="D104" s="547">
        <v>0</v>
      </c>
      <c r="E104" s="547">
        <v>0</v>
      </c>
      <c r="F104" s="547">
        <v>0</v>
      </c>
      <c r="G104" s="547">
        <v>0</v>
      </c>
      <c r="H104" s="547">
        <v>0</v>
      </c>
      <c r="I104" s="275"/>
      <c r="J104" s="37"/>
      <c r="K104" s="37"/>
      <c r="L104" s="37"/>
      <c r="M104" s="37"/>
      <c r="N104" s="37"/>
      <c r="O104" s="37"/>
      <c r="P104" s="37"/>
      <c r="Q104" s="37"/>
    </row>
    <row r="105" spans="1:45" hidden="1" outlineLevel="1" x14ac:dyDescent="0.3">
      <c r="A105" s="276" t="s">
        <v>6017</v>
      </c>
      <c r="B105" s="276" t="s">
        <v>855</v>
      </c>
      <c r="C105" s="276" t="s">
        <v>761</v>
      </c>
      <c r="D105" s="547">
        <v>0</v>
      </c>
      <c r="E105" s="547">
        <v>0</v>
      </c>
      <c r="F105" s="547">
        <v>0</v>
      </c>
      <c r="G105" s="547">
        <v>0</v>
      </c>
      <c r="H105" s="547">
        <v>0</v>
      </c>
      <c r="I105" s="275"/>
      <c r="J105" s="37"/>
      <c r="K105" s="37"/>
      <c r="L105" s="37"/>
      <c r="M105" s="37"/>
      <c r="N105" s="37"/>
      <c r="O105" s="37"/>
      <c r="P105" s="37"/>
      <c r="Q105" s="37"/>
    </row>
    <row r="106" spans="1:45" hidden="1" outlineLevel="1" x14ac:dyDescent="0.3">
      <c r="A106" s="276" t="s">
        <v>6017</v>
      </c>
      <c r="B106" s="276" t="s">
        <v>855</v>
      </c>
      <c r="C106" s="276" t="s">
        <v>763</v>
      </c>
      <c r="D106" s="547">
        <v>0</v>
      </c>
      <c r="E106" s="547">
        <v>0</v>
      </c>
      <c r="F106" s="547">
        <v>0</v>
      </c>
      <c r="G106" s="547">
        <v>0</v>
      </c>
      <c r="H106" s="547">
        <v>0</v>
      </c>
      <c r="I106" s="275"/>
      <c r="J106" s="37"/>
      <c r="K106" s="37"/>
      <c r="L106" s="37"/>
      <c r="M106" s="37"/>
      <c r="N106" s="37"/>
      <c r="O106" s="37"/>
      <c r="P106" s="37"/>
      <c r="Q106" s="37"/>
    </row>
    <row r="107" spans="1:45" hidden="1" outlineLevel="1" x14ac:dyDescent="0.3">
      <c r="A107" s="276" t="s">
        <v>6017</v>
      </c>
      <c r="B107" s="276" t="s">
        <v>855</v>
      </c>
      <c r="C107" s="276" t="s">
        <v>765</v>
      </c>
      <c r="D107" s="547">
        <v>0</v>
      </c>
      <c r="E107" s="547">
        <v>0</v>
      </c>
      <c r="F107" s="547">
        <v>0</v>
      </c>
      <c r="G107" s="547">
        <v>0</v>
      </c>
      <c r="H107" s="547">
        <v>0</v>
      </c>
      <c r="I107" s="275"/>
      <c r="J107" s="37"/>
      <c r="L107" s="37"/>
      <c r="M107" s="37"/>
      <c r="N107" s="37"/>
      <c r="O107" s="37"/>
      <c r="P107" s="37"/>
      <c r="Q107" s="37"/>
    </row>
    <row r="108" spans="1:45" hidden="1" outlineLevel="1" x14ac:dyDescent="0.3">
      <c r="A108" s="276" t="s">
        <v>6017</v>
      </c>
      <c r="B108" s="276" t="s">
        <v>855</v>
      </c>
      <c r="C108" s="276" t="s">
        <v>768</v>
      </c>
      <c r="D108" s="547">
        <v>0</v>
      </c>
      <c r="E108" s="547">
        <v>0</v>
      </c>
      <c r="F108" s="547">
        <v>0</v>
      </c>
      <c r="G108" s="547">
        <v>0</v>
      </c>
      <c r="H108" s="547">
        <v>0</v>
      </c>
      <c r="I108" s="275"/>
      <c r="J108" s="37"/>
      <c r="K108" s="251"/>
      <c r="L108" s="37"/>
      <c r="M108" s="37"/>
      <c r="N108" s="37"/>
      <c r="O108" s="37"/>
      <c r="P108" s="37"/>
      <c r="Q108" s="37"/>
    </row>
    <row r="109" spans="1:45" hidden="1" outlineLevel="1" x14ac:dyDescent="0.3">
      <c r="A109" s="276" t="s">
        <v>6017</v>
      </c>
      <c r="B109" s="276" t="s">
        <v>855</v>
      </c>
      <c r="C109" s="276" t="s">
        <v>771</v>
      </c>
      <c r="D109" s="547">
        <v>0</v>
      </c>
      <c r="E109" s="547">
        <v>0</v>
      </c>
      <c r="F109" s="547">
        <v>0</v>
      </c>
      <c r="G109" s="547">
        <v>0</v>
      </c>
      <c r="H109" s="547">
        <v>0</v>
      </c>
      <c r="I109" s="275"/>
      <c r="J109" s="37"/>
      <c r="K109" s="37"/>
      <c r="L109" s="37"/>
      <c r="M109" s="37"/>
      <c r="N109" s="37"/>
      <c r="O109" s="37"/>
      <c r="P109" s="37"/>
      <c r="Q109" s="37"/>
    </row>
    <row r="110" spans="1:45" hidden="1" outlineLevel="1" x14ac:dyDescent="0.3">
      <c r="A110" s="276" t="s">
        <v>6017</v>
      </c>
      <c r="B110" s="276" t="s">
        <v>855</v>
      </c>
      <c r="C110" s="276" t="s">
        <v>772</v>
      </c>
      <c r="D110" s="547">
        <v>0</v>
      </c>
      <c r="E110" s="547">
        <v>0</v>
      </c>
      <c r="F110" s="547">
        <v>0</v>
      </c>
      <c r="G110" s="547">
        <v>0</v>
      </c>
      <c r="H110" s="547">
        <v>0</v>
      </c>
      <c r="I110" s="275"/>
      <c r="J110" s="37"/>
      <c r="K110" s="37"/>
      <c r="L110" s="37"/>
      <c r="M110" s="37"/>
      <c r="N110" s="37"/>
      <c r="O110" s="37"/>
      <c r="P110" s="37"/>
      <c r="Q110" s="37"/>
    </row>
    <row r="111" spans="1:45" hidden="1" outlineLevel="1" x14ac:dyDescent="0.3">
      <c r="A111" s="276" t="s">
        <v>6017</v>
      </c>
      <c r="B111" s="276" t="s">
        <v>855</v>
      </c>
      <c r="C111" s="276" t="s">
        <v>774</v>
      </c>
      <c r="D111" s="547">
        <v>0</v>
      </c>
      <c r="E111" s="547">
        <v>0</v>
      </c>
      <c r="F111" s="547">
        <v>0</v>
      </c>
      <c r="G111" s="547">
        <v>0</v>
      </c>
      <c r="H111" s="547">
        <v>0</v>
      </c>
      <c r="I111" s="275" t="s">
        <v>2771</v>
      </c>
      <c r="J111" s="37"/>
      <c r="K111" s="37"/>
      <c r="L111" s="37"/>
      <c r="M111" s="37"/>
      <c r="N111" s="37"/>
      <c r="O111" s="37"/>
      <c r="P111" s="37"/>
      <c r="Q111" s="37"/>
    </row>
    <row r="112" spans="1:45" hidden="1" outlineLevel="1" x14ac:dyDescent="0.3">
      <c r="A112" s="276" t="s">
        <v>6017</v>
      </c>
      <c r="B112" s="276" t="s">
        <v>855</v>
      </c>
      <c r="C112" s="276" t="s">
        <v>775</v>
      </c>
      <c r="D112" s="547">
        <v>0</v>
      </c>
      <c r="E112" s="547">
        <v>0</v>
      </c>
      <c r="F112" s="547">
        <v>0</v>
      </c>
      <c r="G112" s="547">
        <v>0</v>
      </c>
      <c r="H112" s="547">
        <v>0</v>
      </c>
      <c r="I112" s="275"/>
      <c r="J112" s="37"/>
      <c r="K112" s="37"/>
      <c r="L112" s="37"/>
      <c r="M112" s="37"/>
      <c r="N112" s="37"/>
      <c r="O112" s="37"/>
      <c r="P112" s="37"/>
      <c r="Q112" s="37"/>
    </row>
    <row r="113" spans="1:17" hidden="1" outlineLevel="1" x14ac:dyDescent="0.3">
      <c r="A113" s="276" t="s">
        <v>6017</v>
      </c>
      <c r="B113" s="276" t="s">
        <v>855</v>
      </c>
      <c r="C113" s="276" t="s">
        <v>779</v>
      </c>
      <c r="D113" s="547">
        <v>0</v>
      </c>
      <c r="E113" s="547">
        <v>0</v>
      </c>
      <c r="F113" s="547">
        <v>0</v>
      </c>
      <c r="G113" s="547">
        <v>0</v>
      </c>
      <c r="H113" s="547">
        <v>0</v>
      </c>
      <c r="I113" s="275"/>
      <c r="J113" s="37"/>
      <c r="K113" s="37"/>
      <c r="L113" s="37"/>
      <c r="M113" s="37"/>
      <c r="N113" s="37"/>
      <c r="O113" s="37"/>
      <c r="P113" s="37"/>
      <c r="Q113" s="37"/>
    </row>
    <row r="114" spans="1:17" hidden="1" outlineLevel="1" x14ac:dyDescent="0.3">
      <c r="A114" s="276" t="s">
        <v>6017</v>
      </c>
      <c r="B114" s="276" t="s">
        <v>894</v>
      </c>
      <c r="C114" s="276" t="s">
        <v>781</v>
      </c>
      <c r="D114" s="547">
        <v>0</v>
      </c>
      <c r="E114" s="547">
        <v>0</v>
      </c>
      <c r="F114" s="547">
        <v>0</v>
      </c>
      <c r="G114" s="547">
        <v>0</v>
      </c>
      <c r="H114" s="547">
        <v>0</v>
      </c>
      <c r="I114" s="275"/>
      <c r="J114" s="37"/>
      <c r="K114" s="37"/>
      <c r="L114" s="37"/>
      <c r="M114" s="37"/>
      <c r="N114" s="37"/>
      <c r="O114" s="37"/>
      <c r="P114" s="37"/>
      <c r="Q114" s="37"/>
    </row>
    <row r="115" spans="1:17" hidden="1" outlineLevel="1" x14ac:dyDescent="0.3">
      <c r="A115" s="276" t="s">
        <v>6017</v>
      </c>
      <c r="B115" s="276" t="s">
        <v>894</v>
      </c>
      <c r="C115" s="276" t="s">
        <v>783</v>
      </c>
      <c r="D115" s="547">
        <v>0</v>
      </c>
      <c r="E115" s="547">
        <v>0</v>
      </c>
      <c r="F115" s="547">
        <v>0</v>
      </c>
      <c r="G115" s="547">
        <v>0</v>
      </c>
      <c r="H115" s="547">
        <v>0</v>
      </c>
      <c r="I115" s="275"/>
      <c r="J115" s="37"/>
      <c r="K115" s="37"/>
      <c r="L115" s="37"/>
      <c r="M115" s="37"/>
      <c r="N115" s="37"/>
      <c r="O115" s="37"/>
      <c r="P115" s="37"/>
      <c r="Q115" s="37"/>
    </row>
    <row r="116" spans="1:17" hidden="1" outlineLevel="1" x14ac:dyDescent="0.3">
      <c r="A116" s="276" t="s">
        <v>6017</v>
      </c>
      <c r="B116" s="276" t="s">
        <v>894</v>
      </c>
      <c r="C116" s="276" t="s">
        <v>785</v>
      </c>
      <c r="D116" s="547">
        <v>0</v>
      </c>
      <c r="E116" s="547">
        <v>0</v>
      </c>
      <c r="F116" s="547">
        <v>0</v>
      </c>
      <c r="G116" s="547">
        <v>0</v>
      </c>
      <c r="H116" s="547">
        <v>0</v>
      </c>
      <c r="I116" s="275"/>
      <c r="J116" s="37"/>
      <c r="K116" s="37"/>
      <c r="L116" s="37"/>
      <c r="M116" s="37"/>
      <c r="N116" s="37"/>
      <c r="O116" s="37"/>
      <c r="P116" s="37"/>
      <c r="Q116" s="37"/>
    </row>
    <row r="117" spans="1:17" hidden="1" outlineLevel="1" x14ac:dyDescent="0.3">
      <c r="A117" s="276" t="s">
        <v>6017</v>
      </c>
      <c r="B117" s="276" t="s">
        <v>894</v>
      </c>
      <c r="C117" s="276" t="s">
        <v>787</v>
      </c>
      <c r="D117" s="547">
        <v>0</v>
      </c>
      <c r="E117" s="547">
        <v>0</v>
      </c>
      <c r="F117" s="547">
        <v>0</v>
      </c>
      <c r="G117" s="547">
        <v>0</v>
      </c>
      <c r="H117" s="547">
        <v>0</v>
      </c>
      <c r="I117" s="275"/>
      <c r="J117" s="37"/>
      <c r="K117" s="37"/>
      <c r="L117" s="37"/>
      <c r="M117" s="37"/>
      <c r="N117" s="37"/>
      <c r="O117" s="37"/>
      <c r="P117" s="37"/>
      <c r="Q117" s="37"/>
    </row>
    <row r="118" spans="1:17" hidden="1" outlineLevel="1" x14ac:dyDescent="0.3">
      <c r="A118" s="276" t="s">
        <v>6017</v>
      </c>
      <c r="B118" s="276" t="s">
        <v>894</v>
      </c>
      <c r="C118" s="276" t="s">
        <v>788</v>
      </c>
      <c r="D118" s="547">
        <v>0</v>
      </c>
      <c r="E118" s="547">
        <v>0</v>
      </c>
      <c r="F118" s="547">
        <v>0</v>
      </c>
      <c r="G118" s="547">
        <v>0</v>
      </c>
      <c r="H118" s="547">
        <v>0</v>
      </c>
      <c r="I118" s="275"/>
      <c r="J118" s="37"/>
      <c r="K118" s="37"/>
      <c r="L118" s="37"/>
      <c r="M118" s="37"/>
      <c r="N118" s="37"/>
      <c r="O118" s="37"/>
      <c r="P118" s="37"/>
      <c r="Q118" s="37"/>
    </row>
    <row r="119" spans="1:17" hidden="1" outlineLevel="1" x14ac:dyDescent="0.3">
      <c r="A119" s="276" t="s">
        <v>6017</v>
      </c>
      <c r="B119" s="276" t="s">
        <v>894</v>
      </c>
      <c r="C119" s="276" t="s">
        <v>789</v>
      </c>
      <c r="D119" s="547">
        <v>0</v>
      </c>
      <c r="E119" s="547">
        <v>0</v>
      </c>
      <c r="F119" s="547">
        <v>0</v>
      </c>
      <c r="G119" s="547">
        <v>0</v>
      </c>
      <c r="H119" s="547">
        <v>0</v>
      </c>
      <c r="I119" s="275"/>
      <c r="J119" s="37"/>
      <c r="K119" s="37"/>
      <c r="L119" s="37"/>
      <c r="M119" s="37"/>
      <c r="N119" s="37"/>
      <c r="O119" s="37"/>
      <c r="P119" s="37"/>
      <c r="Q119" s="37"/>
    </row>
    <row r="120" spans="1:17" hidden="1" outlineLevel="1" x14ac:dyDescent="0.3">
      <c r="A120" s="276" t="s">
        <v>6017</v>
      </c>
      <c r="B120" s="276" t="s">
        <v>894</v>
      </c>
      <c r="C120" s="276" t="s">
        <v>790</v>
      </c>
      <c r="D120" s="547">
        <v>0</v>
      </c>
      <c r="E120" s="547">
        <v>0</v>
      </c>
      <c r="F120" s="547">
        <v>0</v>
      </c>
      <c r="G120" s="547">
        <v>0</v>
      </c>
      <c r="H120" s="547">
        <v>0</v>
      </c>
      <c r="I120" s="275"/>
      <c r="J120" s="37"/>
      <c r="K120" s="37"/>
      <c r="L120" s="37"/>
      <c r="M120" s="37"/>
      <c r="N120" s="37"/>
      <c r="O120" s="37"/>
      <c r="P120" s="37"/>
      <c r="Q120" s="37"/>
    </row>
    <row r="121" spans="1:17" hidden="1" outlineLevel="1" x14ac:dyDescent="0.3">
      <c r="A121" s="276" t="s">
        <v>6017</v>
      </c>
      <c r="B121" s="276" t="s">
        <v>894</v>
      </c>
      <c r="C121" s="276" t="s">
        <v>793</v>
      </c>
      <c r="D121" s="547">
        <v>0</v>
      </c>
      <c r="E121" s="547">
        <v>0</v>
      </c>
      <c r="F121" s="547">
        <v>0</v>
      </c>
      <c r="G121" s="547">
        <v>0</v>
      </c>
      <c r="H121" s="547">
        <v>0</v>
      </c>
      <c r="I121" s="275" t="s">
        <v>5966</v>
      </c>
      <c r="J121" s="37"/>
      <c r="K121" s="37"/>
      <c r="L121" s="37"/>
      <c r="M121" s="37"/>
      <c r="N121" s="37"/>
      <c r="O121" s="37"/>
      <c r="P121" s="37"/>
      <c r="Q121" s="37"/>
    </row>
    <row r="122" spans="1:17" hidden="1" outlineLevel="1" x14ac:dyDescent="0.3">
      <c r="A122" s="276" t="s">
        <v>6017</v>
      </c>
      <c r="B122" s="276" t="s">
        <v>894</v>
      </c>
      <c r="C122" s="276" t="s">
        <v>795</v>
      </c>
      <c r="D122" s="547">
        <v>0</v>
      </c>
      <c r="E122" s="547">
        <v>0</v>
      </c>
      <c r="F122" s="547">
        <v>0</v>
      </c>
      <c r="G122" s="547">
        <v>0</v>
      </c>
      <c r="H122" s="547">
        <v>0</v>
      </c>
      <c r="I122" s="275"/>
      <c r="J122" s="37"/>
      <c r="K122" s="37"/>
      <c r="L122" s="37"/>
      <c r="M122" s="37"/>
      <c r="N122" s="37"/>
      <c r="O122" s="37"/>
      <c r="P122" s="37"/>
      <c r="Q122" s="37"/>
    </row>
    <row r="123" spans="1:17" hidden="1" outlineLevel="1" x14ac:dyDescent="0.3">
      <c r="A123" s="276" t="s">
        <v>6017</v>
      </c>
      <c r="B123" s="276" t="s">
        <v>894</v>
      </c>
      <c r="C123" s="276" t="s">
        <v>797</v>
      </c>
      <c r="D123" s="547">
        <v>0</v>
      </c>
      <c r="E123" s="547">
        <v>0</v>
      </c>
      <c r="F123" s="547">
        <v>0</v>
      </c>
      <c r="G123" s="547">
        <v>0</v>
      </c>
      <c r="H123" s="547">
        <v>0</v>
      </c>
      <c r="I123" s="275"/>
      <c r="J123" s="37"/>
      <c r="K123" s="37"/>
      <c r="L123" s="37"/>
      <c r="M123" s="37"/>
      <c r="N123" s="37"/>
      <c r="O123" s="37"/>
      <c r="P123" s="37"/>
      <c r="Q123" s="37"/>
    </row>
    <row r="124" spans="1:17" hidden="1" outlineLevel="1" x14ac:dyDescent="0.3">
      <c r="A124" s="276" t="s">
        <v>6017</v>
      </c>
      <c r="B124" s="276" t="s">
        <v>915</v>
      </c>
      <c r="C124" s="276" t="s">
        <v>799</v>
      </c>
      <c r="D124" s="547">
        <v>0</v>
      </c>
      <c r="E124" s="547">
        <v>5600</v>
      </c>
      <c r="F124" s="547">
        <v>5600</v>
      </c>
      <c r="G124" s="547">
        <v>5600</v>
      </c>
      <c r="H124" s="547">
        <v>5600</v>
      </c>
      <c r="I124" s="275" t="s">
        <v>5967</v>
      </c>
      <c r="J124" s="37"/>
      <c r="K124" s="537"/>
      <c r="L124" s="37"/>
      <c r="M124" s="37"/>
      <c r="N124" s="37"/>
      <c r="O124" s="37"/>
      <c r="P124" s="37"/>
      <c r="Q124" s="37"/>
    </row>
    <row r="125" spans="1:17" hidden="1" outlineLevel="1" x14ac:dyDescent="0.3">
      <c r="A125" s="276" t="s">
        <v>6017</v>
      </c>
      <c r="B125" s="276" t="s">
        <v>915</v>
      </c>
      <c r="C125" s="276" t="s">
        <v>801</v>
      </c>
      <c r="D125" s="547">
        <v>0</v>
      </c>
      <c r="E125" s="547">
        <v>0</v>
      </c>
      <c r="F125" s="547">
        <v>0</v>
      </c>
      <c r="G125" s="547">
        <v>0</v>
      </c>
      <c r="H125" s="547">
        <v>0</v>
      </c>
      <c r="I125" s="275"/>
      <c r="J125" s="37"/>
      <c r="K125" s="37"/>
      <c r="L125" s="37"/>
      <c r="M125" s="37"/>
      <c r="N125" s="37"/>
      <c r="O125" s="37"/>
      <c r="P125" s="37"/>
      <c r="Q125" s="37"/>
    </row>
    <row r="126" spans="1:17" hidden="1" outlineLevel="1" x14ac:dyDescent="0.3">
      <c r="A126" s="276" t="s">
        <v>6017</v>
      </c>
      <c r="B126" s="276" t="s">
        <v>915</v>
      </c>
      <c r="C126" s="276" t="s">
        <v>804</v>
      </c>
      <c r="D126" s="547">
        <v>0</v>
      </c>
      <c r="E126" s="547">
        <v>0</v>
      </c>
      <c r="F126" s="547">
        <v>0</v>
      </c>
      <c r="G126" s="547">
        <v>0</v>
      </c>
      <c r="H126" s="547">
        <v>0</v>
      </c>
      <c r="I126" s="275" t="s">
        <v>5968</v>
      </c>
      <c r="J126" s="37"/>
      <c r="L126" s="37"/>
      <c r="M126" s="37"/>
      <c r="N126" s="37"/>
      <c r="O126" s="37"/>
      <c r="P126" s="37"/>
      <c r="Q126" s="37"/>
    </row>
    <row r="127" spans="1:17" hidden="1" outlineLevel="1" x14ac:dyDescent="0.3">
      <c r="A127" s="276" t="s">
        <v>6017</v>
      </c>
      <c r="B127" s="276" t="s">
        <v>915</v>
      </c>
      <c r="C127" s="276" t="s">
        <v>806</v>
      </c>
      <c r="D127" s="547">
        <v>0</v>
      </c>
      <c r="E127" s="547">
        <v>0</v>
      </c>
      <c r="F127" s="547">
        <v>0</v>
      </c>
      <c r="G127" s="547">
        <v>0</v>
      </c>
      <c r="H127" s="547">
        <v>0</v>
      </c>
      <c r="I127" s="275"/>
      <c r="J127" s="37"/>
      <c r="K127" s="37"/>
      <c r="L127" s="37"/>
      <c r="M127" s="37"/>
      <c r="N127" s="37"/>
      <c r="O127" s="37"/>
      <c r="P127" s="37"/>
      <c r="Q127" s="37"/>
    </row>
    <row r="128" spans="1:17" hidden="1" outlineLevel="1" x14ac:dyDescent="0.3">
      <c r="A128" s="276" t="s">
        <v>6017</v>
      </c>
      <c r="B128" s="276" t="s">
        <v>915</v>
      </c>
      <c r="C128" s="276" t="s">
        <v>808</v>
      </c>
      <c r="D128" s="547">
        <v>0</v>
      </c>
      <c r="E128" s="547">
        <v>0</v>
      </c>
      <c r="F128" s="547">
        <v>0</v>
      </c>
      <c r="G128" s="547">
        <v>0</v>
      </c>
      <c r="H128" s="547">
        <v>0</v>
      </c>
      <c r="I128" s="275"/>
      <c r="J128" s="37"/>
      <c r="K128" s="37"/>
      <c r="L128" s="37"/>
      <c r="M128" s="37"/>
      <c r="N128" s="37"/>
      <c r="O128" s="37"/>
      <c r="P128" s="37"/>
      <c r="Q128" s="37"/>
    </row>
    <row r="129" spans="1:17" hidden="1" outlineLevel="1" x14ac:dyDescent="0.3">
      <c r="A129" s="276" t="s">
        <v>6017</v>
      </c>
      <c r="B129" s="276" t="s">
        <v>915</v>
      </c>
      <c r="C129" s="276" t="s">
        <v>811</v>
      </c>
      <c r="D129" s="547">
        <v>0</v>
      </c>
      <c r="E129" s="547">
        <v>0</v>
      </c>
      <c r="F129" s="547">
        <v>0</v>
      </c>
      <c r="G129" s="547">
        <v>0</v>
      </c>
      <c r="H129" s="547">
        <v>0</v>
      </c>
      <c r="I129" s="275"/>
      <c r="J129" s="37"/>
      <c r="K129" s="37"/>
      <c r="L129" s="37"/>
      <c r="M129" s="37"/>
      <c r="N129" s="37"/>
      <c r="O129" s="37"/>
      <c r="P129" s="37"/>
      <c r="Q129" s="37"/>
    </row>
    <row r="130" spans="1:17" hidden="1" outlineLevel="1" x14ac:dyDescent="0.3">
      <c r="A130" s="276" t="s">
        <v>6017</v>
      </c>
      <c r="B130" s="276" t="s">
        <v>934</v>
      </c>
      <c r="C130" s="276" t="s">
        <v>814</v>
      </c>
      <c r="D130" s="547">
        <v>0</v>
      </c>
      <c r="E130" s="547">
        <v>0</v>
      </c>
      <c r="F130" s="547">
        <v>0</v>
      </c>
      <c r="G130" s="547">
        <v>0</v>
      </c>
      <c r="H130" s="547">
        <v>0</v>
      </c>
      <c r="I130" s="275"/>
      <c r="J130" s="37"/>
      <c r="K130" s="37"/>
      <c r="L130" s="37"/>
      <c r="M130" s="37"/>
      <c r="N130" s="37"/>
      <c r="O130" s="37"/>
      <c r="P130" s="37"/>
      <c r="Q130" s="37"/>
    </row>
    <row r="131" spans="1:17" hidden="1" outlineLevel="1" x14ac:dyDescent="0.3">
      <c r="A131" s="276" t="s">
        <v>6017</v>
      </c>
      <c r="B131" s="276" t="s">
        <v>934</v>
      </c>
      <c r="C131" s="276" t="s">
        <v>815</v>
      </c>
      <c r="D131" s="547">
        <v>0</v>
      </c>
      <c r="E131" s="547">
        <v>0</v>
      </c>
      <c r="F131" s="547">
        <v>0</v>
      </c>
      <c r="G131" s="547">
        <v>0</v>
      </c>
      <c r="H131" s="547">
        <v>0</v>
      </c>
      <c r="I131" s="275"/>
      <c r="J131" s="37"/>
      <c r="K131" s="37"/>
      <c r="L131" s="37"/>
      <c r="M131" s="37"/>
      <c r="N131" s="37"/>
      <c r="O131" s="37"/>
      <c r="P131" s="37"/>
      <c r="Q131" s="37"/>
    </row>
    <row r="132" spans="1:17" hidden="1" outlineLevel="1" x14ac:dyDescent="0.3">
      <c r="A132" s="276" t="s">
        <v>6017</v>
      </c>
      <c r="B132" s="276" t="s">
        <v>940</v>
      </c>
      <c r="C132" s="276" t="s">
        <v>817</v>
      </c>
      <c r="D132" s="547">
        <v>0</v>
      </c>
      <c r="E132" s="547">
        <v>0</v>
      </c>
      <c r="F132" s="547">
        <v>0</v>
      </c>
      <c r="G132" s="547">
        <v>0</v>
      </c>
      <c r="H132" s="547">
        <v>0</v>
      </c>
      <c r="I132" s="275"/>
      <c r="J132" s="37"/>
      <c r="K132" s="37"/>
      <c r="L132" s="37"/>
      <c r="M132" s="37"/>
      <c r="N132" s="37"/>
      <c r="O132" s="37"/>
      <c r="P132" s="37"/>
      <c r="Q132" s="37"/>
    </row>
    <row r="133" spans="1:17" hidden="1" outlineLevel="1" x14ac:dyDescent="0.3">
      <c r="A133" s="276" t="s">
        <v>6017</v>
      </c>
      <c r="B133" s="276" t="s">
        <v>940</v>
      </c>
      <c r="C133" s="276" t="s">
        <v>944</v>
      </c>
      <c r="D133" s="547">
        <v>0</v>
      </c>
      <c r="E133" s="547">
        <v>0</v>
      </c>
      <c r="F133" s="547">
        <v>0</v>
      </c>
      <c r="G133" s="547">
        <v>0</v>
      </c>
      <c r="H133" s="547">
        <v>0</v>
      </c>
      <c r="I133" s="275"/>
      <c r="J133" s="37"/>
      <c r="K133" s="37"/>
      <c r="L133" s="37"/>
      <c r="M133" s="37"/>
      <c r="N133" s="37"/>
      <c r="O133" s="37"/>
      <c r="P133" s="37"/>
      <c r="Q133" s="37"/>
    </row>
    <row r="134" spans="1:17" hidden="1" outlineLevel="1" x14ac:dyDescent="0.3">
      <c r="A134" s="276" t="s">
        <v>6017</v>
      </c>
      <c r="B134" s="276" t="s">
        <v>940</v>
      </c>
      <c r="C134" s="276" t="s">
        <v>821</v>
      </c>
      <c r="D134" s="547">
        <v>0</v>
      </c>
      <c r="E134" s="547">
        <v>0</v>
      </c>
      <c r="F134" s="547">
        <v>0</v>
      </c>
      <c r="G134" s="547">
        <v>0</v>
      </c>
      <c r="H134" s="547">
        <v>0</v>
      </c>
      <c r="I134" s="275"/>
      <c r="J134" s="37"/>
      <c r="K134" s="37"/>
      <c r="L134" s="37"/>
      <c r="M134" s="37"/>
      <c r="N134" s="37"/>
      <c r="O134" s="37"/>
      <c r="P134" s="37"/>
      <c r="Q134" s="37"/>
    </row>
    <row r="135" spans="1:17" hidden="1" outlineLevel="1" x14ac:dyDescent="0.3">
      <c r="A135" s="276" t="s">
        <v>6017</v>
      </c>
      <c r="B135" s="276" t="s">
        <v>940</v>
      </c>
      <c r="C135" s="276" t="s">
        <v>823</v>
      </c>
      <c r="D135" s="547">
        <v>0</v>
      </c>
      <c r="E135" s="547">
        <v>0</v>
      </c>
      <c r="F135" s="547">
        <v>0</v>
      </c>
      <c r="G135" s="547">
        <v>0</v>
      </c>
      <c r="H135" s="547">
        <v>0</v>
      </c>
      <c r="I135" s="275"/>
      <c r="J135" s="37"/>
      <c r="K135" s="37"/>
      <c r="L135" s="37"/>
      <c r="M135" s="37"/>
      <c r="N135" s="37"/>
      <c r="O135" s="37"/>
      <c r="P135" s="37"/>
      <c r="Q135" s="37"/>
    </row>
    <row r="136" spans="1:17" hidden="1" outlineLevel="1" x14ac:dyDescent="0.3">
      <c r="A136" s="276" t="s">
        <v>6017</v>
      </c>
      <c r="B136" s="276" t="s">
        <v>940</v>
      </c>
      <c r="C136" s="276" t="s">
        <v>825</v>
      </c>
      <c r="D136" s="547">
        <v>0</v>
      </c>
      <c r="E136" s="547">
        <v>0</v>
      </c>
      <c r="F136" s="547">
        <v>0</v>
      </c>
      <c r="G136" s="547">
        <v>0</v>
      </c>
      <c r="H136" s="547">
        <v>0</v>
      </c>
      <c r="I136" s="275"/>
      <c r="J136" s="37"/>
      <c r="K136" s="37"/>
      <c r="L136" s="37"/>
      <c r="M136" s="37"/>
      <c r="N136" s="37"/>
      <c r="O136" s="37"/>
      <c r="P136" s="37"/>
      <c r="Q136" s="37"/>
    </row>
    <row r="137" spans="1:17" hidden="1" outlineLevel="1" x14ac:dyDescent="0.3">
      <c r="A137" s="276" t="s">
        <v>6017</v>
      </c>
      <c r="B137" s="276" t="s">
        <v>940</v>
      </c>
      <c r="C137" s="276" t="s">
        <v>827</v>
      </c>
      <c r="D137" s="547">
        <v>0</v>
      </c>
      <c r="E137" s="547">
        <v>50000</v>
      </c>
      <c r="F137" s="547">
        <v>50000</v>
      </c>
      <c r="G137" s="547">
        <v>50000</v>
      </c>
      <c r="H137" s="547">
        <v>50000</v>
      </c>
      <c r="I137" s="275"/>
      <c r="J137" s="37"/>
      <c r="K137" s="37"/>
      <c r="L137" s="37"/>
      <c r="M137" s="37"/>
      <c r="N137" s="37"/>
      <c r="O137" s="37"/>
      <c r="P137" s="37"/>
      <c r="Q137" s="37"/>
    </row>
    <row r="138" spans="1:17" hidden="1" outlineLevel="1" x14ac:dyDescent="0.3">
      <c r="A138" s="276" t="s">
        <v>6017</v>
      </c>
      <c r="B138" s="276" t="s">
        <v>940</v>
      </c>
      <c r="C138" s="276" t="s">
        <v>829</v>
      </c>
      <c r="D138" s="547">
        <v>0</v>
      </c>
      <c r="E138" s="547">
        <v>0</v>
      </c>
      <c r="F138" s="547">
        <v>0</v>
      </c>
      <c r="G138" s="547">
        <v>0</v>
      </c>
      <c r="H138" s="547">
        <v>0</v>
      </c>
      <c r="I138" s="275"/>
      <c r="J138" s="37"/>
      <c r="K138" s="37"/>
      <c r="L138" s="37"/>
      <c r="M138" s="37"/>
      <c r="N138" s="37"/>
      <c r="O138" s="37"/>
      <c r="P138" s="37"/>
      <c r="Q138" s="37"/>
    </row>
    <row r="139" spans="1:17" hidden="1" outlineLevel="1" x14ac:dyDescent="0.3">
      <c r="A139" s="276" t="s">
        <v>6017</v>
      </c>
      <c r="B139" s="276" t="s">
        <v>940</v>
      </c>
      <c r="C139" s="276" t="s">
        <v>833</v>
      </c>
      <c r="D139" s="547">
        <v>0</v>
      </c>
      <c r="E139" s="547">
        <v>0</v>
      </c>
      <c r="F139" s="547">
        <v>0</v>
      </c>
      <c r="G139" s="547">
        <v>0</v>
      </c>
      <c r="H139" s="547">
        <v>0</v>
      </c>
      <c r="I139" s="275"/>
      <c r="J139" s="37"/>
      <c r="K139" s="37"/>
      <c r="L139" s="37"/>
      <c r="M139" s="37"/>
      <c r="N139" s="37"/>
      <c r="O139" s="37"/>
      <c r="P139" s="37"/>
      <c r="Q139" s="37"/>
    </row>
    <row r="140" spans="1:17" hidden="1" outlineLevel="1" x14ac:dyDescent="0.3">
      <c r="A140" s="276" t="s">
        <v>6017</v>
      </c>
      <c r="B140" s="276" t="s">
        <v>940</v>
      </c>
      <c r="C140" s="276" t="s">
        <v>836</v>
      </c>
      <c r="D140" s="547">
        <v>0</v>
      </c>
      <c r="E140" s="547">
        <v>0</v>
      </c>
      <c r="F140" s="547">
        <v>0</v>
      </c>
      <c r="G140" s="547">
        <v>0</v>
      </c>
      <c r="H140" s="547">
        <v>0</v>
      </c>
      <c r="I140" s="275"/>
      <c r="J140" s="37"/>
      <c r="K140" s="37"/>
      <c r="L140" s="37"/>
      <c r="M140" s="37"/>
      <c r="N140" s="37"/>
      <c r="O140" s="37"/>
      <c r="P140" s="37"/>
      <c r="Q140" s="37"/>
    </row>
    <row r="141" spans="1:17" hidden="1" outlineLevel="1" x14ac:dyDescent="0.3">
      <c r="A141" s="276" t="s">
        <v>6017</v>
      </c>
      <c r="B141" s="276" t="s">
        <v>940</v>
      </c>
      <c r="C141" s="276" t="s">
        <v>837</v>
      </c>
      <c r="D141" s="547">
        <v>0</v>
      </c>
      <c r="E141" s="547">
        <v>0</v>
      </c>
      <c r="F141" s="547">
        <v>0</v>
      </c>
      <c r="G141" s="547">
        <v>0</v>
      </c>
      <c r="H141" s="547">
        <v>0</v>
      </c>
      <c r="I141" s="275" t="s">
        <v>5969</v>
      </c>
      <c r="J141" s="37"/>
      <c r="K141" s="37"/>
      <c r="L141" s="37"/>
      <c r="M141" s="37"/>
      <c r="N141" s="37"/>
      <c r="O141" s="37"/>
      <c r="P141" s="37"/>
      <c r="Q141" s="37"/>
    </row>
    <row r="142" spans="1:17" hidden="1" outlineLevel="1" x14ac:dyDescent="0.3">
      <c r="A142" s="276" t="s">
        <v>6017</v>
      </c>
      <c r="B142" s="276" t="s">
        <v>940</v>
      </c>
      <c r="C142" s="276" t="s">
        <v>839</v>
      </c>
      <c r="D142" s="547">
        <v>0</v>
      </c>
      <c r="E142" s="547">
        <v>0</v>
      </c>
      <c r="F142" s="547">
        <v>0</v>
      </c>
      <c r="G142" s="547">
        <v>0</v>
      </c>
      <c r="H142" s="547">
        <v>0</v>
      </c>
      <c r="I142" s="275"/>
      <c r="J142" s="37"/>
      <c r="K142" s="37"/>
      <c r="L142" s="37"/>
      <c r="M142" s="37"/>
      <c r="N142" s="37"/>
      <c r="O142" s="37"/>
      <c r="P142" s="37"/>
      <c r="Q142" s="37"/>
    </row>
    <row r="143" spans="1:17" hidden="1" outlineLevel="1" x14ac:dyDescent="0.3">
      <c r="A143" s="276" t="s">
        <v>6017</v>
      </c>
      <c r="B143" s="276" t="s">
        <v>940</v>
      </c>
      <c r="C143" s="276" t="s">
        <v>840</v>
      </c>
      <c r="D143" s="547">
        <v>0</v>
      </c>
      <c r="E143" s="547">
        <v>0</v>
      </c>
      <c r="F143" s="547">
        <v>0</v>
      </c>
      <c r="G143" s="547">
        <v>0</v>
      </c>
      <c r="H143" s="547">
        <v>0</v>
      </c>
      <c r="I143" s="275"/>
      <c r="J143" s="37"/>
      <c r="K143" s="37"/>
      <c r="L143" s="37"/>
      <c r="M143" s="37"/>
      <c r="N143" s="37"/>
      <c r="O143" s="37"/>
      <c r="P143" s="37"/>
      <c r="Q143" s="37"/>
    </row>
    <row r="144" spans="1:17" collapsed="1" x14ac:dyDescent="0.3">
      <c r="A144" s="276"/>
      <c r="B144" s="276"/>
      <c r="C144" s="530" t="s">
        <v>2684</v>
      </c>
      <c r="D144" s="547"/>
      <c r="E144" s="547"/>
      <c r="F144" s="547"/>
      <c r="G144" s="547"/>
      <c r="H144" s="547"/>
      <c r="I144" s="275"/>
      <c r="J144"/>
    </row>
    <row r="145" spans="1:45" s="70" customFormat="1" x14ac:dyDescent="0.3">
      <c r="A145" s="274" t="s">
        <v>6018</v>
      </c>
      <c r="B145" s="274"/>
      <c r="C145" s="299" t="s">
        <v>3973</v>
      </c>
      <c r="D145" s="547">
        <v>37678</v>
      </c>
      <c r="E145" s="547">
        <v>545592</v>
      </c>
      <c r="F145" s="547">
        <v>550553</v>
      </c>
      <c r="G145" s="547">
        <v>555027</v>
      </c>
      <c r="H145" s="547">
        <v>560128</v>
      </c>
      <c r="I145" s="27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row>
    <row r="146" spans="1:45" x14ac:dyDescent="0.3">
      <c r="A146" s="548" t="s">
        <v>5</v>
      </c>
      <c r="B146" s="548" t="s">
        <v>847</v>
      </c>
      <c r="C146" s="548" t="s">
        <v>193</v>
      </c>
      <c r="D146" s="549">
        <v>2025</v>
      </c>
      <c r="E146" s="549">
        <v>2030</v>
      </c>
      <c r="F146" s="549">
        <v>2035</v>
      </c>
      <c r="G146" s="549">
        <v>2040</v>
      </c>
      <c r="H146" s="549">
        <v>2045</v>
      </c>
      <c r="I146" s="550" t="s">
        <v>153</v>
      </c>
      <c r="J146"/>
    </row>
    <row r="147" spans="1:45" hidden="1" outlineLevel="1" x14ac:dyDescent="0.3">
      <c r="A147" s="276" t="s">
        <v>6018</v>
      </c>
      <c r="B147" s="276" t="s">
        <v>855</v>
      </c>
      <c r="C147" s="276" t="s">
        <v>747</v>
      </c>
      <c r="D147" s="547">
        <v>0</v>
      </c>
      <c r="E147" s="547">
        <v>0</v>
      </c>
      <c r="F147" s="547">
        <v>0</v>
      </c>
      <c r="G147" s="547">
        <v>0</v>
      </c>
      <c r="H147" s="547">
        <v>0</v>
      </c>
      <c r="I147" s="275"/>
      <c r="J147" s="37"/>
      <c r="L147" s="37"/>
      <c r="M147" s="37"/>
      <c r="N147" s="37"/>
      <c r="O147" s="37"/>
      <c r="P147" s="37"/>
      <c r="Q147" s="37"/>
    </row>
    <row r="148" spans="1:45" hidden="1" outlineLevel="1" x14ac:dyDescent="0.3">
      <c r="A148" s="276" t="s">
        <v>6018</v>
      </c>
      <c r="B148" s="276" t="s">
        <v>855</v>
      </c>
      <c r="C148" s="276" t="s">
        <v>751</v>
      </c>
      <c r="D148" s="547">
        <v>1469</v>
      </c>
      <c r="E148" s="547">
        <v>1469</v>
      </c>
      <c r="F148" s="547">
        <v>1469</v>
      </c>
      <c r="G148" s="547">
        <v>1469</v>
      </c>
      <c r="H148" s="547">
        <v>1469</v>
      </c>
      <c r="I148" s="275" t="s">
        <v>5970</v>
      </c>
      <c r="J148" s="37"/>
      <c r="K148" s="37"/>
      <c r="L148" s="37"/>
      <c r="M148" s="37"/>
      <c r="N148" s="37"/>
      <c r="O148" s="37"/>
      <c r="P148" s="37"/>
      <c r="Q148" s="37"/>
    </row>
    <row r="149" spans="1:45" hidden="1" outlineLevel="1" x14ac:dyDescent="0.3">
      <c r="A149" s="276" t="s">
        <v>6018</v>
      </c>
      <c r="B149" s="276" t="s">
        <v>855</v>
      </c>
      <c r="C149" s="276" t="s">
        <v>755</v>
      </c>
      <c r="D149" s="547">
        <v>0</v>
      </c>
      <c r="E149" s="547">
        <v>0</v>
      </c>
      <c r="F149" s="547">
        <v>0</v>
      </c>
      <c r="G149" s="547">
        <v>0</v>
      </c>
      <c r="H149" s="547">
        <v>0</v>
      </c>
      <c r="I149" s="275"/>
      <c r="J149" s="37"/>
      <c r="K149" s="37"/>
      <c r="L149" s="37"/>
      <c r="M149" s="37"/>
      <c r="N149" s="37"/>
      <c r="O149" s="37"/>
      <c r="P149" s="37"/>
      <c r="Q149" s="37"/>
    </row>
    <row r="150" spans="1:45" hidden="1" outlineLevel="1" x14ac:dyDescent="0.3">
      <c r="A150" s="276" t="s">
        <v>6018</v>
      </c>
      <c r="B150" s="276" t="s">
        <v>855</v>
      </c>
      <c r="C150" s="276" t="s">
        <v>758</v>
      </c>
      <c r="D150" s="547">
        <v>0</v>
      </c>
      <c r="E150" s="547">
        <v>0</v>
      </c>
      <c r="F150" s="547">
        <v>0</v>
      </c>
      <c r="G150" s="547">
        <v>0</v>
      </c>
      <c r="H150" s="547">
        <v>0</v>
      </c>
      <c r="I150" s="275"/>
      <c r="J150" s="37"/>
      <c r="K150" s="37"/>
      <c r="L150" s="37"/>
      <c r="M150" s="37"/>
      <c r="N150" s="37"/>
      <c r="O150" s="37"/>
      <c r="P150" s="37"/>
      <c r="Q150" s="37"/>
    </row>
    <row r="151" spans="1:45" hidden="1" outlineLevel="1" x14ac:dyDescent="0.3">
      <c r="A151" s="276" t="s">
        <v>6018</v>
      </c>
      <c r="B151" s="276" t="s">
        <v>855</v>
      </c>
      <c r="C151" s="276" t="s">
        <v>761</v>
      </c>
      <c r="D151" s="547">
        <v>0</v>
      </c>
      <c r="E151" s="547">
        <v>0</v>
      </c>
      <c r="F151" s="547">
        <v>0</v>
      </c>
      <c r="G151" s="547">
        <v>0</v>
      </c>
      <c r="H151" s="547">
        <v>0</v>
      </c>
      <c r="I151" s="275"/>
      <c r="J151" s="37"/>
      <c r="K151" s="37"/>
      <c r="L151" s="37"/>
      <c r="M151" s="37"/>
      <c r="N151" s="37"/>
      <c r="O151" s="37"/>
      <c r="P151" s="37"/>
      <c r="Q151" s="37"/>
    </row>
    <row r="152" spans="1:45" hidden="1" outlineLevel="1" x14ac:dyDescent="0.3">
      <c r="A152" s="276" t="s">
        <v>6018</v>
      </c>
      <c r="B152" s="276" t="s">
        <v>855</v>
      </c>
      <c r="C152" s="276" t="s">
        <v>763</v>
      </c>
      <c r="D152" s="547">
        <v>0</v>
      </c>
      <c r="E152" s="547">
        <v>0</v>
      </c>
      <c r="F152" s="547">
        <v>0</v>
      </c>
      <c r="G152" s="547">
        <v>0</v>
      </c>
      <c r="H152" s="547">
        <v>0</v>
      </c>
      <c r="I152" s="275"/>
      <c r="J152" s="37"/>
      <c r="K152" s="37"/>
      <c r="L152" s="37"/>
      <c r="M152" s="37"/>
      <c r="N152" s="37"/>
      <c r="O152" s="37"/>
      <c r="P152" s="37"/>
      <c r="Q152" s="37"/>
    </row>
    <row r="153" spans="1:45" hidden="1" outlineLevel="1" x14ac:dyDescent="0.3">
      <c r="A153" s="276" t="s">
        <v>6018</v>
      </c>
      <c r="B153" s="276" t="s">
        <v>855</v>
      </c>
      <c r="C153" s="276" t="s">
        <v>765</v>
      </c>
      <c r="D153" s="547">
        <v>0</v>
      </c>
      <c r="E153" s="547">
        <v>0</v>
      </c>
      <c r="F153" s="547">
        <v>0</v>
      </c>
      <c r="G153" s="547">
        <v>0</v>
      </c>
      <c r="H153" s="547">
        <v>0</v>
      </c>
      <c r="I153" s="275"/>
      <c r="J153" s="37"/>
      <c r="K153" s="37"/>
      <c r="L153" s="37"/>
      <c r="M153" s="37"/>
      <c r="N153" s="37"/>
      <c r="O153" s="37"/>
      <c r="P153" s="37"/>
      <c r="Q153" s="37"/>
    </row>
    <row r="154" spans="1:45" hidden="1" outlineLevel="1" x14ac:dyDescent="0.3">
      <c r="A154" s="276" t="s">
        <v>6018</v>
      </c>
      <c r="B154" s="276" t="s">
        <v>855</v>
      </c>
      <c r="C154" s="276" t="s">
        <v>768</v>
      </c>
      <c r="D154" s="547">
        <v>0</v>
      </c>
      <c r="E154" s="547">
        <v>0</v>
      </c>
      <c r="F154" s="547">
        <v>0</v>
      </c>
      <c r="G154" s="547">
        <v>0</v>
      </c>
      <c r="H154" s="547">
        <v>0</v>
      </c>
      <c r="I154" s="275"/>
      <c r="J154" s="37"/>
      <c r="K154" s="37"/>
      <c r="L154" s="37"/>
      <c r="M154" s="37"/>
      <c r="N154" s="37"/>
      <c r="O154" s="37"/>
      <c r="P154" s="37"/>
      <c r="Q154" s="37"/>
    </row>
    <row r="155" spans="1:45" hidden="1" outlineLevel="1" x14ac:dyDescent="0.3">
      <c r="A155" s="276" t="s">
        <v>6018</v>
      </c>
      <c r="B155" s="276" t="s">
        <v>855</v>
      </c>
      <c r="C155" s="276" t="s">
        <v>771</v>
      </c>
      <c r="D155" s="547">
        <v>0</v>
      </c>
      <c r="E155" s="547">
        <v>2500</v>
      </c>
      <c r="F155" s="547">
        <v>5000</v>
      </c>
      <c r="G155" s="547">
        <v>7000</v>
      </c>
      <c r="H155" s="547">
        <v>9000</v>
      </c>
      <c r="I155" s="275" t="s">
        <v>5971</v>
      </c>
      <c r="J155" s="37"/>
      <c r="K155" s="37"/>
      <c r="L155" s="37"/>
      <c r="M155" s="37"/>
      <c r="N155" s="37"/>
      <c r="O155" s="37"/>
      <c r="P155" s="37"/>
      <c r="Q155" s="37"/>
    </row>
    <row r="156" spans="1:45" hidden="1" outlineLevel="1" x14ac:dyDescent="0.3">
      <c r="A156" s="276" t="s">
        <v>6018</v>
      </c>
      <c r="B156" s="276" t="s">
        <v>855</v>
      </c>
      <c r="C156" s="276" t="s">
        <v>772</v>
      </c>
      <c r="D156" s="547">
        <v>0</v>
      </c>
      <c r="E156" s="547">
        <v>0</v>
      </c>
      <c r="F156" s="547">
        <v>0</v>
      </c>
      <c r="G156" s="547">
        <v>0</v>
      </c>
      <c r="H156" s="547">
        <v>0</v>
      </c>
      <c r="I156" s="275"/>
      <c r="J156" s="37"/>
      <c r="K156" s="37"/>
      <c r="L156" s="37"/>
      <c r="M156" s="37"/>
      <c r="N156" s="37"/>
      <c r="O156" s="37"/>
      <c r="P156" s="37"/>
      <c r="Q156" s="37"/>
    </row>
    <row r="157" spans="1:45" hidden="1" outlineLevel="1" x14ac:dyDescent="0.3">
      <c r="A157" s="276" t="s">
        <v>6018</v>
      </c>
      <c r="B157" s="276" t="s">
        <v>855</v>
      </c>
      <c r="C157" s="276" t="s">
        <v>774</v>
      </c>
      <c r="D157" s="547">
        <v>0</v>
      </c>
      <c r="E157" s="547">
        <v>0</v>
      </c>
      <c r="F157" s="547">
        <v>0</v>
      </c>
      <c r="G157" s="547">
        <v>0</v>
      </c>
      <c r="H157" s="547">
        <v>0</v>
      </c>
      <c r="I157" s="275" t="s">
        <v>2771</v>
      </c>
      <c r="J157" s="37"/>
      <c r="L157" s="37"/>
      <c r="M157" s="37"/>
      <c r="N157" s="37"/>
      <c r="O157" s="37"/>
      <c r="P157" s="37"/>
      <c r="Q157" s="37"/>
    </row>
    <row r="158" spans="1:45" hidden="1" outlineLevel="1" x14ac:dyDescent="0.3">
      <c r="A158" s="276" t="s">
        <v>6018</v>
      </c>
      <c r="B158" s="276" t="s">
        <v>855</v>
      </c>
      <c r="C158" s="276" t="s">
        <v>775</v>
      </c>
      <c r="D158" s="547">
        <v>0</v>
      </c>
      <c r="E158" s="547">
        <v>0</v>
      </c>
      <c r="F158" s="547">
        <v>0</v>
      </c>
      <c r="G158" s="547">
        <v>0</v>
      </c>
      <c r="H158" s="547">
        <v>0</v>
      </c>
      <c r="I158" s="275"/>
      <c r="J158" s="37"/>
      <c r="K158" s="251"/>
      <c r="L158" s="37"/>
      <c r="M158" s="37"/>
      <c r="N158" s="37"/>
      <c r="O158" s="37"/>
      <c r="P158" s="37"/>
      <c r="Q158" s="37"/>
    </row>
    <row r="159" spans="1:45" hidden="1" outlineLevel="1" x14ac:dyDescent="0.3">
      <c r="A159" s="276" t="s">
        <v>6018</v>
      </c>
      <c r="B159" s="276" t="s">
        <v>855</v>
      </c>
      <c r="C159" s="276" t="s">
        <v>779</v>
      </c>
      <c r="D159" s="547">
        <v>0</v>
      </c>
      <c r="E159" s="547">
        <v>0</v>
      </c>
      <c r="F159" s="547">
        <v>0</v>
      </c>
      <c r="G159" s="547">
        <v>0</v>
      </c>
      <c r="H159" s="547">
        <v>0</v>
      </c>
      <c r="I159" s="275"/>
      <c r="J159" s="37"/>
      <c r="K159" s="37"/>
      <c r="L159" s="37"/>
      <c r="M159" s="37"/>
      <c r="N159" s="37"/>
      <c r="O159" s="37"/>
      <c r="P159" s="37"/>
      <c r="Q159" s="37"/>
    </row>
    <row r="160" spans="1:45" hidden="1" outlineLevel="1" x14ac:dyDescent="0.3">
      <c r="A160" s="276" t="s">
        <v>6018</v>
      </c>
      <c r="B160" s="276" t="s">
        <v>894</v>
      </c>
      <c r="C160" s="276" t="s">
        <v>781</v>
      </c>
      <c r="D160" s="547">
        <v>0</v>
      </c>
      <c r="E160" s="547">
        <v>0</v>
      </c>
      <c r="F160" s="547">
        <v>0</v>
      </c>
      <c r="G160" s="547">
        <v>0</v>
      </c>
      <c r="H160" s="547">
        <v>0</v>
      </c>
      <c r="I160" s="275"/>
      <c r="J160" s="37"/>
      <c r="K160" s="37"/>
      <c r="L160" s="37"/>
      <c r="M160" s="37"/>
      <c r="N160" s="37"/>
      <c r="O160" s="37"/>
      <c r="P160" s="37"/>
      <c r="Q160" s="37"/>
    </row>
    <row r="161" spans="1:17" hidden="1" outlineLevel="1" x14ac:dyDescent="0.3">
      <c r="A161" s="276" t="s">
        <v>6018</v>
      </c>
      <c r="B161" s="276" t="s">
        <v>894</v>
      </c>
      <c r="C161" s="276" t="s">
        <v>783</v>
      </c>
      <c r="D161" s="547">
        <v>0</v>
      </c>
      <c r="E161" s="547">
        <v>0</v>
      </c>
      <c r="F161" s="547">
        <v>0</v>
      </c>
      <c r="G161" s="547">
        <v>0</v>
      </c>
      <c r="H161" s="547">
        <v>0</v>
      </c>
      <c r="I161" s="275"/>
      <c r="J161" s="37"/>
      <c r="K161" s="37"/>
      <c r="L161" s="37"/>
      <c r="M161" s="37"/>
      <c r="N161" s="37"/>
      <c r="O161" s="37"/>
      <c r="P161" s="37"/>
      <c r="Q161" s="37"/>
    </row>
    <row r="162" spans="1:17" hidden="1" outlineLevel="1" x14ac:dyDescent="0.3">
      <c r="A162" s="276" t="s">
        <v>6018</v>
      </c>
      <c r="B162" s="276" t="s">
        <v>894</v>
      </c>
      <c r="C162" s="276" t="s">
        <v>785</v>
      </c>
      <c r="D162" s="547">
        <v>0</v>
      </c>
      <c r="E162" s="547">
        <v>0</v>
      </c>
      <c r="F162" s="547">
        <v>0</v>
      </c>
      <c r="G162" s="547">
        <v>0</v>
      </c>
      <c r="H162" s="547">
        <v>0</v>
      </c>
      <c r="I162" s="275"/>
      <c r="J162" s="37"/>
      <c r="K162" s="37"/>
      <c r="L162" s="37"/>
      <c r="M162" s="37"/>
      <c r="N162" s="37"/>
      <c r="O162" s="37"/>
      <c r="P162" s="37"/>
      <c r="Q162" s="37"/>
    </row>
    <row r="163" spans="1:17" hidden="1" outlineLevel="1" x14ac:dyDescent="0.3">
      <c r="A163" s="276" t="s">
        <v>6018</v>
      </c>
      <c r="B163" s="276" t="s">
        <v>894</v>
      </c>
      <c r="C163" s="276" t="s">
        <v>787</v>
      </c>
      <c r="D163" s="547">
        <v>0</v>
      </c>
      <c r="E163" s="547">
        <v>0</v>
      </c>
      <c r="F163" s="547">
        <v>0</v>
      </c>
      <c r="G163" s="547">
        <v>0</v>
      </c>
      <c r="H163" s="547">
        <v>0</v>
      </c>
      <c r="I163" s="275"/>
      <c r="J163" s="37"/>
      <c r="K163" s="37"/>
      <c r="L163" s="37"/>
      <c r="M163" s="37"/>
      <c r="N163" s="37"/>
      <c r="O163" s="37"/>
      <c r="P163" s="37"/>
      <c r="Q163" s="37"/>
    </row>
    <row r="164" spans="1:17" hidden="1" outlineLevel="1" x14ac:dyDescent="0.3">
      <c r="A164" s="276" t="s">
        <v>6018</v>
      </c>
      <c r="B164" s="276" t="s">
        <v>894</v>
      </c>
      <c r="C164" s="276" t="s">
        <v>788</v>
      </c>
      <c r="D164" s="547">
        <v>0</v>
      </c>
      <c r="E164" s="547">
        <v>0</v>
      </c>
      <c r="F164" s="547">
        <v>0</v>
      </c>
      <c r="G164" s="547">
        <v>0</v>
      </c>
      <c r="H164" s="547">
        <v>0</v>
      </c>
      <c r="I164" s="275"/>
      <c r="J164" s="37"/>
      <c r="K164" s="37"/>
      <c r="L164" s="37"/>
      <c r="M164" s="37"/>
      <c r="N164" s="37"/>
      <c r="O164" s="37"/>
      <c r="P164" s="37"/>
      <c r="Q164" s="37"/>
    </row>
    <row r="165" spans="1:17" hidden="1" outlineLevel="1" x14ac:dyDescent="0.3">
      <c r="A165" s="276" t="s">
        <v>6018</v>
      </c>
      <c r="B165" s="276" t="s">
        <v>894</v>
      </c>
      <c r="C165" s="276" t="s">
        <v>789</v>
      </c>
      <c r="D165" s="547">
        <v>0</v>
      </c>
      <c r="E165" s="547">
        <v>0</v>
      </c>
      <c r="F165" s="547">
        <v>0</v>
      </c>
      <c r="G165" s="547">
        <v>0</v>
      </c>
      <c r="H165" s="547">
        <v>0</v>
      </c>
      <c r="I165" s="275"/>
      <c r="J165" s="37"/>
      <c r="K165" s="37"/>
      <c r="L165" s="37"/>
      <c r="M165" s="37"/>
      <c r="N165" s="37"/>
      <c r="O165" s="37"/>
      <c r="P165" s="37"/>
      <c r="Q165" s="37"/>
    </row>
    <row r="166" spans="1:17" hidden="1" outlineLevel="1" x14ac:dyDescent="0.3">
      <c r="A166" s="276" t="s">
        <v>6018</v>
      </c>
      <c r="B166" s="276" t="s">
        <v>894</v>
      </c>
      <c r="C166" s="276" t="s">
        <v>790</v>
      </c>
      <c r="D166" s="547">
        <v>1000</v>
      </c>
      <c r="E166" s="547">
        <v>2067</v>
      </c>
      <c r="F166" s="547">
        <v>3133</v>
      </c>
      <c r="G166" s="547">
        <v>4200</v>
      </c>
      <c r="H166" s="547">
        <v>6300</v>
      </c>
      <c r="I166" s="275" t="s">
        <v>2708</v>
      </c>
      <c r="J166" s="37"/>
      <c r="K166" s="37"/>
      <c r="L166" s="37"/>
      <c r="M166" s="37"/>
      <c r="N166" s="37"/>
      <c r="O166" s="37"/>
      <c r="P166" s="37"/>
      <c r="Q166" s="37"/>
    </row>
    <row r="167" spans="1:17" hidden="1" outlineLevel="1" x14ac:dyDescent="0.3">
      <c r="A167" s="276" t="s">
        <v>6018</v>
      </c>
      <c r="B167" s="276" t="s">
        <v>894</v>
      </c>
      <c r="C167" s="276" t="s">
        <v>793</v>
      </c>
      <c r="D167" s="547">
        <v>0</v>
      </c>
      <c r="E167" s="547">
        <v>0</v>
      </c>
      <c r="F167" s="547">
        <v>0</v>
      </c>
      <c r="G167" s="547">
        <v>0</v>
      </c>
      <c r="H167" s="547">
        <v>0</v>
      </c>
      <c r="I167" s="275" t="s">
        <v>5966</v>
      </c>
      <c r="J167" s="37"/>
      <c r="K167" s="37"/>
      <c r="L167" s="37"/>
      <c r="M167" s="37"/>
      <c r="N167" s="37"/>
      <c r="O167" s="37"/>
      <c r="P167" s="37"/>
      <c r="Q167" s="37"/>
    </row>
    <row r="168" spans="1:17" hidden="1" outlineLevel="1" x14ac:dyDescent="0.3">
      <c r="A168" s="276" t="s">
        <v>6018</v>
      </c>
      <c r="B168" s="276" t="s">
        <v>894</v>
      </c>
      <c r="C168" s="276" t="s">
        <v>795</v>
      </c>
      <c r="D168" s="547">
        <v>0</v>
      </c>
      <c r="E168" s="547">
        <v>0</v>
      </c>
      <c r="F168" s="547">
        <v>0</v>
      </c>
      <c r="G168" s="547">
        <v>0</v>
      </c>
      <c r="H168" s="547">
        <v>0</v>
      </c>
      <c r="I168" s="275"/>
      <c r="J168" s="37"/>
      <c r="K168" s="37"/>
      <c r="L168" s="37"/>
      <c r="M168" s="37"/>
      <c r="N168" s="37"/>
      <c r="O168" s="37"/>
      <c r="P168" s="37"/>
      <c r="Q168" s="37"/>
    </row>
    <row r="169" spans="1:17" hidden="1" outlineLevel="1" x14ac:dyDescent="0.3">
      <c r="A169" s="276" t="s">
        <v>6018</v>
      </c>
      <c r="B169" s="276" t="s">
        <v>894</v>
      </c>
      <c r="C169" s="276" t="s">
        <v>797</v>
      </c>
      <c r="D169" s="547">
        <v>0</v>
      </c>
      <c r="E169" s="547">
        <v>0</v>
      </c>
      <c r="F169" s="547">
        <v>0</v>
      </c>
      <c r="G169" s="547">
        <v>0</v>
      </c>
      <c r="H169" s="547">
        <v>0</v>
      </c>
      <c r="I169" s="275"/>
      <c r="J169" s="37"/>
      <c r="K169" s="37"/>
      <c r="L169" s="37"/>
      <c r="M169" s="37"/>
      <c r="N169" s="37"/>
      <c r="O169" s="37"/>
      <c r="P169" s="37"/>
      <c r="Q169" s="37"/>
    </row>
    <row r="170" spans="1:17" hidden="1" outlineLevel="1" x14ac:dyDescent="0.3">
      <c r="A170" s="276" t="s">
        <v>6018</v>
      </c>
      <c r="B170" s="276" t="s">
        <v>915</v>
      </c>
      <c r="C170" s="276" t="s">
        <v>799</v>
      </c>
      <c r="D170" s="547">
        <v>0</v>
      </c>
      <c r="E170" s="547">
        <v>0</v>
      </c>
      <c r="F170" s="547">
        <v>0</v>
      </c>
      <c r="G170" s="547">
        <v>0</v>
      </c>
      <c r="H170" s="547">
        <v>0</v>
      </c>
      <c r="I170" s="275"/>
      <c r="J170" s="37"/>
      <c r="K170" s="537"/>
      <c r="L170" s="37"/>
      <c r="M170" s="37"/>
      <c r="N170" s="37"/>
      <c r="O170" s="37"/>
      <c r="P170" s="37"/>
      <c r="Q170" s="37"/>
    </row>
    <row r="171" spans="1:17" hidden="1" outlineLevel="1" x14ac:dyDescent="0.3">
      <c r="A171" s="276" t="s">
        <v>6018</v>
      </c>
      <c r="B171" s="276" t="s">
        <v>915</v>
      </c>
      <c r="C171" s="276" t="s">
        <v>801</v>
      </c>
      <c r="D171" s="547">
        <v>0</v>
      </c>
      <c r="E171" s="547">
        <v>2500</v>
      </c>
      <c r="F171" s="547">
        <v>2500</v>
      </c>
      <c r="G171" s="547">
        <v>2500</v>
      </c>
      <c r="H171" s="547">
        <v>2500</v>
      </c>
      <c r="I171" s="275" t="s">
        <v>5972</v>
      </c>
      <c r="J171" s="37"/>
      <c r="K171" s="37"/>
      <c r="L171" s="37"/>
      <c r="M171" s="37"/>
      <c r="N171" s="37"/>
      <c r="O171" s="37"/>
      <c r="P171" s="37"/>
      <c r="Q171" s="37"/>
    </row>
    <row r="172" spans="1:17" hidden="1" outlineLevel="1" x14ac:dyDescent="0.3">
      <c r="A172" s="276" t="s">
        <v>6018</v>
      </c>
      <c r="B172" s="276" t="s">
        <v>915</v>
      </c>
      <c r="C172" s="276" t="s">
        <v>804</v>
      </c>
      <c r="D172" s="547">
        <v>3360</v>
      </c>
      <c r="E172" s="547">
        <v>3360</v>
      </c>
      <c r="F172" s="547">
        <v>3360</v>
      </c>
      <c r="G172" s="547">
        <v>3360</v>
      </c>
      <c r="H172" s="547">
        <v>3360</v>
      </c>
      <c r="I172" s="275" t="s">
        <v>5973</v>
      </c>
      <c r="J172" s="37"/>
      <c r="L172" s="37"/>
      <c r="M172" s="37"/>
      <c r="N172" s="37"/>
      <c r="O172" s="37"/>
      <c r="P172" s="37"/>
      <c r="Q172" s="37"/>
    </row>
    <row r="173" spans="1:17" hidden="1" outlineLevel="1" x14ac:dyDescent="0.3">
      <c r="A173" s="276" t="s">
        <v>6018</v>
      </c>
      <c r="B173" s="276" t="s">
        <v>915</v>
      </c>
      <c r="C173" s="276" t="s">
        <v>806</v>
      </c>
      <c r="D173" s="547">
        <v>0</v>
      </c>
      <c r="E173" s="547">
        <v>0</v>
      </c>
      <c r="F173" s="547">
        <v>0</v>
      </c>
      <c r="G173" s="547">
        <v>0</v>
      </c>
      <c r="H173" s="547">
        <v>0</v>
      </c>
      <c r="I173" s="275"/>
      <c r="J173" s="37"/>
      <c r="K173" s="37"/>
      <c r="L173" s="37"/>
      <c r="M173" s="37"/>
      <c r="N173" s="37"/>
      <c r="O173" s="37"/>
      <c r="P173" s="37"/>
      <c r="Q173" s="37"/>
    </row>
    <row r="174" spans="1:17" hidden="1" outlineLevel="1" x14ac:dyDescent="0.3">
      <c r="A174" s="276" t="s">
        <v>6018</v>
      </c>
      <c r="B174" s="276" t="s">
        <v>915</v>
      </c>
      <c r="C174" s="276" t="s">
        <v>808</v>
      </c>
      <c r="D174" s="547">
        <v>0</v>
      </c>
      <c r="E174" s="547">
        <v>0</v>
      </c>
      <c r="F174" s="547">
        <v>0</v>
      </c>
      <c r="G174" s="547">
        <v>0</v>
      </c>
      <c r="H174" s="547">
        <v>0</v>
      </c>
      <c r="I174" s="275"/>
      <c r="J174" s="37"/>
      <c r="K174" s="37"/>
      <c r="L174" s="37"/>
      <c r="M174" s="37"/>
      <c r="N174" s="37"/>
      <c r="O174" s="37"/>
      <c r="P174" s="37"/>
      <c r="Q174" s="37"/>
    </row>
    <row r="175" spans="1:17" hidden="1" outlineLevel="1" x14ac:dyDescent="0.3">
      <c r="A175" s="276" t="s">
        <v>6018</v>
      </c>
      <c r="B175" s="276" t="s">
        <v>915</v>
      </c>
      <c r="C175" s="276" t="s">
        <v>811</v>
      </c>
      <c r="D175" s="547">
        <v>0</v>
      </c>
      <c r="E175" s="547">
        <v>0</v>
      </c>
      <c r="F175" s="547">
        <v>0</v>
      </c>
      <c r="G175" s="547">
        <v>0</v>
      </c>
      <c r="H175" s="547">
        <v>0</v>
      </c>
      <c r="I175" s="275"/>
      <c r="J175" s="37"/>
      <c r="K175" s="37"/>
      <c r="L175" s="37"/>
      <c r="M175" s="37"/>
      <c r="N175" s="37"/>
      <c r="O175" s="37"/>
      <c r="P175" s="37"/>
      <c r="Q175" s="37"/>
    </row>
    <row r="176" spans="1:17" hidden="1" outlineLevel="1" x14ac:dyDescent="0.3">
      <c r="A176" s="276" t="s">
        <v>6018</v>
      </c>
      <c r="B176" s="276" t="s">
        <v>934</v>
      </c>
      <c r="C176" s="276" t="s">
        <v>814</v>
      </c>
      <c r="D176" s="547">
        <v>0</v>
      </c>
      <c r="E176" s="547">
        <v>0</v>
      </c>
      <c r="F176" s="547">
        <v>0</v>
      </c>
      <c r="G176" s="547">
        <v>0</v>
      </c>
      <c r="H176" s="547">
        <v>0</v>
      </c>
      <c r="I176" s="275"/>
      <c r="J176" s="37"/>
      <c r="K176" s="37"/>
      <c r="L176" s="37"/>
      <c r="M176" s="37"/>
      <c r="N176" s="37"/>
      <c r="O176" s="37"/>
      <c r="P176" s="37"/>
      <c r="Q176" s="37"/>
    </row>
    <row r="177" spans="1:45" hidden="1" outlineLevel="1" x14ac:dyDescent="0.3">
      <c r="A177" s="276" t="s">
        <v>6018</v>
      </c>
      <c r="B177" s="276" t="s">
        <v>934</v>
      </c>
      <c r="C177" s="276" t="s">
        <v>815</v>
      </c>
      <c r="D177" s="547">
        <v>0</v>
      </c>
      <c r="E177" s="547">
        <v>0</v>
      </c>
      <c r="F177" s="547">
        <v>0</v>
      </c>
      <c r="G177" s="547">
        <v>0</v>
      </c>
      <c r="H177" s="547">
        <v>0</v>
      </c>
      <c r="I177" s="275"/>
      <c r="J177" s="37"/>
      <c r="K177" s="37"/>
      <c r="L177" s="37"/>
      <c r="M177" s="37"/>
      <c r="N177" s="37"/>
      <c r="O177" s="37"/>
      <c r="P177" s="37"/>
      <c r="Q177" s="37"/>
    </row>
    <row r="178" spans="1:45" hidden="1" outlineLevel="1" x14ac:dyDescent="0.3">
      <c r="A178" s="276" t="s">
        <v>6018</v>
      </c>
      <c r="B178" s="276" t="s">
        <v>940</v>
      </c>
      <c r="C178" s="276" t="s">
        <v>817</v>
      </c>
      <c r="D178" s="547">
        <v>0</v>
      </c>
      <c r="E178" s="547">
        <v>0</v>
      </c>
      <c r="F178" s="547">
        <v>0</v>
      </c>
      <c r="G178" s="547">
        <v>0</v>
      </c>
      <c r="H178" s="547">
        <v>0</v>
      </c>
      <c r="I178" s="275"/>
      <c r="J178" s="37"/>
      <c r="K178" s="37"/>
      <c r="L178" s="37"/>
      <c r="M178" s="37"/>
      <c r="N178" s="37"/>
      <c r="O178" s="37"/>
      <c r="P178" s="37"/>
      <c r="Q178" s="37"/>
    </row>
    <row r="179" spans="1:45" hidden="1" outlineLevel="1" x14ac:dyDescent="0.3">
      <c r="A179" s="276" t="s">
        <v>6018</v>
      </c>
      <c r="B179" s="276" t="s">
        <v>940</v>
      </c>
      <c r="C179" s="276" t="s">
        <v>944</v>
      </c>
      <c r="D179" s="547">
        <v>1849</v>
      </c>
      <c r="E179" s="547">
        <v>3696</v>
      </c>
      <c r="F179" s="547">
        <v>5091</v>
      </c>
      <c r="G179" s="547">
        <v>6498</v>
      </c>
      <c r="H179" s="547">
        <v>7499</v>
      </c>
      <c r="I179" s="275" t="s">
        <v>5962</v>
      </c>
      <c r="J179" s="37"/>
      <c r="K179" s="37"/>
      <c r="L179" s="37"/>
      <c r="M179" s="37"/>
      <c r="N179" s="37"/>
      <c r="O179" s="37"/>
      <c r="P179" s="37"/>
      <c r="Q179" s="37"/>
    </row>
    <row r="180" spans="1:45" hidden="1" outlineLevel="1" x14ac:dyDescent="0.3">
      <c r="A180" s="276" t="s">
        <v>6018</v>
      </c>
      <c r="B180" s="276" t="s">
        <v>940</v>
      </c>
      <c r="C180" s="276" t="s">
        <v>821</v>
      </c>
      <c r="D180" s="547">
        <v>0</v>
      </c>
      <c r="E180" s="547">
        <v>0</v>
      </c>
      <c r="F180" s="547">
        <v>0</v>
      </c>
      <c r="G180" s="547">
        <v>0</v>
      </c>
      <c r="H180" s="547">
        <v>0</v>
      </c>
      <c r="I180" s="275"/>
      <c r="J180" s="37"/>
      <c r="K180" s="37"/>
      <c r="L180" s="37"/>
      <c r="M180" s="37"/>
      <c r="N180" s="37"/>
      <c r="O180" s="37"/>
      <c r="P180" s="37"/>
      <c r="Q180" s="37"/>
    </row>
    <row r="181" spans="1:45" hidden="1" outlineLevel="1" x14ac:dyDescent="0.3">
      <c r="A181" s="276" t="s">
        <v>6018</v>
      </c>
      <c r="B181" s="276" t="s">
        <v>940</v>
      </c>
      <c r="C181" s="276" t="s">
        <v>823</v>
      </c>
      <c r="D181" s="547">
        <v>0</v>
      </c>
      <c r="E181" s="547">
        <v>0</v>
      </c>
      <c r="F181" s="547">
        <v>0</v>
      </c>
      <c r="G181" s="547">
        <v>0</v>
      </c>
      <c r="H181" s="547">
        <v>0</v>
      </c>
      <c r="I181" s="275"/>
      <c r="J181" s="37"/>
      <c r="K181" s="37"/>
      <c r="L181" s="37"/>
      <c r="M181" s="37"/>
      <c r="N181" s="37"/>
      <c r="O181" s="37"/>
      <c r="P181" s="37"/>
      <c r="Q181" s="37"/>
    </row>
    <row r="182" spans="1:45" hidden="1" outlineLevel="1" x14ac:dyDescent="0.3">
      <c r="A182" s="276" t="s">
        <v>6018</v>
      </c>
      <c r="B182" s="276" t="s">
        <v>940</v>
      </c>
      <c r="C182" s="276" t="s">
        <v>825</v>
      </c>
      <c r="D182" s="547">
        <v>0</v>
      </c>
      <c r="E182" s="547">
        <v>0</v>
      </c>
      <c r="F182" s="547">
        <v>0</v>
      </c>
      <c r="G182" s="547">
        <v>0</v>
      </c>
      <c r="H182" s="547">
        <v>0</v>
      </c>
      <c r="I182" s="275"/>
      <c r="J182" s="37"/>
      <c r="K182" s="37"/>
      <c r="L182" s="37"/>
      <c r="M182" s="37"/>
      <c r="N182" s="37"/>
      <c r="O182" s="37"/>
      <c r="P182" s="37"/>
      <c r="Q182" s="37"/>
    </row>
    <row r="183" spans="1:45" hidden="1" outlineLevel="1" x14ac:dyDescent="0.3">
      <c r="A183" s="276" t="s">
        <v>6018</v>
      </c>
      <c r="B183" s="276" t="s">
        <v>940</v>
      </c>
      <c r="C183" s="276" t="s">
        <v>827</v>
      </c>
      <c r="D183" s="547">
        <v>0</v>
      </c>
      <c r="E183" s="547">
        <v>500000</v>
      </c>
      <c r="F183" s="547">
        <v>500000</v>
      </c>
      <c r="G183" s="547">
        <v>500000</v>
      </c>
      <c r="H183" s="547">
        <v>500000</v>
      </c>
      <c r="I183" s="275"/>
      <c r="J183" s="37"/>
      <c r="K183" s="37"/>
      <c r="L183" s="37"/>
      <c r="M183" s="37"/>
      <c r="N183" s="37"/>
      <c r="O183" s="37"/>
      <c r="P183" s="37"/>
      <c r="Q183" s="37"/>
    </row>
    <row r="184" spans="1:45" hidden="1" outlineLevel="1" x14ac:dyDescent="0.3">
      <c r="A184" s="276" t="s">
        <v>6018</v>
      </c>
      <c r="B184" s="276" t="s">
        <v>940</v>
      </c>
      <c r="C184" s="276" t="s">
        <v>829</v>
      </c>
      <c r="D184" s="547">
        <v>0</v>
      </c>
      <c r="E184" s="547">
        <v>0</v>
      </c>
      <c r="F184" s="547">
        <v>0</v>
      </c>
      <c r="G184" s="547">
        <v>0</v>
      </c>
      <c r="H184" s="547">
        <v>0</v>
      </c>
      <c r="I184" s="275"/>
      <c r="J184" s="37"/>
      <c r="K184" s="37"/>
      <c r="L184" s="37"/>
      <c r="M184" s="37"/>
      <c r="N184" s="37"/>
      <c r="O184" s="37"/>
      <c r="P184" s="37"/>
      <c r="Q184" s="37"/>
    </row>
    <row r="185" spans="1:45" hidden="1" outlineLevel="1" x14ac:dyDescent="0.3">
      <c r="A185" s="276" t="s">
        <v>6018</v>
      </c>
      <c r="B185" s="276" t="s">
        <v>940</v>
      </c>
      <c r="C185" s="276" t="s">
        <v>833</v>
      </c>
      <c r="D185" s="547">
        <v>0</v>
      </c>
      <c r="E185" s="547">
        <v>0</v>
      </c>
      <c r="F185" s="547">
        <v>0</v>
      </c>
      <c r="G185" s="547">
        <v>0</v>
      </c>
      <c r="H185" s="547">
        <v>0</v>
      </c>
      <c r="I185" s="275"/>
      <c r="J185" s="37"/>
      <c r="K185" s="37"/>
      <c r="L185" s="37"/>
      <c r="M185" s="37"/>
      <c r="N185" s="37"/>
      <c r="O185" s="37"/>
      <c r="P185" s="37"/>
      <c r="Q185" s="37"/>
    </row>
    <row r="186" spans="1:45" hidden="1" outlineLevel="1" x14ac:dyDescent="0.3">
      <c r="A186" s="276" t="s">
        <v>6018</v>
      </c>
      <c r="B186" s="276" t="s">
        <v>940</v>
      </c>
      <c r="C186" s="276" t="s">
        <v>836</v>
      </c>
      <c r="D186" s="547">
        <v>0</v>
      </c>
      <c r="E186" s="547">
        <v>0</v>
      </c>
      <c r="F186" s="547">
        <v>0</v>
      </c>
      <c r="G186" s="547">
        <v>0</v>
      </c>
      <c r="H186" s="547">
        <v>0</v>
      </c>
      <c r="I186" s="275"/>
      <c r="J186" s="37"/>
      <c r="K186" s="37"/>
      <c r="L186" s="37"/>
      <c r="M186" s="37"/>
      <c r="N186" s="37"/>
      <c r="O186" s="37"/>
      <c r="P186" s="37"/>
      <c r="Q186" s="37"/>
    </row>
    <row r="187" spans="1:45" hidden="1" outlineLevel="1" x14ac:dyDescent="0.3">
      <c r="A187" s="276" t="s">
        <v>6018</v>
      </c>
      <c r="B187" s="276" t="s">
        <v>940</v>
      </c>
      <c r="C187" s="276" t="s">
        <v>837</v>
      </c>
      <c r="D187" s="547">
        <v>30000</v>
      </c>
      <c r="E187" s="547">
        <v>30000</v>
      </c>
      <c r="F187" s="547">
        <v>30000</v>
      </c>
      <c r="G187" s="547">
        <v>30000</v>
      </c>
      <c r="H187" s="547">
        <v>30000</v>
      </c>
      <c r="I187" s="275" t="s">
        <v>5974</v>
      </c>
      <c r="J187" s="37"/>
      <c r="K187" s="37"/>
      <c r="L187" s="37"/>
      <c r="M187" s="37"/>
      <c r="N187" s="37"/>
      <c r="O187" s="37"/>
      <c r="P187" s="37"/>
      <c r="Q187" s="37"/>
    </row>
    <row r="188" spans="1:45" hidden="1" outlineLevel="1" x14ac:dyDescent="0.3">
      <c r="A188" s="276" t="s">
        <v>6018</v>
      </c>
      <c r="B188" s="276" t="s">
        <v>940</v>
      </c>
      <c r="C188" s="276" t="s">
        <v>839</v>
      </c>
      <c r="D188" s="547">
        <v>0</v>
      </c>
      <c r="E188" s="547">
        <v>0</v>
      </c>
      <c r="F188" s="547">
        <v>0</v>
      </c>
      <c r="G188" s="547">
        <v>0</v>
      </c>
      <c r="H188" s="547">
        <v>0</v>
      </c>
      <c r="I188" s="275"/>
      <c r="J188" s="37"/>
      <c r="K188" s="37"/>
      <c r="L188" s="37"/>
      <c r="M188" s="37"/>
      <c r="N188" s="37"/>
      <c r="O188" s="37"/>
      <c r="P188" s="37"/>
      <c r="Q188" s="37"/>
    </row>
    <row r="189" spans="1:45" hidden="1" outlineLevel="1" x14ac:dyDescent="0.3">
      <c r="A189" s="276" t="s">
        <v>6018</v>
      </c>
      <c r="B189" s="276" t="s">
        <v>940</v>
      </c>
      <c r="C189" s="276" t="s">
        <v>840</v>
      </c>
      <c r="D189" s="547">
        <v>0</v>
      </c>
      <c r="E189" s="547">
        <v>0</v>
      </c>
      <c r="F189" s="547">
        <v>0</v>
      </c>
      <c r="G189" s="547">
        <v>0</v>
      </c>
      <c r="H189" s="547">
        <v>0</v>
      </c>
      <c r="I189" s="275"/>
      <c r="J189" s="37"/>
      <c r="K189" s="37"/>
      <c r="L189" s="37"/>
      <c r="M189" s="37"/>
      <c r="N189" s="37"/>
      <c r="O189" s="37"/>
      <c r="P189" s="37"/>
      <c r="Q189" s="37"/>
    </row>
    <row r="190" spans="1:45" collapsed="1" x14ac:dyDescent="0.3">
      <c r="A190" s="276"/>
      <c r="B190" s="276"/>
      <c r="C190" s="530" t="s">
        <v>2684</v>
      </c>
      <c r="D190" s="547"/>
      <c r="E190" s="547"/>
      <c r="F190" s="547"/>
      <c r="G190" s="547"/>
      <c r="H190" s="547"/>
      <c r="I190" s="275"/>
      <c r="J190" s="37"/>
      <c r="K190" s="37"/>
      <c r="L190" s="37"/>
      <c r="M190" s="37"/>
      <c r="N190" s="37"/>
      <c r="O190" s="37"/>
      <c r="P190" s="37"/>
      <c r="Q190" s="37"/>
    </row>
    <row r="191" spans="1:45" s="70" customFormat="1" x14ac:dyDescent="0.3">
      <c r="A191" s="274" t="s">
        <v>6019</v>
      </c>
      <c r="B191" s="274"/>
      <c r="C191" s="299" t="s">
        <v>3973</v>
      </c>
      <c r="D191" s="547">
        <v>0</v>
      </c>
      <c r="E191" s="547">
        <v>118500</v>
      </c>
      <c r="F191" s="547">
        <v>118500</v>
      </c>
      <c r="G191" s="547">
        <v>118500</v>
      </c>
      <c r="H191" s="547">
        <v>118500</v>
      </c>
      <c r="I191" s="275"/>
      <c r="J191" s="37"/>
      <c r="K191" s="37"/>
      <c r="L191" s="37"/>
      <c r="M191" s="37"/>
      <c r="N191" s="37"/>
      <c r="O191" s="37"/>
      <c r="P191" s="37"/>
      <c r="Q191" s="37"/>
      <c r="R191"/>
      <c r="S191"/>
      <c r="T191"/>
      <c r="U191"/>
      <c r="V191"/>
      <c r="W191"/>
      <c r="X191"/>
      <c r="Y191"/>
      <c r="Z191"/>
      <c r="AA191"/>
      <c r="AB191"/>
      <c r="AC191"/>
      <c r="AD191"/>
      <c r="AE191"/>
      <c r="AF191"/>
      <c r="AG191"/>
      <c r="AH191"/>
      <c r="AI191"/>
      <c r="AJ191"/>
      <c r="AK191"/>
      <c r="AL191"/>
      <c r="AM191"/>
      <c r="AN191"/>
      <c r="AO191"/>
      <c r="AP191"/>
      <c r="AQ191"/>
      <c r="AR191"/>
      <c r="AS191"/>
    </row>
    <row r="192" spans="1:45" x14ac:dyDescent="0.3">
      <c r="A192" s="548" t="s">
        <v>5</v>
      </c>
      <c r="B192" s="548" t="s">
        <v>847</v>
      </c>
      <c r="C192" s="548" t="s">
        <v>193</v>
      </c>
      <c r="D192" s="549">
        <v>2025</v>
      </c>
      <c r="E192" s="549">
        <v>2030</v>
      </c>
      <c r="F192" s="549">
        <v>2035</v>
      </c>
      <c r="G192" s="549">
        <v>2040</v>
      </c>
      <c r="H192" s="549">
        <v>2045</v>
      </c>
      <c r="I192" s="550" t="s">
        <v>153</v>
      </c>
      <c r="J192"/>
    </row>
    <row r="193" spans="1:17" hidden="1" outlineLevel="1" x14ac:dyDescent="0.3">
      <c r="A193" s="276" t="s">
        <v>6019</v>
      </c>
      <c r="B193" s="276" t="s">
        <v>855</v>
      </c>
      <c r="C193" s="276" t="s">
        <v>747</v>
      </c>
      <c r="D193" s="547">
        <v>0</v>
      </c>
      <c r="E193" s="547">
        <v>0</v>
      </c>
      <c r="F193" s="547">
        <v>0</v>
      </c>
      <c r="G193" s="547">
        <v>0</v>
      </c>
      <c r="H193" s="547">
        <v>0</v>
      </c>
      <c r="I193" s="275"/>
      <c r="J193" s="37"/>
      <c r="L193" s="37"/>
      <c r="M193" s="37"/>
      <c r="N193" s="37"/>
      <c r="O193" s="37"/>
      <c r="P193" s="37"/>
      <c r="Q193" s="37"/>
    </row>
    <row r="194" spans="1:17" hidden="1" outlineLevel="1" x14ac:dyDescent="0.3">
      <c r="A194" s="276" t="s">
        <v>6019</v>
      </c>
      <c r="B194" s="276" t="s">
        <v>855</v>
      </c>
      <c r="C194" s="276" t="s">
        <v>751</v>
      </c>
      <c r="D194" s="547">
        <v>0</v>
      </c>
      <c r="E194" s="547">
        <v>0</v>
      </c>
      <c r="F194" s="547">
        <v>0</v>
      </c>
      <c r="G194" s="547">
        <v>0</v>
      </c>
      <c r="H194" s="547">
        <v>0</v>
      </c>
      <c r="I194" s="275"/>
      <c r="J194" s="37"/>
      <c r="K194" s="37"/>
      <c r="L194" s="37"/>
      <c r="M194" s="37"/>
      <c r="N194" s="37"/>
      <c r="O194" s="37"/>
      <c r="P194" s="37"/>
      <c r="Q194" s="37"/>
    </row>
    <row r="195" spans="1:17" hidden="1" outlineLevel="1" x14ac:dyDescent="0.3">
      <c r="A195" s="276" t="s">
        <v>6019</v>
      </c>
      <c r="B195" s="276" t="s">
        <v>855</v>
      </c>
      <c r="C195" s="276" t="s">
        <v>755</v>
      </c>
      <c r="D195" s="547">
        <v>0</v>
      </c>
      <c r="E195" s="547">
        <v>0</v>
      </c>
      <c r="F195" s="547">
        <v>0</v>
      </c>
      <c r="G195" s="547">
        <v>0</v>
      </c>
      <c r="H195" s="547">
        <v>0</v>
      </c>
      <c r="I195" s="275"/>
      <c r="J195" s="37"/>
      <c r="K195" s="37"/>
      <c r="L195" s="37"/>
      <c r="M195" s="37"/>
      <c r="N195" s="37"/>
      <c r="O195" s="37"/>
      <c r="P195" s="37"/>
      <c r="Q195" s="37"/>
    </row>
    <row r="196" spans="1:17" hidden="1" outlineLevel="1" x14ac:dyDescent="0.3">
      <c r="A196" s="276" t="s">
        <v>6019</v>
      </c>
      <c r="B196" s="276" t="s">
        <v>855</v>
      </c>
      <c r="C196" s="276" t="s">
        <v>758</v>
      </c>
      <c r="D196" s="547">
        <v>0</v>
      </c>
      <c r="E196" s="547">
        <v>0</v>
      </c>
      <c r="F196" s="547">
        <v>0</v>
      </c>
      <c r="G196" s="547">
        <v>0</v>
      </c>
      <c r="H196" s="547">
        <v>0</v>
      </c>
      <c r="I196" s="275"/>
      <c r="J196" s="37"/>
      <c r="K196" s="37"/>
      <c r="L196" s="37"/>
      <c r="M196" s="37"/>
      <c r="N196" s="37"/>
      <c r="O196" s="37"/>
      <c r="P196" s="37"/>
      <c r="Q196" s="37"/>
    </row>
    <row r="197" spans="1:17" hidden="1" outlineLevel="1" x14ac:dyDescent="0.3">
      <c r="A197" s="276" t="s">
        <v>6019</v>
      </c>
      <c r="B197" s="276" t="s">
        <v>855</v>
      </c>
      <c r="C197" s="276" t="s">
        <v>761</v>
      </c>
      <c r="D197" s="547">
        <v>0</v>
      </c>
      <c r="E197" s="547">
        <v>0</v>
      </c>
      <c r="F197" s="547">
        <v>0</v>
      </c>
      <c r="G197" s="547">
        <v>0</v>
      </c>
      <c r="H197" s="547">
        <v>0</v>
      </c>
      <c r="I197" s="275"/>
      <c r="J197" s="37"/>
      <c r="K197" s="37"/>
      <c r="L197" s="37"/>
      <c r="M197" s="37"/>
      <c r="N197" s="37"/>
      <c r="O197" s="37"/>
      <c r="P197" s="37"/>
      <c r="Q197" s="37"/>
    </row>
    <row r="198" spans="1:17" hidden="1" outlineLevel="1" x14ac:dyDescent="0.3">
      <c r="A198" s="276" t="s">
        <v>6019</v>
      </c>
      <c r="B198" s="276" t="s">
        <v>855</v>
      </c>
      <c r="C198" s="276" t="s">
        <v>763</v>
      </c>
      <c r="D198" s="547">
        <v>0</v>
      </c>
      <c r="E198" s="547">
        <v>0</v>
      </c>
      <c r="F198" s="547">
        <v>0</v>
      </c>
      <c r="G198" s="547">
        <v>0</v>
      </c>
      <c r="H198" s="547">
        <v>0</v>
      </c>
      <c r="I198" s="275"/>
      <c r="J198" s="37"/>
      <c r="K198" s="37"/>
      <c r="L198" s="37"/>
      <c r="M198" s="37"/>
      <c r="N198" s="37"/>
      <c r="O198" s="37"/>
      <c r="P198" s="37"/>
      <c r="Q198" s="37"/>
    </row>
    <row r="199" spans="1:17" hidden="1" outlineLevel="1" x14ac:dyDescent="0.3">
      <c r="A199" s="276" t="s">
        <v>6019</v>
      </c>
      <c r="B199" s="276" t="s">
        <v>855</v>
      </c>
      <c r="C199" s="276" t="s">
        <v>765</v>
      </c>
      <c r="D199" s="547">
        <v>0</v>
      </c>
      <c r="E199" s="547">
        <v>0</v>
      </c>
      <c r="F199" s="547">
        <v>0</v>
      </c>
      <c r="G199" s="547">
        <v>0</v>
      </c>
      <c r="H199" s="547">
        <v>0</v>
      </c>
      <c r="I199" s="275"/>
      <c r="J199" s="37"/>
      <c r="L199" s="37"/>
      <c r="M199" s="37"/>
      <c r="N199" s="37"/>
      <c r="O199" s="37"/>
      <c r="P199" s="37"/>
      <c r="Q199" s="37"/>
    </row>
    <row r="200" spans="1:17" hidden="1" outlineLevel="1" x14ac:dyDescent="0.3">
      <c r="A200" s="276" t="s">
        <v>6019</v>
      </c>
      <c r="B200" s="276" t="s">
        <v>855</v>
      </c>
      <c r="C200" s="276" t="s">
        <v>768</v>
      </c>
      <c r="D200" s="547">
        <v>0</v>
      </c>
      <c r="E200" s="547">
        <v>0</v>
      </c>
      <c r="F200" s="547">
        <v>0</v>
      </c>
      <c r="G200" s="547">
        <v>0</v>
      </c>
      <c r="H200" s="547">
        <v>0</v>
      </c>
      <c r="I200" s="275"/>
      <c r="J200" s="37"/>
      <c r="K200" s="251"/>
      <c r="L200" s="37"/>
      <c r="M200" s="37"/>
      <c r="N200" s="37"/>
      <c r="O200" s="37"/>
      <c r="P200" s="37"/>
      <c r="Q200" s="37"/>
    </row>
    <row r="201" spans="1:17" hidden="1" outlineLevel="1" x14ac:dyDescent="0.3">
      <c r="A201" s="276" t="s">
        <v>6019</v>
      </c>
      <c r="B201" s="276" t="s">
        <v>855</v>
      </c>
      <c r="C201" s="276" t="s">
        <v>771</v>
      </c>
      <c r="D201" s="547">
        <v>0</v>
      </c>
      <c r="E201" s="547">
        <v>0</v>
      </c>
      <c r="F201" s="547">
        <v>0</v>
      </c>
      <c r="G201" s="547">
        <v>0</v>
      </c>
      <c r="H201" s="547">
        <v>0</v>
      </c>
      <c r="I201" s="275"/>
      <c r="J201" s="37"/>
      <c r="K201" s="251"/>
      <c r="L201" s="37"/>
      <c r="M201" s="37"/>
      <c r="N201" s="37"/>
      <c r="O201" s="37"/>
      <c r="P201" s="37"/>
      <c r="Q201" s="37"/>
    </row>
    <row r="202" spans="1:17" hidden="1" outlineLevel="1" x14ac:dyDescent="0.3">
      <c r="A202" s="276" t="s">
        <v>6019</v>
      </c>
      <c r="B202" s="276" t="s">
        <v>855</v>
      </c>
      <c r="C202" s="276" t="s">
        <v>772</v>
      </c>
      <c r="D202" s="547">
        <v>0</v>
      </c>
      <c r="E202" s="547">
        <v>0</v>
      </c>
      <c r="F202" s="547">
        <v>0</v>
      </c>
      <c r="G202" s="547">
        <v>0</v>
      </c>
      <c r="H202" s="547">
        <v>0</v>
      </c>
      <c r="I202" s="275"/>
      <c r="J202" s="37"/>
      <c r="K202" s="251"/>
      <c r="L202" s="37"/>
      <c r="M202" s="37"/>
      <c r="N202" s="37"/>
      <c r="O202" s="37"/>
      <c r="P202" s="37"/>
      <c r="Q202" s="37"/>
    </row>
    <row r="203" spans="1:17" hidden="1" outlineLevel="1" x14ac:dyDescent="0.3">
      <c r="A203" s="276" t="s">
        <v>6019</v>
      </c>
      <c r="B203" s="276" t="s">
        <v>855</v>
      </c>
      <c r="C203" s="276" t="s">
        <v>774</v>
      </c>
      <c r="D203" s="547">
        <v>0</v>
      </c>
      <c r="E203" s="547">
        <v>0</v>
      </c>
      <c r="F203" s="547">
        <v>0</v>
      </c>
      <c r="G203" s="547">
        <v>0</v>
      </c>
      <c r="H203" s="547">
        <v>0</v>
      </c>
      <c r="I203" s="275" t="s">
        <v>2771</v>
      </c>
      <c r="J203" s="37"/>
      <c r="K203" s="251"/>
      <c r="L203" s="37"/>
      <c r="M203" s="37"/>
      <c r="N203" s="37"/>
      <c r="O203" s="37"/>
      <c r="P203" s="37"/>
      <c r="Q203" s="37"/>
    </row>
    <row r="204" spans="1:17" hidden="1" outlineLevel="1" x14ac:dyDescent="0.3">
      <c r="A204" s="276" t="s">
        <v>6019</v>
      </c>
      <c r="B204" s="276" t="s">
        <v>855</v>
      </c>
      <c r="C204" s="276" t="s">
        <v>775</v>
      </c>
      <c r="D204" s="547">
        <v>0</v>
      </c>
      <c r="E204" s="547">
        <v>0</v>
      </c>
      <c r="F204" s="547">
        <v>0</v>
      </c>
      <c r="G204" s="547">
        <v>0</v>
      </c>
      <c r="H204" s="547">
        <v>0</v>
      </c>
      <c r="I204" s="275"/>
      <c r="J204" s="37"/>
      <c r="K204" s="251"/>
      <c r="L204" s="37"/>
      <c r="M204" s="37"/>
      <c r="N204" s="37"/>
      <c r="O204" s="37"/>
      <c r="P204" s="37"/>
      <c r="Q204" s="37"/>
    </row>
    <row r="205" spans="1:17" hidden="1" outlineLevel="1" x14ac:dyDescent="0.3">
      <c r="A205" s="276" t="s">
        <v>6019</v>
      </c>
      <c r="B205" s="276" t="s">
        <v>855</v>
      </c>
      <c r="C205" s="276" t="s">
        <v>779</v>
      </c>
      <c r="D205" s="547">
        <v>0</v>
      </c>
      <c r="E205" s="547">
        <v>0</v>
      </c>
      <c r="F205" s="547">
        <v>0</v>
      </c>
      <c r="G205" s="547">
        <v>0</v>
      </c>
      <c r="H205" s="547">
        <v>0</v>
      </c>
      <c r="I205" s="275"/>
      <c r="J205" s="37"/>
      <c r="K205" s="37"/>
      <c r="L205" s="37"/>
      <c r="M205" s="37"/>
      <c r="N205" s="37"/>
      <c r="O205" s="37"/>
      <c r="P205" s="37"/>
      <c r="Q205" s="37"/>
    </row>
    <row r="206" spans="1:17" hidden="1" outlineLevel="1" x14ac:dyDescent="0.3">
      <c r="A206" s="276" t="s">
        <v>6019</v>
      </c>
      <c r="B206" s="276" t="s">
        <v>894</v>
      </c>
      <c r="C206" s="276" t="s">
        <v>781</v>
      </c>
      <c r="D206" s="547">
        <v>0</v>
      </c>
      <c r="E206" s="547">
        <v>0</v>
      </c>
      <c r="F206" s="547">
        <v>0</v>
      </c>
      <c r="G206" s="547">
        <v>0</v>
      </c>
      <c r="H206" s="547">
        <v>0</v>
      </c>
      <c r="I206" s="275"/>
      <c r="J206" s="37"/>
      <c r="K206" s="37"/>
      <c r="L206" s="37"/>
      <c r="M206" s="37"/>
      <c r="N206" s="37"/>
      <c r="O206" s="37"/>
      <c r="P206" s="37"/>
      <c r="Q206" s="37"/>
    </row>
    <row r="207" spans="1:17" hidden="1" outlineLevel="1" x14ac:dyDescent="0.3">
      <c r="A207" s="276" t="s">
        <v>6019</v>
      </c>
      <c r="B207" s="276" t="s">
        <v>894</v>
      </c>
      <c r="C207" s="276" t="s">
        <v>783</v>
      </c>
      <c r="D207" s="547">
        <v>0</v>
      </c>
      <c r="E207" s="547">
        <v>0</v>
      </c>
      <c r="F207" s="547">
        <v>0</v>
      </c>
      <c r="G207" s="547">
        <v>0</v>
      </c>
      <c r="H207" s="547">
        <v>0</v>
      </c>
      <c r="I207" s="275"/>
      <c r="J207" s="37"/>
      <c r="K207" s="37"/>
      <c r="L207" s="37"/>
      <c r="M207" s="37"/>
      <c r="N207" s="37"/>
      <c r="O207" s="37"/>
      <c r="P207" s="37"/>
      <c r="Q207" s="37"/>
    </row>
    <row r="208" spans="1:17" hidden="1" outlineLevel="1" x14ac:dyDescent="0.3">
      <c r="A208" s="276" t="s">
        <v>6019</v>
      </c>
      <c r="B208" s="276" t="s">
        <v>894</v>
      </c>
      <c r="C208" s="276" t="s">
        <v>785</v>
      </c>
      <c r="D208" s="547">
        <v>0</v>
      </c>
      <c r="E208" s="547">
        <v>0</v>
      </c>
      <c r="F208" s="547">
        <v>0</v>
      </c>
      <c r="G208" s="547">
        <v>0</v>
      </c>
      <c r="H208" s="547">
        <v>0</v>
      </c>
      <c r="I208" s="275"/>
      <c r="J208" s="37"/>
      <c r="K208" s="37"/>
      <c r="L208" s="37"/>
      <c r="M208" s="37"/>
      <c r="N208" s="37"/>
      <c r="O208" s="37"/>
      <c r="P208" s="37"/>
      <c r="Q208" s="37"/>
    </row>
    <row r="209" spans="1:17" hidden="1" outlineLevel="1" x14ac:dyDescent="0.3">
      <c r="A209" s="276" t="s">
        <v>6019</v>
      </c>
      <c r="B209" s="276" t="s">
        <v>894</v>
      </c>
      <c r="C209" s="276" t="s">
        <v>787</v>
      </c>
      <c r="D209" s="547">
        <v>0</v>
      </c>
      <c r="E209" s="547">
        <v>0</v>
      </c>
      <c r="F209" s="547">
        <v>0</v>
      </c>
      <c r="G209" s="547">
        <v>0</v>
      </c>
      <c r="H209" s="547">
        <v>0</v>
      </c>
      <c r="I209" s="275"/>
      <c r="J209" s="37"/>
      <c r="K209" s="37"/>
      <c r="L209" s="37"/>
      <c r="M209" s="37"/>
      <c r="N209" s="37"/>
      <c r="O209" s="37"/>
      <c r="P209" s="37"/>
      <c r="Q209" s="37"/>
    </row>
    <row r="210" spans="1:17" hidden="1" outlineLevel="1" x14ac:dyDescent="0.3">
      <c r="A210" s="276" t="s">
        <v>6019</v>
      </c>
      <c r="B210" s="276" t="s">
        <v>894</v>
      </c>
      <c r="C210" s="276" t="s">
        <v>788</v>
      </c>
      <c r="D210" s="547">
        <v>0</v>
      </c>
      <c r="E210" s="547">
        <v>0</v>
      </c>
      <c r="F210" s="547">
        <v>0</v>
      </c>
      <c r="G210" s="547">
        <v>0</v>
      </c>
      <c r="H210" s="547">
        <v>0</v>
      </c>
      <c r="I210" s="275"/>
      <c r="J210" s="37"/>
      <c r="K210" s="37"/>
      <c r="L210" s="37"/>
      <c r="M210" s="37"/>
      <c r="N210" s="37"/>
      <c r="O210" s="37"/>
      <c r="P210" s="37"/>
      <c r="Q210" s="37"/>
    </row>
    <row r="211" spans="1:17" hidden="1" outlineLevel="1" x14ac:dyDescent="0.3">
      <c r="A211" s="276" t="s">
        <v>6019</v>
      </c>
      <c r="B211" s="276" t="s">
        <v>894</v>
      </c>
      <c r="C211" s="276" t="s">
        <v>789</v>
      </c>
      <c r="D211" s="547">
        <v>0</v>
      </c>
      <c r="E211" s="547">
        <v>0</v>
      </c>
      <c r="F211" s="547">
        <v>0</v>
      </c>
      <c r="G211" s="547">
        <v>0</v>
      </c>
      <c r="H211" s="547">
        <v>0</v>
      </c>
      <c r="I211" s="275"/>
      <c r="J211" s="37"/>
      <c r="K211" s="37"/>
      <c r="L211" s="37"/>
      <c r="M211" s="37"/>
      <c r="N211" s="37"/>
      <c r="O211" s="37"/>
      <c r="P211" s="37"/>
      <c r="Q211" s="37"/>
    </row>
    <row r="212" spans="1:17" hidden="1" outlineLevel="1" x14ac:dyDescent="0.3">
      <c r="A212" s="276" t="s">
        <v>6019</v>
      </c>
      <c r="B212" s="276" t="s">
        <v>894</v>
      </c>
      <c r="C212" s="276" t="s">
        <v>790</v>
      </c>
      <c r="D212" s="547">
        <v>0</v>
      </c>
      <c r="E212" s="547">
        <v>0</v>
      </c>
      <c r="F212" s="547">
        <v>0</v>
      </c>
      <c r="G212" s="547">
        <v>0</v>
      </c>
      <c r="H212" s="547">
        <v>0</v>
      </c>
      <c r="I212" s="275"/>
      <c r="J212" s="37"/>
      <c r="K212" s="37"/>
      <c r="L212" s="37"/>
      <c r="M212" s="37"/>
      <c r="N212" s="37"/>
      <c r="O212" s="37"/>
      <c r="P212" s="37"/>
      <c r="Q212" s="37"/>
    </row>
    <row r="213" spans="1:17" hidden="1" outlineLevel="1" x14ac:dyDescent="0.3">
      <c r="A213" s="276" t="s">
        <v>6019</v>
      </c>
      <c r="B213" s="276" t="s">
        <v>894</v>
      </c>
      <c r="C213" s="276" t="s">
        <v>793</v>
      </c>
      <c r="D213" s="547">
        <v>0</v>
      </c>
      <c r="E213" s="547">
        <v>0</v>
      </c>
      <c r="F213" s="547">
        <v>0</v>
      </c>
      <c r="G213" s="547">
        <v>0</v>
      </c>
      <c r="H213" s="547">
        <v>0</v>
      </c>
      <c r="I213" s="275" t="s">
        <v>5966</v>
      </c>
      <c r="J213" s="37"/>
      <c r="K213" s="37"/>
      <c r="L213" s="37"/>
      <c r="M213" s="37"/>
      <c r="N213" s="37"/>
      <c r="O213" s="37"/>
      <c r="P213" s="37"/>
      <c r="Q213" s="37"/>
    </row>
    <row r="214" spans="1:17" hidden="1" outlineLevel="1" x14ac:dyDescent="0.3">
      <c r="A214" s="276" t="s">
        <v>6019</v>
      </c>
      <c r="B214" s="276" t="s">
        <v>894</v>
      </c>
      <c r="C214" s="276" t="s">
        <v>795</v>
      </c>
      <c r="D214" s="547">
        <v>0</v>
      </c>
      <c r="E214" s="547">
        <v>0</v>
      </c>
      <c r="F214" s="547">
        <v>0</v>
      </c>
      <c r="G214" s="547">
        <v>0</v>
      </c>
      <c r="H214" s="547">
        <v>0</v>
      </c>
      <c r="I214" s="275"/>
      <c r="J214" s="37"/>
      <c r="K214" s="37"/>
      <c r="L214" s="37"/>
      <c r="M214" s="37"/>
      <c r="N214" s="37"/>
      <c r="O214" s="37"/>
      <c r="P214" s="37"/>
      <c r="Q214" s="37"/>
    </row>
    <row r="215" spans="1:17" hidden="1" outlineLevel="1" x14ac:dyDescent="0.3">
      <c r="A215" s="276" t="s">
        <v>6019</v>
      </c>
      <c r="B215" s="276" t="s">
        <v>894</v>
      </c>
      <c r="C215" s="276" t="s">
        <v>797</v>
      </c>
      <c r="D215" s="547">
        <v>0</v>
      </c>
      <c r="E215" s="547">
        <v>0</v>
      </c>
      <c r="F215" s="547">
        <v>0</v>
      </c>
      <c r="G215" s="547">
        <v>0</v>
      </c>
      <c r="H215" s="547">
        <v>0</v>
      </c>
      <c r="I215" s="275"/>
      <c r="J215" s="37"/>
      <c r="K215" s="37"/>
      <c r="L215" s="37"/>
      <c r="M215" s="37"/>
      <c r="N215" s="37"/>
      <c r="O215" s="37"/>
      <c r="P215" s="37"/>
      <c r="Q215" s="37"/>
    </row>
    <row r="216" spans="1:17" hidden="1" outlineLevel="1" x14ac:dyDescent="0.3">
      <c r="A216" s="276" t="s">
        <v>6019</v>
      </c>
      <c r="B216" s="276" t="s">
        <v>915</v>
      </c>
      <c r="C216" s="276" t="s">
        <v>799</v>
      </c>
      <c r="D216" s="547">
        <v>0</v>
      </c>
      <c r="E216" s="547">
        <v>7000</v>
      </c>
      <c r="F216" s="547">
        <v>7000</v>
      </c>
      <c r="G216" s="547">
        <v>7000</v>
      </c>
      <c r="H216" s="547">
        <v>7000</v>
      </c>
      <c r="I216" s="275" t="s">
        <v>5967</v>
      </c>
      <c r="J216" s="37"/>
      <c r="K216" s="537"/>
      <c r="L216" s="37"/>
      <c r="M216" s="37"/>
      <c r="N216" s="37"/>
      <c r="O216" s="37"/>
      <c r="P216" s="37"/>
      <c r="Q216" s="37"/>
    </row>
    <row r="217" spans="1:17" hidden="1" outlineLevel="1" x14ac:dyDescent="0.3">
      <c r="A217" s="276" t="s">
        <v>6019</v>
      </c>
      <c r="B217" s="276" t="s">
        <v>915</v>
      </c>
      <c r="C217" s="276" t="s">
        <v>801</v>
      </c>
      <c r="D217" s="547">
        <v>0</v>
      </c>
      <c r="E217" s="547">
        <v>2500</v>
      </c>
      <c r="F217" s="547">
        <v>2500</v>
      </c>
      <c r="G217" s="547">
        <v>2500</v>
      </c>
      <c r="H217" s="547">
        <v>2500</v>
      </c>
      <c r="I217" s="275" t="s">
        <v>5975</v>
      </c>
      <c r="J217" s="37"/>
      <c r="K217" s="37"/>
      <c r="L217" s="37"/>
      <c r="M217" s="37"/>
      <c r="N217" s="37"/>
      <c r="O217" s="37"/>
      <c r="P217" s="37"/>
      <c r="Q217" s="37"/>
    </row>
    <row r="218" spans="1:17" hidden="1" outlineLevel="1" x14ac:dyDescent="0.3">
      <c r="A218" s="276" t="s">
        <v>6019</v>
      </c>
      <c r="B218" s="276" t="s">
        <v>915</v>
      </c>
      <c r="C218" s="276" t="s">
        <v>804</v>
      </c>
      <c r="D218" s="547">
        <v>0</v>
      </c>
      <c r="E218" s="547">
        <v>0</v>
      </c>
      <c r="F218" s="547">
        <v>0</v>
      </c>
      <c r="G218" s="547">
        <v>0</v>
      </c>
      <c r="H218" s="547">
        <v>0</v>
      </c>
      <c r="I218" s="275"/>
      <c r="J218" s="37"/>
      <c r="L218" s="37"/>
      <c r="M218" s="37"/>
      <c r="N218" s="37"/>
      <c r="O218" s="37"/>
      <c r="P218" s="37"/>
      <c r="Q218" s="37"/>
    </row>
    <row r="219" spans="1:17" hidden="1" outlineLevel="1" x14ac:dyDescent="0.3">
      <c r="A219" s="276" t="s">
        <v>6019</v>
      </c>
      <c r="B219" s="276" t="s">
        <v>915</v>
      </c>
      <c r="C219" s="276" t="s">
        <v>806</v>
      </c>
      <c r="D219" s="547">
        <v>0</v>
      </c>
      <c r="E219" s="547">
        <v>0</v>
      </c>
      <c r="F219" s="547">
        <v>0</v>
      </c>
      <c r="G219" s="547">
        <v>0</v>
      </c>
      <c r="H219" s="547">
        <v>0</v>
      </c>
      <c r="I219" s="275"/>
      <c r="J219" s="37"/>
      <c r="K219" s="37"/>
      <c r="L219" s="37"/>
      <c r="M219" s="37"/>
      <c r="N219" s="37"/>
      <c r="O219" s="37"/>
      <c r="P219" s="37"/>
      <c r="Q219" s="37"/>
    </row>
    <row r="220" spans="1:17" hidden="1" outlineLevel="1" x14ac:dyDescent="0.3">
      <c r="A220" s="276" t="s">
        <v>6019</v>
      </c>
      <c r="B220" s="276" t="s">
        <v>915</v>
      </c>
      <c r="C220" s="276" t="s">
        <v>808</v>
      </c>
      <c r="D220" s="547">
        <v>0</v>
      </c>
      <c r="E220" s="547">
        <v>0</v>
      </c>
      <c r="F220" s="547">
        <v>0</v>
      </c>
      <c r="G220" s="547">
        <v>0</v>
      </c>
      <c r="H220" s="547">
        <v>0</v>
      </c>
      <c r="I220" s="275"/>
      <c r="J220" s="37"/>
      <c r="K220" s="37"/>
      <c r="L220" s="37"/>
      <c r="M220" s="37"/>
      <c r="N220" s="37"/>
      <c r="O220" s="37"/>
      <c r="P220" s="37"/>
      <c r="Q220" s="37"/>
    </row>
    <row r="221" spans="1:17" hidden="1" outlineLevel="1" x14ac:dyDescent="0.3">
      <c r="A221" s="276" t="s">
        <v>6019</v>
      </c>
      <c r="B221" s="276" t="s">
        <v>915</v>
      </c>
      <c r="C221" s="276" t="s">
        <v>811</v>
      </c>
      <c r="D221" s="547">
        <v>0</v>
      </c>
      <c r="E221" s="547">
        <v>9000</v>
      </c>
      <c r="F221" s="547">
        <v>9000</v>
      </c>
      <c r="G221" s="547">
        <v>9000</v>
      </c>
      <c r="H221" s="547">
        <v>9000</v>
      </c>
      <c r="I221" s="275" t="s">
        <v>5976</v>
      </c>
      <c r="J221" s="37"/>
      <c r="K221" s="37"/>
      <c r="L221" s="37"/>
      <c r="M221" s="37"/>
      <c r="N221" s="37"/>
      <c r="O221" s="37"/>
      <c r="P221" s="37"/>
      <c r="Q221" s="37"/>
    </row>
    <row r="222" spans="1:17" hidden="1" outlineLevel="1" x14ac:dyDescent="0.3">
      <c r="A222" s="276" t="s">
        <v>6019</v>
      </c>
      <c r="B222" s="276" t="s">
        <v>934</v>
      </c>
      <c r="C222" s="276" t="s">
        <v>814</v>
      </c>
      <c r="D222" s="547">
        <v>0</v>
      </c>
      <c r="E222" s="547">
        <v>0</v>
      </c>
      <c r="F222" s="547">
        <v>0</v>
      </c>
      <c r="G222" s="547">
        <v>0</v>
      </c>
      <c r="H222" s="547">
        <v>0</v>
      </c>
      <c r="I222" s="275"/>
      <c r="J222" s="37"/>
      <c r="K222" s="37"/>
      <c r="L222" s="37"/>
      <c r="M222" s="37"/>
      <c r="N222" s="37"/>
      <c r="O222" s="37"/>
      <c r="P222" s="37"/>
      <c r="Q222" s="37"/>
    </row>
    <row r="223" spans="1:17" hidden="1" outlineLevel="1" x14ac:dyDescent="0.3">
      <c r="A223" s="276" t="s">
        <v>6019</v>
      </c>
      <c r="B223" s="276" t="s">
        <v>934</v>
      </c>
      <c r="C223" s="276" t="s">
        <v>815</v>
      </c>
      <c r="D223" s="547">
        <v>0</v>
      </c>
      <c r="E223" s="547">
        <v>0</v>
      </c>
      <c r="F223" s="547">
        <v>0</v>
      </c>
      <c r="G223" s="547">
        <v>0</v>
      </c>
      <c r="H223" s="547">
        <v>0</v>
      </c>
      <c r="I223" s="275"/>
      <c r="J223" s="37"/>
      <c r="K223" s="37"/>
      <c r="L223" s="37"/>
      <c r="M223" s="37"/>
      <c r="N223" s="37"/>
      <c r="O223" s="37"/>
      <c r="P223" s="37"/>
      <c r="Q223" s="37"/>
    </row>
    <row r="224" spans="1:17" hidden="1" outlineLevel="1" x14ac:dyDescent="0.3">
      <c r="A224" s="276" t="s">
        <v>6019</v>
      </c>
      <c r="B224" s="276" t="s">
        <v>940</v>
      </c>
      <c r="C224" s="276" t="s">
        <v>817</v>
      </c>
      <c r="D224" s="547">
        <v>0</v>
      </c>
      <c r="E224" s="547">
        <v>0</v>
      </c>
      <c r="F224" s="547">
        <v>0</v>
      </c>
      <c r="G224" s="547">
        <v>0</v>
      </c>
      <c r="H224" s="547">
        <v>0</v>
      </c>
      <c r="I224" s="275"/>
      <c r="J224" s="37"/>
      <c r="K224" s="37"/>
      <c r="L224" s="37"/>
      <c r="M224" s="37"/>
      <c r="N224" s="37"/>
      <c r="O224" s="37"/>
      <c r="P224" s="37"/>
      <c r="Q224" s="37"/>
    </row>
    <row r="225" spans="1:45" hidden="1" outlineLevel="1" x14ac:dyDescent="0.3">
      <c r="A225" s="276" t="s">
        <v>6019</v>
      </c>
      <c r="B225" s="276" t="s">
        <v>940</v>
      </c>
      <c r="C225" s="276" t="s">
        <v>944</v>
      </c>
      <c r="D225" s="547">
        <v>0</v>
      </c>
      <c r="E225" s="547">
        <v>0</v>
      </c>
      <c r="F225" s="547">
        <v>0</v>
      </c>
      <c r="G225" s="547">
        <v>0</v>
      </c>
      <c r="H225" s="547">
        <v>0</v>
      </c>
      <c r="I225" s="275"/>
      <c r="J225" s="37"/>
      <c r="K225" s="37"/>
      <c r="L225" s="37"/>
      <c r="M225" s="37"/>
      <c r="N225" s="37"/>
      <c r="O225" s="37"/>
      <c r="P225" s="37"/>
      <c r="Q225" s="37"/>
    </row>
    <row r="226" spans="1:45" hidden="1" outlineLevel="1" x14ac:dyDescent="0.3">
      <c r="A226" s="276" t="s">
        <v>6019</v>
      </c>
      <c r="B226" s="276" t="s">
        <v>940</v>
      </c>
      <c r="C226" s="276" t="s">
        <v>821</v>
      </c>
      <c r="D226" s="547">
        <v>0</v>
      </c>
      <c r="E226" s="547">
        <v>0</v>
      </c>
      <c r="F226" s="547">
        <v>0</v>
      </c>
      <c r="G226" s="547">
        <v>0</v>
      </c>
      <c r="H226" s="547">
        <v>0</v>
      </c>
      <c r="I226" s="275"/>
      <c r="J226" s="37"/>
      <c r="K226" s="37"/>
      <c r="L226" s="37"/>
      <c r="M226" s="37"/>
      <c r="N226" s="37"/>
      <c r="O226" s="37"/>
      <c r="P226" s="37"/>
      <c r="Q226" s="37"/>
    </row>
    <row r="227" spans="1:45" hidden="1" outlineLevel="1" x14ac:dyDescent="0.3">
      <c r="A227" s="276" t="s">
        <v>6019</v>
      </c>
      <c r="B227" s="276" t="s">
        <v>940</v>
      </c>
      <c r="C227" s="276" t="s">
        <v>823</v>
      </c>
      <c r="D227" s="547">
        <v>0</v>
      </c>
      <c r="E227" s="547">
        <v>0</v>
      </c>
      <c r="F227" s="547">
        <v>0</v>
      </c>
      <c r="G227" s="547">
        <v>0</v>
      </c>
      <c r="H227" s="547">
        <v>0</v>
      </c>
      <c r="I227" s="275"/>
      <c r="J227" s="37"/>
      <c r="K227" s="37"/>
      <c r="L227" s="37"/>
      <c r="M227" s="37"/>
      <c r="N227" s="37"/>
      <c r="O227" s="37"/>
      <c r="P227" s="37"/>
      <c r="Q227" s="37"/>
    </row>
    <row r="228" spans="1:45" hidden="1" outlineLevel="1" x14ac:dyDescent="0.3">
      <c r="A228" s="276" t="s">
        <v>6019</v>
      </c>
      <c r="B228" s="276" t="s">
        <v>940</v>
      </c>
      <c r="C228" s="276" t="s">
        <v>825</v>
      </c>
      <c r="D228" s="547">
        <v>0</v>
      </c>
      <c r="E228" s="547">
        <v>0</v>
      </c>
      <c r="F228" s="547">
        <v>0</v>
      </c>
      <c r="G228" s="547">
        <v>0</v>
      </c>
      <c r="H228" s="547">
        <v>0</v>
      </c>
      <c r="I228" s="275"/>
      <c r="J228" s="37"/>
      <c r="K228" s="37"/>
      <c r="L228" s="37"/>
      <c r="M228" s="37"/>
      <c r="N228" s="37"/>
      <c r="O228" s="37"/>
      <c r="P228" s="37"/>
      <c r="Q228" s="37"/>
    </row>
    <row r="229" spans="1:45" hidden="1" outlineLevel="1" x14ac:dyDescent="0.3">
      <c r="A229" s="276" t="s">
        <v>6019</v>
      </c>
      <c r="B229" s="276" t="s">
        <v>940</v>
      </c>
      <c r="C229" s="276" t="s">
        <v>827</v>
      </c>
      <c r="D229" s="547">
        <v>0</v>
      </c>
      <c r="E229" s="547">
        <v>100000</v>
      </c>
      <c r="F229" s="547">
        <v>100000</v>
      </c>
      <c r="G229" s="547">
        <v>100000</v>
      </c>
      <c r="H229" s="547">
        <v>100000</v>
      </c>
      <c r="I229" s="275" t="s">
        <v>5977</v>
      </c>
      <c r="J229" s="37"/>
      <c r="K229" s="37"/>
      <c r="L229" s="37"/>
      <c r="M229" s="37"/>
      <c r="N229" s="37"/>
      <c r="O229" s="37"/>
      <c r="P229" s="37"/>
      <c r="Q229" s="37"/>
    </row>
    <row r="230" spans="1:45" hidden="1" outlineLevel="1" x14ac:dyDescent="0.3">
      <c r="A230" s="276" t="s">
        <v>6019</v>
      </c>
      <c r="B230" s="276" t="s">
        <v>940</v>
      </c>
      <c r="C230" s="276" t="s">
        <v>829</v>
      </c>
      <c r="D230" s="547">
        <v>0</v>
      </c>
      <c r="E230" s="547">
        <v>0</v>
      </c>
      <c r="F230" s="547">
        <v>0</v>
      </c>
      <c r="G230" s="547">
        <v>0</v>
      </c>
      <c r="H230" s="547">
        <v>0</v>
      </c>
      <c r="I230" s="275"/>
      <c r="J230" s="37"/>
      <c r="K230" s="37"/>
      <c r="L230" s="37"/>
      <c r="M230" s="37"/>
      <c r="N230" s="37"/>
      <c r="O230" s="37"/>
      <c r="P230" s="37"/>
      <c r="Q230" s="37"/>
    </row>
    <row r="231" spans="1:45" hidden="1" outlineLevel="1" x14ac:dyDescent="0.3">
      <c r="A231" s="276" t="s">
        <v>6019</v>
      </c>
      <c r="B231" s="276" t="s">
        <v>940</v>
      </c>
      <c r="C231" s="276" t="s">
        <v>833</v>
      </c>
      <c r="D231" s="547">
        <v>0</v>
      </c>
      <c r="E231" s="547">
        <v>0</v>
      </c>
      <c r="F231" s="547">
        <v>0</v>
      </c>
      <c r="G231" s="547">
        <v>0</v>
      </c>
      <c r="H231" s="547">
        <v>0</v>
      </c>
      <c r="I231" s="275"/>
      <c r="J231" s="37"/>
      <c r="K231" s="37"/>
      <c r="L231" s="37"/>
      <c r="M231" s="37"/>
      <c r="N231" s="37"/>
      <c r="O231" s="37"/>
      <c r="P231" s="37"/>
      <c r="Q231" s="37"/>
    </row>
    <row r="232" spans="1:45" hidden="1" outlineLevel="1" x14ac:dyDescent="0.3">
      <c r="A232" s="276" t="s">
        <v>6019</v>
      </c>
      <c r="B232" s="276" t="s">
        <v>940</v>
      </c>
      <c r="C232" s="276" t="s">
        <v>836</v>
      </c>
      <c r="D232" s="547">
        <v>0</v>
      </c>
      <c r="E232" s="547">
        <v>0</v>
      </c>
      <c r="F232" s="547">
        <v>0</v>
      </c>
      <c r="G232" s="547">
        <v>0</v>
      </c>
      <c r="H232" s="547">
        <v>0</v>
      </c>
      <c r="I232" s="275"/>
      <c r="J232" s="37"/>
      <c r="K232" s="37"/>
      <c r="L232" s="37"/>
      <c r="M232" s="37"/>
      <c r="N232" s="37"/>
      <c r="O232" s="37"/>
      <c r="P232" s="37"/>
      <c r="Q232" s="37"/>
    </row>
    <row r="233" spans="1:45" hidden="1" outlineLevel="1" x14ac:dyDescent="0.3">
      <c r="A233" s="276" t="s">
        <v>6019</v>
      </c>
      <c r="B233" s="276" t="s">
        <v>940</v>
      </c>
      <c r="C233" s="276" t="s">
        <v>837</v>
      </c>
      <c r="D233" s="547">
        <v>0</v>
      </c>
      <c r="E233" s="547">
        <v>0</v>
      </c>
      <c r="F233" s="547">
        <v>0</v>
      </c>
      <c r="G233" s="547">
        <v>0</v>
      </c>
      <c r="H233" s="547">
        <v>0</v>
      </c>
      <c r="I233" s="275"/>
      <c r="J233" s="37"/>
      <c r="K233" s="37"/>
      <c r="L233" s="37"/>
      <c r="M233" s="37"/>
      <c r="N233" s="37"/>
      <c r="O233" s="37"/>
      <c r="P233" s="37"/>
      <c r="Q233" s="37"/>
    </row>
    <row r="234" spans="1:45" hidden="1" outlineLevel="1" x14ac:dyDescent="0.3">
      <c r="A234" s="276" t="s">
        <v>6019</v>
      </c>
      <c r="B234" s="276" t="s">
        <v>940</v>
      </c>
      <c r="C234" s="276" t="s">
        <v>839</v>
      </c>
      <c r="D234" s="547">
        <v>0</v>
      </c>
      <c r="E234" s="547">
        <v>0</v>
      </c>
      <c r="F234" s="547">
        <v>0</v>
      </c>
      <c r="G234" s="547">
        <v>0</v>
      </c>
      <c r="H234" s="547">
        <v>0</v>
      </c>
      <c r="I234" s="275"/>
      <c r="J234" s="37"/>
      <c r="K234" s="37"/>
      <c r="L234" s="37"/>
      <c r="M234" s="37"/>
      <c r="N234" s="37"/>
      <c r="O234" s="37"/>
      <c r="P234" s="37"/>
      <c r="Q234" s="37"/>
    </row>
    <row r="235" spans="1:45" hidden="1" outlineLevel="1" x14ac:dyDescent="0.3">
      <c r="A235" s="276" t="s">
        <v>6019</v>
      </c>
      <c r="B235" s="276" t="s">
        <v>940</v>
      </c>
      <c r="C235" s="276" t="s">
        <v>840</v>
      </c>
      <c r="D235" s="547">
        <v>0</v>
      </c>
      <c r="E235" s="547">
        <v>0</v>
      </c>
      <c r="F235" s="547">
        <v>0</v>
      </c>
      <c r="G235" s="547">
        <v>0</v>
      </c>
      <c r="H235" s="547">
        <v>0</v>
      </c>
      <c r="I235" s="275"/>
      <c r="J235" s="37"/>
      <c r="K235" s="37"/>
      <c r="L235" s="37"/>
      <c r="M235" s="37"/>
      <c r="N235" s="37"/>
      <c r="O235" s="37"/>
      <c r="P235" s="37"/>
      <c r="Q235" s="37"/>
    </row>
    <row r="236" spans="1:45" collapsed="1" x14ac:dyDescent="0.3">
      <c r="A236" s="276"/>
      <c r="B236" s="276"/>
      <c r="C236" s="530" t="s">
        <v>2684</v>
      </c>
      <c r="D236" s="547"/>
      <c r="E236" s="547"/>
      <c r="F236" s="547"/>
      <c r="G236" s="547"/>
      <c r="H236" s="547"/>
      <c r="I236" s="275"/>
      <c r="J236" s="37"/>
      <c r="K236" s="37"/>
      <c r="L236" s="37"/>
      <c r="M236" s="37"/>
      <c r="N236" s="37"/>
      <c r="O236" s="37"/>
      <c r="P236" s="37"/>
      <c r="Q236" s="37"/>
    </row>
    <row r="237" spans="1:45" s="70" customFormat="1" x14ac:dyDescent="0.3">
      <c r="A237" s="274" t="s">
        <v>6020</v>
      </c>
      <c r="B237" s="274"/>
      <c r="C237" s="299" t="s">
        <v>3973</v>
      </c>
      <c r="D237" s="547">
        <v>708000</v>
      </c>
      <c r="E237" s="547">
        <v>709925</v>
      </c>
      <c r="F237" s="547">
        <v>715250</v>
      </c>
      <c r="G237" s="547">
        <v>716750</v>
      </c>
      <c r="H237" s="547">
        <v>719250</v>
      </c>
      <c r="I237" s="275"/>
      <c r="J237" s="37"/>
      <c r="K237" s="37"/>
      <c r="L237" s="37"/>
      <c r="M237" s="37"/>
      <c r="N237" s="37"/>
      <c r="O237" s="37"/>
      <c r="P237" s="37"/>
      <c r="Q237" s="37"/>
      <c r="R237"/>
      <c r="S237"/>
      <c r="T237"/>
      <c r="U237"/>
      <c r="V237"/>
      <c r="W237"/>
      <c r="X237"/>
      <c r="Y237"/>
      <c r="Z237"/>
      <c r="AA237"/>
      <c r="AB237"/>
      <c r="AC237"/>
      <c r="AD237"/>
      <c r="AE237"/>
      <c r="AF237"/>
      <c r="AG237"/>
      <c r="AH237"/>
      <c r="AI237"/>
      <c r="AJ237"/>
      <c r="AK237"/>
      <c r="AL237"/>
      <c r="AM237"/>
      <c r="AN237"/>
      <c r="AO237"/>
      <c r="AP237"/>
      <c r="AQ237"/>
      <c r="AR237"/>
      <c r="AS237"/>
    </row>
    <row r="238" spans="1:45" x14ac:dyDescent="0.3">
      <c r="A238" s="548" t="s">
        <v>5</v>
      </c>
      <c r="B238" s="548" t="s">
        <v>847</v>
      </c>
      <c r="C238" s="548" t="s">
        <v>193</v>
      </c>
      <c r="D238" s="549">
        <v>2025</v>
      </c>
      <c r="E238" s="549">
        <v>2030</v>
      </c>
      <c r="F238" s="549">
        <v>2035</v>
      </c>
      <c r="G238" s="549">
        <v>2040</v>
      </c>
      <c r="H238" s="549">
        <v>2045</v>
      </c>
      <c r="I238" s="550" t="s">
        <v>153</v>
      </c>
      <c r="J238" s="37"/>
    </row>
    <row r="239" spans="1:45" hidden="1" outlineLevel="1" x14ac:dyDescent="0.3">
      <c r="A239" s="276" t="s">
        <v>6020</v>
      </c>
      <c r="B239" s="276" t="s">
        <v>855</v>
      </c>
      <c r="C239" s="276" t="s">
        <v>747</v>
      </c>
      <c r="D239" s="547">
        <v>0</v>
      </c>
      <c r="E239" s="547">
        <v>0</v>
      </c>
      <c r="F239" s="547">
        <v>0</v>
      </c>
      <c r="G239" s="547">
        <v>0</v>
      </c>
      <c r="H239" s="547">
        <v>0</v>
      </c>
      <c r="I239" s="277"/>
      <c r="J239" s="37"/>
      <c r="L239" s="37"/>
      <c r="M239" s="37"/>
      <c r="N239" s="37"/>
      <c r="O239" s="37"/>
      <c r="P239" s="37"/>
      <c r="Q239" s="37"/>
    </row>
    <row r="240" spans="1:45" hidden="1" outlineLevel="1" x14ac:dyDescent="0.3">
      <c r="A240" s="276" t="s">
        <v>6020</v>
      </c>
      <c r="B240" s="276" t="s">
        <v>855</v>
      </c>
      <c r="C240" s="276" t="s">
        <v>751</v>
      </c>
      <c r="D240" s="547">
        <v>0</v>
      </c>
      <c r="E240" s="547">
        <v>0</v>
      </c>
      <c r="F240" s="547">
        <v>0</v>
      </c>
      <c r="G240" s="547">
        <v>0</v>
      </c>
      <c r="H240" s="547">
        <v>0</v>
      </c>
      <c r="I240" s="277"/>
      <c r="J240" s="37"/>
      <c r="K240" s="37"/>
      <c r="L240" s="37"/>
      <c r="M240" s="37"/>
      <c r="N240" s="37"/>
      <c r="O240" s="37"/>
      <c r="P240" s="37"/>
      <c r="Q240" s="37"/>
    </row>
    <row r="241" spans="1:17" hidden="1" outlineLevel="1" x14ac:dyDescent="0.3">
      <c r="A241" s="276" t="s">
        <v>6020</v>
      </c>
      <c r="B241" s="276" t="s">
        <v>855</v>
      </c>
      <c r="C241" s="276" t="s">
        <v>755</v>
      </c>
      <c r="D241" s="547">
        <v>0</v>
      </c>
      <c r="E241" s="547">
        <v>0</v>
      </c>
      <c r="F241" s="547">
        <v>0</v>
      </c>
      <c r="G241" s="547">
        <v>0</v>
      </c>
      <c r="H241" s="547">
        <v>0</v>
      </c>
      <c r="I241" s="277"/>
      <c r="J241" s="37"/>
      <c r="K241" s="37"/>
      <c r="L241" s="37"/>
      <c r="M241" s="37"/>
      <c r="N241" s="37"/>
      <c r="O241" s="37"/>
      <c r="P241" s="37"/>
      <c r="Q241" s="37"/>
    </row>
    <row r="242" spans="1:17" hidden="1" outlineLevel="1" x14ac:dyDescent="0.3">
      <c r="A242" s="276" t="s">
        <v>6020</v>
      </c>
      <c r="B242" s="276" t="s">
        <v>855</v>
      </c>
      <c r="C242" s="276" t="s">
        <v>758</v>
      </c>
      <c r="D242" s="547">
        <v>6000</v>
      </c>
      <c r="E242" s="547">
        <v>6000</v>
      </c>
      <c r="F242" s="547">
        <v>6000</v>
      </c>
      <c r="G242" s="547">
        <v>6000</v>
      </c>
      <c r="H242" s="547">
        <v>6000</v>
      </c>
      <c r="I242" s="275" t="s">
        <v>5978</v>
      </c>
      <c r="J242" s="37"/>
      <c r="K242" s="37"/>
      <c r="L242" s="37"/>
      <c r="M242" s="37"/>
      <c r="N242" s="37"/>
      <c r="O242" s="37"/>
      <c r="P242" s="37"/>
      <c r="Q242" s="37"/>
    </row>
    <row r="243" spans="1:17" hidden="1" outlineLevel="1" x14ac:dyDescent="0.3">
      <c r="A243" s="276" t="s">
        <v>6020</v>
      </c>
      <c r="B243" s="276" t="s">
        <v>855</v>
      </c>
      <c r="C243" s="276" t="s">
        <v>761</v>
      </c>
      <c r="D243" s="547">
        <v>1000</v>
      </c>
      <c r="E243" s="547">
        <v>1000</v>
      </c>
      <c r="F243" s="547">
        <v>1000</v>
      </c>
      <c r="G243" s="547">
        <v>1000</v>
      </c>
      <c r="H243" s="547">
        <v>1000</v>
      </c>
      <c r="I243" s="277" t="s">
        <v>5979</v>
      </c>
      <c r="J243" s="37"/>
      <c r="K243" s="37"/>
      <c r="L243" s="37"/>
      <c r="M243" s="37"/>
      <c r="N243" s="37"/>
      <c r="O243" s="37"/>
      <c r="P243" s="37"/>
      <c r="Q243" s="37"/>
    </row>
    <row r="244" spans="1:17" hidden="1" outlineLevel="1" x14ac:dyDescent="0.3">
      <c r="A244" s="276" t="s">
        <v>6020</v>
      </c>
      <c r="B244" s="276" t="s">
        <v>855</v>
      </c>
      <c r="C244" s="276" t="s">
        <v>763</v>
      </c>
      <c r="D244" s="547">
        <v>0</v>
      </c>
      <c r="E244" s="547">
        <v>0</v>
      </c>
      <c r="F244" s="547">
        <v>0</v>
      </c>
      <c r="G244" s="547">
        <v>0</v>
      </c>
      <c r="H244" s="547">
        <v>0</v>
      </c>
      <c r="I244" s="277"/>
      <c r="J244" s="37"/>
      <c r="K244" s="37"/>
      <c r="L244" s="37"/>
      <c r="M244" s="37"/>
      <c r="N244" s="37"/>
      <c r="O244" s="37"/>
      <c r="P244" s="37"/>
      <c r="Q244" s="37"/>
    </row>
    <row r="245" spans="1:17" hidden="1" outlineLevel="1" x14ac:dyDescent="0.3">
      <c r="A245" s="276" t="s">
        <v>6020</v>
      </c>
      <c r="B245" s="276" t="s">
        <v>855</v>
      </c>
      <c r="C245" s="276" t="s">
        <v>765</v>
      </c>
      <c r="D245" s="547">
        <v>0</v>
      </c>
      <c r="E245" s="547">
        <v>0</v>
      </c>
      <c r="F245" s="547">
        <v>3750</v>
      </c>
      <c r="G245" s="547">
        <v>3750</v>
      </c>
      <c r="H245" s="547">
        <v>3750</v>
      </c>
      <c r="I245" s="277" t="s">
        <v>5980</v>
      </c>
      <c r="J245" s="37"/>
      <c r="L245" s="37"/>
      <c r="M245" s="37"/>
      <c r="N245" s="37"/>
      <c r="O245" s="37"/>
      <c r="P245" s="37"/>
      <c r="Q245" s="37"/>
    </row>
    <row r="246" spans="1:17" hidden="1" outlineLevel="1" x14ac:dyDescent="0.3">
      <c r="A246" s="276" t="s">
        <v>6020</v>
      </c>
      <c r="B246" s="276" t="s">
        <v>855</v>
      </c>
      <c r="C246" s="276" t="s">
        <v>768</v>
      </c>
      <c r="D246" s="547">
        <v>0</v>
      </c>
      <c r="E246" s="547">
        <v>0</v>
      </c>
      <c r="F246" s="547">
        <v>0</v>
      </c>
      <c r="G246" s="547">
        <v>0</v>
      </c>
      <c r="H246" s="547">
        <v>0</v>
      </c>
      <c r="I246" s="276"/>
      <c r="J246" s="37"/>
      <c r="K246" s="251"/>
      <c r="L246" s="37"/>
      <c r="M246" s="37"/>
      <c r="N246" s="37"/>
      <c r="O246" s="37"/>
      <c r="P246" s="37"/>
      <c r="Q246" s="37"/>
    </row>
    <row r="247" spans="1:17" hidden="1" outlineLevel="1" x14ac:dyDescent="0.3">
      <c r="A247" s="276" t="s">
        <v>6020</v>
      </c>
      <c r="B247" s="276" t="s">
        <v>855</v>
      </c>
      <c r="C247" s="276" t="s">
        <v>771</v>
      </c>
      <c r="D247" s="547">
        <v>0</v>
      </c>
      <c r="E247" s="547">
        <v>0</v>
      </c>
      <c r="F247" s="547">
        <v>0</v>
      </c>
      <c r="G247" s="547">
        <v>0</v>
      </c>
      <c r="H247" s="547">
        <v>0</v>
      </c>
      <c r="I247" s="277"/>
      <c r="J247" s="37"/>
      <c r="K247" s="251"/>
      <c r="L247" s="37"/>
      <c r="M247" s="37"/>
      <c r="N247" s="37"/>
      <c r="O247" s="37"/>
      <c r="P247" s="37"/>
      <c r="Q247" s="37"/>
    </row>
    <row r="248" spans="1:17" hidden="1" outlineLevel="1" x14ac:dyDescent="0.3">
      <c r="A248" s="276" t="s">
        <v>6020</v>
      </c>
      <c r="B248" s="276" t="s">
        <v>855</v>
      </c>
      <c r="C248" s="276" t="s">
        <v>772</v>
      </c>
      <c r="D248" s="547">
        <v>0</v>
      </c>
      <c r="E248" s="547">
        <v>0</v>
      </c>
      <c r="F248" s="547">
        <v>0</v>
      </c>
      <c r="G248" s="547">
        <v>0</v>
      </c>
      <c r="H248" s="547">
        <v>0</v>
      </c>
      <c r="I248" s="277"/>
      <c r="J248" s="37"/>
      <c r="K248" s="251"/>
      <c r="L248" s="37"/>
      <c r="M248" s="37"/>
      <c r="N248" s="37"/>
      <c r="O248" s="37"/>
      <c r="P248" s="37"/>
      <c r="Q248" s="37"/>
    </row>
    <row r="249" spans="1:17" hidden="1" outlineLevel="1" x14ac:dyDescent="0.3">
      <c r="A249" s="276" t="s">
        <v>6020</v>
      </c>
      <c r="B249" s="276" t="s">
        <v>855</v>
      </c>
      <c r="C249" s="276" t="s">
        <v>774</v>
      </c>
      <c r="D249" s="547">
        <v>0</v>
      </c>
      <c r="E249" s="547">
        <v>0</v>
      </c>
      <c r="F249" s="547">
        <v>0</v>
      </c>
      <c r="G249" s="547">
        <v>0</v>
      </c>
      <c r="H249" s="547">
        <v>0</v>
      </c>
      <c r="I249" s="275" t="s">
        <v>5922</v>
      </c>
      <c r="J249" s="37"/>
      <c r="K249" s="251"/>
      <c r="L249" s="37"/>
      <c r="M249" s="37"/>
      <c r="N249" s="37"/>
      <c r="O249" s="37"/>
      <c r="P249" s="37"/>
      <c r="Q249" s="37"/>
    </row>
    <row r="250" spans="1:17" hidden="1" outlineLevel="1" x14ac:dyDescent="0.3">
      <c r="A250" s="276" t="s">
        <v>6020</v>
      </c>
      <c r="B250" s="276" t="s">
        <v>855</v>
      </c>
      <c r="C250" s="276" t="s">
        <v>775</v>
      </c>
      <c r="D250" s="547">
        <v>0</v>
      </c>
      <c r="E250" s="547">
        <v>0</v>
      </c>
      <c r="F250" s="547">
        <v>0</v>
      </c>
      <c r="G250" s="547">
        <v>0</v>
      </c>
      <c r="H250" s="547">
        <v>0</v>
      </c>
      <c r="I250" s="277"/>
      <c r="J250" s="37"/>
      <c r="K250" s="251"/>
      <c r="L250" s="37"/>
      <c r="M250" s="37"/>
      <c r="N250" s="37"/>
      <c r="O250" s="37"/>
      <c r="P250" s="37"/>
      <c r="Q250" s="37"/>
    </row>
    <row r="251" spans="1:17" hidden="1" outlineLevel="1" x14ac:dyDescent="0.3">
      <c r="A251" s="276" t="s">
        <v>6020</v>
      </c>
      <c r="B251" s="276" t="s">
        <v>855</v>
      </c>
      <c r="C251" s="276" t="s">
        <v>779</v>
      </c>
      <c r="D251" s="547">
        <v>0</v>
      </c>
      <c r="E251" s="547">
        <v>0</v>
      </c>
      <c r="F251" s="547">
        <v>0</v>
      </c>
      <c r="G251" s="547">
        <v>0</v>
      </c>
      <c r="H251" s="547">
        <v>0</v>
      </c>
      <c r="I251" s="277"/>
      <c r="J251" s="37"/>
      <c r="K251" s="37"/>
      <c r="L251" s="37"/>
      <c r="M251" s="37"/>
      <c r="N251" s="37"/>
      <c r="O251" s="37"/>
      <c r="P251" s="37"/>
      <c r="Q251" s="37"/>
    </row>
    <row r="252" spans="1:17" hidden="1" outlineLevel="1" x14ac:dyDescent="0.3">
      <c r="A252" s="276" t="s">
        <v>6020</v>
      </c>
      <c r="B252" s="276" t="s">
        <v>894</v>
      </c>
      <c r="C252" s="276" t="s">
        <v>781</v>
      </c>
      <c r="D252" s="547">
        <v>0</v>
      </c>
      <c r="E252" s="547">
        <v>0</v>
      </c>
      <c r="F252" s="547">
        <v>0</v>
      </c>
      <c r="G252" s="547">
        <v>0</v>
      </c>
      <c r="H252" s="547">
        <v>0</v>
      </c>
      <c r="I252" s="277"/>
      <c r="J252" s="37"/>
      <c r="K252" s="37"/>
      <c r="L252" s="37"/>
      <c r="M252" s="37"/>
      <c r="N252" s="37"/>
      <c r="O252" s="37"/>
      <c r="P252" s="37"/>
      <c r="Q252" s="37"/>
    </row>
    <row r="253" spans="1:17" hidden="1" outlineLevel="1" x14ac:dyDescent="0.3">
      <c r="A253" s="276" t="s">
        <v>6020</v>
      </c>
      <c r="B253" s="276" t="s">
        <v>894</v>
      </c>
      <c r="C253" s="276" t="s">
        <v>783</v>
      </c>
      <c r="D253" s="547">
        <v>1000</v>
      </c>
      <c r="E253" s="547">
        <v>1000</v>
      </c>
      <c r="F253" s="547">
        <v>1000</v>
      </c>
      <c r="G253" s="547">
        <v>1000</v>
      </c>
      <c r="H253" s="547">
        <v>1000</v>
      </c>
      <c r="I253" s="277" t="s">
        <v>5981</v>
      </c>
      <c r="J253" s="37"/>
      <c r="K253" s="37"/>
      <c r="L253" s="37"/>
      <c r="M253" s="37"/>
      <c r="N253" s="37"/>
      <c r="O253" s="37"/>
      <c r="P253" s="37"/>
      <c r="Q253" s="37"/>
    </row>
    <row r="254" spans="1:17" hidden="1" outlineLevel="1" x14ac:dyDescent="0.3">
      <c r="A254" s="276" t="s">
        <v>6020</v>
      </c>
      <c r="B254" s="276" t="s">
        <v>894</v>
      </c>
      <c r="C254" s="276" t="s">
        <v>785</v>
      </c>
      <c r="D254" s="547">
        <v>0</v>
      </c>
      <c r="E254" s="547">
        <v>0</v>
      </c>
      <c r="F254" s="547">
        <v>0</v>
      </c>
      <c r="G254" s="547">
        <v>0</v>
      </c>
      <c r="H254" s="547">
        <v>0</v>
      </c>
      <c r="I254" s="277"/>
      <c r="J254" s="37"/>
      <c r="K254" s="37"/>
      <c r="L254" s="37"/>
      <c r="M254" s="37"/>
      <c r="N254" s="37"/>
      <c r="O254" s="37"/>
      <c r="P254" s="37"/>
      <c r="Q254" s="37"/>
    </row>
    <row r="255" spans="1:17" hidden="1" outlineLevel="1" x14ac:dyDescent="0.3">
      <c r="A255" s="276" t="s">
        <v>6020</v>
      </c>
      <c r="B255" s="276" t="s">
        <v>894</v>
      </c>
      <c r="C255" s="276" t="s">
        <v>787</v>
      </c>
      <c r="D255" s="547">
        <v>0</v>
      </c>
      <c r="E255" s="547">
        <v>0</v>
      </c>
      <c r="F255" s="547">
        <v>0</v>
      </c>
      <c r="G255" s="547">
        <v>0</v>
      </c>
      <c r="H255" s="547">
        <v>0</v>
      </c>
      <c r="I255" s="277"/>
      <c r="J255" s="37"/>
      <c r="K255" s="37"/>
      <c r="L255" s="37"/>
      <c r="M255" s="37"/>
      <c r="N255" s="37"/>
      <c r="O255" s="37"/>
      <c r="P255" s="37"/>
      <c r="Q255" s="37"/>
    </row>
    <row r="256" spans="1:17" hidden="1" outlineLevel="1" x14ac:dyDescent="0.3">
      <c r="A256" s="276" t="s">
        <v>6020</v>
      </c>
      <c r="B256" s="276" t="s">
        <v>894</v>
      </c>
      <c r="C256" s="276" t="s">
        <v>788</v>
      </c>
      <c r="D256" s="547">
        <v>0</v>
      </c>
      <c r="E256" s="547">
        <v>0</v>
      </c>
      <c r="F256" s="547">
        <v>0</v>
      </c>
      <c r="G256" s="547">
        <v>0</v>
      </c>
      <c r="H256" s="547">
        <v>0</v>
      </c>
      <c r="I256" s="277"/>
      <c r="J256" s="37"/>
      <c r="K256" s="37"/>
      <c r="L256" s="37"/>
      <c r="M256" s="37"/>
      <c r="N256" s="37"/>
      <c r="O256" s="37"/>
      <c r="P256" s="37"/>
      <c r="Q256" s="37"/>
    </row>
    <row r="257" spans="1:17" hidden="1" outlineLevel="1" x14ac:dyDescent="0.3">
      <c r="A257" s="276" t="s">
        <v>6020</v>
      </c>
      <c r="B257" s="276" t="s">
        <v>894</v>
      </c>
      <c r="C257" s="276" t="s">
        <v>789</v>
      </c>
      <c r="D257" s="547">
        <v>0</v>
      </c>
      <c r="E257" s="547">
        <v>0</v>
      </c>
      <c r="F257" s="547">
        <v>0</v>
      </c>
      <c r="G257" s="547">
        <v>0</v>
      </c>
      <c r="H257" s="547">
        <v>0</v>
      </c>
      <c r="I257" s="277"/>
      <c r="J257" s="37"/>
      <c r="K257" s="37"/>
      <c r="L257" s="37"/>
      <c r="M257" s="37"/>
      <c r="N257" s="37"/>
      <c r="O257" s="37"/>
      <c r="P257" s="37"/>
      <c r="Q257" s="37"/>
    </row>
    <row r="258" spans="1:17" hidden="1" outlineLevel="1" x14ac:dyDescent="0.3">
      <c r="A258" s="276" t="s">
        <v>6020</v>
      </c>
      <c r="B258" s="276" t="s">
        <v>894</v>
      </c>
      <c r="C258" s="276" t="s">
        <v>790</v>
      </c>
      <c r="D258" s="547">
        <v>0</v>
      </c>
      <c r="E258" s="547">
        <v>1925</v>
      </c>
      <c r="F258" s="547">
        <v>3500</v>
      </c>
      <c r="G258" s="547">
        <v>5000</v>
      </c>
      <c r="H258" s="547">
        <v>7500</v>
      </c>
      <c r="I258" s="275" t="s">
        <v>2708</v>
      </c>
      <c r="J258" s="37"/>
      <c r="K258" s="37"/>
      <c r="L258" s="37"/>
      <c r="M258" s="37"/>
      <c r="N258" s="37"/>
      <c r="O258" s="37"/>
      <c r="P258" s="37"/>
      <c r="Q258" s="37"/>
    </row>
    <row r="259" spans="1:17" hidden="1" outlineLevel="1" x14ac:dyDescent="0.3">
      <c r="A259" s="276" t="s">
        <v>6020</v>
      </c>
      <c r="B259" s="276" t="s">
        <v>894</v>
      </c>
      <c r="C259" s="276" t="s">
        <v>793</v>
      </c>
      <c r="D259" s="547">
        <v>0</v>
      </c>
      <c r="E259" s="547">
        <v>0</v>
      </c>
      <c r="F259" s="547">
        <v>0</v>
      </c>
      <c r="G259" s="547">
        <v>0</v>
      </c>
      <c r="H259" s="547">
        <v>0</v>
      </c>
      <c r="I259" s="275" t="s">
        <v>5966</v>
      </c>
      <c r="J259" s="37"/>
      <c r="K259" s="37"/>
      <c r="L259" s="37"/>
      <c r="M259" s="37"/>
      <c r="N259" s="37"/>
      <c r="O259" s="37"/>
      <c r="P259" s="37"/>
      <c r="Q259" s="37"/>
    </row>
    <row r="260" spans="1:17" hidden="1" outlineLevel="1" x14ac:dyDescent="0.3">
      <c r="A260" s="276" t="s">
        <v>6020</v>
      </c>
      <c r="B260" s="276" t="s">
        <v>894</v>
      </c>
      <c r="C260" s="276" t="s">
        <v>795</v>
      </c>
      <c r="D260" s="547">
        <v>0</v>
      </c>
      <c r="E260" s="547">
        <v>0</v>
      </c>
      <c r="F260" s="547">
        <v>0</v>
      </c>
      <c r="G260" s="547">
        <v>0</v>
      </c>
      <c r="H260" s="547">
        <v>0</v>
      </c>
      <c r="I260" s="277"/>
      <c r="J260" s="37"/>
      <c r="K260" s="37"/>
      <c r="L260" s="37"/>
      <c r="M260" s="37"/>
      <c r="N260" s="37"/>
      <c r="O260" s="37"/>
      <c r="P260" s="37"/>
      <c r="Q260" s="37"/>
    </row>
    <row r="261" spans="1:17" hidden="1" outlineLevel="1" x14ac:dyDescent="0.3">
      <c r="A261" s="276" t="s">
        <v>6020</v>
      </c>
      <c r="B261" s="276" t="s">
        <v>894</v>
      </c>
      <c r="C261" s="276" t="s">
        <v>797</v>
      </c>
      <c r="D261" s="547">
        <v>45000</v>
      </c>
      <c r="E261" s="547">
        <v>45000</v>
      </c>
      <c r="F261" s="547">
        <v>45000</v>
      </c>
      <c r="G261" s="547">
        <v>45000</v>
      </c>
      <c r="H261" s="547">
        <v>45000</v>
      </c>
      <c r="I261" s="275" t="s">
        <v>5982</v>
      </c>
      <c r="J261" s="37"/>
      <c r="K261" s="37"/>
      <c r="L261" s="37"/>
      <c r="M261" s="37"/>
      <c r="N261" s="37"/>
      <c r="O261" s="37"/>
      <c r="P261" s="37"/>
      <c r="Q261" s="37"/>
    </row>
    <row r="262" spans="1:17" hidden="1" outlineLevel="1" x14ac:dyDescent="0.3">
      <c r="A262" s="276" t="s">
        <v>6020</v>
      </c>
      <c r="B262" s="276" t="s">
        <v>915</v>
      </c>
      <c r="C262" s="276" t="s">
        <v>799</v>
      </c>
      <c r="D262" s="547">
        <v>0</v>
      </c>
      <c r="E262" s="547">
        <v>0</v>
      </c>
      <c r="F262" s="547">
        <v>0</v>
      </c>
      <c r="G262" s="547">
        <v>0</v>
      </c>
      <c r="H262" s="547">
        <v>0</v>
      </c>
      <c r="I262" s="276"/>
      <c r="J262" s="37"/>
      <c r="K262" s="537"/>
      <c r="L262" s="37"/>
      <c r="M262" s="37"/>
      <c r="N262" s="37"/>
      <c r="O262" s="37"/>
      <c r="P262" s="37"/>
      <c r="Q262" s="37"/>
    </row>
    <row r="263" spans="1:17" hidden="1" outlineLevel="1" x14ac:dyDescent="0.3">
      <c r="A263" s="276" t="s">
        <v>6020</v>
      </c>
      <c r="B263" s="276" t="s">
        <v>915</v>
      </c>
      <c r="C263" s="276" t="s">
        <v>801</v>
      </c>
      <c r="D263" s="547">
        <v>0</v>
      </c>
      <c r="E263" s="547">
        <v>0</v>
      </c>
      <c r="F263" s="547">
        <v>0</v>
      </c>
      <c r="G263" s="547">
        <v>0</v>
      </c>
      <c r="H263" s="547">
        <v>0</v>
      </c>
      <c r="I263" s="276"/>
      <c r="J263" s="37"/>
      <c r="K263" s="37"/>
      <c r="L263" s="37"/>
      <c r="M263" s="37"/>
      <c r="N263" s="37"/>
      <c r="O263" s="37"/>
      <c r="P263" s="37"/>
      <c r="Q263" s="37"/>
    </row>
    <row r="264" spans="1:17" hidden="1" outlineLevel="1" x14ac:dyDescent="0.3">
      <c r="A264" s="276" t="s">
        <v>6020</v>
      </c>
      <c r="B264" s="276" t="s">
        <v>915</v>
      </c>
      <c r="C264" s="276" t="s">
        <v>804</v>
      </c>
      <c r="D264" s="547">
        <v>2000</v>
      </c>
      <c r="E264" s="547">
        <v>2000</v>
      </c>
      <c r="F264" s="547">
        <v>2000</v>
      </c>
      <c r="G264" s="547">
        <v>2000</v>
      </c>
      <c r="H264" s="547">
        <v>2000</v>
      </c>
      <c r="I264" s="275" t="s">
        <v>5983</v>
      </c>
      <c r="J264" s="37"/>
      <c r="L264" s="37"/>
      <c r="M264" s="37"/>
      <c r="N264" s="37"/>
      <c r="O264" s="37"/>
      <c r="P264" s="37"/>
      <c r="Q264" s="37"/>
    </row>
    <row r="265" spans="1:17" hidden="1" outlineLevel="1" x14ac:dyDescent="0.3">
      <c r="A265" s="276" t="s">
        <v>6020</v>
      </c>
      <c r="B265" s="276" t="s">
        <v>915</v>
      </c>
      <c r="C265" s="276" t="s">
        <v>806</v>
      </c>
      <c r="D265" s="547">
        <v>0</v>
      </c>
      <c r="E265" s="547">
        <v>0</v>
      </c>
      <c r="F265" s="547">
        <v>0</v>
      </c>
      <c r="G265" s="547">
        <v>0</v>
      </c>
      <c r="H265" s="547">
        <v>0</v>
      </c>
      <c r="I265" s="276"/>
      <c r="J265" s="37"/>
      <c r="K265" s="37"/>
      <c r="L265" s="37"/>
      <c r="M265" s="37"/>
      <c r="N265" s="37"/>
      <c r="O265" s="37"/>
      <c r="P265" s="37"/>
      <c r="Q265" s="37"/>
    </row>
    <row r="266" spans="1:17" hidden="1" outlineLevel="1" x14ac:dyDescent="0.3">
      <c r="A266" s="276" t="s">
        <v>6020</v>
      </c>
      <c r="B266" s="276" t="s">
        <v>915</v>
      </c>
      <c r="C266" s="276" t="s">
        <v>808</v>
      </c>
      <c r="D266" s="547">
        <v>0</v>
      </c>
      <c r="E266" s="547">
        <v>0</v>
      </c>
      <c r="F266" s="547">
        <v>0</v>
      </c>
      <c r="G266" s="547">
        <v>0</v>
      </c>
      <c r="H266" s="547">
        <v>0</v>
      </c>
      <c r="I266" s="276"/>
      <c r="J266" s="37"/>
      <c r="K266" s="37"/>
      <c r="L266" s="37"/>
      <c r="M266" s="37"/>
      <c r="N266" s="37"/>
      <c r="O266" s="37"/>
      <c r="P266" s="37"/>
      <c r="Q266" s="37"/>
    </row>
    <row r="267" spans="1:17" hidden="1" outlineLevel="1" x14ac:dyDescent="0.3">
      <c r="A267" s="276" t="s">
        <v>6020</v>
      </c>
      <c r="B267" s="276" t="s">
        <v>915</v>
      </c>
      <c r="C267" s="276" t="s">
        <v>811</v>
      </c>
      <c r="D267" s="547">
        <v>1000</v>
      </c>
      <c r="E267" s="547">
        <v>1000</v>
      </c>
      <c r="F267" s="547">
        <v>1000</v>
      </c>
      <c r="G267" s="547">
        <v>1000</v>
      </c>
      <c r="H267" s="547">
        <v>1000</v>
      </c>
      <c r="I267" s="275" t="s">
        <v>5976</v>
      </c>
      <c r="J267" s="37"/>
      <c r="K267" s="37"/>
      <c r="L267" s="37"/>
      <c r="M267" s="37"/>
      <c r="N267" s="37"/>
      <c r="O267" s="37"/>
      <c r="P267" s="37"/>
      <c r="Q267" s="37"/>
    </row>
    <row r="268" spans="1:17" hidden="1" outlineLevel="1" x14ac:dyDescent="0.3">
      <c r="A268" s="276" t="s">
        <v>6020</v>
      </c>
      <c r="B268" s="276" t="s">
        <v>934</v>
      </c>
      <c r="C268" s="276" t="s">
        <v>814</v>
      </c>
      <c r="D268" s="547">
        <v>0</v>
      </c>
      <c r="E268" s="547">
        <v>0</v>
      </c>
      <c r="F268" s="547">
        <v>0</v>
      </c>
      <c r="G268" s="547">
        <v>0</v>
      </c>
      <c r="H268" s="547">
        <v>0</v>
      </c>
      <c r="I268" s="276"/>
      <c r="J268" s="37"/>
      <c r="K268" s="37"/>
      <c r="L268" s="37"/>
      <c r="M268" s="37"/>
      <c r="N268" s="37"/>
      <c r="O268" s="37"/>
      <c r="P268" s="37"/>
      <c r="Q268" s="37"/>
    </row>
    <row r="269" spans="1:17" hidden="1" outlineLevel="1" x14ac:dyDescent="0.3">
      <c r="A269" s="276" t="s">
        <v>6020</v>
      </c>
      <c r="B269" s="276" t="s">
        <v>934</v>
      </c>
      <c r="C269" s="276" t="s">
        <v>815</v>
      </c>
      <c r="D269" s="547">
        <v>0</v>
      </c>
      <c r="E269" s="547">
        <v>0</v>
      </c>
      <c r="F269" s="547">
        <v>0</v>
      </c>
      <c r="G269" s="547">
        <v>0</v>
      </c>
      <c r="H269" s="547">
        <v>0</v>
      </c>
      <c r="I269" s="276"/>
      <c r="J269" s="37"/>
      <c r="K269" s="37"/>
      <c r="L269" s="37"/>
      <c r="M269" s="37"/>
      <c r="N269" s="37"/>
      <c r="O269" s="37"/>
      <c r="P269" s="37"/>
      <c r="Q269" s="37"/>
    </row>
    <row r="270" spans="1:17" hidden="1" outlineLevel="1" x14ac:dyDescent="0.3">
      <c r="A270" s="276" t="s">
        <v>6020</v>
      </c>
      <c r="B270" s="276" t="s">
        <v>940</v>
      </c>
      <c r="C270" s="276" t="s">
        <v>817</v>
      </c>
      <c r="D270" s="547">
        <v>0</v>
      </c>
      <c r="E270" s="547">
        <v>0</v>
      </c>
      <c r="F270" s="547">
        <v>0</v>
      </c>
      <c r="G270" s="547">
        <v>0</v>
      </c>
      <c r="H270" s="547">
        <v>0</v>
      </c>
      <c r="I270" s="277"/>
      <c r="J270" s="37"/>
      <c r="K270" s="37"/>
      <c r="L270" s="37"/>
      <c r="M270" s="37"/>
      <c r="N270" s="37"/>
      <c r="O270" s="37"/>
      <c r="P270" s="37"/>
      <c r="Q270" s="37"/>
    </row>
    <row r="271" spans="1:17" hidden="1" outlineLevel="1" x14ac:dyDescent="0.3">
      <c r="A271" s="276" t="s">
        <v>6020</v>
      </c>
      <c r="B271" s="276" t="s">
        <v>940</v>
      </c>
      <c r="C271" s="276" t="s">
        <v>944</v>
      </c>
      <c r="D271" s="547">
        <v>0</v>
      </c>
      <c r="E271" s="547">
        <v>0</v>
      </c>
      <c r="F271" s="547">
        <v>0</v>
      </c>
      <c r="G271" s="547">
        <v>0</v>
      </c>
      <c r="H271" s="547">
        <v>0</v>
      </c>
      <c r="I271" s="277"/>
      <c r="J271" s="37"/>
      <c r="K271" s="37"/>
      <c r="L271" s="37"/>
      <c r="M271" s="37"/>
      <c r="N271" s="37"/>
      <c r="O271" s="37"/>
      <c r="P271" s="37"/>
      <c r="Q271" s="37"/>
    </row>
    <row r="272" spans="1:17" hidden="1" outlineLevel="1" x14ac:dyDescent="0.3">
      <c r="A272" s="276" t="s">
        <v>6020</v>
      </c>
      <c r="B272" s="276" t="s">
        <v>940</v>
      </c>
      <c r="C272" s="276" t="s">
        <v>821</v>
      </c>
      <c r="D272" s="547">
        <v>0</v>
      </c>
      <c r="E272" s="547">
        <v>0</v>
      </c>
      <c r="F272" s="547">
        <v>0</v>
      </c>
      <c r="G272" s="547">
        <v>0</v>
      </c>
      <c r="H272" s="547">
        <v>0</v>
      </c>
      <c r="I272" s="277"/>
      <c r="J272" s="37"/>
      <c r="K272" s="37"/>
      <c r="L272" s="37"/>
      <c r="M272" s="37"/>
      <c r="N272" s="37"/>
      <c r="O272" s="37"/>
      <c r="P272" s="37"/>
      <c r="Q272" s="37"/>
    </row>
    <row r="273" spans="1:45" hidden="1" outlineLevel="1" x14ac:dyDescent="0.3">
      <c r="A273" s="276" t="s">
        <v>6020</v>
      </c>
      <c r="B273" s="276" t="s">
        <v>940</v>
      </c>
      <c r="C273" s="276" t="s">
        <v>823</v>
      </c>
      <c r="D273" s="547">
        <v>0</v>
      </c>
      <c r="E273" s="547">
        <v>0</v>
      </c>
      <c r="F273" s="547">
        <v>0</v>
      </c>
      <c r="G273" s="547">
        <v>0</v>
      </c>
      <c r="H273" s="547">
        <v>0</v>
      </c>
      <c r="I273" s="277"/>
      <c r="J273" s="37"/>
      <c r="K273" s="37"/>
      <c r="L273" s="37"/>
      <c r="M273" s="37"/>
      <c r="N273" s="37"/>
      <c r="O273" s="37"/>
      <c r="P273" s="37"/>
      <c r="Q273" s="37"/>
    </row>
    <row r="274" spans="1:45" hidden="1" outlineLevel="1" x14ac:dyDescent="0.3">
      <c r="A274" s="276" t="s">
        <v>6020</v>
      </c>
      <c r="B274" s="276" t="s">
        <v>940</v>
      </c>
      <c r="C274" s="276" t="s">
        <v>825</v>
      </c>
      <c r="D274" s="547">
        <v>0</v>
      </c>
      <c r="E274" s="547">
        <v>0</v>
      </c>
      <c r="F274" s="547">
        <v>0</v>
      </c>
      <c r="G274" s="547">
        <v>0</v>
      </c>
      <c r="H274" s="547">
        <v>0</v>
      </c>
      <c r="I274" s="277"/>
      <c r="J274" s="37"/>
      <c r="K274" s="37"/>
      <c r="L274" s="37"/>
      <c r="M274" s="37"/>
      <c r="N274" s="37"/>
      <c r="O274" s="37"/>
      <c r="P274" s="37"/>
      <c r="Q274" s="37"/>
    </row>
    <row r="275" spans="1:45" hidden="1" outlineLevel="1" x14ac:dyDescent="0.3">
      <c r="A275" s="276" t="s">
        <v>6020</v>
      </c>
      <c r="B275" s="276" t="s">
        <v>940</v>
      </c>
      <c r="C275" s="276" t="s">
        <v>827</v>
      </c>
      <c r="D275" s="547">
        <v>650000</v>
      </c>
      <c r="E275" s="547">
        <v>650000</v>
      </c>
      <c r="F275" s="547">
        <v>650000</v>
      </c>
      <c r="G275" s="547">
        <v>650000</v>
      </c>
      <c r="H275" s="547">
        <v>650000</v>
      </c>
      <c r="I275" s="277"/>
      <c r="J275" s="37"/>
      <c r="K275" s="37"/>
      <c r="L275" s="37"/>
      <c r="M275" s="37"/>
      <c r="N275" s="37"/>
      <c r="O275" s="37"/>
      <c r="P275" s="37"/>
      <c r="Q275" s="37"/>
    </row>
    <row r="276" spans="1:45" hidden="1" outlineLevel="1" x14ac:dyDescent="0.3">
      <c r="A276" s="276" t="s">
        <v>6020</v>
      </c>
      <c r="B276" s="276" t="s">
        <v>940</v>
      </c>
      <c r="C276" s="276" t="s">
        <v>829</v>
      </c>
      <c r="D276" s="547">
        <v>1000</v>
      </c>
      <c r="E276" s="547">
        <v>1000</v>
      </c>
      <c r="F276" s="547">
        <v>1000</v>
      </c>
      <c r="G276" s="547">
        <v>1000</v>
      </c>
      <c r="H276" s="547">
        <v>1000</v>
      </c>
      <c r="I276" s="277"/>
      <c r="J276" s="37"/>
      <c r="K276" s="37"/>
      <c r="L276" s="37"/>
      <c r="M276" s="37"/>
      <c r="N276" s="37"/>
      <c r="O276" s="37"/>
      <c r="P276" s="37"/>
      <c r="Q276" s="37"/>
    </row>
    <row r="277" spans="1:45" hidden="1" outlineLevel="1" x14ac:dyDescent="0.3">
      <c r="A277" s="276" t="s">
        <v>6020</v>
      </c>
      <c r="B277" s="276" t="s">
        <v>940</v>
      </c>
      <c r="C277" s="276" t="s">
        <v>833</v>
      </c>
      <c r="D277" s="547">
        <v>0</v>
      </c>
      <c r="E277" s="547">
        <v>0</v>
      </c>
      <c r="F277" s="547">
        <v>0</v>
      </c>
      <c r="G277" s="547">
        <v>0</v>
      </c>
      <c r="H277" s="547">
        <v>0</v>
      </c>
      <c r="I277" s="277"/>
      <c r="J277" s="37"/>
      <c r="K277" s="37"/>
      <c r="L277" s="37"/>
      <c r="M277" s="37"/>
      <c r="N277" s="37"/>
      <c r="O277" s="37"/>
      <c r="P277" s="37"/>
      <c r="Q277" s="37"/>
    </row>
    <row r="278" spans="1:45" hidden="1" outlineLevel="1" x14ac:dyDescent="0.3">
      <c r="A278" s="276" t="s">
        <v>6020</v>
      </c>
      <c r="B278" s="276" t="s">
        <v>940</v>
      </c>
      <c r="C278" s="276" t="s">
        <v>836</v>
      </c>
      <c r="D278" s="547">
        <v>0</v>
      </c>
      <c r="E278" s="547">
        <v>0</v>
      </c>
      <c r="F278" s="547">
        <v>0</v>
      </c>
      <c r="G278" s="547">
        <v>0</v>
      </c>
      <c r="H278" s="547">
        <v>0</v>
      </c>
      <c r="I278" s="277"/>
      <c r="J278" s="37"/>
      <c r="K278" s="37"/>
      <c r="L278" s="37"/>
      <c r="M278" s="37"/>
      <c r="N278" s="37"/>
      <c r="O278" s="37"/>
      <c r="P278" s="37"/>
      <c r="Q278" s="37"/>
    </row>
    <row r="279" spans="1:45" hidden="1" outlineLevel="1" x14ac:dyDescent="0.3">
      <c r="A279" s="276" t="s">
        <v>6020</v>
      </c>
      <c r="B279" s="276" t="s">
        <v>940</v>
      </c>
      <c r="C279" s="276" t="s">
        <v>837</v>
      </c>
      <c r="D279" s="547">
        <v>0</v>
      </c>
      <c r="E279" s="547">
        <v>0</v>
      </c>
      <c r="F279" s="547">
        <v>0</v>
      </c>
      <c r="G279" s="547">
        <v>0</v>
      </c>
      <c r="H279" s="547">
        <v>0</v>
      </c>
      <c r="I279" s="277"/>
      <c r="J279" s="37"/>
      <c r="K279" s="37"/>
      <c r="L279" s="37"/>
      <c r="M279" s="37"/>
      <c r="N279" s="37"/>
      <c r="O279" s="37"/>
      <c r="P279" s="37"/>
      <c r="Q279" s="37"/>
    </row>
    <row r="280" spans="1:45" hidden="1" outlineLevel="1" x14ac:dyDescent="0.3">
      <c r="A280" s="276" t="s">
        <v>6020</v>
      </c>
      <c r="B280" s="276" t="s">
        <v>940</v>
      </c>
      <c r="C280" s="276" t="s">
        <v>839</v>
      </c>
      <c r="D280" s="547">
        <v>1000</v>
      </c>
      <c r="E280" s="547">
        <v>1000</v>
      </c>
      <c r="F280" s="547">
        <v>1000</v>
      </c>
      <c r="G280" s="547">
        <v>1000</v>
      </c>
      <c r="H280" s="547">
        <v>1000</v>
      </c>
      <c r="I280" s="277"/>
      <c r="J280" s="37"/>
      <c r="K280" s="37"/>
      <c r="L280" s="37"/>
      <c r="M280" s="37"/>
      <c r="N280" s="37"/>
      <c r="O280" s="37"/>
      <c r="P280" s="37"/>
      <c r="Q280" s="37"/>
    </row>
    <row r="281" spans="1:45" hidden="1" outlineLevel="1" x14ac:dyDescent="0.3">
      <c r="A281" s="276" t="s">
        <v>6020</v>
      </c>
      <c r="B281" s="276" t="s">
        <v>940</v>
      </c>
      <c r="C281" s="276" t="s">
        <v>840</v>
      </c>
      <c r="D281" s="547">
        <v>0</v>
      </c>
      <c r="E281" s="547">
        <v>0</v>
      </c>
      <c r="F281" s="547">
        <v>0</v>
      </c>
      <c r="G281" s="547">
        <v>0</v>
      </c>
      <c r="H281" s="547">
        <v>0</v>
      </c>
      <c r="I281" s="277"/>
      <c r="J281" s="37"/>
      <c r="K281" s="37"/>
      <c r="L281" s="37"/>
      <c r="M281" s="37"/>
      <c r="N281" s="37"/>
      <c r="O281" s="37"/>
      <c r="P281" s="37"/>
      <c r="Q281" s="37"/>
    </row>
    <row r="282" spans="1:45" s="70" customFormat="1" collapsed="1" x14ac:dyDescent="0.3">
      <c r="A282" s="276"/>
      <c r="B282" s="276"/>
      <c r="C282" s="530" t="s">
        <v>2684</v>
      </c>
      <c r="D282" s="547"/>
      <c r="E282" s="547"/>
      <c r="F282" s="547"/>
      <c r="G282" s="547"/>
      <c r="H282" s="547"/>
      <c r="I282" s="275"/>
      <c r="J282" s="37"/>
      <c r="K282" s="37"/>
      <c r="L282" s="37"/>
      <c r="M282" s="37"/>
      <c r="N282" s="37"/>
      <c r="O282" s="37"/>
      <c r="P282" s="37"/>
      <c r="Q282" s="37"/>
      <c r="R282"/>
      <c r="S282"/>
      <c r="T282"/>
      <c r="U282"/>
      <c r="V282"/>
      <c r="W282"/>
      <c r="X282"/>
      <c r="Y282"/>
      <c r="Z282"/>
      <c r="AA282"/>
      <c r="AB282"/>
      <c r="AC282"/>
      <c r="AD282"/>
      <c r="AE282"/>
      <c r="AF282"/>
      <c r="AG282"/>
      <c r="AH282"/>
      <c r="AI282"/>
      <c r="AJ282"/>
      <c r="AK282"/>
      <c r="AL282"/>
      <c r="AM282"/>
      <c r="AN282"/>
      <c r="AO282"/>
      <c r="AP282"/>
      <c r="AQ282"/>
      <c r="AR282"/>
      <c r="AS282"/>
    </row>
    <row r="283" spans="1:45" x14ac:dyDescent="0.3">
      <c r="A283" s="274" t="s">
        <v>6021</v>
      </c>
      <c r="B283" s="274"/>
      <c r="C283" s="299" t="s">
        <v>3973</v>
      </c>
      <c r="D283" s="547">
        <v>0</v>
      </c>
      <c r="E283" s="547">
        <v>0</v>
      </c>
      <c r="F283" s="547">
        <v>0</v>
      </c>
      <c r="G283" s="547">
        <v>0</v>
      </c>
      <c r="H283" s="547">
        <v>0</v>
      </c>
      <c r="I283" s="275"/>
      <c r="J283"/>
    </row>
    <row r="284" spans="1:45" x14ac:dyDescent="0.3">
      <c r="A284" s="548" t="s">
        <v>5</v>
      </c>
      <c r="B284" s="548" t="s">
        <v>847</v>
      </c>
      <c r="C284" s="548" t="s">
        <v>193</v>
      </c>
      <c r="D284" s="549">
        <v>2025</v>
      </c>
      <c r="E284" s="549">
        <v>2030</v>
      </c>
      <c r="F284" s="549">
        <v>2035</v>
      </c>
      <c r="G284" s="549">
        <v>2040</v>
      </c>
      <c r="H284" s="549">
        <v>2045</v>
      </c>
      <c r="I284" s="550" t="s">
        <v>153</v>
      </c>
      <c r="J284"/>
    </row>
    <row r="285" spans="1:45" hidden="1" outlineLevel="1" x14ac:dyDescent="0.3">
      <c r="A285" s="276" t="s">
        <v>6021</v>
      </c>
      <c r="B285" s="276" t="s">
        <v>855</v>
      </c>
      <c r="C285" s="276" t="s">
        <v>747</v>
      </c>
      <c r="D285" s="547">
        <v>0</v>
      </c>
      <c r="E285" s="547">
        <v>0</v>
      </c>
      <c r="F285" s="547">
        <v>0</v>
      </c>
      <c r="G285" s="547">
        <v>0</v>
      </c>
      <c r="H285" s="547">
        <v>0</v>
      </c>
      <c r="I285" s="275"/>
      <c r="J285" s="37"/>
      <c r="L285" s="37"/>
      <c r="M285" s="37"/>
      <c r="N285" s="37"/>
      <c r="O285" s="37"/>
      <c r="P285" s="37"/>
      <c r="Q285" s="37"/>
    </row>
    <row r="286" spans="1:45" hidden="1" outlineLevel="1" x14ac:dyDescent="0.3">
      <c r="A286" s="276" t="s">
        <v>6021</v>
      </c>
      <c r="B286" s="276" t="s">
        <v>855</v>
      </c>
      <c r="C286" s="276" t="s">
        <v>751</v>
      </c>
      <c r="D286" s="547">
        <v>0</v>
      </c>
      <c r="E286" s="547">
        <v>0</v>
      </c>
      <c r="F286" s="547">
        <v>0</v>
      </c>
      <c r="G286" s="547">
        <v>0</v>
      </c>
      <c r="H286" s="547">
        <v>0</v>
      </c>
      <c r="I286" s="275"/>
      <c r="J286" s="37"/>
      <c r="K286" s="37"/>
      <c r="L286" s="37"/>
      <c r="M286" s="37"/>
      <c r="N286" s="37"/>
      <c r="O286" s="37"/>
      <c r="P286" s="37"/>
      <c r="Q286" s="37"/>
    </row>
    <row r="287" spans="1:45" hidden="1" outlineLevel="1" x14ac:dyDescent="0.3">
      <c r="A287" s="276" t="s">
        <v>6021</v>
      </c>
      <c r="B287" s="276" t="s">
        <v>855</v>
      </c>
      <c r="C287" s="276" t="s">
        <v>755</v>
      </c>
      <c r="D287" s="547">
        <v>0</v>
      </c>
      <c r="E287" s="547">
        <v>0</v>
      </c>
      <c r="F287" s="547">
        <v>0</v>
      </c>
      <c r="G287" s="547">
        <v>0</v>
      </c>
      <c r="H287" s="547">
        <v>0</v>
      </c>
      <c r="I287" s="275"/>
      <c r="J287" s="37"/>
      <c r="K287" s="37"/>
      <c r="L287" s="37"/>
      <c r="M287" s="37"/>
      <c r="N287" s="37"/>
      <c r="O287" s="37"/>
      <c r="P287" s="37"/>
      <c r="Q287" s="37"/>
    </row>
    <row r="288" spans="1:45" hidden="1" outlineLevel="1" x14ac:dyDescent="0.3">
      <c r="A288" s="276" t="s">
        <v>6021</v>
      </c>
      <c r="B288" s="276" t="s">
        <v>855</v>
      </c>
      <c r="C288" s="276" t="s">
        <v>758</v>
      </c>
      <c r="D288" s="547">
        <v>0</v>
      </c>
      <c r="E288" s="547">
        <v>0</v>
      </c>
      <c r="F288" s="547">
        <v>0</v>
      </c>
      <c r="G288" s="547">
        <v>0</v>
      </c>
      <c r="H288" s="547">
        <v>0</v>
      </c>
      <c r="I288" s="275" t="s">
        <v>5998</v>
      </c>
      <c r="J288" s="37"/>
      <c r="K288" s="37"/>
      <c r="L288" s="37"/>
      <c r="M288" s="37"/>
      <c r="N288" s="37"/>
      <c r="O288" s="37"/>
      <c r="P288" s="37"/>
      <c r="Q288" s="37"/>
    </row>
    <row r="289" spans="1:17" hidden="1" outlineLevel="1" x14ac:dyDescent="0.3">
      <c r="A289" s="276" t="s">
        <v>6021</v>
      </c>
      <c r="B289" s="276" t="s">
        <v>855</v>
      </c>
      <c r="C289" s="276" t="s">
        <v>761</v>
      </c>
      <c r="D289" s="547">
        <v>0</v>
      </c>
      <c r="E289" s="547">
        <v>0</v>
      </c>
      <c r="F289" s="547">
        <v>0</v>
      </c>
      <c r="G289" s="547">
        <v>0</v>
      </c>
      <c r="H289" s="547">
        <v>0</v>
      </c>
      <c r="I289" s="275"/>
      <c r="J289" s="37"/>
      <c r="K289" s="37"/>
      <c r="L289" s="37"/>
      <c r="M289" s="37"/>
      <c r="N289" s="37"/>
      <c r="O289" s="37"/>
      <c r="P289" s="37"/>
      <c r="Q289" s="37"/>
    </row>
    <row r="290" spans="1:17" hidden="1" outlineLevel="1" x14ac:dyDescent="0.3">
      <c r="A290" s="276" t="s">
        <v>6021</v>
      </c>
      <c r="B290" s="276" t="s">
        <v>855</v>
      </c>
      <c r="C290" s="276" t="s">
        <v>763</v>
      </c>
      <c r="D290" s="547">
        <v>0</v>
      </c>
      <c r="E290" s="547">
        <v>0</v>
      </c>
      <c r="F290" s="547">
        <v>0</v>
      </c>
      <c r="G290" s="547">
        <v>0</v>
      </c>
      <c r="H290" s="547">
        <v>0</v>
      </c>
      <c r="I290" s="275"/>
      <c r="J290" s="37"/>
      <c r="K290" s="37"/>
      <c r="L290" s="37"/>
      <c r="M290" s="37"/>
      <c r="N290" s="37"/>
      <c r="O290" s="37"/>
      <c r="P290" s="37"/>
      <c r="Q290" s="37"/>
    </row>
    <row r="291" spans="1:17" hidden="1" outlineLevel="1" x14ac:dyDescent="0.3">
      <c r="A291" s="276" t="s">
        <v>6021</v>
      </c>
      <c r="B291" s="276" t="s">
        <v>855</v>
      </c>
      <c r="C291" s="276" t="s">
        <v>765</v>
      </c>
      <c r="D291" s="547">
        <v>0</v>
      </c>
      <c r="E291" s="547">
        <v>0</v>
      </c>
      <c r="F291" s="547">
        <v>0</v>
      </c>
      <c r="G291" s="547">
        <v>0</v>
      </c>
      <c r="H291" s="547">
        <v>0</v>
      </c>
      <c r="I291" s="275"/>
      <c r="J291" s="37"/>
      <c r="L291" s="37"/>
      <c r="M291" s="37"/>
      <c r="N291" s="37"/>
      <c r="O291" s="37"/>
      <c r="P291" s="37"/>
      <c r="Q291" s="37"/>
    </row>
    <row r="292" spans="1:17" hidden="1" outlineLevel="1" x14ac:dyDescent="0.3">
      <c r="A292" s="276" t="s">
        <v>6021</v>
      </c>
      <c r="B292" s="276" t="s">
        <v>855</v>
      </c>
      <c r="C292" s="276" t="s">
        <v>768</v>
      </c>
      <c r="D292" s="547">
        <v>0</v>
      </c>
      <c r="E292" s="547">
        <v>0</v>
      </c>
      <c r="F292" s="547">
        <v>0</v>
      </c>
      <c r="G292" s="547">
        <v>0</v>
      </c>
      <c r="H292" s="547">
        <v>0</v>
      </c>
      <c r="I292" s="275"/>
      <c r="J292" s="37"/>
      <c r="K292" s="251"/>
      <c r="L292" s="37"/>
      <c r="M292" s="37"/>
      <c r="N292" s="37"/>
      <c r="O292" s="37"/>
      <c r="P292" s="37"/>
      <c r="Q292" s="37"/>
    </row>
    <row r="293" spans="1:17" hidden="1" outlineLevel="1" x14ac:dyDescent="0.3">
      <c r="A293" s="276" t="s">
        <v>6021</v>
      </c>
      <c r="B293" s="276" t="s">
        <v>855</v>
      </c>
      <c r="C293" s="276" t="s">
        <v>771</v>
      </c>
      <c r="D293" s="547">
        <v>0</v>
      </c>
      <c r="E293" s="547">
        <v>0</v>
      </c>
      <c r="F293" s="547">
        <v>0</v>
      </c>
      <c r="G293" s="547">
        <v>0</v>
      </c>
      <c r="H293" s="547">
        <v>0</v>
      </c>
      <c r="I293" s="275"/>
      <c r="J293" s="37"/>
      <c r="K293" s="251"/>
      <c r="L293" s="37"/>
      <c r="M293" s="37"/>
      <c r="N293" s="37"/>
      <c r="O293" s="37"/>
      <c r="P293" s="37"/>
      <c r="Q293" s="37"/>
    </row>
    <row r="294" spans="1:17" hidden="1" outlineLevel="1" x14ac:dyDescent="0.3">
      <c r="A294" s="276" t="s">
        <v>6021</v>
      </c>
      <c r="B294" s="276" t="s">
        <v>855</v>
      </c>
      <c r="C294" s="276" t="s">
        <v>772</v>
      </c>
      <c r="D294" s="547">
        <v>0</v>
      </c>
      <c r="E294" s="547">
        <v>0</v>
      </c>
      <c r="F294" s="547">
        <v>0</v>
      </c>
      <c r="G294" s="547">
        <v>0</v>
      </c>
      <c r="H294" s="547">
        <v>0</v>
      </c>
      <c r="I294" s="275"/>
      <c r="J294" s="37"/>
      <c r="K294" s="251"/>
      <c r="L294" s="37"/>
      <c r="M294" s="37"/>
      <c r="N294" s="37"/>
      <c r="O294" s="37"/>
      <c r="P294" s="37"/>
      <c r="Q294" s="37"/>
    </row>
    <row r="295" spans="1:17" hidden="1" outlineLevel="1" x14ac:dyDescent="0.3">
      <c r="A295" s="276" t="s">
        <v>6021</v>
      </c>
      <c r="B295" s="276" t="s">
        <v>855</v>
      </c>
      <c r="C295" s="276" t="s">
        <v>774</v>
      </c>
      <c r="D295" s="547">
        <v>0</v>
      </c>
      <c r="E295" s="547">
        <v>0</v>
      </c>
      <c r="F295" s="547">
        <v>0</v>
      </c>
      <c r="G295" s="547">
        <v>0</v>
      </c>
      <c r="H295" s="547">
        <v>0</v>
      </c>
      <c r="I295" s="275"/>
      <c r="J295" s="37"/>
      <c r="K295" s="251"/>
      <c r="L295" s="37"/>
      <c r="M295" s="37"/>
      <c r="N295" s="37"/>
      <c r="O295" s="37"/>
      <c r="P295" s="37"/>
      <c r="Q295" s="37"/>
    </row>
    <row r="296" spans="1:17" hidden="1" outlineLevel="1" x14ac:dyDescent="0.3">
      <c r="A296" s="276" t="s">
        <v>6021</v>
      </c>
      <c r="B296" s="276" t="s">
        <v>855</v>
      </c>
      <c r="C296" s="276" t="s">
        <v>775</v>
      </c>
      <c r="D296" s="547">
        <v>0</v>
      </c>
      <c r="E296" s="547">
        <v>0</v>
      </c>
      <c r="F296" s="547">
        <v>0</v>
      </c>
      <c r="G296" s="547">
        <v>0</v>
      </c>
      <c r="H296" s="547">
        <v>0</v>
      </c>
      <c r="I296" s="275"/>
      <c r="J296" s="37"/>
      <c r="K296" s="251"/>
      <c r="L296" s="37"/>
      <c r="M296" s="37"/>
      <c r="N296" s="37"/>
      <c r="O296" s="37"/>
      <c r="P296" s="37"/>
      <c r="Q296" s="37"/>
    </row>
    <row r="297" spans="1:17" hidden="1" outlineLevel="1" x14ac:dyDescent="0.3">
      <c r="A297" s="276" t="s">
        <v>6021</v>
      </c>
      <c r="B297" s="276" t="s">
        <v>855</v>
      </c>
      <c r="C297" s="276" t="s">
        <v>779</v>
      </c>
      <c r="D297" s="547">
        <v>0</v>
      </c>
      <c r="E297" s="547">
        <v>0</v>
      </c>
      <c r="F297" s="547">
        <v>0</v>
      </c>
      <c r="G297" s="547">
        <v>0</v>
      </c>
      <c r="H297" s="547">
        <v>0</v>
      </c>
      <c r="I297" s="275"/>
      <c r="J297" s="37"/>
      <c r="K297" s="37"/>
      <c r="L297" s="37"/>
      <c r="M297" s="37"/>
      <c r="N297" s="37"/>
      <c r="O297" s="37"/>
      <c r="P297" s="37"/>
      <c r="Q297" s="37"/>
    </row>
    <row r="298" spans="1:17" hidden="1" outlineLevel="1" x14ac:dyDescent="0.3">
      <c r="A298" s="276" t="s">
        <v>6021</v>
      </c>
      <c r="B298" s="276" t="s">
        <v>894</v>
      </c>
      <c r="C298" s="276" t="s">
        <v>781</v>
      </c>
      <c r="D298" s="547">
        <v>0</v>
      </c>
      <c r="E298" s="547">
        <v>0</v>
      </c>
      <c r="F298" s="547">
        <v>0</v>
      </c>
      <c r="G298" s="547">
        <v>0</v>
      </c>
      <c r="H298" s="547">
        <v>0</v>
      </c>
      <c r="I298" s="275"/>
      <c r="J298" s="37"/>
      <c r="K298" s="37"/>
      <c r="L298" s="37"/>
      <c r="M298" s="37"/>
      <c r="N298" s="37"/>
      <c r="O298" s="37"/>
      <c r="P298" s="37"/>
      <c r="Q298" s="37"/>
    </row>
    <row r="299" spans="1:17" hidden="1" outlineLevel="1" x14ac:dyDescent="0.3">
      <c r="A299" s="276" t="s">
        <v>6021</v>
      </c>
      <c r="B299" s="276" t="s">
        <v>894</v>
      </c>
      <c r="C299" s="276" t="s">
        <v>783</v>
      </c>
      <c r="D299" s="547">
        <v>0</v>
      </c>
      <c r="E299" s="547">
        <v>0</v>
      </c>
      <c r="F299" s="547">
        <v>0</v>
      </c>
      <c r="G299" s="547">
        <v>0</v>
      </c>
      <c r="H299" s="547">
        <v>0</v>
      </c>
      <c r="I299" s="275"/>
      <c r="J299" s="37"/>
      <c r="K299" s="37"/>
      <c r="L299" s="37"/>
      <c r="M299" s="37"/>
      <c r="N299" s="37"/>
      <c r="O299" s="37"/>
      <c r="P299" s="37"/>
      <c r="Q299" s="37"/>
    </row>
    <row r="300" spans="1:17" hidden="1" outlineLevel="1" x14ac:dyDescent="0.3">
      <c r="A300" s="276" t="s">
        <v>6021</v>
      </c>
      <c r="B300" s="276" t="s">
        <v>894</v>
      </c>
      <c r="C300" s="276" t="s">
        <v>785</v>
      </c>
      <c r="D300" s="547">
        <v>0</v>
      </c>
      <c r="E300" s="547">
        <v>0</v>
      </c>
      <c r="F300" s="547">
        <v>0</v>
      </c>
      <c r="G300" s="547">
        <v>0</v>
      </c>
      <c r="H300" s="547">
        <v>0</v>
      </c>
      <c r="I300" s="275"/>
      <c r="J300" s="37"/>
      <c r="K300" s="37"/>
      <c r="L300" s="37"/>
      <c r="M300" s="37"/>
      <c r="N300" s="37"/>
      <c r="O300" s="37"/>
      <c r="P300" s="37"/>
      <c r="Q300" s="37"/>
    </row>
    <row r="301" spans="1:17" hidden="1" outlineLevel="1" x14ac:dyDescent="0.3">
      <c r="A301" s="276" t="s">
        <v>6021</v>
      </c>
      <c r="B301" s="276" t="s">
        <v>894</v>
      </c>
      <c r="C301" s="276" t="s">
        <v>787</v>
      </c>
      <c r="D301" s="547">
        <v>0</v>
      </c>
      <c r="E301" s="547">
        <v>0</v>
      </c>
      <c r="F301" s="547">
        <v>0</v>
      </c>
      <c r="G301" s="547">
        <v>0</v>
      </c>
      <c r="H301" s="547">
        <v>0</v>
      </c>
      <c r="I301" s="275"/>
      <c r="J301" s="37"/>
      <c r="K301" s="37"/>
      <c r="L301" s="37"/>
      <c r="M301" s="37"/>
      <c r="N301" s="37"/>
      <c r="O301" s="37"/>
      <c r="P301" s="37"/>
      <c r="Q301" s="37"/>
    </row>
    <row r="302" spans="1:17" hidden="1" outlineLevel="1" x14ac:dyDescent="0.3">
      <c r="A302" s="276" t="s">
        <v>6021</v>
      </c>
      <c r="B302" s="276" t="s">
        <v>894</v>
      </c>
      <c r="C302" s="276" t="s">
        <v>788</v>
      </c>
      <c r="D302" s="547">
        <v>0</v>
      </c>
      <c r="E302" s="547">
        <v>0</v>
      </c>
      <c r="F302" s="547">
        <v>0</v>
      </c>
      <c r="G302" s="547">
        <v>0</v>
      </c>
      <c r="H302" s="547">
        <v>0</v>
      </c>
      <c r="I302" s="275"/>
      <c r="J302" s="37"/>
      <c r="K302" s="37"/>
      <c r="L302" s="37"/>
      <c r="M302" s="37"/>
      <c r="N302" s="37"/>
      <c r="O302" s="37"/>
      <c r="P302" s="37"/>
      <c r="Q302" s="37"/>
    </row>
    <row r="303" spans="1:17" hidden="1" outlineLevel="1" x14ac:dyDescent="0.3">
      <c r="A303" s="276" t="s">
        <v>6021</v>
      </c>
      <c r="B303" s="276" t="s">
        <v>894</v>
      </c>
      <c r="C303" s="276" t="s">
        <v>789</v>
      </c>
      <c r="D303" s="547">
        <v>0</v>
      </c>
      <c r="E303" s="547">
        <v>0</v>
      </c>
      <c r="F303" s="547">
        <v>0</v>
      </c>
      <c r="G303" s="547">
        <v>0</v>
      </c>
      <c r="H303" s="547">
        <v>0</v>
      </c>
      <c r="I303" s="275"/>
      <c r="J303" s="37"/>
      <c r="K303" s="37"/>
      <c r="L303" s="37"/>
      <c r="M303" s="37"/>
      <c r="N303" s="37"/>
      <c r="O303" s="37"/>
      <c r="P303" s="37"/>
      <c r="Q303" s="37"/>
    </row>
    <row r="304" spans="1:17" hidden="1" outlineLevel="1" x14ac:dyDescent="0.3">
      <c r="A304" s="276" t="s">
        <v>6021</v>
      </c>
      <c r="B304" s="276" t="s">
        <v>894</v>
      </c>
      <c r="C304" s="276" t="s">
        <v>790</v>
      </c>
      <c r="D304" s="547">
        <v>0</v>
      </c>
      <c r="E304" s="547">
        <v>0</v>
      </c>
      <c r="F304" s="547">
        <v>0</v>
      </c>
      <c r="G304" s="547">
        <v>0</v>
      </c>
      <c r="H304" s="547">
        <v>0</v>
      </c>
      <c r="I304" s="275"/>
      <c r="J304" s="37"/>
      <c r="K304" s="37"/>
      <c r="L304" s="37"/>
      <c r="M304" s="37"/>
      <c r="N304" s="37"/>
      <c r="O304" s="37"/>
      <c r="P304" s="37"/>
      <c r="Q304" s="37"/>
    </row>
    <row r="305" spans="1:17" hidden="1" outlineLevel="1" x14ac:dyDescent="0.3">
      <c r="A305" s="276" t="s">
        <v>6021</v>
      </c>
      <c r="B305" s="276" t="s">
        <v>894</v>
      </c>
      <c r="C305" s="276" t="s">
        <v>793</v>
      </c>
      <c r="D305" s="547">
        <v>0</v>
      </c>
      <c r="E305" s="547">
        <v>0</v>
      </c>
      <c r="F305" s="547">
        <v>0</v>
      </c>
      <c r="G305" s="547">
        <v>0</v>
      </c>
      <c r="H305" s="547">
        <v>0</v>
      </c>
      <c r="I305" s="275"/>
      <c r="J305" s="37"/>
      <c r="K305" s="37"/>
      <c r="L305" s="37"/>
      <c r="M305" s="37"/>
      <c r="N305" s="37"/>
      <c r="O305" s="37"/>
      <c r="P305" s="37"/>
      <c r="Q305" s="37"/>
    </row>
    <row r="306" spans="1:17" hidden="1" outlineLevel="1" x14ac:dyDescent="0.3">
      <c r="A306" s="276" t="s">
        <v>6021</v>
      </c>
      <c r="B306" s="276" t="s">
        <v>894</v>
      </c>
      <c r="C306" s="276" t="s">
        <v>795</v>
      </c>
      <c r="D306" s="547">
        <v>0</v>
      </c>
      <c r="E306" s="547">
        <v>0</v>
      </c>
      <c r="F306" s="547">
        <v>0</v>
      </c>
      <c r="G306" s="547">
        <v>0</v>
      </c>
      <c r="H306" s="547">
        <v>0</v>
      </c>
      <c r="I306" s="275"/>
      <c r="J306" s="37"/>
      <c r="K306" s="37"/>
      <c r="L306" s="37"/>
      <c r="M306" s="37"/>
      <c r="N306" s="37"/>
      <c r="O306" s="37"/>
      <c r="P306" s="37"/>
      <c r="Q306" s="37"/>
    </row>
    <row r="307" spans="1:17" hidden="1" outlineLevel="1" x14ac:dyDescent="0.3">
      <c r="A307" s="276" t="s">
        <v>6021</v>
      </c>
      <c r="B307" s="276" t="s">
        <v>894</v>
      </c>
      <c r="C307" s="276" t="s">
        <v>797</v>
      </c>
      <c r="D307" s="547">
        <v>0</v>
      </c>
      <c r="E307" s="547">
        <v>0</v>
      </c>
      <c r="F307" s="547">
        <v>0</v>
      </c>
      <c r="G307" s="547">
        <v>0</v>
      </c>
      <c r="H307" s="547">
        <v>0</v>
      </c>
      <c r="I307" s="275"/>
      <c r="J307" s="37"/>
      <c r="K307" s="37"/>
      <c r="L307" s="37"/>
      <c r="M307" s="37"/>
      <c r="N307" s="37"/>
      <c r="O307" s="37"/>
      <c r="P307" s="37"/>
      <c r="Q307" s="37"/>
    </row>
    <row r="308" spans="1:17" hidden="1" outlineLevel="1" x14ac:dyDescent="0.3">
      <c r="A308" s="276" t="s">
        <v>6021</v>
      </c>
      <c r="B308" s="276" t="s">
        <v>915</v>
      </c>
      <c r="C308" s="276" t="s">
        <v>799</v>
      </c>
      <c r="D308" s="547">
        <v>0</v>
      </c>
      <c r="E308" s="547">
        <v>0</v>
      </c>
      <c r="F308" s="547">
        <v>0</v>
      </c>
      <c r="G308" s="547">
        <v>0</v>
      </c>
      <c r="H308" s="547">
        <v>0</v>
      </c>
      <c r="I308" s="275"/>
      <c r="J308" s="37"/>
      <c r="K308" s="537"/>
      <c r="L308" s="37"/>
      <c r="M308" s="37"/>
      <c r="N308" s="37"/>
      <c r="O308" s="37"/>
      <c r="P308" s="37"/>
      <c r="Q308" s="37"/>
    </row>
    <row r="309" spans="1:17" hidden="1" outlineLevel="1" x14ac:dyDescent="0.3">
      <c r="A309" s="276" t="s">
        <v>6021</v>
      </c>
      <c r="B309" s="276" t="s">
        <v>915</v>
      </c>
      <c r="C309" s="276" t="s">
        <v>801</v>
      </c>
      <c r="D309" s="547">
        <v>0</v>
      </c>
      <c r="E309" s="547">
        <v>0</v>
      </c>
      <c r="F309" s="547">
        <v>0</v>
      </c>
      <c r="G309" s="547">
        <v>0</v>
      </c>
      <c r="H309" s="547">
        <v>0</v>
      </c>
      <c r="I309" s="275"/>
      <c r="J309" s="37"/>
      <c r="K309" s="37"/>
      <c r="L309" s="37"/>
      <c r="M309" s="37"/>
      <c r="N309" s="37"/>
      <c r="O309" s="37"/>
      <c r="P309" s="37"/>
      <c r="Q309" s="37"/>
    </row>
    <row r="310" spans="1:17" hidden="1" outlineLevel="1" x14ac:dyDescent="0.3">
      <c r="A310" s="276" t="s">
        <v>6021</v>
      </c>
      <c r="B310" s="276" t="s">
        <v>915</v>
      </c>
      <c r="C310" s="276" t="s">
        <v>804</v>
      </c>
      <c r="D310" s="547">
        <v>0</v>
      </c>
      <c r="E310" s="547">
        <v>0</v>
      </c>
      <c r="F310" s="547">
        <v>0</v>
      </c>
      <c r="G310" s="547">
        <v>0</v>
      </c>
      <c r="H310" s="547">
        <v>0</v>
      </c>
      <c r="I310" s="275"/>
      <c r="J310" s="37"/>
      <c r="L310" s="37"/>
      <c r="M310" s="37"/>
      <c r="N310" s="37"/>
      <c r="O310" s="37"/>
      <c r="P310" s="37"/>
      <c r="Q310" s="37"/>
    </row>
    <row r="311" spans="1:17" hidden="1" outlineLevel="1" x14ac:dyDescent="0.3">
      <c r="A311" s="276" t="s">
        <v>6021</v>
      </c>
      <c r="B311" s="276" t="s">
        <v>915</v>
      </c>
      <c r="C311" s="276" t="s">
        <v>806</v>
      </c>
      <c r="D311" s="547">
        <v>0</v>
      </c>
      <c r="E311" s="547">
        <v>0</v>
      </c>
      <c r="F311" s="547">
        <v>0</v>
      </c>
      <c r="G311" s="547">
        <v>0</v>
      </c>
      <c r="H311" s="547">
        <v>0</v>
      </c>
      <c r="I311" s="275"/>
      <c r="J311" s="37"/>
      <c r="K311" s="37"/>
      <c r="L311" s="37"/>
      <c r="M311" s="37"/>
      <c r="N311" s="37"/>
      <c r="O311" s="37"/>
      <c r="P311" s="37"/>
      <c r="Q311" s="37"/>
    </row>
    <row r="312" spans="1:17" hidden="1" outlineLevel="1" x14ac:dyDescent="0.3">
      <c r="A312" s="276" t="s">
        <v>6021</v>
      </c>
      <c r="B312" s="276" t="s">
        <v>915</v>
      </c>
      <c r="C312" s="276" t="s">
        <v>808</v>
      </c>
      <c r="D312" s="547">
        <v>0</v>
      </c>
      <c r="E312" s="547">
        <v>0</v>
      </c>
      <c r="F312" s="547">
        <v>0</v>
      </c>
      <c r="G312" s="547">
        <v>0</v>
      </c>
      <c r="H312" s="547">
        <v>0</v>
      </c>
      <c r="I312" s="275"/>
      <c r="J312" s="37"/>
      <c r="K312" s="37"/>
      <c r="L312" s="37"/>
      <c r="M312" s="37"/>
      <c r="N312" s="37"/>
      <c r="O312" s="37"/>
      <c r="P312" s="37"/>
      <c r="Q312" s="37"/>
    </row>
    <row r="313" spans="1:17" hidden="1" outlineLevel="1" x14ac:dyDescent="0.3">
      <c r="A313" s="276" t="s">
        <v>6021</v>
      </c>
      <c r="B313" s="276" t="s">
        <v>915</v>
      </c>
      <c r="C313" s="276" t="s">
        <v>811</v>
      </c>
      <c r="D313" s="547">
        <v>0</v>
      </c>
      <c r="E313" s="547">
        <v>0</v>
      </c>
      <c r="F313" s="547">
        <v>0</v>
      </c>
      <c r="G313" s="547">
        <v>0</v>
      </c>
      <c r="H313" s="547">
        <v>0</v>
      </c>
      <c r="I313" s="275"/>
      <c r="J313" s="37"/>
      <c r="K313" s="37"/>
      <c r="L313" s="37"/>
      <c r="M313" s="37"/>
      <c r="N313" s="37"/>
      <c r="O313" s="37"/>
      <c r="P313" s="37"/>
      <c r="Q313" s="37"/>
    </row>
    <row r="314" spans="1:17" hidden="1" outlineLevel="1" x14ac:dyDescent="0.3">
      <c r="A314" s="276" t="s">
        <v>6021</v>
      </c>
      <c r="B314" s="276" t="s">
        <v>934</v>
      </c>
      <c r="C314" s="276" t="s">
        <v>814</v>
      </c>
      <c r="D314" s="547">
        <v>0</v>
      </c>
      <c r="E314" s="547">
        <v>0</v>
      </c>
      <c r="F314" s="547">
        <v>0</v>
      </c>
      <c r="G314" s="547">
        <v>0</v>
      </c>
      <c r="H314" s="547">
        <v>0</v>
      </c>
      <c r="I314" s="275"/>
      <c r="J314" s="37"/>
      <c r="K314" s="37"/>
      <c r="L314" s="37"/>
      <c r="M314" s="37"/>
      <c r="N314" s="37"/>
      <c r="O314" s="37"/>
      <c r="P314" s="37"/>
      <c r="Q314" s="37"/>
    </row>
    <row r="315" spans="1:17" hidden="1" outlineLevel="1" x14ac:dyDescent="0.3">
      <c r="A315" s="276" t="s">
        <v>6021</v>
      </c>
      <c r="B315" s="276" t="s">
        <v>934</v>
      </c>
      <c r="C315" s="276" t="s">
        <v>815</v>
      </c>
      <c r="D315" s="547">
        <v>0</v>
      </c>
      <c r="E315" s="547">
        <v>0</v>
      </c>
      <c r="F315" s="547">
        <v>0</v>
      </c>
      <c r="G315" s="547">
        <v>0</v>
      </c>
      <c r="H315" s="547">
        <v>0</v>
      </c>
      <c r="I315" s="275"/>
      <c r="J315" s="37"/>
      <c r="K315" s="37"/>
      <c r="L315" s="37"/>
      <c r="M315" s="37"/>
      <c r="N315" s="37"/>
      <c r="O315" s="37"/>
      <c r="P315" s="37"/>
      <c r="Q315" s="37"/>
    </row>
    <row r="316" spans="1:17" hidden="1" outlineLevel="1" x14ac:dyDescent="0.3">
      <c r="A316" s="276" t="s">
        <v>6021</v>
      </c>
      <c r="B316" s="276" t="s">
        <v>940</v>
      </c>
      <c r="C316" s="276" t="s">
        <v>817</v>
      </c>
      <c r="D316" s="547">
        <v>0</v>
      </c>
      <c r="E316" s="547">
        <v>0</v>
      </c>
      <c r="F316" s="547">
        <v>0</v>
      </c>
      <c r="G316" s="547">
        <v>0</v>
      </c>
      <c r="H316" s="547">
        <v>0</v>
      </c>
      <c r="I316" s="275"/>
      <c r="J316" s="37"/>
      <c r="K316" s="37"/>
      <c r="L316" s="37"/>
      <c r="M316" s="37"/>
      <c r="N316" s="37"/>
      <c r="O316" s="37"/>
      <c r="P316" s="37"/>
      <c r="Q316" s="37"/>
    </row>
    <row r="317" spans="1:17" hidden="1" outlineLevel="1" x14ac:dyDescent="0.3">
      <c r="A317" s="276" t="s">
        <v>6021</v>
      </c>
      <c r="B317" s="276" t="s">
        <v>940</v>
      </c>
      <c r="C317" s="276" t="s">
        <v>944</v>
      </c>
      <c r="D317" s="547">
        <v>0</v>
      </c>
      <c r="E317" s="547">
        <v>0</v>
      </c>
      <c r="F317" s="547">
        <v>0</v>
      </c>
      <c r="G317" s="547">
        <v>0</v>
      </c>
      <c r="H317" s="547">
        <v>0</v>
      </c>
      <c r="I317" s="275"/>
      <c r="J317" s="37"/>
      <c r="K317" s="37"/>
      <c r="L317" s="37"/>
      <c r="M317" s="37"/>
      <c r="N317" s="37"/>
      <c r="O317" s="37"/>
      <c r="P317" s="37"/>
      <c r="Q317" s="37"/>
    </row>
    <row r="318" spans="1:17" hidden="1" outlineLevel="1" x14ac:dyDescent="0.3">
      <c r="A318" s="276" t="s">
        <v>6021</v>
      </c>
      <c r="B318" s="276" t="s">
        <v>940</v>
      </c>
      <c r="C318" s="276" t="s">
        <v>821</v>
      </c>
      <c r="D318" s="547">
        <v>0</v>
      </c>
      <c r="E318" s="547">
        <v>0</v>
      </c>
      <c r="F318" s="547">
        <v>0</v>
      </c>
      <c r="G318" s="547">
        <v>0</v>
      </c>
      <c r="H318" s="547">
        <v>0</v>
      </c>
      <c r="I318" s="275"/>
      <c r="J318" s="37"/>
      <c r="K318" s="37"/>
      <c r="L318" s="37"/>
      <c r="M318" s="37"/>
      <c r="N318" s="37"/>
      <c r="O318" s="37"/>
      <c r="P318" s="37"/>
      <c r="Q318" s="37"/>
    </row>
    <row r="319" spans="1:17" hidden="1" outlineLevel="1" x14ac:dyDescent="0.3">
      <c r="A319" s="276" t="s">
        <v>6021</v>
      </c>
      <c r="B319" s="276" t="s">
        <v>940</v>
      </c>
      <c r="C319" s="276" t="s">
        <v>823</v>
      </c>
      <c r="D319" s="547">
        <v>0</v>
      </c>
      <c r="E319" s="547">
        <v>0</v>
      </c>
      <c r="F319" s="547">
        <v>0</v>
      </c>
      <c r="G319" s="547">
        <v>0</v>
      </c>
      <c r="H319" s="547">
        <v>0</v>
      </c>
      <c r="I319" s="275"/>
      <c r="J319" s="37"/>
      <c r="K319" s="37"/>
      <c r="L319" s="37"/>
      <c r="M319" s="37"/>
      <c r="N319" s="37"/>
      <c r="O319" s="37"/>
      <c r="P319" s="37"/>
      <c r="Q319" s="37"/>
    </row>
    <row r="320" spans="1:17" hidden="1" outlineLevel="1" x14ac:dyDescent="0.3">
      <c r="A320" s="276" t="s">
        <v>6021</v>
      </c>
      <c r="B320" s="276" t="s">
        <v>940</v>
      </c>
      <c r="C320" s="276" t="s">
        <v>825</v>
      </c>
      <c r="D320" s="547">
        <v>0</v>
      </c>
      <c r="E320" s="547">
        <v>0</v>
      </c>
      <c r="F320" s="547">
        <v>0</v>
      </c>
      <c r="G320" s="547">
        <v>0</v>
      </c>
      <c r="H320" s="547">
        <v>0</v>
      </c>
      <c r="I320" s="275"/>
      <c r="J320" s="37"/>
      <c r="K320" s="37"/>
      <c r="L320" s="37"/>
      <c r="M320" s="37"/>
      <c r="N320" s="37"/>
      <c r="O320" s="37"/>
      <c r="P320" s="37"/>
      <c r="Q320" s="37"/>
    </row>
    <row r="321" spans="1:45" hidden="1" outlineLevel="1" x14ac:dyDescent="0.3">
      <c r="A321" s="276" t="s">
        <v>6021</v>
      </c>
      <c r="B321" s="276" t="s">
        <v>940</v>
      </c>
      <c r="C321" s="276" t="s">
        <v>827</v>
      </c>
      <c r="D321" s="547">
        <v>0</v>
      </c>
      <c r="E321" s="547">
        <v>0</v>
      </c>
      <c r="F321" s="547">
        <v>0</v>
      </c>
      <c r="G321" s="547">
        <v>0</v>
      </c>
      <c r="H321" s="547">
        <v>0</v>
      </c>
      <c r="I321" s="275"/>
      <c r="J321" s="37"/>
      <c r="K321" s="37"/>
      <c r="L321" s="37"/>
      <c r="M321" s="37"/>
      <c r="N321" s="37"/>
      <c r="O321" s="37"/>
      <c r="P321" s="37"/>
      <c r="Q321" s="37"/>
    </row>
    <row r="322" spans="1:45" hidden="1" outlineLevel="1" x14ac:dyDescent="0.3">
      <c r="A322" s="276" t="s">
        <v>6021</v>
      </c>
      <c r="B322" s="276" t="s">
        <v>940</v>
      </c>
      <c r="C322" s="276" t="s">
        <v>829</v>
      </c>
      <c r="D322" s="547">
        <v>0</v>
      </c>
      <c r="E322" s="547">
        <v>0</v>
      </c>
      <c r="F322" s="547">
        <v>0</v>
      </c>
      <c r="G322" s="547">
        <v>0</v>
      </c>
      <c r="H322" s="547">
        <v>0</v>
      </c>
      <c r="I322" s="275"/>
      <c r="J322" s="37"/>
      <c r="K322" s="37"/>
      <c r="L322" s="37"/>
      <c r="M322" s="37"/>
      <c r="N322" s="37"/>
      <c r="O322" s="37"/>
      <c r="P322" s="37"/>
      <c r="Q322" s="37"/>
    </row>
    <row r="323" spans="1:45" hidden="1" outlineLevel="1" x14ac:dyDescent="0.3">
      <c r="A323" s="276" t="s">
        <v>6021</v>
      </c>
      <c r="B323" s="276" t="s">
        <v>940</v>
      </c>
      <c r="C323" s="276" t="s">
        <v>833</v>
      </c>
      <c r="D323" s="547">
        <v>0</v>
      </c>
      <c r="E323" s="547">
        <v>0</v>
      </c>
      <c r="F323" s="547">
        <v>0</v>
      </c>
      <c r="G323" s="547">
        <v>0</v>
      </c>
      <c r="H323" s="547">
        <v>0</v>
      </c>
      <c r="I323" s="275"/>
      <c r="J323" s="37"/>
      <c r="K323" s="37"/>
      <c r="L323" s="37"/>
      <c r="M323" s="37"/>
      <c r="N323" s="37"/>
      <c r="O323" s="37"/>
      <c r="P323" s="37"/>
      <c r="Q323" s="37"/>
    </row>
    <row r="324" spans="1:45" hidden="1" outlineLevel="1" x14ac:dyDescent="0.3">
      <c r="A324" s="276" t="s">
        <v>6021</v>
      </c>
      <c r="B324" s="276" t="s">
        <v>940</v>
      </c>
      <c r="C324" s="276" t="s">
        <v>836</v>
      </c>
      <c r="D324" s="547">
        <v>0</v>
      </c>
      <c r="E324" s="547">
        <v>0</v>
      </c>
      <c r="F324" s="547">
        <v>0</v>
      </c>
      <c r="G324" s="547">
        <v>0</v>
      </c>
      <c r="H324" s="547">
        <v>0</v>
      </c>
      <c r="I324" s="275"/>
      <c r="J324" s="37"/>
      <c r="K324" s="37"/>
      <c r="L324" s="37"/>
      <c r="M324" s="37"/>
      <c r="N324" s="37"/>
      <c r="O324" s="37"/>
      <c r="P324" s="37"/>
      <c r="Q324" s="37"/>
    </row>
    <row r="325" spans="1:45" hidden="1" outlineLevel="1" x14ac:dyDescent="0.3">
      <c r="A325" s="276" t="s">
        <v>6021</v>
      </c>
      <c r="B325" s="276" t="s">
        <v>940</v>
      </c>
      <c r="C325" s="276" t="s">
        <v>837</v>
      </c>
      <c r="D325" s="547">
        <v>0</v>
      </c>
      <c r="E325" s="547">
        <v>0</v>
      </c>
      <c r="F325" s="547">
        <v>0</v>
      </c>
      <c r="G325" s="547">
        <v>0</v>
      </c>
      <c r="H325" s="547">
        <v>0</v>
      </c>
      <c r="I325" s="275"/>
      <c r="J325" s="37"/>
      <c r="K325" s="37"/>
      <c r="L325" s="37"/>
      <c r="M325" s="37"/>
      <c r="N325" s="37"/>
      <c r="O325" s="37"/>
      <c r="P325" s="37"/>
      <c r="Q325" s="37"/>
    </row>
    <row r="326" spans="1:45" hidden="1" outlineLevel="1" x14ac:dyDescent="0.3">
      <c r="A326" s="276" t="s">
        <v>6021</v>
      </c>
      <c r="B326" s="276" t="s">
        <v>940</v>
      </c>
      <c r="C326" s="276" t="s">
        <v>839</v>
      </c>
      <c r="D326" s="547">
        <v>0</v>
      </c>
      <c r="E326" s="547">
        <v>0</v>
      </c>
      <c r="F326" s="547">
        <v>0</v>
      </c>
      <c r="G326" s="547">
        <v>0</v>
      </c>
      <c r="H326" s="547">
        <v>0</v>
      </c>
      <c r="I326" s="275"/>
      <c r="J326" s="37"/>
      <c r="K326" s="37"/>
      <c r="L326" s="37"/>
      <c r="M326" s="37"/>
      <c r="N326" s="37"/>
      <c r="O326" s="37"/>
      <c r="P326" s="37"/>
      <c r="Q326" s="37"/>
    </row>
    <row r="327" spans="1:45" hidden="1" outlineLevel="1" x14ac:dyDescent="0.3">
      <c r="A327" s="276" t="s">
        <v>6021</v>
      </c>
      <c r="B327" s="276" t="s">
        <v>940</v>
      </c>
      <c r="C327" s="276" t="s">
        <v>840</v>
      </c>
      <c r="D327" s="547">
        <v>0</v>
      </c>
      <c r="E327" s="547">
        <v>0</v>
      </c>
      <c r="F327" s="547">
        <v>0</v>
      </c>
      <c r="G327" s="547">
        <v>0</v>
      </c>
      <c r="H327" s="547">
        <v>0</v>
      </c>
      <c r="I327" s="275"/>
      <c r="J327" s="37"/>
      <c r="K327" s="37"/>
      <c r="L327" s="37"/>
      <c r="M327" s="37"/>
      <c r="N327" s="37"/>
      <c r="O327" s="37"/>
      <c r="P327" s="37"/>
      <c r="Q327" s="37"/>
    </row>
    <row r="328" spans="1:45" collapsed="1" x14ac:dyDescent="0.3">
      <c r="A328" s="276"/>
      <c r="B328" s="276"/>
      <c r="C328" s="530" t="s">
        <v>2684</v>
      </c>
      <c r="D328" s="547"/>
      <c r="E328" s="547"/>
      <c r="F328" s="547"/>
      <c r="G328" s="547"/>
      <c r="H328" s="547"/>
      <c r="I328" s="275"/>
      <c r="J328"/>
    </row>
    <row r="329" spans="1:45" s="51" customFormat="1" x14ac:dyDescent="0.3">
      <c r="A329" s="274" t="s">
        <v>6022</v>
      </c>
      <c r="B329" s="274"/>
      <c r="C329" s="299" t="s">
        <v>3973</v>
      </c>
      <c r="D329" s="547">
        <v>0</v>
      </c>
      <c r="E329" s="547">
        <v>3000</v>
      </c>
      <c r="F329" s="547">
        <v>3000</v>
      </c>
      <c r="G329" s="547">
        <v>13660</v>
      </c>
      <c r="H329" s="547">
        <v>13660</v>
      </c>
      <c r="I329" s="275"/>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row>
    <row r="330" spans="1:45" s="51" customFormat="1" x14ac:dyDescent="0.3">
      <c r="A330" s="548" t="s">
        <v>5</v>
      </c>
      <c r="B330" s="548" t="s">
        <v>847</v>
      </c>
      <c r="C330" s="548" t="s">
        <v>193</v>
      </c>
      <c r="D330" s="549">
        <v>2025</v>
      </c>
      <c r="E330" s="549">
        <v>2030</v>
      </c>
      <c r="F330" s="549">
        <v>2035</v>
      </c>
      <c r="G330" s="549">
        <v>2040</v>
      </c>
      <c r="H330" s="549">
        <v>2045</v>
      </c>
      <c r="I330" s="550" t="s">
        <v>153</v>
      </c>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row>
    <row r="331" spans="1:45" s="51" customFormat="1" hidden="1" outlineLevel="1" x14ac:dyDescent="0.3">
      <c r="A331" s="276" t="s">
        <v>6022</v>
      </c>
      <c r="B331" s="276" t="s">
        <v>855</v>
      </c>
      <c r="C331" s="276" t="s">
        <v>747</v>
      </c>
      <c r="D331" s="547">
        <v>0</v>
      </c>
      <c r="E331" s="547">
        <v>0</v>
      </c>
      <c r="F331" s="547">
        <v>0</v>
      </c>
      <c r="G331" s="547">
        <v>0</v>
      </c>
      <c r="H331" s="547">
        <v>0</v>
      </c>
      <c r="I331" s="275"/>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row>
    <row r="332" spans="1:45" s="51" customFormat="1" hidden="1" outlineLevel="1" x14ac:dyDescent="0.3">
      <c r="A332" s="276" t="s">
        <v>6022</v>
      </c>
      <c r="B332" s="276" t="s">
        <v>855</v>
      </c>
      <c r="C332" s="276" t="s">
        <v>751</v>
      </c>
      <c r="D332" s="547">
        <v>0</v>
      </c>
      <c r="E332" s="547">
        <v>0</v>
      </c>
      <c r="F332" s="547">
        <v>0</v>
      </c>
      <c r="G332" s="547">
        <v>0</v>
      </c>
      <c r="H332" s="547">
        <v>0</v>
      </c>
      <c r="I332" s="275"/>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row>
    <row r="333" spans="1:45" s="51" customFormat="1" hidden="1" outlineLevel="1" x14ac:dyDescent="0.3">
      <c r="A333" s="276" t="s">
        <v>6022</v>
      </c>
      <c r="B333" s="276" t="s">
        <v>855</v>
      </c>
      <c r="C333" s="276" t="s">
        <v>755</v>
      </c>
      <c r="D333" s="547">
        <v>0</v>
      </c>
      <c r="E333" s="547">
        <v>0</v>
      </c>
      <c r="F333" s="547">
        <v>0</v>
      </c>
      <c r="G333" s="547">
        <v>0</v>
      </c>
      <c r="H333" s="547">
        <v>0</v>
      </c>
      <c r="I333" s="275"/>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row>
    <row r="334" spans="1:45" s="51" customFormat="1" hidden="1" outlineLevel="1" x14ac:dyDescent="0.3">
      <c r="A334" s="276" t="s">
        <v>6022</v>
      </c>
      <c r="B334" s="276" t="s">
        <v>855</v>
      </c>
      <c r="C334" s="276" t="s">
        <v>758</v>
      </c>
      <c r="D334" s="547">
        <v>0</v>
      </c>
      <c r="E334" s="547">
        <v>0</v>
      </c>
      <c r="F334" s="547">
        <v>0</v>
      </c>
      <c r="G334" s="547">
        <v>0</v>
      </c>
      <c r="H334" s="547">
        <v>0</v>
      </c>
      <c r="I334" s="275"/>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row>
    <row r="335" spans="1:45" s="51" customFormat="1" hidden="1" outlineLevel="1" x14ac:dyDescent="0.3">
      <c r="A335" s="276" t="s">
        <v>6022</v>
      </c>
      <c r="B335" s="276" t="s">
        <v>855</v>
      </c>
      <c r="C335" s="276" t="s">
        <v>761</v>
      </c>
      <c r="D335" s="547">
        <v>0</v>
      </c>
      <c r="E335" s="547">
        <v>0</v>
      </c>
      <c r="F335" s="547">
        <v>0</v>
      </c>
      <c r="G335" s="547">
        <v>0</v>
      </c>
      <c r="H335" s="547">
        <v>0</v>
      </c>
      <c r="I335" s="27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row>
    <row r="336" spans="1:45" s="51" customFormat="1" hidden="1" outlineLevel="1" x14ac:dyDescent="0.3">
      <c r="A336" s="276" t="s">
        <v>6022</v>
      </c>
      <c r="B336" s="276" t="s">
        <v>855</v>
      </c>
      <c r="C336" s="276" t="s">
        <v>763</v>
      </c>
      <c r="D336" s="547">
        <v>0</v>
      </c>
      <c r="E336" s="547">
        <v>0</v>
      </c>
      <c r="F336" s="547">
        <v>0</v>
      </c>
      <c r="G336" s="547">
        <v>0</v>
      </c>
      <c r="H336" s="547">
        <v>0</v>
      </c>
      <c r="I336" s="275"/>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row>
    <row r="337" spans="1:45" s="51" customFormat="1" hidden="1" outlineLevel="1" x14ac:dyDescent="0.3">
      <c r="A337" s="276" t="s">
        <v>6022</v>
      </c>
      <c r="B337" s="276" t="s">
        <v>855</v>
      </c>
      <c r="C337" s="276" t="s">
        <v>765</v>
      </c>
      <c r="D337" s="547">
        <v>0</v>
      </c>
      <c r="E337" s="547">
        <v>0</v>
      </c>
      <c r="F337" s="547">
        <v>0</v>
      </c>
      <c r="G337" s="547">
        <v>0</v>
      </c>
      <c r="H337" s="547">
        <v>0</v>
      </c>
      <c r="I337" s="275"/>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row>
    <row r="338" spans="1:45" s="51" customFormat="1" hidden="1" outlineLevel="1" x14ac:dyDescent="0.3">
      <c r="A338" s="276" t="s">
        <v>6022</v>
      </c>
      <c r="B338" s="276" t="s">
        <v>855</v>
      </c>
      <c r="C338" s="276" t="s">
        <v>768</v>
      </c>
      <c r="D338" s="547">
        <v>0</v>
      </c>
      <c r="E338" s="547">
        <v>0</v>
      </c>
      <c r="F338" s="547">
        <v>0</v>
      </c>
      <c r="G338" s="547">
        <v>0</v>
      </c>
      <c r="H338" s="547">
        <v>0</v>
      </c>
      <c r="I338" s="275"/>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row>
    <row r="339" spans="1:45" s="51" customFormat="1" hidden="1" outlineLevel="1" x14ac:dyDescent="0.3">
      <c r="A339" s="276" t="s">
        <v>6022</v>
      </c>
      <c r="B339" s="276" t="s">
        <v>855</v>
      </c>
      <c r="C339" s="276" t="s">
        <v>771</v>
      </c>
      <c r="D339" s="547">
        <v>0</v>
      </c>
      <c r="E339" s="547">
        <v>0</v>
      </c>
      <c r="F339" s="547">
        <v>0</v>
      </c>
      <c r="G339" s="547">
        <v>0</v>
      </c>
      <c r="H339" s="547">
        <v>0</v>
      </c>
      <c r="I339" s="275"/>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row>
    <row r="340" spans="1:45" s="51" customFormat="1" hidden="1" outlineLevel="1" x14ac:dyDescent="0.3">
      <c r="A340" s="276" t="s">
        <v>6022</v>
      </c>
      <c r="B340" s="276" t="s">
        <v>855</v>
      </c>
      <c r="C340" s="276" t="s">
        <v>772</v>
      </c>
      <c r="D340" s="547">
        <v>0</v>
      </c>
      <c r="E340" s="547">
        <v>0</v>
      </c>
      <c r="F340" s="547">
        <v>0</v>
      </c>
      <c r="G340" s="547">
        <v>0</v>
      </c>
      <c r="H340" s="547">
        <v>0</v>
      </c>
      <c r="I340" s="275"/>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row>
    <row r="341" spans="1:45" s="51" customFormat="1" hidden="1" outlineLevel="1" x14ac:dyDescent="0.3">
      <c r="A341" s="276" t="s">
        <v>6022</v>
      </c>
      <c r="B341" s="276" t="s">
        <v>855</v>
      </c>
      <c r="C341" s="276" t="s">
        <v>774</v>
      </c>
      <c r="D341" s="547">
        <v>0</v>
      </c>
      <c r="E341" s="547">
        <v>0</v>
      </c>
      <c r="F341" s="547">
        <v>0</v>
      </c>
      <c r="G341" s="547">
        <v>0</v>
      </c>
      <c r="H341" s="547">
        <v>0</v>
      </c>
      <c r="I341" s="275" t="s">
        <v>2771</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row>
    <row r="342" spans="1:45" s="51" customFormat="1" hidden="1" outlineLevel="1" x14ac:dyDescent="0.3">
      <c r="A342" s="276" t="s">
        <v>6022</v>
      </c>
      <c r="B342" s="276" t="s">
        <v>855</v>
      </c>
      <c r="C342" s="276" t="s">
        <v>775</v>
      </c>
      <c r="D342" s="547">
        <v>0</v>
      </c>
      <c r="E342" s="547">
        <v>0</v>
      </c>
      <c r="F342" s="547">
        <v>0</v>
      </c>
      <c r="G342" s="547">
        <v>0</v>
      </c>
      <c r="H342" s="547">
        <v>0</v>
      </c>
      <c r="I342" s="275"/>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row>
    <row r="343" spans="1:45" s="51" customFormat="1" hidden="1" outlineLevel="1" x14ac:dyDescent="0.3">
      <c r="A343" s="276" t="s">
        <v>6022</v>
      </c>
      <c r="B343" s="276" t="s">
        <v>855</v>
      </c>
      <c r="C343" s="276" t="s">
        <v>779</v>
      </c>
      <c r="D343" s="547">
        <v>0</v>
      </c>
      <c r="E343" s="547">
        <v>0</v>
      </c>
      <c r="F343" s="547">
        <v>0</v>
      </c>
      <c r="G343" s="547">
        <v>0</v>
      </c>
      <c r="H343" s="547">
        <v>0</v>
      </c>
      <c r="I343" s="275"/>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row>
    <row r="344" spans="1:45" s="51" customFormat="1" hidden="1" outlineLevel="1" x14ac:dyDescent="0.3">
      <c r="A344" s="276" t="s">
        <v>6022</v>
      </c>
      <c r="B344" s="276" t="s">
        <v>894</v>
      </c>
      <c r="C344" s="276" t="s">
        <v>781</v>
      </c>
      <c r="D344" s="547">
        <v>0</v>
      </c>
      <c r="E344" s="547">
        <v>0</v>
      </c>
      <c r="F344" s="547">
        <v>0</v>
      </c>
      <c r="G344" s="547">
        <v>0</v>
      </c>
      <c r="H344" s="547">
        <v>0</v>
      </c>
      <c r="I344" s="275"/>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row>
    <row r="345" spans="1:45" s="51" customFormat="1" hidden="1" outlineLevel="1" x14ac:dyDescent="0.3">
      <c r="A345" s="276" t="s">
        <v>6022</v>
      </c>
      <c r="B345" s="276" t="s">
        <v>894</v>
      </c>
      <c r="C345" s="276" t="s">
        <v>783</v>
      </c>
      <c r="D345" s="547">
        <v>0</v>
      </c>
      <c r="E345" s="547">
        <v>0</v>
      </c>
      <c r="F345" s="547">
        <v>0</v>
      </c>
      <c r="G345" s="547">
        <v>0</v>
      </c>
      <c r="H345" s="547">
        <v>0</v>
      </c>
      <c r="I345" s="27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row>
    <row r="346" spans="1:45" s="51" customFormat="1" hidden="1" outlineLevel="1" x14ac:dyDescent="0.3">
      <c r="A346" s="276" t="s">
        <v>6022</v>
      </c>
      <c r="B346" s="276" t="s">
        <v>894</v>
      </c>
      <c r="C346" s="276" t="s">
        <v>785</v>
      </c>
      <c r="D346" s="547">
        <v>0</v>
      </c>
      <c r="E346" s="547">
        <v>0</v>
      </c>
      <c r="F346" s="547">
        <v>0</v>
      </c>
      <c r="G346" s="547">
        <v>0</v>
      </c>
      <c r="H346" s="547">
        <v>0</v>
      </c>
      <c r="I346" s="275"/>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row>
    <row r="347" spans="1:45" s="51" customFormat="1" hidden="1" outlineLevel="1" x14ac:dyDescent="0.3">
      <c r="A347" s="276" t="s">
        <v>6022</v>
      </c>
      <c r="B347" s="276" t="s">
        <v>894</v>
      </c>
      <c r="C347" s="276" t="s">
        <v>787</v>
      </c>
      <c r="D347" s="547">
        <v>0</v>
      </c>
      <c r="E347" s="547">
        <v>0</v>
      </c>
      <c r="F347" s="547">
        <v>0</v>
      </c>
      <c r="G347" s="547">
        <v>0</v>
      </c>
      <c r="H347" s="547">
        <v>0</v>
      </c>
      <c r="I347" s="275"/>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row>
    <row r="348" spans="1:45" s="51" customFormat="1" hidden="1" outlineLevel="1" x14ac:dyDescent="0.3">
      <c r="A348" s="276" t="s">
        <v>6022</v>
      </c>
      <c r="B348" s="276" t="s">
        <v>894</v>
      </c>
      <c r="C348" s="276" t="s">
        <v>788</v>
      </c>
      <c r="D348" s="547">
        <v>0</v>
      </c>
      <c r="E348" s="547">
        <v>0</v>
      </c>
      <c r="F348" s="547">
        <v>0</v>
      </c>
      <c r="G348" s="547">
        <v>0</v>
      </c>
      <c r="H348" s="547">
        <v>0</v>
      </c>
      <c r="I348" s="275"/>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row>
    <row r="349" spans="1:45" s="51" customFormat="1" hidden="1" outlineLevel="1" x14ac:dyDescent="0.3">
      <c r="A349" s="276" t="s">
        <v>6022</v>
      </c>
      <c r="B349" s="276" t="s">
        <v>894</v>
      </c>
      <c r="C349" s="276" t="s">
        <v>789</v>
      </c>
      <c r="D349" s="547">
        <v>0</v>
      </c>
      <c r="E349" s="547">
        <v>0</v>
      </c>
      <c r="F349" s="547">
        <v>0</v>
      </c>
      <c r="G349" s="547">
        <v>0</v>
      </c>
      <c r="H349" s="547">
        <v>0</v>
      </c>
      <c r="I349" s="275"/>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row>
    <row r="350" spans="1:45" s="51" customFormat="1" hidden="1" outlineLevel="1" x14ac:dyDescent="0.3">
      <c r="A350" s="276" t="s">
        <v>6022</v>
      </c>
      <c r="B350" s="276" t="s">
        <v>894</v>
      </c>
      <c r="C350" s="276" t="s">
        <v>790</v>
      </c>
      <c r="D350" s="547">
        <v>0</v>
      </c>
      <c r="E350" s="547">
        <v>0</v>
      </c>
      <c r="F350" s="547">
        <v>0</v>
      </c>
      <c r="G350" s="547">
        <v>0</v>
      </c>
      <c r="H350" s="547">
        <v>0</v>
      </c>
      <c r="I350" s="275"/>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row>
    <row r="351" spans="1:45" s="51" customFormat="1" hidden="1" outlineLevel="1" x14ac:dyDescent="0.3">
      <c r="A351" s="276" t="s">
        <v>6022</v>
      </c>
      <c r="B351" s="276" t="s">
        <v>894</v>
      </c>
      <c r="C351" s="276" t="s">
        <v>793</v>
      </c>
      <c r="D351" s="547">
        <v>0</v>
      </c>
      <c r="E351" s="547">
        <v>0</v>
      </c>
      <c r="F351" s="547">
        <v>0</v>
      </c>
      <c r="G351" s="547">
        <v>0</v>
      </c>
      <c r="H351" s="547">
        <v>0</v>
      </c>
      <c r="I351" s="275" t="s">
        <v>5966</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row>
    <row r="352" spans="1:45" s="51" customFormat="1" hidden="1" outlineLevel="1" x14ac:dyDescent="0.3">
      <c r="A352" s="276" t="s">
        <v>6022</v>
      </c>
      <c r="B352" s="276" t="s">
        <v>894</v>
      </c>
      <c r="C352" s="276" t="s">
        <v>795</v>
      </c>
      <c r="D352" s="547">
        <v>0</v>
      </c>
      <c r="E352" s="547">
        <v>0</v>
      </c>
      <c r="F352" s="547">
        <v>0</v>
      </c>
      <c r="G352" s="547">
        <v>0</v>
      </c>
      <c r="H352" s="547">
        <v>0</v>
      </c>
      <c r="I352" s="275"/>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row>
    <row r="353" spans="1:45" s="51" customFormat="1" hidden="1" outlineLevel="1" x14ac:dyDescent="0.3">
      <c r="A353" s="276" t="s">
        <v>6022</v>
      </c>
      <c r="B353" s="276" t="s">
        <v>894</v>
      </c>
      <c r="C353" s="276" t="s">
        <v>797</v>
      </c>
      <c r="D353" s="547">
        <v>0</v>
      </c>
      <c r="E353" s="547">
        <v>0</v>
      </c>
      <c r="F353" s="547">
        <v>0</v>
      </c>
      <c r="G353" s="547">
        <v>0</v>
      </c>
      <c r="H353" s="547">
        <v>0</v>
      </c>
      <c r="I353" s="275"/>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row>
    <row r="354" spans="1:45" s="51" customFormat="1" hidden="1" outlineLevel="1" x14ac:dyDescent="0.3">
      <c r="A354" s="276" t="s">
        <v>6022</v>
      </c>
      <c r="B354" s="276" t="s">
        <v>915</v>
      </c>
      <c r="C354" s="276" t="s">
        <v>799</v>
      </c>
      <c r="D354" s="547">
        <v>0</v>
      </c>
      <c r="E354" s="547">
        <v>0</v>
      </c>
      <c r="F354" s="547">
        <v>0</v>
      </c>
      <c r="G354" s="547">
        <v>0</v>
      </c>
      <c r="H354" s="547">
        <v>0</v>
      </c>
      <c r="I354" s="275"/>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row>
    <row r="355" spans="1:45" s="51" customFormat="1" hidden="1" outlineLevel="1" x14ac:dyDescent="0.3">
      <c r="A355" s="276" t="s">
        <v>6022</v>
      </c>
      <c r="B355" s="276" t="s">
        <v>915</v>
      </c>
      <c r="C355" s="276" t="s">
        <v>801</v>
      </c>
      <c r="D355" s="547">
        <v>0</v>
      </c>
      <c r="E355" s="547">
        <v>0</v>
      </c>
      <c r="F355" s="547">
        <v>0</v>
      </c>
      <c r="G355" s="547">
        <v>1860</v>
      </c>
      <c r="H355" s="547">
        <v>1860</v>
      </c>
      <c r="I355" s="275" t="s">
        <v>5972</v>
      </c>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row>
    <row r="356" spans="1:45" s="51" customFormat="1" hidden="1" outlineLevel="1" x14ac:dyDescent="0.3">
      <c r="A356" s="276" t="s">
        <v>6022</v>
      </c>
      <c r="B356" s="276" t="s">
        <v>915</v>
      </c>
      <c r="C356" s="276" t="s">
        <v>804</v>
      </c>
      <c r="D356" s="547">
        <v>0</v>
      </c>
      <c r="E356" s="547">
        <v>3000</v>
      </c>
      <c r="F356" s="547">
        <v>3000</v>
      </c>
      <c r="G356" s="547">
        <v>11800</v>
      </c>
      <c r="H356" s="547">
        <v>11800</v>
      </c>
      <c r="I356" s="275" t="s">
        <v>5984</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row>
    <row r="357" spans="1:45" s="51" customFormat="1" hidden="1" outlineLevel="1" x14ac:dyDescent="0.3">
      <c r="A357" s="276" t="s">
        <v>6022</v>
      </c>
      <c r="B357" s="276" t="s">
        <v>915</v>
      </c>
      <c r="C357" s="276" t="s">
        <v>806</v>
      </c>
      <c r="D357" s="547">
        <v>0</v>
      </c>
      <c r="E357" s="547">
        <v>0</v>
      </c>
      <c r="F357" s="547">
        <v>0</v>
      </c>
      <c r="G357" s="547">
        <v>0</v>
      </c>
      <c r="H357" s="547">
        <v>0</v>
      </c>
      <c r="I357" s="275"/>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row>
    <row r="358" spans="1:45" s="51" customFormat="1" hidden="1" outlineLevel="1" x14ac:dyDescent="0.3">
      <c r="A358" s="276" t="s">
        <v>6022</v>
      </c>
      <c r="B358" s="276" t="s">
        <v>915</v>
      </c>
      <c r="C358" s="276" t="s">
        <v>808</v>
      </c>
      <c r="D358" s="547">
        <v>0</v>
      </c>
      <c r="E358" s="547">
        <v>0</v>
      </c>
      <c r="F358" s="547">
        <v>0</v>
      </c>
      <c r="G358" s="547">
        <v>0</v>
      </c>
      <c r="H358" s="547">
        <v>0</v>
      </c>
      <c r="I358" s="275"/>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row>
    <row r="359" spans="1:45" s="51" customFormat="1" hidden="1" outlineLevel="1" x14ac:dyDescent="0.3">
      <c r="A359" s="276" t="s">
        <v>6022</v>
      </c>
      <c r="B359" s="276" t="s">
        <v>915</v>
      </c>
      <c r="C359" s="276" t="s">
        <v>811</v>
      </c>
      <c r="D359" s="547">
        <v>0</v>
      </c>
      <c r="E359" s="547">
        <v>0</v>
      </c>
      <c r="F359" s="547">
        <v>0</v>
      </c>
      <c r="G359" s="547">
        <v>0</v>
      </c>
      <c r="H359" s="547">
        <v>0</v>
      </c>
      <c r="I359" s="275"/>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row>
    <row r="360" spans="1:45" s="51" customFormat="1" hidden="1" outlineLevel="1" x14ac:dyDescent="0.3">
      <c r="A360" s="276" t="s">
        <v>6022</v>
      </c>
      <c r="B360" s="276" t="s">
        <v>934</v>
      </c>
      <c r="C360" s="276" t="s">
        <v>814</v>
      </c>
      <c r="D360" s="547">
        <v>0</v>
      </c>
      <c r="E360" s="547">
        <v>0</v>
      </c>
      <c r="F360" s="547">
        <v>0</v>
      </c>
      <c r="G360" s="547">
        <v>0</v>
      </c>
      <c r="H360" s="547">
        <v>0</v>
      </c>
      <c r="I360" s="275"/>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row>
    <row r="361" spans="1:45" s="51" customFormat="1" hidden="1" outlineLevel="1" x14ac:dyDescent="0.3">
      <c r="A361" s="276" t="s">
        <v>6022</v>
      </c>
      <c r="B361" s="276" t="s">
        <v>934</v>
      </c>
      <c r="C361" s="276" t="s">
        <v>815</v>
      </c>
      <c r="D361" s="547">
        <v>0</v>
      </c>
      <c r="E361" s="547">
        <v>0</v>
      </c>
      <c r="F361" s="547">
        <v>0</v>
      </c>
      <c r="G361" s="547">
        <v>0</v>
      </c>
      <c r="H361" s="547">
        <v>0</v>
      </c>
      <c r="I361" s="275"/>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row>
    <row r="362" spans="1:45" s="51" customFormat="1" hidden="1" outlineLevel="1" x14ac:dyDescent="0.3">
      <c r="A362" s="276" t="s">
        <v>6022</v>
      </c>
      <c r="B362" s="276" t="s">
        <v>940</v>
      </c>
      <c r="C362" s="276" t="s">
        <v>817</v>
      </c>
      <c r="D362" s="547">
        <v>0</v>
      </c>
      <c r="E362" s="547">
        <v>0</v>
      </c>
      <c r="F362" s="547">
        <v>0</v>
      </c>
      <c r="G362" s="547">
        <v>0</v>
      </c>
      <c r="H362" s="547">
        <v>0</v>
      </c>
      <c r="I362" s="275"/>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row>
    <row r="363" spans="1:45" s="51" customFormat="1" hidden="1" outlineLevel="1" x14ac:dyDescent="0.3">
      <c r="A363" s="276" t="s">
        <v>6022</v>
      </c>
      <c r="B363" s="276" t="s">
        <v>940</v>
      </c>
      <c r="C363" s="276" t="s">
        <v>944</v>
      </c>
      <c r="D363" s="547">
        <v>0</v>
      </c>
      <c r="E363" s="547">
        <v>0</v>
      </c>
      <c r="F363" s="547">
        <v>0</v>
      </c>
      <c r="G363" s="547">
        <v>0</v>
      </c>
      <c r="H363" s="547">
        <v>0</v>
      </c>
      <c r="I363" s="275"/>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row>
    <row r="364" spans="1:45" s="51" customFormat="1" hidden="1" outlineLevel="1" x14ac:dyDescent="0.3">
      <c r="A364" s="276" t="s">
        <v>6022</v>
      </c>
      <c r="B364" s="276" t="s">
        <v>940</v>
      </c>
      <c r="C364" s="276" t="s">
        <v>821</v>
      </c>
      <c r="D364" s="547">
        <v>0</v>
      </c>
      <c r="E364" s="547">
        <v>0</v>
      </c>
      <c r="F364" s="547">
        <v>0</v>
      </c>
      <c r="G364" s="547">
        <v>0</v>
      </c>
      <c r="H364" s="547">
        <v>0</v>
      </c>
      <c r="I364" s="275"/>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row>
    <row r="365" spans="1:45" s="51" customFormat="1" hidden="1" outlineLevel="1" x14ac:dyDescent="0.3">
      <c r="A365" s="276" t="s">
        <v>6022</v>
      </c>
      <c r="B365" s="276" t="s">
        <v>940</v>
      </c>
      <c r="C365" s="276" t="s">
        <v>823</v>
      </c>
      <c r="D365" s="547">
        <v>0</v>
      </c>
      <c r="E365" s="547">
        <v>0</v>
      </c>
      <c r="F365" s="547">
        <v>0</v>
      </c>
      <c r="G365" s="547">
        <v>0</v>
      </c>
      <c r="H365" s="547">
        <v>0</v>
      </c>
      <c r="I365" s="27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row>
    <row r="366" spans="1:45" s="51" customFormat="1" hidden="1" outlineLevel="1" x14ac:dyDescent="0.3">
      <c r="A366" s="276" t="s">
        <v>6022</v>
      </c>
      <c r="B366" s="276" t="s">
        <v>940</v>
      </c>
      <c r="C366" s="276" t="s">
        <v>825</v>
      </c>
      <c r="D366" s="547">
        <v>0</v>
      </c>
      <c r="E366" s="547">
        <v>0</v>
      </c>
      <c r="F366" s="547">
        <v>0</v>
      </c>
      <c r="G366" s="547">
        <v>0</v>
      </c>
      <c r="H366" s="547">
        <v>0</v>
      </c>
      <c r="I366" s="275"/>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row>
    <row r="367" spans="1:45" s="51" customFormat="1" hidden="1" outlineLevel="1" x14ac:dyDescent="0.3">
      <c r="A367" s="276" t="s">
        <v>6022</v>
      </c>
      <c r="B367" s="276" t="s">
        <v>940</v>
      </c>
      <c r="C367" s="276" t="s">
        <v>827</v>
      </c>
      <c r="D367" s="547">
        <v>0</v>
      </c>
      <c r="E367" s="547">
        <v>0</v>
      </c>
      <c r="F367" s="547">
        <v>0</v>
      </c>
      <c r="G367" s="547">
        <v>0</v>
      </c>
      <c r="H367" s="547">
        <v>0</v>
      </c>
      <c r="I367" s="275"/>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row>
    <row r="368" spans="1:45" s="51" customFormat="1" hidden="1" outlineLevel="1" x14ac:dyDescent="0.3">
      <c r="A368" s="276" t="s">
        <v>6022</v>
      </c>
      <c r="B368" s="276" t="s">
        <v>940</v>
      </c>
      <c r="C368" s="276" t="s">
        <v>829</v>
      </c>
      <c r="D368" s="547">
        <v>0</v>
      </c>
      <c r="E368" s="547">
        <v>0</v>
      </c>
      <c r="F368" s="547">
        <v>0</v>
      </c>
      <c r="G368" s="547">
        <v>0</v>
      </c>
      <c r="H368" s="547">
        <v>0</v>
      </c>
      <c r="I368" s="275"/>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row>
    <row r="369" spans="1:45" s="51" customFormat="1" hidden="1" outlineLevel="1" x14ac:dyDescent="0.3">
      <c r="A369" s="276" t="s">
        <v>6022</v>
      </c>
      <c r="B369" s="276" t="s">
        <v>940</v>
      </c>
      <c r="C369" s="276" t="s">
        <v>833</v>
      </c>
      <c r="D369" s="547">
        <v>0</v>
      </c>
      <c r="E369" s="547">
        <v>0</v>
      </c>
      <c r="F369" s="547">
        <v>0</v>
      </c>
      <c r="G369" s="547">
        <v>0</v>
      </c>
      <c r="H369" s="547">
        <v>0</v>
      </c>
      <c r="I369" s="275"/>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row>
    <row r="370" spans="1:45" s="51" customFormat="1" hidden="1" outlineLevel="1" x14ac:dyDescent="0.3">
      <c r="A370" s="276" t="s">
        <v>6022</v>
      </c>
      <c r="B370" s="276" t="s">
        <v>940</v>
      </c>
      <c r="C370" s="276" t="s">
        <v>836</v>
      </c>
      <c r="D370" s="547">
        <v>0</v>
      </c>
      <c r="E370" s="547">
        <v>0</v>
      </c>
      <c r="F370" s="547">
        <v>0</v>
      </c>
      <c r="G370" s="547">
        <v>0</v>
      </c>
      <c r="H370" s="547">
        <v>0</v>
      </c>
      <c r="I370" s="275"/>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row>
    <row r="371" spans="1:45" s="51" customFormat="1" hidden="1" outlineLevel="1" x14ac:dyDescent="0.3">
      <c r="A371" s="276" t="s">
        <v>6022</v>
      </c>
      <c r="B371" s="276" t="s">
        <v>940</v>
      </c>
      <c r="C371" s="276" t="s">
        <v>837</v>
      </c>
      <c r="D371" s="547">
        <v>0</v>
      </c>
      <c r="E371" s="547">
        <v>0</v>
      </c>
      <c r="F371" s="547">
        <v>0</v>
      </c>
      <c r="G371" s="547">
        <v>0</v>
      </c>
      <c r="H371" s="547">
        <v>0</v>
      </c>
      <c r="I371" s="275"/>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row>
    <row r="372" spans="1:45" s="51" customFormat="1" hidden="1" outlineLevel="1" x14ac:dyDescent="0.3">
      <c r="A372" s="276" t="s">
        <v>6022</v>
      </c>
      <c r="B372" s="276" t="s">
        <v>940</v>
      </c>
      <c r="C372" s="276" t="s">
        <v>839</v>
      </c>
      <c r="D372" s="547">
        <v>0</v>
      </c>
      <c r="E372" s="547">
        <v>0</v>
      </c>
      <c r="F372" s="547">
        <v>0</v>
      </c>
      <c r="G372" s="547">
        <v>0</v>
      </c>
      <c r="H372" s="547">
        <v>0</v>
      </c>
      <c r="I372" s="275"/>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row>
    <row r="373" spans="1:45" s="51" customFormat="1" hidden="1" outlineLevel="1" x14ac:dyDescent="0.3">
      <c r="A373" s="276" t="s">
        <v>6022</v>
      </c>
      <c r="B373" s="276" t="s">
        <v>940</v>
      </c>
      <c r="C373" s="276" t="s">
        <v>840</v>
      </c>
      <c r="D373" s="547">
        <v>0</v>
      </c>
      <c r="E373" s="547">
        <v>0</v>
      </c>
      <c r="F373" s="547">
        <v>0</v>
      </c>
      <c r="G373" s="547">
        <v>0</v>
      </c>
      <c r="H373" s="547">
        <v>0</v>
      </c>
      <c r="I373" s="275"/>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row>
    <row r="374" spans="1:45" s="51" customFormat="1" collapsed="1" x14ac:dyDescent="0.3">
      <c r="A374" s="276"/>
      <c r="B374" s="276"/>
      <c r="C374" s="276"/>
      <c r="D374" s="547"/>
      <c r="E374" s="547"/>
      <c r="F374" s="547"/>
      <c r="G374" s="547"/>
      <c r="H374" s="547"/>
      <c r="I374" s="275"/>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row>
    <row r="375" spans="1:45" x14ac:dyDescent="0.3">
      <c r="A375" s="70" t="s">
        <v>5985</v>
      </c>
      <c r="B375" s="70"/>
      <c r="C375" s="70"/>
      <c r="D375" s="70"/>
      <c r="E375" s="70"/>
      <c r="F375" s="70"/>
      <c r="G375" s="70"/>
      <c r="H375" s="70"/>
      <c r="I375" s="70"/>
      <c r="J375"/>
    </row>
    <row r="376" spans="1:45" ht="25.8" x14ac:dyDescent="0.5">
      <c r="A376" s="570" t="s">
        <v>5986</v>
      </c>
      <c r="B376" s="570"/>
      <c r="C376" s="570"/>
      <c r="D376" s="570"/>
      <c r="E376" s="570"/>
      <c r="F376" s="570"/>
      <c r="G376" s="570"/>
      <c r="H376" s="570"/>
      <c r="I376" s="570"/>
      <c r="J376" s="570"/>
      <c r="L376" s="535"/>
      <c r="M376" s="535"/>
      <c r="N376" s="535"/>
      <c r="O376" s="535"/>
      <c r="P376" s="535"/>
    </row>
    <row r="377" spans="1:45" ht="35.4" customHeight="1" x14ac:dyDescent="0.3">
      <c r="A377" s="572" t="s">
        <v>5987</v>
      </c>
      <c r="B377" s="572"/>
      <c r="C377" s="572"/>
      <c r="D377" s="572"/>
      <c r="E377" s="572"/>
      <c r="F377" s="572"/>
      <c r="G377" s="572"/>
      <c r="H377" s="572"/>
      <c r="I377" s="572"/>
      <c r="J377" s="572"/>
      <c r="L377" s="536"/>
      <c r="M377" s="536"/>
      <c r="N377" s="536"/>
      <c r="O377" s="536"/>
      <c r="P377" s="536"/>
    </row>
    <row r="378" spans="1:45" x14ac:dyDescent="0.3">
      <c r="A378" s="293" t="s">
        <v>5999</v>
      </c>
      <c r="B378" s="294"/>
      <c r="C378" s="298" t="s">
        <v>4032</v>
      </c>
      <c r="D378" s="442">
        <v>0</v>
      </c>
      <c r="E378" s="442">
        <v>0</v>
      </c>
      <c r="F378" s="442">
        <v>0</v>
      </c>
      <c r="G378" s="442">
        <v>0</v>
      </c>
      <c r="H378" s="442">
        <v>0</v>
      </c>
      <c r="I378" s="442">
        <v>0</v>
      </c>
      <c r="J378" s="293"/>
    </row>
    <row r="379" spans="1:45" x14ac:dyDescent="0.3">
      <c r="A379" s="297" t="s">
        <v>5</v>
      </c>
      <c r="B379" s="297" t="s">
        <v>847</v>
      </c>
      <c r="C379" s="297" t="s">
        <v>193</v>
      </c>
      <c r="D379" s="297">
        <v>2022</v>
      </c>
      <c r="E379" s="297">
        <v>2025</v>
      </c>
      <c r="F379" s="297">
        <v>2030</v>
      </c>
      <c r="G379" s="297">
        <v>2035</v>
      </c>
      <c r="H379" s="297">
        <v>2040</v>
      </c>
      <c r="I379" s="297">
        <v>2045</v>
      </c>
      <c r="J379" s="297" t="s">
        <v>153</v>
      </c>
    </row>
    <row r="380" spans="1:45" hidden="1" outlineLevel="1" x14ac:dyDescent="0.3">
      <c r="A380" s="294" t="s">
        <v>5999</v>
      </c>
      <c r="B380" s="294" t="s">
        <v>855</v>
      </c>
      <c r="C380" s="294" t="s">
        <v>747</v>
      </c>
      <c r="D380" s="295">
        <v>0</v>
      </c>
      <c r="E380" s="295">
        <v>0</v>
      </c>
      <c r="F380" s="295">
        <v>0</v>
      </c>
      <c r="G380" s="295">
        <v>0</v>
      </c>
      <c r="H380" s="295">
        <v>0</v>
      </c>
      <c r="I380" s="295">
        <v>0</v>
      </c>
      <c r="J380" s="295">
        <v>0</v>
      </c>
    </row>
    <row r="381" spans="1:45" hidden="1" outlineLevel="1" x14ac:dyDescent="0.3">
      <c r="A381" s="294" t="s">
        <v>5999</v>
      </c>
      <c r="B381" s="294" t="s">
        <v>855</v>
      </c>
      <c r="C381" s="294" t="s">
        <v>751</v>
      </c>
      <c r="D381" s="295">
        <v>0</v>
      </c>
      <c r="E381" s="295">
        <v>0</v>
      </c>
      <c r="F381" s="295">
        <v>0</v>
      </c>
      <c r="G381" s="295">
        <v>0</v>
      </c>
      <c r="H381" s="295">
        <v>0</v>
      </c>
      <c r="I381" s="295">
        <v>0</v>
      </c>
      <c r="J381" s="295">
        <v>0</v>
      </c>
    </row>
    <row r="382" spans="1:45" hidden="1" outlineLevel="1" x14ac:dyDescent="0.3">
      <c r="A382" s="294" t="s">
        <v>5999</v>
      </c>
      <c r="B382" s="294" t="s">
        <v>855</v>
      </c>
      <c r="C382" s="294" t="s">
        <v>755</v>
      </c>
      <c r="D382" s="295">
        <v>0</v>
      </c>
      <c r="E382" s="295">
        <v>0</v>
      </c>
      <c r="F382" s="295">
        <v>0</v>
      </c>
      <c r="G382" s="295">
        <v>0</v>
      </c>
      <c r="H382" s="295">
        <v>0</v>
      </c>
      <c r="I382" s="295">
        <v>0</v>
      </c>
      <c r="J382" s="295">
        <v>0</v>
      </c>
    </row>
    <row r="383" spans="1:45" hidden="1" outlineLevel="1" x14ac:dyDescent="0.3">
      <c r="A383" s="294" t="s">
        <v>5999</v>
      </c>
      <c r="B383" s="294" t="s">
        <v>855</v>
      </c>
      <c r="C383" s="294" t="s">
        <v>758</v>
      </c>
      <c r="D383" s="295">
        <v>0</v>
      </c>
      <c r="E383" s="295">
        <v>0</v>
      </c>
      <c r="F383" s="295">
        <v>0</v>
      </c>
      <c r="G383" s="295">
        <v>0</v>
      </c>
      <c r="H383" s="295">
        <v>0</v>
      </c>
      <c r="I383" s="295">
        <v>0</v>
      </c>
      <c r="J383" s="295">
        <v>0</v>
      </c>
    </row>
    <row r="384" spans="1:45" hidden="1" outlineLevel="1" x14ac:dyDescent="0.3">
      <c r="A384" s="294" t="s">
        <v>5999</v>
      </c>
      <c r="B384" s="294" t="s">
        <v>855</v>
      </c>
      <c r="C384" s="294" t="s">
        <v>761</v>
      </c>
      <c r="D384" s="295">
        <v>0</v>
      </c>
      <c r="E384" s="295">
        <v>0</v>
      </c>
      <c r="F384" s="295">
        <v>0</v>
      </c>
      <c r="G384" s="295">
        <v>0</v>
      </c>
      <c r="H384" s="295">
        <v>0</v>
      </c>
      <c r="I384" s="295">
        <v>0</v>
      </c>
      <c r="J384" s="295">
        <v>0</v>
      </c>
    </row>
    <row r="385" spans="1:10" hidden="1" outlineLevel="1" x14ac:dyDescent="0.3">
      <c r="A385" s="294" t="s">
        <v>5999</v>
      </c>
      <c r="B385" s="294" t="s">
        <v>855</v>
      </c>
      <c r="C385" s="294" t="s">
        <v>763</v>
      </c>
      <c r="D385" s="295">
        <v>0</v>
      </c>
      <c r="E385" s="295">
        <v>0</v>
      </c>
      <c r="F385" s="295">
        <v>0</v>
      </c>
      <c r="G385" s="295">
        <v>0</v>
      </c>
      <c r="H385" s="295">
        <v>0</v>
      </c>
      <c r="I385" s="295">
        <v>0</v>
      </c>
      <c r="J385" s="295">
        <v>0</v>
      </c>
    </row>
    <row r="386" spans="1:10" hidden="1" outlineLevel="1" x14ac:dyDescent="0.3">
      <c r="A386" s="294" t="s">
        <v>5999</v>
      </c>
      <c r="B386" s="294" t="s">
        <v>855</v>
      </c>
      <c r="C386" s="294" t="s">
        <v>765</v>
      </c>
      <c r="D386" s="295">
        <v>0</v>
      </c>
      <c r="E386" s="295">
        <v>0</v>
      </c>
      <c r="F386" s="295">
        <v>0</v>
      </c>
      <c r="G386" s="295">
        <v>0</v>
      </c>
      <c r="H386" s="295">
        <v>0</v>
      </c>
      <c r="I386" s="295">
        <v>0</v>
      </c>
      <c r="J386" s="295">
        <v>0</v>
      </c>
    </row>
    <row r="387" spans="1:10" hidden="1" outlineLevel="1" x14ac:dyDescent="0.3">
      <c r="A387" s="294" t="s">
        <v>5999</v>
      </c>
      <c r="B387" s="294" t="s">
        <v>855</v>
      </c>
      <c r="C387" s="294" t="s">
        <v>768</v>
      </c>
      <c r="D387" s="295">
        <v>0</v>
      </c>
      <c r="E387" s="295">
        <v>0</v>
      </c>
      <c r="F387" s="295">
        <v>0</v>
      </c>
      <c r="G387" s="295">
        <v>0</v>
      </c>
      <c r="H387" s="295">
        <v>0</v>
      </c>
      <c r="I387" s="295">
        <v>0</v>
      </c>
      <c r="J387" s="295">
        <v>0</v>
      </c>
    </row>
    <row r="388" spans="1:10" hidden="1" outlineLevel="1" x14ac:dyDescent="0.3">
      <c r="A388" s="294" t="s">
        <v>5999</v>
      </c>
      <c r="B388" s="294" t="s">
        <v>855</v>
      </c>
      <c r="C388" s="294" t="s">
        <v>771</v>
      </c>
      <c r="D388" s="295">
        <v>0</v>
      </c>
      <c r="E388" s="295">
        <v>0</v>
      </c>
      <c r="F388" s="295">
        <v>0</v>
      </c>
      <c r="G388" s="295">
        <v>0</v>
      </c>
      <c r="H388" s="295">
        <v>0</v>
      </c>
      <c r="I388" s="295">
        <v>0</v>
      </c>
      <c r="J388" s="295">
        <v>0</v>
      </c>
    </row>
    <row r="389" spans="1:10" hidden="1" outlineLevel="1" x14ac:dyDescent="0.3">
      <c r="A389" s="294" t="s">
        <v>5999</v>
      </c>
      <c r="B389" s="294" t="s">
        <v>855</v>
      </c>
      <c r="C389" s="294" t="s">
        <v>772</v>
      </c>
      <c r="D389" s="295">
        <v>0</v>
      </c>
      <c r="E389" s="295">
        <v>0</v>
      </c>
      <c r="F389" s="295">
        <v>0</v>
      </c>
      <c r="G389" s="295">
        <v>0</v>
      </c>
      <c r="H389" s="295">
        <v>0</v>
      </c>
      <c r="I389" s="295">
        <v>0</v>
      </c>
      <c r="J389" s="295">
        <v>0</v>
      </c>
    </row>
    <row r="390" spans="1:10" hidden="1" outlineLevel="1" x14ac:dyDescent="0.3">
      <c r="A390" s="294" t="s">
        <v>5999</v>
      </c>
      <c r="B390" s="294" t="s">
        <v>855</v>
      </c>
      <c r="C390" s="294" t="s">
        <v>774</v>
      </c>
      <c r="D390" s="295">
        <v>0</v>
      </c>
      <c r="E390" s="295">
        <v>0</v>
      </c>
      <c r="F390" s="295">
        <v>0</v>
      </c>
      <c r="G390" s="295">
        <v>0</v>
      </c>
      <c r="H390" s="295">
        <v>0</v>
      </c>
      <c r="I390" s="295">
        <v>0</v>
      </c>
      <c r="J390" s="295">
        <v>0</v>
      </c>
    </row>
    <row r="391" spans="1:10" hidden="1" outlineLevel="1" x14ac:dyDescent="0.3">
      <c r="A391" s="294" t="s">
        <v>5999</v>
      </c>
      <c r="B391" s="294" t="s">
        <v>855</v>
      </c>
      <c r="C391" s="294" t="s">
        <v>775</v>
      </c>
      <c r="D391" s="295">
        <v>0</v>
      </c>
      <c r="E391" s="295">
        <v>0</v>
      </c>
      <c r="F391" s="295">
        <v>0</v>
      </c>
      <c r="G391" s="295">
        <v>0</v>
      </c>
      <c r="H391" s="295">
        <v>0</v>
      </c>
      <c r="I391" s="295">
        <v>0</v>
      </c>
      <c r="J391" s="295">
        <v>0</v>
      </c>
    </row>
    <row r="392" spans="1:10" hidden="1" outlineLevel="1" x14ac:dyDescent="0.3">
      <c r="A392" s="294" t="s">
        <v>5999</v>
      </c>
      <c r="B392" s="294" t="s">
        <v>855</v>
      </c>
      <c r="C392" s="294" t="s">
        <v>779</v>
      </c>
      <c r="D392" s="295">
        <v>0</v>
      </c>
      <c r="E392" s="295">
        <v>0</v>
      </c>
      <c r="F392" s="295">
        <v>0</v>
      </c>
      <c r="G392" s="295">
        <v>0</v>
      </c>
      <c r="H392" s="295">
        <v>0</v>
      </c>
      <c r="I392" s="295">
        <v>0</v>
      </c>
      <c r="J392" s="295">
        <v>0</v>
      </c>
    </row>
    <row r="393" spans="1:10" hidden="1" outlineLevel="1" x14ac:dyDescent="0.3">
      <c r="A393" s="294" t="s">
        <v>5999</v>
      </c>
      <c r="B393" s="294" t="s">
        <v>894</v>
      </c>
      <c r="C393" s="294" t="s">
        <v>781</v>
      </c>
      <c r="D393" s="295">
        <v>0</v>
      </c>
      <c r="E393" s="295">
        <v>0</v>
      </c>
      <c r="F393" s="295">
        <v>0</v>
      </c>
      <c r="G393" s="295">
        <v>0</v>
      </c>
      <c r="H393" s="295">
        <v>0</v>
      </c>
      <c r="I393" s="295">
        <v>0</v>
      </c>
      <c r="J393" s="295">
        <v>0</v>
      </c>
    </row>
    <row r="394" spans="1:10" hidden="1" outlineLevel="1" x14ac:dyDescent="0.3">
      <c r="A394" s="294" t="s">
        <v>5999</v>
      </c>
      <c r="B394" s="294" t="s">
        <v>894</v>
      </c>
      <c r="C394" s="294" t="s">
        <v>783</v>
      </c>
      <c r="D394" s="295">
        <v>0</v>
      </c>
      <c r="E394" s="295">
        <v>0</v>
      </c>
      <c r="F394" s="295">
        <v>0</v>
      </c>
      <c r="G394" s="295">
        <v>0</v>
      </c>
      <c r="H394" s="295">
        <v>0</v>
      </c>
      <c r="I394" s="295">
        <v>0</v>
      </c>
      <c r="J394" s="295">
        <v>0</v>
      </c>
    </row>
    <row r="395" spans="1:10" hidden="1" outlineLevel="1" x14ac:dyDescent="0.3">
      <c r="A395" s="294" t="s">
        <v>5999</v>
      </c>
      <c r="B395" s="294" t="s">
        <v>894</v>
      </c>
      <c r="C395" s="294" t="s">
        <v>785</v>
      </c>
      <c r="D395" s="295">
        <v>0</v>
      </c>
      <c r="E395" s="295">
        <v>0</v>
      </c>
      <c r="F395" s="295">
        <v>0</v>
      </c>
      <c r="G395" s="295">
        <v>0</v>
      </c>
      <c r="H395" s="295">
        <v>0</v>
      </c>
      <c r="I395" s="295">
        <v>0</v>
      </c>
      <c r="J395" s="295">
        <v>0</v>
      </c>
    </row>
    <row r="396" spans="1:10" hidden="1" outlineLevel="1" x14ac:dyDescent="0.3">
      <c r="A396" s="294" t="s">
        <v>5999</v>
      </c>
      <c r="B396" s="294" t="s">
        <v>894</v>
      </c>
      <c r="C396" s="294" t="s">
        <v>787</v>
      </c>
      <c r="D396" s="295">
        <v>0</v>
      </c>
      <c r="E396" s="295">
        <v>0</v>
      </c>
      <c r="F396" s="295">
        <v>0</v>
      </c>
      <c r="G396" s="295">
        <v>0</v>
      </c>
      <c r="H396" s="295">
        <v>0</v>
      </c>
      <c r="I396" s="295">
        <v>0</v>
      </c>
      <c r="J396" s="295">
        <v>0</v>
      </c>
    </row>
    <row r="397" spans="1:10" hidden="1" outlineLevel="1" x14ac:dyDescent="0.3">
      <c r="A397" s="294" t="s">
        <v>5999</v>
      </c>
      <c r="B397" s="294" t="s">
        <v>894</v>
      </c>
      <c r="C397" s="294" t="s">
        <v>788</v>
      </c>
      <c r="D397" s="295">
        <v>0</v>
      </c>
      <c r="E397" s="295">
        <v>0</v>
      </c>
      <c r="F397" s="295">
        <v>0</v>
      </c>
      <c r="G397" s="295">
        <v>0</v>
      </c>
      <c r="H397" s="295">
        <v>0</v>
      </c>
      <c r="I397" s="295">
        <v>0</v>
      </c>
      <c r="J397" s="295">
        <v>0</v>
      </c>
    </row>
    <row r="398" spans="1:10" hidden="1" outlineLevel="1" x14ac:dyDescent="0.3">
      <c r="A398" s="294" t="s">
        <v>5999</v>
      </c>
      <c r="B398" s="294" t="s">
        <v>894</v>
      </c>
      <c r="C398" s="294" t="s">
        <v>789</v>
      </c>
      <c r="D398" s="295">
        <v>0</v>
      </c>
      <c r="E398" s="295">
        <v>0</v>
      </c>
      <c r="F398" s="295">
        <v>0</v>
      </c>
      <c r="G398" s="295">
        <v>0</v>
      </c>
      <c r="H398" s="295">
        <v>0</v>
      </c>
      <c r="I398" s="295">
        <v>0</v>
      </c>
      <c r="J398" s="295">
        <v>0</v>
      </c>
    </row>
    <row r="399" spans="1:10" hidden="1" outlineLevel="1" x14ac:dyDescent="0.3">
      <c r="A399" s="294" t="s">
        <v>5999</v>
      </c>
      <c r="B399" s="294" t="s">
        <v>894</v>
      </c>
      <c r="C399" s="294" t="s">
        <v>790</v>
      </c>
      <c r="D399" s="295">
        <v>0</v>
      </c>
      <c r="E399" s="295">
        <v>0</v>
      </c>
      <c r="F399" s="295">
        <v>0</v>
      </c>
      <c r="G399" s="295">
        <v>0</v>
      </c>
      <c r="H399" s="295">
        <v>0</v>
      </c>
      <c r="I399" s="295">
        <v>0</v>
      </c>
      <c r="J399" s="295">
        <v>0</v>
      </c>
    </row>
    <row r="400" spans="1:10" hidden="1" outlineLevel="1" x14ac:dyDescent="0.3">
      <c r="A400" s="294" t="s">
        <v>5999</v>
      </c>
      <c r="B400" s="294" t="s">
        <v>894</v>
      </c>
      <c r="C400" s="294" t="s">
        <v>793</v>
      </c>
      <c r="D400" s="295">
        <v>0</v>
      </c>
      <c r="E400" s="295">
        <v>0</v>
      </c>
      <c r="F400" s="295">
        <v>0</v>
      </c>
      <c r="G400" s="295">
        <v>0</v>
      </c>
      <c r="H400" s="295">
        <v>0</v>
      </c>
      <c r="I400" s="295">
        <v>0</v>
      </c>
      <c r="J400" s="295">
        <v>0</v>
      </c>
    </row>
    <row r="401" spans="1:10" hidden="1" outlineLevel="1" x14ac:dyDescent="0.3">
      <c r="A401" s="294" t="s">
        <v>5999</v>
      </c>
      <c r="B401" s="294" t="s">
        <v>894</v>
      </c>
      <c r="C401" s="294" t="s">
        <v>795</v>
      </c>
      <c r="D401" s="295">
        <v>0</v>
      </c>
      <c r="E401" s="295">
        <v>0</v>
      </c>
      <c r="F401" s="295">
        <v>0</v>
      </c>
      <c r="G401" s="295">
        <v>0</v>
      </c>
      <c r="H401" s="295">
        <v>0</v>
      </c>
      <c r="I401" s="295">
        <v>0</v>
      </c>
      <c r="J401" s="295">
        <v>0</v>
      </c>
    </row>
    <row r="402" spans="1:10" hidden="1" outlineLevel="1" x14ac:dyDescent="0.3">
      <c r="A402" s="294" t="s">
        <v>5999</v>
      </c>
      <c r="B402" s="294" t="s">
        <v>894</v>
      </c>
      <c r="C402" s="294" t="s">
        <v>797</v>
      </c>
      <c r="D402" s="295">
        <v>0</v>
      </c>
      <c r="E402" s="295">
        <v>0</v>
      </c>
      <c r="F402" s="295">
        <v>0</v>
      </c>
      <c r="G402" s="295">
        <v>0</v>
      </c>
      <c r="H402" s="295">
        <v>0</v>
      </c>
      <c r="I402" s="295">
        <v>0</v>
      </c>
      <c r="J402" s="295">
        <v>0</v>
      </c>
    </row>
    <row r="403" spans="1:10" hidden="1" outlineLevel="1" x14ac:dyDescent="0.3">
      <c r="A403" s="294" t="s">
        <v>5999</v>
      </c>
      <c r="B403" s="294" t="s">
        <v>915</v>
      </c>
      <c r="C403" s="294" t="s">
        <v>799</v>
      </c>
      <c r="D403" s="295">
        <v>0</v>
      </c>
      <c r="E403" s="295">
        <v>0</v>
      </c>
      <c r="F403" s="295">
        <v>0</v>
      </c>
      <c r="G403" s="295">
        <v>0</v>
      </c>
      <c r="H403" s="295">
        <v>0</v>
      </c>
      <c r="I403" s="295">
        <v>0</v>
      </c>
      <c r="J403" s="295">
        <v>0</v>
      </c>
    </row>
    <row r="404" spans="1:10" hidden="1" outlineLevel="1" x14ac:dyDescent="0.3">
      <c r="A404" s="294" t="s">
        <v>5999</v>
      </c>
      <c r="B404" s="294" t="s">
        <v>915</v>
      </c>
      <c r="C404" s="294" t="s">
        <v>801</v>
      </c>
      <c r="D404" s="295">
        <v>0</v>
      </c>
      <c r="E404" s="295">
        <v>0</v>
      </c>
      <c r="F404" s="295">
        <v>0</v>
      </c>
      <c r="G404" s="295">
        <v>0</v>
      </c>
      <c r="H404" s="295">
        <v>0</v>
      </c>
      <c r="I404" s="295">
        <v>0</v>
      </c>
      <c r="J404" s="295">
        <v>0</v>
      </c>
    </row>
    <row r="405" spans="1:10" hidden="1" outlineLevel="1" x14ac:dyDescent="0.3">
      <c r="A405" s="294" t="s">
        <v>5999</v>
      </c>
      <c r="B405" s="294" t="s">
        <v>915</v>
      </c>
      <c r="C405" s="294" t="s">
        <v>804</v>
      </c>
      <c r="D405" s="295">
        <v>0</v>
      </c>
      <c r="E405" s="295">
        <v>0</v>
      </c>
      <c r="F405" s="295">
        <v>0</v>
      </c>
      <c r="G405" s="295">
        <v>0</v>
      </c>
      <c r="H405" s="295">
        <v>0</v>
      </c>
      <c r="I405" s="295">
        <v>0</v>
      </c>
      <c r="J405" s="295">
        <v>0</v>
      </c>
    </row>
    <row r="406" spans="1:10" hidden="1" outlineLevel="1" x14ac:dyDescent="0.3">
      <c r="A406" s="294" t="s">
        <v>5999</v>
      </c>
      <c r="B406" s="294" t="s">
        <v>915</v>
      </c>
      <c r="C406" s="294" t="s">
        <v>806</v>
      </c>
      <c r="D406" s="295">
        <v>0</v>
      </c>
      <c r="E406" s="295">
        <v>0</v>
      </c>
      <c r="F406" s="295">
        <v>0</v>
      </c>
      <c r="G406" s="295">
        <v>0</v>
      </c>
      <c r="H406" s="295">
        <v>0</v>
      </c>
      <c r="I406" s="295">
        <v>0</v>
      </c>
      <c r="J406" s="295">
        <v>0</v>
      </c>
    </row>
    <row r="407" spans="1:10" hidden="1" outlineLevel="1" x14ac:dyDescent="0.3">
      <c r="A407" s="294" t="s">
        <v>5999</v>
      </c>
      <c r="B407" s="294" t="s">
        <v>915</v>
      </c>
      <c r="C407" s="294" t="s">
        <v>808</v>
      </c>
      <c r="D407" s="295">
        <v>0</v>
      </c>
      <c r="E407" s="295">
        <v>0</v>
      </c>
      <c r="F407" s="295">
        <v>0</v>
      </c>
      <c r="G407" s="295">
        <v>0</v>
      </c>
      <c r="H407" s="295">
        <v>0</v>
      </c>
      <c r="I407" s="295">
        <v>0</v>
      </c>
      <c r="J407" s="295">
        <v>0</v>
      </c>
    </row>
    <row r="408" spans="1:10" hidden="1" outlineLevel="1" x14ac:dyDescent="0.3">
      <c r="A408" s="294" t="s">
        <v>5999</v>
      </c>
      <c r="B408" s="294" t="s">
        <v>915</v>
      </c>
      <c r="C408" s="294" t="s">
        <v>811</v>
      </c>
      <c r="D408" s="295">
        <v>0</v>
      </c>
      <c r="E408" s="295">
        <v>0</v>
      </c>
      <c r="F408" s="295">
        <v>0</v>
      </c>
      <c r="G408" s="295">
        <v>0</v>
      </c>
      <c r="H408" s="295">
        <v>0</v>
      </c>
      <c r="I408" s="295">
        <v>0</v>
      </c>
      <c r="J408" s="295">
        <v>0</v>
      </c>
    </row>
    <row r="409" spans="1:10" hidden="1" outlineLevel="1" x14ac:dyDescent="0.3">
      <c r="A409" s="294" t="s">
        <v>5999</v>
      </c>
      <c r="B409" s="294" t="s">
        <v>934</v>
      </c>
      <c r="C409" s="294" t="s">
        <v>814</v>
      </c>
      <c r="D409" s="295">
        <v>0</v>
      </c>
      <c r="E409" s="295">
        <v>0</v>
      </c>
      <c r="F409" s="295">
        <v>0</v>
      </c>
      <c r="G409" s="295">
        <v>0</v>
      </c>
      <c r="H409" s="295">
        <v>0</v>
      </c>
      <c r="I409" s="295">
        <v>0</v>
      </c>
      <c r="J409" s="295">
        <v>0</v>
      </c>
    </row>
    <row r="410" spans="1:10" hidden="1" outlineLevel="1" x14ac:dyDescent="0.3">
      <c r="A410" s="294" t="s">
        <v>5999</v>
      </c>
      <c r="B410" s="294" t="s">
        <v>934</v>
      </c>
      <c r="C410" s="294" t="s">
        <v>815</v>
      </c>
      <c r="D410" s="295">
        <v>0</v>
      </c>
      <c r="E410" s="295">
        <v>0</v>
      </c>
      <c r="F410" s="295">
        <v>0</v>
      </c>
      <c r="G410" s="295">
        <v>0</v>
      </c>
      <c r="H410" s="295">
        <v>0</v>
      </c>
      <c r="I410" s="295">
        <v>0</v>
      </c>
      <c r="J410" s="295">
        <v>0</v>
      </c>
    </row>
    <row r="411" spans="1:10" hidden="1" outlineLevel="1" x14ac:dyDescent="0.3">
      <c r="A411" s="294" t="s">
        <v>5999</v>
      </c>
      <c r="B411" s="294" t="s">
        <v>940</v>
      </c>
      <c r="C411" s="294" t="s">
        <v>817</v>
      </c>
      <c r="D411" s="295">
        <v>0</v>
      </c>
      <c r="E411" s="295">
        <v>0</v>
      </c>
      <c r="F411" s="295">
        <v>0</v>
      </c>
      <c r="G411" s="295">
        <v>0</v>
      </c>
      <c r="H411" s="295">
        <v>0</v>
      </c>
      <c r="I411" s="295">
        <v>0</v>
      </c>
      <c r="J411" s="295">
        <v>0</v>
      </c>
    </row>
    <row r="412" spans="1:10" hidden="1" outlineLevel="1" x14ac:dyDescent="0.3">
      <c r="A412" s="294" t="s">
        <v>5999</v>
      </c>
      <c r="B412" s="294" t="s">
        <v>940</v>
      </c>
      <c r="C412" s="294" t="s">
        <v>944</v>
      </c>
      <c r="D412" s="295">
        <v>0</v>
      </c>
      <c r="E412" s="295">
        <v>0</v>
      </c>
      <c r="F412" s="295">
        <v>0</v>
      </c>
      <c r="G412" s="295">
        <v>0</v>
      </c>
      <c r="H412" s="295">
        <v>0</v>
      </c>
      <c r="I412" s="295">
        <v>0</v>
      </c>
      <c r="J412" s="295">
        <v>0</v>
      </c>
    </row>
    <row r="413" spans="1:10" hidden="1" outlineLevel="1" x14ac:dyDescent="0.3">
      <c r="A413" s="294" t="s">
        <v>5999</v>
      </c>
      <c r="B413" s="294" t="s">
        <v>940</v>
      </c>
      <c r="C413" s="294" t="s">
        <v>821</v>
      </c>
      <c r="D413" s="295">
        <v>0</v>
      </c>
      <c r="E413" s="295">
        <v>0</v>
      </c>
      <c r="F413" s="295">
        <v>0</v>
      </c>
      <c r="G413" s="295">
        <v>0</v>
      </c>
      <c r="H413" s="295">
        <v>0</v>
      </c>
      <c r="I413" s="295">
        <v>0</v>
      </c>
      <c r="J413" s="295">
        <v>0</v>
      </c>
    </row>
    <row r="414" spans="1:10" hidden="1" outlineLevel="1" x14ac:dyDescent="0.3">
      <c r="A414" s="294" t="s">
        <v>5999</v>
      </c>
      <c r="B414" s="294" t="s">
        <v>940</v>
      </c>
      <c r="C414" s="294" t="s">
        <v>823</v>
      </c>
      <c r="D414" s="295">
        <v>0</v>
      </c>
      <c r="E414" s="295">
        <v>0</v>
      </c>
      <c r="F414" s="295">
        <v>0</v>
      </c>
      <c r="G414" s="295">
        <v>0</v>
      </c>
      <c r="H414" s="295">
        <v>0</v>
      </c>
      <c r="I414" s="295">
        <v>0</v>
      </c>
      <c r="J414" s="295">
        <v>0</v>
      </c>
    </row>
    <row r="415" spans="1:10" hidden="1" outlineLevel="1" x14ac:dyDescent="0.3">
      <c r="A415" s="294" t="s">
        <v>5999</v>
      </c>
      <c r="B415" s="294" t="s">
        <v>940</v>
      </c>
      <c r="C415" s="294" t="s">
        <v>825</v>
      </c>
      <c r="D415" s="295">
        <v>0</v>
      </c>
      <c r="E415" s="295">
        <v>0</v>
      </c>
      <c r="F415" s="295">
        <v>0</v>
      </c>
      <c r="G415" s="295">
        <v>0</v>
      </c>
      <c r="H415" s="295">
        <v>0</v>
      </c>
      <c r="I415" s="295">
        <v>0</v>
      </c>
      <c r="J415" s="295">
        <v>0</v>
      </c>
    </row>
    <row r="416" spans="1:10" hidden="1" outlineLevel="1" x14ac:dyDescent="0.3">
      <c r="A416" s="294" t="s">
        <v>5999</v>
      </c>
      <c r="B416" s="294" t="s">
        <v>940</v>
      </c>
      <c r="C416" s="294" t="s">
        <v>827</v>
      </c>
      <c r="D416" s="295">
        <v>0</v>
      </c>
      <c r="E416" s="295">
        <v>0</v>
      </c>
      <c r="F416" s="295">
        <v>0</v>
      </c>
      <c r="G416" s="295">
        <v>0</v>
      </c>
      <c r="H416" s="295">
        <v>0</v>
      </c>
      <c r="I416" s="295">
        <v>0</v>
      </c>
      <c r="J416" s="295">
        <v>0</v>
      </c>
    </row>
    <row r="417" spans="1:18" hidden="1" outlineLevel="1" x14ac:dyDescent="0.3">
      <c r="A417" s="294" t="s">
        <v>5999</v>
      </c>
      <c r="B417" s="294" t="s">
        <v>940</v>
      </c>
      <c r="C417" s="294" t="s">
        <v>829</v>
      </c>
      <c r="D417" s="295">
        <v>0</v>
      </c>
      <c r="E417" s="295">
        <v>0</v>
      </c>
      <c r="F417" s="295">
        <v>0</v>
      </c>
      <c r="G417" s="295">
        <v>0</v>
      </c>
      <c r="H417" s="295">
        <v>0</v>
      </c>
      <c r="I417" s="295">
        <v>0</v>
      </c>
      <c r="J417" s="295">
        <v>0</v>
      </c>
    </row>
    <row r="418" spans="1:18" hidden="1" outlineLevel="1" x14ac:dyDescent="0.3">
      <c r="A418" s="294" t="s">
        <v>5999</v>
      </c>
      <c r="B418" s="294" t="s">
        <v>940</v>
      </c>
      <c r="C418" s="294" t="s">
        <v>833</v>
      </c>
      <c r="D418" s="295">
        <v>0</v>
      </c>
      <c r="E418" s="295">
        <v>0</v>
      </c>
      <c r="F418" s="295">
        <v>0</v>
      </c>
      <c r="G418" s="295">
        <v>0</v>
      </c>
      <c r="H418" s="295">
        <v>0</v>
      </c>
      <c r="I418" s="295">
        <v>0</v>
      </c>
      <c r="J418" s="295">
        <v>0</v>
      </c>
    </row>
    <row r="419" spans="1:18" hidden="1" outlineLevel="1" x14ac:dyDescent="0.3">
      <c r="A419" s="294" t="s">
        <v>5999</v>
      </c>
      <c r="B419" s="294" t="s">
        <v>940</v>
      </c>
      <c r="C419" s="294" t="s">
        <v>836</v>
      </c>
      <c r="D419" s="295">
        <v>0</v>
      </c>
      <c r="E419" s="295">
        <v>0</v>
      </c>
      <c r="F419" s="295">
        <v>0</v>
      </c>
      <c r="G419" s="295">
        <v>0</v>
      </c>
      <c r="H419" s="295">
        <v>0</v>
      </c>
      <c r="I419" s="295">
        <v>0</v>
      </c>
      <c r="J419" s="295">
        <v>0</v>
      </c>
    </row>
    <row r="420" spans="1:18" hidden="1" outlineLevel="1" x14ac:dyDescent="0.3">
      <c r="A420" s="294" t="s">
        <v>5999</v>
      </c>
      <c r="B420" s="294" t="s">
        <v>940</v>
      </c>
      <c r="C420" s="294" t="s">
        <v>837</v>
      </c>
      <c r="D420" s="295">
        <v>0</v>
      </c>
      <c r="E420" s="295">
        <v>0</v>
      </c>
      <c r="F420" s="295">
        <v>0</v>
      </c>
      <c r="G420" s="295">
        <v>0</v>
      </c>
      <c r="H420" s="295">
        <v>0</v>
      </c>
      <c r="I420" s="295">
        <v>0</v>
      </c>
      <c r="J420" s="295">
        <v>0</v>
      </c>
    </row>
    <row r="421" spans="1:18" hidden="1" outlineLevel="1" x14ac:dyDescent="0.3">
      <c r="A421" s="294" t="s">
        <v>5999</v>
      </c>
      <c r="B421" s="294" t="s">
        <v>940</v>
      </c>
      <c r="C421" s="294" t="s">
        <v>839</v>
      </c>
      <c r="D421" s="295">
        <v>0</v>
      </c>
      <c r="E421" s="295">
        <v>0</v>
      </c>
      <c r="F421" s="295">
        <v>0</v>
      </c>
      <c r="G421" s="295">
        <v>0</v>
      </c>
      <c r="H421" s="295">
        <v>0</v>
      </c>
      <c r="I421" s="295">
        <v>0</v>
      </c>
      <c r="J421" s="295">
        <v>0</v>
      </c>
    </row>
    <row r="422" spans="1:18" hidden="1" outlineLevel="1" x14ac:dyDescent="0.3">
      <c r="A422" s="294" t="s">
        <v>5999</v>
      </c>
      <c r="B422" s="294" t="s">
        <v>940</v>
      </c>
      <c r="C422" s="294" t="s">
        <v>840</v>
      </c>
      <c r="D422" s="295">
        <v>0</v>
      </c>
      <c r="E422" s="295">
        <v>0</v>
      </c>
      <c r="F422" s="295">
        <v>0</v>
      </c>
      <c r="G422" s="295">
        <v>0</v>
      </c>
      <c r="H422" s="295">
        <v>0</v>
      </c>
      <c r="I422" s="295">
        <v>0</v>
      </c>
      <c r="J422" s="295">
        <v>0</v>
      </c>
    </row>
    <row r="423" spans="1:18" collapsed="1" x14ac:dyDescent="0.3">
      <c r="A423" s="294"/>
      <c r="B423" s="294"/>
      <c r="C423" s="293"/>
      <c r="D423" s="295"/>
      <c r="E423" s="295"/>
      <c r="F423" s="294"/>
      <c r="G423" s="294"/>
      <c r="H423" s="294"/>
      <c r="I423" s="294"/>
      <c r="J423" s="294"/>
    </row>
    <row r="424" spans="1:18" s="204" customFormat="1" x14ac:dyDescent="0.3">
      <c r="A424" s="293" t="s">
        <v>6000</v>
      </c>
      <c r="B424" s="439"/>
      <c r="C424" s="298" t="s">
        <v>4032</v>
      </c>
      <c r="D424" s="442">
        <v>209</v>
      </c>
      <c r="E424" s="442">
        <v>219.28738319600865</v>
      </c>
      <c r="F424" s="442">
        <v>258.63585655138667</v>
      </c>
      <c r="G424" s="442">
        <v>274.39647796536048</v>
      </c>
      <c r="H424" s="442">
        <v>291.1239788482921</v>
      </c>
      <c r="I424" s="442">
        <v>302.91499701991523</v>
      </c>
      <c r="J424" s="293"/>
      <c r="K424"/>
      <c r="L424" s="308"/>
      <c r="M424" s="308"/>
      <c r="N424" s="308"/>
      <c r="O424" s="308"/>
      <c r="P424" s="308"/>
      <c r="Q424"/>
      <c r="R424"/>
    </row>
    <row r="425" spans="1:18" x14ac:dyDescent="0.3">
      <c r="A425" s="297" t="s">
        <v>5</v>
      </c>
      <c r="B425" s="297" t="s">
        <v>847</v>
      </c>
      <c r="C425" s="297" t="s">
        <v>193</v>
      </c>
      <c r="D425" s="297">
        <v>2022</v>
      </c>
      <c r="E425" s="297">
        <v>2025</v>
      </c>
      <c r="F425" s="297">
        <v>2030</v>
      </c>
      <c r="G425" s="297">
        <v>2035</v>
      </c>
      <c r="H425" s="297">
        <v>2040</v>
      </c>
      <c r="I425" s="297">
        <v>2045</v>
      </c>
      <c r="J425" s="297" t="s">
        <v>153</v>
      </c>
      <c r="L425" s="308"/>
      <c r="M425" s="308"/>
      <c r="N425" s="308"/>
      <c r="O425" s="308"/>
      <c r="P425" s="308"/>
    </row>
    <row r="426" spans="1:18" hidden="1" outlineLevel="1" x14ac:dyDescent="0.3">
      <c r="A426" s="294" t="s">
        <v>6000</v>
      </c>
      <c r="B426" s="294" t="s">
        <v>855</v>
      </c>
      <c r="C426" s="294" t="s">
        <v>747</v>
      </c>
      <c r="D426" s="295">
        <v>209</v>
      </c>
      <c r="E426" s="440">
        <v>224.17169437701517</v>
      </c>
      <c r="F426" s="295">
        <v>268.50975416878128</v>
      </c>
      <c r="G426" s="295">
        <v>284.0437333172934</v>
      </c>
      <c r="H426" s="295">
        <v>300.4763930702901</v>
      </c>
      <c r="I426" s="295">
        <v>312.64242956078738</v>
      </c>
      <c r="J426" s="295" t="s">
        <v>5988</v>
      </c>
      <c r="L426" s="308"/>
      <c r="M426" s="308"/>
      <c r="N426" s="308"/>
      <c r="O426" s="308"/>
      <c r="P426" s="308"/>
    </row>
    <row r="427" spans="1:18" hidden="1" outlineLevel="1" x14ac:dyDescent="0.3">
      <c r="A427" s="294" t="s">
        <v>6000</v>
      </c>
      <c r="B427" s="294" t="s">
        <v>855</v>
      </c>
      <c r="C427" s="294" t="s">
        <v>751</v>
      </c>
      <c r="D427" s="295">
        <v>209</v>
      </c>
      <c r="E427" s="440">
        <v>224.17169437701517</v>
      </c>
      <c r="F427" s="295">
        <v>268.50975416878128</v>
      </c>
      <c r="G427" s="295">
        <v>284.0437333172934</v>
      </c>
      <c r="H427" s="295">
        <v>300.4763930702901</v>
      </c>
      <c r="I427" s="295">
        <v>312.64242956078738</v>
      </c>
      <c r="J427" s="295" t="s">
        <v>5988</v>
      </c>
      <c r="L427" s="308"/>
      <c r="M427" s="308"/>
      <c r="N427" s="308"/>
      <c r="O427" s="308"/>
      <c r="P427" s="308"/>
    </row>
    <row r="428" spans="1:18" hidden="1" outlineLevel="1" x14ac:dyDescent="0.3">
      <c r="A428" s="294" t="s">
        <v>6000</v>
      </c>
      <c r="B428" s="294" t="s">
        <v>855</v>
      </c>
      <c r="C428" s="294" t="s">
        <v>755</v>
      </c>
      <c r="D428" s="295">
        <v>209</v>
      </c>
      <c r="E428" s="440">
        <v>224.17169437701517</v>
      </c>
      <c r="F428" s="295">
        <v>268.50975416878128</v>
      </c>
      <c r="G428" s="295">
        <v>284.0437333172934</v>
      </c>
      <c r="H428" s="295">
        <v>300.4763930702901</v>
      </c>
      <c r="I428" s="295">
        <v>312.64242956078738</v>
      </c>
      <c r="J428" s="295" t="s">
        <v>5988</v>
      </c>
      <c r="L428" s="308"/>
      <c r="M428" s="308"/>
      <c r="N428" s="308"/>
      <c r="O428" s="308"/>
      <c r="P428" s="308"/>
    </row>
    <row r="429" spans="1:18" hidden="1" outlineLevel="1" x14ac:dyDescent="0.3">
      <c r="A429" s="294" t="s">
        <v>6000</v>
      </c>
      <c r="B429" s="294" t="s">
        <v>855</v>
      </c>
      <c r="C429" s="294" t="s">
        <v>758</v>
      </c>
      <c r="D429" s="295">
        <v>209</v>
      </c>
      <c r="E429" s="440">
        <v>224.17169437701517</v>
      </c>
      <c r="F429" s="295">
        <v>268.50975416878128</v>
      </c>
      <c r="G429" s="295">
        <v>284.0437333172934</v>
      </c>
      <c r="H429" s="295">
        <v>300.4763930702901</v>
      </c>
      <c r="I429" s="295">
        <v>312.64242956078738</v>
      </c>
      <c r="J429" s="295" t="s">
        <v>5988</v>
      </c>
      <c r="L429" s="308"/>
      <c r="M429" s="308"/>
      <c r="N429" s="308"/>
      <c r="O429" s="308"/>
      <c r="P429" s="308"/>
    </row>
    <row r="430" spans="1:18" hidden="1" outlineLevel="1" x14ac:dyDescent="0.3">
      <c r="A430" s="294" t="s">
        <v>6000</v>
      </c>
      <c r="B430" s="294" t="s">
        <v>855</v>
      </c>
      <c r="C430" s="294" t="s">
        <v>761</v>
      </c>
      <c r="D430" s="295">
        <v>209</v>
      </c>
      <c r="E430" s="440">
        <v>224.17169437701517</v>
      </c>
      <c r="F430" s="295">
        <v>268.50975416878128</v>
      </c>
      <c r="G430" s="295">
        <v>284.0437333172934</v>
      </c>
      <c r="H430" s="295">
        <v>300.4763930702901</v>
      </c>
      <c r="I430" s="295">
        <v>312.64242956078738</v>
      </c>
      <c r="J430" s="295" t="s">
        <v>5988</v>
      </c>
      <c r="L430" s="308"/>
      <c r="M430" s="308"/>
      <c r="N430" s="308"/>
      <c r="O430" s="308"/>
      <c r="P430" s="308"/>
    </row>
    <row r="431" spans="1:18" hidden="1" outlineLevel="1" x14ac:dyDescent="0.3">
      <c r="A431" s="294" t="s">
        <v>6000</v>
      </c>
      <c r="B431" s="294" t="s">
        <v>855</v>
      </c>
      <c r="C431" s="294" t="s">
        <v>763</v>
      </c>
      <c r="D431" s="295">
        <v>209</v>
      </c>
      <c r="E431" s="440">
        <v>224.17169437701517</v>
      </c>
      <c r="F431" s="295">
        <v>268.50975416878128</v>
      </c>
      <c r="G431" s="295">
        <v>284.0437333172934</v>
      </c>
      <c r="H431" s="295">
        <v>300.4763930702901</v>
      </c>
      <c r="I431" s="295">
        <v>312.64242956078738</v>
      </c>
      <c r="J431" s="295" t="s">
        <v>5988</v>
      </c>
      <c r="L431" s="308"/>
      <c r="M431" s="308"/>
      <c r="N431" s="308"/>
      <c r="O431" s="308"/>
      <c r="P431" s="308"/>
    </row>
    <row r="432" spans="1:18" hidden="1" outlineLevel="1" x14ac:dyDescent="0.3">
      <c r="A432" s="294" t="s">
        <v>6000</v>
      </c>
      <c r="B432" s="294" t="s">
        <v>855</v>
      </c>
      <c r="C432" s="294" t="s">
        <v>765</v>
      </c>
      <c r="D432" s="295">
        <v>209</v>
      </c>
      <c r="E432" s="440">
        <v>224.17169437701517</v>
      </c>
      <c r="F432" s="295">
        <v>268.50975416878128</v>
      </c>
      <c r="G432" s="295">
        <v>284.0437333172934</v>
      </c>
      <c r="H432" s="295">
        <v>300.4763930702901</v>
      </c>
      <c r="I432" s="295">
        <v>312.64242956078738</v>
      </c>
      <c r="J432" s="295" t="s">
        <v>5988</v>
      </c>
      <c r="L432" s="308"/>
      <c r="M432" s="308"/>
      <c r="N432" s="308"/>
      <c r="O432" s="308"/>
      <c r="P432" s="308"/>
    </row>
    <row r="433" spans="1:16" hidden="1" outlineLevel="1" x14ac:dyDescent="0.3">
      <c r="A433" s="294" t="s">
        <v>6000</v>
      </c>
      <c r="B433" s="294" t="s">
        <v>855</v>
      </c>
      <c r="C433" s="294" t="s">
        <v>768</v>
      </c>
      <c r="D433" s="295">
        <v>209</v>
      </c>
      <c r="E433" s="440">
        <v>224.17169437701517</v>
      </c>
      <c r="F433" s="295">
        <v>268.50975416878128</v>
      </c>
      <c r="G433" s="295">
        <v>284.0437333172934</v>
      </c>
      <c r="H433" s="295">
        <v>300.4763930702901</v>
      </c>
      <c r="I433" s="295">
        <v>312.64242956078738</v>
      </c>
      <c r="J433" s="295" t="s">
        <v>5988</v>
      </c>
      <c r="L433" s="308"/>
      <c r="M433" s="308"/>
      <c r="N433" s="308"/>
      <c r="O433" s="308"/>
      <c r="P433" s="308"/>
    </row>
    <row r="434" spans="1:16" hidden="1" outlineLevel="1" x14ac:dyDescent="0.3">
      <c r="A434" s="294" t="s">
        <v>6000</v>
      </c>
      <c r="B434" s="294" t="s">
        <v>855</v>
      </c>
      <c r="C434" s="294" t="s">
        <v>771</v>
      </c>
      <c r="D434" s="295">
        <v>209</v>
      </c>
      <c r="E434" s="440">
        <v>224.17169437701517</v>
      </c>
      <c r="F434" s="295">
        <v>268.50975416878128</v>
      </c>
      <c r="G434" s="295">
        <v>284.0437333172934</v>
      </c>
      <c r="H434" s="295">
        <v>300.4763930702901</v>
      </c>
      <c r="I434" s="295">
        <v>312.64242956078738</v>
      </c>
      <c r="J434" s="295" t="s">
        <v>5988</v>
      </c>
      <c r="L434" s="308"/>
      <c r="M434" s="308"/>
      <c r="N434" s="308"/>
      <c r="O434" s="308"/>
      <c r="P434" s="308"/>
    </row>
    <row r="435" spans="1:16" hidden="1" outlineLevel="1" x14ac:dyDescent="0.3">
      <c r="A435" s="294" t="s">
        <v>6000</v>
      </c>
      <c r="B435" s="294" t="s">
        <v>855</v>
      </c>
      <c r="C435" s="294" t="s">
        <v>772</v>
      </c>
      <c r="D435" s="295">
        <v>209</v>
      </c>
      <c r="E435" s="440">
        <v>224.17169437701517</v>
      </c>
      <c r="F435" s="295">
        <v>268.50975416878128</v>
      </c>
      <c r="G435" s="295">
        <v>284.0437333172934</v>
      </c>
      <c r="H435" s="295">
        <v>300.4763930702901</v>
      </c>
      <c r="I435" s="295">
        <v>312.64242956078738</v>
      </c>
      <c r="J435" s="295" t="s">
        <v>5988</v>
      </c>
      <c r="L435" s="308"/>
      <c r="M435" s="308"/>
      <c r="N435" s="308"/>
      <c r="O435" s="308"/>
      <c r="P435" s="308"/>
    </row>
    <row r="436" spans="1:16" hidden="1" outlineLevel="1" x14ac:dyDescent="0.3">
      <c r="A436" s="294" t="s">
        <v>6000</v>
      </c>
      <c r="B436" s="294" t="s">
        <v>855</v>
      </c>
      <c r="C436" s="294" t="s">
        <v>774</v>
      </c>
      <c r="D436" s="295">
        <v>209</v>
      </c>
      <c r="E436" s="440">
        <v>224.17169437701517</v>
      </c>
      <c r="F436" s="295">
        <v>268.50975416878128</v>
      </c>
      <c r="G436" s="295">
        <v>284.0437333172934</v>
      </c>
      <c r="H436" s="295">
        <v>300.4763930702901</v>
      </c>
      <c r="I436" s="295">
        <v>312.64242956078738</v>
      </c>
      <c r="J436" s="295" t="s">
        <v>5988</v>
      </c>
      <c r="L436" s="308"/>
      <c r="M436" s="308"/>
      <c r="N436" s="308"/>
      <c r="O436" s="308"/>
      <c r="P436" s="308"/>
    </row>
    <row r="437" spans="1:16" hidden="1" outlineLevel="1" x14ac:dyDescent="0.3">
      <c r="A437" s="294" t="s">
        <v>6000</v>
      </c>
      <c r="B437" s="294" t="s">
        <v>855</v>
      </c>
      <c r="C437" s="294" t="s">
        <v>775</v>
      </c>
      <c r="D437" s="295">
        <v>209</v>
      </c>
      <c r="E437" s="440">
        <v>224.17169437701517</v>
      </c>
      <c r="F437" s="295">
        <v>268.50975416878128</v>
      </c>
      <c r="G437" s="295">
        <v>284.0437333172934</v>
      </c>
      <c r="H437" s="295">
        <v>300.4763930702901</v>
      </c>
      <c r="I437" s="295">
        <v>312.64242956078738</v>
      </c>
      <c r="J437" s="295" t="s">
        <v>5988</v>
      </c>
      <c r="L437" s="308"/>
      <c r="M437" s="308"/>
      <c r="N437" s="308"/>
      <c r="O437" s="308"/>
      <c r="P437" s="308"/>
    </row>
    <row r="438" spans="1:16" hidden="1" outlineLevel="1" x14ac:dyDescent="0.3">
      <c r="A438" s="294" t="s">
        <v>6000</v>
      </c>
      <c r="B438" s="294" t="s">
        <v>855</v>
      </c>
      <c r="C438" s="294" t="s">
        <v>779</v>
      </c>
      <c r="D438" s="295">
        <v>209</v>
      </c>
      <c r="E438" s="440">
        <v>224.17169437701517</v>
      </c>
      <c r="F438" s="295">
        <v>268.50975416878128</v>
      </c>
      <c r="G438" s="295">
        <v>284.0437333172934</v>
      </c>
      <c r="H438" s="295">
        <v>300.4763930702901</v>
      </c>
      <c r="I438" s="295">
        <v>312.64242956078738</v>
      </c>
      <c r="J438" s="295" t="s">
        <v>5988</v>
      </c>
      <c r="L438" s="308"/>
      <c r="M438" s="308"/>
      <c r="N438" s="308"/>
      <c r="O438" s="308"/>
      <c r="P438" s="308"/>
    </row>
    <row r="439" spans="1:16" hidden="1" outlineLevel="1" x14ac:dyDescent="0.3">
      <c r="A439" s="294" t="s">
        <v>6000</v>
      </c>
      <c r="B439" s="294" t="s">
        <v>894</v>
      </c>
      <c r="C439" s="294" t="s">
        <v>781</v>
      </c>
      <c r="D439" s="295">
        <v>209</v>
      </c>
      <c r="E439" s="440">
        <v>224.17169437701517</v>
      </c>
      <c r="F439" s="295">
        <v>268.50975416878128</v>
      </c>
      <c r="G439" s="295">
        <v>284.0437333172934</v>
      </c>
      <c r="H439" s="295">
        <v>300.4763930702901</v>
      </c>
      <c r="I439" s="295">
        <v>312.64242956078738</v>
      </c>
      <c r="J439" s="295" t="s">
        <v>5988</v>
      </c>
      <c r="L439" s="308"/>
      <c r="M439" s="308"/>
      <c r="N439" s="308"/>
      <c r="O439" s="308"/>
      <c r="P439" s="308"/>
    </row>
    <row r="440" spans="1:16" hidden="1" outlineLevel="1" x14ac:dyDescent="0.3">
      <c r="A440" s="294" t="s">
        <v>6000</v>
      </c>
      <c r="B440" s="294" t="s">
        <v>894</v>
      </c>
      <c r="C440" s="294" t="s">
        <v>783</v>
      </c>
      <c r="D440" s="295">
        <v>209</v>
      </c>
      <c r="E440" s="440">
        <v>224.17169437701517</v>
      </c>
      <c r="F440" s="295">
        <v>268.50975416878128</v>
      </c>
      <c r="G440" s="295">
        <v>284.0437333172934</v>
      </c>
      <c r="H440" s="295">
        <v>300.4763930702901</v>
      </c>
      <c r="I440" s="295">
        <v>312.64242956078738</v>
      </c>
      <c r="J440" s="295" t="s">
        <v>5988</v>
      </c>
      <c r="L440" s="308"/>
      <c r="M440" s="308"/>
      <c r="N440" s="308"/>
      <c r="O440" s="308"/>
      <c r="P440" s="308"/>
    </row>
    <row r="441" spans="1:16" hidden="1" outlineLevel="1" x14ac:dyDescent="0.3">
      <c r="A441" s="294" t="s">
        <v>6000</v>
      </c>
      <c r="B441" s="294" t="s">
        <v>894</v>
      </c>
      <c r="C441" s="294" t="s">
        <v>785</v>
      </c>
      <c r="D441" s="295">
        <v>209</v>
      </c>
      <c r="E441" s="440">
        <v>224.17169437701517</v>
      </c>
      <c r="F441" s="295">
        <v>268.50975416878128</v>
      </c>
      <c r="G441" s="295">
        <v>284.0437333172934</v>
      </c>
      <c r="H441" s="295">
        <v>300.4763930702901</v>
      </c>
      <c r="I441" s="295">
        <v>312.64242956078738</v>
      </c>
      <c r="J441" s="295" t="s">
        <v>5988</v>
      </c>
      <c r="L441" s="308"/>
      <c r="M441" s="308"/>
      <c r="N441" s="308"/>
      <c r="O441" s="308"/>
      <c r="P441" s="308"/>
    </row>
    <row r="442" spans="1:16" hidden="1" outlineLevel="1" x14ac:dyDescent="0.3">
      <c r="A442" s="294" t="s">
        <v>6000</v>
      </c>
      <c r="B442" s="294" t="s">
        <v>894</v>
      </c>
      <c r="C442" s="294" t="s">
        <v>787</v>
      </c>
      <c r="D442" s="295">
        <v>209</v>
      </c>
      <c r="E442" s="440">
        <v>224.17169437701517</v>
      </c>
      <c r="F442" s="295">
        <v>268.50975416878128</v>
      </c>
      <c r="G442" s="295">
        <v>284.0437333172934</v>
      </c>
      <c r="H442" s="295">
        <v>300.4763930702901</v>
      </c>
      <c r="I442" s="295">
        <v>312.64242956078738</v>
      </c>
      <c r="J442" s="295" t="s">
        <v>5988</v>
      </c>
      <c r="L442" s="308"/>
      <c r="M442" s="308"/>
      <c r="N442" s="308"/>
      <c r="O442" s="308"/>
      <c r="P442" s="308"/>
    </row>
    <row r="443" spans="1:16" hidden="1" outlineLevel="1" x14ac:dyDescent="0.3">
      <c r="A443" s="294" t="s">
        <v>6000</v>
      </c>
      <c r="B443" s="294" t="s">
        <v>894</v>
      </c>
      <c r="C443" s="294" t="s">
        <v>788</v>
      </c>
      <c r="D443" s="295">
        <v>209</v>
      </c>
      <c r="E443" s="440">
        <v>224.17169437701517</v>
      </c>
      <c r="F443" s="295">
        <v>268.50975416878128</v>
      </c>
      <c r="G443" s="295">
        <v>284.0437333172934</v>
      </c>
      <c r="H443" s="295">
        <v>300.4763930702901</v>
      </c>
      <c r="I443" s="295">
        <v>312.64242956078738</v>
      </c>
      <c r="J443" s="295" t="s">
        <v>5988</v>
      </c>
      <c r="L443" s="308"/>
      <c r="M443" s="308"/>
      <c r="N443" s="308"/>
      <c r="O443" s="308"/>
      <c r="P443" s="308"/>
    </row>
    <row r="444" spans="1:16" hidden="1" outlineLevel="1" x14ac:dyDescent="0.3">
      <c r="A444" s="294" t="s">
        <v>6000</v>
      </c>
      <c r="B444" s="294" t="s">
        <v>894</v>
      </c>
      <c r="C444" s="294" t="s">
        <v>789</v>
      </c>
      <c r="D444" s="295">
        <v>209</v>
      </c>
      <c r="E444" s="440">
        <v>224.17169437701517</v>
      </c>
      <c r="F444" s="295">
        <v>268.50975416878128</v>
      </c>
      <c r="G444" s="295">
        <v>284.0437333172934</v>
      </c>
      <c r="H444" s="295">
        <v>300.4763930702901</v>
      </c>
      <c r="I444" s="295">
        <v>312.64242956078738</v>
      </c>
      <c r="J444" s="295" t="s">
        <v>5988</v>
      </c>
      <c r="L444" s="308"/>
      <c r="M444" s="308"/>
      <c r="N444" s="308"/>
      <c r="O444" s="308"/>
      <c r="P444" s="308"/>
    </row>
    <row r="445" spans="1:16" hidden="1" outlineLevel="1" x14ac:dyDescent="0.3">
      <c r="A445" s="294" t="s">
        <v>6000</v>
      </c>
      <c r="B445" s="294" t="s">
        <v>894</v>
      </c>
      <c r="C445" s="294" t="s">
        <v>790</v>
      </c>
      <c r="D445" s="295">
        <v>209</v>
      </c>
      <c r="E445" s="440">
        <v>224.17169437701517</v>
      </c>
      <c r="F445" s="295">
        <v>268.50975416878128</v>
      </c>
      <c r="G445" s="295">
        <v>284.0437333172934</v>
      </c>
      <c r="H445" s="295">
        <v>300.4763930702901</v>
      </c>
      <c r="I445" s="295">
        <v>312.64242956078738</v>
      </c>
      <c r="J445" s="295" t="s">
        <v>5988</v>
      </c>
      <c r="L445" s="308"/>
      <c r="M445" s="308"/>
      <c r="N445" s="308"/>
      <c r="O445" s="308"/>
      <c r="P445" s="308"/>
    </row>
    <row r="446" spans="1:16" hidden="1" outlineLevel="1" x14ac:dyDescent="0.3">
      <c r="A446" s="294" t="s">
        <v>6000</v>
      </c>
      <c r="B446" s="294" t="s">
        <v>894</v>
      </c>
      <c r="C446" s="294" t="s">
        <v>793</v>
      </c>
      <c r="D446" s="295">
        <v>209</v>
      </c>
      <c r="E446" s="440">
        <v>224.17169437701517</v>
      </c>
      <c r="F446" s="295">
        <v>268.50975416878128</v>
      </c>
      <c r="G446" s="295">
        <v>284.0437333172934</v>
      </c>
      <c r="H446" s="295">
        <v>300.4763930702901</v>
      </c>
      <c r="I446" s="295">
        <v>312.64242956078738</v>
      </c>
      <c r="J446" s="295" t="s">
        <v>5988</v>
      </c>
      <c r="L446" s="308"/>
      <c r="M446" s="308"/>
      <c r="N446" s="308"/>
      <c r="O446" s="308"/>
      <c r="P446" s="308"/>
    </row>
    <row r="447" spans="1:16" hidden="1" outlineLevel="1" x14ac:dyDescent="0.3">
      <c r="A447" s="294" t="s">
        <v>6000</v>
      </c>
      <c r="B447" s="294" t="s">
        <v>894</v>
      </c>
      <c r="C447" s="294" t="s">
        <v>795</v>
      </c>
      <c r="D447" s="295">
        <v>209</v>
      </c>
      <c r="E447" s="440">
        <v>224.17169437701517</v>
      </c>
      <c r="F447" s="295">
        <v>268.50975416878128</v>
      </c>
      <c r="G447" s="295">
        <v>284.0437333172934</v>
      </c>
      <c r="H447" s="295">
        <v>300.4763930702901</v>
      </c>
      <c r="I447" s="295">
        <v>312.64242956078738</v>
      </c>
      <c r="J447" s="295" t="s">
        <v>5988</v>
      </c>
      <c r="L447" s="308"/>
      <c r="M447" s="308"/>
      <c r="N447" s="308"/>
      <c r="O447" s="308"/>
      <c r="P447" s="308"/>
    </row>
    <row r="448" spans="1:16" hidden="1" outlineLevel="1" x14ac:dyDescent="0.3">
      <c r="A448" s="294" t="s">
        <v>6000</v>
      </c>
      <c r="B448" s="294" t="s">
        <v>894</v>
      </c>
      <c r="C448" s="294" t="s">
        <v>797</v>
      </c>
      <c r="D448" s="295">
        <v>209</v>
      </c>
      <c r="E448" s="440">
        <v>224.17169437701517</v>
      </c>
      <c r="F448" s="295">
        <v>268.50975416878128</v>
      </c>
      <c r="G448" s="295">
        <v>284.0437333172934</v>
      </c>
      <c r="H448" s="295">
        <v>300.4763930702901</v>
      </c>
      <c r="I448" s="295">
        <v>312.64242956078738</v>
      </c>
      <c r="J448" s="295" t="s">
        <v>5988</v>
      </c>
      <c r="L448" s="308"/>
      <c r="M448" s="308"/>
      <c r="N448" s="308"/>
      <c r="O448" s="308"/>
      <c r="P448" s="308"/>
    </row>
    <row r="449" spans="1:16" hidden="1" outlineLevel="1" x14ac:dyDescent="0.3">
      <c r="A449" s="294" t="s">
        <v>6000</v>
      </c>
      <c r="B449" s="294" t="s">
        <v>915</v>
      </c>
      <c r="C449" s="294" t="s">
        <v>799</v>
      </c>
      <c r="D449" s="295">
        <v>209</v>
      </c>
      <c r="E449" s="440">
        <v>224.17169437701517</v>
      </c>
      <c r="F449" s="295">
        <v>268.50975416878128</v>
      </c>
      <c r="G449" s="295">
        <v>284.0437333172934</v>
      </c>
      <c r="H449" s="295">
        <v>300.4763930702901</v>
      </c>
      <c r="I449" s="295">
        <v>312.64242956078738</v>
      </c>
      <c r="J449" s="295" t="s">
        <v>5988</v>
      </c>
      <c r="L449" s="308"/>
      <c r="M449" s="308"/>
      <c r="N449" s="308"/>
      <c r="O449" s="308"/>
      <c r="P449" s="308"/>
    </row>
    <row r="450" spans="1:16" hidden="1" outlineLevel="1" x14ac:dyDescent="0.3">
      <c r="A450" s="294" t="s">
        <v>6000</v>
      </c>
      <c r="B450" s="294" t="s">
        <v>915</v>
      </c>
      <c r="C450" s="294" t="s">
        <v>801</v>
      </c>
      <c r="D450" s="295">
        <v>209</v>
      </c>
      <c r="E450" s="440">
        <v>224.17169437701517</v>
      </c>
      <c r="F450" s="295">
        <v>268.50975416878128</v>
      </c>
      <c r="G450" s="295">
        <v>284.0437333172934</v>
      </c>
      <c r="H450" s="295">
        <v>300.4763930702901</v>
      </c>
      <c r="I450" s="295">
        <v>312.64242956078738</v>
      </c>
      <c r="J450" s="295" t="s">
        <v>5988</v>
      </c>
      <c r="L450" s="308"/>
      <c r="M450" s="308"/>
      <c r="N450" s="308"/>
      <c r="O450" s="308"/>
      <c r="P450" s="308"/>
    </row>
    <row r="451" spans="1:16" hidden="1" outlineLevel="1" x14ac:dyDescent="0.3">
      <c r="A451" s="294" t="s">
        <v>6000</v>
      </c>
      <c r="B451" s="294" t="s">
        <v>915</v>
      </c>
      <c r="C451" s="294" t="s">
        <v>804</v>
      </c>
      <c r="D451" s="295">
        <v>209</v>
      </c>
      <c r="E451" s="440">
        <v>224.17169437701517</v>
      </c>
      <c r="F451" s="295">
        <v>268.50975416878128</v>
      </c>
      <c r="G451" s="295">
        <v>284.0437333172934</v>
      </c>
      <c r="H451" s="295">
        <v>300.4763930702901</v>
      </c>
      <c r="I451" s="295">
        <v>312.64242956078738</v>
      </c>
      <c r="J451" s="295" t="s">
        <v>5988</v>
      </c>
      <c r="L451" s="308"/>
      <c r="M451" s="308"/>
      <c r="N451" s="308"/>
      <c r="O451" s="308"/>
      <c r="P451" s="308"/>
    </row>
    <row r="452" spans="1:16" hidden="1" outlineLevel="1" x14ac:dyDescent="0.3">
      <c r="A452" s="294" t="s">
        <v>6000</v>
      </c>
      <c r="B452" s="294" t="s">
        <v>915</v>
      </c>
      <c r="C452" s="294" t="s">
        <v>806</v>
      </c>
      <c r="D452" s="295">
        <v>209</v>
      </c>
      <c r="E452" s="440">
        <v>224.17169437701517</v>
      </c>
      <c r="F452" s="295">
        <v>268.50975416878128</v>
      </c>
      <c r="G452" s="295">
        <v>284.0437333172934</v>
      </c>
      <c r="H452" s="295">
        <v>300.4763930702901</v>
      </c>
      <c r="I452" s="295">
        <v>312.64242956078738</v>
      </c>
      <c r="J452" s="295" t="s">
        <v>5988</v>
      </c>
      <c r="L452" s="308"/>
      <c r="M452" s="308"/>
      <c r="N452" s="308"/>
      <c r="O452" s="308"/>
      <c r="P452" s="308"/>
    </row>
    <row r="453" spans="1:16" hidden="1" outlineLevel="1" x14ac:dyDescent="0.3">
      <c r="A453" s="294" t="s">
        <v>6000</v>
      </c>
      <c r="B453" s="294" t="s">
        <v>915</v>
      </c>
      <c r="C453" s="294" t="s">
        <v>808</v>
      </c>
      <c r="D453" s="295">
        <v>209</v>
      </c>
      <c r="E453" s="440">
        <v>224.17169437701517</v>
      </c>
      <c r="F453" s="295">
        <v>268.50975416878128</v>
      </c>
      <c r="G453" s="295">
        <v>284.0437333172934</v>
      </c>
      <c r="H453" s="295">
        <v>300.4763930702901</v>
      </c>
      <c r="I453" s="295">
        <v>312.64242956078738</v>
      </c>
      <c r="J453" s="295" t="s">
        <v>5988</v>
      </c>
      <c r="L453" s="308"/>
      <c r="M453" s="308"/>
      <c r="N453" s="308"/>
      <c r="O453" s="308"/>
      <c r="P453" s="308"/>
    </row>
    <row r="454" spans="1:16" hidden="1" outlineLevel="1" x14ac:dyDescent="0.3">
      <c r="A454" s="294" t="s">
        <v>6000</v>
      </c>
      <c r="B454" s="294" t="s">
        <v>915</v>
      </c>
      <c r="C454" s="294" t="s">
        <v>811</v>
      </c>
      <c r="D454" s="295">
        <v>209</v>
      </c>
      <c r="E454" s="440">
        <v>224.17169437701517</v>
      </c>
      <c r="F454" s="295">
        <v>268.50975416878128</v>
      </c>
      <c r="G454" s="295">
        <v>284.0437333172934</v>
      </c>
      <c r="H454" s="295">
        <v>300.4763930702901</v>
      </c>
      <c r="I454" s="295">
        <v>312.64242956078738</v>
      </c>
      <c r="J454" s="295" t="s">
        <v>5988</v>
      </c>
      <c r="L454" s="308"/>
      <c r="M454" s="308"/>
      <c r="N454" s="308"/>
      <c r="O454" s="308"/>
      <c r="P454" s="308"/>
    </row>
    <row r="455" spans="1:16" hidden="1" outlineLevel="1" x14ac:dyDescent="0.3">
      <c r="A455" s="294" t="s">
        <v>6000</v>
      </c>
      <c r="B455" s="294" t="s">
        <v>934</v>
      </c>
      <c r="C455" s="294" t="s">
        <v>814</v>
      </c>
      <c r="D455" s="295">
        <v>209</v>
      </c>
      <c r="E455" s="440">
        <v>224.17169437701517</v>
      </c>
      <c r="F455" s="295">
        <v>268.50975416878128</v>
      </c>
      <c r="G455" s="295">
        <v>284.0437333172934</v>
      </c>
      <c r="H455" s="295">
        <v>300.4763930702901</v>
      </c>
      <c r="I455" s="295">
        <v>312.64242956078738</v>
      </c>
      <c r="J455" s="295" t="s">
        <v>5988</v>
      </c>
      <c r="L455" s="308"/>
      <c r="M455" s="308"/>
      <c r="N455" s="308"/>
      <c r="O455" s="308"/>
      <c r="P455" s="308"/>
    </row>
    <row r="456" spans="1:16" hidden="1" outlineLevel="1" x14ac:dyDescent="0.3">
      <c r="A456" s="294" t="s">
        <v>6000</v>
      </c>
      <c r="B456" s="294" t="s">
        <v>934</v>
      </c>
      <c r="C456" s="294" t="s">
        <v>815</v>
      </c>
      <c r="D456" s="295">
        <v>209</v>
      </c>
      <c r="E456" s="440">
        <v>208.01589585522467</v>
      </c>
      <c r="F456" s="295">
        <v>235.84993897278486</v>
      </c>
      <c r="G456" s="295">
        <v>252.13358099936144</v>
      </c>
      <c r="H456" s="295">
        <v>269.54148448983557</v>
      </c>
      <c r="I456" s="295">
        <v>280.46707577174817</v>
      </c>
      <c r="J456" s="295" t="s">
        <v>5988</v>
      </c>
      <c r="L456" s="308"/>
      <c r="M456" s="308"/>
      <c r="N456" s="308"/>
      <c r="O456" s="308"/>
      <c r="P456" s="308"/>
    </row>
    <row r="457" spans="1:16" hidden="1" outlineLevel="1" x14ac:dyDescent="0.3">
      <c r="A457" s="294" t="s">
        <v>6000</v>
      </c>
      <c r="B457" s="294" t="s">
        <v>940</v>
      </c>
      <c r="C457" s="294" t="s">
        <v>817</v>
      </c>
      <c r="D457" s="295">
        <v>209</v>
      </c>
      <c r="E457" s="440">
        <v>208.01589585522467</v>
      </c>
      <c r="F457" s="295">
        <v>235.84993897278486</v>
      </c>
      <c r="G457" s="295">
        <v>252.13358099936144</v>
      </c>
      <c r="H457" s="295">
        <v>269.54148448983557</v>
      </c>
      <c r="I457" s="295">
        <v>280.46707577174817</v>
      </c>
      <c r="J457" s="295" t="s">
        <v>5988</v>
      </c>
      <c r="L457" s="308"/>
      <c r="M457" s="308"/>
      <c r="N457" s="308"/>
      <c r="O457" s="308"/>
      <c r="P457" s="308"/>
    </row>
    <row r="458" spans="1:16" hidden="1" outlineLevel="1" x14ac:dyDescent="0.3">
      <c r="A458" s="294" t="s">
        <v>6000</v>
      </c>
      <c r="B458" s="294" t="s">
        <v>940</v>
      </c>
      <c r="C458" s="294" t="s">
        <v>944</v>
      </c>
      <c r="D458" s="295">
        <v>209</v>
      </c>
      <c r="E458" s="440">
        <v>208.01589585522467</v>
      </c>
      <c r="F458" s="295">
        <v>235.84993897278486</v>
      </c>
      <c r="G458" s="295">
        <v>252.13358099936144</v>
      </c>
      <c r="H458" s="295">
        <v>269.54148448983557</v>
      </c>
      <c r="I458" s="295">
        <v>280.46707577174817</v>
      </c>
      <c r="J458" s="295" t="s">
        <v>5988</v>
      </c>
      <c r="L458" s="308"/>
      <c r="M458" s="308"/>
      <c r="N458" s="308"/>
      <c r="O458" s="308"/>
      <c r="P458" s="308"/>
    </row>
    <row r="459" spans="1:16" hidden="1" outlineLevel="1" x14ac:dyDescent="0.3">
      <c r="A459" s="294" t="s">
        <v>6000</v>
      </c>
      <c r="B459" s="294" t="s">
        <v>940</v>
      </c>
      <c r="C459" s="294" t="s">
        <v>821</v>
      </c>
      <c r="D459" s="295">
        <v>209</v>
      </c>
      <c r="E459" s="440">
        <v>208.01589585522467</v>
      </c>
      <c r="F459" s="295">
        <v>235.84993897278486</v>
      </c>
      <c r="G459" s="295">
        <v>252.13358099936144</v>
      </c>
      <c r="H459" s="295">
        <v>269.54148448983557</v>
      </c>
      <c r="I459" s="295">
        <v>280.46707577174817</v>
      </c>
      <c r="J459" s="295" t="s">
        <v>5988</v>
      </c>
      <c r="L459" s="308"/>
      <c r="M459" s="308"/>
      <c r="N459" s="308"/>
      <c r="O459" s="308"/>
      <c r="P459" s="308"/>
    </row>
    <row r="460" spans="1:16" hidden="1" outlineLevel="1" x14ac:dyDescent="0.3">
      <c r="A460" s="294" t="s">
        <v>6000</v>
      </c>
      <c r="B460" s="294" t="s">
        <v>940</v>
      </c>
      <c r="C460" s="294" t="s">
        <v>823</v>
      </c>
      <c r="D460" s="295">
        <v>209</v>
      </c>
      <c r="E460" s="440">
        <v>208.01589585522467</v>
      </c>
      <c r="F460" s="295">
        <v>235.84993897278486</v>
      </c>
      <c r="G460" s="295">
        <v>252.13358099936144</v>
      </c>
      <c r="H460" s="295">
        <v>269.54148448983557</v>
      </c>
      <c r="I460" s="295">
        <v>280.46707577174817</v>
      </c>
      <c r="J460" s="295" t="s">
        <v>5988</v>
      </c>
      <c r="L460" s="308"/>
      <c r="M460" s="308"/>
      <c r="N460" s="308"/>
      <c r="O460" s="308"/>
      <c r="P460" s="308"/>
    </row>
    <row r="461" spans="1:16" hidden="1" outlineLevel="1" x14ac:dyDescent="0.3">
      <c r="A461" s="294" t="s">
        <v>6000</v>
      </c>
      <c r="B461" s="294" t="s">
        <v>940</v>
      </c>
      <c r="C461" s="294" t="s">
        <v>825</v>
      </c>
      <c r="D461" s="295">
        <v>209</v>
      </c>
      <c r="E461" s="440">
        <v>208.01589585522467</v>
      </c>
      <c r="F461" s="295">
        <v>235.84993897278486</v>
      </c>
      <c r="G461" s="295">
        <v>252.13358099936144</v>
      </c>
      <c r="H461" s="295">
        <v>269.54148448983557</v>
      </c>
      <c r="I461" s="295">
        <v>280.46707577174817</v>
      </c>
      <c r="J461" s="295" t="s">
        <v>5988</v>
      </c>
      <c r="L461" s="308"/>
      <c r="M461" s="308"/>
      <c r="N461" s="308"/>
      <c r="O461" s="308"/>
      <c r="P461" s="308"/>
    </row>
    <row r="462" spans="1:16" hidden="1" outlineLevel="1" x14ac:dyDescent="0.3">
      <c r="A462" s="294" t="s">
        <v>6000</v>
      </c>
      <c r="B462" s="294" t="s">
        <v>940</v>
      </c>
      <c r="C462" s="294" t="s">
        <v>827</v>
      </c>
      <c r="D462" s="295">
        <v>209</v>
      </c>
      <c r="E462" s="440">
        <v>208.01589585522467</v>
      </c>
      <c r="F462" s="295">
        <v>235.84993897278486</v>
      </c>
      <c r="G462" s="295">
        <v>252.13358099936144</v>
      </c>
      <c r="H462" s="295">
        <v>269.54148448983557</v>
      </c>
      <c r="I462" s="295">
        <v>280.46707577174817</v>
      </c>
      <c r="J462" s="295" t="s">
        <v>5988</v>
      </c>
      <c r="L462" s="308"/>
      <c r="M462" s="308"/>
      <c r="N462" s="308"/>
      <c r="O462" s="308"/>
      <c r="P462" s="308"/>
    </row>
    <row r="463" spans="1:16" hidden="1" outlineLevel="1" x14ac:dyDescent="0.3">
      <c r="A463" s="294" t="s">
        <v>6000</v>
      </c>
      <c r="B463" s="294" t="s">
        <v>940</v>
      </c>
      <c r="C463" s="294" t="s">
        <v>829</v>
      </c>
      <c r="D463" s="295">
        <v>209</v>
      </c>
      <c r="E463" s="440">
        <v>208.01589585522467</v>
      </c>
      <c r="F463" s="295">
        <v>235.84993897278486</v>
      </c>
      <c r="G463" s="295">
        <v>252.13358099936144</v>
      </c>
      <c r="H463" s="295">
        <v>269.54148448983557</v>
      </c>
      <c r="I463" s="295">
        <v>280.46707577174817</v>
      </c>
      <c r="J463" s="295" t="s">
        <v>5988</v>
      </c>
      <c r="L463" s="308"/>
      <c r="M463" s="308"/>
      <c r="N463" s="308"/>
      <c r="O463" s="308"/>
      <c r="P463" s="308"/>
    </row>
    <row r="464" spans="1:16" hidden="1" outlineLevel="1" x14ac:dyDescent="0.3">
      <c r="A464" s="294" t="s">
        <v>6000</v>
      </c>
      <c r="B464" s="294" t="s">
        <v>940</v>
      </c>
      <c r="C464" s="294" t="s">
        <v>833</v>
      </c>
      <c r="D464" s="295">
        <v>209</v>
      </c>
      <c r="E464" s="440">
        <v>208.01589585522467</v>
      </c>
      <c r="F464" s="295">
        <v>235.84993897278486</v>
      </c>
      <c r="G464" s="295">
        <v>252.13358099936144</v>
      </c>
      <c r="H464" s="295">
        <v>269.54148448983557</v>
      </c>
      <c r="I464" s="295">
        <v>280.46707577174817</v>
      </c>
      <c r="J464" s="295" t="s">
        <v>5988</v>
      </c>
      <c r="L464" s="308"/>
      <c r="M464" s="308"/>
      <c r="N464" s="308"/>
      <c r="O464" s="308"/>
      <c r="P464" s="308"/>
    </row>
    <row r="465" spans="1:16" hidden="1" outlineLevel="1" x14ac:dyDescent="0.3">
      <c r="A465" s="294" t="s">
        <v>6000</v>
      </c>
      <c r="B465" s="294" t="s">
        <v>940</v>
      </c>
      <c r="C465" s="294" t="s">
        <v>836</v>
      </c>
      <c r="D465" s="295">
        <v>209</v>
      </c>
      <c r="E465" s="440">
        <v>208.01589585522467</v>
      </c>
      <c r="F465" s="295">
        <v>235.84993897278486</v>
      </c>
      <c r="G465" s="295">
        <v>252.13358099936144</v>
      </c>
      <c r="H465" s="295">
        <v>269.54148448983557</v>
      </c>
      <c r="I465" s="295">
        <v>280.46707577174817</v>
      </c>
      <c r="J465" s="295" t="s">
        <v>5988</v>
      </c>
      <c r="L465" s="308"/>
      <c r="M465" s="308"/>
      <c r="N465" s="308"/>
      <c r="O465" s="308"/>
      <c r="P465" s="308"/>
    </row>
    <row r="466" spans="1:16" hidden="1" outlineLevel="1" x14ac:dyDescent="0.3">
      <c r="A466" s="294" t="s">
        <v>6000</v>
      </c>
      <c r="B466" s="294" t="s">
        <v>940</v>
      </c>
      <c r="C466" s="294" t="s">
        <v>837</v>
      </c>
      <c r="D466" s="295">
        <v>209</v>
      </c>
      <c r="E466" s="440">
        <v>208.01589585522467</v>
      </c>
      <c r="F466" s="295">
        <v>235.84993897278486</v>
      </c>
      <c r="G466" s="295">
        <v>252.13358099936144</v>
      </c>
      <c r="H466" s="295">
        <v>269.54148448983557</v>
      </c>
      <c r="I466" s="295">
        <v>280.46707577174817</v>
      </c>
      <c r="J466" s="295" t="s">
        <v>5988</v>
      </c>
      <c r="L466" s="308"/>
      <c r="M466" s="308"/>
      <c r="N466" s="308"/>
      <c r="O466" s="308"/>
      <c r="P466" s="308"/>
    </row>
    <row r="467" spans="1:16" hidden="1" outlineLevel="1" x14ac:dyDescent="0.3">
      <c r="A467" s="294" t="s">
        <v>6000</v>
      </c>
      <c r="B467" s="294" t="s">
        <v>940</v>
      </c>
      <c r="C467" s="294" t="s">
        <v>839</v>
      </c>
      <c r="D467" s="295">
        <v>209</v>
      </c>
      <c r="E467" s="440">
        <v>208.01589585522467</v>
      </c>
      <c r="F467" s="295">
        <v>235.84993897278486</v>
      </c>
      <c r="G467" s="295">
        <v>252.13358099936144</v>
      </c>
      <c r="H467" s="295">
        <v>269.54148448983557</v>
      </c>
      <c r="I467" s="295">
        <v>280.46707577174817</v>
      </c>
      <c r="J467" s="295" t="s">
        <v>5988</v>
      </c>
      <c r="L467" s="308"/>
      <c r="M467" s="308"/>
      <c r="N467" s="308"/>
      <c r="O467" s="308"/>
      <c r="P467" s="308"/>
    </row>
    <row r="468" spans="1:16" hidden="1" outlineLevel="1" x14ac:dyDescent="0.3">
      <c r="A468" s="294" t="s">
        <v>6000</v>
      </c>
      <c r="B468" s="294" t="s">
        <v>940</v>
      </c>
      <c r="C468" s="294" t="s">
        <v>840</v>
      </c>
      <c r="D468" s="295">
        <v>209</v>
      </c>
      <c r="E468" s="440">
        <v>208.01589585522467</v>
      </c>
      <c r="F468" s="295">
        <v>235.84993897278486</v>
      </c>
      <c r="G468" s="295">
        <v>252.13358099936144</v>
      </c>
      <c r="H468" s="295">
        <v>269.54148448983557</v>
      </c>
      <c r="I468" s="295">
        <v>280.46707577174817</v>
      </c>
      <c r="J468" s="295" t="s">
        <v>5988</v>
      </c>
      <c r="L468" s="308"/>
      <c r="M468" s="308"/>
      <c r="N468" s="308"/>
      <c r="O468" s="308"/>
      <c r="P468" s="308"/>
    </row>
    <row r="469" spans="1:16" collapsed="1" x14ac:dyDescent="0.3">
      <c r="A469" s="294"/>
      <c r="B469" s="294"/>
      <c r="C469" s="293"/>
      <c r="D469" s="295"/>
      <c r="E469" s="295"/>
      <c r="F469" s="294"/>
      <c r="G469" s="294"/>
      <c r="H469" s="294"/>
      <c r="I469" s="294"/>
      <c r="J469" s="294"/>
      <c r="K469" s="308"/>
      <c r="L469" s="308"/>
      <c r="M469" s="308"/>
      <c r="N469" s="308"/>
      <c r="O469" s="308"/>
      <c r="P469" s="308"/>
    </row>
    <row r="470" spans="1:16" x14ac:dyDescent="0.3">
      <c r="A470" s="293" t="s">
        <v>6001</v>
      </c>
      <c r="B470" s="58"/>
      <c r="C470" s="298" t="s">
        <v>4032</v>
      </c>
      <c r="D470" s="296">
        <v>1.1000000000000006E-2</v>
      </c>
      <c r="E470" s="296">
        <v>1.1541441220842559E-2</v>
      </c>
      <c r="F470" s="296">
        <v>1.3612413502704583E-2</v>
      </c>
      <c r="G470" s="296">
        <v>1.4441919892913695E-2</v>
      </c>
      <c r="H470" s="296">
        <v>1.5322314676225914E-2</v>
      </c>
      <c r="I470" s="296">
        <v>1.5942894579995513E-2</v>
      </c>
      <c r="J470" s="293"/>
      <c r="K470" s="308"/>
      <c r="L470" s="308"/>
      <c r="M470" s="308"/>
      <c r="N470" s="308"/>
      <c r="O470" s="308"/>
      <c r="P470" s="308"/>
    </row>
    <row r="471" spans="1:16" x14ac:dyDescent="0.3">
      <c r="A471" s="297" t="s">
        <v>5</v>
      </c>
      <c r="B471" s="297" t="s">
        <v>847</v>
      </c>
      <c r="C471" s="297" t="s">
        <v>193</v>
      </c>
      <c r="D471" s="297">
        <v>2022</v>
      </c>
      <c r="E471" s="297">
        <v>2025</v>
      </c>
      <c r="F471" s="297">
        <v>2030</v>
      </c>
      <c r="G471" s="297">
        <v>2035</v>
      </c>
      <c r="H471" s="297">
        <v>2040</v>
      </c>
      <c r="I471" s="297">
        <v>2045</v>
      </c>
      <c r="J471" s="297" t="s">
        <v>153</v>
      </c>
      <c r="K471" s="308"/>
      <c r="L471" s="308"/>
      <c r="M471" s="308"/>
      <c r="N471" s="308"/>
      <c r="O471" s="308"/>
      <c r="P471" s="308"/>
    </row>
    <row r="472" spans="1:16" hidden="1" outlineLevel="1" x14ac:dyDescent="0.3">
      <c r="A472" s="294" t="s">
        <v>6001</v>
      </c>
      <c r="B472" s="294" t="s">
        <v>855</v>
      </c>
      <c r="C472" s="294" t="s">
        <v>747</v>
      </c>
      <c r="D472" s="296">
        <v>1.0999999999999999E-2</v>
      </c>
      <c r="E472" s="441">
        <v>1.1798510230369218E-2</v>
      </c>
      <c r="F472" s="441">
        <v>1.4132092324672697E-2</v>
      </c>
      <c r="G472" s="441">
        <v>1.4949670174594386E-2</v>
      </c>
      <c r="H472" s="441">
        <v>1.5814547003699473E-2</v>
      </c>
      <c r="I472" s="441">
        <v>1.6454864713725644E-2</v>
      </c>
      <c r="J472" s="442"/>
      <c r="K472" s="308"/>
      <c r="L472" s="308"/>
      <c r="M472" s="308"/>
      <c r="N472" s="308"/>
      <c r="O472" s="308"/>
      <c r="P472" s="308"/>
    </row>
    <row r="473" spans="1:16" hidden="1" outlineLevel="1" x14ac:dyDescent="0.3">
      <c r="A473" s="294" t="s">
        <v>6001</v>
      </c>
      <c r="B473" s="294" t="s">
        <v>855</v>
      </c>
      <c r="C473" s="294" t="s">
        <v>751</v>
      </c>
      <c r="D473" s="296">
        <v>1.0999999999999999E-2</v>
      </c>
      <c r="E473" s="441">
        <v>1.1798510230369218E-2</v>
      </c>
      <c r="F473" s="441">
        <v>1.4132092324672697E-2</v>
      </c>
      <c r="G473" s="441">
        <v>1.4949670174594386E-2</v>
      </c>
      <c r="H473" s="441">
        <v>1.5814547003699473E-2</v>
      </c>
      <c r="I473" s="441">
        <v>1.6454864713725644E-2</v>
      </c>
      <c r="J473" s="442"/>
      <c r="K473" s="308"/>
      <c r="L473" s="308"/>
      <c r="M473" s="308"/>
      <c r="N473" s="308"/>
      <c r="O473" s="308"/>
      <c r="P473" s="308"/>
    </row>
    <row r="474" spans="1:16" hidden="1" outlineLevel="1" x14ac:dyDescent="0.3">
      <c r="A474" s="294" t="s">
        <v>6001</v>
      </c>
      <c r="B474" s="294" t="s">
        <v>855</v>
      </c>
      <c r="C474" s="294" t="s">
        <v>755</v>
      </c>
      <c r="D474" s="296">
        <v>1.0999999999999999E-2</v>
      </c>
      <c r="E474" s="441">
        <v>1.1798510230369218E-2</v>
      </c>
      <c r="F474" s="441">
        <v>1.4132092324672697E-2</v>
      </c>
      <c r="G474" s="441">
        <v>1.4949670174594386E-2</v>
      </c>
      <c r="H474" s="441">
        <v>1.5814547003699473E-2</v>
      </c>
      <c r="I474" s="441">
        <v>1.6454864713725644E-2</v>
      </c>
      <c r="J474" s="442"/>
      <c r="K474" s="308"/>
      <c r="L474" s="308"/>
      <c r="M474" s="308"/>
      <c r="N474" s="308"/>
      <c r="O474" s="308"/>
      <c r="P474" s="308"/>
    </row>
    <row r="475" spans="1:16" hidden="1" outlineLevel="1" x14ac:dyDescent="0.3">
      <c r="A475" s="294" t="s">
        <v>6001</v>
      </c>
      <c r="B475" s="294" t="s">
        <v>855</v>
      </c>
      <c r="C475" s="294" t="s">
        <v>758</v>
      </c>
      <c r="D475" s="296">
        <v>1.0999999999999999E-2</v>
      </c>
      <c r="E475" s="441">
        <v>1.1798510230369218E-2</v>
      </c>
      <c r="F475" s="441">
        <v>1.4132092324672697E-2</v>
      </c>
      <c r="G475" s="441">
        <v>1.4949670174594386E-2</v>
      </c>
      <c r="H475" s="441">
        <v>1.5814547003699473E-2</v>
      </c>
      <c r="I475" s="441">
        <v>1.6454864713725644E-2</v>
      </c>
      <c r="J475" s="442"/>
      <c r="K475" s="308"/>
      <c r="L475" s="308"/>
      <c r="M475" s="308"/>
      <c r="N475" s="308"/>
      <c r="O475" s="308"/>
      <c r="P475" s="308"/>
    </row>
    <row r="476" spans="1:16" hidden="1" outlineLevel="1" x14ac:dyDescent="0.3">
      <c r="A476" s="294" t="s">
        <v>6001</v>
      </c>
      <c r="B476" s="294" t="s">
        <v>855</v>
      </c>
      <c r="C476" s="294" t="s">
        <v>761</v>
      </c>
      <c r="D476" s="296">
        <v>1.0999999999999999E-2</v>
      </c>
      <c r="E476" s="441">
        <v>1.1798510230369218E-2</v>
      </c>
      <c r="F476" s="441">
        <v>1.4132092324672697E-2</v>
      </c>
      <c r="G476" s="441">
        <v>1.4949670174594386E-2</v>
      </c>
      <c r="H476" s="441">
        <v>1.5814547003699473E-2</v>
      </c>
      <c r="I476" s="441">
        <v>1.6454864713725644E-2</v>
      </c>
      <c r="J476" s="442"/>
      <c r="K476" s="308"/>
      <c r="L476" s="308"/>
      <c r="M476" s="308"/>
      <c r="N476" s="308"/>
      <c r="O476" s="308"/>
      <c r="P476" s="308"/>
    </row>
    <row r="477" spans="1:16" hidden="1" outlineLevel="1" x14ac:dyDescent="0.3">
      <c r="A477" s="294" t="s">
        <v>6001</v>
      </c>
      <c r="B477" s="294" t="s">
        <v>855</v>
      </c>
      <c r="C477" s="294" t="s">
        <v>763</v>
      </c>
      <c r="D477" s="296">
        <v>1.0999999999999999E-2</v>
      </c>
      <c r="E477" s="441">
        <v>1.1798510230369218E-2</v>
      </c>
      <c r="F477" s="441">
        <v>1.4132092324672697E-2</v>
      </c>
      <c r="G477" s="441">
        <v>1.4949670174594386E-2</v>
      </c>
      <c r="H477" s="441">
        <v>1.5814547003699473E-2</v>
      </c>
      <c r="I477" s="441">
        <v>1.6454864713725644E-2</v>
      </c>
      <c r="J477" s="442"/>
      <c r="K477" s="308"/>
      <c r="L477" s="308"/>
      <c r="M477" s="308"/>
      <c r="N477" s="308"/>
      <c r="O477" s="308"/>
      <c r="P477" s="308"/>
    </row>
    <row r="478" spans="1:16" hidden="1" outlineLevel="1" x14ac:dyDescent="0.3">
      <c r="A478" s="294" t="s">
        <v>6001</v>
      </c>
      <c r="B478" s="294" t="s">
        <v>855</v>
      </c>
      <c r="C478" s="294" t="s">
        <v>765</v>
      </c>
      <c r="D478" s="296">
        <v>1.0999999999999999E-2</v>
      </c>
      <c r="E478" s="441">
        <v>1.1798510230369218E-2</v>
      </c>
      <c r="F478" s="441">
        <v>1.4132092324672697E-2</v>
      </c>
      <c r="G478" s="441">
        <v>1.4949670174594386E-2</v>
      </c>
      <c r="H478" s="441">
        <v>1.5814547003699473E-2</v>
      </c>
      <c r="I478" s="441">
        <v>1.6454864713725644E-2</v>
      </c>
      <c r="J478" s="442"/>
      <c r="K478" s="308"/>
      <c r="L478" s="308"/>
      <c r="M478" s="308"/>
      <c r="N478" s="308"/>
      <c r="O478" s="308"/>
      <c r="P478" s="308"/>
    </row>
    <row r="479" spans="1:16" hidden="1" outlineLevel="1" x14ac:dyDescent="0.3">
      <c r="A479" s="294" t="s">
        <v>6001</v>
      </c>
      <c r="B479" s="294" t="s">
        <v>855</v>
      </c>
      <c r="C479" s="294" t="s">
        <v>768</v>
      </c>
      <c r="D479" s="296">
        <v>1.0999999999999999E-2</v>
      </c>
      <c r="E479" s="441">
        <v>1.1798510230369218E-2</v>
      </c>
      <c r="F479" s="441">
        <v>1.4132092324672697E-2</v>
      </c>
      <c r="G479" s="441">
        <v>1.4949670174594386E-2</v>
      </c>
      <c r="H479" s="441">
        <v>1.5814547003699473E-2</v>
      </c>
      <c r="I479" s="441">
        <v>1.6454864713725644E-2</v>
      </c>
      <c r="J479" s="442"/>
      <c r="K479" s="308"/>
      <c r="L479" s="308"/>
      <c r="M479" s="308"/>
      <c r="N479" s="308"/>
      <c r="O479" s="308"/>
      <c r="P479" s="308"/>
    </row>
    <row r="480" spans="1:16" hidden="1" outlineLevel="1" x14ac:dyDescent="0.3">
      <c r="A480" s="294" t="s">
        <v>6001</v>
      </c>
      <c r="B480" s="294" t="s">
        <v>855</v>
      </c>
      <c r="C480" s="294" t="s">
        <v>771</v>
      </c>
      <c r="D480" s="296">
        <v>1.0999999999999999E-2</v>
      </c>
      <c r="E480" s="441">
        <v>1.1798510230369218E-2</v>
      </c>
      <c r="F480" s="441">
        <v>1.4132092324672697E-2</v>
      </c>
      <c r="G480" s="441">
        <v>1.4949670174594386E-2</v>
      </c>
      <c r="H480" s="441">
        <v>1.5814547003699473E-2</v>
      </c>
      <c r="I480" s="441">
        <v>1.6454864713725644E-2</v>
      </c>
      <c r="J480" s="442"/>
      <c r="K480" s="308"/>
      <c r="L480" s="308"/>
      <c r="M480" s="308"/>
      <c r="N480" s="308"/>
      <c r="O480" s="308"/>
      <c r="P480" s="308"/>
    </row>
    <row r="481" spans="1:16" hidden="1" outlineLevel="1" x14ac:dyDescent="0.3">
      <c r="A481" s="294" t="s">
        <v>6001</v>
      </c>
      <c r="B481" s="294" t="s">
        <v>855</v>
      </c>
      <c r="C481" s="294" t="s">
        <v>772</v>
      </c>
      <c r="D481" s="296">
        <v>1.0999999999999999E-2</v>
      </c>
      <c r="E481" s="441">
        <v>1.1798510230369218E-2</v>
      </c>
      <c r="F481" s="441">
        <v>1.4132092324672697E-2</v>
      </c>
      <c r="G481" s="441">
        <v>1.4949670174594386E-2</v>
      </c>
      <c r="H481" s="441">
        <v>1.5814547003699473E-2</v>
      </c>
      <c r="I481" s="441">
        <v>1.6454864713725644E-2</v>
      </c>
      <c r="J481" s="442"/>
      <c r="K481" s="308"/>
      <c r="L481" s="308"/>
      <c r="M481" s="308"/>
      <c r="N481" s="308"/>
      <c r="O481" s="308"/>
      <c r="P481" s="308"/>
    </row>
    <row r="482" spans="1:16" hidden="1" outlineLevel="1" x14ac:dyDescent="0.3">
      <c r="A482" s="294" t="s">
        <v>6001</v>
      </c>
      <c r="B482" s="294" t="s">
        <v>855</v>
      </c>
      <c r="C482" s="294" t="s">
        <v>774</v>
      </c>
      <c r="D482" s="296">
        <v>1.0999999999999999E-2</v>
      </c>
      <c r="E482" s="441">
        <v>1.1798510230369218E-2</v>
      </c>
      <c r="F482" s="441">
        <v>1.4132092324672697E-2</v>
      </c>
      <c r="G482" s="441">
        <v>1.4949670174594386E-2</v>
      </c>
      <c r="H482" s="441">
        <v>1.5814547003699473E-2</v>
      </c>
      <c r="I482" s="441">
        <v>1.6454864713725644E-2</v>
      </c>
      <c r="J482" s="442"/>
      <c r="K482" s="308"/>
      <c r="L482" s="308"/>
      <c r="M482" s="308"/>
      <c r="N482" s="308"/>
      <c r="O482" s="308"/>
      <c r="P482" s="308"/>
    </row>
    <row r="483" spans="1:16" hidden="1" outlineLevel="1" x14ac:dyDescent="0.3">
      <c r="A483" s="294" t="s">
        <v>6001</v>
      </c>
      <c r="B483" s="294" t="s">
        <v>855</v>
      </c>
      <c r="C483" s="294" t="s">
        <v>775</v>
      </c>
      <c r="D483" s="296">
        <v>1.0999999999999999E-2</v>
      </c>
      <c r="E483" s="441">
        <v>1.1798510230369218E-2</v>
      </c>
      <c r="F483" s="441">
        <v>1.4132092324672697E-2</v>
      </c>
      <c r="G483" s="441">
        <v>1.4949670174594386E-2</v>
      </c>
      <c r="H483" s="441">
        <v>1.5814547003699473E-2</v>
      </c>
      <c r="I483" s="441">
        <v>1.6454864713725644E-2</v>
      </c>
      <c r="J483" s="442"/>
      <c r="K483" s="308"/>
      <c r="L483" s="308"/>
      <c r="M483" s="308"/>
      <c r="N483" s="308"/>
      <c r="O483" s="308"/>
      <c r="P483" s="308"/>
    </row>
    <row r="484" spans="1:16" hidden="1" outlineLevel="1" x14ac:dyDescent="0.3">
      <c r="A484" s="294" t="s">
        <v>6001</v>
      </c>
      <c r="B484" s="294" t="s">
        <v>855</v>
      </c>
      <c r="C484" s="294" t="s">
        <v>779</v>
      </c>
      <c r="D484" s="296">
        <v>1.0999999999999999E-2</v>
      </c>
      <c r="E484" s="441">
        <v>1.1798510230369218E-2</v>
      </c>
      <c r="F484" s="441">
        <v>1.4132092324672697E-2</v>
      </c>
      <c r="G484" s="441">
        <v>1.4949670174594386E-2</v>
      </c>
      <c r="H484" s="441">
        <v>1.5814547003699473E-2</v>
      </c>
      <c r="I484" s="441">
        <v>1.6454864713725644E-2</v>
      </c>
      <c r="J484" s="442"/>
      <c r="K484" s="308"/>
      <c r="L484" s="308"/>
      <c r="M484" s="308"/>
      <c r="N484" s="308"/>
      <c r="O484" s="308"/>
      <c r="P484" s="308"/>
    </row>
    <row r="485" spans="1:16" hidden="1" outlineLevel="1" x14ac:dyDescent="0.3">
      <c r="A485" s="294" t="s">
        <v>6001</v>
      </c>
      <c r="B485" s="294" t="s">
        <v>894</v>
      </c>
      <c r="C485" s="294" t="s">
        <v>781</v>
      </c>
      <c r="D485" s="296">
        <v>1.0999999999999999E-2</v>
      </c>
      <c r="E485" s="441">
        <v>1.1798510230369218E-2</v>
      </c>
      <c r="F485" s="441">
        <v>1.4132092324672697E-2</v>
      </c>
      <c r="G485" s="441">
        <v>1.4949670174594386E-2</v>
      </c>
      <c r="H485" s="441">
        <v>1.5814547003699473E-2</v>
      </c>
      <c r="I485" s="441">
        <v>1.6454864713725644E-2</v>
      </c>
      <c r="J485" s="442"/>
      <c r="K485" s="308"/>
      <c r="L485" s="308"/>
      <c r="M485" s="308"/>
      <c r="N485" s="308"/>
      <c r="O485" s="308"/>
      <c r="P485" s="308"/>
    </row>
    <row r="486" spans="1:16" hidden="1" outlineLevel="1" x14ac:dyDescent="0.3">
      <c r="A486" s="294" t="s">
        <v>6001</v>
      </c>
      <c r="B486" s="294" t="s">
        <v>894</v>
      </c>
      <c r="C486" s="294" t="s">
        <v>783</v>
      </c>
      <c r="D486" s="296">
        <v>1.0999999999999999E-2</v>
      </c>
      <c r="E486" s="441">
        <v>1.1798510230369218E-2</v>
      </c>
      <c r="F486" s="441">
        <v>1.4132092324672697E-2</v>
      </c>
      <c r="G486" s="441">
        <v>1.4949670174594386E-2</v>
      </c>
      <c r="H486" s="441">
        <v>1.5814547003699473E-2</v>
      </c>
      <c r="I486" s="441">
        <v>1.6454864713725644E-2</v>
      </c>
      <c r="J486" s="442"/>
      <c r="K486" s="308"/>
      <c r="L486" s="308"/>
      <c r="M486" s="308"/>
      <c r="N486" s="308"/>
      <c r="O486" s="308"/>
      <c r="P486" s="308"/>
    </row>
    <row r="487" spans="1:16" hidden="1" outlineLevel="1" x14ac:dyDescent="0.3">
      <c r="A487" s="294" t="s">
        <v>6001</v>
      </c>
      <c r="B487" s="294" t="s">
        <v>894</v>
      </c>
      <c r="C487" s="294" t="s">
        <v>785</v>
      </c>
      <c r="D487" s="296">
        <v>1.0999999999999999E-2</v>
      </c>
      <c r="E487" s="441">
        <v>1.1798510230369218E-2</v>
      </c>
      <c r="F487" s="441">
        <v>1.4132092324672697E-2</v>
      </c>
      <c r="G487" s="441">
        <v>1.4949670174594386E-2</v>
      </c>
      <c r="H487" s="441">
        <v>1.5814547003699473E-2</v>
      </c>
      <c r="I487" s="441">
        <v>1.6454864713725644E-2</v>
      </c>
      <c r="J487" s="442"/>
      <c r="K487" s="308"/>
      <c r="L487" s="308"/>
      <c r="M487" s="308"/>
      <c r="N487" s="308"/>
      <c r="O487" s="308"/>
      <c r="P487" s="308"/>
    </row>
    <row r="488" spans="1:16" hidden="1" outlineLevel="1" x14ac:dyDescent="0.3">
      <c r="A488" s="294" t="s">
        <v>6001</v>
      </c>
      <c r="B488" s="294" t="s">
        <v>894</v>
      </c>
      <c r="C488" s="294" t="s">
        <v>787</v>
      </c>
      <c r="D488" s="296">
        <v>1.0999999999999999E-2</v>
      </c>
      <c r="E488" s="441">
        <v>1.1798510230369218E-2</v>
      </c>
      <c r="F488" s="441">
        <v>1.4132092324672697E-2</v>
      </c>
      <c r="G488" s="441">
        <v>1.4949670174594386E-2</v>
      </c>
      <c r="H488" s="441">
        <v>1.5814547003699473E-2</v>
      </c>
      <c r="I488" s="441">
        <v>1.6454864713725644E-2</v>
      </c>
      <c r="J488" s="442"/>
      <c r="K488" s="308"/>
      <c r="L488" s="308"/>
      <c r="M488" s="308"/>
      <c r="N488" s="308"/>
      <c r="O488" s="308"/>
      <c r="P488" s="308"/>
    </row>
    <row r="489" spans="1:16" hidden="1" outlineLevel="1" x14ac:dyDescent="0.3">
      <c r="A489" s="294" t="s">
        <v>6001</v>
      </c>
      <c r="B489" s="294" t="s">
        <v>894</v>
      </c>
      <c r="C489" s="294" t="s">
        <v>788</v>
      </c>
      <c r="D489" s="296">
        <v>1.0999999999999999E-2</v>
      </c>
      <c r="E489" s="441">
        <v>1.1798510230369218E-2</v>
      </c>
      <c r="F489" s="441">
        <v>1.4132092324672697E-2</v>
      </c>
      <c r="G489" s="441">
        <v>1.4949670174594386E-2</v>
      </c>
      <c r="H489" s="441">
        <v>1.5814547003699473E-2</v>
      </c>
      <c r="I489" s="441">
        <v>1.6454864713725644E-2</v>
      </c>
      <c r="J489" s="442"/>
      <c r="K489" s="308"/>
      <c r="L489" s="308"/>
      <c r="M489" s="308"/>
      <c r="N489" s="308"/>
      <c r="O489" s="308"/>
      <c r="P489" s="308"/>
    </row>
    <row r="490" spans="1:16" hidden="1" outlineLevel="1" x14ac:dyDescent="0.3">
      <c r="A490" s="294" t="s">
        <v>6001</v>
      </c>
      <c r="B490" s="294" t="s">
        <v>894</v>
      </c>
      <c r="C490" s="294" t="s">
        <v>789</v>
      </c>
      <c r="D490" s="296">
        <v>1.0999999999999999E-2</v>
      </c>
      <c r="E490" s="441">
        <v>1.1798510230369218E-2</v>
      </c>
      <c r="F490" s="441">
        <v>1.4132092324672697E-2</v>
      </c>
      <c r="G490" s="441">
        <v>1.4949670174594386E-2</v>
      </c>
      <c r="H490" s="441">
        <v>1.5814547003699473E-2</v>
      </c>
      <c r="I490" s="441">
        <v>1.6454864713725644E-2</v>
      </c>
      <c r="J490" s="442"/>
      <c r="K490" s="308"/>
      <c r="L490" s="308"/>
      <c r="M490" s="308"/>
      <c r="N490" s="308"/>
      <c r="O490" s="308"/>
      <c r="P490" s="308"/>
    </row>
    <row r="491" spans="1:16" hidden="1" outlineLevel="1" x14ac:dyDescent="0.3">
      <c r="A491" s="294" t="s">
        <v>6001</v>
      </c>
      <c r="B491" s="294" t="s">
        <v>894</v>
      </c>
      <c r="C491" s="294" t="s">
        <v>790</v>
      </c>
      <c r="D491" s="296">
        <v>1.0999999999999999E-2</v>
      </c>
      <c r="E491" s="441">
        <v>1.1798510230369218E-2</v>
      </c>
      <c r="F491" s="441">
        <v>1.4132092324672697E-2</v>
      </c>
      <c r="G491" s="441">
        <v>1.4949670174594386E-2</v>
      </c>
      <c r="H491" s="441">
        <v>1.5814547003699473E-2</v>
      </c>
      <c r="I491" s="441">
        <v>1.6454864713725644E-2</v>
      </c>
      <c r="J491" s="442"/>
      <c r="K491" s="308"/>
      <c r="L491" s="308"/>
      <c r="M491" s="308"/>
      <c r="N491" s="308"/>
      <c r="O491" s="308"/>
      <c r="P491" s="308"/>
    </row>
    <row r="492" spans="1:16" hidden="1" outlineLevel="1" x14ac:dyDescent="0.3">
      <c r="A492" s="294" t="s">
        <v>6001</v>
      </c>
      <c r="B492" s="294" t="s">
        <v>894</v>
      </c>
      <c r="C492" s="294" t="s">
        <v>793</v>
      </c>
      <c r="D492" s="296">
        <v>1.0999999999999999E-2</v>
      </c>
      <c r="E492" s="441">
        <v>1.1798510230369218E-2</v>
      </c>
      <c r="F492" s="441">
        <v>1.4132092324672697E-2</v>
      </c>
      <c r="G492" s="441">
        <v>1.4949670174594386E-2</v>
      </c>
      <c r="H492" s="441">
        <v>1.5814547003699473E-2</v>
      </c>
      <c r="I492" s="441">
        <v>1.6454864713725644E-2</v>
      </c>
      <c r="J492" s="442"/>
      <c r="K492" s="308"/>
      <c r="L492" s="308"/>
      <c r="M492" s="308"/>
      <c r="N492" s="308"/>
      <c r="O492" s="308"/>
      <c r="P492" s="308"/>
    </row>
    <row r="493" spans="1:16" hidden="1" outlineLevel="1" x14ac:dyDescent="0.3">
      <c r="A493" s="294" t="s">
        <v>6001</v>
      </c>
      <c r="B493" s="294" t="s">
        <v>894</v>
      </c>
      <c r="C493" s="294" t="s">
        <v>795</v>
      </c>
      <c r="D493" s="296">
        <v>1.0999999999999999E-2</v>
      </c>
      <c r="E493" s="441">
        <v>1.1798510230369218E-2</v>
      </c>
      <c r="F493" s="441">
        <v>1.4132092324672697E-2</v>
      </c>
      <c r="G493" s="441">
        <v>1.4949670174594386E-2</v>
      </c>
      <c r="H493" s="441">
        <v>1.5814547003699473E-2</v>
      </c>
      <c r="I493" s="441">
        <v>1.6454864713725644E-2</v>
      </c>
      <c r="J493" s="442"/>
      <c r="K493" s="308"/>
      <c r="L493" s="308"/>
      <c r="M493" s="308"/>
      <c r="N493" s="308"/>
      <c r="O493" s="308"/>
      <c r="P493" s="308"/>
    </row>
    <row r="494" spans="1:16" hidden="1" outlineLevel="1" x14ac:dyDescent="0.3">
      <c r="A494" s="294" t="s">
        <v>6001</v>
      </c>
      <c r="B494" s="294" t="s">
        <v>894</v>
      </c>
      <c r="C494" s="294" t="s">
        <v>797</v>
      </c>
      <c r="D494" s="296">
        <v>1.0999999999999999E-2</v>
      </c>
      <c r="E494" s="441">
        <v>1.1798510230369218E-2</v>
      </c>
      <c r="F494" s="441">
        <v>1.4132092324672697E-2</v>
      </c>
      <c r="G494" s="441">
        <v>1.4949670174594386E-2</v>
      </c>
      <c r="H494" s="441">
        <v>1.5814547003699473E-2</v>
      </c>
      <c r="I494" s="441">
        <v>1.6454864713725644E-2</v>
      </c>
      <c r="J494" s="442"/>
      <c r="K494" s="308"/>
      <c r="L494" s="308"/>
      <c r="M494" s="308"/>
      <c r="N494" s="308"/>
      <c r="O494" s="308"/>
      <c r="P494" s="308"/>
    </row>
    <row r="495" spans="1:16" hidden="1" outlineLevel="1" x14ac:dyDescent="0.3">
      <c r="A495" s="294" t="s">
        <v>6001</v>
      </c>
      <c r="B495" s="294" t="s">
        <v>915</v>
      </c>
      <c r="C495" s="294" t="s">
        <v>799</v>
      </c>
      <c r="D495" s="296">
        <v>1.0999999999999999E-2</v>
      </c>
      <c r="E495" s="441">
        <v>1.1798510230369218E-2</v>
      </c>
      <c r="F495" s="441">
        <v>1.4132092324672697E-2</v>
      </c>
      <c r="G495" s="441">
        <v>1.4949670174594386E-2</v>
      </c>
      <c r="H495" s="441">
        <v>1.5814547003699473E-2</v>
      </c>
      <c r="I495" s="441">
        <v>1.6454864713725644E-2</v>
      </c>
      <c r="J495" s="442"/>
      <c r="K495" s="308"/>
      <c r="L495" s="308"/>
      <c r="M495" s="308"/>
      <c r="N495" s="308"/>
      <c r="O495" s="308"/>
      <c r="P495" s="308"/>
    </row>
    <row r="496" spans="1:16" hidden="1" outlineLevel="1" x14ac:dyDescent="0.3">
      <c r="A496" s="294" t="s">
        <v>6001</v>
      </c>
      <c r="B496" s="294" t="s">
        <v>915</v>
      </c>
      <c r="C496" s="294" t="s">
        <v>801</v>
      </c>
      <c r="D496" s="296">
        <v>1.0999999999999999E-2</v>
      </c>
      <c r="E496" s="441">
        <v>1.1798510230369218E-2</v>
      </c>
      <c r="F496" s="441">
        <v>1.4132092324672697E-2</v>
      </c>
      <c r="G496" s="441">
        <v>1.4949670174594386E-2</v>
      </c>
      <c r="H496" s="441">
        <v>1.5814547003699473E-2</v>
      </c>
      <c r="I496" s="441">
        <v>1.6454864713725644E-2</v>
      </c>
      <c r="J496" s="442"/>
      <c r="K496" s="308"/>
      <c r="L496" s="308"/>
      <c r="M496" s="308"/>
      <c r="N496" s="308"/>
      <c r="O496" s="308"/>
      <c r="P496" s="308"/>
    </row>
    <row r="497" spans="1:16" hidden="1" outlineLevel="1" x14ac:dyDescent="0.3">
      <c r="A497" s="294" t="s">
        <v>6001</v>
      </c>
      <c r="B497" s="294" t="s">
        <v>915</v>
      </c>
      <c r="C497" s="294" t="s">
        <v>804</v>
      </c>
      <c r="D497" s="296">
        <v>1.0999999999999999E-2</v>
      </c>
      <c r="E497" s="441">
        <v>1.1798510230369218E-2</v>
      </c>
      <c r="F497" s="441">
        <v>1.4132092324672697E-2</v>
      </c>
      <c r="G497" s="441">
        <v>1.4949670174594386E-2</v>
      </c>
      <c r="H497" s="441">
        <v>1.5814547003699473E-2</v>
      </c>
      <c r="I497" s="441">
        <v>1.6454864713725644E-2</v>
      </c>
      <c r="J497" s="442"/>
      <c r="K497" s="308"/>
      <c r="L497" s="308"/>
      <c r="M497" s="308"/>
      <c r="N497" s="308"/>
      <c r="O497" s="308"/>
      <c r="P497" s="308"/>
    </row>
    <row r="498" spans="1:16" hidden="1" outlineLevel="1" x14ac:dyDescent="0.3">
      <c r="A498" s="294" t="s">
        <v>6001</v>
      </c>
      <c r="B498" s="294" t="s">
        <v>915</v>
      </c>
      <c r="C498" s="294" t="s">
        <v>806</v>
      </c>
      <c r="D498" s="296">
        <v>1.0999999999999999E-2</v>
      </c>
      <c r="E498" s="441">
        <v>1.1798510230369218E-2</v>
      </c>
      <c r="F498" s="441">
        <v>1.4132092324672697E-2</v>
      </c>
      <c r="G498" s="441">
        <v>1.4949670174594386E-2</v>
      </c>
      <c r="H498" s="441">
        <v>1.5814547003699473E-2</v>
      </c>
      <c r="I498" s="441">
        <v>1.6454864713725644E-2</v>
      </c>
      <c r="J498" s="442"/>
      <c r="K498" s="308"/>
      <c r="L498" s="308"/>
      <c r="M498" s="308"/>
      <c r="N498" s="308"/>
      <c r="O498" s="308"/>
      <c r="P498" s="308"/>
    </row>
    <row r="499" spans="1:16" hidden="1" outlineLevel="1" x14ac:dyDescent="0.3">
      <c r="A499" s="294" t="s">
        <v>6001</v>
      </c>
      <c r="B499" s="294" t="s">
        <v>915</v>
      </c>
      <c r="C499" s="294" t="s">
        <v>808</v>
      </c>
      <c r="D499" s="296">
        <v>1.0999999999999999E-2</v>
      </c>
      <c r="E499" s="441">
        <v>1.1798510230369218E-2</v>
      </c>
      <c r="F499" s="441">
        <v>1.4132092324672697E-2</v>
      </c>
      <c r="G499" s="441">
        <v>1.4949670174594386E-2</v>
      </c>
      <c r="H499" s="441">
        <v>1.5814547003699473E-2</v>
      </c>
      <c r="I499" s="441">
        <v>1.6454864713725644E-2</v>
      </c>
      <c r="J499" s="442"/>
      <c r="K499" s="308"/>
      <c r="L499" s="308"/>
      <c r="M499" s="308"/>
      <c r="N499" s="308"/>
      <c r="O499" s="308"/>
      <c r="P499" s="308"/>
    </row>
    <row r="500" spans="1:16" hidden="1" outlineLevel="1" x14ac:dyDescent="0.3">
      <c r="A500" s="294" t="s">
        <v>6001</v>
      </c>
      <c r="B500" s="294" t="s">
        <v>915</v>
      </c>
      <c r="C500" s="294" t="s">
        <v>811</v>
      </c>
      <c r="D500" s="296">
        <v>1.0999999999999999E-2</v>
      </c>
      <c r="E500" s="441">
        <v>1.1798510230369218E-2</v>
      </c>
      <c r="F500" s="441">
        <v>1.4132092324672697E-2</v>
      </c>
      <c r="G500" s="441">
        <v>1.4949670174594386E-2</v>
      </c>
      <c r="H500" s="441">
        <v>1.5814547003699473E-2</v>
      </c>
      <c r="I500" s="441">
        <v>1.6454864713725644E-2</v>
      </c>
      <c r="J500" s="442"/>
      <c r="K500" s="308"/>
      <c r="L500" s="308"/>
      <c r="M500" s="308"/>
      <c r="N500" s="308"/>
      <c r="O500" s="308"/>
      <c r="P500" s="308"/>
    </row>
    <row r="501" spans="1:16" hidden="1" outlineLevel="1" x14ac:dyDescent="0.3">
      <c r="A501" s="294" t="s">
        <v>6001</v>
      </c>
      <c r="B501" s="294" t="s">
        <v>934</v>
      </c>
      <c r="C501" s="294" t="s">
        <v>814</v>
      </c>
      <c r="D501" s="296">
        <v>1.0999999999999999E-2</v>
      </c>
      <c r="E501" s="441">
        <v>1.1798510230369218E-2</v>
      </c>
      <c r="F501" s="441">
        <v>1.4132092324672697E-2</v>
      </c>
      <c r="G501" s="441">
        <v>1.4949670174594386E-2</v>
      </c>
      <c r="H501" s="441">
        <v>1.5814547003699473E-2</v>
      </c>
      <c r="I501" s="441">
        <v>1.6454864713725644E-2</v>
      </c>
      <c r="J501" s="442"/>
      <c r="K501" s="308"/>
      <c r="L501" s="308"/>
      <c r="M501" s="308"/>
      <c r="N501" s="308"/>
      <c r="O501" s="308"/>
      <c r="P501" s="308"/>
    </row>
    <row r="502" spans="1:16" hidden="1" outlineLevel="1" x14ac:dyDescent="0.3">
      <c r="A502" s="294" t="s">
        <v>6001</v>
      </c>
      <c r="B502" s="294" t="s">
        <v>934</v>
      </c>
      <c r="C502" s="294" t="s">
        <v>815</v>
      </c>
      <c r="D502" s="296">
        <v>1.0999999999999999E-2</v>
      </c>
      <c r="E502" s="441">
        <v>1.0948205045011823E-2</v>
      </c>
      <c r="F502" s="441">
        <v>1.2413154682778149E-2</v>
      </c>
      <c r="G502" s="441">
        <v>1.3270188473650602E-2</v>
      </c>
      <c r="H502" s="441">
        <v>1.4186393920517662E-2</v>
      </c>
      <c r="I502" s="441">
        <v>1.4761425040618326E-2</v>
      </c>
      <c r="J502" s="442"/>
      <c r="K502" s="308"/>
      <c r="L502" s="308"/>
      <c r="M502" s="308"/>
      <c r="N502" s="308"/>
      <c r="O502" s="308"/>
      <c r="P502" s="308"/>
    </row>
    <row r="503" spans="1:16" hidden="1" outlineLevel="1" x14ac:dyDescent="0.3">
      <c r="A503" s="294" t="s">
        <v>6001</v>
      </c>
      <c r="B503" s="294" t="s">
        <v>940</v>
      </c>
      <c r="C503" s="294" t="s">
        <v>817</v>
      </c>
      <c r="D503" s="296">
        <v>1.0999999999999999E-2</v>
      </c>
      <c r="E503" s="441">
        <v>1.0948205045011823E-2</v>
      </c>
      <c r="F503" s="441">
        <v>1.2413154682778149E-2</v>
      </c>
      <c r="G503" s="441">
        <v>1.3270188473650602E-2</v>
      </c>
      <c r="H503" s="441">
        <v>1.4186393920517662E-2</v>
      </c>
      <c r="I503" s="441">
        <v>1.4761425040618326E-2</v>
      </c>
      <c r="J503" s="442"/>
      <c r="K503" s="308"/>
      <c r="L503" s="308"/>
      <c r="M503" s="308"/>
      <c r="N503" s="308"/>
      <c r="O503" s="308"/>
      <c r="P503" s="308"/>
    </row>
    <row r="504" spans="1:16" hidden="1" outlineLevel="1" x14ac:dyDescent="0.3">
      <c r="A504" s="294" t="s">
        <v>6001</v>
      </c>
      <c r="B504" s="294" t="s">
        <v>940</v>
      </c>
      <c r="C504" s="294" t="s">
        <v>944</v>
      </c>
      <c r="D504" s="296">
        <v>1.0999999999999999E-2</v>
      </c>
      <c r="E504" s="441">
        <v>1.0948205045011823E-2</v>
      </c>
      <c r="F504" s="441">
        <v>1.2413154682778149E-2</v>
      </c>
      <c r="G504" s="441">
        <v>1.3270188473650602E-2</v>
      </c>
      <c r="H504" s="441">
        <v>1.4186393920517662E-2</v>
      </c>
      <c r="I504" s="441">
        <v>1.4761425040618326E-2</v>
      </c>
      <c r="J504" s="442"/>
      <c r="K504" s="308"/>
      <c r="L504" s="308"/>
      <c r="M504" s="308"/>
      <c r="N504" s="308"/>
      <c r="O504" s="308"/>
      <c r="P504" s="308"/>
    </row>
    <row r="505" spans="1:16" hidden="1" outlineLevel="1" x14ac:dyDescent="0.3">
      <c r="A505" s="294" t="s">
        <v>6001</v>
      </c>
      <c r="B505" s="294" t="s">
        <v>940</v>
      </c>
      <c r="C505" s="294" t="s">
        <v>821</v>
      </c>
      <c r="D505" s="296">
        <v>1.0999999999999999E-2</v>
      </c>
      <c r="E505" s="441">
        <v>1.0948205045011823E-2</v>
      </c>
      <c r="F505" s="441">
        <v>1.2413154682778149E-2</v>
      </c>
      <c r="G505" s="441">
        <v>1.3270188473650602E-2</v>
      </c>
      <c r="H505" s="441">
        <v>1.4186393920517662E-2</v>
      </c>
      <c r="I505" s="441">
        <v>1.4761425040618326E-2</v>
      </c>
      <c r="J505" s="442"/>
      <c r="K505" s="308"/>
      <c r="L505" s="308"/>
      <c r="M505" s="308"/>
      <c r="N505" s="308"/>
      <c r="O505" s="308"/>
      <c r="P505" s="308"/>
    </row>
    <row r="506" spans="1:16" hidden="1" outlineLevel="1" x14ac:dyDescent="0.3">
      <c r="A506" s="294" t="s">
        <v>6001</v>
      </c>
      <c r="B506" s="294" t="s">
        <v>940</v>
      </c>
      <c r="C506" s="294" t="s">
        <v>823</v>
      </c>
      <c r="D506" s="296">
        <v>1.0999999999999999E-2</v>
      </c>
      <c r="E506" s="441">
        <v>1.0948205045011823E-2</v>
      </c>
      <c r="F506" s="441">
        <v>1.2413154682778149E-2</v>
      </c>
      <c r="G506" s="441">
        <v>1.3270188473650602E-2</v>
      </c>
      <c r="H506" s="441">
        <v>1.4186393920517662E-2</v>
      </c>
      <c r="I506" s="441">
        <v>1.4761425040618326E-2</v>
      </c>
      <c r="J506" s="442"/>
      <c r="K506" s="308"/>
      <c r="L506" s="308"/>
      <c r="M506" s="308"/>
      <c r="N506" s="308"/>
      <c r="O506" s="308"/>
      <c r="P506" s="308"/>
    </row>
    <row r="507" spans="1:16" hidden="1" outlineLevel="1" x14ac:dyDescent="0.3">
      <c r="A507" s="294" t="s">
        <v>6001</v>
      </c>
      <c r="B507" s="294" t="s">
        <v>940</v>
      </c>
      <c r="C507" s="294" t="s">
        <v>825</v>
      </c>
      <c r="D507" s="296">
        <v>1.0999999999999999E-2</v>
      </c>
      <c r="E507" s="441">
        <v>1.0948205045011823E-2</v>
      </c>
      <c r="F507" s="441">
        <v>1.2413154682778149E-2</v>
      </c>
      <c r="G507" s="441">
        <v>1.3270188473650602E-2</v>
      </c>
      <c r="H507" s="441">
        <v>1.4186393920517662E-2</v>
      </c>
      <c r="I507" s="441">
        <v>1.4761425040618326E-2</v>
      </c>
      <c r="J507" s="442"/>
      <c r="K507" s="308"/>
      <c r="L507" s="308"/>
      <c r="M507" s="308"/>
      <c r="N507" s="308"/>
      <c r="O507" s="308"/>
      <c r="P507" s="308"/>
    </row>
    <row r="508" spans="1:16" hidden="1" outlineLevel="1" x14ac:dyDescent="0.3">
      <c r="A508" s="294" t="s">
        <v>6001</v>
      </c>
      <c r="B508" s="294" t="s">
        <v>940</v>
      </c>
      <c r="C508" s="294" t="s">
        <v>827</v>
      </c>
      <c r="D508" s="296">
        <v>1.0999999999999999E-2</v>
      </c>
      <c r="E508" s="441">
        <v>1.0948205045011823E-2</v>
      </c>
      <c r="F508" s="441">
        <v>1.2413154682778149E-2</v>
      </c>
      <c r="G508" s="441">
        <v>1.3270188473650602E-2</v>
      </c>
      <c r="H508" s="441">
        <v>1.4186393920517662E-2</v>
      </c>
      <c r="I508" s="441">
        <v>1.4761425040618326E-2</v>
      </c>
      <c r="J508" s="442"/>
      <c r="K508" s="308"/>
      <c r="L508" s="308"/>
      <c r="M508" s="308"/>
      <c r="N508" s="308"/>
      <c r="O508" s="308"/>
      <c r="P508" s="308"/>
    </row>
    <row r="509" spans="1:16" hidden="1" outlineLevel="1" x14ac:dyDescent="0.3">
      <c r="A509" s="294" t="s">
        <v>6001</v>
      </c>
      <c r="B509" s="294" t="s">
        <v>940</v>
      </c>
      <c r="C509" s="294" t="s">
        <v>829</v>
      </c>
      <c r="D509" s="296">
        <v>1.0999999999999999E-2</v>
      </c>
      <c r="E509" s="441">
        <v>1.0948205045011823E-2</v>
      </c>
      <c r="F509" s="441">
        <v>1.2413154682778149E-2</v>
      </c>
      <c r="G509" s="441">
        <v>1.3270188473650602E-2</v>
      </c>
      <c r="H509" s="441">
        <v>1.4186393920517662E-2</v>
      </c>
      <c r="I509" s="441">
        <v>1.4761425040618326E-2</v>
      </c>
      <c r="J509" s="442"/>
      <c r="K509" s="308"/>
      <c r="L509" s="308"/>
      <c r="M509" s="308"/>
      <c r="N509" s="308"/>
      <c r="O509" s="308"/>
      <c r="P509" s="308"/>
    </row>
    <row r="510" spans="1:16" hidden="1" outlineLevel="1" x14ac:dyDescent="0.3">
      <c r="A510" s="294" t="s">
        <v>6001</v>
      </c>
      <c r="B510" s="294" t="s">
        <v>940</v>
      </c>
      <c r="C510" s="294" t="s">
        <v>833</v>
      </c>
      <c r="D510" s="296">
        <v>1.0999999999999999E-2</v>
      </c>
      <c r="E510" s="441">
        <v>1.0948205045011823E-2</v>
      </c>
      <c r="F510" s="441">
        <v>1.2413154682778149E-2</v>
      </c>
      <c r="G510" s="441">
        <v>1.3270188473650602E-2</v>
      </c>
      <c r="H510" s="441">
        <v>1.4186393920517662E-2</v>
      </c>
      <c r="I510" s="441">
        <v>1.4761425040618326E-2</v>
      </c>
      <c r="J510" s="442"/>
      <c r="K510" s="308"/>
      <c r="L510" s="308"/>
      <c r="M510" s="308"/>
      <c r="N510" s="308"/>
      <c r="O510" s="308"/>
      <c r="P510" s="308"/>
    </row>
    <row r="511" spans="1:16" hidden="1" outlineLevel="1" x14ac:dyDescent="0.3">
      <c r="A511" s="294" t="s">
        <v>6001</v>
      </c>
      <c r="B511" s="294" t="s">
        <v>940</v>
      </c>
      <c r="C511" s="294" t="s">
        <v>836</v>
      </c>
      <c r="D511" s="296">
        <v>1.0999999999999999E-2</v>
      </c>
      <c r="E511" s="441">
        <v>1.0948205045011823E-2</v>
      </c>
      <c r="F511" s="441">
        <v>1.2413154682778149E-2</v>
      </c>
      <c r="G511" s="441">
        <v>1.3270188473650602E-2</v>
      </c>
      <c r="H511" s="441">
        <v>1.4186393920517662E-2</v>
      </c>
      <c r="I511" s="441">
        <v>1.4761425040618326E-2</v>
      </c>
      <c r="J511" s="442"/>
      <c r="K511" s="308"/>
      <c r="L511" s="308"/>
      <c r="M511" s="308"/>
      <c r="N511" s="308"/>
      <c r="O511" s="308"/>
      <c r="P511" s="308"/>
    </row>
    <row r="512" spans="1:16" hidden="1" outlineLevel="1" x14ac:dyDescent="0.3">
      <c r="A512" s="294" t="s">
        <v>6001</v>
      </c>
      <c r="B512" s="294" t="s">
        <v>940</v>
      </c>
      <c r="C512" s="294" t="s">
        <v>837</v>
      </c>
      <c r="D512" s="296">
        <v>1.0999999999999999E-2</v>
      </c>
      <c r="E512" s="441">
        <v>1.0948205045011823E-2</v>
      </c>
      <c r="F512" s="441">
        <v>1.2413154682778149E-2</v>
      </c>
      <c r="G512" s="441">
        <v>1.3270188473650602E-2</v>
      </c>
      <c r="H512" s="441">
        <v>1.4186393920517662E-2</v>
      </c>
      <c r="I512" s="441">
        <v>1.4761425040618326E-2</v>
      </c>
      <c r="J512" s="442"/>
      <c r="K512" s="308"/>
      <c r="L512" s="308"/>
      <c r="M512" s="308"/>
      <c r="N512" s="308"/>
      <c r="O512" s="308"/>
      <c r="P512" s="308"/>
    </row>
    <row r="513" spans="1:16" hidden="1" outlineLevel="1" x14ac:dyDescent="0.3">
      <c r="A513" s="294" t="s">
        <v>6001</v>
      </c>
      <c r="B513" s="294" t="s">
        <v>940</v>
      </c>
      <c r="C513" s="294" t="s">
        <v>839</v>
      </c>
      <c r="D513" s="296">
        <v>1.0999999999999999E-2</v>
      </c>
      <c r="E513" s="441">
        <v>1.0948205045011823E-2</v>
      </c>
      <c r="F513" s="441">
        <v>1.2413154682778149E-2</v>
      </c>
      <c r="G513" s="441">
        <v>1.3270188473650602E-2</v>
      </c>
      <c r="H513" s="441">
        <v>1.4186393920517662E-2</v>
      </c>
      <c r="I513" s="441">
        <v>1.4761425040618326E-2</v>
      </c>
      <c r="J513" s="442"/>
      <c r="K513" s="308"/>
      <c r="L513" s="308"/>
      <c r="M513" s="308"/>
      <c r="N513" s="308"/>
      <c r="O513" s="308"/>
      <c r="P513" s="308"/>
    </row>
    <row r="514" spans="1:16" hidden="1" outlineLevel="1" x14ac:dyDescent="0.3">
      <c r="A514" s="294" t="s">
        <v>6001</v>
      </c>
      <c r="B514" s="294" t="s">
        <v>940</v>
      </c>
      <c r="C514" s="294" t="s">
        <v>840</v>
      </c>
      <c r="D514" s="296">
        <v>1.0999999999999999E-2</v>
      </c>
      <c r="E514" s="441">
        <v>1.0948205045011823E-2</v>
      </c>
      <c r="F514" s="441">
        <v>1.2413154682778149E-2</v>
      </c>
      <c r="G514" s="441">
        <v>1.3270188473650602E-2</v>
      </c>
      <c r="H514" s="441">
        <v>1.4186393920517662E-2</v>
      </c>
      <c r="I514" s="441">
        <v>1.4761425040618326E-2</v>
      </c>
      <c r="J514" s="442"/>
      <c r="K514" s="308"/>
      <c r="L514" s="308"/>
      <c r="M514" s="308"/>
      <c r="N514" s="308"/>
      <c r="O514" s="308"/>
      <c r="P514" s="308"/>
    </row>
    <row r="515" spans="1:16" collapsed="1" x14ac:dyDescent="0.3">
      <c r="A515" s="294"/>
      <c r="B515" s="294"/>
      <c r="C515" s="293"/>
      <c r="D515" s="295"/>
      <c r="E515" s="295"/>
      <c r="F515" s="294"/>
      <c r="G515" s="294"/>
      <c r="H515" s="294"/>
      <c r="I515" s="294"/>
      <c r="J515" s="294"/>
      <c r="K515" s="308"/>
      <c r="L515" s="308"/>
      <c r="M515" s="308"/>
      <c r="N515" s="308"/>
      <c r="O515" s="308"/>
      <c r="P515" s="308"/>
    </row>
    <row r="516" spans="1:16" x14ac:dyDescent="0.3">
      <c r="A516" s="293" t="s">
        <v>6002</v>
      </c>
      <c r="B516" s="58"/>
      <c r="C516" s="298" t="s">
        <v>4032</v>
      </c>
      <c r="D516" s="296">
        <v>-9.6599999999999991E-2</v>
      </c>
      <c r="E516" s="296">
        <v>-0.10135483835758105</v>
      </c>
      <c r="F516" s="296">
        <v>-0.11954174039647845</v>
      </c>
      <c r="G516" s="296">
        <v>-0.12682631469595124</v>
      </c>
      <c r="H516" s="296">
        <v>-0.13455778161122003</v>
      </c>
      <c r="I516" s="296">
        <v>-0.14000760149341512</v>
      </c>
      <c r="J516" s="293"/>
      <c r="K516" s="308"/>
      <c r="L516" s="308"/>
      <c r="M516" s="308"/>
      <c r="N516" s="308"/>
      <c r="O516" s="308"/>
      <c r="P516" s="308"/>
    </row>
    <row r="517" spans="1:16" x14ac:dyDescent="0.3">
      <c r="A517" s="297" t="s">
        <v>5</v>
      </c>
      <c r="B517" s="297" t="s">
        <v>847</v>
      </c>
      <c r="C517" s="297" t="s">
        <v>193</v>
      </c>
      <c r="D517" s="297">
        <v>2022</v>
      </c>
      <c r="E517" s="297">
        <v>2025</v>
      </c>
      <c r="F517" s="297">
        <v>2030</v>
      </c>
      <c r="G517" s="297">
        <v>2035</v>
      </c>
      <c r="H517" s="297">
        <v>2040</v>
      </c>
      <c r="I517" s="297">
        <v>2045</v>
      </c>
      <c r="J517" s="297" t="s">
        <v>153</v>
      </c>
      <c r="K517" s="308"/>
      <c r="L517" s="308"/>
      <c r="M517" s="308"/>
      <c r="N517" s="308"/>
      <c r="O517" s="308"/>
      <c r="P517" s="308"/>
    </row>
    <row r="518" spans="1:16" hidden="1" outlineLevel="1" x14ac:dyDescent="0.3">
      <c r="A518" s="294" t="s">
        <v>6002</v>
      </c>
      <c r="B518" s="294" t="s">
        <v>855</v>
      </c>
      <c r="C518" s="294" t="s">
        <v>747</v>
      </c>
      <c r="D518" s="296">
        <v>-9.6600000000000005E-2</v>
      </c>
      <c r="E518" s="441">
        <v>-0.10361237165942425</v>
      </c>
      <c r="F518" s="441">
        <v>-0.12410546532394388</v>
      </c>
      <c r="G518" s="441">
        <v>-0.13128528535143799</v>
      </c>
      <c r="H518" s="441">
        <v>-0.13888047641430631</v>
      </c>
      <c r="I518" s="441">
        <v>-0.14450363012235432</v>
      </c>
      <c r="J518" s="294"/>
      <c r="K518" s="308"/>
      <c r="L518" s="308"/>
      <c r="M518" s="308"/>
      <c r="N518" s="308"/>
      <c r="O518" s="308"/>
      <c r="P518" s="308"/>
    </row>
    <row r="519" spans="1:16" hidden="1" outlineLevel="1" x14ac:dyDescent="0.3">
      <c r="A519" s="294" t="s">
        <v>6002</v>
      </c>
      <c r="B519" s="294" t="s">
        <v>855</v>
      </c>
      <c r="C519" s="294" t="s">
        <v>751</v>
      </c>
      <c r="D519" s="296">
        <v>-9.6600000000000005E-2</v>
      </c>
      <c r="E519" s="441">
        <v>-0.10361237165942425</v>
      </c>
      <c r="F519" s="441">
        <v>-0.12410546532394388</v>
      </c>
      <c r="G519" s="441">
        <v>-0.13128528535143799</v>
      </c>
      <c r="H519" s="441">
        <v>-0.13888047641430631</v>
      </c>
      <c r="I519" s="441">
        <v>-0.14450363012235432</v>
      </c>
      <c r="J519" s="294"/>
      <c r="K519" s="308"/>
      <c r="L519" s="308"/>
      <c r="M519" s="308"/>
      <c r="N519" s="308"/>
      <c r="O519" s="308"/>
      <c r="P519" s="308"/>
    </row>
    <row r="520" spans="1:16" hidden="1" outlineLevel="1" x14ac:dyDescent="0.3">
      <c r="A520" s="294" t="s">
        <v>6002</v>
      </c>
      <c r="B520" s="294" t="s">
        <v>855</v>
      </c>
      <c r="C520" s="294" t="s">
        <v>755</v>
      </c>
      <c r="D520" s="296">
        <v>-9.6600000000000005E-2</v>
      </c>
      <c r="E520" s="441">
        <v>-0.10361237165942425</v>
      </c>
      <c r="F520" s="441">
        <v>-0.12410546532394388</v>
      </c>
      <c r="G520" s="441">
        <v>-0.13128528535143799</v>
      </c>
      <c r="H520" s="441">
        <v>-0.13888047641430631</v>
      </c>
      <c r="I520" s="441">
        <v>-0.14450363012235432</v>
      </c>
      <c r="J520" s="294"/>
      <c r="K520" s="308"/>
      <c r="L520" s="308"/>
      <c r="M520" s="308"/>
      <c r="N520" s="308"/>
      <c r="O520" s="308"/>
      <c r="P520" s="308"/>
    </row>
    <row r="521" spans="1:16" hidden="1" outlineLevel="1" x14ac:dyDescent="0.3">
      <c r="A521" s="294" t="s">
        <v>6002</v>
      </c>
      <c r="B521" s="294" t="s">
        <v>855</v>
      </c>
      <c r="C521" s="294" t="s">
        <v>758</v>
      </c>
      <c r="D521" s="296">
        <v>-9.6600000000000005E-2</v>
      </c>
      <c r="E521" s="441">
        <v>-0.10361237165942425</v>
      </c>
      <c r="F521" s="441">
        <v>-0.12410546532394388</v>
      </c>
      <c r="G521" s="441">
        <v>-0.13128528535143799</v>
      </c>
      <c r="H521" s="441">
        <v>-0.13888047641430631</v>
      </c>
      <c r="I521" s="441">
        <v>-0.14450363012235432</v>
      </c>
      <c r="J521" s="294"/>
      <c r="K521" s="308"/>
      <c r="L521" s="308"/>
      <c r="M521" s="308"/>
      <c r="N521" s="308"/>
      <c r="O521" s="308"/>
      <c r="P521" s="308"/>
    </row>
    <row r="522" spans="1:16" hidden="1" outlineLevel="1" x14ac:dyDescent="0.3">
      <c r="A522" s="294" t="s">
        <v>6002</v>
      </c>
      <c r="B522" s="294" t="s">
        <v>855</v>
      </c>
      <c r="C522" s="294" t="s">
        <v>761</v>
      </c>
      <c r="D522" s="296">
        <v>-9.6600000000000005E-2</v>
      </c>
      <c r="E522" s="441">
        <v>-0.10361237165942425</v>
      </c>
      <c r="F522" s="441">
        <v>-0.12410546532394388</v>
      </c>
      <c r="G522" s="441">
        <v>-0.13128528535143799</v>
      </c>
      <c r="H522" s="441">
        <v>-0.13888047641430631</v>
      </c>
      <c r="I522" s="441">
        <v>-0.14450363012235432</v>
      </c>
      <c r="J522" s="294"/>
      <c r="K522" s="308"/>
      <c r="L522" s="308"/>
      <c r="M522" s="308"/>
      <c r="N522" s="308"/>
      <c r="O522" s="308"/>
      <c r="P522" s="308"/>
    </row>
    <row r="523" spans="1:16" hidden="1" outlineLevel="1" x14ac:dyDescent="0.3">
      <c r="A523" s="294" t="s">
        <v>6002</v>
      </c>
      <c r="B523" s="294" t="s">
        <v>855</v>
      </c>
      <c r="C523" s="294" t="s">
        <v>763</v>
      </c>
      <c r="D523" s="296">
        <v>-9.6600000000000005E-2</v>
      </c>
      <c r="E523" s="441">
        <v>-0.10361237165942425</v>
      </c>
      <c r="F523" s="441">
        <v>-0.12410546532394388</v>
      </c>
      <c r="G523" s="441">
        <v>-0.13128528535143799</v>
      </c>
      <c r="H523" s="441">
        <v>-0.13888047641430631</v>
      </c>
      <c r="I523" s="441">
        <v>-0.14450363012235432</v>
      </c>
      <c r="J523" s="294"/>
      <c r="K523" s="308"/>
      <c r="L523" s="308"/>
      <c r="M523" s="308"/>
      <c r="N523" s="308"/>
      <c r="O523" s="308"/>
      <c r="P523" s="308"/>
    </row>
    <row r="524" spans="1:16" hidden="1" outlineLevel="1" x14ac:dyDescent="0.3">
      <c r="A524" s="294" t="s">
        <v>6002</v>
      </c>
      <c r="B524" s="294" t="s">
        <v>855</v>
      </c>
      <c r="C524" s="294" t="s">
        <v>765</v>
      </c>
      <c r="D524" s="296">
        <v>-9.6600000000000005E-2</v>
      </c>
      <c r="E524" s="441">
        <v>-0.10361237165942425</v>
      </c>
      <c r="F524" s="441">
        <v>-0.12410546532394388</v>
      </c>
      <c r="G524" s="441">
        <v>-0.13128528535143799</v>
      </c>
      <c r="H524" s="441">
        <v>-0.13888047641430631</v>
      </c>
      <c r="I524" s="441">
        <v>-0.14450363012235432</v>
      </c>
      <c r="J524" s="294"/>
      <c r="K524" s="308"/>
      <c r="L524" s="308"/>
      <c r="M524" s="308"/>
      <c r="N524" s="308"/>
      <c r="O524" s="308"/>
      <c r="P524" s="308"/>
    </row>
    <row r="525" spans="1:16" hidden="1" outlineLevel="1" x14ac:dyDescent="0.3">
      <c r="A525" s="294" t="s">
        <v>6002</v>
      </c>
      <c r="B525" s="294" t="s">
        <v>855</v>
      </c>
      <c r="C525" s="294" t="s">
        <v>768</v>
      </c>
      <c r="D525" s="296">
        <v>-9.6600000000000005E-2</v>
      </c>
      <c r="E525" s="441">
        <v>-0.10361237165942425</v>
      </c>
      <c r="F525" s="441">
        <v>-0.12410546532394388</v>
      </c>
      <c r="G525" s="441">
        <v>-0.13128528535143799</v>
      </c>
      <c r="H525" s="441">
        <v>-0.13888047641430631</v>
      </c>
      <c r="I525" s="441">
        <v>-0.14450363012235432</v>
      </c>
      <c r="J525" s="294"/>
      <c r="K525" s="308"/>
      <c r="L525" s="308"/>
      <c r="M525" s="308"/>
      <c r="N525" s="308"/>
      <c r="O525" s="308"/>
      <c r="P525" s="308"/>
    </row>
    <row r="526" spans="1:16" hidden="1" outlineLevel="1" x14ac:dyDescent="0.3">
      <c r="A526" s="294" t="s">
        <v>6002</v>
      </c>
      <c r="B526" s="294" t="s">
        <v>855</v>
      </c>
      <c r="C526" s="294" t="s">
        <v>771</v>
      </c>
      <c r="D526" s="296">
        <v>-9.6600000000000005E-2</v>
      </c>
      <c r="E526" s="441">
        <v>-0.10361237165942425</v>
      </c>
      <c r="F526" s="441">
        <v>-0.12410546532394388</v>
      </c>
      <c r="G526" s="441">
        <v>-0.13128528535143799</v>
      </c>
      <c r="H526" s="441">
        <v>-0.13888047641430631</v>
      </c>
      <c r="I526" s="441">
        <v>-0.14450363012235432</v>
      </c>
      <c r="J526" s="294"/>
      <c r="K526" s="308"/>
      <c r="L526" s="308"/>
      <c r="M526" s="308"/>
      <c r="N526" s="308"/>
      <c r="O526" s="308"/>
      <c r="P526" s="308"/>
    </row>
    <row r="527" spans="1:16" hidden="1" outlineLevel="1" x14ac:dyDescent="0.3">
      <c r="A527" s="294" t="s">
        <v>6002</v>
      </c>
      <c r="B527" s="294" t="s">
        <v>855</v>
      </c>
      <c r="C527" s="294" t="s">
        <v>772</v>
      </c>
      <c r="D527" s="296">
        <v>-9.6600000000000005E-2</v>
      </c>
      <c r="E527" s="441">
        <v>-0.10361237165942425</v>
      </c>
      <c r="F527" s="441">
        <v>-0.12410546532394388</v>
      </c>
      <c r="G527" s="441">
        <v>-0.13128528535143799</v>
      </c>
      <c r="H527" s="441">
        <v>-0.13888047641430631</v>
      </c>
      <c r="I527" s="441">
        <v>-0.14450363012235432</v>
      </c>
      <c r="J527" s="294"/>
      <c r="K527" s="308"/>
      <c r="L527" s="308"/>
      <c r="M527" s="308"/>
      <c r="N527" s="308"/>
      <c r="O527" s="308"/>
      <c r="P527" s="308"/>
    </row>
    <row r="528" spans="1:16" hidden="1" outlineLevel="1" x14ac:dyDescent="0.3">
      <c r="A528" s="294" t="s">
        <v>6002</v>
      </c>
      <c r="B528" s="294" t="s">
        <v>855</v>
      </c>
      <c r="C528" s="294" t="s">
        <v>774</v>
      </c>
      <c r="D528" s="296">
        <v>-9.6600000000000005E-2</v>
      </c>
      <c r="E528" s="441">
        <v>-0.10361237165942425</v>
      </c>
      <c r="F528" s="441">
        <v>-0.12410546532394388</v>
      </c>
      <c r="G528" s="441">
        <v>-0.13128528535143799</v>
      </c>
      <c r="H528" s="441">
        <v>-0.13888047641430631</v>
      </c>
      <c r="I528" s="441">
        <v>-0.14450363012235432</v>
      </c>
      <c r="J528" s="294"/>
      <c r="K528" s="308"/>
      <c r="L528" s="308"/>
      <c r="M528" s="308"/>
      <c r="N528" s="308"/>
      <c r="O528" s="308"/>
      <c r="P528" s="308"/>
    </row>
    <row r="529" spans="1:16" hidden="1" outlineLevel="1" x14ac:dyDescent="0.3">
      <c r="A529" s="294" t="s">
        <v>6002</v>
      </c>
      <c r="B529" s="294" t="s">
        <v>855</v>
      </c>
      <c r="C529" s="294" t="s">
        <v>775</v>
      </c>
      <c r="D529" s="296">
        <v>-9.6600000000000005E-2</v>
      </c>
      <c r="E529" s="441">
        <v>-0.10361237165942425</v>
      </c>
      <c r="F529" s="441">
        <v>-0.12410546532394388</v>
      </c>
      <c r="G529" s="441">
        <v>-0.13128528535143799</v>
      </c>
      <c r="H529" s="441">
        <v>-0.13888047641430631</v>
      </c>
      <c r="I529" s="441">
        <v>-0.14450363012235432</v>
      </c>
      <c r="J529" s="294"/>
      <c r="K529" s="308"/>
      <c r="L529" s="308"/>
      <c r="M529" s="308"/>
      <c r="N529" s="308"/>
      <c r="O529" s="308"/>
      <c r="P529" s="308"/>
    </row>
    <row r="530" spans="1:16" hidden="1" outlineLevel="1" x14ac:dyDescent="0.3">
      <c r="A530" s="294" t="s">
        <v>6002</v>
      </c>
      <c r="B530" s="294" t="s">
        <v>855</v>
      </c>
      <c r="C530" s="294" t="s">
        <v>779</v>
      </c>
      <c r="D530" s="296">
        <v>-9.6600000000000005E-2</v>
      </c>
      <c r="E530" s="441">
        <v>-0.10361237165942425</v>
      </c>
      <c r="F530" s="441">
        <v>-0.12410546532394388</v>
      </c>
      <c r="G530" s="441">
        <v>-0.13128528535143799</v>
      </c>
      <c r="H530" s="441">
        <v>-0.13888047641430631</v>
      </c>
      <c r="I530" s="441">
        <v>-0.14450363012235432</v>
      </c>
      <c r="J530" s="294"/>
      <c r="K530" s="308"/>
      <c r="L530" s="308"/>
      <c r="M530" s="308"/>
      <c r="N530" s="308"/>
      <c r="O530" s="308"/>
      <c r="P530" s="308"/>
    </row>
    <row r="531" spans="1:16" hidden="1" outlineLevel="1" x14ac:dyDescent="0.3">
      <c r="A531" s="294" t="s">
        <v>6002</v>
      </c>
      <c r="B531" s="294" t="s">
        <v>894</v>
      </c>
      <c r="C531" s="294" t="s">
        <v>781</v>
      </c>
      <c r="D531" s="296">
        <v>-9.6600000000000005E-2</v>
      </c>
      <c r="E531" s="441">
        <v>-0.10361237165942425</v>
      </c>
      <c r="F531" s="441">
        <v>-0.12410546532394388</v>
      </c>
      <c r="G531" s="441">
        <v>-0.13128528535143799</v>
      </c>
      <c r="H531" s="441">
        <v>-0.13888047641430631</v>
      </c>
      <c r="I531" s="441">
        <v>-0.14450363012235432</v>
      </c>
      <c r="J531" s="294"/>
      <c r="K531" s="308"/>
      <c r="L531" s="308"/>
      <c r="M531" s="308"/>
      <c r="N531" s="308"/>
      <c r="O531" s="308"/>
      <c r="P531" s="308"/>
    </row>
    <row r="532" spans="1:16" hidden="1" outlineLevel="1" x14ac:dyDescent="0.3">
      <c r="A532" s="294" t="s">
        <v>6002</v>
      </c>
      <c r="B532" s="294" t="s">
        <v>894</v>
      </c>
      <c r="C532" s="294" t="s">
        <v>783</v>
      </c>
      <c r="D532" s="296">
        <v>-9.6600000000000005E-2</v>
      </c>
      <c r="E532" s="441">
        <v>-0.10361237165942425</v>
      </c>
      <c r="F532" s="441">
        <v>-0.12410546532394388</v>
      </c>
      <c r="G532" s="441">
        <v>-0.13128528535143799</v>
      </c>
      <c r="H532" s="441">
        <v>-0.13888047641430631</v>
      </c>
      <c r="I532" s="441">
        <v>-0.14450363012235432</v>
      </c>
      <c r="J532" s="294"/>
      <c r="K532" s="308"/>
      <c r="L532" s="308"/>
      <c r="M532" s="308"/>
      <c r="N532" s="308"/>
      <c r="O532" s="308"/>
      <c r="P532" s="308"/>
    </row>
    <row r="533" spans="1:16" hidden="1" outlineLevel="1" x14ac:dyDescent="0.3">
      <c r="A533" s="294" t="s">
        <v>6002</v>
      </c>
      <c r="B533" s="294" t="s">
        <v>894</v>
      </c>
      <c r="C533" s="294" t="s">
        <v>785</v>
      </c>
      <c r="D533" s="296">
        <v>-9.6600000000000005E-2</v>
      </c>
      <c r="E533" s="441">
        <v>-0.10361237165942425</v>
      </c>
      <c r="F533" s="441">
        <v>-0.12410546532394388</v>
      </c>
      <c r="G533" s="441">
        <v>-0.13128528535143799</v>
      </c>
      <c r="H533" s="441">
        <v>-0.13888047641430631</v>
      </c>
      <c r="I533" s="441">
        <v>-0.14450363012235432</v>
      </c>
      <c r="J533" s="294"/>
      <c r="K533" s="308"/>
      <c r="L533" s="308"/>
      <c r="M533" s="308"/>
      <c r="N533" s="308"/>
      <c r="O533" s="308"/>
      <c r="P533" s="308"/>
    </row>
    <row r="534" spans="1:16" hidden="1" outlineLevel="1" x14ac:dyDescent="0.3">
      <c r="A534" s="294" t="s">
        <v>6002</v>
      </c>
      <c r="B534" s="294" t="s">
        <v>894</v>
      </c>
      <c r="C534" s="294" t="s">
        <v>787</v>
      </c>
      <c r="D534" s="296">
        <v>-9.6600000000000005E-2</v>
      </c>
      <c r="E534" s="441">
        <v>-0.10361237165942425</v>
      </c>
      <c r="F534" s="441">
        <v>-0.12410546532394388</v>
      </c>
      <c r="G534" s="441">
        <v>-0.13128528535143799</v>
      </c>
      <c r="H534" s="441">
        <v>-0.13888047641430631</v>
      </c>
      <c r="I534" s="441">
        <v>-0.14450363012235432</v>
      </c>
      <c r="J534" s="294"/>
      <c r="K534" s="308"/>
      <c r="L534" s="308"/>
      <c r="M534" s="308"/>
      <c r="N534" s="308"/>
      <c r="O534" s="308"/>
      <c r="P534" s="308"/>
    </row>
    <row r="535" spans="1:16" hidden="1" outlineLevel="1" x14ac:dyDescent="0.3">
      <c r="A535" s="294" t="s">
        <v>6002</v>
      </c>
      <c r="B535" s="294" t="s">
        <v>894</v>
      </c>
      <c r="C535" s="294" t="s">
        <v>788</v>
      </c>
      <c r="D535" s="296">
        <v>-9.6600000000000005E-2</v>
      </c>
      <c r="E535" s="441">
        <v>-0.10361237165942425</v>
      </c>
      <c r="F535" s="441">
        <v>-0.12410546532394388</v>
      </c>
      <c r="G535" s="441">
        <v>-0.13128528535143799</v>
      </c>
      <c r="H535" s="441">
        <v>-0.13888047641430631</v>
      </c>
      <c r="I535" s="441">
        <v>-0.14450363012235432</v>
      </c>
      <c r="J535" s="294"/>
      <c r="K535" s="308"/>
      <c r="L535" s="308"/>
      <c r="M535" s="308"/>
      <c r="N535" s="308"/>
      <c r="O535" s="308"/>
      <c r="P535" s="308"/>
    </row>
    <row r="536" spans="1:16" hidden="1" outlineLevel="1" x14ac:dyDescent="0.3">
      <c r="A536" s="294" t="s">
        <v>6002</v>
      </c>
      <c r="B536" s="294" t="s">
        <v>894</v>
      </c>
      <c r="C536" s="294" t="s">
        <v>789</v>
      </c>
      <c r="D536" s="296">
        <v>-9.6600000000000005E-2</v>
      </c>
      <c r="E536" s="441">
        <v>-0.10361237165942425</v>
      </c>
      <c r="F536" s="441">
        <v>-0.12410546532394388</v>
      </c>
      <c r="G536" s="441">
        <v>-0.13128528535143799</v>
      </c>
      <c r="H536" s="441">
        <v>-0.13888047641430631</v>
      </c>
      <c r="I536" s="441">
        <v>-0.14450363012235432</v>
      </c>
      <c r="J536" s="294"/>
      <c r="K536" s="308"/>
      <c r="L536" s="308"/>
      <c r="M536" s="308"/>
      <c r="N536" s="308"/>
      <c r="O536" s="308"/>
      <c r="P536" s="308"/>
    </row>
    <row r="537" spans="1:16" hidden="1" outlineLevel="1" x14ac:dyDescent="0.3">
      <c r="A537" s="294" t="s">
        <v>6002</v>
      </c>
      <c r="B537" s="294" t="s">
        <v>894</v>
      </c>
      <c r="C537" s="294" t="s">
        <v>790</v>
      </c>
      <c r="D537" s="296">
        <v>-9.6600000000000005E-2</v>
      </c>
      <c r="E537" s="441">
        <v>-0.10361237165942425</v>
      </c>
      <c r="F537" s="441">
        <v>-0.12410546532394388</v>
      </c>
      <c r="G537" s="441">
        <v>-0.13128528535143799</v>
      </c>
      <c r="H537" s="441">
        <v>-0.13888047641430631</v>
      </c>
      <c r="I537" s="441">
        <v>-0.14450363012235432</v>
      </c>
      <c r="J537" s="294"/>
      <c r="K537" s="308"/>
      <c r="L537" s="308"/>
      <c r="M537" s="308"/>
      <c r="N537" s="308"/>
      <c r="O537" s="308"/>
      <c r="P537" s="308"/>
    </row>
    <row r="538" spans="1:16" hidden="1" outlineLevel="1" x14ac:dyDescent="0.3">
      <c r="A538" s="294" t="s">
        <v>6002</v>
      </c>
      <c r="B538" s="294" t="s">
        <v>894</v>
      </c>
      <c r="C538" s="294" t="s">
        <v>793</v>
      </c>
      <c r="D538" s="296">
        <v>-9.6600000000000005E-2</v>
      </c>
      <c r="E538" s="441">
        <v>-0.10361237165942425</v>
      </c>
      <c r="F538" s="441">
        <v>-0.12410546532394388</v>
      </c>
      <c r="G538" s="441">
        <v>-0.13128528535143799</v>
      </c>
      <c r="H538" s="441">
        <v>-0.13888047641430631</v>
      </c>
      <c r="I538" s="441">
        <v>-0.14450363012235432</v>
      </c>
      <c r="J538" s="294"/>
      <c r="K538" s="308"/>
      <c r="L538" s="308"/>
      <c r="M538" s="308"/>
      <c r="N538" s="308"/>
      <c r="O538" s="308"/>
      <c r="P538" s="308"/>
    </row>
    <row r="539" spans="1:16" hidden="1" outlineLevel="1" x14ac:dyDescent="0.3">
      <c r="A539" s="294" t="s">
        <v>6002</v>
      </c>
      <c r="B539" s="294" t="s">
        <v>894</v>
      </c>
      <c r="C539" s="294" t="s">
        <v>795</v>
      </c>
      <c r="D539" s="296">
        <v>-9.6600000000000005E-2</v>
      </c>
      <c r="E539" s="441">
        <v>-0.10361237165942425</v>
      </c>
      <c r="F539" s="441">
        <v>-0.12410546532394388</v>
      </c>
      <c r="G539" s="441">
        <v>-0.13128528535143799</v>
      </c>
      <c r="H539" s="441">
        <v>-0.13888047641430631</v>
      </c>
      <c r="I539" s="441">
        <v>-0.14450363012235432</v>
      </c>
      <c r="J539" s="294"/>
      <c r="K539" s="308"/>
      <c r="L539" s="308"/>
      <c r="M539" s="308"/>
      <c r="N539" s="308"/>
      <c r="O539" s="308"/>
      <c r="P539" s="308"/>
    </row>
    <row r="540" spans="1:16" hidden="1" outlineLevel="1" x14ac:dyDescent="0.3">
      <c r="A540" s="294" t="s">
        <v>6002</v>
      </c>
      <c r="B540" s="294" t="s">
        <v>894</v>
      </c>
      <c r="C540" s="294" t="s">
        <v>797</v>
      </c>
      <c r="D540" s="296">
        <v>-9.6600000000000005E-2</v>
      </c>
      <c r="E540" s="441">
        <v>-0.10361237165942425</v>
      </c>
      <c r="F540" s="441">
        <v>-0.12410546532394388</v>
      </c>
      <c r="G540" s="441">
        <v>-0.13128528535143799</v>
      </c>
      <c r="H540" s="441">
        <v>-0.13888047641430631</v>
      </c>
      <c r="I540" s="441">
        <v>-0.14450363012235432</v>
      </c>
      <c r="J540" s="294"/>
      <c r="K540" s="308"/>
      <c r="L540" s="308"/>
      <c r="M540" s="308"/>
      <c r="N540" s="308"/>
      <c r="O540" s="308"/>
      <c r="P540" s="308"/>
    </row>
    <row r="541" spans="1:16" hidden="1" outlineLevel="1" x14ac:dyDescent="0.3">
      <c r="A541" s="294" t="s">
        <v>6002</v>
      </c>
      <c r="B541" s="294" t="s">
        <v>915</v>
      </c>
      <c r="C541" s="294" t="s">
        <v>799</v>
      </c>
      <c r="D541" s="296">
        <v>-9.6600000000000005E-2</v>
      </c>
      <c r="E541" s="441">
        <v>-0.10361237165942425</v>
      </c>
      <c r="F541" s="441">
        <v>-0.12410546532394388</v>
      </c>
      <c r="G541" s="441">
        <v>-0.13128528535143799</v>
      </c>
      <c r="H541" s="441">
        <v>-0.13888047641430631</v>
      </c>
      <c r="I541" s="441">
        <v>-0.14450363012235432</v>
      </c>
      <c r="J541" s="294"/>
      <c r="K541" s="308"/>
      <c r="L541" s="308"/>
      <c r="M541" s="308"/>
      <c r="N541" s="308"/>
      <c r="O541" s="308"/>
      <c r="P541" s="308"/>
    </row>
    <row r="542" spans="1:16" hidden="1" outlineLevel="1" x14ac:dyDescent="0.3">
      <c r="A542" s="294" t="s">
        <v>6002</v>
      </c>
      <c r="B542" s="294" t="s">
        <v>915</v>
      </c>
      <c r="C542" s="294" t="s">
        <v>801</v>
      </c>
      <c r="D542" s="296">
        <v>-9.6600000000000005E-2</v>
      </c>
      <c r="E542" s="441">
        <v>-0.10361237165942425</v>
      </c>
      <c r="F542" s="441">
        <v>-0.12410546532394388</v>
      </c>
      <c r="G542" s="441">
        <v>-0.13128528535143799</v>
      </c>
      <c r="H542" s="441">
        <v>-0.13888047641430631</v>
      </c>
      <c r="I542" s="441">
        <v>-0.14450363012235432</v>
      </c>
      <c r="J542" s="294"/>
      <c r="K542" s="308"/>
      <c r="L542" s="308"/>
      <c r="M542" s="308"/>
      <c r="N542" s="308"/>
      <c r="O542" s="308"/>
      <c r="P542" s="308"/>
    </row>
    <row r="543" spans="1:16" hidden="1" outlineLevel="1" x14ac:dyDescent="0.3">
      <c r="A543" s="294" t="s">
        <v>6002</v>
      </c>
      <c r="B543" s="294" t="s">
        <v>915</v>
      </c>
      <c r="C543" s="294" t="s">
        <v>804</v>
      </c>
      <c r="D543" s="296">
        <v>-9.6600000000000005E-2</v>
      </c>
      <c r="E543" s="441">
        <v>-0.10361237165942425</v>
      </c>
      <c r="F543" s="441">
        <v>-0.12410546532394388</v>
      </c>
      <c r="G543" s="441">
        <v>-0.13128528535143799</v>
      </c>
      <c r="H543" s="441">
        <v>-0.13888047641430631</v>
      </c>
      <c r="I543" s="441">
        <v>-0.14450363012235432</v>
      </c>
      <c r="J543" s="294"/>
      <c r="K543" s="308"/>
      <c r="L543" s="308"/>
      <c r="M543" s="308"/>
      <c r="N543" s="308"/>
      <c r="O543" s="308"/>
      <c r="P543" s="308"/>
    </row>
    <row r="544" spans="1:16" hidden="1" outlineLevel="1" x14ac:dyDescent="0.3">
      <c r="A544" s="294" t="s">
        <v>6002</v>
      </c>
      <c r="B544" s="294" t="s">
        <v>915</v>
      </c>
      <c r="C544" s="294" t="s">
        <v>806</v>
      </c>
      <c r="D544" s="296">
        <v>-9.6600000000000005E-2</v>
      </c>
      <c r="E544" s="441">
        <v>-0.10361237165942425</v>
      </c>
      <c r="F544" s="441">
        <v>-0.12410546532394388</v>
      </c>
      <c r="G544" s="441">
        <v>-0.13128528535143799</v>
      </c>
      <c r="H544" s="441">
        <v>-0.13888047641430631</v>
      </c>
      <c r="I544" s="441">
        <v>-0.14450363012235432</v>
      </c>
      <c r="J544" s="294"/>
      <c r="K544" s="308"/>
      <c r="L544" s="308"/>
      <c r="M544" s="308"/>
      <c r="N544" s="308"/>
      <c r="O544" s="308"/>
      <c r="P544" s="308"/>
    </row>
    <row r="545" spans="1:16" hidden="1" outlineLevel="1" x14ac:dyDescent="0.3">
      <c r="A545" s="294" t="s">
        <v>6002</v>
      </c>
      <c r="B545" s="294" t="s">
        <v>915</v>
      </c>
      <c r="C545" s="294" t="s">
        <v>808</v>
      </c>
      <c r="D545" s="296">
        <v>-9.6600000000000005E-2</v>
      </c>
      <c r="E545" s="441">
        <v>-0.10361237165942425</v>
      </c>
      <c r="F545" s="441">
        <v>-0.12410546532394388</v>
      </c>
      <c r="G545" s="441">
        <v>-0.13128528535143799</v>
      </c>
      <c r="H545" s="441">
        <v>-0.13888047641430631</v>
      </c>
      <c r="I545" s="441">
        <v>-0.14450363012235432</v>
      </c>
      <c r="J545" s="294"/>
      <c r="K545" s="308"/>
      <c r="L545" s="308"/>
      <c r="M545" s="308"/>
      <c r="N545" s="308"/>
      <c r="O545" s="308"/>
      <c r="P545" s="308"/>
    </row>
    <row r="546" spans="1:16" hidden="1" outlineLevel="1" x14ac:dyDescent="0.3">
      <c r="A546" s="294" t="s">
        <v>6002</v>
      </c>
      <c r="B546" s="294" t="s">
        <v>915</v>
      </c>
      <c r="C546" s="294" t="s">
        <v>811</v>
      </c>
      <c r="D546" s="296">
        <v>-9.6600000000000005E-2</v>
      </c>
      <c r="E546" s="441">
        <v>-0.10361237165942425</v>
      </c>
      <c r="F546" s="441">
        <v>-0.12410546532394388</v>
      </c>
      <c r="G546" s="441">
        <v>-0.13128528535143799</v>
      </c>
      <c r="H546" s="441">
        <v>-0.13888047641430631</v>
      </c>
      <c r="I546" s="441">
        <v>-0.14450363012235432</v>
      </c>
      <c r="J546" s="294"/>
      <c r="K546" s="308"/>
      <c r="L546" s="308"/>
      <c r="M546" s="308"/>
      <c r="N546" s="308"/>
      <c r="O546" s="308"/>
      <c r="P546" s="308"/>
    </row>
    <row r="547" spans="1:16" hidden="1" outlineLevel="1" x14ac:dyDescent="0.3">
      <c r="A547" s="294" t="s">
        <v>6002</v>
      </c>
      <c r="B547" s="294" t="s">
        <v>934</v>
      </c>
      <c r="C547" s="294" t="s">
        <v>814</v>
      </c>
      <c r="D547" s="296">
        <v>-9.6600000000000005E-2</v>
      </c>
      <c r="E547" s="441">
        <v>-0.10361237165942425</v>
      </c>
      <c r="F547" s="441">
        <v>-0.12410546532394388</v>
      </c>
      <c r="G547" s="441">
        <v>-0.13128528535143799</v>
      </c>
      <c r="H547" s="441">
        <v>-0.13888047641430631</v>
      </c>
      <c r="I547" s="441">
        <v>-0.14450363012235432</v>
      </c>
      <c r="J547" s="294"/>
      <c r="K547" s="308"/>
      <c r="L547" s="308"/>
      <c r="M547" s="308"/>
      <c r="N547" s="308"/>
      <c r="O547" s="308"/>
      <c r="P547" s="308"/>
    </row>
    <row r="548" spans="1:16" hidden="1" outlineLevel="1" x14ac:dyDescent="0.3">
      <c r="A548" s="294" t="s">
        <v>6002</v>
      </c>
      <c r="B548" s="294" t="s">
        <v>934</v>
      </c>
      <c r="C548" s="294" t="s">
        <v>815</v>
      </c>
      <c r="D548" s="296">
        <v>-9.6600000000000005E-2</v>
      </c>
      <c r="E548" s="441">
        <v>-9.6145146122558395E-2</v>
      </c>
      <c r="F548" s="441">
        <v>-0.10901006748694268</v>
      </c>
      <c r="G548" s="441">
        <v>-0.11653638241405895</v>
      </c>
      <c r="H548" s="441">
        <v>-0.12458233206563694</v>
      </c>
      <c r="I548" s="441">
        <v>-0.12963215081124824</v>
      </c>
      <c r="J548" s="294"/>
      <c r="K548" s="308"/>
      <c r="L548" s="308"/>
      <c r="M548" s="308"/>
      <c r="N548" s="308"/>
      <c r="O548" s="308"/>
      <c r="P548" s="308"/>
    </row>
    <row r="549" spans="1:16" hidden="1" outlineLevel="1" x14ac:dyDescent="0.3">
      <c r="A549" s="294" t="s">
        <v>6002</v>
      </c>
      <c r="B549" s="294" t="s">
        <v>940</v>
      </c>
      <c r="C549" s="294" t="s">
        <v>817</v>
      </c>
      <c r="D549" s="296">
        <v>-9.6600000000000005E-2</v>
      </c>
      <c r="E549" s="441">
        <v>-9.6145146122558395E-2</v>
      </c>
      <c r="F549" s="441">
        <v>-0.10901006748694268</v>
      </c>
      <c r="G549" s="441">
        <v>-0.11653638241405895</v>
      </c>
      <c r="H549" s="441">
        <v>-0.12458233206563694</v>
      </c>
      <c r="I549" s="441">
        <v>-0.12963215081124824</v>
      </c>
      <c r="J549" s="294"/>
      <c r="K549" s="308"/>
      <c r="L549" s="308"/>
      <c r="M549" s="308"/>
      <c r="N549" s="308"/>
      <c r="O549" s="308"/>
      <c r="P549" s="308"/>
    </row>
    <row r="550" spans="1:16" hidden="1" outlineLevel="1" x14ac:dyDescent="0.3">
      <c r="A550" s="294" t="s">
        <v>6002</v>
      </c>
      <c r="B550" s="294" t="s">
        <v>940</v>
      </c>
      <c r="C550" s="294" t="s">
        <v>944</v>
      </c>
      <c r="D550" s="296">
        <v>-9.6600000000000005E-2</v>
      </c>
      <c r="E550" s="441">
        <v>-9.6145146122558395E-2</v>
      </c>
      <c r="F550" s="441">
        <v>-0.10901006748694268</v>
      </c>
      <c r="G550" s="441">
        <v>-0.11653638241405895</v>
      </c>
      <c r="H550" s="441">
        <v>-0.12458233206563694</v>
      </c>
      <c r="I550" s="441">
        <v>-0.12963215081124824</v>
      </c>
      <c r="J550" s="294"/>
      <c r="K550" s="308"/>
      <c r="L550" s="308"/>
      <c r="M550" s="308"/>
      <c r="N550" s="308"/>
      <c r="O550" s="308"/>
      <c r="P550" s="308"/>
    </row>
    <row r="551" spans="1:16" hidden="1" outlineLevel="1" x14ac:dyDescent="0.3">
      <c r="A551" s="294" t="s">
        <v>6002</v>
      </c>
      <c r="B551" s="294" t="s">
        <v>940</v>
      </c>
      <c r="C551" s="294" t="s">
        <v>821</v>
      </c>
      <c r="D551" s="296">
        <v>-9.6600000000000005E-2</v>
      </c>
      <c r="E551" s="441">
        <v>-9.6145146122558395E-2</v>
      </c>
      <c r="F551" s="441">
        <v>-0.10901006748694268</v>
      </c>
      <c r="G551" s="441">
        <v>-0.11653638241405895</v>
      </c>
      <c r="H551" s="441">
        <v>-0.12458233206563694</v>
      </c>
      <c r="I551" s="441">
        <v>-0.12963215081124824</v>
      </c>
      <c r="J551" s="294"/>
      <c r="K551" s="308"/>
      <c r="L551" s="308"/>
      <c r="M551" s="308"/>
      <c r="N551" s="308"/>
      <c r="O551" s="308"/>
      <c r="P551" s="308"/>
    </row>
    <row r="552" spans="1:16" hidden="1" outlineLevel="1" x14ac:dyDescent="0.3">
      <c r="A552" s="294" t="s">
        <v>6002</v>
      </c>
      <c r="B552" s="294" t="s">
        <v>940</v>
      </c>
      <c r="C552" s="294" t="s">
        <v>823</v>
      </c>
      <c r="D552" s="296">
        <v>-9.6600000000000005E-2</v>
      </c>
      <c r="E552" s="441">
        <v>-9.6145146122558395E-2</v>
      </c>
      <c r="F552" s="441">
        <v>-0.10901006748694268</v>
      </c>
      <c r="G552" s="441">
        <v>-0.11653638241405895</v>
      </c>
      <c r="H552" s="441">
        <v>-0.12458233206563694</v>
      </c>
      <c r="I552" s="441">
        <v>-0.12963215081124824</v>
      </c>
      <c r="J552" s="294"/>
      <c r="K552" s="308"/>
      <c r="L552" s="308"/>
      <c r="M552" s="308"/>
      <c r="N552" s="308"/>
      <c r="O552" s="308"/>
      <c r="P552" s="308"/>
    </row>
    <row r="553" spans="1:16" hidden="1" outlineLevel="1" x14ac:dyDescent="0.3">
      <c r="A553" s="294" t="s">
        <v>6002</v>
      </c>
      <c r="B553" s="294" t="s">
        <v>940</v>
      </c>
      <c r="C553" s="294" t="s">
        <v>825</v>
      </c>
      <c r="D553" s="296">
        <v>-9.6600000000000005E-2</v>
      </c>
      <c r="E553" s="441">
        <v>-9.6145146122558395E-2</v>
      </c>
      <c r="F553" s="441">
        <v>-0.10901006748694268</v>
      </c>
      <c r="G553" s="441">
        <v>-0.11653638241405895</v>
      </c>
      <c r="H553" s="441">
        <v>-0.12458233206563694</v>
      </c>
      <c r="I553" s="441">
        <v>-0.12963215081124824</v>
      </c>
      <c r="J553" s="294"/>
      <c r="K553" s="308"/>
      <c r="L553" s="308"/>
      <c r="M553" s="308"/>
      <c r="N553" s="308"/>
      <c r="O553" s="308"/>
      <c r="P553" s="308"/>
    </row>
    <row r="554" spans="1:16" hidden="1" outlineLevel="1" x14ac:dyDescent="0.3">
      <c r="A554" s="294" t="s">
        <v>6002</v>
      </c>
      <c r="B554" s="294" t="s">
        <v>940</v>
      </c>
      <c r="C554" s="294" t="s">
        <v>827</v>
      </c>
      <c r="D554" s="296">
        <v>-9.6600000000000005E-2</v>
      </c>
      <c r="E554" s="441">
        <v>-9.6145146122558395E-2</v>
      </c>
      <c r="F554" s="441">
        <v>-0.10901006748694268</v>
      </c>
      <c r="G554" s="441">
        <v>-0.11653638241405895</v>
      </c>
      <c r="H554" s="441">
        <v>-0.12458233206563694</v>
      </c>
      <c r="I554" s="441">
        <v>-0.12963215081124824</v>
      </c>
      <c r="J554" s="294"/>
      <c r="K554" s="308"/>
      <c r="L554" s="308"/>
      <c r="M554" s="308"/>
      <c r="N554" s="308"/>
      <c r="O554" s="308"/>
      <c r="P554" s="308"/>
    </row>
    <row r="555" spans="1:16" hidden="1" outlineLevel="1" x14ac:dyDescent="0.3">
      <c r="A555" s="294" t="s">
        <v>6002</v>
      </c>
      <c r="B555" s="294" t="s">
        <v>940</v>
      </c>
      <c r="C555" s="294" t="s">
        <v>829</v>
      </c>
      <c r="D555" s="296">
        <v>-9.6600000000000005E-2</v>
      </c>
      <c r="E555" s="441">
        <v>-9.6145146122558395E-2</v>
      </c>
      <c r="F555" s="441">
        <v>-0.10901006748694268</v>
      </c>
      <c r="G555" s="441">
        <v>-0.11653638241405895</v>
      </c>
      <c r="H555" s="441">
        <v>-0.12458233206563694</v>
      </c>
      <c r="I555" s="441">
        <v>-0.12963215081124824</v>
      </c>
      <c r="J555" s="294"/>
      <c r="K555" s="308"/>
      <c r="L555" s="308"/>
      <c r="M555" s="308"/>
      <c r="N555" s="308"/>
      <c r="O555" s="308"/>
      <c r="P555" s="308"/>
    </row>
    <row r="556" spans="1:16" hidden="1" outlineLevel="1" x14ac:dyDescent="0.3">
      <c r="A556" s="294" t="s">
        <v>6002</v>
      </c>
      <c r="B556" s="294" t="s">
        <v>940</v>
      </c>
      <c r="C556" s="294" t="s">
        <v>833</v>
      </c>
      <c r="D556" s="296">
        <v>-9.6600000000000005E-2</v>
      </c>
      <c r="E556" s="441">
        <v>-9.6145146122558395E-2</v>
      </c>
      <c r="F556" s="441">
        <v>-0.10901006748694268</v>
      </c>
      <c r="G556" s="441">
        <v>-0.11653638241405895</v>
      </c>
      <c r="H556" s="441">
        <v>-0.12458233206563694</v>
      </c>
      <c r="I556" s="441">
        <v>-0.12963215081124824</v>
      </c>
      <c r="J556" s="294"/>
      <c r="K556" s="308"/>
      <c r="L556" s="308"/>
      <c r="M556" s="308"/>
      <c r="N556" s="308"/>
      <c r="O556" s="308"/>
      <c r="P556" s="308"/>
    </row>
    <row r="557" spans="1:16" hidden="1" outlineLevel="1" x14ac:dyDescent="0.3">
      <c r="A557" s="294" t="s">
        <v>6002</v>
      </c>
      <c r="B557" s="294" t="s">
        <v>940</v>
      </c>
      <c r="C557" s="294" t="s">
        <v>836</v>
      </c>
      <c r="D557" s="296">
        <v>-9.6600000000000005E-2</v>
      </c>
      <c r="E557" s="441">
        <v>-9.6145146122558395E-2</v>
      </c>
      <c r="F557" s="441">
        <v>-0.10901006748694268</v>
      </c>
      <c r="G557" s="441">
        <v>-0.11653638241405895</v>
      </c>
      <c r="H557" s="441">
        <v>-0.12458233206563694</v>
      </c>
      <c r="I557" s="441">
        <v>-0.12963215081124824</v>
      </c>
      <c r="J557" s="294"/>
      <c r="K557" s="308"/>
      <c r="L557" s="308"/>
      <c r="M557" s="308"/>
      <c r="N557" s="308"/>
      <c r="O557" s="308"/>
      <c r="P557" s="308"/>
    </row>
    <row r="558" spans="1:16" hidden="1" outlineLevel="1" x14ac:dyDescent="0.3">
      <c r="A558" s="294" t="s">
        <v>6002</v>
      </c>
      <c r="B558" s="294" t="s">
        <v>940</v>
      </c>
      <c r="C558" s="294" t="s">
        <v>837</v>
      </c>
      <c r="D558" s="296">
        <v>-9.6600000000000005E-2</v>
      </c>
      <c r="E558" s="441">
        <v>-9.6145146122558395E-2</v>
      </c>
      <c r="F558" s="441">
        <v>-0.10901006748694268</v>
      </c>
      <c r="G558" s="441">
        <v>-0.11653638241405895</v>
      </c>
      <c r="H558" s="441">
        <v>-0.12458233206563694</v>
      </c>
      <c r="I558" s="441">
        <v>-0.12963215081124824</v>
      </c>
      <c r="J558" s="294"/>
      <c r="K558" s="308"/>
      <c r="L558" s="308"/>
      <c r="M558" s="308"/>
      <c r="N558" s="308"/>
      <c r="O558" s="308"/>
      <c r="P558" s="308"/>
    </row>
    <row r="559" spans="1:16" hidden="1" outlineLevel="1" x14ac:dyDescent="0.3">
      <c r="A559" s="294" t="s">
        <v>6002</v>
      </c>
      <c r="B559" s="294" t="s">
        <v>940</v>
      </c>
      <c r="C559" s="294" t="s">
        <v>839</v>
      </c>
      <c r="D559" s="296">
        <v>-9.6600000000000005E-2</v>
      </c>
      <c r="E559" s="441">
        <v>-9.6145146122558395E-2</v>
      </c>
      <c r="F559" s="441">
        <v>-0.10901006748694268</v>
      </c>
      <c r="G559" s="441">
        <v>-0.11653638241405895</v>
      </c>
      <c r="H559" s="441">
        <v>-0.12458233206563694</v>
      </c>
      <c r="I559" s="441">
        <v>-0.12963215081124824</v>
      </c>
      <c r="J559" s="294"/>
      <c r="K559" s="308"/>
      <c r="L559" s="308"/>
      <c r="M559" s="308"/>
      <c r="N559" s="308"/>
      <c r="O559" s="308"/>
      <c r="P559" s="308"/>
    </row>
    <row r="560" spans="1:16" hidden="1" outlineLevel="1" x14ac:dyDescent="0.3">
      <c r="A560" s="294" t="s">
        <v>6002</v>
      </c>
      <c r="B560" s="294" t="s">
        <v>940</v>
      </c>
      <c r="C560" s="294" t="s">
        <v>840</v>
      </c>
      <c r="D560" s="296">
        <v>-9.6600000000000005E-2</v>
      </c>
      <c r="E560" s="441">
        <v>-9.6145146122558395E-2</v>
      </c>
      <c r="F560" s="441">
        <v>-0.10901006748694268</v>
      </c>
      <c r="G560" s="441">
        <v>-0.11653638241405895</v>
      </c>
      <c r="H560" s="441">
        <v>-0.12458233206563694</v>
      </c>
      <c r="I560" s="441">
        <v>-0.12963215081124824</v>
      </c>
      <c r="J560" s="294"/>
      <c r="K560" s="308"/>
      <c r="L560" s="308"/>
      <c r="M560" s="308"/>
      <c r="N560" s="308"/>
      <c r="O560" s="308"/>
      <c r="P560" s="308"/>
    </row>
    <row r="561" spans="1:16" collapsed="1" x14ac:dyDescent="0.3">
      <c r="A561" s="294"/>
      <c r="B561" s="294"/>
      <c r="C561" s="293"/>
      <c r="D561" s="295"/>
      <c r="E561" s="295"/>
      <c r="F561" s="294"/>
      <c r="G561" s="294"/>
      <c r="H561" s="294"/>
      <c r="I561" s="294"/>
      <c r="J561" s="294"/>
      <c r="K561" s="308"/>
      <c r="L561" s="308"/>
      <c r="M561" s="308"/>
      <c r="N561" s="308"/>
      <c r="O561" s="308"/>
      <c r="P561" s="308"/>
    </row>
    <row r="562" spans="1:16" x14ac:dyDescent="0.3">
      <c r="A562" s="293" t="s">
        <v>6003</v>
      </c>
      <c r="B562" s="58"/>
      <c r="C562" s="298" t="s">
        <v>4032</v>
      </c>
      <c r="D562" s="296">
        <v>-4.2999999999999991E-3</v>
      </c>
      <c r="E562" s="296">
        <v>-4.5116542954202737E-3</v>
      </c>
      <c r="F562" s="296">
        <v>-5.3212161874208802E-3</v>
      </c>
      <c r="G562" s="296">
        <v>-5.6454777763208092E-3</v>
      </c>
      <c r="H562" s="296">
        <v>-5.9896321007064865E-3</v>
      </c>
      <c r="I562" s="296">
        <v>-6.2322224267255272E-3</v>
      </c>
      <c r="J562" s="293"/>
      <c r="K562" s="308"/>
      <c r="L562" s="308"/>
      <c r="M562" s="308"/>
      <c r="N562" s="308"/>
      <c r="O562" s="308"/>
      <c r="P562" s="308"/>
    </row>
    <row r="563" spans="1:16" x14ac:dyDescent="0.3">
      <c r="A563" s="297" t="s">
        <v>5</v>
      </c>
      <c r="B563" s="297" t="s">
        <v>847</v>
      </c>
      <c r="C563" s="297" t="s">
        <v>193</v>
      </c>
      <c r="D563" s="297">
        <v>2022</v>
      </c>
      <c r="E563" s="297">
        <v>2025</v>
      </c>
      <c r="F563" s="297">
        <v>2030</v>
      </c>
      <c r="G563" s="297">
        <v>2035</v>
      </c>
      <c r="H563" s="297">
        <v>2040</v>
      </c>
      <c r="I563" s="297">
        <v>2045</v>
      </c>
      <c r="J563" s="297" t="s">
        <v>153</v>
      </c>
      <c r="K563" s="308"/>
      <c r="L563" s="308"/>
      <c r="M563" s="308"/>
      <c r="N563" s="308"/>
      <c r="O563" s="308"/>
      <c r="P563" s="308"/>
    </row>
    <row r="564" spans="1:16" hidden="1" outlineLevel="1" x14ac:dyDescent="0.3">
      <c r="A564" s="294" t="s">
        <v>6003</v>
      </c>
      <c r="B564" s="294" t="s">
        <v>855</v>
      </c>
      <c r="C564" s="294" t="s">
        <v>747</v>
      </c>
      <c r="D564" s="443">
        <v>-4.3E-3</v>
      </c>
      <c r="E564" s="441">
        <v>-4.6121449082352408E-3</v>
      </c>
      <c r="F564" s="441">
        <v>-5.5243633632811456E-3</v>
      </c>
      <c r="G564" s="441">
        <v>-5.8439619773414421E-3</v>
      </c>
      <c r="H564" s="441">
        <v>-6.1820501923552495E-3</v>
      </c>
      <c r="I564" s="441">
        <v>-6.4323562062745714E-3</v>
      </c>
      <c r="J564" s="294"/>
      <c r="K564" s="308"/>
      <c r="L564" s="308"/>
      <c r="M564" s="308"/>
      <c r="N564" s="308"/>
      <c r="O564" s="308"/>
      <c r="P564" s="308"/>
    </row>
    <row r="565" spans="1:16" hidden="1" outlineLevel="1" x14ac:dyDescent="0.3">
      <c r="A565" s="294" t="s">
        <v>6003</v>
      </c>
      <c r="B565" s="294" t="s">
        <v>855</v>
      </c>
      <c r="C565" s="294" t="s">
        <v>751</v>
      </c>
      <c r="D565" s="443">
        <v>-4.3E-3</v>
      </c>
      <c r="E565" s="441">
        <v>-4.6121449082352408E-3</v>
      </c>
      <c r="F565" s="441">
        <v>-5.5243633632811456E-3</v>
      </c>
      <c r="G565" s="441">
        <v>-5.8439619773414421E-3</v>
      </c>
      <c r="H565" s="441">
        <v>-6.1820501923552495E-3</v>
      </c>
      <c r="I565" s="441">
        <v>-6.4323562062745714E-3</v>
      </c>
      <c r="J565" s="294"/>
      <c r="K565" s="308"/>
      <c r="L565" s="308"/>
      <c r="M565" s="308"/>
      <c r="N565" s="308"/>
      <c r="O565" s="308"/>
      <c r="P565" s="308"/>
    </row>
    <row r="566" spans="1:16" hidden="1" outlineLevel="1" x14ac:dyDescent="0.3">
      <c r="A566" s="294" t="s">
        <v>6003</v>
      </c>
      <c r="B566" s="294" t="s">
        <v>855</v>
      </c>
      <c r="C566" s="294" t="s">
        <v>755</v>
      </c>
      <c r="D566" s="443">
        <v>-4.3E-3</v>
      </c>
      <c r="E566" s="441">
        <v>-4.6121449082352408E-3</v>
      </c>
      <c r="F566" s="441">
        <v>-5.5243633632811456E-3</v>
      </c>
      <c r="G566" s="441">
        <v>-5.8439619773414421E-3</v>
      </c>
      <c r="H566" s="441">
        <v>-6.1820501923552495E-3</v>
      </c>
      <c r="I566" s="441">
        <v>-6.4323562062745714E-3</v>
      </c>
      <c r="J566" s="294"/>
      <c r="K566" s="308"/>
      <c r="L566" s="308"/>
      <c r="M566" s="308"/>
      <c r="N566" s="308"/>
      <c r="O566" s="308"/>
      <c r="P566" s="308"/>
    </row>
    <row r="567" spans="1:16" hidden="1" outlineLevel="1" x14ac:dyDescent="0.3">
      <c r="A567" s="294" t="s">
        <v>6003</v>
      </c>
      <c r="B567" s="294" t="s">
        <v>855</v>
      </c>
      <c r="C567" s="294" t="s">
        <v>758</v>
      </c>
      <c r="D567" s="443">
        <v>-4.3E-3</v>
      </c>
      <c r="E567" s="441">
        <v>-4.6121449082352408E-3</v>
      </c>
      <c r="F567" s="441">
        <v>-5.5243633632811456E-3</v>
      </c>
      <c r="G567" s="441">
        <v>-5.8439619773414421E-3</v>
      </c>
      <c r="H567" s="441">
        <v>-6.1820501923552495E-3</v>
      </c>
      <c r="I567" s="441">
        <v>-6.4323562062745714E-3</v>
      </c>
      <c r="J567" s="294"/>
      <c r="K567" s="308"/>
      <c r="L567" s="308"/>
      <c r="M567" s="308"/>
      <c r="N567" s="308"/>
      <c r="O567" s="308"/>
      <c r="P567" s="308"/>
    </row>
    <row r="568" spans="1:16" hidden="1" outlineLevel="1" x14ac:dyDescent="0.3">
      <c r="A568" s="294" t="s">
        <v>6003</v>
      </c>
      <c r="B568" s="294" t="s">
        <v>855</v>
      </c>
      <c r="C568" s="294" t="s">
        <v>761</v>
      </c>
      <c r="D568" s="443">
        <v>-4.3E-3</v>
      </c>
      <c r="E568" s="441">
        <v>-4.6121449082352408E-3</v>
      </c>
      <c r="F568" s="441">
        <v>-5.5243633632811456E-3</v>
      </c>
      <c r="G568" s="441">
        <v>-5.8439619773414421E-3</v>
      </c>
      <c r="H568" s="441">
        <v>-6.1820501923552495E-3</v>
      </c>
      <c r="I568" s="441">
        <v>-6.4323562062745714E-3</v>
      </c>
      <c r="J568" s="294"/>
      <c r="K568" s="308"/>
      <c r="L568" s="308"/>
      <c r="M568" s="308"/>
      <c r="N568" s="308"/>
      <c r="O568" s="308"/>
      <c r="P568" s="308"/>
    </row>
    <row r="569" spans="1:16" hidden="1" outlineLevel="1" x14ac:dyDescent="0.3">
      <c r="A569" s="294" t="s">
        <v>6003</v>
      </c>
      <c r="B569" s="294" t="s">
        <v>855</v>
      </c>
      <c r="C569" s="294" t="s">
        <v>763</v>
      </c>
      <c r="D569" s="443">
        <v>-4.3E-3</v>
      </c>
      <c r="E569" s="441">
        <v>-4.6121449082352408E-3</v>
      </c>
      <c r="F569" s="441">
        <v>-5.5243633632811456E-3</v>
      </c>
      <c r="G569" s="441">
        <v>-5.8439619773414421E-3</v>
      </c>
      <c r="H569" s="441">
        <v>-6.1820501923552495E-3</v>
      </c>
      <c r="I569" s="441">
        <v>-6.4323562062745714E-3</v>
      </c>
      <c r="J569" s="294"/>
      <c r="K569" s="308"/>
      <c r="L569" s="308"/>
      <c r="M569" s="308"/>
      <c r="N569" s="308"/>
      <c r="O569" s="308"/>
      <c r="P569" s="308"/>
    </row>
    <row r="570" spans="1:16" hidden="1" outlineLevel="1" x14ac:dyDescent="0.3">
      <c r="A570" s="294" t="s">
        <v>6003</v>
      </c>
      <c r="B570" s="294" t="s">
        <v>855</v>
      </c>
      <c r="C570" s="294" t="s">
        <v>765</v>
      </c>
      <c r="D570" s="443">
        <v>-4.3E-3</v>
      </c>
      <c r="E570" s="441">
        <v>-4.6121449082352408E-3</v>
      </c>
      <c r="F570" s="441">
        <v>-5.5243633632811456E-3</v>
      </c>
      <c r="G570" s="441">
        <v>-5.8439619773414421E-3</v>
      </c>
      <c r="H570" s="441">
        <v>-6.1820501923552495E-3</v>
      </c>
      <c r="I570" s="441">
        <v>-6.4323562062745714E-3</v>
      </c>
      <c r="J570" s="294"/>
      <c r="K570" s="308"/>
      <c r="L570" s="308"/>
      <c r="M570" s="308"/>
      <c r="N570" s="308"/>
      <c r="O570" s="308"/>
      <c r="P570" s="308"/>
    </row>
    <row r="571" spans="1:16" hidden="1" outlineLevel="1" x14ac:dyDescent="0.3">
      <c r="A571" s="294" t="s">
        <v>6003</v>
      </c>
      <c r="B571" s="294" t="s">
        <v>855</v>
      </c>
      <c r="C571" s="294" t="s">
        <v>768</v>
      </c>
      <c r="D571" s="443">
        <v>-4.3E-3</v>
      </c>
      <c r="E571" s="441">
        <v>-4.6121449082352408E-3</v>
      </c>
      <c r="F571" s="441">
        <v>-5.5243633632811456E-3</v>
      </c>
      <c r="G571" s="441">
        <v>-5.8439619773414421E-3</v>
      </c>
      <c r="H571" s="441">
        <v>-6.1820501923552495E-3</v>
      </c>
      <c r="I571" s="441">
        <v>-6.4323562062745714E-3</v>
      </c>
      <c r="J571" s="294"/>
      <c r="K571" s="308"/>
      <c r="L571" s="308"/>
      <c r="M571" s="308"/>
      <c r="N571" s="308"/>
      <c r="O571" s="308"/>
      <c r="P571" s="308"/>
    </row>
    <row r="572" spans="1:16" hidden="1" outlineLevel="1" x14ac:dyDescent="0.3">
      <c r="A572" s="294" t="s">
        <v>6003</v>
      </c>
      <c r="B572" s="294" t="s">
        <v>855</v>
      </c>
      <c r="C572" s="294" t="s">
        <v>771</v>
      </c>
      <c r="D572" s="443">
        <v>-4.3E-3</v>
      </c>
      <c r="E572" s="441">
        <v>-4.6121449082352408E-3</v>
      </c>
      <c r="F572" s="441">
        <v>-5.5243633632811456E-3</v>
      </c>
      <c r="G572" s="441">
        <v>-5.8439619773414421E-3</v>
      </c>
      <c r="H572" s="441">
        <v>-6.1820501923552495E-3</v>
      </c>
      <c r="I572" s="441">
        <v>-6.4323562062745714E-3</v>
      </c>
      <c r="J572" s="294"/>
      <c r="K572" s="308"/>
      <c r="L572" s="308"/>
      <c r="M572" s="308"/>
      <c r="N572" s="308"/>
      <c r="O572" s="308"/>
      <c r="P572" s="308"/>
    </row>
    <row r="573" spans="1:16" hidden="1" outlineLevel="1" x14ac:dyDescent="0.3">
      <c r="A573" s="294" t="s">
        <v>6003</v>
      </c>
      <c r="B573" s="294" t="s">
        <v>855</v>
      </c>
      <c r="C573" s="294" t="s">
        <v>772</v>
      </c>
      <c r="D573" s="443">
        <v>-4.3E-3</v>
      </c>
      <c r="E573" s="441">
        <v>-4.6121449082352408E-3</v>
      </c>
      <c r="F573" s="441">
        <v>-5.5243633632811456E-3</v>
      </c>
      <c r="G573" s="441">
        <v>-5.8439619773414421E-3</v>
      </c>
      <c r="H573" s="441">
        <v>-6.1820501923552495E-3</v>
      </c>
      <c r="I573" s="441">
        <v>-6.4323562062745714E-3</v>
      </c>
      <c r="J573" s="294"/>
      <c r="K573" s="308"/>
      <c r="L573" s="308"/>
      <c r="M573" s="308"/>
      <c r="N573" s="308"/>
      <c r="O573" s="308"/>
      <c r="P573" s="308"/>
    </row>
    <row r="574" spans="1:16" hidden="1" outlineLevel="1" x14ac:dyDescent="0.3">
      <c r="A574" s="294" t="s">
        <v>6003</v>
      </c>
      <c r="B574" s="294" t="s">
        <v>855</v>
      </c>
      <c r="C574" s="294" t="s">
        <v>774</v>
      </c>
      <c r="D574" s="443">
        <v>-4.3E-3</v>
      </c>
      <c r="E574" s="441">
        <v>-4.6121449082352408E-3</v>
      </c>
      <c r="F574" s="441">
        <v>-5.5243633632811456E-3</v>
      </c>
      <c r="G574" s="441">
        <v>-5.8439619773414421E-3</v>
      </c>
      <c r="H574" s="441">
        <v>-6.1820501923552495E-3</v>
      </c>
      <c r="I574" s="441">
        <v>-6.4323562062745714E-3</v>
      </c>
      <c r="J574" s="294"/>
      <c r="K574" s="308"/>
      <c r="L574" s="308"/>
      <c r="M574" s="308"/>
      <c r="N574" s="308"/>
      <c r="O574" s="308"/>
      <c r="P574" s="308"/>
    </row>
    <row r="575" spans="1:16" hidden="1" outlineLevel="1" x14ac:dyDescent="0.3">
      <c r="A575" s="294" t="s">
        <v>6003</v>
      </c>
      <c r="B575" s="294" t="s">
        <v>855</v>
      </c>
      <c r="C575" s="294" t="s">
        <v>775</v>
      </c>
      <c r="D575" s="443">
        <v>-4.3E-3</v>
      </c>
      <c r="E575" s="441">
        <v>-4.6121449082352408E-3</v>
      </c>
      <c r="F575" s="441">
        <v>-5.5243633632811456E-3</v>
      </c>
      <c r="G575" s="441">
        <v>-5.8439619773414421E-3</v>
      </c>
      <c r="H575" s="441">
        <v>-6.1820501923552495E-3</v>
      </c>
      <c r="I575" s="441">
        <v>-6.4323562062745714E-3</v>
      </c>
      <c r="J575" s="294"/>
      <c r="K575" s="308"/>
      <c r="L575" s="308"/>
      <c r="M575" s="308"/>
      <c r="N575" s="308"/>
      <c r="O575" s="308"/>
      <c r="P575" s="308"/>
    </row>
    <row r="576" spans="1:16" hidden="1" outlineLevel="1" x14ac:dyDescent="0.3">
      <c r="A576" s="294" t="s">
        <v>6003</v>
      </c>
      <c r="B576" s="294" t="s">
        <v>855</v>
      </c>
      <c r="C576" s="294" t="s">
        <v>779</v>
      </c>
      <c r="D576" s="443">
        <v>-4.3E-3</v>
      </c>
      <c r="E576" s="441">
        <v>-4.6121449082352408E-3</v>
      </c>
      <c r="F576" s="441">
        <v>-5.5243633632811456E-3</v>
      </c>
      <c r="G576" s="441">
        <v>-5.8439619773414421E-3</v>
      </c>
      <c r="H576" s="441">
        <v>-6.1820501923552495E-3</v>
      </c>
      <c r="I576" s="441">
        <v>-6.4323562062745714E-3</v>
      </c>
      <c r="J576" s="294"/>
      <c r="K576" s="308"/>
      <c r="L576" s="308"/>
      <c r="M576" s="308"/>
      <c r="N576" s="308"/>
      <c r="O576" s="308"/>
      <c r="P576" s="308"/>
    </row>
    <row r="577" spans="1:16" hidden="1" outlineLevel="1" x14ac:dyDescent="0.3">
      <c r="A577" s="294" t="s">
        <v>6003</v>
      </c>
      <c r="B577" s="294" t="s">
        <v>894</v>
      </c>
      <c r="C577" s="294" t="s">
        <v>781</v>
      </c>
      <c r="D577" s="443">
        <v>-4.3E-3</v>
      </c>
      <c r="E577" s="441">
        <v>-4.6121449082352408E-3</v>
      </c>
      <c r="F577" s="441">
        <v>-5.5243633632811456E-3</v>
      </c>
      <c r="G577" s="441">
        <v>-5.8439619773414421E-3</v>
      </c>
      <c r="H577" s="441">
        <v>-6.1820501923552495E-3</v>
      </c>
      <c r="I577" s="441">
        <v>-6.4323562062745714E-3</v>
      </c>
      <c r="J577" s="294"/>
      <c r="K577" s="308"/>
      <c r="L577" s="308"/>
      <c r="M577" s="308"/>
      <c r="N577" s="308"/>
      <c r="O577" s="308"/>
      <c r="P577" s="308"/>
    </row>
    <row r="578" spans="1:16" hidden="1" outlineLevel="1" x14ac:dyDescent="0.3">
      <c r="A578" s="294" t="s">
        <v>6003</v>
      </c>
      <c r="B578" s="294" t="s">
        <v>894</v>
      </c>
      <c r="C578" s="294" t="s">
        <v>783</v>
      </c>
      <c r="D578" s="443">
        <v>-4.3E-3</v>
      </c>
      <c r="E578" s="441">
        <v>-4.6121449082352408E-3</v>
      </c>
      <c r="F578" s="441">
        <v>-5.5243633632811456E-3</v>
      </c>
      <c r="G578" s="441">
        <v>-5.8439619773414421E-3</v>
      </c>
      <c r="H578" s="441">
        <v>-6.1820501923552495E-3</v>
      </c>
      <c r="I578" s="441">
        <v>-6.4323562062745714E-3</v>
      </c>
      <c r="J578" s="294"/>
      <c r="K578" s="308"/>
      <c r="L578" s="308"/>
      <c r="M578" s="308"/>
      <c r="N578" s="308"/>
      <c r="O578" s="308"/>
      <c r="P578" s="308"/>
    </row>
    <row r="579" spans="1:16" hidden="1" outlineLevel="1" x14ac:dyDescent="0.3">
      <c r="A579" s="294" t="s">
        <v>6003</v>
      </c>
      <c r="B579" s="294" t="s">
        <v>894</v>
      </c>
      <c r="C579" s="294" t="s">
        <v>785</v>
      </c>
      <c r="D579" s="443">
        <v>-4.3E-3</v>
      </c>
      <c r="E579" s="441">
        <v>-4.6121449082352408E-3</v>
      </c>
      <c r="F579" s="441">
        <v>-5.5243633632811456E-3</v>
      </c>
      <c r="G579" s="441">
        <v>-5.8439619773414421E-3</v>
      </c>
      <c r="H579" s="441">
        <v>-6.1820501923552495E-3</v>
      </c>
      <c r="I579" s="441">
        <v>-6.4323562062745714E-3</v>
      </c>
      <c r="J579" s="294"/>
      <c r="K579" s="308"/>
      <c r="L579" s="308"/>
      <c r="M579" s="308"/>
      <c r="N579" s="308"/>
      <c r="O579" s="308"/>
      <c r="P579" s="308"/>
    </row>
    <row r="580" spans="1:16" hidden="1" outlineLevel="1" x14ac:dyDescent="0.3">
      <c r="A580" s="294" t="s">
        <v>6003</v>
      </c>
      <c r="B580" s="294" t="s">
        <v>894</v>
      </c>
      <c r="C580" s="294" t="s">
        <v>787</v>
      </c>
      <c r="D580" s="443">
        <v>-4.3E-3</v>
      </c>
      <c r="E580" s="441">
        <v>-4.6121449082352408E-3</v>
      </c>
      <c r="F580" s="441">
        <v>-5.5243633632811456E-3</v>
      </c>
      <c r="G580" s="441">
        <v>-5.8439619773414421E-3</v>
      </c>
      <c r="H580" s="441">
        <v>-6.1820501923552495E-3</v>
      </c>
      <c r="I580" s="441">
        <v>-6.4323562062745714E-3</v>
      </c>
      <c r="J580" s="294"/>
      <c r="K580" s="308"/>
      <c r="L580" s="308"/>
      <c r="M580" s="308"/>
      <c r="N580" s="308"/>
      <c r="O580" s="308"/>
      <c r="P580" s="308"/>
    </row>
    <row r="581" spans="1:16" hidden="1" outlineLevel="1" x14ac:dyDescent="0.3">
      <c r="A581" s="294" t="s">
        <v>6003</v>
      </c>
      <c r="B581" s="294" t="s">
        <v>894</v>
      </c>
      <c r="C581" s="294" t="s">
        <v>788</v>
      </c>
      <c r="D581" s="443">
        <v>-4.3E-3</v>
      </c>
      <c r="E581" s="441">
        <v>-4.6121449082352408E-3</v>
      </c>
      <c r="F581" s="441">
        <v>-5.5243633632811456E-3</v>
      </c>
      <c r="G581" s="441">
        <v>-5.8439619773414421E-3</v>
      </c>
      <c r="H581" s="441">
        <v>-6.1820501923552495E-3</v>
      </c>
      <c r="I581" s="441">
        <v>-6.4323562062745714E-3</v>
      </c>
      <c r="J581" s="294"/>
      <c r="K581" s="308"/>
      <c r="L581" s="308"/>
      <c r="M581" s="308"/>
      <c r="N581" s="308"/>
      <c r="O581" s="308"/>
      <c r="P581" s="308"/>
    </row>
    <row r="582" spans="1:16" hidden="1" outlineLevel="1" x14ac:dyDescent="0.3">
      <c r="A582" s="294" t="s">
        <v>6003</v>
      </c>
      <c r="B582" s="294" t="s">
        <v>894</v>
      </c>
      <c r="C582" s="294" t="s">
        <v>789</v>
      </c>
      <c r="D582" s="443">
        <v>-4.3E-3</v>
      </c>
      <c r="E582" s="441">
        <v>-4.6121449082352408E-3</v>
      </c>
      <c r="F582" s="441">
        <v>-5.5243633632811456E-3</v>
      </c>
      <c r="G582" s="441">
        <v>-5.8439619773414421E-3</v>
      </c>
      <c r="H582" s="441">
        <v>-6.1820501923552495E-3</v>
      </c>
      <c r="I582" s="441">
        <v>-6.4323562062745714E-3</v>
      </c>
      <c r="J582" s="294"/>
      <c r="K582" s="308"/>
      <c r="L582" s="308"/>
      <c r="M582" s="308"/>
      <c r="N582" s="308"/>
      <c r="O582" s="308"/>
      <c r="P582" s="308"/>
    </row>
    <row r="583" spans="1:16" hidden="1" outlineLevel="1" x14ac:dyDescent="0.3">
      <c r="A583" s="294" t="s">
        <v>6003</v>
      </c>
      <c r="B583" s="294" t="s">
        <v>894</v>
      </c>
      <c r="C583" s="294" t="s">
        <v>790</v>
      </c>
      <c r="D583" s="443">
        <v>-4.3E-3</v>
      </c>
      <c r="E583" s="441">
        <v>-4.6121449082352408E-3</v>
      </c>
      <c r="F583" s="441">
        <v>-5.5243633632811456E-3</v>
      </c>
      <c r="G583" s="441">
        <v>-5.8439619773414421E-3</v>
      </c>
      <c r="H583" s="441">
        <v>-6.1820501923552495E-3</v>
      </c>
      <c r="I583" s="441">
        <v>-6.4323562062745714E-3</v>
      </c>
      <c r="J583" s="294"/>
      <c r="K583" s="308"/>
      <c r="L583" s="308"/>
      <c r="M583" s="308"/>
      <c r="N583" s="308"/>
      <c r="O583" s="308"/>
      <c r="P583" s="308"/>
    </row>
    <row r="584" spans="1:16" hidden="1" outlineLevel="1" x14ac:dyDescent="0.3">
      <c r="A584" s="294" t="s">
        <v>6003</v>
      </c>
      <c r="B584" s="294" t="s">
        <v>894</v>
      </c>
      <c r="C584" s="294" t="s">
        <v>793</v>
      </c>
      <c r="D584" s="443">
        <v>-4.3E-3</v>
      </c>
      <c r="E584" s="441">
        <v>-4.6121449082352408E-3</v>
      </c>
      <c r="F584" s="441">
        <v>-5.5243633632811456E-3</v>
      </c>
      <c r="G584" s="441">
        <v>-5.8439619773414421E-3</v>
      </c>
      <c r="H584" s="441">
        <v>-6.1820501923552495E-3</v>
      </c>
      <c r="I584" s="441">
        <v>-6.4323562062745714E-3</v>
      </c>
      <c r="J584" s="294"/>
      <c r="K584" s="308"/>
      <c r="L584" s="308"/>
      <c r="M584" s="308"/>
      <c r="N584" s="308"/>
      <c r="O584" s="308"/>
      <c r="P584" s="308"/>
    </row>
    <row r="585" spans="1:16" hidden="1" outlineLevel="1" x14ac:dyDescent="0.3">
      <c r="A585" s="294" t="s">
        <v>6003</v>
      </c>
      <c r="B585" s="294" t="s">
        <v>894</v>
      </c>
      <c r="C585" s="294" t="s">
        <v>795</v>
      </c>
      <c r="D585" s="443">
        <v>-4.3E-3</v>
      </c>
      <c r="E585" s="441">
        <v>-4.6121449082352408E-3</v>
      </c>
      <c r="F585" s="441">
        <v>-5.5243633632811456E-3</v>
      </c>
      <c r="G585" s="441">
        <v>-5.8439619773414421E-3</v>
      </c>
      <c r="H585" s="441">
        <v>-6.1820501923552495E-3</v>
      </c>
      <c r="I585" s="441">
        <v>-6.4323562062745714E-3</v>
      </c>
      <c r="J585" s="294"/>
      <c r="K585" s="308"/>
      <c r="L585" s="308"/>
      <c r="M585" s="308"/>
      <c r="N585" s="308"/>
      <c r="O585" s="308"/>
      <c r="P585" s="308"/>
    </row>
    <row r="586" spans="1:16" hidden="1" outlineLevel="1" x14ac:dyDescent="0.3">
      <c r="A586" s="294" t="s">
        <v>6003</v>
      </c>
      <c r="B586" s="294" t="s">
        <v>894</v>
      </c>
      <c r="C586" s="294" t="s">
        <v>797</v>
      </c>
      <c r="D586" s="443">
        <v>-4.3E-3</v>
      </c>
      <c r="E586" s="441">
        <v>-4.6121449082352408E-3</v>
      </c>
      <c r="F586" s="441">
        <v>-5.5243633632811456E-3</v>
      </c>
      <c r="G586" s="441">
        <v>-5.8439619773414421E-3</v>
      </c>
      <c r="H586" s="441">
        <v>-6.1820501923552495E-3</v>
      </c>
      <c r="I586" s="441">
        <v>-6.4323562062745714E-3</v>
      </c>
      <c r="J586" s="294"/>
      <c r="K586" s="308"/>
      <c r="L586" s="308"/>
      <c r="M586" s="308"/>
      <c r="N586" s="308"/>
      <c r="O586" s="308"/>
      <c r="P586" s="308"/>
    </row>
    <row r="587" spans="1:16" hidden="1" outlineLevel="1" x14ac:dyDescent="0.3">
      <c r="A587" s="294" t="s">
        <v>6003</v>
      </c>
      <c r="B587" s="294" t="s">
        <v>915</v>
      </c>
      <c r="C587" s="294" t="s">
        <v>799</v>
      </c>
      <c r="D587" s="443">
        <v>-4.3E-3</v>
      </c>
      <c r="E587" s="441">
        <v>-4.6121449082352408E-3</v>
      </c>
      <c r="F587" s="441">
        <v>-5.5243633632811456E-3</v>
      </c>
      <c r="G587" s="441">
        <v>-5.8439619773414421E-3</v>
      </c>
      <c r="H587" s="441">
        <v>-6.1820501923552495E-3</v>
      </c>
      <c r="I587" s="441">
        <v>-6.4323562062745714E-3</v>
      </c>
      <c r="J587" s="294"/>
      <c r="K587" s="308"/>
      <c r="L587" s="308"/>
      <c r="M587" s="308"/>
      <c r="N587" s="308"/>
      <c r="O587" s="308"/>
      <c r="P587" s="308"/>
    </row>
    <row r="588" spans="1:16" hidden="1" outlineLevel="1" x14ac:dyDescent="0.3">
      <c r="A588" s="294" t="s">
        <v>6003</v>
      </c>
      <c r="B588" s="294" t="s">
        <v>915</v>
      </c>
      <c r="C588" s="294" t="s">
        <v>801</v>
      </c>
      <c r="D588" s="443">
        <v>-4.3E-3</v>
      </c>
      <c r="E588" s="441">
        <v>-4.6121449082352408E-3</v>
      </c>
      <c r="F588" s="441">
        <v>-5.5243633632811456E-3</v>
      </c>
      <c r="G588" s="441">
        <v>-5.8439619773414421E-3</v>
      </c>
      <c r="H588" s="441">
        <v>-6.1820501923552495E-3</v>
      </c>
      <c r="I588" s="441">
        <v>-6.4323562062745714E-3</v>
      </c>
      <c r="J588" s="294"/>
      <c r="K588" s="308"/>
      <c r="L588" s="308"/>
      <c r="M588" s="308"/>
      <c r="N588" s="308"/>
      <c r="O588" s="308"/>
      <c r="P588" s="308"/>
    </row>
    <row r="589" spans="1:16" hidden="1" outlineLevel="1" x14ac:dyDescent="0.3">
      <c r="A589" s="294" t="s">
        <v>6003</v>
      </c>
      <c r="B589" s="294" t="s">
        <v>915</v>
      </c>
      <c r="C589" s="294" t="s">
        <v>804</v>
      </c>
      <c r="D589" s="443">
        <v>-4.3E-3</v>
      </c>
      <c r="E589" s="441">
        <v>-4.6121449082352408E-3</v>
      </c>
      <c r="F589" s="441">
        <v>-5.5243633632811456E-3</v>
      </c>
      <c r="G589" s="441">
        <v>-5.8439619773414421E-3</v>
      </c>
      <c r="H589" s="441">
        <v>-6.1820501923552495E-3</v>
      </c>
      <c r="I589" s="441">
        <v>-6.4323562062745714E-3</v>
      </c>
      <c r="J589" s="294"/>
      <c r="K589" s="308"/>
      <c r="L589" s="308"/>
      <c r="M589" s="308"/>
      <c r="N589" s="308"/>
      <c r="O589" s="308"/>
      <c r="P589" s="308"/>
    </row>
    <row r="590" spans="1:16" hidden="1" outlineLevel="1" x14ac:dyDescent="0.3">
      <c r="A590" s="294" t="s">
        <v>6003</v>
      </c>
      <c r="B590" s="294" t="s">
        <v>915</v>
      </c>
      <c r="C590" s="294" t="s">
        <v>806</v>
      </c>
      <c r="D590" s="443">
        <v>-4.3E-3</v>
      </c>
      <c r="E590" s="441">
        <v>-4.6121449082352408E-3</v>
      </c>
      <c r="F590" s="441">
        <v>-5.5243633632811456E-3</v>
      </c>
      <c r="G590" s="441">
        <v>-5.8439619773414421E-3</v>
      </c>
      <c r="H590" s="441">
        <v>-6.1820501923552495E-3</v>
      </c>
      <c r="I590" s="441">
        <v>-6.4323562062745714E-3</v>
      </c>
      <c r="J590" s="294"/>
      <c r="K590" s="308"/>
      <c r="L590" s="308"/>
      <c r="M590" s="308"/>
      <c r="N590" s="308"/>
      <c r="O590" s="308"/>
      <c r="P590" s="308"/>
    </row>
    <row r="591" spans="1:16" hidden="1" outlineLevel="1" x14ac:dyDescent="0.3">
      <c r="A591" s="294" t="s">
        <v>6003</v>
      </c>
      <c r="B591" s="294" t="s">
        <v>915</v>
      </c>
      <c r="C591" s="294" t="s">
        <v>808</v>
      </c>
      <c r="D591" s="443">
        <v>-4.3E-3</v>
      </c>
      <c r="E591" s="441">
        <v>-4.6121449082352408E-3</v>
      </c>
      <c r="F591" s="441">
        <v>-5.5243633632811456E-3</v>
      </c>
      <c r="G591" s="441">
        <v>-5.8439619773414421E-3</v>
      </c>
      <c r="H591" s="441">
        <v>-6.1820501923552495E-3</v>
      </c>
      <c r="I591" s="441">
        <v>-6.4323562062745714E-3</v>
      </c>
      <c r="J591" s="294"/>
      <c r="K591" s="308"/>
      <c r="L591" s="308"/>
      <c r="M591" s="308"/>
      <c r="N591" s="308"/>
      <c r="O591" s="308"/>
      <c r="P591" s="308"/>
    </row>
    <row r="592" spans="1:16" hidden="1" outlineLevel="1" x14ac:dyDescent="0.3">
      <c r="A592" s="294" t="s">
        <v>6003</v>
      </c>
      <c r="B592" s="294" t="s">
        <v>915</v>
      </c>
      <c r="C592" s="294" t="s">
        <v>811</v>
      </c>
      <c r="D592" s="443">
        <v>-4.3E-3</v>
      </c>
      <c r="E592" s="441">
        <v>-4.6121449082352408E-3</v>
      </c>
      <c r="F592" s="441">
        <v>-5.5243633632811456E-3</v>
      </c>
      <c r="G592" s="441">
        <v>-5.8439619773414421E-3</v>
      </c>
      <c r="H592" s="441">
        <v>-6.1820501923552495E-3</v>
      </c>
      <c r="I592" s="441">
        <v>-6.4323562062745714E-3</v>
      </c>
      <c r="J592" s="294"/>
      <c r="K592" s="308"/>
      <c r="L592" s="308"/>
      <c r="M592" s="308"/>
      <c r="N592" s="308"/>
      <c r="O592" s="308"/>
      <c r="P592" s="308"/>
    </row>
    <row r="593" spans="1:16" hidden="1" outlineLevel="1" x14ac:dyDescent="0.3">
      <c r="A593" s="294" t="s">
        <v>6003</v>
      </c>
      <c r="B593" s="294" t="s">
        <v>934</v>
      </c>
      <c r="C593" s="294" t="s">
        <v>814</v>
      </c>
      <c r="D593" s="443">
        <v>-4.3E-3</v>
      </c>
      <c r="E593" s="441">
        <v>-4.6121449082352408E-3</v>
      </c>
      <c r="F593" s="441">
        <v>-5.5243633632811456E-3</v>
      </c>
      <c r="G593" s="441">
        <v>-5.8439619773414421E-3</v>
      </c>
      <c r="H593" s="441">
        <v>-6.1820501923552495E-3</v>
      </c>
      <c r="I593" s="441">
        <v>-6.4323562062745714E-3</v>
      </c>
      <c r="J593" s="294"/>
      <c r="K593" s="308"/>
      <c r="L593" s="308"/>
      <c r="M593" s="308"/>
      <c r="N593" s="308"/>
      <c r="O593" s="308"/>
      <c r="P593" s="308"/>
    </row>
    <row r="594" spans="1:16" hidden="1" outlineLevel="1" x14ac:dyDescent="0.3">
      <c r="A594" s="294" t="s">
        <v>6003</v>
      </c>
      <c r="B594" s="294" t="s">
        <v>934</v>
      </c>
      <c r="C594" s="294" t="s">
        <v>815</v>
      </c>
      <c r="D594" s="443">
        <v>-4.3E-3</v>
      </c>
      <c r="E594" s="441">
        <v>-4.2797528812318951E-3</v>
      </c>
      <c r="F594" s="441">
        <v>-4.8524150123587318E-3</v>
      </c>
      <c r="G594" s="441">
        <v>-5.1874373124270534E-3</v>
      </c>
      <c r="H594" s="441">
        <v>-5.5455903507478132E-3</v>
      </c>
      <c r="I594" s="441">
        <v>-5.7703752431508002E-3</v>
      </c>
      <c r="J594" s="294"/>
      <c r="K594" s="308"/>
      <c r="L594" s="308"/>
      <c r="M594" s="308"/>
      <c r="N594" s="308"/>
      <c r="O594" s="308"/>
      <c r="P594" s="308"/>
    </row>
    <row r="595" spans="1:16" hidden="1" outlineLevel="1" x14ac:dyDescent="0.3">
      <c r="A595" s="294" t="s">
        <v>6003</v>
      </c>
      <c r="B595" s="294" t="s">
        <v>940</v>
      </c>
      <c r="C595" s="294" t="s">
        <v>817</v>
      </c>
      <c r="D595" s="443">
        <v>-4.3E-3</v>
      </c>
      <c r="E595" s="441">
        <v>-4.2797528812318951E-3</v>
      </c>
      <c r="F595" s="441">
        <v>-4.8524150123587318E-3</v>
      </c>
      <c r="G595" s="441">
        <v>-5.1874373124270534E-3</v>
      </c>
      <c r="H595" s="441">
        <v>-5.5455903507478132E-3</v>
      </c>
      <c r="I595" s="441">
        <v>-5.7703752431508002E-3</v>
      </c>
      <c r="J595" s="294"/>
      <c r="K595" s="308"/>
      <c r="L595" s="308"/>
      <c r="M595" s="308"/>
      <c r="N595" s="308"/>
      <c r="O595" s="308"/>
      <c r="P595" s="308"/>
    </row>
    <row r="596" spans="1:16" hidden="1" outlineLevel="1" x14ac:dyDescent="0.3">
      <c r="A596" s="294" t="s">
        <v>6003</v>
      </c>
      <c r="B596" s="294" t="s">
        <v>940</v>
      </c>
      <c r="C596" s="294" t="s">
        <v>944</v>
      </c>
      <c r="D596" s="443">
        <v>-4.3E-3</v>
      </c>
      <c r="E596" s="441">
        <v>-4.2797528812318951E-3</v>
      </c>
      <c r="F596" s="441">
        <v>-4.8524150123587318E-3</v>
      </c>
      <c r="G596" s="441">
        <v>-5.1874373124270534E-3</v>
      </c>
      <c r="H596" s="441">
        <v>-5.5455903507478132E-3</v>
      </c>
      <c r="I596" s="441">
        <v>-5.7703752431508002E-3</v>
      </c>
      <c r="J596" s="294"/>
      <c r="K596" s="308"/>
      <c r="L596" s="308"/>
      <c r="M596" s="308"/>
      <c r="N596" s="308"/>
      <c r="O596" s="308"/>
      <c r="P596" s="308"/>
    </row>
    <row r="597" spans="1:16" hidden="1" outlineLevel="1" x14ac:dyDescent="0.3">
      <c r="A597" s="294" t="s">
        <v>6003</v>
      </c>
      <c r="B597" s="294" t="s">
        <v>940</v>
      </c>
      <c r="C597" s="294" t="s">
        <v>821</v>
      </c>
      <c r="D597" s="443">
        <v>-4.3E-3</v>
      </c>
      <c r="E597" s="441">
        <v>-4.2797528812318951E-3</v>
      </c>
      <c r="F597" s="441">
        <v>-4.8524150123587318E-3</v>
      </c>
      <c r="G597" s="441">
        <v>-5.1874373124270534E-3</v>
      </c>
      <c r="H597" s="441">
        <v>-5.5455903507478132E-3</v>
      </c>
      <c r="I597" s="441">
        <v>-5.7703752431508002E-3</v>
      </c>
      <c r="J597" s="294"/>
      <c r="K597" s="308"/>
      <c r="L597" s="308"/>
      <c r="M597" s="308"/>
      <c r="N597" s="308"/>
      <c r="O597" s="308"/>
      <c r="P597" s="308"/>
    </row>
    <row r="598" spans="1:16" hidden="1" outlineLevel="1" x14ac:dyDescent="0.3">
      <c r="A598" s="294" t="s">
        <v>6003</v>
      </c>
      <c r="B598" s="294" t="s">
        <v>940</v>
      </c>
      <c r="C598" s="294" t="s">
        <v>823</v>
      </c>
      <c r="D598" s="443">
        <v>-4.3E-3</v>
      </c>
      <c r="E598" s="441">
        <v>-4.2797528812318951E-3</v>
      </c>
      <c r="F598" s="441">
        <v>-4.8524150123587318E-3</v>
      </c>
      <c r="G598" s="441">
        <v>-5.1874373124270534E-3</v>
      </c>
      <c r="H598" s="441">
        <v>-5.5455903507478132E-3</v>
      </c>
      <c r="I598" s="441">
        <v>-5.7703752431508002E-3</v>
      </c>
      <c r="J598" s="294"/>
      <c r="K598" s="308"/>
      <c r="L598" s="308"/>
      <c r="M598" s="308"/>
      <c r="N598" s="308"/>
      <c r="O598" s="308"/>
      <c r="P598" s="308"/>
    </row>
    <row r="599" spans="1:16" hidden="1" outlineLevel="1" x14ac:dyDescent="0.3">
      <c r="A599" s="294" t="s">
        <v>6003</v>
      </c>
      <c r="B599" s="294" t="s">
        <v>940</v>
      </c>
      <c r="C599" s="294" t="s">
        <v>825</v>
      </c>
      <c r="D599" s="443">
        <v>-4.3E-3</v>
      </c>
      <c r="E599" s="441">
        <v>-4.2797528812318951E-3</v>
      </c>
      <c r="F599" s="441">
        <v>-4.8524150123587318E-3</v>
      </c>
      <c r="G599" s="441">
        <v>-5.1874373124270534E-3</v>
      </c>
      <c r="H599" s="441">
        <v>-5.5455903507478132E-3</v>
      </c>
      <c r="I599" s="441">
        <v>-5.7703752431508002E-3</v>
      </c>
      <c r="J599" s="294"/>
      <c r="K599" s="308"/>
      <c r="L599" s="308"/>
      <c r="M599" s="308"/>
      <c r="N599" s="308"/>
      <c r="O599" s="308"/>
      <c r="P599" s="308"/>
    </row>
    <row r="600" spans="1:16" hidden="1" outlineLevel="1" x14ac:dyDescent="0.3">
      <c r="A600" s="294" t="s">
        <v>6003</v>
      </c>
      <c r="B600" s="294" t="s">
        <v>940</v>
      </c>
      <c r="C600" s="294" t="s">
        <v>827</v>
      </c>
      <c r="D600" s="443">
        <v>-4.3E-3</v>
      </c>
      <c r="E600" s="441">
        <v>-4.2797528812318951E-3</v>
      </c>
      <c r="F600" s="441">
        <v>-4.8524150123587318E-3</v>
      </c>
      <c r="G600" s="441">
        <v>-5.1874373124270534E-3</v>
      </c>
      <c r="H600" s="441">
        <v>-5.5455903507478132E-3</v>
      </c>
      <c r="I600" s="441">
        <v>-5.7703752431508002E-3</v>
      </c>
      <c r="J600" s="294"/>
      <c r="K600" s="308"/>
      <c r="L600" s="308"/>
      <c r="M600" s="308"/>
      <c r="N600" s="308"/>
      <c r="O600" s="308"/>
      <c r="P600" s="308"/>
    </row>
    <row r="601" spans="1:16" hidden="1" outlineLevel="1" x14ac:dyDescent="0.3">
      <c r="A601" s="294" t="s">
        <v>6003</v>
      </c>
      <c r="B601" s="294" t="s">
        <v>940</v>
      </c>
      <c r="C601" s="294" t="s">
        <v>829</v>
      </c>
      <c r="D601" s="443">
        <v>-4.3E-3</v>
      </c>
      <c r="E601" s="441">
        <v>-4.2797528812318951E-3</v>
      </c>
      <c r="F601" s="441">
        <v>-4.8524150123587318E-3</v>
      </c>
      <c r="G601" s="441">
        <v>-5.1874373124270534E-3</v>
      </c>
      <c r="H601" s="441">
        <v>-5.5455903507478132E-3</v>
      </c>
      <c r="I601" s="441">
        <v>-5.7703752431508002E-3</v>
      </c>
      <c r="J601" s="294"/>
      <c r="K601" s="308"/>
      <c r="L601" s="308"/>
      <c r="M601" s="308"/>
      <c r="N601" s="308"/>
      <c r="O601" s="308"/>
      <c r="P601" s="308"/>
    </row>
    <row r="602" spans="1:16" hidden="1" outlineLevel="1" x14ac:dyDescent="0.3">
      <c r="A602" s="294" t="s">
        <v>6003</v>
      </c>
      <c r="B602" s="294" t="s">
        <v>940</v>
      </c>
      <c r="C602" s="294" t="s">
        <v>833</v>
      </c>
      <c r="D602" s="443">
        <v>-4.3E-3</v>
      </c>
      <c r="E602" s="441">
        <v>-4.2797528812318951E-3</v>
      </c>
      <c r="F602" s="441">
        <v>-4.8524150123587318E-3</v>
      </c>
      <c r="G602" s="441">
        <v>-5.1874373124270534E-3</v>
      </c>
      <c r="H602" s="441">
        <v>-5.5455903507478132E-3</v>
      </c>
      <c r="I602" s="441">
        <v>-5.7703752431508002E-3</v>
      </c>
      <c r="J602" s="294"/>
      <c r="K602" s="308"/>
      <c r="L602" s="308"/>
      <c r="M602" s="308"/>
      <c r="N602" s="308"/>
      <c r="O602" s="308"/>
      <c r="P602" s="308"/>
    </row>
    <row r="603" spans="1:16" hidden="1" outlineLevel="1" x14ac:dyDescent="0.3">
      <c r="A603" s="294" t="s">
        <v>6003</v>
      </c>
      <c r="B603" s="294" t="s">
        <v>940</v>
      </c>
      <c r="C603" s="294" t="s">
        <v>836</v>
      </c>
      <c r="D603" s="443">
        <v>-4.3E-3</v>
      </c>
      <c r="E603" s="441">
        <v>-4.2797528812318951E-3</v>
      </c>
      <c r="F603" s="441">
        <v>-4.8524150123587318E-3</v>
      </c>
      <c r="G603" s="441">
        <v>-5.1874373124270534E-3</v>
      </c>
      <c r="H603" s="441">
        <v>-5.5455903507478132E-3</v>
      </c>
      <c r="I603" s="441">
        <v>-5.7703752431508002E-3</v>
      </c>
      <c r="J603" s="294"/>
      <c r="K603" s="308"/>
      <c r="L603" s="308"/>
      <c r="M603" s="308"/>
      <c r="N603" s="308"/>
      <c r="O603" s="308"/>
      <c r="P603" s="308"/>
    </row>
    <row r="604" spans="1:16" hidden="1" outlineLevel="1" x14ac:dyDescent="0.3">
      <c r="A604" s="294" t="s">
        <v>6003</v>
      </c>
      <c r="B604" s="294" t="s">
        <v>940</v>
      </c>
      <c r="C604" s="294" t="s">
        <v>837</v>
      </c>
      <c r="D604" s="443">
        <v>-4.3E-3</v>
      </c>
      <c r="E604" s="441">
        <v>-4.2797528812318951E-3</v>
      </c>
      <c r="F604" s="441">
        <v>-4.8524150123587318E-3</v>
      </c>
      <c r="G604" s="441">
        <v>-5.1874373124270534E-3</v>
      </c>
      <c r="H604" s="441">
        <v>-5.5455903507478132E-3</v>
      </c>
      <c r="I604" s="441">
        <v>-5.7703752431508002E-3</v>
      </c>
      <c r="J604" s="294"/>
      <c r="K604" s="308"/>
      <c r="L604" s="308"/>
      <c r="M604" s="308"/>
      <c r="N604" s="308"/>
      <c r="O604" s="308"/>
      <c r="P604" s="308"/>
    </row>
    <row r="605" spans="1:16" hidden="1" outlineLevel="1" x14ac:dyDescent="0.3">
      <c r="A605" s="294" t="s">
        <v>6003</v>
      </c>
      <c r="B605" s="294" t="s">
        <v>940</v>
      </c>
      <c r="C605" s="294" t="s">
        <v>839</v>
      </c>
      <c r="D605" s="443">
        <v>-4.3E-3</v>
      </c>
      <c r="E605" s="441">
        <v>-4.2797528812318951E-3</v>
      </c>
      <c r="F605" s="441">
        <v>-4.8524150123587318E-3</v>
      </c>
      <c r="G605" s="441">
        <v>-5.1874373124270534E-3</v>
      </c>
      <c r="H605" s="441">
        <v>-5.5455903507478132E-3</v>
      </c>
      <c r="I605" s="441">
        <v>-5.7703752431508002E-3</v>
      </c>
      <c r="J605" s="294"/>
      <c r="K605" s="308"/>
      <c r="L605" s="308"/>
      <c r="M605" s="308"/>
      <c r="N605" s="308"/>
      <c r="O605" s="308"/>
      <c r="P605" s="308"/>
    </row>
    <row r="606" spans="1:16" hidden="1" outlineLevel="1" x14ac:dyDescent="0.3">
      <c r="A606" s="294" t="s">
        <v>6003</v>
      </c>
      <c r="B606" s="294" t="s">
        <v>940</v>
      </c>
      <c r="C606" s="294" t="s">
        <v>840</v>
      </c>
      <c r="D606" s="443">
        <v>-4.3E-3</v>
      </c>
      <c r="E606" s="441">
        <v>-4.2797528812318951E-3</v>
      </c>
      <c r="F606" s="441">
        <v>-4.8524150123587318E-3</v>
      </c>
      <c r="G606" s="441">
        <v>-5.1874373124270534E-3</v>
      </c>
      <c r="H606" s="441">
        <v>-5.5455903507478132E-3</v>
      </c>
      <c r="I606" s="441">
        <v>-5.7703752431508002E-3</v>
      </c>
      <c r="J606" s="294"/>
      <c r="K606" s="308"/>
      <c r="L606" s="308"/>
      <c r="M606" s="308"/>
      <c r="N606" s="308"/>
      <c r="O606" s="308"/>
      <c r="P606" s="308"/>
    </row>
    <row r="607" spans="1:16" collapsed="1" x14ac:dyDescent="0.3">
      <c r="A607" s="294"/>
      <c r="B607" s="294"/>
      <c r="C607" s="293"/>
      <c r="D607" s="295"/>
      <c r="E607" s="295"/>
      <c r="F607" s="294"/>
      <c r="G607" s="294"/>
      <c r="H607" s="294"/>
      <c r="I607" s="294"/>
      <c r="J607" s="294"/>
      <c r="K607" s="308"/>
      <c r="L607" s="308"/>
      <c r="M607" s="308"/>
      <c r="N607" s="308"/>
      <c r="O607" s="308"/>
      <c r="P607" s="308"/>
    </row>
    <row r="608" spans="1:16" x14ac:dyDescent="0.3">
      <c r="A608" s="293" t="s">
        <v>6004</v>
      </c>
      <c r="B608" s="293"/>
      <c r="C608" s="298" t="s">
        <v>4032</v>
      </c>
      <c r="D608" s="442">
        <v>0</v>
      </c>
      <c r="E608" s="442">
        <v>401.55781826008098</v>
      </c>
      <c r="F608" s="442">
        <v>464.57542809830971</v>
      </c>
      <c r="G608" s="442">
        <v>527.59303793653805</v>
      </c>
      <c r="H608" s="442">
        <v>527.59303793653805</v>
      </c>
      <c r="I608" s="442">
        <v>590.61064777476577</v>
      </c>
      <c r="J608" s="293"/>
      <c r="K608" s="308"/>
      <c r="L608" s="308"/>
      <c r="M608" s="308"/>
      <c r="N608" s="308"/>
      <c r="O608" s="308"/>
      <c r="P608" s="308"/>
    </row>
    <row r="609" spans="1:16" x14ac:dyDescent="0.3">
      <c r="A609" s="297" t="s">
        <v>5</v>
      </c>
      <c r="B609" s="297" t="s">
        <v>847</v>
      </c>
      <c r="C609" s="297" t="s">
        <v>193</v>
      </c>
      <c r="D609" s="297">
        <v>2022</v>
      </c>
      <c r="E609" s="297">
        <v>2025</v>
      </c>
      <c r="F609" s="297">
        <v>2030</v>
      </c>
      <c r="G609" s="297">
        <v>2035</v>
      </c>
      <c r="H609" s="297">
        <v>2040</v>
      </c>
      <c r="I609" s="297">
        <v>2045</v>
      </c>
      <c r="J609" s="297" t="s">
        <v>153</v>
      </c>
      <c r="K609" t="s">
        <v>5933</v>
      </c>
      <c r="L609" s="308"/>
      <c r="M609" s="308"/>
      <c r="N609" s="308"/>
      <c r="O609" s="308"/>
      <c r="P609" s="308"/>
    </row>
    <row r="610" spans="1:16" hidden="1" outlineLevel="1" x14ac:dyDescent="0.3">
      <c r="A610" s="294" t="s">
        <v>6004</v>
      </c>
      <c r="B610" s="294" t="s">
        <v>855</v>
      </c>
      <c r="C610" s="294" t="s">
        <v>747</v>
      </c>
      <c r="D610" s="295">
        <v>0</v>
      </c>
      <c r="E610" s="444">
        <v>323.79408952141972</v>
      </c>
      <c r="F610" s="295">
        <v>310.71160675882743</v>
      </c>
      <c r="G610" s="295">
        <v>297.62912399623514</v>
      </c>
      <c r="H610" s="295">
        <v>297.62912399623514</v>
      </c>
      <c r="I610" s="295">
        <v>284.54664123364284</v>
      </c>
      <c r="J610" s="295" t="s">
        <v>5934</v>
      </c>
      <c r="K610" s="367">
        <v>2</v>
      </c>
      <c r="L610" s="308"/>
      <c r="M610" s="308"/>
      <c r="N610" s="308"/>
      <c r="O610" s="308"/>
      <c r="P610" s="308"/>
    </row>
    <row r="611" spans="1:16" hidden="1" outlineLevel="1" x14ac:dyDescent="0.3">
      <c r="A611" s="294" t="s">
        <v>6004</v>
      </c>
      <c r="B611" s="294" t="s">
        <v>855</v>
      </c>
      <c r="C611" s="294" t="s">
        <v>751</v>
      </c>
      <c r="D611" s="295">
        <v>0</v>
      </c>
      <c r="E611" s="444">
        <v>323.79408952141972</v>
      </c>
      <c r="F611" s="295">
        <v>310.71160675882743</v>
      </c>
      <c r="G611" s="295">
        <v>297.62912399623514</v>
      </c>
      <c r="H611" s="295">
        <v>297.62912399623514</v>
      </c>
      <c r="I611" s="295">
        <v>284.54664123364284</v>
      </c>
      <c r="J611" s="295" t="s">
        <v>5934</v>
      </c>
      <c r="K611" s="367">
        <v>2</v>
      </c>
      <c r="L611" s="308"/>
      <c r="M611" s="308"/>
      <c r="N611" s="308"/>
      <c r="O611" s="308"/>
      <c r="P611" s="308"/>
    </row>
    <row r="612" spans="1:16" hidden="1" outlineLevel="1" x14ac:dyDescent="0.3">
      <c r="A612" s="294" t="s">
        <v>6004</v>
      </c>
      <c r="B612" s="294" t="s">
        <v>855</v>
      </c>
      <c r="C612" s="294" t="s">
        <v>755</v>
      </c>
      <c r="D612" s="295">
        <v>0</v>
      </c>
      <c r="E612" s="444">
        <v>323.79408952141972</v>
      </c>
      <c r="F612" s="295">
        <v>310.71160675882743</v>
      </c>
      <c r="G612" s="295">
        <v>297.62912399623514</v>
      </c>
      <c r="H612" s="295">
        <v>297.62912399623514</v>
      </c>
      <c r="I612" s="295">
        <v>284.54664123364284</v>
      </c>
      <c r="J612" s="295" t="s">
        <v>5934</v>
      </c>
      <c r="K612" s="367">
        <v>2</v>
      </c>
      <c r="L612" s="308"/>
      <c r="M612" s="308"/>
      <c r="N612" s="308"/>
      <c r="O612" s="308"/>
      <c r="P612" s="308"/>
    </row>
    <row r="613" spans="1:16" hidden="1" outlineLevel="1" x14ac:dyDescent="0.3">
      <c r="A613" s="294" t="s">
        <v>6004</v>
      </c>
      <c r="B613" s="294" t="s">
        <v>855</v>
      </c>
      <c r="C613" s="294" t="s">
        <v>758</v>
      </c>
      <c r="D613" s="295">
        <v>0</v>
      </c>
      <c r="E613" s="444">
        <v>323.79408952141972</v>
      </c>
      <c r="F613" s="295">
        <v>310.71160675882743</v>
      </c>
      <c r="G613" s="295">
        <v>297.62912399623514</v>
      </c>
      <c r="H613" s="295">
        <v>297.62912399623514</v>
      </c>
      <c r="I613" s="295">
        <v>284.54664123364284</v>
      </c>
      <c r="J613" s="295" t="s">
        <v>5934</v>
      </c>
      <c r="K613" s="367">
        <v>2</v>
      </c>
      <c r="L613" s="308"/>
      <c r="M613" s="308"/>
      <c r="N613" s="308"/>
      <c r="O613" s="308"/>
      <c r="P613" s="308"/>
    </row>
    <row r="614" spans="1:16" hidden="1" outlineLevel="1" x14ac:dyDescent="0.3">
      <c r="A614" s="294" t="s">
        <v>6004</v>
      </c>
      <c r="B614" s="294" t="s">
        <v>855</v>
      </c>
      <c r="C614" s="294" t="s">
        <v>761</v>
      </c>
      <c r="D614" s="295">
        <v>0</v>
      </c>
      <c r="E614" s="444">
        <v>323.79408952141972</v>
      </c>
      <c r="F614" s="295">
        <v>310.71160675882743</v>
      </c>
      <c r="G614" s="295">
        <v>297.62912399623514</v>
      </c>
      <c r="H614" s="295">
        <v>297.62912399623514</v>
      </c>
      <c r="I614" s="295">
        <v>284.54664123364284</v>
      </c>
      <c r="J614" s="295" t="s">
        <v>5934</v>
      </c>
      <c r="K614" s="367">
        <v>2</v>
      </c>
      <c r="L614" s="308"/>
      <c r="M614" s="308"/>
      <c r="N614" s="308"/>
      <c r="O614" s="308"/>
      <c r="P614" s="308"/>
    </row>
    <row r="615" spans="1:16" hidden="1" outlineLevel="1" x14ac:dyDescent="0.3">
      <c r="A615" s="294" t="s">
        <v>6004</v>
      </c>
      <c r="B615" s="294" t="s">
        <v>855</v>
      </c>
      <c r="C615" s="294" t="s">
        <v>763</v>
      </c>
      <c r="D615" s="295">
        <v>0</v>
      </c>
      <c r="E615" s="444">
        <v>323.79408952141972</v>
      </c>
      <c r="F615" s="295">
        <v>310.71160675882743</v>
      </c>
      <c r="G615" s="295">
        <v>297.62912399623514</v>
      </c>
      <c r="H615" s="295">
        <v>297.62912399623514</v>
      </c>
      <c r="I615" s="295">
        <v>284.54664123364284</v>
      </c>
      <c r="J615" s="295" t="s">
        <v>5934</v>
      </c>
      <c r="K615" s="367">
        <v>2</v>
      </c>
      <c r="L615" s="308"/>
      <c r="M615" s="308"/>
      <c r="N615" s="308"/>
      <c r="O615" s="308"/>
      <c r="P615" s="308"/>
    </row>
    <row r="616" spans="1:16" hidden="1" outlineLevel="1" x14ac:dyDescent="0.3">
      <c r="A616" s="294" t="s">
        <v>6004</v>
      </c>
      <c r="B616" s="294" t="s">
        <v>855</v>
      </c>
      <c r="C616" s="294" t="s">
        <v>765</v>
      </c>
      <c r="D616" s="295">
        <v>0</v>
      </c>
      <c r="E616" s="444">
        <v>323.79408952141972</v>
      </c>
      <c r="F616" s="295">
        <v>310.71160675882743</v>
      </c>
      <c r="G616" s="295">
        <v>297.62912399623514</v>
      </c>
      <c r="H616" s="295">
        <v>297.62912399623514</v>
      </c>
      <c r="I616" s="295">
        <v>284.54664123364284</v>
      </c>
      <c r="J616" s="295" t="s">
        <v>5934</v>
      </c>
      <c r="K616" s="367">
        <v>2</v>
      </c>
      <c r="L616" s="308"/>
      <c r="M616" s="308"/>
      <c r="N616" s="308"/>
      <c r="O616" s="308"/>
      <c r="P616" s="308"/>
    </row>
    <row r="617" spans="1:16" hidden="1" outlineLevel="1" x14ac:dyDescent="0.3">
      <c r="A617" s="294" t="s">
        <v>6004</v>
      </c>
      <c r="B617" s="294" t="s">
        <v>855</v>
      </c>
      <c r="C617" s="294" t="s">
        <v>768</v>
      </c>
      <c r="D617" s="295">
        <v>0</v>
      </c>
      <c r="E617" s="444">
        <v>323.79408952141972</v>
      </c>
      <c r="F617" s="295">
        <v>310.71160675882743</v>
      </c>
      <c r="G617" s="295">
        <v>297.62912399623514</v>
      </c>
      <c r="H617" s="295">
        <v>297.62912399623514</v>
      </c>
      <c r="I617" s="295">
        <v>284.54664123364284</v>
      </c>
      <c r="J617" s="295" t="s">
        <v>5934</v>
      </c>
      <c r="K617" s="367">
        <v>2</v>
      </c>
      <c r="L617" s="308"/>
      <c r="M617" s="308"/>
      <c r="N617" s="308"/>
      <c r="O617" s="308"/>
      <c r="P617" s="308"/>
    </row>
    <row r="618" spans="1:16" hidden="1" outlineLevel="1" x14ac:dyDescent="0.3">
      <c r="A618" s="294" t="s">
        <v>6004</v>
      </c>
      <c r="B618" s="294" t="s">
        <v>855</v>
      </c>
      <c r="C618" s="294" t="s">
        <v>771</v>
      </c>
      <c r="D618" s="295">
        <v>0</v>
      </c>
      <c r="E618" s="444">
        <v>323.79408952141972</v>
      </c>
      <c r="F618" s="295">
        <v>310.71160675882743</v>
      </c>
      <c r="G618" s="295">
        <v>297.62912399623514</v>
      </c>
      <c r="H618" s="295">
        <v>297.62912399623514</v>
      </c>
      <c r="I618" s="295">
        <v>284.54664123364284</v>
      </c>
      <c r="J618" s="295" t="s">
        <v>5934</v>
      </c>
      <c r="K618" s="367">
        <v>2</v>
      </c>
      <c r="L618" s="308"/>
      <c r="M618" s="308"/>
      <c r="N618" s="308"/>
      <c r="O618" s="308"/>
      <c r="P618" s="308"/>
    </row>
    <row r="619" spans="1:16" hidden="1" outlineLevel="1" x14ac:dyDescent="0.3">
      <c r="A619" s="294" t="s">
        <v>6004</v>
      </c>
      <c r="B619" s="294" t="s">
        <v>855</v>
      </c>
      <c r="C619" s="294" t="s">
        <v>772</v>
      </c>
      <c r="D619" s="295">
        <v>0</v>
      </c>
      <c r="E619" s="444">
        <v>323.79408952141972</v>
      </c>
      <c r="F619" s="295">
        <v>310.71160675882743</v>
      </c>
      <c r="G619" s="295">
        <v>297.62912399623514</v>
      </c>
      <c r="H619" s="295">
        <v>297.62912399623514</v>
      </c>
      <c r="I619" s="295">
        <v>284.54664123364284</v>
      </c>
      <c r="J619" s="295" t="s">
        <v>5934</v>
      </c>
      <c r="K619" s="367">
        <v>2</v>
      </c>
      <c r="L619" s="308"/>
      <c r="M619" s="308"/>
      <c r="N619" s="308"/>
      <c r="O619" s="308"/>
      <c r="P619" s="308"/>
    </row>
    <row r="620" spans="1:16" hidden="1" outlineLevel="1" x14ac:dyDescent="0.3">
      <c r="A620" s="294" t="s">
        <v>6004</v>
      </c>
      <c r="B620" s="294" t="s">
        <v>855</v>
      </c>
      <c r="C620" s="294" t="s">
        <v>774</v>
      </c>
      <c r="D620" s="295">
        <v>0</v>
      </c>
      <c r="E620" s="444">
        <v>323.79408952141972</v>
      </c>
      <c r="F620" s="295">
        <v>310.71160675882743</v>
      </c>
      <c r="G620" s="295">
        <v>297.62912399623514</v>
      </c>
      <c r="H620" s="295">
        <v>297.62912399623514</v>
      </c>
      <c r="I620" s="295">
        <v>284.54664123364284</v>
      </c>
      <c r="J620" s="295" t="s">
        <v>5934</v>
      </c>
      <c r="K620" s="367">
        <v>2</v>
      </c>
      <c r="L620" s="308"/>
      <c r="M620" s="308"/>
      <c r="N620" s="308"/>
      <c r="O620" s="308"/>
      <c r="P620" s="308"/>
    </row>
    <row r="621" spans="1:16" hidden="1" outlineLevel="1" x14ac:dyDescent="0.3">
      <c r="A621" s="294" t="s">
        <v>6004</v>
      </c>
      <c r="B621" s="294" t="s">
        <v>855</v>
      </c>
      <c r="C621" s="294" t="s">
        <v>775</v>
      </c>
      <c r="D621" s="295">
        <v>0</v>
      </c>
      <c r="E621" s="444">
        <v>323.79408952141972</v>
      </c>
      <c r="F621" s="295">
        <v>310.71160675882743</v>
      </c>
      <c r="G621" s="295">
        <v>297.62912399623514</v>
      </c>
      <c r="H621" s="295">
        <v>297.62912399623514</v>
      </c>
      <c r="I621" s="295">
        <v>284.54664123364284</v>
      </c>
      <c r="J621" s="295" t="s">
        <v>5934</v>
      </c>
      <c r="K621" s="367">
        <v>2</v>
      </c>
      <c r="L621" s="308"/>
      <c r="M621" s="308"/>
      <c r="N621" s="308"/>
      <c r="O621" s="308"/>
      <c r="P621" s="308"/>
    </row>
    <row r="622" spans="1:16" hidden="1" outlineLevel="1" x14ac:dyDescent="0.3">
      <c r="A622" s="294" t="s">
        <v>6004</v>
      </c>
      <c r="B622" s="294" t="s">
        <v>855</v>
      </c>
      <c r="C622" s="294" t="s">
        <v>779</v>
      </c>
      <c r="D622" s="295">
        <v>0</v>
      </c>
      <c r="E622" s="444">
        <v>323.79408952141972</v>
      </c>
      <c r="F622" s="295">
        <v>310.71160675882743</v>
      </c>
      <c r="G622" s="295">
        <v>297.62912399623514</v>
      </c>
      <c r="H622" s="295">
        <v>297.62912399623514</v>
      </c>
      <c r="I622" s="295">
        <v>284.54664123364284</v>
      </c>
      <c r="J622" s="295" t="s">
        <v>5934</v>
      </c>
      <c r="K622" s="367">
        <v>2</v>
      </c>
      <c r="L622" s="308"/>
      <c r="M622" s="308"/>
      <c r="N622" s="308"/>
      <c r="O622" s="308"/>
      <c r="P622" s="308"/>
    </row>
    <row r="623" spans="1:16" hidden="1" outlineLevel="1" x14ac:dyDescent="0.3">
      <c r="A623" s="294" t="s">
        <v>6004</v>
      </c>
      <c r="B623" s="294" t="s">
        <v>894</v>
      </c>
      <c r="C623" s="294" t="s">
        <v>781</v>
      </c>
      <c r="D623" s="295">
        <v>0</v>
      </c>
      <c r="E623" s="444">
        <v>455.14362506971861</v>
      </c>
      <c r="F623" s="295">
        <v>551.74974879143986</v>
      </c>
      <c r="G623" s="295">
        <v>648.35587251316122</v>
      </c>
      <c r="H623" s="295">
        <v>648.35587251316122</v>
      </c>
      <c r="I623" s="295">
        <v>744.96199623488246</v>
      </c>
      <c r="J623" s="295" t="s">
        <v>5935</v>
      </c>
      <c r="K623" s="367">
        <v>3</v>
      </c>
      <c r="L623" s="308"/>
      <c r="M623" s="308"/>
      <c r="N623" s="308"/>
      <c r="O623" s="308"/>
      <c r="P623" s="308"/>
    </row>
    <row r="624" spans="1:16" hidden="1" outlineLevel="1" x14ac:dyDescent="0.3">
      <c r="A624" s="294" t="s">
        <v>6004</v>
      </c>
      <c r="B624" s="294" t="s">
        <v>894</v>
      </c>
      <c r="C624" s="294" t="s">
        <v>783</v>
      </c>
      <c r="D624" s="295">
        <v>0</v>
      </c>
      <c r="E624" s="444">
        <v>455.14362506971861</v>
      </c>
      <c r="F624" s="295">
        <v>551.74974879143986</v>
      </c>
      <c r="G624" s="295">
        <v>648.35587251316122</v>
      </c>
      <c r="H624" s="295">
        <v>648.35587251316122</v>
      </c>
      <c r="I624" s="295">
        <v>744.96199623488246</v>
      </c>
      <c r="J624" s="295" t="s">
        <v>5935</v>
      </c>
      <c r="K624" s="367">
        <v>3</v>
      </c>
      <c r="L624" s="308"/>
      <c r="M624" s="308"/>
      <c r="N624" s="308"/>
      <c r="O624" s="308"/>
      <c r="P624" s="308"/>
    </row>
    <row r="625" spans="1:18" hidden="1" outlineLevel="1" x14ac:dyDescent="0.3">
      <c r="A625" s="294" t="s">
        <v>6004</v>
      </c>
      <c r="B625" s="294" t="s">
        <v>894</v>
      </c>
      <c r="C625" s="294" t="s">
        <v>785</v>
      </c>
      <c r="D625" s="295">
        <v>0</v>
      </c>
      <c r="E625" s="444">
        <v>305.98219239808412</v>
      </c>
      <c r="F625" s="295">
        <v>397.99976294627709</v>
      </c>
      <c r="G625" s="295">
        <v>490.01733349447011</v>
      </c>
      <c r="H625" s="295">
        <v>490.01733349447011</v>
      </c>
      <c r="I625" s="295">
        <v>582.03490404266302</v>
      </c>
      <c r="J625" s="295" t="s">
        <v>5936</v>
      </c>
      <c r="K625" s="367">
        <v>5</v>
      </c>
      <c r="L625" s="308"/>
      <c r="M625" s="308"/>
      <c r="N625" s="308"/>
      <c r="O625" s="308"/>
      <c r="P625" s="308"/>
    </row>
    <row r="626" spans="1:18" hidden="1" outlineLevel="1" x14ac:dyDescent="0.3">
      <c r="A626" s="294" t="s">
        <v>6004</v>
      </c>
      <c r="B626" s="294" t="s">
        <v>894</v>
      </c>
      <c r="C626" s="294" t="s">
        <v>787</v>
      </c>
      <c r="D626" s="295">
        <v>0</v>
      </c>
      <c r="E626" s="444">
        <v>455.14362506971861</v>
      </c>
      <c r="F626" s="295">
        <v>551.74974879143986</v>
      </c>
      <c r="G626" s="295">
        <v>648.35587251316122</v>
      </c>
      <c r="H626" s="295">
        <v>648.35587251316122</v>
      </c>
      <c r="I626" s="295">
        <v>744.96199623488246</v>
      </c>
      <c r="J626" s="295" t="s">
        <v>5935</v>
      </c>
      <c r="K626" s="367">
        <v>3</v>
      </c>
      <c r="L626" s="308"/>
      <c r="M626" s="308"/>
      <c r="N626" s="308"/>
      <c r="O626" s="308"/>
      <c r="P626" s="308"/>
      <c r="R626" s="413"/>
    </row>
    <row r="627" spans="1:18" hidden="1" outlineLevel="1" x14ac:dyDescent="0.3">
      <c r="A627" s="294" t="s">
        <v>6004</v>
      </c>
      <c r="B627" s="294" t="s">
        <v>894</v>
      </c>
      <c r="C627" s="294" t="s">
        <v>788</v>
      </c>
      <c r="D627" s="295">
        <v>0</v>
      </c>
      <c r="E627" s="444">
        <v>305.98219239808412</v>
      </c>
      <c r="F627" s="295">
        <v>397.99976294627709</v>
      </c>
      <c r="G627" s="295">
        <v>490.01733349447011</v>
      </c>
      <c r="H627" s="295">
        <v>490.01733349447011</v>
      </c>
      <c r="I627" s="295">
        <v>582.03490404266302</v>
      </c>
      <c r="J627" s="295" t="s">
        <v>5936</v>
      </c>
      <c r="K627" s="367">
        <v>5</v>
      </c>
      <c r="L627" s="308"/>
      <c r="M627" s="308"/>
      <c r="N627" s="308"/>
      <c r="O627" s="308"/>
      <c r="P627" s="308"/>
      <c r="R627" s="413"/>
    </row>
    <row r="628" spans="1:18" hidden="1" outlineLevel="1" x14ac:dyDescent="0.3">
      <c r="A628" s="294" t="s">
        <v>6004</v>
      </c>
      <c r="B628" s="294" t="s">
        <v>894</v>
      </c>
      <c r="C628" s="294" t="s">
        <v>789</v>
      </c>
      <c r="D628" s="295">
        <v>0</v>
      </c>
      <c r="E628" s="444">
        <v>305.98219239808412</v>
      </c>
      <c r="F628" s="295">
        <v>397.99976294627709</v>
      </c>
      <c r="G628" s="295">
        <v>490.01733349447011</v>
      </c>
      <c r="H628" s="295">
        <v>490.01733349447011</v>
      </c>
      <c r="I628" s="295">
        <v>582.03490404266302</v>
      </c>
      <c r="J628" s="295" t="s">
        <v>5936</v>
      </c>
      <c r="K628" s="367">
        <v>5</v>
      </c>
      <c r="L628" s="308"/>
      <c r="M628" s="308"/>
      <c r="N628" s="308"/>
      <c r="O628" s="308"/>
      <c r="P628" s="308"/>
    </row>
    <row r="629" spans="1:18" hidden="1" outlineLevel="1" x14ac:dyDescent="0.3">
      <c r="A629" s="294" t="s">
        <v>6004</v>
      </c>
      <c r="B629" s="294" t="s">
        <v>894</v>
      </c>
      <c r="C629" s="294" t="s">
        <v>790</v>
      </c>
      <c r="D629" s="295">
        <v>0</v>
      </c>
      <c r="E629" s="444">
        <v>455.14362506971861</v>
      </c>
      <c r="F629" s="295">
        <v>551.74974879143986</v>
      </c>
      <c r="G629" s="295">
        <v>648.35587251316122</v>
      </c>
      <c r="H629" s="295">
        <v>648.35587251316122</v>
      </c>
      <c r="I629" s="295">
        <v>744.96199623488246</v>
      </c>
      <c r="J629" s="295" t="s">
        <v>5935</v>
      </c>
      <c r="K629" s="367">
        <v>3</v>
      </c>
      <c r="L629" s="308"/>
      <c r="M629" s="308"/>
      <c r="N629" s="308"/>
      <c r="O629" s="308"/>
      <c r="P629" s="308"/>
    </row>
    <row r="630" spans="1:18" hidden="1" outlineLevel="1" x14ac:dyDescent="0.3">
      <c r="A630" s="294" t="s">
        <v>6004</v>
      </c>
      <c r="B630" s="294" t="s">
        <v>894</v>
      </c>
      <c r="C630" s="294" t="s">
        <v>793</v>
      </c>
      <c r="D630" s="295">
        <v>0</v>
      </c>
      <c r="E630" s="444">
        <v>455.14362506971861</v>
      </c>
      <c r="F630" s="295">
        <v>551.74974879143986</v>
      </c>
      <c r="G630" s="295">
        <v>648.35587251316122</v>
      </c>
      <c r="H630" s="295">
        <v>648.35587251316122</v>
      </c>
      <c r="I630" s="295">
        <v>744.96199623488246</v>
      </c>
      <c r="J630" s="295" t="s">
        <v>5935</v>
      </c>
      <c r="K630" s="367">
        <v>3</v>
      </c>
      <c r="L630" s="308"/>
      <c r="M630" s="308"/>
      <c r="N630" s="308"/>
      <c r="O630" s="308"/>
      <c r="P630" s="308"/>
    </row>
    <row r="631" spans="1:18" hidden="1" outlineLevel="1" x14ac:dyDescent="0.3">
      <c r="A631" s="294" t="s">
        <v>6004</v>
      </c>
      <c r="B631" s="294" t="s">
        <v>894</v>
      </c>
      <c r="C631" s="294" t="s">
        <v>795</v>
      </c>
      <c r="D631" s="295">
        <v>0</v>
      </c>
      <c r="E631" s="444">
        <v>305.98219239808412</v>
      </c>
      <c r="F631" s="295">
        <v>397.99976294627709</v>
      </c>
      <c r="G631" s="295">
        <v>490.01733349447011</v>
      </c>
      <c r="H631" s="295">
        <v>490.01733349447011</v>
      </c>
      <c r="I631" s="295">
        <v>582.03490404266302</v>
      </c>
      <c r="J631" s="295" t="s">
        <v>5936</v>
      </c>
      <c r="K631" s="367">
        <v>5</v>
      </c>
      <c r="L631" s="308"/>
      <c r="M631" s="308"/>
      <c r="N631" s="308"/>
      <c r="O631" s="308"/>
      <c r="P631" s="308"/>
    </row>
    <row r="632" spans="1:18" hidden="1" outlineLevel="1" x14ac:dyDescent="0.3">
      <c r="A632" s="294" t="s">
        <v>6004</v>
      </c>
      <c r="B632" s="294" t="s">
        <v>894</v>
      </c>
      <c r="C632" s="294" t="s">
        <v>797</v>
      </c>
      <c r="D632" s="295">
        <v>0</v>
      </c>
      <c r="E632" s="444">
        <v>455.14362506971861</v>
      </c>
      <c r="F632" s="295">
        <v>551.74974879143986</v>
      </c>
      <c r="G632" s="295">
        <v>648.35587251316122</v>
      </c>
      <c r="H632" s="295">
        <v>648.35587251316122</v>
      </c>
      <c r="I632" s="295">
        <v>744.96199623488246</v>
      </c>
      <c r="J632" s="295" t="s">
        <v>5935</v>
      </c>
      <c r="K632" s="367">
        <v>3</v>
      </c>
      <c r="L632" s="308"/>
      <c r="M632" s="308"/>
      <c r="N632" s="308"/>
      <c r="O632" s="308"/>
      <c r="P632" s="308"/>
    </row>
    <row r="633" spans="1:18" hidden="1" outlineLevel="1" x14ac:dyDescent="0.3">
      <c r="A633" s="294" t="s">
        <v>6004</v>
      </c>
      <c r="B633" s="294" t="s">
        <v>915</v>
      </c>
      <c r="C633" s="294" t="s">
        <v>799</v>
      </c>
      <c r="D633" s="295">
        <v>0</v>
      </c>
      <c r="E633" s="444">
        <v>455.14362506971861</v>
      </c>
      <c r="F633" s="295">
        <v>551.74974879143986</v>
      </c>
      <c r="G633" s="295">
        <v>648.35587251316122</v>
      </c>
      <c r="H633" s="295">
        <v>648.35587251316122</v>
      </c>
      <c r="I633" s="295">
        <v>744.96199623488246</v>
      </c>
      <c r="J633" s="295" t="s">
        <v>5935</v>
      </c>
      <c r="K633" s="367">
        <v>3</v>
      </c>
      <c r="L633" s="308"/>
      <c r="M633" s="308"/>
      <c r="N633" s="308"/>
      <c r="O633" s="308"/>
      <c r="P633" s="308"/>
    </row>
    <row r="634" spans="1:18" hidden="1" outlineLevel="1" x14ac:dyDescent="0.3">
      <c r="A634" s="294" t="s">
        <v>6004</v>
      </c>
      <c r="B634" s="294" t="s">
        <v>915</v>
      </c>
      <c r="C634" s="294" t="s">
        <v>801</v>
      </c>
      <c r="D634" s="295">
        <v>0</v>
      </c>
      <c r="E634" s="444">
        <v>455.14362506971861</v>
      </c>
      <c r="F634" s="295">
        <v>551.74974879143986</v>
      </c>
      <c r="G634" s="295">
        <v>648.35587251316122</v>
      </c>
      <c r="H634" s="295">
        <v>648.35587251316122</v>
      </c>
      <c r="I634" s="295">
        <v>744.96199623488246</v>
      </c>
      <c r="J634" s="295" t="s">
        <v>5935</v>
      </c>
      <c r="K634" s="367">
        <v>3</v>
      </c>
      <c r="L634" s="308"/>
      <c r="M634" s="308"/>
      <c r="N634" s="308"/>
      <c r="O634" s="308"/>
      <c r="P634" s="308"/>
    </row>
    <row r="635" spans="1:18" hidden="1" outlineLevel="1" x14ac:dyDescent="0.3">
      <c r="A635" s="294" t="s">
        <v>6004</v>
      </c>
      <c r="B635" s="294" t="s">
        <v>915</v>
      </c>
      <c r="C635" s="294" t="s">
        <v>804</v>
      </c>
      <c r="D635" s="295">
        <v>0</v>
      </c>
      <c r="E635" s="444">
        <v>455.14362506971861</v>
      </c>
      <c r="F635" s="295">
        <v>551.74974879143986</v>
      </c>
      <c r="G635" s="295">
        <v>648.35587251316122</v>
      </c>
      <c r="H635" s="295">
        <v>648.35587251316122</v>
      </c>
      <c r="I635" s="295">
        <v>744.96199623488246</v>
      </c>
      <c r="J635" s="295" t="s">
        <v>5935</v>
      </c>
      <c r="K635" s="367">
        <v>3</v>
      </c>
      <c r="L635" s="308"/>
      <c r="M635" s="308"/>
      <c r="N635" s="308"/>
      <c r="O635" s="308"/>
      <c r="P635" s="308"/>
    </row>
    <row r="636" spans="1:18" hidden="1" outlineLevel="1" x14ac:dyDescent="0.3">
      <c r="A636" s="294" t="s">
        <v>6004</v>
      </c>
      <c r="B636" s="294" t="s">
        <v>915</v>
      </c>
      <c r="C636" s="294" t="s">
        <v>806</v>
      </c>
      <c r="D636" s="295">
        <v>0</v>
      </c>
      <c r="E636" s="444">
        <v>455.14362506971861</v>
      </c>
      <c r="F636" s="295">
        <v>551.74974879143986</v>
      </c>
      <c r="G636" s="295">
        <v>648.35587251316122</v>
      </c>
      <c r="H636" s="295">
        <v>648.35587251316122</v>
      </c>
      <c r="I636" s="295">
        <v>744.96199623488246</v>
      </c>
      <c r="J636" s="295" t="s">
        <v>5935</v>
      </c>
      <c r="K636" s="367">
        <v>3</v>
      </c>
      <c r="L636" s="308"/>
      <c r="M636" s="308"/>
      <c r="N636" s="308"/>
      <c r="O636" s="308"/>
      <c r="P636" s="308"/>
    </row>
    <row r="637" spans="1:18" hidden="1" outlineLevel="1" x14ac:dyDescent="0.3">
      <c r="A637" s="294" t="s">
        <v>6004</v>
      </c>
      <c r="B637" s="294" t="s">
        <v>915</v>
      </c>
      <c r="C637" s="294" t="s">
        <v>808</v>
      </c>
      <c r="D637" s="295">
        <v>0</v>
      </c>
      <c r="E637" s="444">
        <v>455.14362506971861</v>
      </c>
      <c r="F637" s="295">
        <v>551.74974879143986</v>
      </c>
      <c r="G637" s="295">
        <v>648.35587251316122</v>
      </c>
      <c r="H637" s="295">
        <v>648.35587251316122</v>
      </c>
      <c r="I637" s="295">
        <v>744.96199623488246</v>
      </c>
      <c r="J637" s="295" t="s">
        <v>5935</v>
      </c>
      <c r="K637" s="367">
        <v>3</v>
      </c>
      <c r="L637" s="308"/>
      <c r="M637" s="308"/>
      <c r="N637" s="308"/>
      <c r="O637" s="308"/>
      <c r="P637" s="308"/>
    </row>
    <row r="638" spans="1:18" hidden="1" outlineLevel="1" x14ac:dyDescent="0.3">
      <c r="A638" s="294" t="s">
        <v>6004</v>
      </c>
      <c r="B638" s="294" t="s">
        <v>915</v>
      </c>
      <c r="C638" s="294" t="s">
        <v>811</v>
      </c>
      <c r="D638" s="295">
        <v>0</v>
      </c>
      <c r="E638" s="444">
        <v>455.14362506971861</v>
      </c>
      <c r="F638" s="295">
        <v>551.74974879143986</v>
      </c>
      <c r="G638" s="295">
        <v>648.35587251316122</v>
      </c>
      <c r="H638" s="295">
        <v>648.35587251316122</v>
      </c>
      <c r="I638" s="295">
        <v>744.96199623488246</v>
      </c>
      <c r="J638" s="295" t="s">
        <v>5935</v>
      </c>
      <c r="K638" s="367">
        <v>3</v>
      </c>
      <c r="L638" s="308"/>
      <c r="M638" s="308"/>
      <c r="N638" s="308"/>
      <c r="O638" s="308"/>
      <c r="P638" s="308"/>
    </row>
    <row r="639" spans="1:18" hidden="1" outlineLevel="1" x14ac:dyDescent="0.3">
      <c r="A639" s="294" t="s">
        <v>6004</v>
      </c>
      <c r="B639" s="294" t="s">
        <v>934</v>
      </c>
      <c r="C639" s="294" t="s">
        <v>814</v>
      </c>
      <c r="D639" s="295">
        <v>0</v>
      </c>
      <c r="E639" s="444">
        <v>455.14362506971861</v>
      </c>
      <c r="F639" s="295">
        <v>551.74974879143986</v>
      </c>
      <c r="G639" s="295">
        <v>648.35587251316122</v>
      </c>
      <c r="H639" s="295">
        <v>648.35587251316122</v>
      </c>
      <c r="I639" s="295">
        <v>744.96199623488246</v>
      </c>
      <c r="J639" s="295" t="s">
        <v>5935</v>
      </c>
      <c r="K639" s="367">
        <v>3</v>
      </c>
      <c r="L639" s="308"/>
      <c r="M639" s="308"/>
      <c r="N639" s="308"/>
      <c r="O639" s="308"/>
      <c r="P639" s="308"/>
    </row>
    <row r="640" spans="1:18" hidden="1" outlineLevel="1" x14ac:dyDescent="0.3">
      <c r="A640" s="294" t="s">
        <v>6004</v>
      </c>
      <c r="B640" s="294" t="s">
        <v>934</v>
      </c>
      <c r="C640" s="294" t="s">
        <v>815</v>
      </c>
      <c r="D640" s="295">
        <v>0</v>
      </c>
      <c r="E640" s="444">
        <v>455.14362506971861</v>
      </c>
      <c r="F640" s="295">
        <v>551.74974879143986</v>
      </c>
      <c r="G640" s="295">
        <v>648.35587251316122</v>
      </c>
      <c r="H640" s="295">
        <v>648.35587251316122</v>
      </c>
      <c r="I640" s="295">
        <v>744.96199623488246</v>
      </c>
      <c r="J640" s="295" t="s">
        <v>5935</v>
      </c>
      <c r="K640" s="367">
        <v>3</v>
      </c>
      <c r="L640" s="308"/>
      <c r="M640" s="308"/>
      <c r="N640" s="308"/>
      <c r="O640" s="308"/>
      <c r="P640" s="308"/>
    </row>
    <row r="641" spans="1:16" hidden="1" outlineLevel="1" x14ac:dyDescent="0.3">
      <c r="A641" s="294" t="s">
        <v>6004</v>
      </c>
      <c r="B641" s="294" t="s">
        <v>940</v>
      </c>
      <c r="C641" s="294" t="s">
        <v>817</v>
      </c>
      <c r="D641" s="295">
        <v>0</v>
      </c>
      <c r="E641" s="444">
        <v>455.14362506971861</v>
      </c>
      <c r="F641" s="295">
        <v>551.74974879143986</v>
      </c>
      <c r="G641" s="295">
        <v>648.35587251316122</v>
      </c>
      <c r="H641" s="295">
        <v>648.35587251316122</v>
      </c>
      <c r="I641" s="295">
        <v>744.96199623488246</v>
      </c>
      <c r="J641" s="295" t="s">
        <v>5935</v>
      </c>
      <c r="K641" s="367">
        <v>3</v>
      </c>
      <c r="L641" s="308"/>
      <c r="M641" s="308"/>
      <c r="N641" s="308"/>
      <c r="O641" s="308"/>
      <c r="P641" s="308"/>
    </row>
    <row r="642" spans="1:16" hidden="1" outlineLevel="1" x14ac:dyDescent="0.3">
      <c r="A642" s="294" t="s">
        <v>6004</v>
      </c>
      <c r="B642" s="294" t="s">
        <v>940</v>
      </c>
      <c r="C642" s="294" t="s">
        <v>944</v>
      </c>
      <c r="D642" s="295">
        <v>0</v>
      </c>
      <c r="E642" s="444">
        <v>455.14362506971861</v>
      </c>
      <c r="F642" s="295">
        <v>551.74974879143986</v>
      </c>
      <c r="G642" s="295">
        <v>648.35587251316122</v>
      </c>
      <c r="H642" s="295">
        <v>648.35587251316122</v>
      </c>
      <c r="I642" s="295">
        <v>744.96199623488246</v>
      </c>
      <c r="J642" s="295" t="s">
        <v>5935</v>
      </c>
      <c r="K642" s="367">
        <v>3</v>
      </c>
      <c r="L642" s="308"/>
      <c r="M642" s="308"/>
      <c r="N642" s="308"/>
      <c r="O642" s="308"/>
      <c r="P642" s="308"/>
    </row>
    <row r="643" spans="1:16" hidden="1" outlineLevel="1" x14ac:dyDescent="0.3">
      <c r="A643" s="294" t="s">
        <v>6004</v>
      </c>
      <c r="B643" s="294" t="s">
        <v>940</v>
      </c>
      <c r="C643" s="294" t="s">
        <v>821</v>
      </c>
      <c r="D643" s="295">
        <v>0</v>
      </c>
      <c r="E643" s="444">
        <v>455.14362506971861</v>
      </c>
      <c r="F643" s="295">
        <v>551.74974879143986</v>
      </c>
      <c r="G643" s="295">
        <v>648.35587251316122</v>
      </c>
      <c r="H643" s="295">
        <v>648.35587251316122</v>
      </c>
      <c r="I643" s="295">
        <v>744.96199623488246</v>
      </c>
      <c r="J643" s="295" t="s">
        <v>5935</v>
      </c>
      <c r="K643" s="367">
        <v>3</v>
      </c>
      <c r="L643" s="308"/>
      <c r="M643" s="308"/>
      <c r="N643" s="308"/>
      <c r="O643" s="308"/>
      <c r="P643" s="308"/>
    </row>
    <row r="644" spans="1:16" hidden="1" outlineLevel="1" x14ac:dyDescent="0.3">
      <c r="A644" s="294" t="s">
        <v>6004</v>
      </c>
      <c r="B644" s="294" t="s">
        <v>940</v>
      </c>
      <c r="C644" s="294" t="s">
        <v>823</v>
      </c>
      <c r="D644" s="295">
        <v>0</v>
      </c>
      <c r="E644" s="444">
        <v>455.14362506971861</v>
      </c>
      <c r="F644" s="295">
        <v>551.74974879143986</v>
      </c>
      <c r="G644" s="295">
        <v>648.35587251316122</v>
      </c>
      <c r="H644" s="295">
        <v>648.35587251316122</v>
      </c>
      <c r="I644" s="295">
        <v>744.96199623488246</v>
      </c>
      <c r="J644" s="295" t="s">
        <v>5935</v>
      </c>
      <c r="K644" s="367">
        <v>3</v>
      </c>
      <c r="L644" s="308"/>
      <c r="M644" s="308"/>
      <c r="N644" s="308"/>
      <c r="O644" s="308"/>
      <c r="P644" s="308"/>
    </row>
    <row r="645" spans="1:16" hidden="1" outlineLevel="1" x14ac:dyDescent="0.3">
      <c r="A645" s="294" t="s">
        <v>6004</v>
      </c>
      <c r="B645" s="294" t="s">
        <v>940</v>
      </c>
      <c r="C645" s="294" t="s">
        <v>825</v>
      </c>
      <c r="D645" s="295">
        <v>0</v>
      </c>
      <c r="E645" s="444">
        <v>455.14362506971861</v>
      </c>
      <c r="F645" s="295">
        <v>551.74974879143986</v>
      </c>
      <c r="G645" s="295">
        <v>648.35587251316122</v>
      </c>
      <c r="H645" s="295">
        <v>648.35587251316122</v>
      </c>
      <c r="I645" s="295">
        <v>744.96199623488246</v>
      </c>
      <c r="J645" s="295" t="s">
        <v>5935</v>
      </c>
      <c r="K645" s="367">
        <v>3</v>
      </c>
      <c r="L645" s="308"/>
      <c r="M645" s="308"/>
      <c r="N645" s="308"/>
      <c r="O645" s="308"/>
      <c r="P645" s="308"/>
    </row>
    <row r="646" spans="1:16" hidden="1" outlineLevel="1" x14ac:dyDescent="0.3">
      <c r="A646" s="294" t="s">
        <v>6004</v>
      </c>
      <c r="B646" s="294" t="s">
        <v>940</v>
      </c>
      <c r="C646" s="294" t="s">
        <v>827</v>
      </c>
      <c r="D646" s="295">
        <v>0</v>
      </c>
      <c r="E646" s="444">
        <v>455.14362506971861</v>
      </c>
      <c r="F646" s="295">
        <v>551.74974879143986</v>
      </c>
      <c r="G646" s="295">
        <v>648.35587251316122</v>
      </c>
      <c r="H646" s="295">
        <v>648.35587251316122</v>
      </c>
      <c r="I646" s="295">
        <v>744.96199623488246</v>
      </c>
      <c r="J646" s="295" t="s">
        <v>5935</v>
      </c>
      <c r="K646" s="367">
        <v>3</v>
      </c>
      <c r="L646" s="308"/>
      <c r="M646" s="308"/>
      <c r="N646" s="308"/>
      <c r="O646" s="308"/>
      <c r="P646" s="308"/>
    </row>
    <row r="647" spans="1:16" hidden="1" outlineLevel="1" x14ac:dyDescent="0.3">
      <c r="A647" s="294" t="s">
        <v>6004</v>
      </c>
      <c r="B647" s="294" t="s">
        <v>940</v>
      </c>
      <c r="C647" s="294" t="s">
        <v>829</v>
      </c>
      <c r="D647" s="295">
        <v>0</v>
      </c>
      <c r="E647" s="444">
        <v>455.14362506971861</v>
      </c>
      <c r="F647" s="295">
        <v>551.74974879143986</v>
      </c>
      <c r="G647" s="295">
        <v>648.35587251316122</v>
      </c>
      <c r="H647" s="295">
        <v>648.35587251316122</v>
      </c>
      <c r="I647" s="295">
        <v>744.96199623488246</v>
      </c>
      <c r="J647" s="295" t="s">
        <v>5935</v>
      </c>
      <c r="K647" s="367">
        <v>3</v>
      </c>
      <c r="L647" s="308"/>
      <c r="M647" s="308"/>
      <c r="N647" s="308"/>
      <c r="O647" s="308"/>
      <c r="P647" s="308"/>
    </row>
    <row r="648" spans="1:16" hidden="1" outlineLevel="1" x14ac:dyDescent="0.3">
      <c r="A648" s="294" t="s">
        <v>6004</v>
      </c>
      <c r="B648" s="294" t="s">
        <v>940</v>
      </c>
      <c r="C648" s="294" t="s">
        <v>833</v>
      </c>
      <c r="D648" s="295">
        <v>0</v>
      </c>
      <c r="E648" s="444">
        <v>455.14362506971861</v>
      </c>
      <c r="F648" s="295">
        <v>551.74974879143986</v>
      </c>
      <c r="G648" s="295">
        <v>648.35587251316122</v>
      </c>
      <c r="H648" s="295">
        <v>648.35587251316122</v>
      </c>
      <c r="I648" s="295">
        <v>744.96199623488246</v>
      </c>
      <c r="J648" s="295" t="s">
        <v>5935</v>
      </c>
      <c r="K648" s="367">
        <v>3</v>
      </c>
      <c r="L648" s="308"/>
      <c r="M648" s="308"/>
      <c r="N648" s="308"/>
      <c r="O648" s="308"/>
      <c r="P648" s="308"/>
    </row>
    <row r="649" spans="1:16" hidden="1" outlineLevel="1" x14ac:dyDescent="0.3">
      <c r="A649" s="294" t="s">
        <v>6004</v>
      </c>
      <c r="B649" s="294" t="s">
        <v>940</v>
      </c>
      <c r="C649" s="294" t="s">
        <v>836</v>
      </c>
      <c r="D649" s="295">
        <v>0</v>
      </c>
      <c r="E649" s="444">
        <v>455.14362506971861</v>
      </c>
      <c r="F649" s="295">
        <v>551.74974879143986</v>
      </c>
      <c r="G649" s="295">
        <v>648.35587251316122</v>
      </c>
      <c r="H649" s="295">
        <v>648.35587251316122</v>
      </c>
      <c r="I649" s="295">
        <v>744.96199623488246</v>
      </c>
      <c r="J649" s="295" t="s">
        <v>5935</v>
      </c>
      <c r="K649" s="367">
        <v>3</v>
      </c>
      <c r="L649" s="308"/>
      <c r="M649" s="308"/>
      <c r="N649" s="308"/>
      <c r="O649" s="308"/>
      <c r="P649" s="308"/>
    </row>
    <row r="650" spans="1:16" hidden="1" outlineLevel="1" x14ac:dyDescent="0.3">
      <c r="A650" s="294" t="s">
        <v>6004</v>
      </c>
      <c r="B650" s="294" t="s">
        <v>940</v>
      </c>
      <c r="C650" s="294" t="s">
        <v>837</v>
      </c>
      <c r="D650" s="295">
        <v>0</v>
      </c>
      <c r="E650" s="444">
        <v>455.14362506971861</v>
      </c>
      <c r="F650" s="295">
        <v>551.74974879143986</v>
      </c>
      <c r="G650" s="295">
        <v>648.35587251316122</v>
      </c>
      <c r="H650" s="295">
        <v>648.35587251316122</v>
      </c>
      <c r="I650" s="295">
        <v>744.96199623488246</v>
      </c>
      <c r="J650" s="295" t="s">
        <v>5935</v>
      </c>
      <c r="K650" s="367">
        <v>3</v>
      </c>
      <c r="L650" s="308"/>
      <c r="M650" s="308"/>
      <c r="N650" s="308"/>
      <c r="O650" s="308"/>
      <c r="P650" s="308"/>
    </row>
    <row r="651" spans="1:16" hidden="1" outlineLevel="1" x14ac:dyDescent="0.3">
      <c r="A651" s="294" t="s">
        <v>6004</v>
      </c>
      <c r="B651" s="294" t="s">
        <v>940</v>
      </c>
      <c r="C651" s="294" t="s">
        <v>839</v>
      </c>
      <c r="D651" s="295">
        <v>0</v>
      </c>
      <c r="E651" s="444">
        <v>455.14362506971861</v>
      </c>
      <c r="F651" s="295">
        <v>551.74974879143986</v>
      </c>
      <c r="G651" s="295">
        <v>648.35587251316122</v>
      </c>
      <c r="H651" s="295">
        <v>648.35587251316122</v>
      </c>
      <c r="I651" s="295">
        <v>744.96199623488246</v>
      </c>
      <c r="J651" s="295" t="s">
        <v>5935</v>
      </c>
      <c r="K651" s="367">
        <v>3</v>
      </c>
      <c r="L651" s="308"/>
      <c r="M651" s="308"/>
      <c r="N651" s="308"/>
      <c r="O651" s="308"/>
      <c r="P651" s="308"/>
    </row>
    <row r="652" spans="1:16" hidden="1" outlineLevel="1" x14ac:dyDescent="0.3">
      <c r="A652" s="294" t="s">
        <v>6004</v>
      </c>
      <c r="B652" s="294" t="s">
        <v>940</v>
      </c>
      <c r="C652" s="294" t="s">
        <v>840</v>
      </c>
      <c r="D652" s="295">
        <v>0</v>
      </c>
      <c r="E652" s="444">
        <v>455.14362506971861</v>
      </c>
      <c r="F652" s="295">
        <v>551.74974879143986</v>
      </c>
      <c r="G652" s="295">
        <v>648.35587251316122</v>
      </c>
      <c r="H652" s="295">
        <v>648.35587251316122</v>
      </c>
      <c r="I652" s="295">
        <v>744.96199623488246</v>
      </c>
      <c r="J652" s="295" t="s">
        <v>5935</v>
      </c>
      <c r="K652" s="367">
        <v>3</v>
      </c>
      <c r="L652" s="308"/>
      <c r="M652" s="308"/>
      <c r="N652" s="308"/>
      <c r="O652" s="308"/>
      <c r="P652" s="308"/>
    </row>
    <row r="653" spans="1:16" collapsed="1" x14ac:dyDescent="0.3">
      <c r="A653" s="294"/>
      <c r="B653" s="294"/>
      <c r="C653" s="293"/>
      <c r="D653" s="295"/>
      <c r="E653" s="295"/>
      <c r="F653" s="294"/>
      <c r="G653" s="294"/>
      <c r="H653" s="294"/>
      <c r="I653" s="294"/>
      <c r="J653" s="294"/>
      <c r="K653" s="308"/>
      <c r="L653" s="308"/>
      <c r="M653" s="308"/>
      <c r="N653" s="308"/>
      <c r="O653" s="308"/>
      <c r="P653" s="308"/>
    </row>
    <row r="654" spans="1:16" x14ac:dyDescent="0.3">
      <c r="A654" s="293" t="s">
        <v>6005</v>
      </c>
      <c r="B654" s="58"/>
      <c r="C654" s="298" t="s">
        <v>4032</v>
      </c>
      <c r="D654" s="442">
        <v>0</v>
      </c>
      <c r="E654" s="442">
        <v>0</v>
      </c>
      <c r="F654" s="442">
        <v>0</v>
      </c>
      <c r="G654" s="442">
        <v>0</v>
      </c>
      <c r="H654" s="442">
        <v>0</v>
      </c>
      <c r="I654" s="442">
        <v>0</v>
      </c>
      <c r="J654" s="293"/>
      <c r="K654" s="308"/>
      <c r="L654" s="308"/>
      <c r="M654" s="308"/>
      <c r="N654" s="308"/>
      <c r="O654" s="308"/>
      <c r="P654" s="308"/>
    </row>
    <row r="655" spans="1:16" x14ac:dyDescent="0.3">
      <c r="A655" s="297" t="s">
        <v>5</v>
      </c>
      <c r="B655" s="297" t="s">
        <v>847</v>
      </c>
      <c r="C655" s="297" t="s">
        <v>193</v>
      </c>
      <c r="D655" s="297">
        <v>2022</v>
      </c>
      <c r="E655" s="297">
        <v>2025</v>
      </c>
      <c r="F655" s="297">
        <v>2030</v>
      </c>
      <c r="G655" s="297">
        <v>2035</v>
      </c>
      <c r="H655" s="297">
        <v>2040</v>
      </c>
      <c r="I655" s="297">
        <v>2045</v>
      </c>
      <c r="J655" s="297" t="s">
        <v>153</v>
      </c>
      <c r="K655" s="308"/>
      <c r="L655" s="308"/>
      <c r="M655" s="308"/>
      <c r="N655" s="308"/>
      <c r="O655" s="308"/>
      <c r="P655" s="308"/>
    </row>
    <row r="656" spans="1:16" hidden="1" outlineLevel="1" x14ac:dyDescent="0.3">
      <c r="A656" s="294" t="s">
        <v>6005</v>
      </c>
      <c r="B656" s="294" t="s">
        <v>855</v>
      </c>
      <c r="C656" s="294" t="s">
        <v>747</v>
      </c>
      <c r="D656" s="295">
        <v>0</v>
      </c>
      <c r="E656" s="295">
        <v>0</v>
      </c>
      <c r="F656" s="295">
        <v>0</v>
      </c>
      <c r="G656" s="295">
        <v>0</v>
      </c>
      <c r="H656" s="295">
        <v>0</v>
      </c>
      <c r="I656" s="295">
        <v>0</v>
      </c>
      <c r="J656" s="295"/>
      <c r="K656" s="308"/>
      <c r="L656" s="308"/>
      <c r="M656" s="308"/>
      <c r="N656" s="308"/>
      <c r="O656" s="308"/>
      <c r="P656" s="308"/>
    </row>
    <row r="657" spans="1:16" hidden="1" outlineLevel="1" x14ac:dyDescent="0.3">
      <c r="A657" s="294" t="s">
        <v>6005</v>
      </c>
      <c r="B657" s="294" t="s">
        <v>855</v>
      </c>
      <c r="C657" s="294" t="s">
        <v>751</v>
      </c>
      <c r="D657" s="295">
        <v>0</v>
      </c>
      <c r="E657" s="295">
        <v>0</v>
      </c>
      <c r="F657" s="295">
        <v>0</v>
      </c>
      <c r="G657" s="295">
        <v>0</v>
      </c>
      <c r="H657" s="295">
        <v>0</v>
      </c>
      <c r="I657" s="295">
        <v>0</v>
      </c>
      <c r="J657" s="295"/>
      <c r="K657" s="308"/>
      <c r="L657" s="308"/>
      <c r="M657" s="308"/>
      <c r="N657" s="308"/>
      <c r="O657" s="308"/>
      <c r="P657" s="308"/>
    </row>
    <row r="658" spans="1:16" hidden="1" outlineLevel="1" x14ac:dyDescent="0.3">
      <c r="A658" s="294" t="s">
        <v>6005</v>
      </c>
      <c r="B658" s="294" t="s">
        <v>855</v>
      </c>
      <c r="C658" s="294" t="s">
        <v>755</v>
      </c>
      <c r="D658" s="295">
        <v>0</v>
      </c>
      <c r="E658" s="295">
        <v>0</v>
      </c>
      <c r="F658" s="295">
        <v>0</v>
      </c>
      <c r="G658" s="295">
        <v>0</v>
      </c>
      <c r="H658" s="295">
        <v>0</v>
      </c>
      <c r="I658" s="295">
        <v>0</v>
      </c>
      <c r="J658" s="295"/>
      <c r="K658" s="308"/>
      <c r="L658" s="308"/>
      <c r="M658" s="308"/>
      <c r="N658" s="308"/>
      <c r="O658" s="308"/>
      <c r="P658" s="308"/>
    </row>
    <row r="659" spans="1:16" hidden="1" outlineLevel="1" x14ac:dyDescent="0.3">
      <c r="A659" s="294" t="s">
        <v>6005</v>
      </c>
      <c r="B659" s="294" t="s">
        <v>855</v>
      </c>
      <c r="C659" s="294" t="s">
        <v>758</v>
      </c>
      <c r="D659" s="295">
        <v>0</v>
      </c>
      <c r="E659" s="295">
        <v>0</v>
      </c>
      <c r="F659" s="295">
        <v>0</v>
      </c>
      <c r="G659" s="295">
        <v>0</v>
      </c>
      <c r="H659" s="295">
        <v>0</v>
      </c>
      <c r="I659" s="295">
        <v>0</v>
      </c>
      <c r="J659" s="295"/>
      <c r="K659" s="308"/>
      <c r="L659" s="308"/>
      <c r="M659" s="308"/>
      <c r="N659" s="308"/>
      <c r="O659" s="308"/>
      <c r="P659" s="308"/>
    </row>
    <row r="660" spans="1:16" hidden="1" outlineLevel="1" x14ac:dyDescent="0.3">
      <c r="A660" s="294" t="s">
        <v>6005</v>
      </c>
      <c r="B660" s="294" t="s">
        <v>855</v>
      </c>
      <c r="C660" s="294" t="s">
        <v>761</v>
      </c>
      <c r="D660" s="295">
        <v>0</v>
      </c>
      <c r="E660" s="295">
        <v>0</v>
      </c>
      <c r="F660" s="295">
        <v>0</v>
      </c>
      <c r="G660" s="295">
        <v>0</v>
      </c>
      <c r="H660" s="295">
        <v>0</v>
      </c>
      <c r="I660" s="295">
        <v>0</v>
      </c>
      <c r="J660" s="295"/>
      <c r="K660" s="308"/>
      <c r="L660" s="308"/>
      <c r="M660" s="308"/>
      <c r="N660" s="308"/>
      <c r="O660" s="308"/>
      <c r="P660" s="308"/>
    </row>
    <row r="661" spans="1:16" hidden="1" outlineLevel="1" x14ac:dyDescent="0.3">
      <c r="A661" s="294" t="s">
        <v>6005</v>
      </c>
      <c r="B661" s="294" t="s">
        <v>855</v>
      </c>
      <c r="C661" s="294" t="s">
        <v>763</v>
      </c>
      <c r="D661" s="295">
        <v>0</v>
      </c>
      <c r="E661" s="295">
        <v>0</v>
      </c>
      <c r="F661" s="295">
        <v>0</v>
      </c>
      <c r="G661" s="295">
        <v>0</v>
      </c>
      <c r="H661" s="295">
        <v>0</v>
      </c>
      <c r="I661" s="295">
        <v>0</v>
      </c>
      <c r="J661" s="295"/>
      <c r="K661" s="308"/>
      <c r="L661" s="308"/>
      <c r="M661" s="308"/>
      <c r="N661" s="308"/>
      <c r="O661" s="308"/>
      <c r="P661" s="308"/>
    </row>
    <row r="662" spans="1:16" hidden="1" outlineLevel="1" x14ac:dyDescent="0.3">
      <c r="A662" s="294" t="s">
        <v>6005</v>
      </c>
      <c r="B662" s="294" t="s">
        <v>855</v>
      </c>
      <c r="C662" s="294" t="s">
        <v>765</v>
      </c>
      <c r="D662" s="295">
        <v>0</v>
      </c>
      <c r="E662" s="295">
        <v>0</v>
      </c>
      <c r="F662" s="295">
        <v>0</v>
      </c>
      <c r="G662" s="295">
        <v>0</v>
      </c>
      <c r="H662" s="295">
        <v>0</v>
      </c>
      <c r="I662" s="295">
        <v>0</v>
      </c>
      <c r="J662" s="295"/>
      <c r="K662" s="308"/>
      <c r="L662" s="308"/>
      <c r="M662" s="308"/>
      <c r="N662" s="308"/>
      <c r="O662" s="308"/>
      <c r="P662" s="308"/>
    </row>
    <row r="663" spans="1:16" hidden="1" outlineLevel="1" x14ac:dyDescent="0.3">
      <c r="A663" s="294" t="s">
        <v>6005</v>
      </c>
      <c r="B663" s="294" t="s">
        <v>855</v>
      </c>
      <c r="C663" s="294" t="s">
        <v>768</v>
      </c>
      <c r="D663" s="295">
        <v>0</v>
      </c>
      <c r="E663" s="295">
        <v>0</v>
      </c>
      <c r="F663" s="295">
        <v>0</v>
      </c>
      <c r="G663" s="295">
        <v>0</v>
      </c>
      <c r="H663" s="295">
        <v>0</v>
      </c>
      <c r="I663" s="295">
        <v>0</v>
      </c>
      <c r="J663" s="295"/>
      <c r="K663" s="308"/>
      <c r="L663" s="308"/>
      <c r="M663" s="308"/>
      <c r="N663" s="308"/>
      <c r="O663" s="308"/>
      <c r="P663" s="308"/>
    </row>
    <row r="664" spans="1:16" hidden="1" outlineLevel="1" x14ac:dyDescent="0.3">
      <c r="A664" s="294" t="s">
        <v>6005</v>
      </c>
      <c r="B664" s="294" t="s">
        <v>855</v>
      </c>
      <c r="C664" s="294" t="s">
        <v>771</v>
      </c>
      <c r="D664" s="295">
        <v>0</v>
      </c>
      <c r="E664" s="295">
        <v>0</v>
      </c>
      <c r="F664" s="295">
        <v>0</v>
      </c>
      <c r="G664" s="295">
        <v>0</v>
      </c>
      <c r="H664" s="295">
        <v>0</v>
      </c>
      <c r="I664" s="295">
        <v>0</v>
      </c>
      <c r="J664" s="295"/>
      <c r="K664" s="308"/>
      <c r="L664" s="308"/>
      <c r="M664" s="308"/>
      <c r="N664" s="308"/>
      <c r="O664" s="308"/>
      <c r="P664" s="308"/>
    </row>
    <row r="665" spans="1:16" hidden="1" outlineLevel="1" x14ac:dyDescent="0.3">
      <c r="A665" s="294" t="s">
        <v>6005</v>
      </c>
      <c r="B665" s="294" t="s">
        <v>855</v>
      </c>
      <c r="C665" s="294" t="s">
        <v>772</v>
      </c>
      <c r="D665" s="295">
        <v>0</v>
      </c>
      <c r="E665" s="295">
        <v>0</v>
      </c>
      <c r="F665" s="295">
        <v>0</v>
      </c>
      <c r="G665" s="295">
        <v>0</v>
      </c>
      <c r="H665" s="295">
        <v>0</v>
      </c>
      <c r="I665" s="295">
        <v>0</v>
      </c>
      <c r="J665" s="295"/>
      <c r="K665" s="308"/>
      <c r="L665" s="308"/>
      <c r="M665" s="308"/>
      <c r="N665" s="308"/>
      <c r="O665" s="308"/>
      <c r="P665" s="308"/>
    </row>
    <row r="666" spans="1:16" hidden="1" outlineLevel="1" x14ac:dyDescent="0.3">
      <c r="A666" s="294" t="s">
        <v>6005</v>
      </c>
      <c r="B666" s="294" t="s">
        <v>855</v>
      </c>
      <c r="C666" s="294" t="s">
        <v>774</v>
      </c>
      <c r="D666" s="295">
        <v>0</v>
      </c>
      <c r="E666" s="295">
        <v>0</v>
      </c>
      <c r="F666" s="295">
        <v>0</v>
      </c>
      <c r="G666" s="295">
        <v>0</v>
      </c>
      <c r="H666" s="295">
        <v>0</v>
      </c>
      <c r="I666" s="295">
        <v>0</v>
      </c>
      <c r="J666" s="295"/>
      <c r="K666" s="308"/>
      <c r="L666" s="308"/>
      <c r="M666" s="308"/>
      <c r="N666" s="308"/>
      <c r="O666" s="308"/>
      <c r="P666" s="308"/>
    </row>
    <row r="667" spans="1:16" hidden="1" outlineLevel="1" x14ac:dyDescent="0.3">
      <c r="A667" s="294" t="s">
        <v>6005</v>
      </c>
      <c r="B667" s="294" t="s">
        <v>855</v>
      </c>
      <c r="C667" s="294" t="s">
        <v>775</v>
      </c>
      <c r="D667" s="295">
        <v>0</v>
      </c>
      <c r="E667" s="295">
        <v>0</v>
      </c>
      <c r="F667" s="295">
        <v>0</v>
      </c>
      <c r="G667" s="295">
        <v>0</v>
      </c>
      <c r="H667" s="295">
        <v>0</v>
      </c>
      <c r="I667" s="295">
        <v>0</v>
      </c>
      <c r="J667" s="295"/>
      <c r="K667" s="308"/>
      <c r="L667" s="308"/>
      <c r="M667" s="308"/>
      <c r="N667" s="308"/>
      <c r="O667" s="308"/>
      <c r="P667" s="308"/>
    </row>
    <row r="668" spans="1:16" hidden="1" outlineLevel="1" x14ac:dyDescent="0.3">
      <c r="A668" s="294" t="s">
        <v>6005</v>
      </c>
      <c r="B668" s="294" t="s">
        <v>855</v>
      </c>
      <c r="C668" s="294" t="s">
        <v>779</v>
      </c>
      <c r="D668" s="295">
        <v>0</v>
      </c>
      <c r="E668" s="295">
        <v>0</v>
      </c>
      <c r="F668" s="295">
        <v>0</v>
      </c>
      <c r="G668" s="295">
        <v>0</v>
      </c>
      <c r="H668" s="295">
        <v>0</v>
      </c>
      <c r="I668" s="295">
        <v>0</v>
      </c>
      <c r="J668" s="295"/>
      <c r="K668" s="308"/>
      <c r="L668" s="308"/>
      <c r="M668" s="308"/>
      <c r="N668" s="308"/>
      <c r="O668" s="308"/>
      <c r="P668" s="308"/>
    </row>
    <row r="669" spans="1:16" hidden="1" outlineLevel="1" x14ac:dyDescent="0.3">
      <c r="A669" s="294" t="s">
        <v>6005</v>
      </c>
      <c r="B669" s="294" t="s">
        <v>894</v>
      </c>
      <c r="C669" s="294" t="s">
        <v>781</v>
      </c>
      <c r="D669" s="295">
        <v>0</v>
      </c>
      <c r="E669" s="295">
        <v>0</v>
      </c>
      <c r="F669" s="295">
        <v>0</v>
      </c>
      <c r="G669" s="295">
        <v>0</v>
      </c>
      <c r="H669" s="295">
        <v>0</v>
      </c>
      <c r="I669" s="295">
        <v>0</v>
      </c>
      <c r="J669" s="295"/>
      <c r="K669" s="308"/>
      <c r="L669" s="308"/>
      <c r="M669" s="308"/>
      <c r="N669" s="308"/>
      <c r="O669" s="308"/>
      <c r="P669" s="308"/>
    </row>
    <row r="670" spans="1:16" hidden="1" outlineLevel="1" x14ac:dyDescent="0.3">
      <c r="A670" s="294" t="s">
        <v>6005</v>
      </c>
      <c r="B670" s="294" t="s">
        <v>894</v>
      </c>
      <c r="C670" s="294" t="s">
        <v>783</v>
      </c>
      <c r="D670" s="295">
        <v>0</v>
      </c>
      <c r="E670" s="295">
        <v>0</v>
      </c>
      <c r="F670" s="295">
        <v>0</v>
      </c>
      <c r="G670" s="295">
        <v>0</v>
      </c>
      <c r="H670" s="295">
        <v>0</v>
      </c>
      <c r="I670" s="295">
        <v>0</v>
      </c>
      <c r="J670" s="295"/>
      <c r="K670" s="308"/>
      <c r="L670" s="308"/>
      <c r="M670" s="308"/>
      <c r="N670" s="308"/>
      <c r="O670" s="308"/>
      <c r="P670" s="308"/>
    </row>
    <row r="671" spans="1:16" hidden="1" outlineLevel="1" x14ac:dyDescent="0.3">
      <c r="A671" s="294" t="s">
        <v>6005</v>
      </c>
      <c r="B671" s="294" t="s">
        <v>894</v>
      </c>
      <c r="C671" s="294" t="s">
        <v>785</v>
      </c>
      <c r="D671" s="295">
        <v>0</v>
      </c>
      <c r="E671" s="295">
        <v>0</v>
      </c>
      <c r="F671" s="295">
        <v>0</v>
      </c>
      <c r="G671" s="295">
        <v>0</v>
      </c>
      <c r="H671" s="295">
        <v>0</v>
      </c>
      <c r="I671" s="295">
        <v>0</v>
      </c>
      <c r="J671" s="295"/>
      <c r="K671" s="308"/>
      <c r="L671" s="308"/>
      <c r="M671" s="308"/>
      <c r="N671" s="308"/>
      <c r="O671" s="308"/>
      <c r="P671" s="308"/>
    </row>
    <row r="672" spans="1:16" hidden="1" outlineLevel="1" x14ac:dyDescent="0.3">
      <c r="A672" s="294" t="s">
        <v>6005</v>
      </c>
      <c r="B672" s="294" t="s">
        <v>894</v>
      </c>
      <c r="C672" s="294" t="s">
        <v>787</v>
      </c>
      <c r="D672" s="295">
        <v>0</v>
      </c>
      <c r="E672" s="295">
        <v>0</v>
      </c>
      <c r="F672" s="295">
        <v>0</v>
      </c>
      <c r="G672" s="295">
        <v>0</v>
      </c>
      <c r="H672" s="295">
        <v>0</v>
      </c>
      <c r="I672" s="295">
        <v>0</v>
      </c>
      <c r="J672" s="295"/>
      <c r="K672" s="308"/>
      <c r="L672" s="308"/>
      <c r="M672" s="308"/>
      <c r="N672" s="308"/>
      <c r="O672" s="308"/>
      <c r="P672" s="308"/>
    </row>
    <row r="673" spans="1:16" hidden="1" outlineLevel="1" x14ac:dyDescent="0.3">
      <c r="A673" s="294" t="s">
        <v>6005</v>
      </c>
      <c r="B673" s="294" t="s">
        <v>894</v>
      </c>
      <c r="C673" s="294" t="s">
        <v>788</v>
      </c>
      <c r="D673" s="295">
        <v>0</v>
      </c>
      <c r="E673" s="295">
        <v>0</v>
      </c>
      <c r="F673" s="295">
        <v>0</v>
      </c>
      <c r="G673" s="295">
        <v>0</v>
      </c>
      <c r="H673" s="295">
        <v>0</v>
      </c>
      <c r="I673" s="295">
        <v>0</v>
      </c>
      <c r="J673" s="295"/>
      <c r="K673" s="308"/>
      <c r="L673" s="308"/>
      <c r="M673" s="308"/>
      <c r="N673" s="308"/>
      <c r="O673" s="308"/>
      <c r="P673" s="308"/>
    </row>
    <row r="674" spans="1:16" hidden="1" outlineLevel="1" x14ac:dyDescent="0.3">
      <c r="A674" s="294" t="s">
        <v>6005</v>
      </c>
      <c r="B674" s="294" t="s">
        <v>894</v>
      </c>
      <c r="C674" s="294" t="s">
        <v>789</v>
      </c>
      <c r="D674" s="295">
        <v>0</v>
      </c>
      <c r="E674" s="295">
        <v>0</v>
      </c>
      <c r="F674" s="295">
        <v>0</v>
      </c>
      <c r="G674" s="295">
        <v>0</v>
      </c>
      <c r="H674" s="295">
        <v>0</v>
      </c>
      <c r="I674" s="295">
        <v>0</v>
      </c>
      <c r="J674" s="295"/>
      <c r="K674" s="308"/>
      <c r="L674" s="308"/>
      <c r="M674" s="308"/>
      <c r="N674" s="308"/>
      <c r="O674" s="308"/>
      <c r="P674" s="308"/>
    </row>
    <row r="675" spans="1:16" hidden="1" outlineLevel="1" x14ac:dyDescent="0.3">
      <c r="A675" s="294" t="s">
        <v>6005</v>
      </c>
      <c r="B675" s="294" t="s">
        <v>894</v>
      </c>
      <c r="C675" s="294" t="s">
        <v>790</v>
      </c>
      <c r="D675" s="295">
        <v>0</v>
      </c>
      <c r="E675" s="295">
        <v>0</v>
      </c>
      <c r="F675" s="295">
        <v>0</v>
      </c>
      <c r="G675" s="295">
        <v>0</v>
      </c>
      <c r="H675" s="295">
        <v>0</v>
      </c>
      <c r="I675" s="295">
        <v>0</v>
      </c>
      <c r="J675" s="295"/>
      <c r="K675" s="308"/>
      <c r="L675" s="308"/>
      <c r="M675" s="308"/>
      <c r="N675" s="308"/>
      <c r="O675" s="308"/>
      <c r="P675" s="308"/>
    </row>
    <row r="676" spans="1:16" hidden="1" outlineLevel="1" x14ac:dyDescent="0.3">
      <c r="A676" s="294" t="s">
        <v>6005</v>
      </c>
      <c r="B676" s="294" t="s">
        <v>894</v>
      </c>
      <c r="C676" s="294" t="s">
        <v>793</v>
      </c>
      <c r="D676" s="295">
        <v>0</v>
      </c>
      <c r="E676" s="295">
        <v>0</v>
      </c>
      <c r="F676" s="295">
        <v>0</v>
      </c>
      <c r="G676" s="295">
        <v>0</v>
      </c>
      <c r="H676" s="295">
        <v>0</v>
      </c>
      <c r="I676" s="295">
        <v>0</v>
      </c>
      <c r="J676" s="295"/>
      <c r="K676" s="308"/>
      <c r="L676" s="308"/>
      <c r="M676" s="308"/>
      <c r="N676" s="308"/>
      <c r="O676" s="308"/>
      <c r="P676" s="308"/>
    </row>
    <row r="677" spans="1:16" hidden="1" outlineLevel="1" x14ac:dyDescent="0.3">
      <c r="A677" s="294" t="s">
        <v>6005</v>
      </c>
      <c r="B677" s="294" t="s">
        <v>894</v>
      </c>
      <c r="C677" s="294" t="s">
        <v>795</v>
      </c>
      <c r="D677" s="295">
        <v>0</v>
      </c>
      <c r="E677" s="295">
        <v>0</v>
      </c>
      <c r="F677" s="295">
        <v>0</v>
      </c>
      <c r="G677" s="295">
        <v>0</v>
      </c>
      <c r="H677" s="295">
        <v>0</v>
      </c>
      <c r="I677" s="295">
        <v>0</v>
      </c>
      <c r="J677" s="295"/>
      <c r="K677" s="308"/>
      <c r="L677" s="308"/>
      <c r="M677" s="308"/>
      <c r="N677" s="308"/>
      <c r="O677" s="308"/>
      <c r="P677" s="308"/>
    </row>
    <row r="678" spans="1:16" hidden="1" outlineLevel="1" x14ac:dyDescent="0.3">
      <c r="A678" s="294" t="s">
        <v>6005</v>
      </c>
      <c r="B678" s="294" t="s">
        <v>894</v>
      </c>
      <c r="C678" s="294" t="s">
        <v>797</v>
      </c>
      <c r="D678" s="295">
        <v>0</v>
      </c>
      <c r="E678" s="295">
        <v>0</v>
      </c>
      <c r="F678" s="295">
        <v>0</v>
      </c>
      <c r="G678" s="295">
        <v>0</v>
      </c>
      <c r="H678" s="295">
        <v>0</v>
      </c>
      <c r="I678" s="295">
        <v>0</v>
      </c>
      <c r="J678" s="295"/>
      <c r="K678" s="308"/>
      <c r="L678" s="308"/>
      <c r="M678" s="308"/>
      <c r="N678" s="308"/>
      <c r="O678" s="308"/>
      <c r="P678" s="308"/>
    </row>
    <row r="679" spans="1:16" hidden="1" outlineLevel="1" x14ac:dyDescent="0.3">
      <c r="A679" s="294" t="s">
        <v>6005</v>
      </c>
      <c r="B679" s="294" t="s">
        <v>915</v>
      </c>
      <c r="C679" s="294" t="s">
        <v>799</v>
      </c>
      <c r="D679" s="295">
        <v>0</v>
      </c>
      <c r="E679" s="295">
        <v>0</v>
      </c>
      <c r="F679" s="295">
        <v>0</v>
      </c>
      <c r="G679" s="295">
        <v>0</v>
      </c>
      <c r="H679" s="295">
        <v>0</v>
      </c>
      <c r="I679" s="295">
        <v>0</v>
      </c>
      <c r="J679" s="295"/>
      <c r="K679" s="308"/>
      <c r="L679" s="308"/>
      <c r="M679" s="308"/>
      <c r="N679" s="308"/>
      <c r="O679" s="308"/>
      <c r="P679" s="308"/>
    </row>
    <row r="680" spans="1:16" hidden="1" outlineLevel="1" x14ac:dyDescent="0.3">
      <c r="A680" s="294" t="s">
        <v>6005</v>
      </c>
      <c r="B680" s="294" t="s">
        <v>915</v>
      </c>
      <c r="C680" s="294" t="s">
        <v>801</v>
      </c>
      <c r="D680" s="295">
        <v>0</v>
      </c>
      <c r="E680" s="295">
        <v>0</v>
      </c>
      <c r="F680" s="295">
        <v>0</v>
      </c>
      <c r="G680" s="295">
        <v>0</v>
      </c>
      <c r="H680" s="295">
        <v>0</v>
      </c>
      <c r="I680" s="295">
        <v>0</v>
      </c>
      <c r="J680" s="295"/>
      <c r="K680" s="308"/>
      <c r="L680" s="308"/>
      <c r="M680" s="308"/>
      <c r="N680" s="308"/>
      <c r="O680" s="308"/>
      <c r="P680" s="308"/>
    </row>
    <row r="681" spans="1:16" hidden="1" outlineLevel="1" x14ac:dyDescent="0.3">
      <c r="A681" s="294" t="s">
        <v>6005</v>
      </c>
      <c r="B681" s="294" t="s">
        <v>915</v>
      </c>
      <c r="C681" s="294" t="s">
        <v>804</v>
      </c>
      <c r="D681" s="295">
        <v>0</v>
      </c>
      <c r="E681" s="295">
        <v>0</v>
      </c>
      <c r="F681" s="295">
        <v>0</v>
      </c>
      <c r="G681" s="295">
        <v>0</v>
      </c>
      <c r="H681" s="295">
        <v>0</v>
      </c>
      <c r="I681" s="295">
        <v>0</v>
      </c>
      <c r="J681" s="295"/>
      <c r="K681" s="308"/>
      <c r="L681" s="308"/>
      <c r="M681" s="308"/>
      <c r="N681" s="308"/>
      <c r="O681" s="308"/>
      <c r="P681" s="308"/>
    </row>
    <row r="682" spans="1:16" hidden="1" outlineLevel="1" x14ac:dyDescent="0.3">
      <c r="A682" s="294" t="s">
        <v>6005</v>
      </c>
      <c r="B682" s="294" t="s">
        <v>915</v>
      </c>
      <c r="C682" s="294" t="s">
        <v>806</v>
      </c>
      <c r="D682" s="295">
        <v>0</v>
      </c>
      <c r="E682" s="295">
        <v>0</v>
      </c>
      <c r="F682" s="295">
        <v>0</v>
      </c>
      <c r="G682" s="295">
        <v>0</v>
      </c>
      <c r="H682" s="295">
        <v>0</v>
      </c>
      <c r="I682" s="295">
        <v>0</v>
      </c>
      <c r="J682" s="295"/>
      <c r="K682" s="308"/>
      <c r="L682" s="308"/>
      <c r="M682" s="308"/>
      <c r="N682" s="308"/>
      <c r="O682" s="308"/>
      <c r="P682" s="308"/>
    </row>
    <row r="683" spans="1:16" hidden="1" outlineLevel="1" x14ac:dyDescent="0.3">
      <c r="A683" s="294" t="s">
        <v>6005</v>
      </c>
      <c r="B683" s="294" t="s">
        <v>915</v>
      </c>
      <c r="C683" s="294" t="s">
        <v>808</v>
      </c>
      <c r="D683" s="295">
        <v>0</v>
      </c>
      <c r="E683" s="295">
        <v>0</v>
      </c>
      <c r="F683" s="295">
        <v>0</v>
      </c>
      <c r="G683" s="295">
        <v>0</v>
      </c>
      <c r="H683" s="295">
        <v>0</v>
      </c>
      <c r="I683" s="295">
        <v>0</v>
      </c>
      <c r="J683" s="295"/>
      <c r="K683" s="308"/>
      <c r="L683" s="308"/>
      <c r="M683" s="308"/>
      <c r="N683" s="308"/>
      <c r="O683" s="308"/>
      <c r="P683" s="308"/>
    </row>
    <row r="684" spans="1:16" hidden="1" outlineLevel="1" x14ac:dyDescent="0.3">
      <c r="A684" s="294" t="s">
        <v>6005</v>
      </c>
      <c r="B684" s="294" t="s">
        <v>915</v>
      </c>
      <c r="C684" s="294" t="s">
        <v>811</v>
      </c>
      <c r="D684" s="295">
        <v>0</v>
      </c>
      <c r="E684" s="295">
        <v>0</v>
      </c>
      <c r="F684" s="295">
        <v>0</v>
      </c>
      <c r="G684" s="295">
        <v>0</v>
      </c>
      <c r="H684" s="295">
        <v>0</v>
      </c>
      <c r="I684" s="295">
        <v>0</v>
      </c>
      <c r="J684" s="295"/>
      <c r="K684" s="308"/>
      <c r="L684" s="308"/>
      <c r="M684" s="308"/>
      <c r="N684" s="308"/>
      <c r="O684" s="308"/>
      <c r="P684" s="308"/>
    </row>
    <row r="685" spans="1:16" hidden="1" outlineLevel="1" x14ac:dyDescent="0.3">
      <c r="A685" s="294" t="s">
        <v>6005</v>
      </c>
      <c r="B685" s="294" t="s">
        <v>934</v>
      </c>
      <c r="C685" s="294" t="s">
        <v>814</v>
      </c>
      <c r="D685" s="295">
        <v>0</v>
      </c>
      <c r="E685" s="295">
        <v>0</v>
      </c>
      <c r="F685" s="295">
        <v>0</v>
      </c>
      <c r="G685" s="295">
        <v>0</v>
      </c>
      <c r="H685" s="295">
        <v>0</v>
      </c>
      <c r="I685" s="295">
        <v>0</v>
      </c>
      <c r="J685" s="295"/>
      <c r="K685" s="308"/>
      <c r="L685" s="308"/>
      <c r="M685" s="308"/>
      <c r="N685" s="308"/>
      <c r="O685" s="308"/>
      <c r="P685" s="308"/>
    </row>
    <row r="686" spans="1:16" hidden="1" outlineLevel="1" x14ac:dyDescent="0.3">
      <c r="A686" s="294" t="s">
        <v>6005</v>
      </c>
      <c r="B686" s="294" t="s">
        <v>934</v>
      </c>
      <c r="C686" s="294" t="s">
        <v>815</v>
      </c>
      <c r="D686" s="295">
        <v>0</v>
      </c>
      <c r="E686" s="295">
        <v>0</v>
      </c>
      <c r="F686" s="295">
        <v>0</v>
      </c>
      <c r="G686" s="295">
        <v>0</v>
      </c>
      <c r="H686" s="295">
        <v>0</v>
      </c>
      <c r="I686" s="295">
        <v>0</v>
      </c>
      <c r="J686" s="295"/>
      <c r="K686" s="308"/>
      <c r="L686" s="308"/>
      <c r="M686" s="308"/>
      <c r="N686" s="308"/>
      <c r="O686" s="308"/>
      <c r="P686" s="308"/>
    </row>
    <row r="687" spans="1:16" hidden="1" outlineLevel="1" x14ac:dyDescent="0.3">
      <c r="A687" s="294" t="s">
        <v>6005</v>
      </c>
      <c r="B687" s="294" t="s">
        <v>940</v>
      </c>
      <c r="C687" s="294" t="s">
        <v>817</v>
      </c>
      <c r="D687" s="295">
        <v>0</v>
      </c>
      <c r="E687" s="295">
        <v>0</v>
      </c>
      <c r="F687" s="295">
        <v>0</v>
      </c>
      <c r="G687" s="295">
        <v>0</v>
      </c>
      <c r="H687" s="295">
        <v>0</v>
      </c>
      <c r="I687" s="295">
        <v>0</v>
      </c>
      <c r="J687" s="295"/>
      <c r="K687" s="308"/>
      <c r="L687" s="308"/>
      <c r="M687" s="308"/>
      <c r="N687" s="308"/>
      <c r="O687" s="308"/>
      <c r="P687" s="308"/>
    </row>
    <row r="688" spans="1:16" hidden="1" outlineLevel="1" x14ac:dyDescent="0.3">
      <c r="A688" s="294" t="s">
        <v>6005</v>
      </c>
      <c r="B688" s="294" t="s">
        <v>940</v>
      </c>
      <c r="C688" s="294" t="s">
        <v>944</v>
      </c>
      <c r="D688" s="295">
        <v>0</v>
      </c>
      <c r="E688" s="295">
        <v>0</v>
      </c>
      <c r="F688" s="295">
        <v>0</v>
      </c>
      <c r="G688" s="295">
        <v>0</v>
      </c>
      <c r="H688" s="295">
        <v>0</v>
      </c>
      <c r="I688" s="295">
        <v>0</v>
      </c>
      <c r="J688" s="295"/>
      <c r="K688" s="308"/>
      <c r="L688" s="308"/>
      <c r="M688" s="308"/>
      <c r="N688" s="308"/>
      <c r="O688" s="308"/>
      <c r="P688" s="308"/>
    </row>
    <row r="689" spans="1:16" hidden="1" outlineLevel="1" x14ac:dyDescent="0.3">
      <c r="A689" s="294" t="s">
        <v>6005</v>
      </c>
      <c r="B689" s="294" t="s">
        <v>940</v>
      </c>
      <c r="C689" s="294" t="s">
        <v>821</v>
      </c>
      <c r="D689" s="295">
        <v>0</v>
      </c>
      <c r="E689" s="295">
        <v>0</v>
      </c>
      <c r="F689" s="295">
        <v>0</v>
      </c>
      <c r="G689" s="295">
        <v>0</v>
      </c>
      <c r="H689" s="295">
        <v>0</v>
      </c>
      <c r="I689" s="295">
        <v>0</v>
      </c>
      <c r="J689" s="295"/>
      <c r="K689" s="308"/>
      <c r="L689" s="308"/>
      <c r="M689" s="308"/>
      <c r="N689" s="308"/>
      <c r="O689" s="308"/>
      <c r="P689" s="308"/>
    </row>
    <row r="690" spans="1:16" hidden="1" outlineLevel="1" x14ac:dyDescent="0.3">
      <c r="A690" s="294" t="s">
        <v>6005</v>
      </c>
      <c r="B690" s="294" t="s">
        <v>940</v>
      </c>
      <c r="C690" s="294" t="s">
        <v>823</v>
      </c>
      <c r="D690" s="295">
        <v>0</v>
      </c>
      <c r="E690" s="295">
        <v>0</v>
      </c>
      <c r="F690" s="295">
        <v>0</v>
      </c>
      <c r="G690" s="295">
        <v>0</v>
      </c>
      <c r="H690" s="295">
        <v>0</v>
      </c>
      <c r="I690" s="295">
        <v>0</v>
      </c>
      <c r="J690" s="295"/>
      <c r="K690" s="308"/>
      <c r="L690" s="308"/>
      <c r="M690" s="308"/>
      <c r="N690" s="308"/>
      <c r="O690" s="308"/>
      <c r="P690" s="308"/>
    </row>
    <row r="691" spans="1:16" hidden="1" outlineLevel="1" x14ac:dyDescent="0.3">
      <c r="A691" s="294" t="s">
        <v>6005</v>
      </c>
      <c r="B691" s="294" t="s">
        <v>940</v>
      </c>
      <c r="C691" s="294" t="s">
        <v>825</v>
      </c>
      <c r="D691" s="295">
        <v>0</v>
      </c>
      <c r="E691" s="295">
        <v>0</v>
      </c>
      <c r="F691" s="295">
        <v>0</v>
      </c>
      <c r="G691" s="295">
        <v>0</v>
      </c>
      <c r="H691" s="295">
        <v>0</v>
      </c>
      <c r="I691" s="295">
        <v>0</v>
      </c>
      <c r="J691" s="295"/>
      <c r="K691" s="308"/>
      <c r="L691" s="308"/>
      <c r="M691" s="308"/>
      <c r="N691" s="308"/>
      <c r="O691" s="308"/>
      <c r="P691" s="308"/>
    </row>
    <row r="692" spans="1:16" hidden="1" outlineLevel="1" x14ac:dyDescent="0.3">
      <c r="A692" s="294" t="s">
        <v>6005</v>
      </c>
      <c r="B692" s="294" t="s">
        <v>940</v>
      </c>
      <c r="C692" s="294" t="s">
        <v>827</v>
      </c>
      <c r="D692" s="295">
        <v>0</v>
      </c>
      <c r="E692" s="295">
        <v>0</v>
      </c>
      <c r="F692" s="295">
        <v>0</v>
      </c>
      <c r="G692" s="295">
        <v>0</v>
      </c>
      <c r="H692" s="295">
        <v>0</v>
      </c>
      <c r="I692" s="295">
        <v>0</v>
      </c>
      <c r="J692" s="295"/>
      <c r="K692" s="308"/>
      <c r="L692" s="308"/>
      <c r="M692" s="308"/>
      <c r="N692" s="308"/>
      <c r="O692" s="308"/>
      <c r="P692" s="308"/>
    </row>
    <row r="693" spans="1:16" hidden="1" outlineLevel="1" x14ac:dyDescent="0.3">
      <c r="A693" s="294" t="s">
        <v>6005</v>
      </c>
      <c r="B693" s="294" t="s">
        <v>940</v>
      </c>
      <c r="C693" s="294" t="s">
        <v>829</v>
      </c>
      <c r="D693" s="295">
        <v>0</v>
      </c>
      <c r="E693" s="295">
        <v>0</v>
      </c>
      <c r="F693" s="295">
        <v>0</v>
      </c>
      <c r="G693" s="295">
        <v>0</v>
      </c>
      <c r="H693" s="295">
        <v>0</v>
      </c>
      <c r="I693" s="295">
        <v>0</v>
      </c>
      <c r="J693" s="295"/>
      <c r="K693" s="308"/>
      <c r="L693" s="308"/>
      <c r="M693" s="308"/>
      <c r="N693" s="308"/>
      <c r="O693" s="308"/>
      <c r="P693" s="308"/>
    </row>
    <row r="694" spans="1:16" hidden="1" outlineLevel="1" x14ac:dyDescent="0.3">
      <c r="A694" s="294" t="s">
        <v>6005</v>
      </c>
      <c r="B694" s="294" t="s">
        <v>940</v>
      </c>
      <c r="C694" s="294" t="s">
        <v>833</v>
      </c>
      <c r="D694" s="295">
        <v>0</v>
      </c>
      <c r="E694" s="295">
        <v>0</v>
      </c>
      <c r="F694" s="295">
        <v>0</v>
      </c>
      <c r="G694" s="295">
        <v>0</v>
      </c>
      <c r="H694" s="295">
        <v>0</v>
      </c>
      <c r="I694" s="295">
        <v>0</v>
      </c>
      <c r="J694" s="295"/>
      <c r="K694" s="308"/>
      <c r="L694" s="308"/>
      <c r="M694" s="308"/>
      <c r="N694" s="308"/>
      <c r="O694" s="308"/>
      <c r="P694" s="308"/>
    </row>
    <row r="695" spans="1:16" hidden="1" outlineLevel="1" x14ac:dyDescent="0.3">
      <c r="A695" s="294" t="s">
        <v>6005</v>
      </c>
      <c r="B695" s="294" t="s">
        <v>940</v>
      </c>
      <c r="C695" s="294" t="s">
        <v>836</v>
      </c>
      <c r="D695" s="295">
        <v>0</v>
      </c>
      <c r="E695" s="295">
        <v>0</v>
      </c>
      <c r="F695" s="295">
        <v>0</v>
      </c>
      <c r="G695" s="295">
        <v>0</v>
      </c>
      <c r="H695" s="295">
        <v>0</v>
      </c>
      <c r="I695" s="295">
        <v>0</v>
      </c>
      <c r="J695" s="295"/>
      <c r="K695" s="308"/>
      <c r="L695" s="308"/>
      <c r="M695" s="308"/>
      <c r="N695" s="308"/>
      <c r="O695" s="308"/>
      <c r="P695" s="308"/>
    </row>
    <row r="696" spans="1:16" hidden="1" outlineLevel="1" x14ac:dyDescent="0.3">
      <c r="A696" s="294" t="s">
        <v>6005</v>
      </c>
      <c r="B696" s="294" t="s">
        <v>940</v>
      </c>
      <c r="C696" s="294" t="s">
        <v>837</v>
      </c>
      <c r="D696" s="295">
        <v>0</v>
      </c>
      <c r="E696" s="295">
        <v>0</v>
      </c>
      <c r="F696" s="295">
        <v>0</v>
      </c>
      <c r="G696" s="295">
        <v>0</v>
      </c>
      <c r="H696" s="295">
        <v>0</v>
      </c>
      <c r="I696" s="295">
        <v>0</v>
      </c>
      <c r="J696" s="295"/>
      <c r="K696" s="308"/>
      <c r="L696" s="308"/>
      <c r="M696" s="308"/>
      <c r="N696" s="308"/>
      <c r="O696" s="308"/>
      <c r="P696" s="308"/>
    </row>
    <row r="697" spans="1:16" hidden="1" outlineLevel="1" x14ac:dyDescent="0.3">
      <c r="A697" s="294" t="s">
        <v>6005</v>
      </c>
      <c r="B697" s="294" t="s">
        <v>940</v>
      </c>
      <c r="C697" s="294" t="s">
        <v>839</v>
      </c>
      <c r="D697" s="295">
        <v>0</v>
      </c>
      <c r="E697" s="295">
        <v>0</v>
      </c>
      <c r="F697" s="295">
        <v>0</v>
      </c>
      <c r="G697" s="295">
        <v>0</v>
      </c>
      <c r="H697" s="295">
        <v>0</v>
      </c>
      <c r="I697" s="295">
        <v>0</v>
      </c>
      <c r="J697" s="295"/>
      <c r="K697" s="308"/>
      <c r="L697" s="308"/>
      <c r="M697" s="308"/>
      <c r="N697" s="308"/>
      <c r="O697" s="308"/>
      <c r="P697" s="308"/>
    </row>
    <row r="698" spans="1:16" hidden="1" outlineLevel="1" x14ac:dyDescent="0.3">
      <c r="A698" s="294" t="s">
        <v>6005</v>
      </c>
      <c r="B698" s="294" t="s">
        <v>940</v>
      </c>
      <c r="C698" s="294" t="s">
        <v>840</v>
      </c>
      <c r="D698" s="295">
        <v>0</v>
      </c>
      <c r="E698" s="295">
        <v>0</v>
      </c>
      <c r="F698" s="295">
        <v>0</v>
      </c>
      <c r="G698" s="295">
        <v>0</v>
      </c>
      <c r="H698" s="295">
        <v>0</v>
      </c>
      <c r="I698" s="295">
        <v>0</v>
      </c>
      <c r="J698" s="295"/>
      <c r="K698" s="308"/>
      <c r="L698" s="308"/>
      <c r="M698" s="308"/>
      <c r="N698" s="308"/>
      <c r="O698" s="308"/>
      <c r="P698" s="308"/>
    </row>
    <row r="699" spans="1:16" collapsed="1" x14ac:dyDescent="0.3">
      <c r="A699" s="294"/>
      <c r="B699" s="294"/>
      <c r="C699" s="293"/>
      <c r="D699" s="295"/>
      <c r="E699" s="295"/>
      <c r="F699" s="294"/>
      <c r="G699" s="294"/>
      <c r="H699" s="294"/>
      <c r="I699" s="294"/>
      <c r="J699" s="294"/>
      <c r="K699" s="308"/>
      <c r="L699" s="308"/>
      <c r="M699" s="308"/>
      <c r="N699" s="308"/>
      <c r="O699" s="308"/>
      <c r="P699" s="308"/>
    </row>
    <row r="700" spans="1:16" x14ac:dyDescent="0.3">
      <c r="A700" s="293" t="s">
        <v>6006</v>
      </c>
      <c r="B700" s="58"/>
      <c r="C700" s="298" t="s">
        <v>4032</v>
      </c>
      <c r="D700" s="442">
        <v>0</v>
      </c>
      <c r="E700" s="442">
        <v>0</v>
      </c>
      <c r="F700" s="442">
        <v>0</v>
      </c>
      <c r="G700" s="442">
        <v>0</v>
      </c>
      <c r="H700" s="442">
        <v>0</v>
      </c>
      <c r="I700" s="442">
        <v>0</v>
      </c>
      <c r="J700" s="293"/>
      <c r="K700" s="308"/>
      <c r="L700" s="308"/>
      <c r="M700" s="308"/>
      <c r="N700" s="308"/>
      <c r="O700" s="308"/>
      <c r="P700" s="308"/>
    </row>
    <row r="701" spans="1:16" x14ac:dyDescent="0.3">
      <c r="A701" s="297" t="s">
        <v>5</v>
      </c>
      <c r="B701" s="297" t="s">
        <v>847</v>
      </c>
      <c r="C701" s="297" t="s">
        <v>193</v>
      </c>
      <c r="D701" s="297">
        <v>2022</v>
      </c>
      <c r="E701" s="297">
        <v>2025</v>
      </c>
      <c r="F701" s="297">
        <v>2030</v>
      </c>
      <c r="G701" s="297">
        <v>2035</v>
      </c>
      <c r="H701" s="297">
        <v>2040</v>
      </c>
      <c r="I701" s="297">
        <v>2045</v>
      </c>
      <c r="J701" s="297" t="s">
        <v>153</v>
      </c>
      <c r="K701" s="308"/>
      <c r="L701" s="308"/>
      <c r="M701" s="308"/>
      <c r="N701" s="308"/>
      <c r="O701" s="308"/>
      <c r="P701" s="308"/>
    </row>
    <row r="702" spans="1:16" hidden="1" outlineLevel="1" x14ac:dyDescent="0.3">
      <c r="A702" s="294" t="s">
        <v>6006</v>
      </c>
      <c r="B702" s="294" t="s">
        <v>855</v>
      </c>
      <c r="C702" s="294" t="s">
        <v>747</v>
      </c>
      <c r="D702" s="295">
        <v>0</v>
      </c>
      <c r="E702" s="295">
        <v>0</v>
      </c>
      <c r="F702" s="295">
        <v>0</v>
      </c>
      <c r="G702" s="295">
        <v>0</v>
      </c>
      <c r="H702" s="295">
        <v>0</v>
      </c>
      <c r="I702" s="295">
        <v>0</v>
      </c>
      <c r="J702" s="295"/>
      <c r="K702" s="308"/>
      <c r="L702" s="308"/>
      <c r="M702" s="308"/>
      <c r="N702" s="308"/>
      <c r="O702" s="308"/>
      <c r="P702" s="308"/>
    </row>
    <row r="703" spans="1:16" hidden="1" outlineLevel="1" x14ac:dyDescent="0.3">
      <c r="A703" s="294" t="s">
        <v>6006</v>
      </c>
      <c r="B703" s="294" t="s">
        <v>855</v>
      </c>
      <c r="C703" s="294" t="s">
        <v>751</v>
      </c>
      <c r="D703" s="295">
        <v>0</v>
      </c>
      <c r="E703" s="295">
        <v>0</v>
      </c>
      <c r="F703" s="295">
        <v>0</v>
      </c>
      <c r="G703" s="295">
        <v>0</v>
      </c>
      <c r="H703" s="295">
        <v>0</v>
      </c>
      <c r="I703" s="295">
        <v>0</v>
      </c>
      <c r="J703" s="295"/>
      <c r="K703" s="308"/>
      <c r="L703" s="308"/>
      <c r="M703" s="308"/>
      <c r="N703" s="308"/>
      <c r="O703" s="308"/>
      <c r="P703" s="308"/>
    </row>
    <row r="704" spans="1:16" hidden="1" outlineLevel="1" x14ac:dyDescent="0.3">
      <c r="A704" s="294" t="s">
        <v>6006</v>
      </c>
      <c r="B704" s="294" t="s">
        <v>855</v>
      </c>
      <c r="C704" s="294" t="s">
        <v>755</v>
      </c>
      <c r="D704" s="295">
        <v>0</v>
      </c>
      <c r="E704" s="295">
        <v>0</v>
      </c>
      <c r="F704" s="295">
        <v>0</v>
      </c>
      <c r="G704" s="295">
        <v>0</v>
      </c>
      <c r="H704" s="295">
        <v>0</v>
      </c>
      <c r="I704" s="295">
        <v>0</v>
      </c>
      <c r="J704" s="295"/>
      <c r="K704" s="308"/>
      <c r="L704" s="308"/>
      <c r="M704" s="308"/>
      <c r="N704" s="308"/>
      <c r="O704" s="308"/>
      <c r="P704" s="308"/>
    </row>
    <row r="705" spans="1:16" hidden="1" outlineLevel="1" x14ac:dyDescent="0.3">
      <c r="A705" s="294" t="s">
        <v>6006</v>
      </c>
      <c r="B705" s="294" t="s">
        <v>855</v>
      </c>
      <c r="C705" s="294" t="s">
        <v>758</v>
      </c>
      <c r="D705" s="295">
        <v>0</v>
      </c>
      <c r="E705" s="295">
        <v>0</v>
      </c>
      <c r="F705" s="295">
        <v>0</v>
      </c>
      <c r="G705" s="295">
        <v>0</v>
      </c>
      <c r="H705" s="295">
        <v>0</v>
      </c>
      <c r="I705" s="295">
        <v>0</v>
      </c>
      <c r="J705" s="295"/>
      <c r="K705" s="308"/>
      <c r="L705" s="308"/>
      <c r="M705" s="308"/>
      <c r="N705" s="308"/>
      <c r="O705" s="308"/>
      <c r="P705" s="308"/>
    </row>
    <row r="706" spans="1:16" hidden="1" outlineLevel="1" x14ac:dyDescent="0.3">
      <c r="A706" s="294" t="s">
        <v>6006</v>
      </c>
      <c r="B706" s="294" t="s">
        <v>855</v>
      </c>
      <c r="C706" s="294" t="s">
        <v>761</v>
      </c>
      <c r="D706" s="295">
        <v>0</v>
      </c>
      <c r="E706" s="295">
        <v>0</v>
      </c>
      <c r="F706" s="295">
        <v>0</v>
      </c>
      <c r="G706" s="295">
        <v>0</v>
      </c>
      <c r="H706" s="295">
        <v>0</v>
      </c>
      <c r="I706" s="295">
        <v>0</v>
      </c>
      <c r="J706" s="295"/>
      <c r="K706" s="308"/>
      <c r="L706" s="308"/>
      <c r="M706" s="308"/>
      <c r="N706" s="308"/>
      <c r="O706" s="308"/>
      <c r="P706" s="308"/>
    </row>
    <row r="707" spans="1:16" hidden="1" outlineLevel="1" x14ac:dyDescent="0.3">
      <c r="A707" s="294" t="s">
        <v>6006</v>
      </c>
      <c r="B707" s="294" t="s">
        <v>855</v>
      </c>
      <c r="C707" s="294" t="s">
        <v>763</v>
      </c>
      <c r="D707" s="295">
        <v>0</v>
      </c>
      <c r="E707" s="295">
        <v>0</v>
      </c>
      <c r="F707" s="295">
        <v>0</v>
      </c>
      <c r="G707" s="295">
        <v>0</v>
      </c>
      <c r="H707" s="295">
        <v>0</v>
      </c>
      <c r="I707" s="295">
        <v>0</v>
      </c>
      <c r="J707" s="295"/>
      <c r="K707" s="308"/>
      <c r="L707" s="308"/>
      <c r="M707" s="308"/>
      <c r="N707" s="308"/>
      <c r="O707" s="308"/>
      <c r="P707" s="308"/>
    </row>
    <row r="708" spans="1:16" hidden="1" outlineLevel="1" x14ac:dyDescent="0.3">
      <c r="A708" s="294" t="s">
        <v>6006</v>
      </c>
      <c r="B708" s="294" t="s">
        <v>855</v>
      </c>
      <c r="C708" s="294" t="s">
        <v>765</v>
      </c>
      <c r="D708" s="295">
        <v>0</v>
      </c>
      <c r="E708" s="295">
        <v>0</v>
      </c>
      <c r="F708" s="295">
        <v>0</v>
      </c>
      <c r="G708" s="295">
        <v>0</v>
      </c>
      <c r="H708" s="295">
        <v>0</v>
      </c>
      <c r="I708" s="295">
        <v>0</v>
      </c>
      <c r="J708" s="295"/>
      <c r="K708" s="308"/>
      <c r="L708" s="308"/>
      <c r="M708" s="308"/>
      <c r="N708" s="308"/>
      <c r="O708" s="308"/>
      <c r="P708" s="308"/>
    </row>
    <row r="709" spans="1:16" hidden="1" outlineLevel="1" x14ac:dyDescent="0.3">
      <c r="A709" s="294" t="s">
        <v>6006</v>
      </c>
      <c r="B709" s="294" t="s">
        <v>855</v>
      </c>
      <c r="C709" s="294" t="s">
        <v>768</v>
      </c>
      <c r="D709" s="295">
        <v>0</v>
      </c>
      <c r="E709" s="295">
        <v>0</v>
      </c>
      <c r="F709" s="295">
        <v>0</v>
      </c>
      <c r="G709" s="295">
        <v>0</v>
      </c>
      <c r="H709" s="295">
        <v>0</v>
      </c>
      <c r="I709" s="295">
        <v>0</v>
      </c>
      <c r="J709" s="295"/>
      <c r="K709" s="308"/>
      <c r="L709" s="308"/>
      <c r="M709" s="308"/>
      <c r="N709" s="308"/>
      <c r="O709" s="308"/>
      <c r="P709" s="308"/>
    </row>
    <row r="710" spans="1:16" hidden="1" outlineLevel="1" x14ac:dyDescent="0.3">
      <c r="A710" s="294" t="s">
        <v>6006</v>
      </c>
      <c r="B710" s="294" t="s">
        <v>855</v>
      </c>
      <c r="C710" s="294" t="s">
        <v>771</v>
      </c>
      <c r="D710" s="295">
        <v>0</v>
      </c>
      <c r="E710" s="295">
        <v>0</v>
      </c>
      <c r="F710" s="295">
        <v>0</v>
      </c>
      <c r="G710" s="295">
        <v>0</v>
      </c>
      <c r="H710" s="295">
        <v>0</v>
      </c>
      <c r="I710" s="295">
        <v>0</v>
      </c>
      <c r="J710" s="295"/>
      <c r="K710" s="308"/>
      <c r="L710" s="308"/>
      <c r="M710" s="308"/>
      <c r="N710" s="308"/>
      <c r="O710" s="308"/>
      <c r="P710" s="308"/>
    </row>
    <row r="711" spans="1:16" hidden="1" outlineLevel="1" x14ac:dyDescent="0.3">
      <c r="A711" s="294" t="s">
        <v>6006</v>
      </c>
      <c r="B711" s="294" t="s">
        <v>855</v>
      </c>
      <c r="C711" s="294" t="s">
        <v>772</v>
      </c>
      <c r="D711" s="295">
        <v>0</v>
      </c>
      <c r="E711" s="295">
        <v>0</v>
      </c>
      <c r="F711" s="295">
        <v>0</v>
      </c>
      <c r="G711" s="295">
        <v>0</v>
      </c>
      <c r="H711" s="295">
        <v>0</v>
      </c>
      <c r="I711" s="295">
        <v>0</v>
      </c>
      <c r="J711" s="295"/>
      <c r="K711" s="308"/>
      <c r="L711" s="308"/>
      <c r="M711" s="308"/>
      <c r="N711" s="308"/>
      <c r="O711" s="308"/>
      <c r="P711" s="308"/>
    </row>
    <row r="712" spans="1:16" hidden="1" outlineLevel="1" x14ac:dyDescent="0.3">
      <c r="A712" s="294" t="s">
        <v>6006</v>
      </c>
      <c r="B712" s="294" t="s">
        <v>855</v>
      </c>
      <c r="C712" s="294" t="s">
        <v>774</v>
      </c>
      <c r="D712" s="295">
        <v>0</v>
      </c>
      <c r="E712" s="295">
        <v>0</v>
      </c>
      <c r="F712" s="295">
        <v>0</v>
      </c>
      <c r="G712" s="295">
        <v>0</v>
      </c>
      <c r="H712" s="295">
        <v>0</v>
      </c>
      <c r="I712" s="295">
        <v>0</v>
      </c>
      <c r="J712" s="295"/>
      <c r="K712" s="308"/>
      <c r="L712" s="308"/>
      <c r="M712" s="308"/>
      <c r="N712" s="308"/>
      <c r="O712" s="308"/>
      <c r="P712" s="308"/>
    </row>
    <row r="713" spans="1:16" hidden="1" outlineLevel="1" x14ac:dyDescent="0.3">
      <c r="A713" s="294" t="s">
        <v>6006</v>
      </c>
      <c r="B713" s="294" t="s">
        <v>855</v>
      </c>
      <c r="C713" s="294" t="s">
        <v>775</v>
      </c>
      <c r="D713" s="295">
        <v>0</v>
      </c>
      <c r="E713" s="295">
        <v>0</v>
      </c>
      <c r="F713" s="295">
        <v>0</v>
      </c>
      <c r="G713" s="295">
        <v>0</v>
      </c>
      <c r="H713" s="295">
        <v>0</v>
      </c>
      <c r="I713" s="295">
        <v>0</v>
      </c>
      <c r="J713" s="295"/>
      <c r="K713" s="308"/>
      <c r="L713" s="308"/>
      <c r="M713" s="308"/>
      <c r="N713" s="308"/>
      <c r="O713" s="308"/>
      <c r="P713" s="308"/>
    </row>
    <row r="714" spans="1:16" hidden="1" outlineLevel="1" x14ac:dyDescent="0.3">
      <c r="A714" s="294" t="s">
        <v>6006</v>
      </c>
      <c r="B714" s="294" t="s">
        <v>855</v>
      </c>
      <c r="C714" s="294" t="s">
        <v>779</v>
      </c>
      <c r="D714" s="295">
        <v>0</v>
      </c>
      <c r="E714" s="295">
        <v>0</v>
      </c>
      <c r="F714" s="295">
        <v>0</v>
      </c>
      <c r="G714" s="295">
        <v>0</v>
      </c>
      <c r="H714" s="295">
        <v>0</v>
      </c>
      <c r="I714" s="295">
        <v>0</v>
      </c>
      <c r="J714" s="295"/>
      <c r="K714" s="308"/>
      <c r="L714" s="308"/>
      <c r="M714" s="308"/>
      <c r="N714" s="308"/>
      <c r="O714" s="308"/>
      <c r="P714" s="308"/>
    </row>
    <row r="715" spans="1:16" hidden="1" outlineLevel="1" x14ac:dyDescent="0.3">
      <c r="A715" s="294" t="s">
        <v>6006</v>
      </c>
      <c r="B715" s="294" t="s">
        <v>894</v>
      </c>
      <c r="C715" s="294" t="s">
        <v>781</v>
      </c>
      <c r="D715" s="295">
        <v>0</v>
      </c>
      <c r="E715" s="295">
        <v>0</v>
      </c>
      <c r="F715" s="295">
        <v>0</v>
      </c>
      <c r="G715" s="295">
        <v>0</v>
      </c>
      <c r="H715" s="295">
        <v>0</v>
      </c>
      <c r="I715" s="295">
        <v>0</v>
      </c>
      <c r="J715" s="295"/>
      <c r="K715" s="308"/>
      <c r="L715" s="308"/>
      <c r="M715" s="308"/>
      <c r="N715" s="308"/>
      <c r="O715" s="308"/>
      <c r="P715" s="308"/>
    </row>
    <row r="716" spans="1:16" hidden="1" outlineLevel="1" x14ac:dyDescent="0.3">
      <c r="A716" s="294" t="s">
        <v>6006</v>
      </c>
      <c r="B716" s="294" t="s">
        <v>894</v>
      </c>
      <c r="C716" s="294" t="s">
        <v>783</v>
      </c>
      <c r="D716" s="295">
        <v>0</v>
      </c>
      <c r="E716" s="295">
        <v>0</v>
      </c>
      <c r="F716" s="295">
        <v>0</v>
      </c>
      <c r="G716" s="295">
        <v>0</v>
      </c>
      <c r="H716" s="295">
        <v>0</v>
      </c>
      <c r="I716" s="295">
        <v>0</v>
      </c>
      <c r="J716" s="295"/>
      <c r="K716" s="308"/>
      <c r="L716" s="308"/>
      <c r="M716" s="308"/>
      <c r="N716" s="308"/>
      <c r="O716" s="308"/>
      <c r="P716" s="308"/>
    </row>
    <row r="717" spans="1:16" hidden="1" outlineLevel="1" x14ac:dyDescent="0.3">
      <c r="A717" s="294" t="s">
        <v>6006</v>
      </c>
      <c r="B717" s="294" t="s">
        <v>894</v>
      </c>
      <c r="C717" s="294" t="s">
        <v>785</v>
      </c>
      <c r="D717" s="295">
        <v>0</v>
      </c>
      <c r="E717" s="295">
        <v>0</v>
      </c>
      <c r="F717" s="295">
        <v>0</v>
      </c>
      <c r="G717" s="295">
        <v>0</v>
      </c>
      <c r="H717" s="295">
        <v>0</v>
      </c>
      <c r="I717" s="295">
        <v>0</v>
      </c>
      <c r="J717" s="295"/>
      <c r="K717" s="308"/>
      <c r="L717" s="308"/>
      <c r="M717" s="308"/>
      <c r="N717" s="308"/>
      <c r="O717" s="308"/>
      <c r="P717" s="308"/>
    </row>
    <row r="718" spans="1:16" hidden="1" outlineLevel="1" x14ac:dyDescent="0.3">
      <c r="A718" s="294" t="s">
        <v>6006</v>
      </c>
      <c r="B718" s="294" t="s">
        <v>894</v>
      </c>
      <c r="C718" s="294" t="s">
        <v>787</v>
      </c>
      <c r="D718" s="295">
        <v>0</v>
      </c>
      <c r="E718" s="295">
        <v>0</v>
      </c>
      <c r="F718" s="295">
        <v>0</v>
      </c>
      <c r="G718" s="295">
        <v>0</v>
      </c>
      <c r="H718" s="295">
        <v>0</v>
      </c>
      <c r="I718" s="295">
        <v>0</v>
      </c>
      <c r="J718" s="295"/>
      <c r="K718" s="308"/>
      <c r="L718" s="308"/>
      <c r="M718" s="308"/>
      <c r="N718" s="308"/>
      <c r="O718" s="308"/>
      <c r="P718" s="308"/>
    </row>
    <row r="719" spans="1:16" hidden="1" outlineLevel="1" x14ac:dyDescent="0.3">
      <c r="A719" s="294" t="s">
        <v>6006</v>
      </c>
      <c r="B719" s="294" t="s">
        <v>894</v>
      </c>
      <c r="C719" s="294" t="s">
        <v>788</v>
      </c>
      <c r="D719" s="295">
        <v>0</v>
      </c>
      <c r="E719" s="295">
        <v>0</v>
      </c>
      <c r="F719" s="295">
        <v>0</v>
      </c>
      <c r="G719" s="295">
        <v>0</v>
      </c>
      <c r="H719" s="295">
        <v>0</v>
      </c>
      <c r="I719" s="295">
        <v>0</v>
      </c>
      <c r="J719" s="295"/>
      <c r="K719" s="308"/>
      <c r="L719" s="308"/>
      <c r="M719" s="308"/>
      <c r="N719" s="308"/>
      <c r="O719" s="308"/>
      <c r="P719" s="308"/>
    </row>
    <row r="720" spans="1:16" hidden="1" outlineLevel="1" x14ac:dyDescent="0.3">
      <c r="A720" s="294" t="s">
        <v>6006</v>
      </c>
      <c r="B720" s="294" t="s">
        <v>894</v>
      </c>
      <c r="C720" s="294" t="s">
        <v>789</v>
      </c>
      <c r="D720" s="295">
        <v>0</v>
      </c>
      <c r="E720" s="295">
        <v>0</v>
      </c>
      <c r="F720" s="295">
        <v>0</v>
      </c>
      <c r="G720" s="295">
        <v>0</v>
      </c>
      <c r="H720" s="295">
        <v>0</v>
      </c>
      <c r="I720" s="295">
        <v>0</v>
      </c>
      <c r="J720" s="295"/>
      <c r="K720" s="308"/>
      <c r="L720" s="308"/>
      <c r="M720" s="308"/>
      <c r="N720" s="308"/>
      <c r="O720" s="308"/>
      <c r="P720" s="308"/>
    </row>
    <row r="721" spans="1:16" hidden="1" outlineLevel="1" x14ac:dyDescent="0.3">
      <c r="A721" s="294" t="s">
        <v>6006</v>
      </c>
      <c r="B721" s="294" t="s">
        <v>894</v>
      </c>
      <c r="C721" s="294" t="s">
        <v>790</v>
      </c>
      <c r="D721" s="295">
        <v>0</v>
      </c>
      <c r="E721" s="295">
        <v>0</v>
      </c>
      <c r="F721" s="295">
        <v>0</v>
      </c>
      <c r="G721" s="295">
        <v>0</v>
      </c>
      <c r="H721" s="295">
        <v>0</v>
      </c>
      <c r="I721" s="295">
        <v>0</v>
      </c>
      <c r="J721" s="295"/>
      <c r="K721" s="308"/>
      <c r="L721" s="308"/>
      <c r="M721" s="308"/>
      <c r="N721" s="308"/>
      <c r="O721" s="308"/>
      <c r="P721" s="308"/>
    </row>
    <row r="722" spans="1:16" hidden="1" outlineLevel="1" x14ac:dyDescent="0.3">
      <c r="A722" s="294" t="s">
        <v>6006</v>
      </c>
      <c r="B722" s="294" t="s">
        <v>894</v>
      </c>
      <c r="C722" s="294" t="s">
        <v>793</v>
      </c>
      <c r="D722" s="295">
        <v>0</v>
      </c>
      <c r="E722" s="295">
        <v>0</v>
      </c>
      <c r="F722" s="295">
        <v>0</v>
      </c>
      <c r="G722" s="295">
        <v>0</v>
      </c>
      <c r="H722" s="295">
        <v>0</v>
      </c>
      <c r="I722" s="295">
        <v>0</v>
      </c>
      <c r="J722" s="295"/>
      <c r="K722" s="308"/>
      <c r="L722" s="308"/>
      <c r="M722" s="308"/>
      <c r="N722" s="308"/>
      <c r="O722" s="308"/>
      <c r="P722" s="308"/>
    </row>
    <row r="723" spans="1:16" hidden="1" outlineLevel="1" x14ac:dyDescent="0.3">
      <c r="A723" s="294" t="s">
        <v>6006</v>
      </c>
      <c r="B723" s="294" t="s">
        <v>894</v>
      </c>
      <c r="C723" s="294" t="s">
        <v>795</v>
      </c>
      <c r="D723" s="295">
        <v>0</v>
      </c>
      <c r="E723" s="295">
        <v>0</v>
      </c>
      <c r="F723" s="295">
        <v>0</v>
      </c>
      <c r="G723" s="295">
        <v>0</v>
      </c>
      <c r="H723" s="295">
        <v>0</v>
      </c>
      <c r="I723" s="295">
        <v>0</v>
      </c>
      <c r="J723" s="295"/>
      <c r="K723" s="308"/>
      <c r="L723" s="308"/>
      <c r="M723" s="308"/>
      <c r="N723" s="308"/>
      <c r="O723" s="308"/>
      <c r="P723" s="308"/>
    </row>
    <row r="724" spans="1:16" hidden="1" outlineLevel="1" x14ac:dyDescent="0.3">
      <c r="A724" s="294" t="s">
        <v>6006</v>
      </c>
      <c r="B724" s="294" t="s">
        <v>894</v>
      </c>
      <c r="C724" s="294" t="s">
        <v>797</v>
      </c>
      <c r="D724" s="295">
        <v>0</v>
      </c>
      <c r="E724" s="295">
        <v>0</v>
      </c>
      <c r="F724" s="295">
        <v>0</v>
      </c>
      <c r="G724" s="295">
        <v>0</v>
      </c>
      <c r="H724" s="295">
        <v>0</v>
      </c>
      <c r="I724" s="295">
        <v>0</v>
      </c>
      <c r="J724" s="295"/>
      <c r="K724" s="308"/>
      <c r="L724" s="308"/>
      <c r="M724" s="308"/>
      <c r="N724" s="308"/>
      <c r="O724" s="308"/>
      <c r="P724" s="308"/>
    </row>
    <row r="725" spans="1:16" hidden="1" outlineLevel="1" x14ac:dyDescent="0.3">
      <c r="A725" s="294" t="s">
        <v>6006</v>
      </c>
      <c r="B725" s="294" t="s">
        <v>915</v>
      </c>
      <c r="C725" s="294" t="s">
        <v>799</v>
      </c>
      <c r="D725" s="295">
        <v>0</v>
      </c>
      <c r="E725" s="295">
        <v>0</v>
      </c>
      <c r="F725" s="295">
        <v>0</v>
      </c>
      <c r="G725" s="295">
        <v>0</v>
      </c>
      <c r="H725" s="295">
        <v>0</v>
      </c>
      <c r="I725" s="295">
        <v>0</v>
      </c>
      <c r="J725" s="295"/>
      <c r="K725" s="308"/>
      <c r="L725" s="308"/>
      <c r="M725" s="308"/>
      <c r="N725" s="308"/>
      <c r="O725" s="308"/>
      <c r="P725" s="308"/>
    </row>
    <row r="726" spans="1:16" hidden="1" outlineLevel="1" x14ac:dyDescent="0.3">
      <c r="A726" s="294" t="s">
        <v>6006</v>
      </c>
      <c r="B726" s="294" t="s">
        <v>915</v>
      </c>
      <c r="C726" s="294" t="s">
        <v>801</v>
      </c>
      <c r="D726" s="295">
        <v>0</v>
      </c>
      <c r="E726" s="295">
        <v>0</v>
      </c>
      <c r="F726" s="295">
        <v>0</v>
      </c>
      <c r="G726" s="295">
        <v>0</v>
      </c>
      <c r="H726" s="295">
        <v>0</v>
      </c>
      <c r="I726" s="295">
        <v>0</v>
      </c>
      <c r="J726" s="295"/>
      <c r="K726" s="308"/>
      <c r="L726" s="308"/>
      <c r="M726" s="308"/>
      <c r="N726" s="308"/>
      <c r="O726" s="308"/>
      <c r="P726" s="308"/>
    </row>
    <row r="727" spans="1:16" hidden="1" outlineLevel="1" x14ac:dyDescent="0.3">
      <c r="A727" s="294" t="s">
        <v>6006</v>
      </c>
      <c r="B727" s="294" t="s">
        <v>915</v>
      </c>
      <c r="C727" s="294" t="s">
        <v>804</v>
      </c>
      <c r="D727" s="295">
        <v>0</v>
      </c>
      <c r="E727" s="295">
        <v>0</v>
      </c>
      <c r="F727" s="295">
        <v>0</v>
      </c>
      <c r="G727" s="295">
        <v>0</v>
      </c>
      <c r="H727" s="295">
        <v>0</v>
      </c>
      <c r="I727" s="295">
        <v>0</v>
      </c>
      <c r="J727" s="295"/>
      <c r="K727" s="308"/>
      <c r="L727" s="308"/>
      <c r="M727" s="308"/>
      <c r="N727" s="308"/>
      <c r="O727" s="308"/>
      <c r="P727" s="308"/>
    </row>
    <row r="728" spans="1:16" hidden="1" outlineLevel="1" x14ac:dyDescent="0.3">
      <c r="A728" s="294" t="s">
        <v>6006</v>
      </c>
      <c r="B728" s="294" t="s">
        <v>915</v>
      </c>
      <c r="C728" s="294" t="s">
        <v>806</v>
      </c>
      <c r="D728" s="295">
        <v>0</v>
      </c>
      <c r="E728" s="295">
        <v>0</v>
      </c>
      <c r="F728" s="295">
        <v>0</v>
      </c>
      <c r="G728" s="295">
        <v>0</v>
      </c>
      <c r="H728" s="295">
        <v>0</v>
      </c>
      <c r="I728" s="295">
        <v>0</v>
      </c>
      <c r="J728" s="295"/>
      <c r="K728" s="308"/>
      <c r="L728" s="308"/>
      <c r="M728" s="308"/>
      <c r="N728" s="308"/>
      <c r="O728" s="308"/>
      <c r="P728" s="308"/>
    </row>
    <row r="729" spans="1:16" hidden="1" outlineLevel="1" x14ac:dyDescent="0.3">
      <c r="A729" s="294" t="s">
        <v>6006</v>
      </c>
      <c r="B729" s="294" t="s">
        <v>915</v>
      </c>
      <c r="C729" s="294" t="s">
        <v>808</v>
      </c>
      <c r="D729" s="295">
        <v>0</v>
      </c>
      <c r="E729" s="295">
        <v>0</v>
      </c>
      <c r="F729" s="295">
        <v>0</v>
      </c>
      <c r="G729" s="295">
        <v>0</v>
      </c>
      <c r="H729" s="295">
        <v>0</v>
      </c>
      <c r="I729" s="295">
        <v>0</v>
      </c>
      <c r="J729" s="295"/>
      <c r="K729" s="308"/>
      <c r="L729" s="308"/>
      <c r="M729" s="308"/>
      <c r="N729" s="308"/>
      <c r="O729" s="308"/>
      <c r="P729" s="308"/>
    </row>
    <row r="730" spans="1:16" hidden="1" outlineLevel="1" x14ac:dyDescent="0.3">
      <c r="A730" s="294" t="s">
        <v>6006</v>
      </c>
      <c r="B730" s="294" t="s">
        <v>915</v>
      </c>
      <c r="C730" s="294" t="s">
        <v>811</v>
      </c>
      <c r="D730" s="295">
        <v>0</v>
      </c>
      <c r="E730" s="295">
        <v>0</v>
      </c>
      <c r="F730" s="295">
        <v>0</v>
      </c>
      <c r="G730" s="295">
        <v>0</v>
      </c>
      <c r="H730" s="295">
        <v>0</v>
      </c>
      <c r="I730" s="295">
        <v>0</v>
      </c>
      <c r="J730" s="295"/>
      <c r="K730" s="308"/>
      <c r="L730" s="308"/>
      <c r="M730" s="308"/>
      <c r="N730" s="308"/>
      <c r="O730" s="308"/>
      <c r="P730" s="308"/>
    </row>
    <row r="731" spans="1:16" hidden="1" outlineLevel="1" x14ac:dyDescent="0.3">
      <c r="A731" s="294" t="s">
        <v>6006</v>
      </c>
      <c r="B731" s="294" t="s">
        <v>934</v>
      </c>
      <c r="C731" s="294" t="s">
        <v>814</v>
      </c>
      <c r="D731" s="295">
        <v>0</v>
      </c>
      <c r="E731" s="295">
        <v>0</v>
      </c>
      <c r="F731" s="295">
        <v>0</v>
      </c>
      <c r="G731" s="295">
        <v>0</v>
      </c>
      <c r="H731" s="295">
        <v>0</v>
      </c>
      <c r="I731" s="295">
        <v>0</v>
      </c>
      <c r="J731" s="295"/>
      <c r="K731" s="308"/>
      <c r="L731" s="308"/>
      <c r="M731" s="308"/>
      <c r="N731" s="308"/>
      <c r="O731" s="308"/>
      <c r="P731" s="308"/>
    </row>
    <row r="732" spans="1:16" hidden="1" outlineLevel="1" x14ac:dyDescent="0.3">
      <c r="A732" s="294" t="s">
        <v>6006</v>
      </c>
      <c r="B732" s="294" t="s">
        <v>934</v>
      </c>
      <c r="C732" s="294" t="s">
        <v>815</v>
      </c>
      <c r="D732" s="295">
        <v>0</v>
      </c>
      <c r="E732" s="295">
        <v>0</v>
      </c>
      <c r="F732" s="295">
        <v>0</v>
      </c>
      <c r="G732" s="295">
        <v>0</v>
      </c>
      <c r="H732" s="295">
        <v>0</v>
      </c>
      <c r="I732" s="295">
        <v>0</v>
      </c>
      <c r="J732" s="295"/>
      <c r="K732" s="308"/>
      <c r="L732" s="308"/>
      <c r="M732" s="308"/>
      <c r="N732" s="308"/>
      <c r="O732" s="308"/>
      <c r="P732" s="308"/>
    </row>
    <row r="733" spans="1:16" hidden="1" outlineLevel="1" x14ac:dyDescent="0.3">
      <c r="A733" s="294" t="s">
        <v>6006</v>
      </c>
      <c r="B733" s="294" t="s">
        <v>940</v>
      </c>
      <c r="C733" s="294" t="s">
        <v>817</v>
      </c>
      <c r="D733" s="295">
        <v>0</v>
      </c>
      <c r="E733" s="295">
        <v>0</v>
      </c>
      <c r="F733" s="295">
        <v>0</v>
      </c>
      <c r="G733" s="295">
        <v>0</v>
      </c>
      <c r="H733" s="295">
        <v>0</v>
      </c>
      <c r="I733" s="295">
        <v>0</v>
      </c>
      <c r="J733" s="295"/>
      <c r="K733" s="308"/>
      <c r="L733" s="308"/>
      <c r="M733" s="308"/>
      <c r="N733" s="308"/>
      <c r="O733" s="308"/>
      <c r="P733" s="308"/>
    </row>
    <row r="734" spans="1:16" hidden="1" outlineLevel="1" x14ac:dyDescent="0.3">
      <c r="A734" s="294" t="s">
        <v>6006</v>
      </c>
      <c r="B734" s="294" t="s">
        <v>940</v>
      </c>
      <c r="C734" s="294" t="s">
        <v>944</v>
      </c>
      <c r="D734" s="295">
        <v>0</v>
      </c>
      <c r="E734" s="295">
        <v>0</v>
      </c>
      <c r="F734" s="295">
        <v>0</v>
      </c>
      <c r="G734" s="295">
        <v>0</v>
      </c>
      <c r="H734" s="295">
        <v>0</v>
      </c>
      <c r="I734" s="295">
        <v>0</v>
      </c>
      <c r="J734" s="295"/>
      <c r="K734" s="308"/>
      <c r="L734" s="308"/>
      <c r="M734" s="308"/>
      <c r="N734" s="308"/>
      <c r="O734" s="308"/>
      <c r="P734" s="308"/>
    </row>
    <row r="735" spans="1:16" hidden="1" outlineLevel="1" x14ac:dyDescent="0.3">
      <c r="A735" s="294" t="s">
        <v>6006</v>
      </c>
      <c r="B735" s="294" t="s">
        <v>940</v>
      </c>
      <c r="C735" s="294" t="s">
        <v>821</v>
      </c>
      <c r="D735" s="295">
        <v>0</v>
      </c>
      <c r="E735" s="295">
        <v>0</v>
      </c>
      <c r="F735" s="295">
        <v>0</v>
      </c>
      <c r="G735" s="295">
        <v>0</v>
      </c>
      <c r="H735" s="295">
        <v>0</v>
      </c>
      <c r="I735" s="295">
        <v>0</v>
      </c>
      <c r="J735" s="295"/>
      <c r="K735" s="308"/>
      <c r="L735" s="308"/>
      <c r="M735" s="308"/>
      <c r="N735" s="308"/>
      <c r="O735" s="308"/>
      <c r="P735" s="308"/>
    </row>
    <row r="736" spans="1:16" hidden="1" outlineLevel="1" x14ac:dyDescent="0.3">
      <c r="A736" s="294" t="s">
        <v>6006</v>
      </c>
      <c r="B736" s="294" t="s">
        <v>940</v>
      </c>
      <c r="C736" s="294" t="s">
        <v>823</v>
      </c>
      <c r="D736" s="295">
        <v>0</v>
      </c>
      <c r="E736" s="295">
        <v>0</v>
      </c>
      <c r="F736" s="295">
        <v>0</v>
      </c>
      <c r="G736" s="295">
        <v>0</v>
      </c>
      <c r="H736" s="295">
        <v>0</v>
      </c>
      <c r="I736" s="295">
        <v>0</v>
      </c>
      <c r="J736" s="295"/>
      <c r="K736" s="308"/>
      <c r="L736" s="308"/>
      <c r="M736" s="308"/>
      <c r="N736" s="308"/>
      <c r="O736" s="308"/>
      <c r="P736" s="308"/>
    </row>
    <row r="737" spans="1:16" hidden="1" outlineLevel="1" x14ac:dyDescent="0.3">
      <c r="A737" s="294" t="s">
        <v>6006</v>
      </c>
      <c r="B737" s="294" t="s">
        <v>940</v>
      </c>
      <c r="C737" s="294" t="s">
        <v>825</v>
      </c>
      <c r="D737" s="295">
        <v>0</v>
      </c>
      <c r="E737" s="295">
        <v>0</v>
      </c>
      <c r="F737" s="295">
        <v>0</v>
      </c>
      <c r="G737" s="295">
        <v>0</v>
      </c>
      <c r="H737" s="295">
        <v>0</v>
      </c>
      <c r="I737" s="295">
        <v>0</v>
      </c>
      <c r="J737" s="295"/>
      <c r="K737" s="308"/>
      <c r="L737" s="308"/>
      <c r="M737" s="308"/>
      <c r="N737" s="308"/>
      <c r="O737" s="308"/>
      <c r="P737" s="308"/>
    </row>
    <row r="738" spans="1:16" hidden="1" outlineLevel="1" x14ac:dyDescent="0.3">
      <c r="A738" s="294" t="s">
        <v>6006</v>
      </c>
      <c r="B738" s="294" t="s">
        <v>940</v>
      </c>
      <c r="C738" s="294" t="s">
        <v>827</v>
      </c>
      <c r="D738" s="295">
        <v>0</v>
      </c>
      <c r="E738" s="295">
        <v>0</v>
      </c>
      <c r="F738" s="295">
        <v>0</v>
      </c>
      <c r="G738" s="295">
        <v>0</v>
      </c>
      <c r="H738" s="295">
        <v>0</v>
      </c>
      <c r="I738" s="295">
        <v>0</v>
      </c>
      <c r="J738" s="295"/>
      <c r="K738" s="308"/>
      <c r="L738" s="308"/>
      <c r="M738" s="308"/>
      <c r="N738" s="308"/>
      <c r="O738" s="308"/>
      <c r="P738" s="308"/>
    </row>
    <row r="739" spans="1:16" hidden="1" outlineLevel="1" x14ac:dyDescent="0.3">
      <c r="A739" s="294" t="s">
        <v>6006</v>
      </c>
      <c r="B739" s="294" t="s">
        <v>940</v>
      </c>
      <c r="C739" s="294" t="s">
        <v>829</v>
      </c>
      <c r="D739" s="295">
        <v>0</v>
      </c>
      <c r="E739" s="295">
        <v>0</v>
      </c>
      <c r="F739" s="295">
        <v>0</v>
      </c>
      <c r="G739" s="295">
        <v>0</v>
      </c>
      <c r="H739" s="295">
        <v>0</v>
      </c>
      <c r="I739" s="295">
        <v>0</v>
      </c>
      <c r="J739" s="295"/>
      <c r="K739" s="308"/>
      <c r="L739" s="308"/>
      <c r="M739" s="308"/>
      <c r="N739" s="308"/>
      <c r="O739" s="308"/>
      <c r="P739" s="308"/>
    </row>
    <row r="740" spans="1:16" hidden="1" outlineLevel="1" x14ac:dyDescent="0.3">
      <c r="A740" s="294" t="s">
        <v>6006</v>
      </c>
      <c r="B740" s="294" t="s">
        <v>940</v>
      </c>
      <c r="C740" s="294" t="s">
        <v>833</v>
      </c>
      <c r="D740" s="295">
        <v>0</v>
      </c>
      <c r="E740" s="295">
        <v>0</v>
      </c>
      <c r="F740" s="295">
        <v>0</v>
      </c>
      <c r="G740" s="295">
        <v>0</v>
      </c>
      <c r="H740" s="295">
        <v>0</v>
      </c>
      <c r="I740" s="295">
        <v>0</v>
      </c>
      <c r="J740" s="295"/>
      <c r="K740" s="308"/>
      <c r="L740" s="308"/>
      <c r="M740" s="308"/>
      <c r="N740" s="308"/>
      <c r="O740" s="308"/>
      <c r="P740" s="308"/>
    </row>
    <row r="741" spans="1:16" hidden="1" outlineLevel="1" x14ac:dyDescent="0.3">
      <c r="A741" s="294" t="s">
        <v>6006</v>
      </c>
      <c r="B741" s="294" t="s">
        <v>940</v>
      </c>
      <c r="C741" s="294" t="s">
        <v>836</v>
      </c>
      <c r="D741" s="295">
        <v>0</v>
      </c>
      <c r="E741" s="295">
        <v>0</v>
      </c>
      <c r="F741" s="295">
        <v>0</v>
      </c>
      <c r="G741" s="295">
        <v>0</v>
      </c>
      <c r="H741" s="295">
        <v>0</v>
      </c>
      <c r="I741" s="295">
        <v>0</v>
      </c>
      <c r="J741" s="295"/>
      <c r="K741" s="308"/>
      <c r="L741" s="308"/>
      <c r="M741" s="308"/>
      <c r="N741" s="308"/>
      <c r="O741" s="308"/>
      <c r="P741" s="308"/>
    </row>
    <row r="742" spans="1:16" hidden="1" outlineLevel="1" x14ac:dyDescent="0.3">
      <c r="A742" s="294" t="s">
        <v>6006</v>
      </c>
      <c r="B742" s="294" t="s">
        <v>940</v>
      </c>
      <c r="C742" s="294" t="s">
        <v>837</v>
      </c>
      <c r="D742" s="295">
        <v>0</v>
      </c>
      <c r="E742" s="295">
        <v>0</v>
      </c>
      <c r="F742" s="295">
        <v>0</v>
      </c>
      <c r="G742" s="295">
        <v>0</v>
      </c>
      <c r="H742" s="295">
        <v>0</v>
      </c>
      <c r="I742" s="295">
        <v>0</v>
      </c>
      <c r="J742" s="295"/>
      <c r="K742" s="308"/>
      <c r="L742" s="308"/>
      <c r="M742" s="308"/>
      <c r="N742" s="308"/>
      <c r="O742" s="308"/>
      <c r="P742" s="308"/>
    </row>
    <row r="743" spans="1:16" hidden="1" outlineLevel="1" x14ac:dyDescent="0.3">
      <c r="A743" s="294" t="s">
        <v>6006</v>
      </c>
      <c r="B743" s="294" t="s">
        <v>940</v>
      </c>
      <c r="C743" s="294" t="s">
        <v>839</v>
      </c>
      <c r="D743" s="295">
        <v>0</v>
      </c>
      <c r="E743" s="295">
        <v>0</v>
      </c>
      <c r="F743" s="295">
        <v>0</v>
      </c>
      <c r="G743" s="295">
        <v>0</v>
      </c>
      <c r="H743" s="295">
        <v>0</v>
      </c>
      <c r="I743" s="295">
        <v>0</v>
      </c>
      <c r="J743" s="295"/>
      <c r="K743" s="308"/>
      <c r="L743" s="308"/>
      <c r="M743" s="308"/>
      <c r="N743" s="308"/>
      <c r="O743" s="308"/>
      <c r="P743" s="308"/>
    </row>
    <row r="744" spans="1:16" hidden="1" outlineLevel="1" x14ac:dyDescent="0.3">
      <c r="A744" s="294" t="s">
        <v>6006</v>
      </c>
      <c r="B744" s="294" t="s">
        <v>940</v>
      </c>
      <c r="C744" s="294" t="s">
        <v>840</v>
      </c>
      <c r="D744" s="295">
        <v>0</v>
      </c>
      <c r="E744" s="295">
        <v>0</v>
      </c>
      <c r="F744" s="295">
        <v>0</v>
      </c>
      <c r="G744" s="295">
        <v>0</v>
      </c>
      <c r="H744" s="295">
        <v>0</v>
      </c>
      <c r="I744" s="295">
        <v>0</v>
      </c>
      <c r="J744" s="295"/>
      <c r="K744" s="308"/>
      <c r="L744" s="308"/>
      <c r="M744" s="308"/>
      <c r="N744" s="308"/>
      <c r="O744" s="308"/>
      <c r="P744" s="308"/>
    </row>
    <row r="745" spans="1:16" collapsed="1" x14ac:dyDescent="0.3">
      <c r="A745" s="294"/>
      <c r="B745" s="294"/>
      <c r="C745" s="293"/>
      <c r="D745" s="295"/>
      <c r="E745" s="295"/>
      <c r="F745" s="294"/>
      <c r="G745" s="294"/>
      <c r="H745" s="294"/>
      <c r="I745" s="294"/>
      <c r="J745" s="294"/>
      <c r="K745" s="308"/>
      <c r="L745" s="308"/>
      <c r="M745" s="308"/>
      <c r="N745" s="308"/>
      <c r="O745" s="308"/>
      <c r="P745" s="308"/>
    </row>
    <row r="746" spans="1:16" x14ac:dyDescent="0.3">
      <c r="A746" s="293" t="s">
        <v>6023</v>
      </c>
      <c r="B746" s="439"/>
      <c r="C746" s="298" t="s">
        <v>4032</v>
      </c>
      <c r="D746" s="442">
        <v>0</v>
      </c>
      <c r="E746" s="442">
        <v>0</v>
      </c>
      <c r="F746" s="442">
        <v>0</v>
      </c>
      <c r="G746" s="442">
        <v>0</v>
      </c>
      <c r="H746" s="442">
        <v>0</v>
      </c>
      <c r="I746" s="442">
        <v>0</v>
      </c>
      <c r="J746" s="293"/>
      <c r="K746" s="308"/>
      <c r="L746" s="308"/>
      <c r="M746" s="308"/>
      <c r="N746" s="308"/>
      <c r="O746" s="308"/>
      <c r="P746" s="308"/>
    </row>
    <row r="747" spans="1:16" x14ac:dyDescent="0.3">
      <c r="A747" s="297" t="s">
        <v>5</v>
      </c>
      <c r="B747" s="297" t="s">
        <v>847</v>
      </c>
      <c r="C747" s="297" t="s">
        <v>193</v>
      </c>
      <c r="D747" s="297">
        <v>2022</v>
      </c>
      <c r="E747" s="297">
        <v>2025</v>
      </c>
      <c r="F747" s="297">
        <v>2030</v>
      </c>
      <c r="G747" s="297">
        <v>2035</v>
      </c>
      <c r="H747" s="297">
        <v>2040</v>
      </c>
      <c r="I747" s="297">
        <v>2045</v>
      </c>
      <c r="J747" s="297" t="s">
        <v>153</v>
      </c>
      <c r="K747" s="551"/>
      <c r="L747" s="551"/>
      <c r="M747" s="551"/>
      <c r="N747" s="551"/>
      <c r="O747" s="551"/>
      <c r="P747" s="552"/>
    </row>
    <row r="748" spans="1:16" hidden="1" outlineLevel="1" x14ac:dyDescent="0.3">
      <c r="A748" s="294" t="s">
        <v>6023</v>
      </c>
      <c r="B748" s="294" t="s">
        <v>855</v>
      </c>
      <c r="C748" s="294" t="s">
        <v>747</v>
      </c>
      <c r="D748" s="295">
        <v>0</v>
      </c>
      <c r="E748" s="295">
        <v>0</v>
      </c>
      <c r="F748" s="295">
        <v>0</v>
      </c>
      <c r="G748" s="295">
        <v>0</v>
      </c>
      <c r="H748" s="295">
        <v>0</v>
      </c>
      <c r="I748" s="295">
        <v>0</v>
      </c>
      <c r="J748" s="295"/>
      <c r="K748" s="553"/>
      <c r="L748" s="553"/>
      <c r="M748" s="553"/>
      <c r="N748" s="553"/>
      <c r="O748" s="553"/>
      <c r="P748" s="553"/>
    </row>
    <row r="749" spans="1:16" hidden="1" outlineLevel="1" x14ac:dyDescent="0.3">
      <c r="A749" s="294" t="s">
        <v>6023</v>
      </c>
      <c r="B749" s="294" t="s">
        <v>855</v>
      </c>
      <c r="C749" s="294" t="s">
        <v>751</v>
      </c>
      <c r="D749" s="295">
        <v>0</v>
      </c>
      <c r="E749" s="295">
        <v>0</v>
      </c>
      <c r="F749" s="295">
        <v>0</v>
      </c>
      <c r="G749" s="295">
        <v>0</v>
      </c>
      <c r="H749" s="295">
        <v>0</v>
      </c>
      <c r="I749" s="295">
        <v>0</v>
      </c>
      <c r="J749" s="295"/>
      <c r="K749" s="553"/>
      <c r="L749" s="553"/>
      <c r="M749" s="553"/>
      <c r="N749" s="553"/>
      <c r="O749" s="553"/>
      <c r="P749" s="553"/>
    </row>
    <row r="750" spans="1:16" hidden="1" outlineLevel="1" x14ac:dyDescent="0.3">
      <c r="A750" s="294" t="s">
        <v>6023</v>
      </c>
      <c r="B750" s="294" t="s">
        <v>855</v>
      </c>
      <c r="C750" s="294" t="s">
        <v>755</v>
      </c>
      <c r="D750" s="295">
        <v>0</v>
      </c>
      <c r="E750" s="295">
        <v>0</v>
      </c>
      <c r="F750" s="295">
        <v>0</v>
      </c>
      <c r="G750" s="295">
        <v>0</v>
      </c>
      <c r="H750" s="295">
        <v>0</v>
      </c>
      <c r="I750" s="295">
        <v>0</v>
      </c>
      <c r="J750" s="295"/>
      <c r="K750" s="553"/>
      <c r="L750" s="553"/>
      <c r="M750" s="553"/>
      <c r="N750" s="553"/>
      <c r="O750" s="553"/>
      <c r="P750" s="553"/>
    </row>
    <row r="751" spans="1:16" hidden="1" outlineLevel="1" x14ac:dyDescent="0.3">
      <c r="A751" s="294" t="s">
        <v>6023</v>
      </c>
      <c r="B751" s="294" t="s">
        <v>855</v>
      </c>
      <c r="C751" s="294" t="s">
        <v>758</v>
      </c>
      <c r="D751" s="295">
        <v>0</v>
      </c>
      <c r="E751" s="295">
        <v>0</v>
      </c>
      <c r="F751" s="295">
        <v>0</v>
      </c>
      <c r="G751" s="295">
        <v>0</v>
      </c>
      <c r="H751" s="295">
        <v>0</v>
      </c>
      <c r="I751" s="295">
        <v>0</v>
      </c>
      <c r="J751" s="295"/>
      <c r="K751" s="553"/>
      <c r="L751" s="553"/>
      <c r="M751" s="553"/>
      <c r="N751" s="553"/>
      <c r="O751" s="553"/>
      <c r="P751" s="553"/>
    </row>
    <row r="752" spans="1:16" hidden="1" outlineLevel="1" x14ac:dyDescent="0.3">
      <c r="A752" s="294" t="s">
        <v>6023</v>
      </c>
      <c r="B752" s="294" t="s">
        <v>855</v>
      </c>
      <c r="C752" s="294" t="s">
        <v>761</v>
      </c>
      <c r="D752" s="295">
        <v>0</v>
      </c>
      <c r="E752" s="295">
        <v>0</v>
      </c>
      <c r="F752" s="295">
        <v>0</v>
      </c>
      <c r="G752" s="295">
        <v>0</v>
      </c>
      <c r="H752" s="295">
        <v>0</v>
      </c>
      <c r="I752" s="295">
        <v>0</v>
      </c>
      <c r="J752" s="295"/>
      <c r="K752" s="553"/>
      <c r="L752" s="553"/>
      <c r="M752" s="553"/>
      <c r="N752" s="553"/>
      <c r="O752" s="553"/>
      <c r="P752" s="553"/>
    </row>
    <row r="753" spans="1:16" hidden="1" outlineLevel="1" x14ac:dyDescent="0.3">
      <c r="A753" s="294" t="s">
        <v>6023</v>
      </c>
      <c r="B753" s="294" t="s">
        <v>855</v>
      </c>
      <c r="C753" s="294" t="s">
        <v>763</v>
      </c>
      <c r="D753" s="295">
        <v>0</v>
      </c>
      <c r="E753" s="295">
        <v>0</v>
      </c>
      <c r="F753" s="295">
        <v>0</v>
      </c>
      <c r="G753" s="295">
        <v>0</v>
      </c>
      <c r="H753" s="295">
        <v>0</v>
      </c>
      <c r="I753" s="295">
        <v>0</v>
      </c>
      <c r="J753" s="295"/>
      <c r="K753" s="553"/>
      <c r="L753" s="553"/>
      <c r="M753" s="553"/>
      <c r="N753" s="553"/>
      <c r="O753" s="553"/>
      <c r="P753" s="553"/>
    </row>
    <row r="754" spans="1:16" hidden="1" outlineLevel="1" x14ac:dyDescent="0.3">
      <c r="A754" s="294" t="s">
        <v>6023</v>
      </c>
      <c r="B754" s="294" t="s">
        <v>855</v>
      </c>
      <c r="C754" s="294" t="s">
        <v>765</v>
      </c>
      <c r="D754" s="295">
        <v>0</v>
      </c>
      <c r="E754" s="295">
        <v>0</v>
      </c>
      <c r="F754" s="295">
        <v>0</v>
      </c>
      <c r="G754" s="295">
        <v>0</v>
      </c>
      <c r="H754" s="295">
        <v>0</v>
      </c>
      <c r="I754" s="295">
        <v>0</v>
      </c>
      <c r="J754" s="295"/>
      <c r="K754" s="553"/>
      <c r="L754" s="553"/>
      <c r="M754" s="553"/>
      <c r="N754" s="553"/>
      <c r="O754" s="553"/>
      <c r="P754" s="553"/>
    </row>
    <row r="755" spans="1:16" hidden="1" outlineLevel="1" x14ac:dyDescent="0.3">
      <c r="A755" s="294" t="s">
        <v>6023</v>
      </c>
      <c r="B755" s="294" t="s">
        <v>855</v>
      </c>
      <c r="C755" s="294" t="s">
        <v>768</v>
      </c>
      <c r="D755" s="295">
        <v>0</v>
      </c>
      <c r="E755" s="295">
        <v>0</v>
      </c>
      <c r="F755" s="295">
        <v>0</v>
      </c>
      <c r="G755" s="295">
        <v>0</v>
      </c>
      <c r="H755" s="295">
        <v>0</v>
      </c>
      <c r="I755" s="295">
        <v>0</v>
      </c>
      <c r="J755" s="295"/>
      <c r="K755" s="553"/>
      <c r="L755" s="553"/>
      <c r="M755" s="553"/>
      <c r="N755" s="553"/>
      <c r="O755" s="553"/>
      <c r="P755" s="553"/>
    </row>
    <row r="756" spans="1:16" hidden="1" outlineLevel="1" x14ac:dyDescent="0.3">
      <c r="A756" s="294" t="s">
        <v>6023</v>
      </c>
      <c r="B756" s="294" t="s">
        <v>855</v>
      </c>
      <c r="C756" s="294" t="s">
        <v>771</v>
      </c>
      <c r="D756" s="295">
        <v>0</v>
      </c>
      <c r="E756" s="295">
        <v>0</v>
      </c>
      <c r="F756" s="295">
        <v>0</v>
      </c>
      <c r="G756" s="295">
        <v>0</v>
      </c>
      <c r="H756" s="295">
        <v>0</v>
      </c>
      <c r="I756" s="295">
        <v>0</v>
      </c>
      <c r="J756" s="295"/>
      <c r="K756" s="553"/>
      <c r="L756" s="553"/>
      <c r="M756" s="553"/>
      <c r="N756" s="553"/>
      <c r="O756" s="553"/>
      <c r="P756" s="553"/>
    </row>
    <row r="757" spans="1:16" hidden="1" outlineLevel="1" x14ac:dyDescent="0.3">
      <c r="A757" s="294" t="s">
        <v>6023</v>
      </c>
      <c r="B757" s="294" t="s">
        <v>855</v>
      </c>
      <c r="C757" s="294" t="s">
        <v>772</v>
      </c>
      <c r="D757" s="295">
        <v>0</v>
      </c>
      <c r="E757" s="295">
        <v>0</v>
      </c>
      <c r="F757" s="295">
        <v>0</v>
      </c>
      <c r="G757" s="295">
        <v>0</v>
      </c>
      <c r="H757" s="295">
        <v>0</v>
      </c>
      <c r="I757" s="295">
        <v>0</v>
      </c>
      <c r="J757" s="295"/>
      <c r="K757" s="553"/>
      <c r="L757" s="553"/>
      <c r="M757" s="553"/>
      <c r="N757" s="553"/>
      <c r="O757" s="553"/>
      <c r="P757" s="553"/>
    </row>
    <row r="758" spans="1:16" hidden="1" outlineLevel="1" x14ac:dyDescent="0.3">
      <c r="A758" s="294" t="s">
        <v>6023</v>
      </c>
      <c r="B758" s="294" t="s">
        <v>855</v>
      </c>
      <c r="C758" s="294" t="s">
        <v>774</v>
      </c>
      <c r="D758" s="295">
        <v>0</v>
      </c>
      <c r="E758" s="295">
        <v>0</v>
      </c>
      <c r="F758" s="295">
        <v>0</v>
      </c>
      <c r="G758" s="295">
        <v>0</v>
      </c>
      <c r="H758" s="295">
        <v>0</v>
      </c>
      <c r="I758" s="295">
        <v>0</v>
      </c>
      <c r="J758" s="295"/>
      <c r="K758" s="553"/>
      <c r="L758" s="553"/>
      <c r="M758" s="553"/>
      <c r="N758" s="553"/>
      <c r="O758" s="553"/>
      <c r="P758" s="553"/>
    </row>
    <row r="759" spans="1:16" hidden="1" outlineLevel="1" x14ac:dyDescent="0.3">
      <c r="A759" s="294" t="s">
        <v>6023</v>
      </c>
      <c r="B759" s="294" t="s">
        <v>855</v>
      </c>
      <c r="C759" s="294" t="s">
        <v>775</v>
      </c>
      <c r="D759" s="295">
        <v>0</v>
      </c>
      <c r="E759" s="295">
        <v>0</v>
      </c>
      <c r="F759" s="295">
        <v>0</v>
      </c>
      <c r="G759" s="295">
        <v>0</v>
      </c>
      <c r="H759" s="295">
        <v>0</v>
      </c>
      <c r="I759" s="295">
        <v>0</v>
      </c>
      <c r="J759" s="295"/>
      <c r="K759" s="553"/>
      <c r="L759" s="553"/>
      <c r="M759" s="553"/>
      <c r="N759" s="553"/>
      <c r="O759" s="553"/>
      <c r="P759" s="553"/>
    </row>
    <row r="760" spans="1:16" hidden="1" outlineLevel="1" x14ac:dyDescent="0.3">
      <c r="A760" s="294" t="s">
        <v>6023</v>
      </c>
      <c r="B760" s="294" t="s">
        <v>855</v>
      </c>
      <c r="C760" s="294" t="s">
        <v>779</v>
      </c>
      <c r="D760" s="295">
        <v>0</v>
      </c>
      <c r="E760" s="295">
        <v>0</v>
      </c>
      <c r="F760" s="295">
        <v>0</v>
      </c>
      <c r="G760" s="295">
        <v>0</v>
      </c>
      <c r="H760" s="295">
        <v>0</v>
      </c>
      <c r="I760" s="295">
        <v>0</v>
      </c>
      <c r="J760" s="295"/>
      <c r="K760" s="553"/>
      <c r="L760" s="553"/>
      <c r="M760" s="553"/>
      <c r="N760" s="553"/>
      <c r="O760" s="553"/>
      <c r="P760" s="553"/>
    </row>
    <row r="761" spans="1:16" hidden="1" outlineLevel="1" x14ac:dyDescent="0.3">
      <c r="A761" s="294" t="s">
        <v>6023</v>
      </c>
      <c r="B761" s="294" t="s">
        <v>894</v>
      </c>
      <c r="C761" s="294" t="s">
        <v>781</v>
      </c>
      <c r="D761" s="295">
        <v>0</v>
      </c>
      <c r="E761" s="295">
        <v>0</v>
      </c>
      <c r="F761" s="295">
        <v>0</v>
      </c>
      <c r="G761" s="295">
        <v>0</v>
      </c>
      <c r="H761" s="295">
        <v>0</v>
      </c>
      <c r="I761" s="295">
        <v>0</v>
      </c>
      <c r="J761" s="295"/>
      <c r="K761" s="553"/>
      <c r="L761" s="553"/>
      <c r="M761" s="553"/>
      <c r="N761" s="553"/>
      <c r="O761" s="553"/>
      <c r="P761" s="553"/>
    </row>
    <row r="762" spans="1:16" hidden="1" outlineLevel="1" x14ac:dyDescent="0.3">
      <c r="A762" s="294" t="s">
        <v>6023</v>
      </c>
      <c r="B762" s="294" t="s">
        <v>894</v>
      </c>
      <c r="C762" s="294" t="s">
        <v>783</v>
      </c>
      <c r="D762" s="295">
        <v>0</v>
      </c>
      <c r="E762" s="295">
        <v>0</v>
      </c>
      <c r="F762" s="295">
        <v>0</v>
      </c>
      <c r="G762" s="295">
        <v>0</v>
      </c>
      <c r="H762" s="295">
        <v>0</v>
      </c>
      <c r="I762" s="295">
        <v>0</v>
      </c>
      <c r="J762" s="295"/>
      <c r="K762" s="553"/>
      <c r="L762" s="553"/>
      <c r="M762" s="553"/>
      <c r="N762" s="553"/>
      <c r="O762" s="553"/>
      <c r="P762" s="553"/>
    </row>
    <row r="763" spans="1:16" hidden="1" outlineLevel="1" x14ac:dyDescent="0.3">
      <c r="A763" s="294" t="s">
        <v>6023</v>
      </c>
      <c r="B763" s="294" t="s">
        <v>894</v>
      </c>
      <c r="C763" s="294" t="s">
        <v>785</v>
      </c>
      <c r="D763" s="295">
        <v>0</v>
      </c>
      <c r="E763" s="295">
        <v>0</v>
      </c>
      <c r="F763" s="295">
        <v>0</v>
      </c>
      <c r="G763" s="295">
        <v>0</v>
      </c>
      <c r="H763" s="295">
        <v>0</v>
      </c>
      <c r="I763" s="295">
        <v>0</v>
      </c>
      <c r="J763" s="295"/>
      <c r="K763" s="553"/>
      <c r="L763" s="553"/>
      <c r="M763" s="553"/>
      <c r="N763" s="553"/>
      <c r="O763" s="553"/>
      <c r="P763" s="553"/>
    </row>
    <row r="764" spans="1:16" hidden="1" outlineLevel="1" x14ac:dyDescent="0.3">
      <c r="A764" s="294" t="s">
        <v>6023</v>
      </c>
      <c r="B764" s="294" t="s">
        <v>894</v>
      </c>
      <c r="C764" s="294" t="s">
        <v>787</v>
      </c>
      <c r="D764" s="295">
        <v>0</v>
      </c>
      <c r="E764" s="295">
        <v>0</v>
      </c>
      <c r="F764" s="295">
        <v>0</v>
      </c>
      <c r="G764" s="295">
        <v>0</v>
      </c>
      <c r="H764" s="295">
        <v>0</v>
      </c>
      <c r="I764" s="295">
        <v>0</v>
      </c>
      <c r="J764" s="295"/>
      <c r="K764" s="553"/>
      <c r="L764" s="553"/>
      <c r="M764" s="553"/>
      <c r="N764" s="553"/>
      <c r="O764" s="553"/>
      <c r="P764" s="553"/>
    </row>
    <row r="765" spans="1:16" hidden="1" outlineLevel="1" x14ac:dyDescent="0.3">
      <c r="A765" s="294" t="s">
        <v>6023</v>
      </c>
      <c r="B765" s="294" t="s">
        <v>894</v>
      </c>
      <c r="C765" s="294" t="s">
        <v>788</v>
      </c>
      <c r="D765" s="295">
        <v>0</v>
      </c>
      <c r="E765" s="295">
        <v>0</v>
      </c>
      <c r="F765" s="295">
        <v>0</v>
      </c>
      <c r="G765" s="295">
        <v>0</v>
      </c>
      <c r="H765" s="295">
        <v>0</v>
      </c>
      <c r="I765" s="295">
        <v>0</v>
      </c>
      <c r="J765" s="295"/>
      <c r="K765" s="553"/>
      <c r="L765" s="553"/>
      <c r="M765" s="553"/>
      <c r="N765" s="553"/>
      <c r="O765" s="553"/>
      <c r="P765" s="553"/>
    </row>
    <row r="766" spans="1:16" hidden="1" outlineLevel="1" x14ac:dyDescent="0.3">
      <c r="A766" s="294" t="s">
        <v>6023</v>
      </c>
      <c r="B766" s="294" t="s">
        <v>894</v>
      </c>
      <c r="C766" s="294" t="s">
        <v>789</v>
      </c>
      <c r="D766" s="295">
        <v>0</v>
      </c>
      <c r="E766" s="295">
        <v>0</v>
      </c>
      <c r="F766" s="295">
        <v>0</v>
      </c>
      <c r="G766" s="295">
        <v>0</v>
      </c>
      <c r="H766" s="295">
        <v>0</v>
      </c>
      <c r="I766" s="295">
        <v>0</v>
      </c>
      <c r="J766" s="295"/>
      <c r="K766" s="553"/>
      <c r="L766" s="553"/>
      <c r="M766" s="553"/>
      <c r="N766" s="553"/>
      <c r="O766" s="553"/>
      <c r="P766" s="553"/>
    </row>
    <row r="767" spans="1:16" hidden="1" outlineLevel="1" x14ac:dyDescent="0.3">
      <c r="A767" s="294" t="s">
        <v>6023</v>
      </c>
      <c r="B767" s="294" t="s">
        <v>894</v>
      </c>
      <c r="C767" s="294" t="s">
        <v>790</v>
      </c>
      <c r="D767" s="295">
        <v>0</v>
      </c>
      <c r="E767" s="295">
        <v>0</v>
      </c>
      <c r="F767" s="295">
        <v>0</v>
      </c>
      <c r="G767" s="295">
        <v>0</v>
      </c>
      <c r="H767" s="295">
        <v>0</v>
      </c>
      <c r="I767" s="295">
        <v>0</v>
      </c>
      <c r="J767" s="295"/>
      <c r="K767" s="553"/>
      <c r="L767" s="553"/>
      <c r="M767" s="553"/>
      <c r="N767" s="553"/>
      <c r="O767" s="553"/>
      <c r="P767" s="553"/>
    </row>
    <row r="768" spans="1:16" hidden="1" outlineLevel="1" x14ac:dyDescent="0.3">
      <c r="A768" s="294" t="s">
        <v>6023</v>
      </c>
      <c r="B768" s="294" t="s">
        <v>894</v>
      </c>
      <c r="C768" s="294" t="s">
        <v>793</v>
      </c>
      <c r="D768" s="295">
        <v>0</v>
      </c>
      <c r="E768" s="295">
        <v>0</v>
      </c>
      <c r="F768" s="295">
        <v>0</v>
      </c>
      <c r="G768" s="295">
        <v>0</v>
      </c>
      <c r="H768" s="295">
        <v>0</v>
      </c>
      <c r="I768" s="295">
        <v>0</v>
      </c>
      <c r="J768" s="295"/>
      <c r="K768" s="553"/>
      <c r="L768" s="553"/>
      <c r="M768" s="553"/>
      <c r="N768" s="553"/>
      <c r="O768" s="553"/>
      <c r="P768" s="553"/>
    </row>
    <row r="769" spans="1:16" hidden="1" outlineLevel="1" x14ac:dyDescent="0.3">
      <c r="A769" s="294" t="s">
        <v>6023</v>
      </c>
      <c r="B769" s="294" t="s">
        <v>894</v>
      </c>
      <c r="C769" s="294" t="s">
        <v>795</v>
      </c>
      <c r="D769" s="295">
        <v>0</v>
      </c>
      <c r="E769" s="295">
        <v>0</v>
      </c>
      <c r="F769" s="295">
        <v>0</v>
      </c>
      <c r="G769" s="295">
        <v>0</v>
      </c>
      <c r="H769" s="295">
        <v>0</v>
      </c>
      <c r="I769" s="295">
        <v>0</v>
      </c>
      <c r="J769" s="295"/>
      <c r="K769" s="553"/>
      <c r="L769" s="553"/>
      <c r="M769" s="553"/>
      <c r="N769" s="553"/>
      <c r="O769" s="553"/>
      <c r="P769" s="553"/>
    </row>
    <row r="770" spans="1:16" hidden="1" outlineLevel="1" x14ac:dyDescent="0.3">
      <c r="A770" s="294" t="s">
        <v>6023</v>
      </c>
      <c r="B770" s="294" t="s">
        <v>894</v>
      </c>
      <c r="C770" s="294" t="s">
        <v>797</v>
      </c>
      <c r="D770" s="295">
        <v>0</v>
      </c>
      <c r="E770" s="295">
        <v>0</v>
      </c>
      <c r="F770" s="295">
        <v>0</v>
      </c>
      <c r="G770" s="295">
        <v>0</v>
      </c>
      <c r="H770" s="295">
        <v>0</v>
      </c>
      <c r="I770" s="295">
        <v>0</v>
      </c>
      <c r="J770" s="295"/>
      <c r="K770" s="553"/>
      <c r="L770" s="553"/>
      <c r="M770" s="553"/>
      <c r="N770" s="553"/>
      <c r="O770" s="553"/>
      <c r="P770" s="553"/>
    </row>
    <row r="771" spans="1:16" hidden="1" outlineLevel="1" x14ac:dyDescent="0.3">
      <c r="A771" s="294" t="s">
        <v>6023</v>
      </c>
      <c r="B771" s="294" t="s">
        <v>915</v>
      </c>
      <c r="C771" s="294" t="s">
        <v>799</v>
      </c>
      <c r="D771" s="295">
        <v>0</v>
      </c>
      <c r="E771" s="295">
        <v>0</v>
      </c>
      <c r="F771" s="295">
        <v>0</v>
      </c>
      <c r="G771" s="295">
        <v>0</v>
      </c>
      <c r="H771" s="295">
        <v>0</v>
      </c>
      <c r="I771" s="295">
        <v>0</v>
      </c>
      <c r="J771" s="295"/>
      <c r="K771" s="553"/>
      <c r="L771" s="553"/>
      <c r="M771" s="553"/>
      <c r="N771" s="553"/>
      <c r="O771" s="553"/>
      <c r="P771" s="553"/>
    </row>
    <row r="772" spans="1:16" hidden="1" outlineLevel="1" x14ac:dyDescent="0.3">
      <c r="A772" s="294" t="s">
        <v>6023</v>
      </c>
      <c r="B772" s="294" t="s">
        <v>915</v>
      </c>
      <c r="C772" s="294" t="s">
        <v>801</v>
      </c>
      <c r="D772" s="295">
        <v>0</v>
      </c>
      <c r="E772" s="295">
        <v>0</v>
      </c>
      <c r="F772" s="295">
        <v>0</v>
      </c>
      <c r="G772" s="295">
        <v>0</v>
      </c>
      <c r="H772" s="295">
        <v>0</v>
      </c>
      <c r="I772" s="295">
        <v>0</v>
      </c>
      <c r="J772" s="295"/>
      <c r="K772" s="553"/>
      <c r="L772" s="553"/>
      <c r="M772" s="553"/>
      <c r="N772" s="553"/>
      <c r="O772" s="553"/>
      <c r="P772" s="553"/>
    </row>
    <row r="773" spans="1:16" hidden="1" outlineLevel="1" x14ac:dyDescent="0.3">
      <c r="A773" s="294" t="s">
        <v>6023</v>
      </c>
      <c r="B773" s="294" t="s">
        <v>915</v>
      </c>
      <c r="C773" s="294" t="s">
        <v>804</v>
      </c>
      <c r="D773" s="295">
        <v>0</v>
      </c>
      <c r="E773" s="295">
        <v>0</v>
      </c>
      <c r="F773" s="295">
        <v>0</v>
      </c>
      <c r="G773" s="295">
        <v>0</v>
      </c>
      <c r="H773" s="295">
        <v>0</v>
      </c>
      <c r="I773" s="295">
        <v>0</v>
      </c>
      <c r="J773" s="295"/>
      <c r="K773" s="553"/>
      <c r="L773" s="553"/>
      <c r="M773" s="553"/>
      <c r="N773" s="553"/>
      <c r="O773" s="553"/>
      <c r="P773" s="553"/>
    </row>
    <row r="774" spans="1:16" hidden="1" outlineLevel="1" x14ac:dyDescent="0.3">
      <c r="A774" s="294" t="s">
        <v>6023</v>
      </c>
      <c r="B774" s="294" t="s">
        <v>915</v>
      </c>
      <c r="C774" s="294" t="s">
        <v>806</v>
      </c>
      <c r="D774" s="295">
        <v>0</v>
      </c>
      <c r="E774" s="295">
        <v>0</v>
      </c>
      <c r="F774" s="295">
        <v>0</v>
      </c>
      <c r="G774" s="295">
        <v>0</v>
      </c>
      <c r="H774" s="295">
        <v>0</v>
      </c>
      <c r="I774" s="295">
        <v>0</v>
      </c>
      <c r="J774" s="295"/>
      <c r="K774" s="553"/>
      <c r="L774" s="553"/>
      <c r="M774" s="553"/>
      <c r="N774" s="553"/>
      <c r="O774" s="553"/>
      <c r="P774" s="553"/>
    </row>
    <row r="775" spans="1:16" hidden="1" outlineLevel="1" x14ac:dyDescent="0.3">
      <c r="A775" s="294" t="s">
        <v>6023</v>
      </c>
      <c r="B775" s="294" t="s">
        <v>915</v>
      </c>
      <c r="C775" s="294" t="s">
        <v>808</v>
      </c>
      <c r="D775" s="295">
        <v>0</v>
      </c>
      <c r="E775" s="295">
        <v>0</v>
      </c>
      <c r="F775" s="295">
        <v>0</v>
      </c>
      <c r="G775" s="295">
        <v>0</v>
      </c>
      <c r="H775" s="295">
        <v>0</v>
      </c>
      <c r="I775" s="295">
        <v>0</v>
      </c>
      <c r="J775" s="295"/>
      <c r="K775" s="553"/>
      <c r="L775" s="553"/>
      <c r="M775" s="553"/>
      <c r="N775" s="553"/>
      <c r="O775" s="553"/>
      <c r="P775" s="553"/>
    </row>
    <row r="776" spans="1:16" hidden="1" outlineLevel="1" x14ac:dyDescent="0.3">
      <c r="A776" s="294" t="s">
        <v>6023</v>
      </c>
      <c r="B776" s="294" t="s">
        <v>915</v>
      </c>
      <c r="C776" s="294" t="s">
        <v>811</v>
      </c>
      <c r="D776" s="295">
        <v>0</v>
      </c>
      <c r="E776" s="295">
        <v>0</v>
      </c>
      <c r="F776" s="295">
        <v>0</v>
      </c>
      <c r="G776" s="295">
        <v>0</v>
      </c>
      <c r="H776" s="295">
        <v>0</v>
      </c>
      <c r="I776" s="295">
        <v>0</v>
      </c>
      <c r="J776" s="295"/>
      <c r="K776" s="553"/>
      <c r="L776" s="553"/>
      <c r="M776" s="553"/>
      <c r="N776" s="553"/>
      <c r="O776" s="553"/>
      <c r="P776" s="553"/>
    </row>
    <row r="777" spans="1:16" hidden="1" outlineLevel="1" x14ac:dyDescent="0.3">
      <c r="A777" s="294" t="s">
        <v>6023</v>
      </c>
      <c r="B777" s="294" t="s">
        <v>934</v>
      </c>
      <c r="C777" s="294" t="s">
        <v>814</v>
      </c>
      <c r="D777" s="295">
        <v>0</v>
      </c>
      <c r="E777" s="295">
        <v>0</v>
      </c>
      <c r="F777" s="295">
        <v>0</v>
      </c>
      <c r="G777" s="295">
        <v>0</v>
      </c>
      <c r="H777" s="295">
        <v>0</v>
      </c>
      <c r="I777" s="295">
        <v>0</v>
      </c>
      <c r="J777" s="295"/>
      <c r="K777" s="553"/>
      <c r="L777" s="553"/>
      <c r="M777" s="553"/>
      <c r="N777" s="553"/>
      <c r="O777" s="553"/>
      <c r="P777" s="553"/>
    </row>
    <row r="778" spans="1:16" hidden="1" outlineLevel="1" x14ac:dyDescent="0.3">
      <c r="A778" s="294" t="s">
        <v>6023</v>
      </c>
      <c r="B778" s="294" t="s">
        <v>934</v>
      </c>
      <c r="C778" s="294" t="s">
        <v>815</v>
      </c>
      <c r="D778" s="295">
        <v>0</v>
      </c>
      <c r="E778" s="295">
        <v>0</v>
      </c>
      <c r="F778" s="295">
        <v>0</v>
      </c>
      <c r="G778" s="295">
        <v>0</v>
      </c>
      <c r="H778" s="295">
        <v>0</v>
      </c>
      <c r="I778" s="295">
        <v>0</v>
      </c>
      <c r="J778" s="295"/>
      <c r="K778" s="553"/>
      <c r="L778" s="553"/>
      <c r="M778" s="553"/>
      <c r="N778" s="553"/>
      <c r="O778" s="553"/>
      <c r="P778" s="553"/>
    </row>
    <row r="779" spans="1:16" hidden="1" outlineLevel="1" x14ac:dyDescent="0.3">
      <c r="A779" s="294" t="s">
        <v>6023</v>
      </c>
      <c r="B779" s="294" t="s">
        <v>940</v>
      </c>
      <c r="C779" s="294" t="s">
        <v>817</v>
      </c>
      <c r="D779" s="295">
        <v>0</v>
      </c>
      <c r="E779" s="295">
        <v>0</v>
      </c>
      <c r="F779" s="295">
        <v>0</v>
      </c>
      <c r="G779" s="295">
        <v>0</v>
      </c>
      <c r="H779" s="295">
        <v>0</v>
      </c>
      <c r="I779" s="295">
        <v>0</v>
      </c>
      <c r="J779" s="295"/>
      <c r="K779" s="553"/>
      <c r="L779" s="553"/>
      <c r="M779" s="553"/>
      <c r="N779" s="553"/>
      <c r="O779" s="553"/>
      <c r="P779" s="553"/>
    </row>
    <row r="780" spans="1:16" hidden="1" outlineLevel="1" x14ac:dyDescent="0.3">
      <c r="A780" s="294" t="s">
        <v>6023</v>
      </c>
      <c r="B780" s="294" t="s">
        <v>940</v>
      </c>
      <c r="C780" s="294" t="s">
        <v>944</v>
      </c>
      <c r="D780" s="295">
        <v>0</v>
      </c>
      <c r="E780" s="295">
        <v>0</v>
      </c>
      <c r="F780" s="295">
        <v>0</v>
      </c>
      <c r="G780" s="295">
        <v>0</v>
      </c>
      <c r="H780" s="295">
        <v>0</v>
      </c>
      <c r="I780" s="295">
        <v>0</v>
      </c>
      <c r="J780" s="295"/>
      <c r="K780" s="553"/>
      <c r="L780" s="553"/>
      <c r="M780" s="553"/>
      <c r="N780" s="553"/>
      <c r="O780" s="553"/>
      <c r="P780" s="553"/>
    </row>
    <row r="781" spans="1:16" hidden="1" outlineLevel="1" x14ac:dyDescent="0.3">
      <c r="A781" s="294" t="s">
        <v>6023</v>
      </c>
      <c r="B781" s="294" t="s">
        <v>940</v>
      </c>
      <c r="C781" s="294" t="s">
        <v>821</v>
      </c>
      <c r="D781" s="295">
        <v>0</v>
      </c>
      <c r="E781" s="295">
        <v>0</v>
      </c>
      <c r="F781" s="295">
        <v>0</v>
      </c>
      <c r="G781" s="295">
        <v>0</v>
      </c>
      <c r="H781" s="295">
        <v>0</v>
      </c>
      <c r="I781" s="295">
        <v>0</v>
      </c>
      <c r="J781" s="295"/>
      <c r="K781" s="553"/>
      <c r="L781" s="553"/>
      <c r="M781" s="553"/>
      <c r="N781" s="553"/>
      <c r="O781" s="553"/>
      <c r="P781" s="553"/>
    </row>
    <row r="782" spans="1:16" hidden="1" outlineLevel="1" x14ac:dyDescent="0.3">
      <c r="A782" s="294" t="s">
        <v>6023</v>
      </c>
      <c r="B782" s="294" t="s">
        <v>940</v>
      </c>
      <c r="C782" s="294" t="s">
        <v>823</v>
      </c>
      <c r="D782" s="295">
        <v>0</v>
      </c>
      <c r="E782" s="295">
        <v>0</v>
      </c>
      <c r="F782" s="295">
        <v>0</v>
      </c>
      <c r="G782" s="295">
        <v>0</v>
      </c>
      <c r="H782" s="295">
        <v>0</v>
      </c>
      <c r="I782" s="295">
        <v>0</v>
      </c>
      <c r="J782" s="295"/>
      <c r="K782" s="553"/>
      <c r="L782" s="553"/>
      <c r="M782" s="553"/>
      <c r="N782" s="553"/>
      <c r="O782" s="553"/>
      <c r="P782" s="553"/>
    </row>
    <row r="783" spans="1:16" hidden="1" outlineLevel="1" x14ac:dyDescent="0.3">
      <c r="A783" s="294" t="s">
        <v>6023</v>
      </c>
      <c r="B783" s="294" t="s">
        <v>940</v>
      </c>
      <c r="C783" s="294" t="s">
        <v>825</v>
      </c>
      <c r="D783" s="295">
        <v>0</v>
      </c>
      <c r="E783" s="295">
        <v>0</v>
      </c>
      <c r="F783" s="295">
        <v>0</v>
      </c>
      <c r="G783" s="295">
        <v>0</v>
      </c>
      <c r="H783" s="295">
        <v>0</v>
      </c>
      <c r="I783" s="295">
        <v>0</v>
      </c>
      <c r="J783" s="295"/>
      <c r="K783" s="553"/>
      <c r="L783" s="553"/>
      <c r="M783" s="553"/>
      <c r="N783" s="553"/>
      <c r="O783" s="553"/>
      <c r="P783" s="553"/>
    </row>
    <row r="784" spans="1:16" hidden="1" outlineLevel="1" x14ac:dyDescent="0.3">
      <c r="A784" s="294" t="s">
        <v>6023</v>
      </c>
      <c r="B784" s="294" t="s">
        <v>940</v>
      </c>
      <c r="C784" s="294" t="s">
        <v>827</v>
      </c>
      <c r="D784" s="295">
        <v>0</v>
      </c>
      <c r="E784" s="295">
        <v>0</v>
      </c>
      <c r="F784" s="295">
        <v>0</v>
      </c>
      <c r="G784" s="295">
        <v>0</v>
      </c>
      <c r="H784" s="295">
        <v>0</v>
      </c>
      <c r="I784" s="295">
        <v>0</v>
      </c>
      <c r="J784" s="295"/>
      <c r="K784" s="553"/>
      <c r="L784" s="553"/>
      <c r="M784" s="553"/>
      <c r="N784" s="553"/>
      <c r="O784" s="553"/>
      <c r="P784" s="553"/>
    </row>
    <row r="785" spans="1:16" hidden="1" outlineLevel="1" x14ac:dyDescent="0.3">
      <c r="A785" s="294" t="s">
        <v>6023</v>
      </c>
      <c r="B785" s="294" t="s">
        <v>940</v>
      </c>
      <c r="C785" s="294" t="s">
        <v>829</v>
      </c>
      <c r="D785" s="295">
        <v>0</v>
      </c>
      <c r="E785" s="295">
        <v>0</v>
      </c>
      <c r="F785" s="295">
        <v>0</v>
      </c>
      <c r="G785" s="295">
        <v>0</v>
      </c>
      <c r="H785" s="295">
        <v>0</v>
      </c>
      <c r="I785" s="295">
        <v>0</v>
      </c>
      <c r="J785" s="295"/>
      <c r="K785" s="553"/>
      <c r="L785" s="553"/>
      <c r="M785" s="553"/>
      <c r="N785" s="553"/>
      <c r="O785" s="553"/>
      <c r="P785" s="553"/>
    </row>
    <row r="786" spans="1:16" hidden="1" outlineLevel="1" x14ac:dyDescent="0.3">
      <c r="A786" s="294" t="s">
        <v>6023</v>
      </c>
      <c r="B786" s="294" t="s">
        <v>940</v>
      </c>
      <c r="C786" s="294" t="s">
        <v>833</v>
      </c>
      <c r="D786" s="295">
        <v>0</v>
      </c>
      <c r="E786" s="295">
        <v>0</v>
      </c>
      <c r="F786" s="295">
        <v>0</v>
      </c>
      <c r="G786" s="295">
        <v>0</v>
      </c>
      <c r="H786" s="295">
        <v>0</v>
      </c>
      <c r="I786" s="295">
        <v>0</v>
      </c>
      <c r="J786" s="295"/>
      <c r="K786" s="553"/>
      <c r="L786" s="553"/>
      <c r="M786" s="553"/>
      <c r="N786" s="553"/>
      <c r="O786" s="553"/>
      <c r="P786" s="553"/>
    </row>
    <row r="787" spans="1:16" hidden="1" outlineLevel="1" x14ac:dyDescent="0.3">
      <c r="A787" s="294" t="s">
        <v>6023</v>
      </c>
      <c r="B787" s="294" t="s">
        <v>940</v>
      </c>
      <c r="C787" s="294" t="s">
        <v>836</v>
      </c>
      <c r="D787" s="295">
        <v>0</v>
      </c>
      <c r="E787" s="295">
        <v>0</v>
      </c>
      <c r="F787" s="295">
        <v>0</v>
      </c>
      <c r="G787" s="295">
        <v>0</v>
      </c>
      <c r="H787" s="295">
        <v>0</v>
      </c>
      <c r="I787" s="295">
        <v>0</v>
      </c>
      <c r="J787" s="295"/>
      <c r="K787" s="553"/>
      <c r="L787" s="553"/>
      <c r="M787" s="553"/>
      <c r="N787" s="553"/>
      <c r="O787" s="553"/>
      <c r="P787" s="553"/>
    </row>
    <row r="788" spans="1:16" hidden="1" outlineLevel="1" x14ac:dyDescent="0.3">
      <c r="A788" s="294" t="s">
        <v>6023</v>
      </c>
      <c r="B788" s="294" t="s">
        <v>940</v>
      </c>
      <c r="C788" s="294" t="s">
        <v>837</v>
      </c>
      <c r="D788" s="295">
        <v>0</v>
      </c>
      <c r="E788" s="295">
        <v>0</v>
      </c>
      <c r="F788" s="295">
        <v>0</v>
      </c>
      <c r="G788" s="295">
        <v>0</v>
      </c>
      <c r="H788" s="295">
        <v>0</v>
      </c>
      <c r="I788" s="295">
        <v>0</v>
      </c>
      <c r="J788" s="295"/>
      <c r="K788" s="553"/>
      <c r="L788" s="553"/>
      <c r="M788" s="553"/>
      <c r="N788" s="553"/>
      <c r="O788" s="553"/>
      <c r="P788" s="553"/>
    </row>
    <row r="789" spans="1:16" hidden="1" outlineLevel="1" x14ac:dyDescent="0.3">
      <c r="A789" s="294" t="s">
        <v>6023</v>
      </c>
      <c r="B789" s="294" t="s">
        <v>940</v>
      </c>
      <c r="C789" s="294" t="s">
        <v>839</v>
      </c>
      <c r="D789" s="295">
        <v>0</v>
      </c>
      <c r="E789" s="295">
        <v>0</v>
      </c>
      <c r="F789" s="295">
        <v>0</v>
      </c>
      <c r="G789" s="295">
        <v>0</v>
      </c>
      <c r="H789" s="295">
        <v>0</v>
      </c>
      <c r="I789" s="295">
        <v>0</v>
      </c>
      <c r="J789" s="295"/>
      <c r="K789" s="553"/>
      <c r="L789" s="553"/>
      <c r="M789" s="553"/>
      <c r="N789" s="553"/>
      <c r="O789" s="553"/>
      <c r="P789" s="553"/>
    </row>
    <row r="790" spans="1:16" hidden="1" outlineLevel="1" x14ac:dyDescent="0.3">
      <c r="A790" s="294" t="s">
        <v>6023</v>
      </c>
      <c r="B790" s="294" t="s">
        <v>940</v>
      </c>
      <c r="C790" s="294" t="s">
        <v>840</v>
      </c>
      <c r="D790" s="295">
        <v>0</v>
      </c>
      <c r="E790" s="295">
        <v>0</v>
      </c>
      <c r="F790" s="295">
        <v>0</v>
      </c>
      <c r="G790" s="295">
        <v>0</v>
      </c>
      <c r="H790" s="295">
        <v>0</v>
      </c>
      <c r="I790" s="295">
        <v>0</v>
      </c>
      <c r="J790" s="295"/>
      <c r="K790" s="553"/>
      <c r="L790" s="553"/>
      <c r="M790" s="553"/>
      <c r="N790" s="553"/>
      <c r="O790" s="553"/>
      <c r="P790" s="553"/>
    </row>
    <row r="791" spans="1:16" collapsed="1" x14ac:dyDescent="0.3">
      <c r="A791" s="294"/>
      <c r="B791" s="294"/>
      <c r="C791" s="293"/>
      <c r="D791" s="295"/>
      <c r="E791" s="295"/>
      <c r="F791" s="294"/>
      <c r="G791" s="294"/>
      <c r="H791" s="294"/>
      <c r="I791" s="294"/>
      <c r="J791" s="294"/>
      <c r="K791" s="308"/>
      <c r="L791" s="308"/>
      <c r="M791" s="308"/>
      <c r="N791" s="308"/>
      <c r="O791" s="308"/>
      <c r="P791" s="308"/>
    </row>
    <row r="792" spans="1:16" s="204" customFormat="1" x14ac:dyDescent="0.3">
      <c r="A792" s="293" t="s">
        <v>6024</v>
      </c>
      <c r="B792" s="439"/>
      <c r="C792" s="298" t="s">
        <v>4032</v>
      </c>
      <c r="D792" s="442">
        <v>0</v>
      </c>
      <c r="E792" s="442">
        <v>0</v>
      </c>
      <c r="F792" s="442">
        <v>0</v>
      </c>
      <c r="G792" s="442">
        <v>0</v>
      </c>
      <c r="H792" s="442">
        <v>0</v>
      </c>
      <c r="I792" s="442">
        <v>0</v>
      </c>
      <c r="J792" s="293"/>
      <c r="K792"/>
      <c r="L792"/>
      <c r="M792"/>
      <c r="N792"/>
      <c r="O792"/>
      <c r="P792"/>
    </row>
    <row r="793" spans="1:16" x14ac:dyDescent="0.3">
      <c r="A793" s="297" t="s">
        <v>5</v>
      </c>
      <c r="B793" s="297" t="s">
        <v>847</v>
      </c>
      <c r="C793" s="297" t="s">
        <v>193</v>
      </c>
      <c r="D793" s="297">
        <v>2022</v>
      </c>
      <c r="E793" s="297">
        <v>2025</v>
      </c>
      <c r="F793" s="297">
        <v>2030</v>
      </c>
      <c r="G793" s="297">
        <v>2035</v>
      </c>
      <c r="H793" s="297">
        <v>2040</v>
      </c>
      <c r="I793" s="297">
        <v>2045</v>
      </c>
      <c r="J793" s="297" t="s">
        <v>153</v>
      </c>
    </row>
    <row r="794" spans="1:16" hidden="1" outlineLevel="1" x14ac:dyDescent="0.3">
      <c r="A794" s="294" t="s">
        <v>6024</v>
      </c>
      <c r="B794" s="294" t="s">
        <v>855</v>
      </c>
      <c r="C794" s="294" t="s">
        <v>747</v>
      </c>
      <c r="D794" s="295">
        <v>0</v>
      </c>
      <c r="E794" s="295">
        <v>0</v>
      </c>
      <c r="F794" s="295">
        <v>0</v>
      </c>
      <c r="G794" s="295">
        <v>0</v>
      </c>
      <c r="H794" s="295">
        <v>0</v>
      </c>
      <c r="I794" s="295">
        <v>0</v>
      </c>
      <c r="J794" s="295"/>
    </row>
    <row r="795" spans="1:16" hidden="1" outlineLevel="1" x14ac:dyDescent="0.3">
      <c r="A795" s="294" t="s">
        <v>6024</v>
      </c>
      <c r="B795" s="294" t="s">
        <v>855</v>
      </c>
      <c r="C795" s="294" t="s">
        <v>751</v>
      </c>
      <c r="D795" s="295">
        <v>0</v>
      </c>
      <c r="E795" s="295">
        <v>0</v>
      </c>
      <c r="F795" s="295">
        <v>0</v>
      </c>
      <c r="G795" s="295">
        <v>0</v>
      </c>
      <c r="H795" s="295">
        <v>0</v>
      </c>
      <c r="I795" s="295">
        <v>0</v>
      </c>
      <c r="J795" s="295"/>
    </row>
    <row r="796" spans="1:16" hidden="1" outlineLevel="1" x14ac:dyDescent="0.3">
      <c r="A796" s="294" t="s">
        <v>6024</v>
      </c>
      <c r="B796" s="294" t="s">
        <v>855</v>
      </c>
      <c r="C796" s="294" t="s">
        <v>755</v>
      </c>
      <c r="D796" s="295">
        <v>0</v>
      </c>
      <c r="E796" s="295">
        <v>0</v>
      </c>
      <c r="F796" s="295">
        <v>0</v>
      </c>
      <c r="G796" s="295">
        <v>0</v>
      </c>
      <c r="H796" s="295">
        <v>0</v>
      </c>
      <c r="I796" s="295">
        <v>0</v>
      </c>
      <c r="J796" s="295"/>
    </row>
    <row r="797" spans="1:16" hidden="1" outlineLevel="1" x14ac:dyDescent="0.3">
      <c r="A797" s="294" t="s">
        <v>6024</v>
      </c>
      <c r="B797" s="294" t="s">
        <v>855</v>
      </c>
      <c r="C797" s="294" t="s">
        <v>758</v>
      </c>
      <c r="D797" s="295">
        <v>0</v>
      </c>
      <c r="E797" s="295">
        <v>0</v>
      </c>
      <c r="F797" s="295">
        <v>0</v>
      </c>
      <c r="G797" s="295">
        <v>0</v>
      </c>
      <c r="H797" s="295">
        <v>0</v>
      </c>
      <c r="I797" s="295">
        <v>0</v>
      </c>
      <c r="J797" s="295"/>
    </row>
    <row r="798" spans="1:16" hidden="1" outlineLevel="1" x14ac:dyDescent="0.3">
      <c r="A798" s="294" t="s">
        <v>6024</v>
      </c>
      <c r="B798" s="294" t="s">
        <v>855</v>
      </c>
      <c r="C798" s="294" t="s">
        <v>761</v>
      </c>
      <c r="D798" s="295">
        <v>0</v>
      </c>
      <c r="E798" s="295">
        <v>0</v>
      </c>
      <c r="F798" s="295">
        <v>0</v>
      </c>
      <c r="G798" s="295">
        <v>0</v>
      </c>
      <c r="H798" s="295">
        <v>0</v>
      </c>
      <c r="I798" s="295">
        <v>0</v>
      </c>
      <c r="J798" s="295"/>
    </row>
    <row r="799" spans="1:16" hidden="1" outlineLevel="1" x14ac:dyDescent="0.3">
      <c r="A799" s="294" t="s">
        <v>6024</v>
      </c>
      <c r="B799" s="294" t="s">
        <v>855</v>
      </c>
      <c r="C799" s="294" t="s">
        <v>763</v>
      </c>
      <c r="D799" s="295">
        <v>0</v>
      </c>
      <c r="E799" s="295">
        <v>0</v>
      </c>
      <c r="F799" s="295">
        <v>0</v>
      </c>
      <c r="G799" s="295">
        <v>0</v>
      </c>
      <c r="H799" s="295">
        <v>0</v>
      </c>
      <c r="I799" s="295">
        <v>0</v>
      </c>
      <c r="J799" s="295"/>
    </row>
    <row r="800" spans="1:16" hidden="1" outlineLevel="1" x14ac:dyDescent="0.3">
      <c r="A800" s="294" t="s">
        <v>6024</v>
      </c>
      <c r="B800" s="294" t="s">
        <v>855</v>
      </c>
      <c r="C800" s="294" t="s">
        <v>765</v>
      </c>
      <c r="D800" s="295">
        <v>0</v>
      </c>
      <c r="E800" s="295">
        <v>0</v>
      </c>
      <c r="F800" s="295">
        <v>0</v>
      </c>
      <c r="G800" s="295">
        <v>0</v>
      </c>
      <c r="H800" s="295">
        <v>0</v>
      </c>
      <c r="I800" s="295">
        <v>0</v>
      </c>
      <c r="J800" s="295"/>
    </row>
    <row r="801" spans="1:10" hidden="1" outlineLevel="1" x14ac:dyDescent="0.3">
      <c r="A801" s="294" t="s">
        <v>6024</v>
      </c>
      <c r="B801" s="294" t="s">
        <v>855</v>
      </c>
      <c r="C801" s="294" t="s">
        <v>768</v>
      </c>
      <c r="D801" s="295">
        <v>0</v>
      </c>
      <c r="E801" s="295">
        <v>0</v>
      </c>
      <c r="F801" s="295">
        <v>0</v>
      </c>
      <c r="G801" s="295">
        <v>0</v>
      </c>
      <c r="H801" s="295">
        <v>0</v>
      </c>
      <c r="I801" s="295">
        <v>0</v>
      </c>
      <c r="J801" s="295"/>
    </row>
    <row r="802" spans="1:10" hidden="1" outlineLevel="1" x14ac:dyDescent="0.3">
      <c r="A802" s="294" t="s">
        <v>6024</v>
      </c>
      <c r="B802" s="294" t="s">
        <v>855</v>
      </c>
      <c r="C802" s="294" t="s">
        <v>771</v>
      </c>
      <c r="D802" s="295">
        <v>0</v>
      </c>
      <c r="E802" s="295">
        <v>0</v>
      </c>
      <c r="F802" s="295">
        <v>0</v>
      </c>
      <c r="G802" s="295">
        <v>0</v>
      </c>
      <c r="H802" s="295">
        <v>0</v>
      </c>
      <c r="I802" s="295">
        <v>0</v>
      </c>
      <c r="J802" s="295"/>
    </row>
    <row r="803" spans="1:10" hidden="1" outlineLevel="1" x14ac:dyDescent="0.3">
      <c r="A803" s="294" t="s">
        <v>6024</v>
      </c>
      <c r="B803" s="294" t="s">
        <v>855</v>
      </c>
      <c r="C803" s="294" t="s">
        <v>772</v>
      </c>
      <c r="D803" s="295">
        <v>0</v>
      </c>
      <c r="E803" s="295">
        <v>0</v>
      </c>
      <c r="F803" s="295">
        <v>0</v>
      </c>
      <c r="G803" s="295">
        <v>0</v>
      </c>
      <c r="H803" s="295">
        <v>0</v>
      </c>
      <c r="I803" s="295">
        <v>0</v>
      </c>
      <c r="J803" s="295"/>
    </row>
    <row r="804" spans="1:10" hidden="1" outlineLevel="1" x14ac:dyDescent="0.3">
      <c r="A804" s="294" t="s">
        <v>6024</v>
      </c>
      <c r="B804" s="294" t="s">
        <v>855</v>
      </c>
      <c r="C804" s="294" t="s">
        <v>774</v>
      </c>
      <c r="D804" s="295">
        <v>0</v>
      </c>
      <c r="E804" s="295">
        <v>0</v>
      </c>
      <c r="F804" s="295">
        <v>0</v>
      </c>
      <c r="G804" s="295">
        <v>0</v>
      </c>
      <c r="H804" s="295">
        <v>0</v>
      </c>
      <c r="I804" s="295">
        <v>0</v>
      </c>
      <c r="J804" s="295"/>
    </row>
    <row r="805" spans="1:10" hidden="1" outlineLevel="1" x14ac:dyDescent="0.3">
      <c r="A805" s="294" t="s">
        <v>6024</v>
      </c>
      <c r="B805" s="294" t="s">
        <v>855</v>
      </c>
      <c r="C805" s="294" t="s">
        <v>775</v>
      </c>
      <c r="D805" s="295">
        <v>0</v>
      </c>
      <c r="E805" s="295">
        <v>0</v>
      </c>
      <c r="F805" s="295">
        <v>0</v>
      </c>
      <c r="G805" s="295">
        <v>0</v>
      </c>
      <c r="H805" s="295">
        <v>0</v>
      </c>
      <c r="I805" s="295">
        <v>0</v>
      </c>
      <c r="J805" s="295"/>
    </row>
    <row r="806" spans="1:10" hidden="1" outlineLevel="1" x14ac:dyDescent="0.3">
      <c r="A806" s="294" t="s">
        <v>6024</v>
      </c>
      <c r="B806" s="294" t="s">
        <v>855</v>
      </c>
      <c r="C806" s="294" t="s">
        <v>779</v>
      </c>
      <c r="D806" s="295">
        <v>0</v>
      </c>
      <c r="E806" s="295">
        <v>0</v>
      </c>
      <c r="F806" s="295">
        <v>0</v>
      </c>
      <c r="G806" s="295">
        <v>0</v>
      </c>
      <c r="H806" s="295">
        <v>0</v>
      </c>
      <c r="I806" s="295">
        <v>0</v>
      </c>
      <c r="J806" s="295"/>
    </row>
    <row r="807" spans="1:10" hidden="1" outlineLevel="1" x14ac:dyDescent="0.3">
      <c r="A807" s="294" t="s">
        <v>6024</v>
      </c>
      <c r="B807" s="294" t="s">
        <v>894</v>
      </c>
      <c r="C807" s="294" t="s">
        <v>781</v>
      </c>
      <c r="D807" s="295">
        <v>0</v>
      </c>
      <c r="E807" s="295">
        <v>0</v>
      </c>
      <c r="F807" s="295">
        <v>0</v>
      </c>
      <c r="G807" s="295">
        <v>0</v>
      </c>
      <c r="H807" s="295">
        <v>0</v>
      </c>
      <c r="I807" s="295">
        <v>0</v>
      </c>
      <c r="J807" s="295"/>
    </row>
    <row r="808" spans="1:10" hidden="1" outlineLevel="1" x14ac:dyDescent="0.3">
      <c r="A808" s="294" t="s">
        <v>6024</v>
      </c>
      <c r="B808" s="294" t="s">
        <v>894</v>
      </c>
      <c r="C808" s="294" t="s">
        <v>783</v>
      </c>
      <c r="D808" s="295">
        <v>0</v>
      </c>
      <c r="E808" s="295">
        <v>0</v>
      </c>
      <c r="F808" s="295">
        <v>0</v>
      </c>
      <c r="G808" s="295">
        <v>0</v>
      </c>
      <c r="H808" s="295">
        <v>0</v>
      </c>
      <c r="I808" s="295">
        <v>0</v>
      </c>
      <c r="J808" s="295"/>
    </row>
    <row r="809" spans="1:10" hidden="1" outlineLevel="1" x14ac:dyDescent="0.3">
      <c r="A809" s="294" t="s">
        <v>6024</v>
      </c>
      <c r="B809" s="294" t="s">
        <v>894</v>
      </c>
      <c r="C809" s="294" t="s">
        <v>785</v>
      </c>
      <c r="D809" s="295">
        <v>0</v>
      </c>
      <c r="E809" s="295">
        <v>0</v>
      </c>
      <c r="F809" s="295">
        <v>0</v>
      </c>
      <c r="G809" s="295">
        <v>0</v>
      </c>
      <c r="H809" s="295">
        <v>0</v>
      </c>
      <c r="I809" s="295">
        <v>0</v>
      </c>
      <c r="J809" s="295"/>
    </row>
    <row r="810" spans="1:10" hidden="1" outlineLevel="1" x14ac:dyDescent="0.3">
      <c r="A810" s="294" t="s">
        <v>6024</v>
      </c>
      <c r="B810" s="294" t="s">
        <v>894</v>
      </c>
      <c r="C810" s="294" t="s">
        <v>787</v>
      </c>
      <c r="D810" s="295">
        <v>0</v>
      </c>
      <c r="E810" s="295">
        <v>0</v>
      </c>
      <c r="F810" s="295">
        <v>0</v>
      </c>
      <c r="G810" s="295">
        <v>0</v>
      </c>
      <c r="H810" s="295">
        <v>0</v>
      </c>
      <c r="I810" s="295">
        <v>0</v>
      </c>
      <c r="J810" s="295"/>
    </row>
    <row r="811" spans="1:10" hidden="1" outlineLevel="1" x14ac:dyDescent="0.3">
      <c r="A811" s="294" t="s">
        <v>6024</v>
      </c>
      <c r="B811" s="294" t="s">
        <v>894</v>
      </c>
      <c r="C811" s="294" t="s">
        <v>788</v>
      </c>
      <c r="D811" s="295">
        <v>0</v>
      </c>
      <c r="E811" s="295">
        <v>0</v>
      </c>
      <c r="F811" s="295">
        <v>0</v>
      </c>
      <c r="G811" s="295">
        <v>0</v>
      </c>
      <c r="H811" s="295">
        <v>0</v>
      </c>
      <c r="I811" s="295">
        <v>0</v>
      </c>
      <c r="J811" s="295"/>
    </row>
    <row r="812" spans="1:10" hidden="1" outlineLevel="1" x14ac:dyDescent="0.3">
      <c r="A812" s="294" t="s">
        <v>6024</v>
      </c>
      <c r="B812" s="294" t="s">
        <v>894</v>
      </c>
      <c r="C812" s="294" t="s">
        <v>789</v>
      </c>
      <c r="D812" s="295">
        <v>0</v>
      </c>
      <c r="E812" s="295">
        <v>0</v>
      </c>
      <c r="F812" s="295">
        <v>0</v>
      </c>
      <c r="G812" s="295">
        <v>0</v>
      </c>
      <c r="H812" s="295">
        <v>0</v>
      </c>
      <c r="I812" s="295">
        <v>0</v>
      </c>
      <c r="J812" s="295"/>
    </row>
    <row r="813" spans="1:10" hidden="1" outlineLevel="1" x14ac:dyDescent="0.3">
      <c r="A813" s="294" t="s">
        <v>6024</v>
      </c>
      <c r="B813" s="294" t="s">
        <v>894</v>
      </c>
      <c r="C813" s="294" t="s">
        <v>790</v>
      </c>
      <c r="D813" s="295">
        <v>0</v>
      </c>
      <c r="E813" s="295">
        <v>0</v>
      </c>
      <c r="F813" s="295">
        <v>0</v>
      </c>
      <c r="G813" s="295">
        <v>0</v>
      </c>
      <c r="H813" s="295">
        <v>0</v>
      </c>
      <c r="I813" s="295">
        <v>0</v>
      </c>
      <c r="J813" s="295"/>
    </row>
    <row r="814" spans="1:10" hidden="1" outlineLevel="1" x14ac:dyDescent="0.3">
      <c r="A814" s="294" t="s">
        <v>6024</v>
      </c>
      <c r="B814" s="294" t="s">
        <v>894</v>
      </c>
      <c r="C814" s="294" t="s">
        <v>793</v>
      </c>
      <c r="D814" s="295">
        <v>0</v>
      </c>
      <c r="E814" s="295">
        <v>0</v>
      </c>
      <c r="F814" s="295">
        <v>0</v>
      </c>
      <c r="G814" s="295">
        <v>0</v>
      </c>
      <c r="H814" s="295">
        <v>0</v>
      </c>
      <c r="I814" s="295">
        <v>0</v>
      </c>
      <c r="J814" s="295"/>
    </row>
    <row r="815" spans="1:10" hidden="1" outlineLevel="1" x14ac:dyDescent="0.3">
      <c r="A815" s="294" t="s">
        <v>6024</v>
      </c>
      <c r="B815" s="294" t="s">
        <v>894</v>
      </c>
      <c r="C815" s="294" t="s">
        <v>795</v>
      </c>
      <c r="D815" s="295">
        <v>0</v>
      </c>
      <c r="E815" s="295">
        <v>0</v>
      </c>
      <c r="F815" s="295">
        <v>0</v>
      </c>
      <c r="G815" s="295">
        <v>0</v>
      </c>
      <c r="H815" s="295">
        <v>0</v>
      </c>
      <c r="I815" s="295">
        <v>0</v>
      </c>
      <c r="J815" s="295"/>
    </row>
    <row r="816" spans="1:10" hidden="1" outlineLevel="1" x14ac:dyDescent="0.3">
      <c r="A816" s="294" t="s">
        <v>6024</v>
      </c>
      <c r="B816" s="294" t="s">
        <v>894</v>
      </c>
      <c r="C816" s="294" t="s">
        <v>797</v>
      </c>
      <c r="D816" s="295">
        <v>0</v>
      </c>
      <c r="E816" s="295">
        <v>0</v>
      </c>
      <c r="F816" s="295">
        <v>0</v>
      </c>
      <c r="G816" s="295">
        <v>0</v>
      </c>
      <c r="H816" s="295">
        <v>0</v>
      </c>
      <c r="I816" s="295">
        <v>0</v>
      </c>
      <c r="J816" s="295"/>
    </row>
    <row r="817" spans="1:10" hidden="1" outlineLevel="1" x14ac:dyDescent="0.3">
      <c r="A817" s="294" t="s">
        <v>6024</v>
      </c>
      <c r="B817" s="294" t="s">
        <v>915</v>
      </c>
      <c r="C817" s="294" t="s">
        <v>799</v>
      </c>
      <c r="D817" s="295">
        <v>0</v>
      </c>
      <c r="E817" s="295">
        <v>0</v>
      </c>
      <c r="F817" s="295">
        <v>0</v>
      </c>
      <c r="G817" s="295">
        <v>0</v>
      </c>
      <c r="H817" s="295">
        <v>0</v>
      </c>
      <c r="I817" s="295">
        <v>0</v>
      </c>
      <c r="J817" s="295"/>
    </row>
    <row r="818" spans="1:10" hidden="1" outlineLevel="1" x14ac:dyDescent="0.3">
      <c r="A818" s="294" t="s">
        <v>6024</v>
      </c>
      <c r="B818" s="294" t="s">
        <v>915</v>
      </c>
      <c r="C818" s="294" t="s">
        <v>801</v>
      </c>
      <c r="D818" s="295">
        <v>0</v>
      </c>
      <c r="E818" s="295">
        <v>0</v>
      </c>
      <c r="F818" s="295">
        <v>0</v>
      </c>
      <c r="G818" s="295">
        <v>0</v>
      </c>
      <c r="H818" s="295">
        <v>0</v>
      </c>
      <c r="I818" s="295">
        <v>0</v>
      </c>
      <c r="J818" s="295"/>
    </row>
    <row r="819" spans="1:10" hidden="1" outlineLevel="1" x14ac:dyDescent="0.3">
      <c r="A819" s="294" t="s">
        <v>6024</v>
      </c>
      <c r="B819" s="294" t="s">
        <v>915</v>
      </c>
      <c r="C819" s="294" t="s">
        <v>804</v>
      </c>
      <c r="D819" s="295">
        <v>0</v>
      </c>
      <c r="E819" s="295">
        <v>0</v>
      </c>
      <c r="F819" s="295">
        <v>0</v>
      </c>
      <c r="G819" s="295">
        <v>0</v>
      </c>
      <c r="H819" s="295">
        <v>0</v>
      </c>
      <c r="I819" s="295">
        <v>0</v>
      </c>
      <c r="J819" s="295"/>
    </row>
    <row r="820" spans="1:10" hidden="1" outlineLevel="1" x14ac:dyDescent="0.3">
      <c r="A820" s="294" t="s">
        <v>6024</v>
      </c>
      <c r="B820" s="294" t="s">
        <v>915</v>
      </c>
      <c r="C820" s="294" t="s">
        <v>806</v>
      </c>
      <c r="D820" s="295">
        <v>0</v>
      </c>
      <c r="E820" s="295">
        <v>0</v>
      </c>
      <c r="F820" s="295">
        <v>0</v>
      </c>
      <c r="G820" s="295">
        <v>0</v>
      </c>
      <c r="H820" s="295">
        <v>0</v>
      </c>
      <c r="I820" s="295">
        <v>0</v>
      </c>
      <c r="J820" s="295"/>
    </row>
    <row r="821" spans="1:10" hidden="1" outlineLevel="1" x14ac:dyDescent="0.3">
      <c r="A821" s="294" t="s">
        <v>6024</v>
      </c>
      <c r="B821" s="294" t="s">
        <v>915</v>
      </c>
      <c r="C821" s="294" t="s">
        <v>808</v>
      </c>
      <c r="D821" s="295">
        <v>0</v>
      </c>
      <c r="E821" s="295">
        <v>0</v>
      </c>
      <c r="F821" s="295">
        <v>0</v>
      </c>
      <c r="G821" s="295">
        <v>0</v>
      </c>
      <c r="H821" s="295">
        <v>0</v>
      </c>
      <c r="I821" s="295">
        <v>0</v>
      </c>
      <c r="J821" s="295"/>
    </row>
    <row r="822" spans="1:10" hidden="1" outlineLevel="1" x14ac:dyDescent="0.3">
      <c r="A822" s="294" t="s">
        <v>6024</v>
      </c>
      <c r="B822" s="294" t="s">
        <v>915</v>
      </c>
      <c r="C822" s="294" t="s">
        <v>811</v>
      </c>
      <c r="D822" s="295">
        <v>0</v>
      </c>
      <c r="E822" s="295">
        <v>0</v>
      </c>
      <c r="F822" s="295">
        <v>0</v>
      </c>
      <c r="G822" s="295">
        <v>0</v>
      </c>
      <c r="H822" s="295">
        <v>0</v>
      </c>
      <c r="I822" s="295">
        <v>0</v>
      </c>
      <c r="J822" s="295"/>
    </row>
    <row r="823" spans="1:10" hidden="1" outlineLevel="1" x14ac:dyDescent="0.3">
      <c r="A823" s="294" t="s">
        <v>6024</v>
      </c>
      <c r="B823" s="294" t="s">
        <v>934</v>
      </c>
      <c r="C823" s="294" t="s">
        <v>814</v>
      </c>
      <c r="D823" s="295">
        <v>0</v>
      </c>
      <c r="E823" s="295">
        <v>0</v>
      </c>
      <c r="F823" s="295">
        <v>0</v>
      </c>
      <c r="G823" s="295">
        <v>0</v>
      </c>
      <c r="H823" s="295">
        <v>0</v>
      </c>
      <c r="I823" s="295">
        <v>0</v>
      </c>
      <c r="J823" s="295"/>
    </row>
    <row r="824" spans="1:10" hidden="1" outlineLevel="1" x14ac:dyDescent="0.3">
      <c r="A824" s="294" t="s">
        <v>6024</v>
      </c>
      <c r="B824" s="294" t="s">
        <v>934</v>
      </c>
      <c r="C824" s="294" t="s">
        <v>815</v>
      </c>
      <c r="D824" s="295">
        <v>0</v>
      </c>
      <c r="E824" s="295">
        <v>0</v>
      </c>
      <c r="F824" s="295">
        <v>0</v>
      </c>
      <c r="G824" s="295">
        <v>0</v>
      </c>
      <c r="H824" s="295">
        <v>0</v>
      </c>
      <c r="I824" s="295">
        <v>0</v>
      </c>
      <c r="J824" s="295"/>
    </row>
    <row r="825" spans="1:10" hidden="1" outlineLevel="1" x14ac:dyDescent="0.3">
      <c r="A825" s="294" t="s">
        <v>6024</v>
      </c>
      <c r="B825" s="294" t="s">
        <v>940</v>
      </c>
      <c r="C825" s="294" t="s">
        <v>817</v>
      </c>
      <c r="D825" s="295">
        <v>0</v>
      </c>
      <c r="E825" s="295">
        <v>0</v>
      </c>
      <c r="F825" s="295">
        <v>0</v>
      </c>
      <c r="G825" s="295">
        <v>0</v>
      </c>
      <c r="H825" s="295">
        <v>0</v>
      </c>
      <c r="I825" s="295">
        <v>0</v>
      </c>
      <c r="J825" s="295"/>
    </row>
    <row r="826" spans="1:10" hidden="1" outlineLevel="1" x14ac:dyDescent="0.3">
      <c r="A826" s="294" t="s">
        <v>6024</v>
      </c>
      <c r="B826" s="294" t="s">
        <v>940</v>
      </c>
      <c r="C826" s="294" t="s">
        <v>944</v>
      </c>
      <c r="D826" s="295">
        <v>0</v>
      </c>
      <c r="E826" s="295">
        <v>0</v>
      </c>
      <c r="F826" s="295">
        <v>0</v>
      </c>
      <c r="G826" s="295">
        <v>0</v>
      </c>
      <c r="H826" s="295">
        <v>0</v>
      </c>
      <c r="I826" s="295">
        <v>0</v>
      </c>
      <c r="J826" s="295"/>
    </row>
    <row r="827" spans="1:10" hidden="1" outlineLevel="1" x14ac:dyDescent="0.3">
      <c r="A827" s="294" t="s">
        <v>6024</v>
      </c>
      <c r="B827" s="294" t="s">
        <v>940</v>
      </c>
      <c r="C827" s="294" t="s">
        <v>821</v>
      </c>
      <c r="D827" s="295">
        <v>0</v>
      </c>
      <c r="E827" s="295">
        <v>0</v>
      </c>
      <c r="F827" s="295">
        <v>0</v>
      </c>
      <c r="G827" s="295">
        <v>0</v>
      </c>
      <c r="H827" s="295">
        <v>0</v>
      </c>
      <c r="I827" s="295">
        <v>0</v>
      </c>
      <c r="J827" s="295"/>
    </row>
    <row r="828" spans="1:10" hidden="1" outlineLevel="1" x14ac:dyDescent="0.3">
      <c r="A828" s="294" t="s">
        <v>6024</v>
      </c>
      <c r="B828" s="294" t="s">
        <v>940</v>
      </c>
      <c r="C828" s="294" t="s">
        <v>823</v>
      </c>
      <c r="D828" s="295">
        <v>0</v>
      </c>
      <c r="E828" s="295">
        <v>0</v>
      </c>
      <c r="F828" s="295">
        <v>0</v>
      </c>
      <c r="G828" s="295">
        <v>0</v>
      </c>
      <c r="H828" s="295">
        <v>0</v>
      </c>
      <c r="I828" s="295">
        <v>0</v>
      </c>
      <c r="J828" s="295"/>
    </row>
    <row r="829" spans="1:10" hidden="1" outlineLevel="1" x14ac:dyDescent="0.3">
      <c r="A829" s="294" t="s">
        <v>6024</v>
      </c>
      <c r="B829" s="294" t="s">
        <v>940</v>
      </c>
      <c r="C829" s="294" t="s">
        <v>825</v>
      </c>
      <c r="D829" s="295">
        <v>0</v>
      </c>
      <c r="E829" s="295">
        <v>0</v>
      </c>
      <c r="F829" s="295">
        <v>0</v>
      </c>
      <c r="G829" s="295">
        <v>0</v>
      </c>
      <c r="H829" s="295">
        <v>0</v>
      </c>
      <c r="I829" s="295">
        <v>0</v>
      </c>
      <c r="J829" s="295"/>
    </row>
    <row r="830" spans="1:10" hidden="1" outlineLevel="1" x14ac:dyDescent="0.3">
      <c r="A830" s="294" t="s">
        <v>6024</v>
      </c>
      <c r="B830" s="294" t="s">
        <v>940</v>
      </c>
      <c r="C830" s="294" t="s">
        <v>827</v>
      </c>
      <c r="D830" s="295">
        <v>0</v>
      </c>
      <c r="E830" s="295">
        <v>0</v>
      </c>
      <c r="F830" s="295">
        <v>0</v>
      </c>
      <c r="G830" s="295">
        <v>0</v>
      </c>
      <c r="H830" s="295">
        <v>0</v>
      </c>
      <c r="I830" s="295">
        <v>0</v>
      </c>
      <c r="J830" s="295"/>
    </row>
    <row r="831" spans="1:10" hidden="1" outlineLevel="1" x14ac:dyDescent="0.3">
      <c r="A831" s="294" t="s">
        <v>6024</v>
      </c>
      <c r="B831" s="294" t="s">
        <v>940</v>
      </c>
      <c r="C831" s="294" t="s">
        <v>829</v>
      </c>
      <c r="D831" s="295">
        <v>0</v>
      </c>
      <c r="E831" s="295">
        <v>0</v>
      </c>
      <c r="F831" s="295">
        <v>0</v>
      </c>
      <c r="G831" s="295">
        <v>0</v>
      </c>
      <c r="H831" s="295">
        <v>0</v>
      </c>
      <c r="I831" s="295">
        <v>0</v>
      </c>
      <c r="J831" s="295"/>
    </row>
    <row r="832" spans="1:10" hidden="1" outlineLevel="1" x14ac:dyDescent="0.3">
      <c r="A832" s="294" t="s">
        <v>6024</v>
      </c>
      <c r="B832" s="294" t="s">
        <v>940</v>
      </c>
      <c r="C832" s="294" t="s">
        <v>833</v>
      </c>
      <c r="D832" s="295">
        <v>0</v>
      </c>
      <c r="E832" s="295">
        <v>0</v>
      </c>
      <c r="F832" s="295">
        <v>0</v>
      </c>
      <c r="G832" s="295">
        <v>0</v>
      </c>
      <c r="H832" s="295">
        <v>0</v>
      </c>
      <c r="I832" s="295">
        <v>0</v>
      </c>
      <c r="J832" s="295"/>
    </row>
    <row r="833" spans="1:10" hidden="1" outlineLevel="1" x14ac:dyDescent="0.3">
      <c r="A833" s="294" t="s">
        <v>6024</v>
      </c>
      <c r="B833" s="294" t="s">
        <v>940</v>
      </c>
      <c r="C833" s="294" t="s">
        <v>836</v>
      </c>
      <c r="D833" s="295">
        <v>0</v>
      </c>
      <c r="E833" s="295">
        <v>0</v>
      </c>
      <c r="F833" s="295">
        <v>0</v>
      </c>
      <c r="G833" s="295">
        <v>0</v>
      </c>
      <c r="H833" s="295">
        <v>0</v>
      </c>
      <c r="I833" s="295">
        <v>0</v>
      </c>
      <c r="J833" s="295"/>
    </row>
    <row r="834" spans="1:10" hidden="1" outlineLevel="1" x14ac:dyDescent="0.3">
      <c r="A834" s="294" t="s">
        <v>6024</v>
      </c>
      <c r="B834" s="294" t="s">
        <v>940</v>
      </c>
      <c r="C834" s="294" t="s">
        <v>837</v>
      </c>
      <c r="D834" s="295">
        <v>0</v>
      </c>
      <c r="E834" s="295">
        <v>0</v>
      </c>
      <c r="F834" s="295">
        <v>0</v>
      </c>
      <c r="G834" s="295">
        <v>0</v>
      </c>
      <c r="H834" s="295">
        <v>0</v>
      </c>
      <c r="I834" s="295">
        <v>0</v>
      </c>
      <c r="J834" s="295"/>
    </row>
    <row r="835" spans="1:10" hidden="1" outlineLevel="1" x14ac:dyDescent="0.3">
      <c r="A835" s="294" t="s">
        <v>6024</v>
      </c>
      <c r="B835" s="294" t="s">
        <v>940</v>
      </c>
      <c r="C835" s="294" t="s">
        <v>839</v>
      </c>
      <c r="D835" s="295">
        <v>0</v>
      </c>
      <c r="E835" s="295">
        <v>0</v>
      </c>
      <c r="F835" s="295">
        <v>0</v>
      </c>
      <c r="G835" s="295">
        <v>0</v>
      </c>
      <c r="H835" s="295">
        <v>0</v>
      </c>
      <c r="I835" s="295">
        <v>0</v>
      </c>
      <c r="J835" s="295"/>
    </row>
    <row r="836" spans="1:10" hidden="1" outlineLevel="1" x14ac:dyDescent="0.3">
      <c r="A836" s="294" t="s">
        <v>6024</v>
      </c>
      <c r="B836" s="294" t="s">
        <v>940</v>
      </c>
      <c r="C836" s="294" t="s">
        <v>840</v>
      </c>
      <c r="D836" s="295">
        <v>0</v>
      </c>
      <c r="E836" s="295">
        <v>0</v>
      </c>
      <c r="F836" s="295">
        <v>0</v>
      </c>
      <c r="G836" s="295">
        <v>0</v>
      </c>
      <c r="H836" s="295">
        <v>0</v>
      </c>
      <c r="I836" s="295">
        <v>0</v>
      </c>
      <c r="J836" s="295"/>
    </row>
    <row r="837" spans="1:10" collapsed="1" x14ac:dyDescent="0.3">
      <c r="A837" s="294"/>
      <c r="B837" s="294"/>
      <c r="C837" s="293"/>
      <c r="D837" s="295"/>
      <c r="E837" s="295"/>
      <c r="F837" s="294"/>
      <c r="G837" s="294"/>
      <c r="H837" s="294"/>
      <c r="I837" s="294"/>
      <c r="J837" s="294"/>
    </row>
    <row r="838" spans="1:10" x14ac:dyDescent="0.3">
      <c r="A838" s="293" t="s">
        <v>6025</v>
      </c>
      <c r="B838" s="58"/>
      <c r="C838" s="298" t="s">
        <v>4032</v>
      </c>
      <c r="D838" s="442">
        <v>2307.6000000000013</v>
      </c>
      <c r="E838" s="442">
        <v>2421.1845237469383</v>
      </c>
      <c r="F838" s="442">
        <v>2855.6368544401007</v>
      </c>
      <c r="G838" s="442">
        <v>3029.6522131716051</v>
      </c>
      <c r="H838" s="442">
        <v>3214.3430315326277</v>
      </c>
      <c r="I838" s="442">
        <v>3344.5294120725162</v>
      </c>
      <c r="J838" s="293"/>
    </row>
    <row r="839" spans="1:10" x14ac:dyDescent="0.3">
      <c r="A839" s="297" t="s">
        <v>5</v>
      </c>
      <c r="B839" s="297" t="s">
        <v>847</v>
      </c>
      <c r="C839" s="297" t="s">
        <v>193</v>
      </c>
      <c r="D839" s="297">
        <v>2022</v>
      </c>
      <c r="E839" s="297">
        <v>2025</v>
      </c>
      <c r="F839" s="297">
        <v>2030</v>
      </c>
      <c r="G839" s="297">
        <v>2035</v>
      </c>
      <c r="H839" s="297">
        <v>2040</v>
      </c>
      <c r="I839" s="297">
        <v>2045</v>
      </c>
      <c r="J839" s="297" t="s">
        <v>153</v>
      </c>
    </row>
    <row r="840" spans="1:10" hidden="1" outlineLevel="1" x14ac:dyDescent="0.3">
      <c r="A840" s="294" t="s">
        <v>6025</v>
      </c>
      <c r="B840" s="294" t="s">
        <v>855</v>
      </c>
      <c r="C840" s="294" t="s">
        <v>747</v>
      </c>
      <c r="D840" s="295">
        <v>2307.6</v>
      </c>
      <c r="E840" s="442">
        <v>2475.1129279636375</v>
      </c>
      <c r="F840" s="442">
        <v>2964.6560225831563</v>
      </c>
      <c r="G840" s="442">
        <v>3136.1689904449099</v>
      </c>
      <c r="H840" s="442">
        <v>3317.6044241579011</v>
      </c>
      <c r="I840" s="442">
        <v>3451.9314375812096</v>
      </c>
      <c r="J840" s="442"/>
    </row>
    <row r="841" spans="1:10" hidden="1" outlineLevel="1" x14ac:dyDescent="0.3">
      <c r="A841" s="294" t="s">
        <v>6025</v>
      </c>
      <c r="B841" s="294" t="s">
        <v>855</v>
      </c>
      <c r="C841" s="294" t="s">
        <v>751</v>
      </c>
      <c r="D841" s="295">
        <v>2307.6</v>
      </c>
      <c r="E841" s="442">
        <v>2475.1129279636375</v>
      </c>
      <c r="F841" s="442">
        <v>2964.6560225831563</v>
      </c>
      <c r="G841" s="442">
        <v>3136.1689904449099</v>
      </c>
      <c r="H841" s="442">
        <v>3317.6044241579011</v>
      </c>
      <c r="I841" s="442">
        <v>3451.9314375812096</v>
      </c>
      <c r="J841" s="442"/>
    </row>
    <row r="842" spans="1:10" hidden="1" outlineLevel="1" x14ac:dyDescent="0.3">
      <c r="A842" s="294" t="s">
        <v>6025</v>
      </c>
      <c r="B842" s="294" t="s">
        <v>855</v>
      </c>
      <c r="C842" s="294" t="s">
        <v>755</v>
      </c>
      <c r="D842" s="295">
        <v>2307.6</v>
      </c>
      <c r="E842" s="442">
        <v>2475.1129279636375</v>
      </c>
      <c r="F842" s="442">
        <v>2964.6560225831563</v>
      </c>
      <c r="G842" s="442">
        <v>3136.1689904449099</v>
      </c>
      <c r="H842" s="442">
        <v>3317.6044241579011</v>
      </c>
      <c r="I842" s="442">
        <v>3451.9314375812096</v>
      </c>
      <c r="J842" s="442"/>
    </row>
    <row r="843" spans="1:10" hidden="1" outlineLevel="1" x14ac:dyDescent="0.3">
      <c r="A843" s="294" t="s">
        <v>6025</v>
      </c>
      <c r="B843" s="294" t="s">
        <v>855</v>
      </c>
      <c r="C843" s="294" t="s">
        <v>758</v>
      </c>
      <c r="D843" s="295">
        <v>2307.6</v>
      </c>
      <c r="E843" s="442">
        <v>2475.1129279636375</v>
      </c>
      <c r="F843" s="442">
        <v>2964.6560225831563</v>
      </c>
      <c r="G843" s="442">
        <v>3136.1689904449099</v>
      </c>
      <c r="H843" s="442">
        <v>3317.6044241579011</v>
      </c>
      <c r="I843" s="442">
        <v>3451.9314375812096</v>
      </c>
      <c r="J843" s="442"/>
    </row>
    <row r="844" spans="1:10" hidden="1" outlineLevel="1" x14ac:dyDescent="0.3">
      <c r="A844" s="294" t="s">
        <v>6025</v>
      </c>
      <c r="B844" s="294" t="s">
        <v>855</v>
      </c>
      <c r="C844" s="294" t="s">
        <v>761</v>
      </c>
      <c r="D844" s="295">
        <v>2307.6</v>
      </c>
      <c r="E844" s="442">
        <v>2475.1129279636375</v>
      </c>
      <c r="F844" s="442">
        <v>2964.6560225831563</v>
      </c>
      <c r="G844" s="442">
        <v>3136.1689904449099</v>
      </c>
      <c r="H844" s="442">
        <v>3317.6044241579011</v>
      </c>
      <c r="I844" s="442">
        <v>3451.9314375812096</v>
      </c>
      <c r="J844" s="442"/>
    </row>
    <row r="845" spans="1:10" hidden="1" outlineLevel="1" x14ac:dyDescent="0.3">
      <c r="A845" s="294" t="s">
        <v>6025</v>
      </c>
      <c r="B845" s="294" t="s">
        <v>855</v>
      </c>
      <c r="C845" s="294" t="s">
        <v>763</v>
      </c>
      <c r="D845" s="295">
        <v>2307.6</v>
      </c>
      <c r="E845" s="442">
        <v>2475.1129279636375</v>
      </c>
      <c r="F845" s="442">
        <v>2964.6560225831563</v>
      </c>
      <c r="G845" s="442">
        <v>3136.1689904449099</v>
      </c>
      <c r="H845" s="442">
        <v>3317.6044241579011</v>
      </c>
      <c r="I845" s="442">
        <v>3451.9314375812096</v>
      </c>
      <c r="J845" s="442"/>
    </row>
    <row r="846" spans="1:10" hidden="1" outlineLevel="1" x14ac:dyDescent="0.3">
      <c r="A846" s="294" t="s">
        <v>6025</v>
      </c>
      <c r="B846" s="294" t="s">
        <v>855</v>
      </c>
      <c r="C846" s="294" t="s">
        <v>765</v>
      </c>
      <c r="D846" s="295">
        <v>2307.6</v>
      </c>
      <c r="E846" s="442">
        <v>2475.1129279636375</v>
      </c>
      <c r="F846" s="442">
        <v>2964.6560225831563</v>
      </c>
      <c r="G846" s="442">
        <v>3136.1689904449099</v>
      </c>
      <c r="H846" s="442">
        <v>3317.6044241579011</v>
      </c>
      <c r="I846" s="442">
        <v>3451.9314375812096</v>
      </c>
      <c r="J846" s="442"/>
    </row>
    <row r="847" spans="1:10" hidden="1" outlineLevel="1" x14ac:dyDescent="0.3">
      <c r="A847" s="294" t="s">
        <v>6025</v>
      </c>
      <c r="B847" s="294" t="s">
        <v>855</v>
      </c>
      <c r="C847" s="294" t="s">
        <v>768</v>
      </c>
      <c r="D847" s="295">
        <v>2307.6</v>
      </c>
      <c r="E847" s="442">
        <v>2475.1129279636375</v>
      </c>
      <c r="F847" s="442">
        <v>2964.6560225831563</v>
      </c>
      <c r="G847" s="442">
        <v>3136.1689904449099</v>
      </c>
      <c r="H847" s="442">
        <v>3317.6044241579011</v>
      </c>
      <c r="I847" s="442">
        <v>3451.9314375812096</v>
      </c>
      <c r="J847" s="442"/>
    </row>
    <row r="848" spans="1:10" hidden="1" outlineLevel="1" x14ac:dyDescent="0.3">
      <c r="A848" s="294" t="s">
        <v>6025</v>
      </c>
      <c r="B848" s="294" t="s">
        <v>855</v>
      </c>
      <c r="C848" s="294" t="s">
        <v>771</v>
      </c>
      <c r="D848" s="295">
        <v>2307.6</v>
      </c>
      <c r="E848" s="442">
        <v>2475.1129279636375</v>
      </c>
      <c r="F848" s="442">
        <v>2964.6560225831563</v>
      </c>
      <c r="G848" s="442">
        <v>3136.1689904449099</v>
      </c>
      <c r="H848" s="442">
        <v>3317.6044241579011</v>
      </c>
      <c r="I848" s="442">
        <v>3451.9314375812096</v>
      </c>
      <c r="J848" s="442"/>
    </row>
    <row r="849" spans="1:10" hidden="1" outlineLevel="1" x14ac:dyDescent="0.3">
      <c r="A849" s="294" t="s">
        <v>6025</v>
      </c>
      <c r="B849" s="294" t="s">
        <v>855</v>
      </c>
      <c r="C849" s="294" t="s">
        <v>772</v>
      </c>
      <c r="D849" s="295">
        <v>2307.6</v>
      </c>
      <c r="E849" s="442">
        <v>2475.1129279636375</v>
      </c>
      <c r="F849" s="442">
        <v>2964.6560225831563</v>
      </c>
      <c r="G849" s="442">
        <v>3136.1689904449099</v>
      </c>
      <c r="H849" s="442">
        <v>3317.6044241579011</v>
      </c>
      <c r="I849" s="442">
        <v>3451.9314375812096</v>
      </c>
      <c r="J849" s="442"/>
    </row>
    <row r="850" spans="1:10" hidden="1" outlineLevel="1" x14ac:dyDescent="0.3">
      <c r="A850" s="294" t="s">
        <v>6025</v>
      </c>
      <c r="B850" s="294" t="s">
        <v>855</v>
      </c>
      <c r="C850" s="294" t="s">
        <v>774</v>
      </c>
      <c r="D850" s="295">
        <v>2307.6</v>
      </c>
      <c r="E850" s="442">
        <v>2475.1129279636375</v>
      </c>
      <c r="F850" s="442">
        <v>2964.6560225831563</v>
      </c>
      <c r="G850" s="442">
        <v>3136.1689904449099</v>
      </c>
      <c r="H850" s="442">
        <v>3317.6044241579011</v>
      </c>
      <c r="I850" s="442">
        <v>3451.9314375812096</v>
      </c>
      <c r="J850" s="442"/>
    </row>
    <row r="851" spans="1:10" hidden="1" outlineLevel="1" x14ac:dyDescent="0.3">
      <c r="A851" s="294" t="s">
        <v>6025</v>
      </c>
      <c r="B851" s="294" t="s">
        <v>855</v>
      </c>
      <c r="C851" s="294" t="s">
        <v>775</v>
      </c>
      <c r="D851" s="295">
        <v>2307.6</v>
      </c>
      <c r="E851" s="442">
        <v>2475.1129279636375</v>
      </c>
      <c r="F851" s="442">
        <v>2964.6560225831563</v>
      </c>
      <c r="G851" s="442">
        <v>3136.1689904449099</v>
      </c>
      <c r="H851" s="442">
        <v>3317.6044241579011</v>
      </c>
      <c r="I851" s="442">
        <v>3451.9314375812096</v>
      </c>
      <c r="J851" s="442"/>
    </row>
    <row r="852" spans="1:10" hidden="1" outlineLevel="1" x14ac:dyDescent="0.3">
      <c r="A852" s="294" t="s">
        <v>6025</v>
      </c>
      <c r="B852" s="294" t="s">
        <v>855</v>
      </c>
      <c r="C852" s="294" t="s">
        <v>779</v>
      </c>
      <c r="D852" s="295">
        <v>2307.6</v>
      </c>
      <c r="E852" s="442">
        <v>2475.1129279636375</v>
      </c>
      <c r="F852" s="442">
        <v>2964.6560225831563</v>
      </c>
      <c r="G852" s="442">
        <v>3136.1689904449099</v>
      </c>
      <c r="H852" s="442">
        <v>3317.6044241579011</v>
      </c>
      <c r="I852" s="442">
        <v>3451.9314375812096</v>
      </c>
      <c r="J852" s="442"/>
    </row>
    <row r="853" spans="1:10" hidden="1" outlineLevel="1" x14ac:dyDescent="0.3">
      <c r="A853" s="294" t="s">
        <v>6025</v>
      </c>
      <c r="B853" s="294" t="s">
        <v>894</v>
      </c>
      <c r="C853" s="294" t="s">
        <v>781</v>
      </c>
      <c r="D853" s="295">
        <v>2307.6</v>
      </c>
      <c r="E853" s="442">
        <v>2475.1129279636375</v>
      </c>
      <c r="F853" s="442">
        <v>2964.6560225831563</v>
      </c>
      <c r="G853" s="442">
        <v>3136.1689904449099</v>
      </c>
      <c r="H853" s="442">
        <v>3317.6044241579011</v>
      </c>
      <c r="I853" s="442">
        <v>3451.9314375812096</v>
      </c>
      <c r="J853" s="442"/>
    </row>
    <row r="854" spans="1:10" hidden="1" outlineLevel="1" x14ac:dyDescent="0.3">
      <c r="A854" s="294" t="s">
        <v>6025</v>
      </c>
      <c r="B854" s="294" t="s">
        <v>894</v>
      </c>
      <c r="C854" s="294" t="s">
        <v>783</v>
      </c>
      <c r="D854" s="295">
        <v>2307.6</v>
      </c>
      <c r="E854" s="442">
        <v>2475.1129279636375</v>
      </c>
      <c r="F854" s="442">
        <v>2964.6560225831563</v>
      </c>
      <c r="G854" s="442">
        <v>3136.1689904449099</v>
      </c>
      <c r="H854" s="442">
        <v>3317.6044241579011</v>
      </c>
      <c r="I854" s="442">
        <v>3451.9314375812096</v>
      </c>
      <c r="J854" s="442"/>
    </row>
    <row r="855" spans="1:10" hidden="1" outlineLevel="1" x14ac:dyDescent="0.3">
      <c r="A855" s="294" t="s">
        <v>6025</v>
      </c>
      <c r="B855" s="294" t="s">
        <v>894</v>
      </c>
      <c r="C855" s="294" t="s">
        <v>785</v>
      </c>
      <c r="D855" s="295">
        <v>2307.6</v>
      </c>
      <c r="E855" s="442">
        <v>2475.1129279636375</v>
      </c>
      <c r="F855" s="442">
        <v>2964.6560225831563</v>
      </c>
      <c r="G855" s="442">
        <v>3136.1689904449099</v>
      </c>
      <c r="H855" s="442">
        <v>3317.6044241579011</v>
      </c>
      <c r="I855" s="442">
        <v>3451.9314375812096</v>
      </c>
      <c r="J855" s="442"/>
    </row>
    <row r="856" spans="1:10" hidden="1" outlineLevel="1" x14ac:dyDescent="0.3">
      <c r="A856" s="294" t="s">
        <v>6025</v>
      </c>
      <c r="B856" s="294" t="s">
        <v>894</v>
      </c>
      <c r="C856" s="294" t="s">
        <v>787</v>
      </c>
      <c r="D856" s="295">
        <v>2307.6</v>
      </c>
      <c r="E856" s="442">
        <v>2475.1129279636375</v>
      </c>
      <c r="F856" s="442">
        <v>2964.6560225831563</v>
      </c>
      <c r="G856" s="442">
        <v>3136.1689904449099</v>
      </c>
      <c r="H856" s="442">
        <v>3317.6044241579011</v>
      </c>
      <c r="I856" s="442">
        <v>3451.9314375812096</v>
      </c>
      <c r="J856" s="442"/>
    </row>
    <row r="857" spans="1:10" hidden="1" outlineLevel="1" x14ac:dyDescent="0.3">
      <c r="A857" s="294" t="s">
        <v>6025</v>
      </c>
      <c r="B857" s="294" t="s">
        <v>894</v>
      </c>
      <c r="C857" s="294" t="s">
        <v>788</v>
      </c>
      <c r="D857" s="295">
        <v>2307.6</v>
      </c>
      <c r="E857" s="442">
        <v>2475.1129279636375</v>
      </c>
      <c r="F857" s="442">
        <v>2964.6560225831563</v>
      </c>
      <c r="G857" s="442">
        <v>3136.1689904449099</v>
      </c>
      <c r="H857" s="442">
        <v>3317.6044241579011</v>
      </c>
      <c r="I857" s="442">
        <v>3451.9314375812096</v>
      </c>
      <c r="J857" s="442"/>
    </row>
    <row r="858" spans="1:10" hidden="1" outlineLevel="1" x14ac:dyDescent="0.3">
      <c r="A858" s="294" t="s">
        <v>6025</v>
      </c>
      <c r="B858" s="294" t="s">
        <v>894</v>
      </c>
      <c r="C858" s="294" t="s">
        <v>789</v>
      </c>
      <c r="D858" s="295">
        <v>2307.6</v>
      </c>
      <c r="E858" s="442">
        <v>2475.1129279636375</v>
      </c>
      <c r="F858" s="442">
        <v>2964.6560225831563</v>
      </c>
      <c r="G858" s="442">
        <v>3136.1689904449099</v>
      </c>
      <c r="H858" s="442">
        <v>3317.6044241579011</v>
      </c>
      <c r="I858" s="442">
        <v>3451.9314375812096</v>
      </c>
      <c r="J858" s="442"/>
    </row>
    <row r="859" spans="1:10" hidden="1" outlineLevel="1" x14ac:dyDescent="0.3">
      <c r="A859" s="294" t="s">
        <v>6025</v>
      </c>
      <c r="B859" s="294" t="s">
        <v>894</v>
      </c>
      <c r="C859" s="294" t="s">
        <v>790</v>
      </c>
      <c r="D859" s="295">
        <v>2307.6</v>
      </c>
      <c r="E859" s="442">
        <v>2475.1129279636375</v>
      </c>
      <c r="F859" s="442">
        <v>2964.6560225831563</v>
      </c>
      <c r="G859" s="442">
        <v>3136.1689904449099</v>
      </c>
      <c r="H859" s="442">
        <v>3317.6044241579011</v>
      </c>
      <c r="I859" s="442">
        <v>3451.9314375812096</v>
      </c>
      <c r="J859" s="442"/>
    </row>
    <row r="860" spans="1:10" hidden="1" outlineLevel="1" x14ac:dyDescent="0.3">
      <c r="A860" s="294" t="s">
        <v>6025</v>
      </c>
      <c r="B860" s="294" t="s">
        <v>894</v>
      </c>
      <c r="C860" s="294" t="s">
        <v>793</v>
      </c>
      <c r="D860" s="295">
        <v>2307.6</v>
      </c>
      <c r="E860" s="442">
        <v>2475.1129279636375</v>
      </c>
      <c r="F860" s="442">
        <v>2964.6560225831563</v>
      </c>
      <c r="G860" s="442">
        <v>3136.1689904449099</v>
      </c>
      <c r="H860" s="442">
        <v>3317.6044241579011</v>
      </c>
      <c r="I860" s="442">
        <v>3451.9314375812096</v>
      </c>
      <c r="J860" s="442"/>
    </row>
    <row r="861" spans="1:10" hidden="1" outlineLevel="1" x14ac:dyDescent="0.3">
      <c r="A861" s="294" t="s">
        <v>6025</v>
      </c>
      <c r="B861" s="294" t="s">
        <v>894</v>
      </c>
      <c r="C861" s="294" t="s">
        <v>795</v>
      </c>
      <c r="D861" s="295">
        <v>2307.6</v>
      </c>
      <c r="E861" s="442">
        <v>2475.1129279636375</v>
      </c>
      <c r="F861" s="442">
        <v>2964.6560225831563</v>
      </c>
      <c r="G861" s="442">
        <v>3136.1689904449099</v>
      </c>
      <c r="H861" s="442">
        <v>3317.6044241579011</v>
      </c>
      <c r="I861" s="442">
        <v>3451.9314375812096</v>
      </c>
      <c r="J861" s="442"/>
    </row>
    <row r="862" spans="1:10" hidden="1" outlineLevel="1" x14ac:dyDescent="0.3">
      <c r="A862" s="294" t="s">
        <v>6025</v>
      </c>
      <c r="B862" s="294" t="s">
        <v>894</v>
      </c>
      <c r="C862" s="294" t="s">
        <v>797</v>
      </c>
      <c r="D862" s="295">
        <v>2307.6</v>
      </c>
      <c r="E862" s="442">
        <v>2475.1129279636375</v>
      </c>
      <c r="F862" s="442">
        <v>2964.6560225831563</v>
      </c>
      <c r="G862" s="442">
        <v>3136.1689904449099</v>
      </c>
      <c r="H862" s="442">
        <v>3317.6044241579011</v>
      </c>
      <c r="I862" s="442">
        <v>3451.9314375812096</v>
      </c>
      <c r="J862" s="442"/>
    </row>
    <row r="863" spans="1:10" hidden="1" outlineLevel="1" x14ac:dyDescent="0.3">
      <c r="A863" s="294" t="s">
        <v>6025</v>
      </c>
      <c r="B863" s="294" t="s">
        <v>915</v>
      </c>
      <c r="C863" s="294" t="s">
        <v>799</v>
      </c>
      <c r="D863" s="295">
        <v>2307.6</v>
      </c>
      <c r="E863" s="442">
        <v>2475.1129279636375</v>
      </c>
      <c r="F863" s="442">
        <v>2964.6560225831563</v>
      </c>
      <c r="G863" s="442">
        <v>3136.1689904449099</v>
      </c>
      <c r="H863" s="442">
        <v>3317.6044241579011</v>
      </c>
      <c r="I863" s="442">
        <v>3451.9314375812096</v>
      </c>
      <c r="J863" s="442"/>
    </row>
    <row r="864" spans="1:10" hidden="1" outlineLevel="1" x14ac:dyDescent="0.3">
      <c r="A864" s="294" t="s">
        <v>6025</v>
      </c>
      <c r="B864" s="294" t="s">
        <v>915</v>
      </c>
      <c r="C864" s="294" t="s">
        <v>801</v>
      </c>
      <c r="D864" s="295">
        <v>2307.6</v>
      </c>
      <c r="E864" s="442">
        <v>2475.1129279636375</v>
      </c>
      <c r="F864" s="442">
        <v>2964.6560225831563</v>
      </c>
      <c r="G864" s="442">
        <v>3136.1689904449099</v>
      </c>
      <c r="H864" s="442">
        <v>3317.6044241579011</v>
      </c>
      <c r="I864" s="442">
        <v>3451.9314375812096</v>
      </c>
      <c r="J864" s="442"/>
    </row>
    <row r="865" spans="1:10" hidden="1" outlineLevel="1" x14ac:dyDescent="0.3">
      <c r="A865" s="294" t="s">
        <v>6025</v>
      </c>
      <c r="B865" s="294" t="s">
        <v>915</v>
      </c>
      <c r="C865" s="294" t="s">
        <v>804</v>
      </c>
      <c r="D865" s="295">
        <v>2307.6</v>
      </c>
      <c r="E865" s="442">
        <v>2475.1129279636375</v>
      </c>
      <c r="F865" s="442">
        <v>2964.6560225831563</v>
      </c>
      <c r="G865" s="442">
        <v>3136.1689904449099</v>
      </c>
      <c r="H865" s="442">
        <v>3317.6044241579011</v>
      </c>
      <c r="I865" s="442">
        <v>3451.9314375812096</v>
      </c>
      <c r="J865" s="442"/>
    </row>
    <row r="866" spans="1:10" hidden="1" outlineLevel="1" x14ac:dyDescent="0.3">
      <c r="A866" s="294" t="s">
        <v>6025</v>
      </c>
      <c r="B866" s="294" t="s">
        <v>915</v>
      </c>
      <c r="C866" s="294" t="s">
        <v>806</v>
      </c>
      <c r="D866" s="295">
        <v>2307.6</v>
      </c>
      <c r="E866" s="442">
        <v>2475.1129279636375</v>
      </c>
      <c r="F866" s="442">
        <v>2964.6560225831563</v>
      </c>
      <c r="G866" s="442">
        <v>3136.1689904449099</v>
      </c>
      <c r="H866" s="442">
        <v>3317.6044241579011</v>
      </c>
      <c r="I866" s="442">
        <v>3451.9314375812096</v>
      </c>
      <c r="J866" s="442"/>
    </row>
    <row r="867" spans="1:10" hidden="1" outlineLevel="1" x14ac:dyDescent="0.3">
      <c r="A867" s="294" t="s">
        <v>6025</v>
      </c>
      <c r="B867" s="294" t="s">
        <v>915</v>
      </c>
      <c r="C867" s="294" t="s">
        <v>808</v>
      </c>
      <c r="D867" s="295">
        <v>2307.6</v>
      </c>
      <c r="E867" s="442">
        <v>2475.1129279636375</v>
      </c>
      <c r="F867" s="442">
        <v>2964.6560225831563</v>
      </c>
      <c r="G867" s="442">
        <v>3136.1689904449099</v>
      </c>
      <c r="H867" s="442">
        <v>3317.6044241579011</v>
      </c>
      <c r="I867" s="442">
        <v>3451.9314375812096</v>
      </c>
      <c r="J867" s="442"/>
    </row>
    <row r="868" spans="1:10" hidden="1" outlineLevel="1" x14ac:dyDescent="0.3">
      <c r="A868" s="294" t="s">
        <v>6025</v>
      </c>
      <c r="B868" s="294" t="s">
        <v>915</v>
      </c>
      <c r="C868" s="294" t="s">
        <v>811</v>
      </c>
      <c r="D868" s="295">
        <v>2307.6</v>
      </c>
      <c r="E868" s="442">
        <v>2475.1129279636375</v>
      </c>
      <c r="F868" s="442">
        <v>2964.6560225831563</v>
      </c>
      <c r="G868" s="442">
        <v>3136.1689904449099</v>
      </c>
      <c r="H868" s="442">
        <v>3317.6044241579011</v>
      </c>
      <c r="I868" s="442">
        <v>3451.9314375812096</v>
      </c>
      <c r="J868" s="442"/>
    </row>
    <row r="869" spans="1:10" hidden="1" outlineLevel="1" x14ac:dyDescent="0.3">
      <c r="A869" s="294" t="s">
        <v>6025</v>
      </c>
      <c r="B869" s="294" t="s">
        <v>934</v>
      </c>
      <c r="C869" s="294" t="s">
        <v>814</v>
      </c>
      <c r="D869" s="295">
        <v>2307.6</v>
      </c>
      <c r="E869" s="442">
        <v>2475.1129279636375</v>
      </c>
      <c r="F869" s="442">
        <v>2964.6560225831563</v>
      </c>
      <c r="G869" s="442">
        <v>3136.1689904449099</v>
      </c>
      <c r="H869" s="442">
        <v>3317.6044241579011</v>
      </c>
      <c r="I869" s="442">
        <v>3451.9314375812096</v>
      </c>
      <c r="J869" s="442"/>
    </row>
    <row r="870" spans="1:10" hidden="1" outlineLevel="1" x14ac:dyDescent="0.3">
      <c r="A870" s="294" t="s">
        <v>6025</v>
      </c>
      <c r="B870" s="294" t="s">
        <v>934</v>
      </c>
      <c r="C870" s="294" t="s">
        <v>815</v>
      </c>
      <c r="D870" s="295">
        <v>2307.6</v>
      </c>
      <c r="E870" s="442">
        <v>2296.7343601699349</v>
      </c>
      <c r="F870" s="442">
        <v>2604.0541587253506</v>
      </c>
      <c r="G870" s="442">
        <v>2783.8442656178299</v>
      </c>
      <c r="H870" s="442">
        <v>2976.047510089687</v>
      </c>
      <c r="I870" s="442">
        <v>3096.6785839755316</v>
      </c>
      <c r="J870" s="442"/>
    </row>
    <row r="871" spans="1:10" hidden="1" outlineLevel="1" x14ac:dyDescent="0.3">
      <c r="A871" s="294" t="s">
        <v>6025</v>
      </c>
      <c r="B871" s="294" t="s">
        <v>940</v>
      </c>
      <c r="C871" s="294" t="s">
        <v>817</v>
      </c>
      <c r="D871" s="295">
        <v>2307.6</v>
      </c>
      <c r="E871" s="442">
        <v>2296.7343601699349</v>
      </c>
      <c r="F871" s="442">
        <v>2604.0541587253506</v>
      </c>
      <c r="G871" s="442">
        <v>2783.8442656178299</v>
      </c>
      <c r="H871" s="442">
        <v>2976.047510089687</v>
      </c>
      <c r="I871" s="442">
        <v>3096.6785839755316</v>
      </c>
      <c r="J871" s="442"/>
    </row>
    <row r="872" spans="1:10" hidden="1" outlineLevel="1" x14ac:dyDescent="0.3">
      <c r="A872" s="294" t="s">
        <v>6025</v>
      </c>
      <c r="B872" s="294" t="s">
        <v>940</v>
      </c>
      <c r="C872" s="294" t="s">
        <v>944</v>
      </c>
      <c r="D872" s="295">
        <v>2307.6</v>
      </c>
      <c r="E872" s="442">
        <v>2296.7343601699349</v>
      </c>
      <c r="F872" s="442">
        <v>2604.0541587253506</v>
      </c>
      <c r="G872" s="442">
        <v>2783.8442656178299</v>
      </c>
      <c r="H872" s="442">
        <v>2976.047510089687</v>
      </c>
      <c r="I872" s="442">
        <v>3096.6785839755316</v>
      </c>
      <c r="J872" s="442"/>
    </row>
    <row r="873" spans="1:10" hidden="1" outlineLevel="1" x14ac:dyDescent="0.3">
      <c r="A873" s="294" t="s">
        <v>6025</v>
      </c>
      <c r="B873" s="294" t="s">
        <v>940</v>
      </c>
      <c r="C873" s="294" t="s">
        <v>821</v>
      </c>
      <c r="D873" s="295">
        <v>2307.6</v>
      </c>
      <c r="E873" s="442">
        <v>2296.7343601699349</v>
      </c>
      <c r="F873" s="442">
        <v>2604.0541587253506</v>
      </c>
      <c r="G873" s="442">
        <v>2783.8442656178299</v>
      </c>
      <c r="H873" s="442">
        <v>2976.047510089687</v>
      </c>
      <c r="I873" s="442">
        <v>3096.6785839755316</v>
      </c>
      <c r="J873" s="442"/>
    </row>
    <row r="874" spans="1:10" hidden="1" outlineLevel="1" x14ac:dyDescent="0.3">
      <c r="A874" s="294" t="s">
        <v>6025</v>
      </c>
      <c r="B874" s="294" t="s">
        <v>940</v>
      </c>
      <c r="C874" s="294" t="s">
        <v>823</v>
      </c>
      <c r="D874" s="295">
        <v>2307.6</v>
      </c>
      <c r="E874" s="442">
        <v>2296.7343601699349</v>
      </c>
      <c r="F874" s="442">
        <v>2604.0541587253506</v>
      </c>
      <c r="G874" s="442">
        <v>2783.8442656178299</v>
      </c>
      <c r="H874" s="442">
        <v>2976.047510089687</v>
      </c>
      <c r="I874" s="442">
        <v>3096.6785839755316</v>
      </c>
      <c r="J874" s="442"/>
    </row>
    <row r="875" spans="1:10" hidden="1" outlineLevel="1" x14ac:dyDescent="0.3">
      <c r="A875" s="294" t="s">
        <v>6025</v>
      </c>
      <c r="B875" s="294" t="s">
        <v>940</v>
      </c>
      <c r="C875" s="294" t="s">
        <v>825</v>
      </c>
      <c r="D875" s="295">
        <v>2307.6</v>
      </c>
      <c r="E875" s="442">
        <v>2296.7343601699349</v>
      </c>
      <c r="F875" s="442">
        <v>2604.0541587253506</v>
      </c>
      <c r="G875" s="442">
        <v>2783.8442656178299</v>
      </c>
      <c r="H875" s="442">
        <v>2976.047510089687</v>
      </c>
      <c r="I875" s="442">
        <v>3096.6785839755316</v>
      </c>
      <c r="J875" s="442"/>
    </row>
    <row r="876" spans="1:10" hidden="1" outlineLevel="1" x14ac:dyDescent="0.3">
      <c r="A876" s="294" t="s">
        <v>6025</v>
      </c>
      <c r="B876" s="294" t="s">
        <v>940</v>
      </c>
      <c r="C876" s="294" t="s">
        <v>827</v>
      </c>
      <c r="D876" s="295">
        <v>2307.6</v>
      </c>
      <c r="E876" s="442">
        <v>2296.7343601699349</v>
      </c>
      <c r="F876" s="442">
        <v>2604.0541587253506</v>
      </c>
      <c r="G876" s="442">
        <v>2783.8442656178299</v>
      </c>
      <c r="H876" s="442">
        <v>2976.047510089687</v>
      </c>
      <c r="I876" s="442">
        <v>3096.6785839755316</v>
      </c>
      <c r="J876" s="442"/>
    </row>
    <row r="877" spans="1:10" hidden="1" outlineLevel="1" x14ac:dyDescent="0.3">
      <c r="A877" s="294" t="s">
        <v>6025</v>
      </c>
      <c r="B877" s="294" t="s">
        <v>940</v>
      </c>
      <c r="C877" s="294" t="s">
        <v>829</v>
      </c>
      <c r="D877" s="295">
        <v>2307.6</v>
      </c>
      <c r="E877" s="442">
        <v>2296.7343601699349</v>
      </c>
      <c r="F877" s="442">
        <v>2604.0541587253506</v>
      </c>
      <c r="G877" s="442">
        <v>2783.8442656178299</v>
      </c>
      <c r="H877" s="442">
        <v>2976.047510089687</v>
      </c>
      <c r="I877" s="442">
        <v>3096.6785839755316</v>
      </c>
      <c r="J877" s="442"/>
    </row>
    <row r="878" spans="1:10" hidden="1" outlineLevel="1" x14ac:dyDescent="0.3">
      <c r="A878" s="294" t="s">
        <v>6025</v>
      </c>
      <c r="B878" s="294" t="s">
        <v>940</v>
      </c>
      <c r="C878" s="294" t="s">
        <v>833</v>
      </c>
      <c r="D878" s="295">
        <v>2307.6</v>
      </c>
      <c r="E878" s="442">
        <v>2296.7343601699349</v>
      </c>
      <c r="F878" s="442">
        <v>2604.0541587253506</v>
      </c>
      <c r="G878" s="442">
        <v>2783.8442656178299</v>
      </c>
      <c r="H878" s="442">
        <v>2976.047510089687</v>
      </c>
      <c r="I878" s="442">
        <v>3096.6785839755316</v>
      </c>
      <c r="J878" s="442"/>
    </row>
    <row r="879" spans="1:10" hidden="1" outlineLevel="1" x14ac:dyDescent="0.3">
      <c r="A879" s="294" t="s">
        <v>6025</v>
      </c>
      <c r="B879" s="294" t="s">
        <v>940</v>
      </c>
      <c r="C879" s="294" t="s">
        <v>836</v>
      </c>
      <c r="D879" s="295">
        <v>2307.6</v>
      </c>
      <c r="E879" s="442">
        <v>2296.7343601699349</v>
      </c>
      <c r="F879" s="442">
        <v>2604.0541587253506</v>
      </c>
      <c r="G879" s="442">
        <v>2783.8442656178299</v>
      </c>
      <c r="H879" s="442">
        <v>2976.047510089687</v>
      </c>
      <c r="I879" s="442">
        <v>3096.6785839755316</v>
      </c>
      <c r="J879" s="442"/>
    </row>
    <row r="880" spans="1:10" hidden="1" outlineLevel="1" x14ac:dyDescent="0.3">
      <c r="A880" s="294" t="s">
        <v>6025</v>
      </c>
      <c r="B880" s="294" t="s">
        <v>940</v>
      </c>
      <c r="C880" s="294" t="s">
        <v>837</v>
      </c>
      <c r="D880" s="295">
        <v>2307.6</v>
      </c>
      <c r="E880" s="442">
        <v>2296.7343601699349</v>
      </c>
      <c r="F880" s="442">
        <v>2604.0541587253506</v>
      </c>
      <c r="G880" s="442">
        <v>2783.8442656178299</v>
      </c>
      <c r="H880" s="442">
        <v>2976.047510089687</v>
      </c>
      <c r="I880" s="442">
        <v>3096.6785839755316</v>
      </c>
      <c r="J880" s="442"/>
    </row>
    <row r="881" spans="1:10" hidden="1" outlineLevel="1" x14ac:dyDescent="0.3">
      <c r="A881" s="294" t="s">
        <v>6025</v>
      </c>
      <c r="B881" s="294" t="s">
        <v>940</v>
      </c>
      <c r="C881" s="294" t="s">
        <v>839</v>
      </c>
      <c r="D881" s="295">
        <v>2307.6</v>
      </c>
      <c r="E881" s="442">
        <v>2296.7343601699349</v>
      </c>
      <c r="F881" s="442">
        <v>2604.0541587253506</v>
      </c>
      <c r="G881" s="442">
        <v>2783.8442656178299</v>
      </c>
      <c r="H881" s="442">
        <v>2976.047510089687</v>
      </c>
      <c r="I881" s="442">
        <v>3096.6785839755316</v>
      </c>
      <c r="J881" s="442"/>
    </row>
    <row r="882" spans="1:10" hidden="1" outlineLevel="1" x14ac:dyDescent="0.3">
      <c r="A882" s="294" t="s">
        <v>6025</v>
      </c>
      <c r="B882" s="294" t="s">
        <v>940</v>
      </c>
      <c r="C882" s="294" t="s">
        <v>840</v>
      </c>
      <c r="D882" s="295">
        <v>2307.6</v>
      </c>
      <c r="E882" s="442">
        <v>2296.7343601699349</v>
      </c>
      <c r="F882" s="442">
        <v>2604.0541587253506</v>
      </c>
      <c r="G882" s="442">
        <v>2783.8442656178299</v>
      </c>
      <c r="H882" s="442">
        <v>2976.047510089687</v>
      </c>
      <c r="I882" s="442">
        <v>3096.6785839755316</v>
      </c>
      <c r="J882" s="442"/>
    </row>
    <row r="883" spans="1:10" collapsed="1" x14ac:dyDescent="0.3">
      <c r="A883" s="294"/>
      <c r="B883" s="294"/>
      <c r="C883" s="293"/>
      <c r="D883" s="295"/>
      <c r="E883" s="295"/>
      <c r="F883" s="294"/>
      <c r="G883" s="294"/>
      <c r="H883" s="294"/>
      <c r="I883" s="294"/>
      <c r="J883" s="294"/>
    </row>
    <row r="884" spans="1:10" x14ac:dyDescent="0.3">
      <c r="A884" s="293" t="s">
        <v>6026</v>
      </c>
      <c r="B884" s="58"/>
      <c r="C884" s="298" t="s">
        <v>4032</v>
      </c>
      <c r="D884" s="442">
        <v>3152.6999999999989</v>
      </c>
      <c r="E884" s="442">
        <v>3307.8819760863958</v>
      </c>
      <c r="F884" s="442">
        <v>3901.4414590887941</v>
      </c>
      <c r="G884" s="442">
        <v>4139.1855314899158</v>
      </c>
      <c r="H884" s="442">
        <v>4391.5146799761269</v>
      </c>
      <c r="I884" s="442">
        <v>4569.3785220319951</v>
      </c>
      <c r="J884" s="293"/>
    </row>
    <row r="885" spans="1:10" x14ac:dyDescent="0.3">
      <c r="A885" s="297" t="s">
        <v>5</v>
      </c>
      <c r="B885" s="297" t="s">
        <v>847</v>
      </c>
      <c r="C885" s="297" t="s">
        <v>193</v>
      </c>
      <c r="D885" s="297">
        <v>2022</v>
      </c>
      <c r="E885" s="297">
        <v>2025</v>
      </c>
      <c r="F885" s="297">
        <v>2030</v>
      </c>
      <c r="G885" s="297">
        <v>2035</v>
      </c>
      <c r="H885" s="297">
        <v>2040</v>
      </c>
      <c r="I885" s="297">
        <v>2045</v>
      </c>
      <c r="J885" s="297" t="s">
        <v>153</v>
      </c>
    </row>
    <row r="886" spans="1:10" hidden="1" outlineLevel="1" x14ac:dyDescent="0.3">
      <c r="A886" s="294" t="s">
        <v>6026</v>
      </c>
      <c r="B886" s="294" t="s">
        <v>855</v>
      </c>
      <c r="C886" s="294" t="s">
        <v>747</v>
      </c>
      <c r="D886" s="295">
        <v>3152.7</v>
      </c>
      <c r="E886" s="442">
        <v>3381.5602912077306</v>
      </c>
      <c r="F886" s="442">
        <v>4050.386133817783</v>
      </c>
      <c r="G886" s="442">
        <v>4284.7113781312473</v>
      </c>
      <c r="H886" s="442">
        <v>4532.5929398693934</v>
      </c>
      <c r="I886" s="442">
        <v>4716.1138166329847</v>
      </c>
      <c r="J886" s="442"/>
    </row>
    <row r="887" spans="1:10" hidden="1" outlineLevel="1" x14ac:dyDescent="0.3">
      <c r="A887" s="294" t="s">
        <v>6026</v>
      </c>
      <c r="B887" s="294" t="s">
        <v>855</v>
      </c>
      <c r="C887" s="294" t="s">
        <v>751</v>
      </c>
      <c r="D887" s="295">
        <v>3152.7</v>
      </c>
      <c r="E887" s="442">
        <v>3381.5602912077306</v>
      </c>
      <c r="F887" s="442">
        <v>4050.386133817783</v>
      </c>
      <c r="G887" s="442">
        <v>4284.7113781312473</v>
      </c>
      <c r="H887" s="442">
        <v>4532.5929398693934</v>
      </c>
      <c r="I887" s="442">
        <v>4716.1138166329847</v>
      </c>
      <c r="J887" s="442"/>
    </row>
    <row r="888" spans="1:10" hidden="1" outlineLevel="1" x14ac:dyDescent="0.3">
      <c r="A888" s="294" t="s">
        <v>6026</v>
      </c>
      <c r="B888" s="294" t="s">
        <v>855</v>
      </c>
      <c r="C888" s="294" t="s">
        <v>755</v>
      </c>
      <c r="D888" s="295">
        <v>3152.7</v>
      </c>
      <c r="E888" s="442">
        <v>3381.5602912077306</v>
      </c>
      <c r="F888" s="442">
        <v>4050.386133817783</v>
      </c>
      <c r="G888" s="442">
        <v>4284.7113781312473</v>
      </c>
      <c r="H888" s="442">
        <v>4532.5929398693934</v>
      </c>
      <c r="I888" s="442">
        <v>4716.1138166329847</v>
      </c>
      <c r="J888" s="442"/>
    </row>
    <row r="889" spans="1:10" hidden="1" outlineLevel="1" x14ac:dyDescent="0.3">
      <c r="A889" s="294" t="s">
        <v>6026</v>
      </c>
      <c r="B889" s="294" t="s">
        <v>855</v>
      </c>
      <c r="C889" s="294" t="s">
        <v>758</v>
      </c>
      <c r="D889" s="295">
        <v>3152.7</v>
      </c>
      <c r="E889" s="442">
        <v>3381.5602912077306</v>
      </c>
      <c r="F889" s="442">
        <v>4050.386133817783</v>
      </c>
      <c r="G889" s="442">
        <v>4284.7113781312473</v>
      </c>
      <c r="H889" s="442">
        <v>4532.5929398693934</v>
      </c>
      <c r="I889" s="442">
        <v>4716.1138166329847</v>
      </c>
      <c r="J889" s="442"/>
    </row>
    <row r="890" spans="1:10" hidden="1" outlineLevel="1" x14ac:dyDescent="0.3">
      <c r="A890" s="294" t="s">
        <v>6026</v>
      </c>
      <c r="B890" s="294" t="s">
        <v>855</v>
      </c>
      <c r="C890" s="294" t="s">
        <v>761</v>
      </c>
      <c r="D890" s="295">
        <v>3152.7</v>
      </c>
      <c r="E890" s="442">
        <v>3381.5602912077306</v>
      </c>
      <c r="F890" s="442">
        <v>4050.386133817783</v>
      </c>
      <c r="G890" s="442">
        <v>4284.7113781312473</v>
      </c>
      <c r="H890" s="442">
        <v>4532.5929398693934</v>
      </c>
      <c r="I890" s="442">
        <v>4716.1138166329847</v>
      </c>
      <c r="J890" s="442"/>
    </row>
    <row r="891" spans="1:10" hidden="1" outlineLevel="1" x14ac:dyDescent="0.3">
      <c r="A891" s="294" t="s">
        <v>6026</v>
      </c>
      <c r="B891" s="294" t="s">
        <v>855</v>
      </c>
      <c r="C891" s="294" t="s">
        <v>763</v>
      </c>
      <c r="D891" s="295">
        <v>3152.7</v>
      </c>
      <c r="E891" s="442">
        <v>3381.5602912077306</v>
      </c>
      <c r="F891" s="442">
        <v>4050.386133817783</v>
      </c>
      <c r="G891" s="442">
        <v>4284.7113781312473</v>
      </c>
      <c r="H891" s="442">
        <v>4532.5929398693934</v>
      </c>
      <c r="I891" s="442">
        <v>4716.1138166329847</v>
      </c>
      <c r="J891" s="442"/>
    </row>
    <row r="892" spans="1:10" hidden="1" outlineLevel="1" x14ac:dyDescent="0.3">
      <c r="A892" s="294" t="s">
        <v>6026</v>
      </c>
      <c r="B892" s="294" t="s">
        <v>855</v>
      </c>
      <c r="C892" s="294" t="s">
        <v>765</v>
      </c>
      <c r="D892" s="295">
        <v>3152.7</v>
      </c>
      <c r="E892" s="442">
        <v>3381.5602912077306</v>
      </c>
      <c r="F892" s="442">
        <v>4050.386133817783</v>
      </c>
      <c r="G892" s="442">
        <v>4284.7113781312473</v>
      </c>
      <c r="H892" s="442">
        <v>4532.5929398693934</v>
      </c>
      <c r="I892" s="442">
        <v>4716.1138166329847</v>
      </c>
      <c r="J892" s="442"/>
    </row>
    <row r="893" spans="1:10" hidden="1" outlineLevel="1" x14ac:dyDescent="0.3">
      <c r="A893" s="294" t="s">
        <v>6026</v>
      </c>
      <c r="B893" s="294" t="s">
        <v>855</v>
      </c>
      <c r="C893" s="294" t="s">
        <v>768</v>
      </c>
      <c r="D893" s="295">
        <v>3152.7</v>
      </c>
      <c r="E893" s="442">
        <v>3381.5602912077306</v>
      </c>
      <c r="F893" s="442">
        <v>4050.386133817783</v>
      </c>
      <c r="G893" s="442">
        <v>4284.7113781312473</v>
      </c>
      <c r="H893" s="442">
        <v>4532.5929398693934</v>
      </c>
      <c r="I893" s="442">
        <v>4716.1138166329847</v>
      </c>
      <c r="J893" s="442"/>
    </row>
    <row r="894" spans="1:10" hidden="1" outlineLevel="1" x14ac:dyDescent="0.3">
      <c r="A894" s="294" t="s">
        <v>6026</v>
      </c>
      <c r="B894" s="294" t="s">
        <v>855</v>
      </c>
      <c r="C894" s="294" t="s">
        <v>771</v>
      </c>
      <c r="D894" s="295">
        <v>3152.7</v>
      </c>
      <c r="E894" s="442">
        <v>3381.5602912077306</v>
      </c>
      <c r="F894" s="442">
        <v>4050.386133817783</v>
      </c>
      <c r="G894" s="442">
        <v>4284.7113781312473</v>
      </c>
      <c r="H894" s="442">
        <v>4532.5929398693934</v>
      </c>
      <c r="I894" s="442">
        <v>4716.1138166329847</v>
      </c>
      <c r="J894" s="442"/>
    </row>
    <row r="895" spans="1:10" hidden="1" outlineLevel="1" x14ac:dyDescent="0.3">
      <c r="A895" s="294" t="s">
        <v>6026</v>
      </c>
      <c r="B895" s="294" t="s">
        <v>855</v>
      </c>
      <c r="C895" s="294" t="s">
        <v>772</v>
      </c>
      <c r="D895" s="295">
        <v>3152.7</v>
      </c>
      <c r="E895" s="442">
        <v>3381.5602912077306</v>
      </c>
      <c r="F895" s="442">
        <v>4050.386133817783</v>
      </c>
      <c r="G895" s="442">
        <v>4284.7113781312473</v>
      </c>
      <c r="H895" s="442">
        <v>4532.5929398693934</v>
      </c>
      <c r="I895" s="442">
        <v>4716.1138166329847</v>
      </c>
      <c r="J895" s="442"/>
    </row>
    <row r="896" spans="1:10" hidden="1" outlineLevel="1" x14ac:dyDescent="0.3">
      <c r="A896" s="294" t="s">
        <v>6026</v>
      </c>
      <c r="B896" s="294" t="s">
        <v>855</v>
      </c>
      <c r="C896" s="294" t="s">
        <v>774</v>
      </c>
      <c r="D896" s="295">
        <v>3152.7</v>
      </c>
      <c r="E896" s="442">
        <v>3381.5602912077306</v>
      </c>
      <c r="F896" s="442">
        <v>4050.386133817783</v>
      </c>
      <c r="G896" s="442">
        <v>4284.7113781312473</v>
      </c>
      <c r="H896" s="442">
        <v>4532.5929398693934</v>
      </c>
      <c r="I896" s="442">
        <v>4716.1138166329847</v>
      </c>
      <c r="J896" s="442"/>
    </row>
    <row r="897" spans="1:10" hidden="1" outlineLevel="1" x14ac:dyDescent="0.3">
      <c r="A897" s="294" t="s">
        <v>6026</v>
      </c>
      <c r="B897" s="294" t="s">
        <v>855</v>
      </c>
      <c r="C897" s="294" t="s">
        <v>775</v>
      </c>
      <c r="D897" s="295">
        <v>3152.7</v>
      </c>
      <c r="E897" s="442">
        <v>3381.5602912077306</v>
      </c>
      <c r="F897" s="442">
        <v>4050.386133817783</v>
      </c>
      <c r="G897" s="442">
        <v>4284.7113781312473</v>
      </c>
      <c r="H897" s="442">
        <v>4532.5929398693934</v>
      </c>
      <c r="I897" s="442">
        <v>4716.1138166329847</v>
      </c>
      <c r="J897" s="442"/>
    </row>
    <row r="898" spans="1:10" hidden="1" outlineLevel="1" x14ac:dyDescent="0.3">
      <c r="A898" s="294" t="s">
        <v>6026</v>
      </c>
      <c r="B898" s="294" t="s">
        <v>855</v>
      </c>
      <c r="C898" s="294" t="s">
        <v>779</v>
      </c>
      <c r="D898" s="295">
        <v>3152.7</v>
      </c>
      <c r="E898" s="442">
        <v>3381.5602912077306</v>
      </c>
      <c r="F898" s="442">
        <v>4050.386133817783</v>
      </c>
      <c r="G898" s="442">
        <v>4284.7113781312473</v>
      </c>
      <c r="H898" s="442">
        <v>4532.5929398693934</v>
      </c>
      <c r="I898" s="442">
        <v>4716.1138166329847</v>
      </c>
      <c r="J898" s="442"/>
    </row>
    <row r="899" spans="1:10" hidden="1" outlineLevel="1" x14ac:dyDescent="0.3">
      <c r="A899" s="294" t="s">
        <v>6026</v>
      </c>
      <c r="B899" s="294" t="s">
        <v>894</v>
      </c>
      <c r="C899" s="294" t="s">
        <v>781</v>
      </c>
      <c r="D899" s="295">
        <v>3152.7</v>
      </c>
      <c r="E899" s="442">
        <v>3381.5602912077306</v>
      </c>
      <c r="F899" s="442">
        <v>4050.386133817783</v>
      </c>
      <c r="G899" s="442">
        <v>4284.7113781312473</v>
      </c>
      <c r="H899" s="442">
        <v>4532.5929398693934</v>
      </c>
      <c r="I899" s="442">
        <v>4716.1138166329847</v>
      </c>
      <c r="J899" s="442"/>
    </row>
    <row r="900" spans="1:10" hidden="1" outlineLevel="1" x14ac:dyDescent="0.3">
      <c r="A900" s="294" t="s">
        <v>6026</v>
      </c>
      <c r="B900" s="294" t="s">
        <v>894</v>
      </c>
      <c r="C900" s="294" t="s">
        <v>783</v>
      </c>
      <c r="D900" s="295">
        <v>3152.7</v>
      </c>
      <c r="E900" s="442">
        <v>3381.5602912077306</v>
      </c>
      <c r="F900" s="442">
        <v>4050.386133817783</v>
      </c>
      <c r="G900" s="442">
        <v>4284.7113781312473</v>
      </c>
      <c r="H900" s="442">
        <v>4532.5929398693934</v>
      </c>
      <c r="I900" s="442">
        <v>4716.1138166329847</v>
      </c>
      <c r="J900" s="442"/>
    </row>
    <row r="901" spans="1:10" hidden="1" outlineLevel="1" x14ac:dyDescent="0.3">
      <c r="A901" s="294" t="s">
        <v>6026</v>
      </c>
      <c r="B901" s="294" t="s">
        <v>894</v>
      </c>
      <c r="C901" s="294" t="s">
        <v>785</v>
      </c>
      <c r="D901" s="295">
        <v>3152.7</v>
      </c>
      <c r="E901" s="442">
        <v>3381.5602912077306</v>
      </c>
      <c r="F901" s="442">
        <v>4050.386133817783</v>
      </c>
      <c r="G901" s="442">
        <v>4284.7113781312473</v>
      </c>
      <c r="H901" s="442">
        <v>4532.5929398693934</v>
      </c>
      <c r="I901" s="442">
        <v>4716.1138166329847</v>
      </c>
      <c r="J901" s="442"/>
    </row>
    <row r="902" spans="1:10" hidden="1" outlineLevel="1" x14ac:dyDescent="0.3">
      <c r="A902" s="294" t="s">
        <v>6026</v>
      </c>
      <c r="B902" s="294" t="s">
        <v>894</v>
      </c>
      <c r="C902" s="294" t="s">
        <v>787</v>
      </c>
      <c r="D902" s="295">
        <v>3152.7</v>
      </c>
      <c r="E902" s="442">
        <v>3381.5602912077306</v>
      </c>
      <c r="F902" s="442">
        <v>4050.386133817783</v>
      </c>
      <c r="G902" s="442">
        <v>4284.7113781312473</v>
      </c>
      <c r="H902" s="442">
        <v>4532.5929398693934</v>
      </c>
      <c r="I902" s="442">
        <v>4716.1138166329847</v>
      </c>
      <c r="J902" s="442"/>
    </row>
    <row r="903" spans="1:10" hidden="1" outlineLevel="1" x14ac:dyDescent="0.3">
      <c r="A903" s="294" t="s">
        <v>6026</v>
      </c>
      <c r="B903" s="294" t="s">
        <v>894</v>
      </c>
      <c r="C903" s="294" t="s">
        <v>788</v>
      </c>
      <c r="D903" s="295">
        <v>3152.7</v>
      </c>
      <c r="E903" s="442">
        <v>3381.5602912077306</v>
      </c>
      <c r="F903" s="442">
        <v>4050.386133817783</v>
      </c>
      <c r="G903" s="442">
        <v>4284.7113781312473</v>
      </c>
      <c r="H903" s="442">
        <v>4532.5929398693934</v>
      </c>
      <c r="I903" s="442">
        <v>4716.1138166329847</v>
      </c>
      <c r="J903" s="442"/>
    </row>
    <row r="904" spans="1:10" hidden="1" outlineLevel="1" x14ac:dyDescent="0.3">
      <c r="A904" s="294" t="s">
        <v>6026</v>
      </c>
      <c r="B904" s="294" t="s">
        <v>894</v>
      </c>
      <c r="C904" s="294" t="s">
        <v>789</v>
      </c>
      <c r="D904" s="295">
        <v>3152.7</v>
      </c>
      <c r="E904" s="442">
        <v>3381.5602912077306</v>
      </c>
      <c r="F904" s="442">
        <v>4050.386133817783</v>
      </c>
      <c r="G904" s="442">
        <v>4284.7113781312473</v>
      </c>
      <c r="H904" s="442">
        <v>4532.5929398693934</v>
      </c>
      <c r="I904" s="442">
        <v>4716.1138166329847</v>
      </c>
      <c r="J904" s="442"/>
    </row>
    <row r="905" spans="1:10" hidden="1" outlineLevel="1" x14ac:dyDescent="0.3">
      <c r="A905" s="294" t="s">
        <v>6026</v>
      </c>
      <c r="B905" s="294" t="s">
        <v>894</v>
      </c>
      <c r="C905" s="294" t="s">
        <v>790</v>
      </c>
      <c r="D905" s="295">
        <v>3152.7</v>
      </c>
      <c r="E905" s="442">
        <v>3381.5602912077306</v>
      </c>
      <c r="F905" s="442">
        <v>4050.386133817783</v>
      </c>
      <c r="G905" s="442">
        <v>4284.7113781312473</v>
      </c>
      <c r="H905" s="442">
        <v>4532.5929398693934</v>
      </c>
      <c r="I905" s="442">
        <v>4716.1138166329847</v>
      </c>
      <c r="J905" s="442"/>
    </row>
    <row r="906" spans="1:10" hidden="1" outlineLevel="1" x14ac:dyDescent="0.3">
      <c r="A906" s="294" t="s">
        <v>6026</v>
      </c>
      <c r="B906" s="294" t="s">
        <v>894</v>
      </c>
      <c r="C906" s="294" t="s">
        <v>793</v>
      </c>
      <c r="D906" s="295">
        <v>3152.7</v>
      </c>
      <c r="E906" s="442">
        <v>3381.5602912077306</v>
      </c>
      <c r="F906" s="442">
        <v>4050.386133817783</v>
      </c>
      <c r="G906" s="442">
        <v>4284.7113781312473</v>
      </c>
      <c r="H906" s="442">
        <v>4532.5929398693934</v>
      </c>
      <c r="I906" s="442">
        <v>4716.1138166329847</v>
      </c>
      <c r="J906" s="442"/>
    </row>
    <row r="907" spans="1:10" hidden="1" outlineLevel="1" x14ac:dyDescent="0.3">
      <c r="A907" s="294" t="s">
        <v>6026</v>
      </c>
      <c r="B907" s="294" t="s">
        <v>894</v>
      </c>
      <c r="C907" s="294" t="s">
        <v>795</v>
      </c>
      <c r="D907" s="295">
        <v>3152.7</v>
      </c>
      <c r="E907" s="442">
        <v>3381.5602912077306</v>
      </c>
      <c r="F907" s="442">
        <v>4050.386133817783</v>
      </c>
      <c r="G907" s="442">
        <v>4284.7113781312473</v>
      </c>
      <c r="H907" s="442">
        <v>4532.5929398693934</v>
      </c>
      <c r="I907" s="442">
        <v>4716.1138166329847</v>
      </c>
      <c r="J907" s="442"/>
    </row>
    <row r="908" spans="1:10" hidden="1" outlineLevel="1" x14ac:dyDescent="0.3">
      <c r="A908" s="294" t="s">
        <v>6026</v>
      </c>
      <c r="B908" s="294" t="s">
        <v>894</v>
      </c>
      <c r="C908" s="294" t="s">
        <v>797</v>
      </c>
      <c r="D908" s="295">
        <v>3152.7</v>
      </c>
      <c r="E908" s="442">
        <v>3381.5602912077306</v>
      </c>
      <c r="F908" s="442">
        <v>4050.386133817783</v>
      </c>
      <c r="G908" s="442">
        <v>4284.7113781312473</v>
      </c>
      <c r="H908" s="442">
        <v>4532.5929398693934</v>
      </c>
      <c r="I908" s="442">
        <v>4716.1138166329847</v>
      </c>
      <c r="J908" s="442"/>
    </row>
    <row r="909" spans="1:10" hidden="1" outlineLevel="1" x14ac:dyDescent="0.3">
      <c r="A909" s="294" t="s">
        <v>6026</v>
      </c>
      <c r="B909" s="294" t="s">
        <v>915</v>
      </c>
      <c r="C909" s="294" t="s">
        <v>799</v>
      </c>
      <c r="D909" s="295">
        <v>3152.7</v>
      </c>
      <c r="E909" s="442">
        <v>3381.5602912077306</v>
      </c>
      <c r="F909" s="442">
        <v>4050.386133817783</v>
      </c>
      <c r="G909" s="442">
        <v>4284.7113781312473</v>
      </c>
      <c r="H909" s="442">
        <v>4532.5929398693934</v>
      </c>
      <c r="I909" s="442">
        <v>4716.1138166329847</v>
      </c>
      <c r="J909" s="442"/>
    </row>
    <row r="910" spans="1:10" hidden="1" outlineLevel="1" x14ac:dyDescent="0.3">
      <c r="A910" s="294" t="s">
        <v>6026</v>
      </c>
      <c r="B910" s="294" t="s">
        <v>915</v>
      </c>
      <c r="C910" s="294" t="s">
        <v>801</v>
      </c>
      <c r="D910" s="295">
        <v>3152.7</v>
      </c>
      <c r="E910" s="442">
        <v>3381.5602912077306</v>
      </c>
      <c r="F910" s="442">
        <v>4050.386133817783</v>
      </c>
      <c r="G910" s="442">
        <v>4284.7113781312473</v>
      </c>
      <c r="H910" s="442">
        <v>4532.5929398693934</v>
      </c>
      <c r="I910" s="442">
        <v>4716.1138166329847</v>
      </c>
      <c r="J910" s="442"/>
    </row>
    <row r="911" spans="1:10" hidden="1" outlineLevel="1" x14ac:dyDescent="0.3">
      <c r="A911" s="294" t="s">
        <v>6026</v>
      </c>
      <c r="B911" s="294" t="s">
        <v>915</v>
      </c>
      <c r="C911" s="294" t="s">
        <v>804</v>
      </c>
      <c r="D911" s="295">
        <v>3152.7</v>
      </c>
      <c r="E911" s="442">
        <v>3381.5602912077306</v>
      </c>
      <c r="F911" s="442">
        <v>4050.386133817783</v>
      </c>
      <c r="G911" s="442">
        <v>4284.7113781312473</v>
      </c>
      <c r="H911" s="442">
        <v>4532.5929398693934</v>
      </c>
      <c r="I911" s="442">
        <v>4716.1138166329847</v>
      </c>
      <c r="J911" s="442"/>
    </row>
    <row r="912" spans="1:10" hidden="1" outlineLevel="1" x14ac:dyDescent="0.3">
      <c r="A912" s="294" t="s">
        <v>6026</v>
      </c>
      <c r="B912" s="294" t="s">
        <v>915</v>
      </c>
      <c r="C912" s="294" t="s">
        <v>806</v>
      </c>
      <c r="D912" s="295">
        <v>3152.7</v>
      </c>
      <c r="E912" s="442">
        <v>3381.5602912077306</v>
      </c>
      <c r="F912" s="442">
        <v>4050.386133817783</v>
      </c>
      <c r="G912" s="442">
        <v>4284.7113781312473</v>
      </c>
      <c r="H912" s="442">
        <v>4532.5929398693934</v>
      </c>
      <c r="I912" s="442">
        <v>4716.1138166329847</v>
      </c>
      <c r="J912" s="442"/>
    </row>
    <row r="913" spans="1:10" hidden="1" outlineLevel="1" x14ac:dyDescent="0.3">
      <c r="A913" s="294" t="s">
        <v>6026</v>
      </c>
      <c r="B913" s="294" t="s">
        <v>915</v>
      </c>
      <c r="C913" s="294" t="s">
        <v>808</v>
      </c>
      <c r="D913" s="295">
        <v>3152.7</v>
      </c>
      <c r="E913" s="442">
        <v>3381.5602912077306</v>
      </c>
      <c r="F913" s="442">
        <v>4050.386133817783</v>
      </c>
      <c r="G913" s="442">
        <v>4284.7113781312473</v>
      </c>
      <c r="H913" s="442">
        <v>4532.5929398693934</v>
      </c>
      <c r="I913" s="442">
        <v>4716.1138166329847</v>
      </c>
      <c r="J913" s="442"/>
    </row>
    <row r="914" spans="1:10" hidden="1" outlineLevel="1" x14ac:dyDescent="0.3">
      <c r="A914" s="294" t="s">
        <v>6026</v>
      </c>
      <c r="B914" s="294" t="s">
        <v>915</v>
      </c>
      <c r="C914" s="294" t="s">
        <v>811</v>
      </c>
      <c r="D914" s="295">
        <v>3152.7</v>
      </c>
      <c r="E914" s="442">
        <v>3381.5602912077306</v>
      </c>
      <c r="F914" s="442">
        <v>4050.386133817783</v>
      </c>
      <c r="G914" s="442">
        <v>4284.7113781312473</v>
      </c>
      <c r="H914" s="442">
        <v>4532.5929398693934</v>
      </c>
      <c r="I914" s="442">
        <v>4716.1138166329847</v>
      </c>
      <c r="J914" s="442"/>
    </row>
    <row r="915" spans="1:10" hidden="1" outlineLevel="1" x14ac:dyDescent="0.3">
      <c r="A915" s="294" t="s">
        <v>6026</v>
      </c>
      <c r="B915" s="294" t="s">
        <v>934</v>
      </c>
      <c r="C915" s="294" t="s">
        <v>814</v>
      </c>
      <c r="D915" s="295">
        <v>3152.7</v>
      </c>
      <c r="E915" s="442">
        <v>3381.5602912077306</v>
      </c>
      <c r="F915" s="442">
        <v>4050.386133817783</v>
      </c>
      <c r="G915" s="442">
        <v>4284.7113781312473</v>
      </c>
      <c r="H915" s="442">
        <v>4532.5929398693934</v>
      </c>
      <c r="I915" s="442">
        <v>4716.1138166329847</v>
      </c>
      <c r="J915" s="442"/>
    </row>
    <row r="916" spans="1:10" hidden="1" outlineLevel="1" x14ac:dyDescent="0.3">
      <c r="A916" s="294" t="s">
        <v>6026</v>
      </c>
      <c r="B916" s="294" t="s">
        <v>934</v>
      </c>
      <c r="C916" s="294" t="s">
        <v>815</v>
      </c>
      <c r="D916" s="295">
        <v>3152.7</v>
      </c>
      <c r="E916" s="442">
        <v>3137.8550950371614</v>
      </c>
      <c r="F916" s="442">
        <v>3557.7229789449702</v>
      </c>
      <c r="G916" s="442">
        <v>3803.3566546252955</v>
      </c>
      <c r="H916" s="442">
        <v>4065.9494648378209</v>
      </c>
      <c r="I916" s="442">
        <v>4230.7586114143087</v>
      </c>
      <c r="J916" s="442"/>
    </row>
    <row r="917" spans="1:10" hidden="1" outlineLevel="1" x14ac:dyDescent="0.3">
      <c r="A917" s="294" t="s">
        <v>6026</v>
      </c>
      <c r="B917" s="294" t="s">
        <v>940</v>
      </c>
      <c r="C917" s="294" t="s">
        <v>817</v>
      </c>
      <c r="D917" s="295">
        <v>3152.7</v>
      </c>
      <c r="E917" s="442">
        <v>3137.8550950371614</v>
      </c>
      <c r="F917" s="442">
        <v>3557.7229789449702</v>
      </c>
      <c r="G917" s="442">
        <v>3803.3566546252955</v>
      </c>
      <c r="H917" s="442">
        <v>4065.9494648378209</v>
      </c>
      <c r="I917" s="442">
        <v>4230.7586114143087</v>
      </c>
      <c r="J917" s="442"/>
    </row>
    <row r="918" spans="1:10" hidden="1" outlineLevel="1" x14ac:dyDescent="0.3">
      <c r="A918" s="294" t="s">
        <v>6026</v>
      </c>
      <c r="B918" s="294" t="s">
        <v>940</v>
      </c>
      <c r="C918" s="294" t="s">
        <v>944</v>
      </c>
      <c r="D918" s="295">
        <v>3152.7</v>
      </c>
      <c r="E918" s="442">
        <v>3137.8550950371614</v>
      </c>
      <c r="F918" s="442">
        <v>3557.7229789449702</v>
      </c>
      <c r="G918" s="442">
        <v>3803.3566546252955</v>
      </c>
      <c r="H918" s="442">
        <v>4065.9494648378209</v>
      </c>
      <c r="I918" s="442">
        <v>4230.7586114143087</v>
      </c>
      <c r="J918" s="442"/>
    </row>
    <row r="919" spans="1:10" hidden="1" outlineLevel="1" x14ac:dyDescent="0.3">
      <c r="A919" s="294" t="s">
        <v>6026</v>
      </c>
      <c r="B919" s="294" t="s">
        <v>940</v>
      </c>
      <c r="C919" s="294" t="s">
        <v>821</v>
      </c>
      <c r="D919" s="295">
        <v>3152.7</v>
      </c>
      <c r="E919" s="442">
        <v>3137.8550950371614</v>
      </c>
      <c r="F919" s="442">
        <v>3557.7229789449702</v>
      </c>
      <c r="G919" s="442">
        <v>3803.3566546252955</v>
      </c>
      <c r="H919" s="442">
        <v>4065.9494648378209</v>
      </c>
      <c r="I919" s="442">
        <v>4230.7586114143087</v>
      </c>
      <c r="J919" s="442"/>
    </row>
    <row r="920" spans="1:10" hidden="1" outlineLevel="1" x14ac:dyDescent="0.3">
      <c r="A920" s="294" t="s">
        <v>6026</v>
      </c>
      <c r="B920" s="294" t="s">
        <v>940</v>
      </c>
      <c r="C920" s="294" t="s">
        <v>823</v>
      </c>
      <c r="D920" s="295">
        <v>3152.7</v>
      </c>
      <c r="E920" s="442">
        <v>3137.8550950371614</v>
      </c>
      <c r="F920" s="442">
        <v>3557.7229789449702</v>
      </c>
      <c r="G920" s="442">
        <v>3803.3566546252955</v>
      </c>
      <c r="H920" s="442">
        <v>4065.9494648378209</v>
      </c>
      <c r="I920" s="442">
        <v>4230.7586114143087</v>
      </c>
      <c r="J920" s="442"/>
    </row>
    <row r="921" spans="1:10" hidden="1" outlineLevel="1" x14ac:dyDescent="0.3">
      <c r="A921" s="294" t="s">
        <v>6026</v>
      </c>
      <c r="B921" s="294" t="s">
        <v>940</v>
      </c>
      <c r="C921" s="294" t="s">
        <v>825</v>
      </c>
      <c r="D921" s="295">
        <v>3152.7</v>
      </c>
      <c r="E921" s="442">
        <v>3137.8550950371614</v>
      </c>
      <c r="F921" s="442">
        <v>3557.7229789449702</v>
      </c>
      <c r="G921" s="442">
        <v>3803.3566546252955</v>
      </c>
      <c r="H921" s="442">
        <v>4065.9494648378209</v>
      </c>
      <c r="I921" s="442">
        <v>4230.7586114143087</v>
      </c>
      <c r="J921" s="442"/>
    </row>
    <row r="922" spans="1:10" hidden="1" outlineLevel="1" x14ac:dyDescent="0.3">
      <c r="A922" s="294" t="s">
        <v>6026</v>
      </c>
      <c r="B922" s="294" t="s">
        <v>940</v>
      </c>
      <c r="C922" s="294" t="s">
        <v>827</v>
      </c>
      <c r="D922" s="295">
        <v>3152.7</v>
      </c>
      <c r="E922" s="442">
        <v>3137.8550950371614</v>
      </c>
      <c r="F922" s="442">
        <v>3557.7229789449702</v>
      </c>
      <c r="G922" s="442">
        <v>3803.3566546252955</v>
      </c>
      <c r="H922" s="442">
        <v>4065.9494648378209</v>
      </c>
      <c r="I922" s="442">
        <v>4230.7586114143087</v>
      </c>
      <c r="J922" s="442"/>
    </row>
    <row r="923" spans="1:10" hidden="1" outlineLevel="1" x14ac:dyDescent="0.3">
      <c r="A923" s="294" t="s">
        <v>6026</v>
      </c>
      <c r="B923" s="294" t="s">
        <v>940</v>
      </c>
      <c r="C923" s="294" t="s">
        <v>829</v>
      </c>
      <c r="D923" s="295">
        <v>3152.7</v>
      </c>
      <c r="E923" s="442">
        <v>3137.8550950371614</v>
      </c>
      <c r="F923" s="442">
        <v>3557.7229789449702</v>
      </c>
      <c r="G923" s="442">
        <v>3803.3566546252955</v>
      </c>
      <c r="H923" s="442">
        <v>4065.9494648378209</v>
      </c>
      <c r="I923" s="442">
        <v>4230.7586114143087</v>
      </c>
      <c r="J923" s="442"/>
    </row>
    <row r="924" spans="1:10" hidden="1" outlineLevel="1" x14ac:dyDescent="0.3">
      <c r="A924" s="294" t="s">
        <v>6026</v>
      </c>
      <c r="B924" s="294" t="s">
        <v>940</v>
      </c>
      <c r="C924" s="294" t="s">
        <v>833</v>
      </c>
      <c r="D924" s="295">
        <v>3152.7</v>
      </c>
      <c r="E924" s="442">
        <v>3137.8550950371614</v>
      </c>
      <c r="F924" s="442">
        <v>3557.7229789449702</v>
      </c>
      <c r="G924" s="442">
        <v>3803.3566546252955</v>
      </c>
      <c r="H924" s="442">
        <v>4065.9494648378209</v>
      </c>
      <c r="I924" s="442">
        <v>4230.7586114143087</v>
      </c>
      <c r="J924" s="442"/>
    </row>
    <row r="925" spans="1:10" hidden="1" outlineLevel="1" x14ac:dyDescent="0.3">
      <c r="A925" s="294" t="s">
        <v>6026</v>
      </c>
      <c r="B925" s="294" t="s">
        <v>940</v>
      </c>
      <c r="C925" s="294" t="s">
        <v>836</v>
      </c>
      <c r="D925" s="295">
        <v>3152.7</v>
      </c>
      <c r="E925" s="442">
        <v>3137.8550950371614</v>
      </c>
      <c r="F925" s="442">
        <v>3557.7229789449702</v>
      </c>
      <c r="G925" s="442">
        <v>3803.3566546252955</v>
      </c>
      <c r="H925" s="442">
        <v>4065.9494648378209</v>
      </c>
      <c r="I925" s="442">
        <v>4230.7586114143087</v>
      </c>
      <c r="J925" s="442"/>
    </row>
    <row r="926" spans="1:10" hidden="1" outlineLevel="1" x14ac:dyDescent="0.3">
      <c r="A926" s="294" t="s">
        <v>6026</v>
      </c>
      <c r="B926" s="294" t="s">
        <v>940</v>
      </c>
      <c r="C926" s="294" t="s">
        <v>837</v>
      </c>
      <c r="D926" s="295">
        <v>3152.7</v>
      </c>
      <c r="E926" s="442">
        <v>3137.8550950371614</v>
      </c>
      <c r="F926" s="442">
        <v>3557.7229789449702</v>
      </c>
      <c r="G926" s="442">
        <v>3803.3566546252955</v>
      </c>
      <c r="H926" s="442">
        <v>4065.9494648378209</v>
      </c>
      <c r="I926" s="442">
        <v>4230.7586114143087</v>
      </c>
      <c r="J926" s="442"/>
    </row>
    <row r="927" spans="1:10" hidden="1" outlineLevel="1" x14ac:dyDescent="0.3">
      <c r="A927" s="294" t="s">
        <v>6026</v>
      </c>
      <c r="B927" s="294" t="s">
        <v>940</v>
      </c>
      <c r="C927" s="294" t="s">
        <v>839</v>
      </c>
      <c r="D927" s="295">
        <v>3152.7</v>
      </c>
      <c r="E927" s="442">
        <v>3137.8550950371614</v>
      </c>
      <c r="F927" s="442">
        <v>3557.7229789449702</v>
      </c>
      <c r="G927" s="442">
        <v>3803.3566546252955</v>
      </c>
      <c r="H927" s="442">
        <v>4065.9494648378209</v>
      </c>
      <c r="I927" s="442">
        <v>4230.7586114143087</v>
      </c>
      <c r="J927" s="442"/>
    </row>
    <row r="928" spans="1:10" hidden="1" outlineLevel="1" x14ac:dyDescent="0.3">
      <c r="A928" s="294" t="s">
        <v>6026</v>
      </c>
      <c r="B928" s="294" t="s">
        <v>940</v>
      </c>
      <c r="C928" s="294" t="s">
        <v>840</v>
      </c>
      <c r="D928" s="295">
        <v>3152.7</v>
      </c>
      <c r="E928" s="442">
        <v>3137.8550950371614</v>
      </c>
      <c r="F928" s="442">
        <v>3557.7229789449702</v>
      </c>
      <c r="G928" s="442">
        <v>3803.3566546252955</v>
      </c>
      <c r="H928" s="442">
        <v>4065.9494648378209</v>
      </c>
      <c r="I928" s="442">
        <v>4230.7586114143087</v>
      </c>
      <c r="J928" s="442"/>
    </row>
    <row r="929" spans="1:10" collapsed="1" x14ac:dyDescent="0.3">
      <c r="A929" s="294"/>
      <c r="B929" s="294"/>
      <c r="C929" s="293"/>
      <c r="D929" s="295"/>
      <c r="E929" s="295"/>
      <c r="F929" s="294"/>
      <c r="G929" s="294"/>
      <c r="H929" s="294"/>
      <c r="I929" s="294"/>
      <c r="J929" s="294"/>
    </row>
    <row r="930" spans="1:10" x14ac:dyDescent="0.3">
      <c r="A930" s="293" t="s">
        <v>6027</v>
      </c>
      <c r="B930" s="58"/>
      <c r="C930" s="298" t="s">
        <v>4032</v>
      </c>
      <c r="D930" s="442">
        <v>2255.6000000000013</v>
      </c>
      <c r="E930" s="442">
        <v>2366.6249834302257</v>
      </c>
      <c r="F930" s="442">
        <v>2791.2872633364068</v>
      </c>
      <c r="G930" s="442">
        <v>2961.3813191323752</v>
      </c>
      <c r="H930" s="442">
        <v>3141.9102712450131</v>
      </c>
      <c r="I930" s="442">
        <v>3269.163001330719</v>
      </c>
      <c r="J930" s="293"/>
    </row>
    <row r="931" spans="1:10" x14ac:dyDescent="0.3">
      <c r="A931" s="297" t="s">
        <v>5</v>
      </c>
      <c r="B931" s="297" t="s">
        <v>847</v>
      </c>
      <c r="C931" s="297" t="s">
        <v>193</v>
      </c>
      <c r="D931" s="297">
        <v>2022</v>
      </c>
      <c r="E931" s="297">
        <v>2025</v>
      </c>
      <c r="F931" s="297">
        <v>2030</v>
      </c>
      <c r="G931" s="297">
        <v>2035</v>
      </c>
      <c r="H931" s="297">
        <v>2040</v>
      </c>
      <c r="I931" s="297">
        <v>2045</v>
      </c>
      <c r="J931" s="297" t="s">
        <v>153</v>
      </c>
    </row>
    <row r="932" spans="1:10" hidden="1" outlineLevel="1" x14ac:dyDescent="0.3">
      <c r="A932" s="294" t="s">
        <v>6027</v>
      </c>
      <c r="B932" s="294" t="s">
        <v>855</v>
      </c>
      <c r="C932" s="294" t="s">
        <v>747</v>
      </c>
      <c r="D932" s="295">
        <v>2255.6</v>
      </c>
      <c r="E932" s="442">
        <v>2419.3381523291646</v>
      </c>
      <c r="F932" s="442">
        <v>2897.8497679574307</v>
      </c>
      <c r="G932" s="442">
        <v>3065.497822346827</v>
      </c>
      <c r="H932" s="442">
        <v>3242.8447474131394</v>
      </c>
      <c r="I932" s="442">
        <v>3374.1448043890514</v>
      </c>
      <c r="J932" s="294"/>
    </row>
    <row r="933" spans="1:10" hidden="1" outlineLevel="1" x14ac:dyDescent="0.3">
      <c r="A933" s="294" t="s">
        <v>6027</v>
      </c>
      <c r="B933" s="294" t="s">
        <v>855</v>
      </c>
      <c r="C933" s="294" t="s">
        <v>751</v>
      </c>
      <c r="D933" s="295">
        <v>2255.6</v>
      </c>
      <c r="E933" s="442">
        <v>2419.3381523291646</v>
      </c>
      <c r="F933" s="442">
        <v>2897.8497679574307</v>
      </c>
      <c r="G933" s="442">
        <v>3065.497822346827</v>
      </c>
      <c r="H933" s="442">
        <v>3242.8447474131394</v>
      </c>
      <c r="I933" s="442">
        <v>3374.1448043890514</v>
      </c>
      <c r="J933" s="294"/>
    </row>
    <row r="934" spans="1:10" hidden="1" outlineLevel="1" x14ac:dyDescent="0.3">
      <c r="A934" s="294" t="s">
        <v>6027</v>
      </c>
      <c r="B934" s="294" t="s">
        <v>855</v>
      </c>
      <c r="C934" s="294" t="s">
        <v>755</v>
      </c>
      <c r="D934" s="295">
        <v>2255.6</v>
      </c>
      <c r="E934" s="442">
        <v>2419.3381523291646</v>
      </c>
      <c r="F934" s="442">
        <v>2897.8497679574307</v>
      </c>
      <c r="G934" s="442">
        <v>3065.497822346827</v>
      </c>
      <c r="H934" s="442">
        <v>3242.8447474131394</v>
      </c>
      <c r="I934" s="442">
        <v>3374.1448043890514</v>
      </c>
      <c r="J934" s="294"/>
    </row>
    <row r="935" spans="1:10" hidden="1" outlineLevel="1" x14ac:dyDescent="0.3">
      <c r="A935" s="294" t="s">
        <v>6027</v>
      </c>
      <c r="B935" s="294" t="s">
        <v>855</v>
      </c>
      <c r="C935" s="294" t="s">
        <v>758</v>
      </c>
      <c r="D935" s="295">
        <v>2255.6</v>
      </c>
      <c r="E935" s="442">
        <v>2419.3381523291646</v>
      </c>
      <c r="F935" s="442">
        <v>2897.8497679574307</v>
      </c>
      <c r="G935" s="442">
        <v>3065.497822346827</v>
      </c>
      <c r="H935" s="442">
        <v>3242.8447474131394</v>
      </c>
      <c r="I935" s="442">
        <v>3374.1448043890514</v>
      </c>
      <c r="J935" s="294"/>
    </row>
    <row r="936" spans="1:10" hidden="1" outlineLevel="1" x14ac:dyDescent="0.3">
      <c r="A936" s="294" t="s">
        <v>6027</v>
      </c>
      <c r="B936" s="294" t="s">
        <v>855</v>
      </c>
      <c r="C936" s="294" t="s">
        <v>761</v>
      </c>
      <c r="D936" s="295">
        <v>2255.6</v>
      </c>
      <c r="E936" s="442">
        <v>2419.3381523291646</v>
      </c>
      <c r="F936" s="442">
        <v>2897.8497679574307</v>
      </c>
      <c r="G936" s="442">
        <v>3065.497822346827</v>
      </c>
      <c r="H936" s="442">
        <v>3242.8447474131394</v>
      </c>
      <c r="I936" s="442">
        <v>3374.1448043890514</v>
      </c>
      <c r="J936" s="294"/>
    </row>
    <row r="937" spans="1:10" hidden="1" outlineLevel="1" x14ac:dyDescent="0.3">
      <c r="A937" s="294" t="s">
        <v>6027</v>
      </c>
      <c r="B937" s="294" t="s">
        <v>855</v>
      </c>
      <c r="C937" s="294" t="s">
        <v>763</v>
      </c>
      <c r="D937" s="295">
        <v>2255.6</v>
      </c>
      <c r="E937" s="442">
        <v>2419.3381523291646</v>
      </c>
      <c r="F937" s="442">
        <v>2897.8497679574307</v>
      </c>
      <c r="G937" s="442">
        <v>3065.497822346827</v>
      </c>
      <c r="H937" s="442">
        <v>3242.8447474131394</v>
      </c>
      <c r="I937" s="442">
        <v>3374.1448043890514</v>
      </c>
      <c r="J937" s="294"/>
    </row>
    <row r="938" spans="1:10" hidden="1" outlineLevel="1" x14ac:dyDescent="0.3">
      <c r="A938" s="294" t="s">
        <v>6027</v>
      </c>
      <c r="B938" s="294" t="s">
        <v>855</v>
      </c>
      <c r="C938" s="294" t="s">
        <v>765</v>
      </c>
      <c r="D938" s="295">
        <v>2255.6</v>
      </c>
      <c r="E938" s="442">
        <v>2419.3381523291646</v>
      </c>
      <c r="F938" s="442">
        <v>2897.8497679574307</v>
      </c>
      <c r="G938" s="442">
        <v>3065.497822346827</v>
      </c>
      <c r="H938" s="442">
        <v>3242.8447474131394</v>
      </c>
      <c r="I938" s="442">
        <v>3374.1448043890514</v>
      </c>
      <c r="J938" s="294"/>
    </row>
    <row r="939" spans="1:10" hidden="1" outlineLevel="1" x14ac:dyDescent="0.3">
      <c r="A939" s="294" t="s">
        <v>6027</v>
      </c>
      <c r="B939" s="294" t="s">
        <v>855</v>
      </c>
      <c r="C939" s="294" t="s">
        <v>768</v>
      </c>
      <c r="D939" s="295">
        <v>2255.6</v>
      </c>
      <c r="E939" s="442">
        <v>2419.3381523291646</v>
      </c>
      <c r="F939" s="442">
        <v>2897.8497679574307</v>
      </c>
      <c r="G939" s="442">
        <v>3065.497822346827</v>
      </c>
      <c r="H939" s="442">
        <v>3242.8447474131394</v>
      </c>
      <c r="I939" s="442">
        <v>3374.1448043890514</v>
      </c>
      <c r="J939" s="294"/>
    </row>
    <row r="940" spans="1:10" hidden="1" outlineLevel="1" x14ac:dyDescent="0.3">
      <c r="A940" s="294" t="s">
        <v>6027</v>
      </c>
      <c r="B940" s="294" t="s">
        <v>855</v>
      </c>
      <c r="C940" s="294" t="s">
        <v>771</v>
      </c>
      <c r="D940" s="295">
        <v>2255.6</v>
      </c>
      <c r="E940" s="442">
        <v>2419.3381523291646</v>
      </c>
      <c r="F940" s="442">
        <v>2897.8497679574307</v>
      </c>
      <c r="G940" s="442">
        <v>3065.497822346827</v>
      </c>
      <c r="H940" s="442">
        <v>3242.8447474131394</v>
      </c>
      <c r="I940" s="442">
        <v>3374.1448043890514</v>
      </c>
      <c r="J940" s="294"/>
    </row>
    <row r="941" spans="1:10" hidden="1" outlineLevel="1" x14ac:dyDescent="0.3">
      <c r="A941" s="294" t="s">
        <v>6027</v>
      </c>
      <c r="B941" s="294" t="s">
        <v>855</v>
      </c>
      <c r="C941" s="294" t="s">
        <v>772</v>
      </c>
      <c r="D941" s="295">
        <v>2255.6</v>
      </c>
      <c r="E941" s="442">
        <v>2419.3381523291646</v>
      </c>
      <c r="F941" s="442">
        <v>2897.8497679574307</v>
      </c>
      <c r="G941" s="442">
        <v>3065.497822346827</v>
      </c>
      <c r="H941" s="442">
        <v>3242.8447474131394</v>
      </c>
      <c r="I941" s="442">
        <v>3374.1448043890514</v>
      </c>
      <c r="J941" s="294"/>
    </row>
    <row r="942" spans="1:10" hidden="1" outlineLevel="1" x14ac:dyDescent="0.3">
      <c r="A942" s="294" t="s">
        <v>6027</v>
      </c>
      <c r="B942" s="294" t="s">
        <v>855</v>
      </c>
      <c r="C942" s="294" t="s">
        <v>774</v>
      </c>
      <c r="D942" s="295">
        <v>2255.6</v>
      </c>
      <c r="E942" s="442">
        <v>2419.3381523291646</v>
      </c>
      <c r="F942" s="442">
        <v>2897.8497679574307</v>
      </c>
      <c r="G942" s="442">
        <v>3065.497822346827</v>
      </c>
      <c r="H942" s="442">
        <v>3242.8447474131394</v>
      </c>
      <c r="I942" s="442">
        <v>3374.1448043890514</v>
      </c>
      <c r="J942" s="294"/>
    </row>
    <row r="943" spans="1:10" hidden="1" outlineLevel="1" x14ac:dyDescent="0.3">
      <c r="A943" s="294" t="s">
        <v>6027</v>
      </c>
      <c r="B943" s="294" t="s">
        <v>855</v>
      </c>
      <c r="C943" s="294" t="s">
        <v>775</v>
      </c>
      <c r="D943" s="295">
        <v>2255.6</v>
      </c>
      <c r="E943" s="442">
        <v>2419.3381523291646</v>
      </c>
      <c r="F943" s="442">
        <v>2897.8497679574307</v>
      </c>
      <c r="G943" s="442">
        <v>3065.497822346827</v>
      </c>
      <c r="H943" s="442">
        <v>3242.8447474131394</v>
      </c>
      <c r="I943" s="442">
        <v>3374.1448043890514</v>
      </c>
      <c r="J943" s="294"/>
    </row>
    <row r="944" spans="1:10" hidden="1" outlineLevel="1" x14ac:dyDescent="0.3">
      <c r="A944" s="294" t="s">
        <v>6027</v>
      </c>
      <c r="B944" s="294" t="s">
        <v>855</v>
      </c>
      <c r="C944" s="294" t="s">
        <v>779</v>
      </c>
      <c r="D944" s="295">
        <v>2255.6</v>
      </c>
      <c r="E944" s="442">
        <v>2419.3381523291646</v>
      </c>
      <c r="F944" s="442">
        <v>2897.8497679574307</v>
      </c>
      <c r="G944" s="442">
        <v>3065.497822346827</v>
      </c>
      <c r="H944" s="442">
        <v>3242.8447474131394</v>
      </c>
      <c r="I944" s="442">
        <v>3374.1448043890514</v>
      </c>
      <c r="J944" s="294"/>
    </row>
    <row r="945" spans="1:10" hidden="1" outlineLevel="1" x14ac:dyDescent="0.3">
      <c r="A945" s="294" t="s">
        <v>6027</v>
      </c>
      <c r="B945" s="294" t="s">
        <v>894</v>
      </c>
      <c r="C945" s="294" t="s">
        <v>781</v>
      </c>
      <c r="D945" s="295">
        <v>2255.6</v>
      </c>
      <c r="E945" s="442">
        <v>2419.3381523291646</v>
      </c>
      <c r="F945" s="442">
        <v>2897.8497679574307</v>
      </c>
      <c r="G945" s="442">
        <v>3065.497822346827</v>
      </c>
      <c r="H945" s="442">
        <v>3242.8447474131394</v>
      </c>
      <c r="I945" s="442">
        <v>3374.1448043890514</v>
      </c>
      <c r="J945" s="294"/>
    </row>
    <row r="946" spans="1:10" hidden="1" outlineLevel="1" x14ac:dyDescent="0.3">
      <c r="A946" s="294" t="s">
        <v>6027</v>
      </c>
      <c r="B946" s="294" t="s">
        <v>894</v>
      </c>
      <c r="C946" s="294" t="s">
        <v>783</v>
      </c>
      <c r="D946" s="295">
        <v>2255.6</v>
      </c>
      <c r="E946" s="442">
        <v>2419.3381523291646</v>
      </c>
      <c r="F946" s="442">
        <v>2897.8497679574307</v>
      </c>
      <c r="G946" s="442">
        <v>3065.497822346827</v>
      </c>
      <c r="H946" s="442">
        <v>3242.8447474131394</v>
      </c>
      <c r="I946" s="442">
        <v>3374.1448043890514</v>
      </c>
      <c r="J946" s="294"/>
    </row>
    <row r="947" spans="1:10" hidden="1" outlineLevel="1" x14ac:dyDescent="0.3">
      <c r="A947" s="294" t="s">
        <v>6027</v>
      </c>
      <c r="B947" s="294" t="s">
        <v>894</v>
      </c>
      <c r="C947" s="294" t="s">
        <v>785</v>
      </c>
      <c r="D947" s="295">
        <v>2255.6</v>
      </c>
      <c r="E947" s="442">
        <v>2419.3381523291646</v>
      </c>
      <c r="F947" s="442">
        <v>2897.8497679574307</v>
      </c>
      <c r="G947" s="442">
        <v>3065.497822346827</v>
      </c>
      <c r="H947" s="442">
        <v>3242.8447474131394</v>
      </c>
      <c r="I947" s="442">
        <v>3374.1448043890514</v>
      </c>
      <c r="J947" s="294"/>
    </row>
    <row r="948" spans="1:10" hidden="1" outlineLevel="1" x14ac:dyDescent="0.3">
      <c r="A948" s="294" t="s">
        <v>6027</v>
      </c>
      <c r="B948" s="294" t="s">
        <v>894</v>
      </c>
      <c r="C948" s="294" t="s">
        <v>787</v>
      </c>
      <c r="D948" s="295">
        <v>2255.6</v>
      </c>
      <c r="E948" s="442">
        <v>2419.3381523291646</v>
      </c>
      <c r="F948" s="442">
        <v>2897.8497679574307</v>
      </c>
      <c r="G948" s="442">
        <v>3065.497822346827</v>
      </c>
      <c r="H948" s="442">
        <v>3242.8447474131394</v>
      </c>
      <c r="I948" s="442">
        <v>3374.1448043890514</v>
      </c>
      <c r="J948" s="294"/>
    </row>
    <row r="949" spans="1:10" hidden="1" outlineLevel="1" x14ac:dyDescent="0.3">
      <c r="A949" s="294" t="s">
        <v>6027</v>
      </c>
      <c r="B949" s="294" t="s">
        <v>894</v>
      </c>
      <c r="C949" s="294" t="s">
        <v>788</v>
      </c>
      <c r="D949" s="295">
        <v>2255.6</v>
      </c>
      <c r="E949" s="442">
        <v>2419.3381523291646</v>
      </c>
      <c r="F949" s="442">
        <v>2897.8497679574307</v>
      </c>
      <c r="G949" s="442">
        <v>3065.497822346827</v>
      </c>
      <c r="H949" s="442">
        <v>3242.8447474131394</v>
      </c>
      <c r="I949" s="442">
        <v>3374.1448043890514</v>
      </c>
      <c r="J949" s="294"/>
    </row>
    <row r="950" spans="1:10" hidden="1" outlineLevel="1" x14ac:dyDescent="0.3">
      <c r="A950" s="294" t="s">
        <v>6027</v>
      </c>
      <c r="B950" s="294" t="s">
        <v>894</v>
      </c>
      <c r="C950" s="294" t="s">
        <v>789</v>
      </c>
      <c r="D950" s="295">
        <v>2255.6</v>
      </c>
      <c r="E950" s="442">
        <v>2419.3381523291646</v>
      </c>
      <c r="F950" s="442">
        <v>2897.8497679574307</v>
      </c>
      <c r="G950" s="442">
        <v>3065.497822346827</v>
      </c>
      <c r="H950" s="442">
        <v>3242.8447474131394</v>
      </c>
      <c r="I950" s="442">
        <v>3374.1448043890514</v>
      </c>
      <c r="J950" s="294"/>
    </row>
    <row r="951" spans="1:10" hidden="1" outlineLevel="1" x14ac:dyDescent="0.3">
      <c r="A951" s="294" t="s">
        <v>6027</v>
      </c>
      <c r="B951" s="294" t="s">
        <v>894</v>
      </c>
      <c r="C951" s="294" t="s">
        <v>790</v>
      </c>
      <c r="D951" s="295">
        <v>2255.6</v>
      </c>
      <c r="E951" s="442">
        <v>2419.3381523291646</v>
      </c>
      <c r="F951" s="442">
        <v>2897.8497679574307</v>
      </c>
      <c r="G951" s="442">
        <v>3065.497822346827</v>
      </c>
      <c r="H951" s="442">
        <v>3242.8447474131394</v>
      </c>
      <c r="I951" s="442">
        <v>3374.1448043890514</v>
      </c>
      <c r="J951" s="294"/>
    </row>
    <row r="952" spans="1:10" hidden="1" outlineLevel="1" x14ac:dyDescent="0.3">
      <c r="A952" s="294" t="s">
        <v>6027</v>
      </c>
      <c r="B952" s="294" t="s">
        <v>894</v>
      </c>
      <c r="C952" s="294" t="s">
        <v>793</v>
      </c>
      <c r="D952" s="295">
        <v>2255.6</v>
      </c>
      <c r="E952" s="442">
        <v>2419.3381523291646</v>
      </c>
      <c r="F952" s="442">
        <v>2897.8497679574307</v>
      </c>
      <c r="G952" s="442">
        <v>3065.497822346827</v>
      </c>
      <c r="H952" s="442">
        <v>3242.8447474131394</v>
      </c>
      <c r="I952" s="442">
        <v>3374.1448043890514</v>
      </c>
      <c r="J952" s="294"/>
    </row>
    <row r="953" spans="1:10" hidden="1" outlineLevel="1" x14ac:dyDescent="0.3">
      <c r="A953" s="294" t="s">
        <v>6027</v>
      </c>
      <c r="B953" s="294" t="s">
        <v>894</v>
      </c>
      <c r="C953" s="294" t="s">
        <v>795</v>
      </c>
      <c r="D953" s="295">
        <v>2255.6</v>
      </c>
      <c r="E953" s="442">
        <v>2419.3381523291646</v>
      </c>
      <c r="F953" s="442">
        <v>2897.8497679574307</v>
      </c>
      <c r="G953" s="442">
        <v>3065.497822346827</v>
      </c>
      <c r="H953" s="442">
        <v>3242.8447474131394</v>
      </c>
      <c r="I953" s="442">
        <v>3374.1448043890514</v>
      </c>
      <c r="J953" s="294"/>
    </row>
    <row r="954" spans="1:10" hidden="1" outlineLevel="1" x14ac:dyDescent="0.3">
      <c r="A954" s="294" t="s">
        <v>6027</v>
      </c>
      <c r="B954" s="294" t="s">
        <v>894</v>
      </c>
      <c r="C954" s="294" t="s">
        <v>797</v>
      </c>
      <c r="D954" s="295">
        <v>2255.6</v>
      </c>
      <c r="E954" s="442">
        <v>2419.3381523291646</v>
      </c>
      <c r="F954" s="442">
        <v>2897.8497679574307</v>
      </c>
      <c r="G954" s="442">
        <v>3065.497822346827</v>
      </c>
      <c r="H954" s="442">
        <v>3242.8447474131394</v>
      </c>
      <c r="I954" s="442">
        <v>3374.1448043890514</v>
      </c>
      <c r="J954" s="294"/>
    </row>
    <row r="955" spans="1:10" hidden="1" outlineLevel="1" x14ac:dyDescent="0.3">
      <c r="A955" s="294" t="s">
        <v>6027</v>
      </c>
      <c r="B955" s="294" t="s">
        <v>915</v>
      </c>
      <c r="C955" s="294" t="s">
        <v>799</v>
      </c>
      <c r="D955" s="295">
        <v>2255.6</v>
      </c>
      <c r="E955" s="442">
        <v>2419.3381523291646</v>
      </c>
      <c r="F955" s="442">
        <v>2897.8497679574307</v>
      </c>
      <c r="G955" s="442">
        <v>3065.497822346827</v>
      </c>
      <c r="H955" s="442">
        <v>3242.8447474131394</v>
      </c>
      <c r="I955" s="442">
        <v>3374.1448043890514</v>
      </c>
      <c r="J955" s="294"/>
    </row>
    <row r="956" spans="1:10" hidden="1" outlineLevel="1" x14ac:dyDescent="0.3">
      <c r="A956" s="294" t="s">
        <v>6027</v>
      </c>
      <c r="B956" s="294" t="s">
        <v>915</v>
      </c>
      <c r="C956" s="294" t="s">
        <v>801</v>
      </c>
      <c r="D956" s="295">
        <v>2255.6</v>
      </c>
      <c r="E956" s="442">
        <v>2419.3381523291646</v>
      </c>
      <c r="F956" s="442">
        <v>2897.8497679574307</v>
      </c>
      <c r="G956" s="442">
        <v>3065.497822346827</v>
      </c>
      <c r="H956" s="442">
        <v>3242.8447474131394</v>
      </c>
      <c r="I956" s="442">
        <v>3374.1448043890514</v>
      </c>
      <c r="J956" s="294"/>
    </row>
    <row r="957" spans="1:10" hidden="1" outlineLevel="1" x14ac:dyDescent="0.3">
      <c r="A957" s="294" t="s">
        <v>6027</v>
      </c>
      <c r="B957" s="294" t="s">
        <v>915</v>
      </c>
      <c r="C957" s="294" t="s">
        <v>804</v>
      </c>
      <c r="D957" s="295">
        <v>2255.6</v>
      </c>
      <c r="E957" s="442">
        <v>2419.3381523291646</v>
      </c>
      <c r="F957" s="442">
        <v>2897.8497679574307</v>
      </c>
      <c r="G957" s="442">
        <v>3065.497822346827</v>
      </c>
      <c r="H957" s="442">
        <v>3242.8447474131394</v>
      </c>
      <c r="I957" s="442">
        <v>3374.1448043890514</v>
      </c>
      <c r="J957" s="294"/>
    </row>
    <row r="958" spans="1:10" hidden="1" outlineLevel="1" x14ac:dyDescent="0.3">
      <c r="A958" s="294" t="s">
        <v>6027</v>
      </c>
      <c r="B958" s="294" t="s">
        <v>915</v>
      </c>
      <c r="C958" s="294" t="s">
        <v>806</v>
      </c>
      <c r="D958" s="295">
        <v>2255.6</v>
      </c>
      <c r="E958" s="442">
        <v>2419.3381523291646</v>
      </c>
      <c r="F958" s="442">
        <v>2897.8497679574307</v>
      </c>
      <c r="G958" s="442">
        <v>3065.497822346827</v>
      </c>
      <c r="H958" s="442">
        <v>3242.8447474131394</v>
      </c>
      <c r="I958" s="442">
        <v>3374.1448043890514</v>
      </c>
      <c r="J958" s="294"/>
    </row>
    <row r="959" spans="1:10" hidden="1" outlineLevel="1" x14ac:dyDescent="0.3">
      <c r="A959" s="294" t="s">
        <v>6027</v>
      </c>
      <c r="B959" s="294" t="s">
        <v>915</v>
      </c>
      <c r="C959" s="294" t="s">
        <v>808</v>
      </c>
      <c r="D959" s="295">
        <v>2255.6</v>
      </c>
      <c r="E959" s="442">
        <v>2419.3381523291646</v>
      </c>
      <c r="F959" s="442">
        <v>2897.8497679574307</v>
      </c>
      <c r="G959" s="442">
        <v>3065.497822346827</v>
      </c>
      <c r="H959" s="442">
        <v>3242.8447474131394</v>
      </c>
      <c r="I959" s="442">
        <v>3374.1448043890514</v>
      </c>
      <c r="J959" s="294"/>
    </row>
    <row r="960" spans="1:10" hidden="1" outlineLevel="1" x14ac:dyDescent="0.3">
      <c r="A960" s="294" t="s">
        <v>6027</v>
      </c>
      <c r="B960" s="294" t="s">
        <v>915</v>
      </c>
      <c r="C960" s="294" t="s">
        <v>811</v>
      </c>
      <c r="D960" s="295">
        <v>2255.6</v>
      </c>
      <c r="E960" s="442">
        <v>2419.3381523291646</v>
      </c>
      <c r="F960" s="442">
        <v>2897.8497679574307</v>
      </c>
      <c r="G960" s="442">
        <v>3065.497822346827</v>
      </c>
      <c r="H960" s="442">
        <v>3242.8447474131394</v>
      </c>
      <c r="I960" s="442">
        <v>3374.1448043890514</v>
      </c>
      <c r="J960" s="294"/>
    </row>
    <row r="961" spans="1:10" hidden="1" outlineLevel="1" x14ac:dyDescent="0.3">
      <c r="A961" s="294" t="s">
        <v>6027</v>
      </c>
      <c r="B961" s="294" t="s">
        <v>934</v>
      </c>
      <c r="C961" s="294" t="s">
        <v>814</v>
      </c>
      <c r="D961" s="295">
        <v>2255.6</v>
      </c>
      <c r="E961" s="442">
        <v>2419.3381523291646</v>
      </c>
      <c r="F961" s="442">
        <v>2897.8497679574307</v>
      </c>
      <c r="G961" s="442">
        <v>3065.497822346827</v>
      </c>
      <c r="H961" s="442">
        <v>3242.8447474131394</v>
      </c>
      <c r="I961" s="442">
        <v>3374.1448043890514</v>
      </c>
      <c r="J961" s="294"/>
    </row>
    <row r="962" spans="1:10" hidden="1" outlineLevel="1" x14ac:dyDescent="0.3">
      <c r="A962" s="294" t="s">
        <v>6027</v>
      </c>
      <c r="B962" s="294" t="s">
        <v>934</v>
      </c>
      <c r="C962" s="294" t="s">
        <v>815</v>
      </c>
      <c r="D962" s="295">
        <v>2255.6</v>
      </c>
      <c r="E962" s="442">
        <v>2244.979209048061</v>
      </c>
      <c r="F962" s="442">
        <v>2545.3737911340359</v>
      </c>
      <c r="G962" s="442">
        <v>2721.1124655605727</v>
      </c>
      <c r="H962" s="442">
        <v>2908.9845570108764</v>
      </c>
      <c r="I962" s="442">
        <v>3026.8973019653363</v>
      </c>
      <c r="J962" s="294"/>
    </row>
    <row r="963" spans="1:10" hidden="1" outlineLevel="1" x14ac:dyDescent="0.3">
      <c r="A963" s="294" t="s">
        <v>6027</v>
      </c>
      <c r="B963" s="294" t="s">
        <v>940</v>
      </c>
      <c r="C963" s="294" t="s">
        <v>817</v>
      </c>
      <c r="D963" s="295">
        <v>2255.6</v>
      </c>
      <c r="E963" s="442">
        <v>2244.979209048061</v>
      </c>
      <c r="F963" s="442">
        <v>2545.3737911340359</v>
      </c>
      <c r="G963" s="442">
        <v>2721.1124655605727</v>
      </c>
      <c r="H963" s="442">
        <v>2908.9845570108764</v>
      </c>
      <c r="I963" s="442">
        <v>3026.8973019653363</v>
      </c>
      <c r="J963" s="294"/>
    </row>
    <row r="964" spans="1:10" hidden="1" outlineLevel="1" x14ac:dyDescent="0.3">
      <c r="A964" s="294" t="s">
        <v>6027</v>
      </c>
      <c r="B964" s="294" t="s">
        <v>940</v>
      </c>
      <c r="C964" s="294" t="s">
        <v>944</v>
      </c>
      <c r="D964" s="295">
        <v>2255.6</v>
      </c>
      <c r="E964" s="442">
        <v>2244.979209048061</v>
      </c>
      <c r="F964" s="442">
        <v>2545.3737911340359</v>
      </c>
      <c r="G964" s="442">
        <v>2721.1124655605727</v>
      </c>
      <c r="H964" s="442">
        <v>2908.9845570108764</v>
      </c>
      <c r="I964" s="442">
        <v>3026.8973019653363</v>
      </c>
      <c r="J964" s="294"/>
    </row>
    <row r="965" spans="1:10" hidden="1" outlineLevel="1" x14ac:dyDescent="0.3">
      <c r="A965" s="294" t="s">
        <v>6027</v>
      </c>
      <c r="B965" s="294" t="s">
        <v>940</v>
      </c>
      <c r="C965" s="294" t="s">
        <v>821</v>
      </c>
      <c r="D965" s="295">
        <v>2255.6</v>
      </c>
      <c r="E965" s="442">
        <v>2244.979209048061</v>
      </c>
      <c r="F965" s="442">
        <v>2545.3737911340359</v>
      </c>
      <c r="G965" s="442">
        <v>2721.1124655605727</v>
      </c>
      <c r="H965" s="442">
        <v>2908.9845570108764</v>
      </c>
      <c r="I965" s="442">
        <v>3026.8973019653363</v>
      </c>
      <c r="J965" s="294"/>
    </row>
    <row r="966" spans="1:10" hidden="1" outlineLevel="1" x14ac:dyDescent="0.3">
      <c r="A966" s="294" t="s">
        <v>6027</v>
      </c>
      <c r="B966" s="294" t="s">
        <v>940</v>
      </c>
      <c r="C966" s="294" t="s">
        <v>823</v>
      </c>
      <c r="D966" s="295">
        <v>2255.6</v>
      </c>
      <c r="E966" s="442">
        <v>2244.979209048061</v>
      </c>
      <c r="F966" s="442">
        <v>2545.3737911340359</v>
      </c>
      <c r="G966" s="442">
        <v>2721.1124655605727</v>
      </c>
      <c r="H966" s="442">
        <v>2908.9845570108764</v>
      </c>
      <c r="I966" s="442">
        <v>3026.8973019653363</v>
      </c>
      <c r="J966" s="294"/>
    </row>
    <row r="967" spans="1:10" hidden="1" outlineLevel="1" x14ac:dyDescent="0.3">
      <c r="A967" s="294" t="s">
        <v>6027</v>
      </c>
      <c r="B967" s="294" t="s">
        <v>940</v>
      </c>
      <c r="C967" s="294" t="s">
        <v>825</v>
      </c>
      <c r="D967" s="295">
        <v>2255.6</v>
      </c>
      <c r="E967" s="442">
        <v>2244.979209048061</v>
      </c>
      <c r="F967" s="442">
        <v>2545.3737911340359</v>
      </c>
      <c r="G967" s="442">
        <v>2721.1124655605727</v>
      </c>
      <c r="H967" s="442">
        <v>2908.9845570108764</v>
      </c>
      <c r="I967" s="442">
        <v>3026.8973019653363</v>
      </c>
      <c r="J967" s="294"/>
    </row>
    <row r="968" spans="1:10" hidden="1" outlineLevel="1" x14ac:dyDescent="0.3">
      <c r="A968" s="294" t="s">
        <v>6027</v>
      </c>
      <c r="B968" s="294" t="s">
        <v>940</v>
      </c>
      <c r="C968" s="294" t="s">
        <v>827</v>
      </c>
      <c r="D968" s="295">
        <v>2255.6</v>
      </c>
      <c r="E968" s="442">
        <v>2244.979209048061</v>
      </c>
      <c r="F968" s="442">
        <v>2545.3737911340359</v>
      </c>
      <c r="G968" s="442">
        <v>2721.1124655605727</v>
      </c>
      <c r="H968" s="442">
        <v>2908.9845570108764</v>
      </c>
      <c r="I968" s="442">
        <v>3026.8973019653363</v>
      </c>
      <c r="J968" s="294"/>
    </row>
    <row r="969" spans="1:10" hidden="1" outlineLevel="1" x14ac:dyDescent="0.3">
      <c r="A969" s="294" t="s">
        <v>6027</v>
      </c>
      <c r="B969" s="294" t="s">
        <v>940</v>
      </c>
      <c r="C969" s="294" t="s">
        <v>829</v>
      </c>
      <c r="D969" s="295">
        <v>2255.6</v>
      </c>
      <c r="E969" s="442">
        <v>2244.979209048061</v>
      </c>
      <c r="F969" s="442">
        <v>2545.3737911340359</v>
      </c>
      <c r="G969" s="442">
        <v>2721.1124655605727</v>
      </c>
      <c r="H969" s="442">
        <v>2908.9845570108764</v>
      </c>
      <c r="I969" s="442">
        <v>3026.8973019653363</v>
      </c>
      <c r="J969" s="294"/>
    </row>
    <row r="970" spans="1:10" hidden="1" outlineLevel="1" x14ac:dyDescent="0.3">
      <c r="A970" s="294" t="s">
        <v>6027</v>
      </c>
      <c r="B970" s="294" t="s">
        <v>940</v>
      </c>
      <c r="C970" s="294" t="s">
        <v>833</v>
      </c>
      <c r="D970" s="295">
        <v>2255.6</v>
      </c>
      <c r="E970" s="442">
        <v>2244.979209048061</v>
      </c>
      <c r="F970" s="442">
        <v>2545.3737911340359</v>
      </c>
      <c r="G970" s="442">
        <v>2721.1124655605727</v>
      </c>
      <c r="H970" s="442">
        <v>2908.9845570108764</v>
      </c>
      <c r="I970" s="442">
        <v>3026.8973019653363</v>
      </c>
      <c r="J970" s="294"/>
    </row>
    <row r="971" spans="1:10" hidden="1" outlineLevel="1" x14ac:dyDescent="0.3">
      <c r="A971" s="294" t="s">
        <v>6027</v>
      </c>
      <c r="B971" s="294" t="s">
        <v>940</v>
      </c>
      <c r="C971" s="294" t="s">
        <v>836</v>
      </c>
      <c r="D971" s="295">
        <v>2255.6</v>
      </c>
      <c r="E971" s="442">
        <v>2244.979209048061</v>
      </c>
      <c r="F971" s="442">
        <v>2545.3737911340359</v>
      </c>
      <c r="G971" s="442">
        <v>2721.1124655605727</v>
      </c>
      <c r="H971" s="442">
        <v>2908.9845570108764</v>
      </c>
      <c r="I971" s="442">
        <v>3026.8973019653363</v>
      </c>
      <c r="J971" s="294"/>
    </row>
    <row r="972" spans="1:10" hidden="1" outlineLevel="1" x14ac:dyDescent="0.3">
      <c r="A972" s="294" t="s">
        <v>6027</v>
      </c>
      <c r="B972" s="294" t="s">
        <v>940</v>
      </c>
      <c r="C972" s="294" t="s">
        <v>837</v>
      </c>
      <c r="D972" s="295">
        <v>2255.6</v>
      </c>
      <c r="E972" s="442">
        <v>2244.979209048061</v>
      </c>
      <c r="F972" s="442">
        <v>2545.3737911340359</v>
      </c>
      <c r="G972" s="442">
        <v>2721.1124655605727</v>
      </c>
      <c r="H972" s="442">
        <v>2908.9845570108764</v>
      </c>
      <c r="I972" s="442">
        <v>3026.8973019653363</v>
      </c>
      <c r="J972" s="294"/>
    </row>
    <row r="973" spans="1:10" hidden="1" outlineLevel="1" x14ac:dyDescent="0.3">
      <c r="A973" s="294" t="s">
        <v>6027</v>
      </c>
      <c r="B973" s="294" t="s">
        <v>940</v>
      </c>
      <c r="C973" s="294" t="s">
        <v>839</v>
      </c>
      <c r="D973" s="295">
        <v>2255.6</v>
      </c>
      <c r="E973" s="442">
        <v>2244.979209048061</v>
      </c>
      <c r="F973" s="442">
        <v>2545.3737911340359</v>
      </c>
      <c r="G973" s="442">
        <v>2721.1124655605727</v>
      </c>
      <c r="H973" s="442">
        <v>2908.9845570108764</v>
      </c>
      <c r="I973" s="442">
        <v>3026.8973019653363</v>
      </c>
      <c r="J973" s="294"/>
    </row>
    <row r="974" spans="1:10" hidden="1" outlineLevel="1" x14ac:dyDescent="0.3">
      <c r="A974" s="294" t="s">
        <v>6027</v>
      </c>
      <c r="B974" s="294" t="s">
        <v>940</v>
      </c>
      <c r="C974" s="294" t="s">
        <v>840</v>
      </c>
      <c r="D974" s="295">
        <v>2255.6</v>
      </c>
      <c r="E974" s="442">
        <v>2244.979209048061</v>
      </c>
      <c r="F974" s="442">
        <v>2545.3737911340359</v>
      </c>
      <c r="G974" s="442">
        <v>2721.1124655605727</v>
      </c>
      <c r="H974" s="442">
        <v>2908.9845570108764</v>
      </c>
      <c r="I974" s="442">
        <v>3026.8973019653363</v>
      </c>
      <c r="J974" s="294"/>
    </row>
    <row r="975" spans="1:10" collapsed="1" x14ac:dyDescent="0.3">
      <c r="A975" s="294"/>
      <c r="B975" s="294"/>
      <c r="C975" s="293"/>
      <c r="D975" s="295"/>
      <c r="E975" s="295"/>
      <c r="F975" s="294"/>
      <c r="G975" s="294"/>
      <c r="H975" s="294"/>
      <c r="I975" s="294"/>
      <c r="J975" s="294"/>
    </row>
    <row r="976" spans="1:10" x14ac:dyDescent="0.3">
      <c r="A976" s="293" t="s">
        <v>6028</v>
      </c>
      <c r="B976" s="293"/>
      <c r="C976" s="298" t="s">
        <v>4032</v>
      </c>
      <c r="D976" s="294">
        <v>0</v>
      </c>
      <c r="E976" s="294">
        <v>0</v>
      </c>
      <c r="F976" s="294">
        <v>0</v>
      </c>
      <c r="G976" s="294">
        <v>0</v>
      </c>
      <c r="H976" s="294">
        <v>0</v>
      </c>
      <c r="I976" s="294">
        <v>0</v>
      </c>
      <c r="J976" s="293"/>
    </row>
    <row r="977" spans="1:17" x14ac:dyDescent="0.3">
      <c r="A977" s="297" t="s">
        <v>5</v>
      </c>
      <c r="B977" s="297" t="s">
        <v>847</v>
      </c>
      <c r="C977" s="297" t="s">
        <v>193</v>
      </c>
      <c r="D977" s="297">
        <v>2022</v>
      </c>
      <c r="E977" s="297">
        <v>2025</v>
      </c>
      <c r="F977" s="297">
        <v>2030</v>
      </c>
      <c r="G977" s="297">
        <v>2035</v>
      </c>
      <c r="H977" s="297">
        <v>2040</v>
      </c>
      <c r="I977" s="297">
        <v>2045</v>
      </c>
      <c r="J977" s="297" t="s">
        <v>153</v>
      </c>
    </row>
    <row r="978" spans="1:17" hidden="1" outlineLevel="1" x14ac:dyDescent="0.3">
      <c r="A978" s="294" t="s">
        <v>6028</v>
      </c>
      <c r="B978" s="294" t="s">
        <v>855</v>
      </c>
      <c r="C978" s="294" t="s">
        <v>747</v>
      </c>
      <c r="D978" s="296">
        <v>0</v>
      </c>
      <c r="E978" s="296">
        <v>0</v>
      </c>
      <c r="F978" s="296">
        <v>0</v>
      </c>
      <c r="G978" s="296">
        <v>0</v>
      </c>
      <c r="H978" s="296">
        <v>0</v>
      </c>
      <c r="I978" s="296">
        <v>0</v>
      </c>
      <c r="J978" s="294"/>
      <c r="Q978" s="367"/>
    </row>
    <row r="979" spans="1:17" hidden="1" outlineLevel="1" x14ac:dyDescent="0.3">
      <c r="A979" s="294" t="s">
        <v>6028</v>
      </c>
      <c r="B979" s="294" t="s">
        <v>855</v>
      </c>
      <c r="C979" s="294" t="s">
        <v>751</v>
      </c>
      <c r="D979" s="296">
        <v>0</v>
      </c>
      <c r="E979" s="296">
        <v>0</v>
      </c>
      <c r="F979" s="296">
        <v>0</v>
      </c>
      <c r="G979" s="296">
        <v>0</v>
      </c>
      <c r="H979" s="296">
        <v>0</v>
      </c>
      <c r="I979" s="296">
        <v>0</v>
      </c>
      <c r="J979" s="294"/>
      <c r="Q979" s="367"/>
    </row>
    <row r="980" spans="1:17" hidden="1" outlineLevel="1" x14ac:dyDescent="0.3">
      <c r="A980" s="294" t="s">
        <v>6028</v>
      </c>
      <c r="B980" s="294" t="s">
        <v>855</v>
      </c>
      <c r="C980" s="294" t="s">
        <v>755</v>
      </c>
      <c r="D980" s="296">
        <v>0</v>
      </c>
      <c r="E980" s="296">
        <v>0</v>
      </c>
      <c r="F980" s="296">
        <v>0</v>
      </c>
      <c r="G980" s="296">
        <v>0</v>
      </c>
      <c r="H980" s="296">
        <v>0</v>
      </c>
      <c r="I980" s="296">
        <v>0</v>
      </c>
      <c r="J980" s="294"/>
      <c r="Q980" s="367"/>
    </row>
    <row r="981" spans="1:17" hidden="1" outlineLevel="1" x14ac:dyDescent="0.3">
      <c r="A981" s="294" t="s">
        <v>6028</v>
      </c>
      <c r="B981" s="294" t="s">
        <v>855</v>
      </c>
      <c r="C981" s="294" t="s">
        <v>758</v>
      </c>
      <c r="D981" s="296">
        <v>0</v>
      </c>
      <c r="E981" s="296">
        <v>0</v>
      </c>
      <c r="F981" s="296">
        <v>0</v>
      </c>
      <c r="G981" s="296">
        <v>0</v>
      </c>
      <c r="H981" s="296">
        <v>0</v>
      </c>
      <c r="I981" s="296">
        <v>0</v>
      </c>
      <c r="J981" s="294"/>
      <c r="Q981" s="367"/>
    </row>
    <row r="982" spans="1:17" hidden="1" outlineLevel="1" x14ac:dyDescent="0.3">
      <c r="A982" s="294" t="s">
        <v>6028</v>
      </c>
      <c r="B982" s="294" t="s">
        <v>855</v>
      </c>
      <c r="C982" s="294" t="s">
        <v>761</v>
      </c>
      <c r="D982" s="296">
        <v>0</v>
      </c>
      <c r="E982" s="296">
        <v>0</v>
      </c>
      <c r="F982" s="296">
        <v>0</v>
      </c>
      <c r="G982" s="296">
        <v>0</v>
      </c>
      <c r="H982" s="296">
        <v>0</v>
      </c>
      <c r="I982" s="296">
        <v>0</v>
      </c>
      <c r="J982" s="294"/>
      <c r="Q982" s="367"/>
    </row>
    <row r="983" spans="1:17" hidden="1" outlineLevel="1" x14ac:dyDescent="0.3">
      <c r="A983" s="294" t="s">
        <v>6028</v>
      </c>
      <c r="B983" s="294" t="s">
        <v>855</v>
      </c>
      <c r="C983" s="294" t="s">
        <v>763</v>
      </c>
      <c r="D983" s="296">
        <v>0</v>
      </c>
      <c r="E983" s="296">
        <v>0</v>
      </c>
      <c r="F983" s="296">
        <v>0</v>
      </c>
      <c r="G983" s="296">
        <v>0</v>
      </c>
      <c r="H983" s="296">
        <v>0</v>
      </c>
      <c r="I983" s="296">
        <v>0</v>
      </c>
      <c r="J983" s="294"/>
      <c r="Q983" s="367"/>
    </row>
    <row r="984" spans="1:17" hidden="1" outlineLevel="1" x14ac:dyDescent="0.3">
      <c r="A984" s="294" t="s">
        <v>6028</v>
      </c>
      <c r="B984" s="294" t="s">
        <v>855</v>
      </c>
      <c r="C984" s="294" t="s">
        <v>765</v>
      </c>
      <c r="D984" s="296">
        <v>0</v>
      </c>
      <c r="E984" s="296">
        <v>0</v>
      </c>
      <c r="F984" s="296">
        <v>0</v>
      </c>
      <c r="G984" s="296">
        <v>0</v>
      </c>
      <c r="H984" s="296">
        <v>0</v>
      </c>
      <c r="I984" s="296">
        <v>0</v>
      </c>
      <c r="J984" s="294"/>
      <c r="Q984" s="367"/>
    </row>
    <row r="985" spans="1:17" hidden="1" outlineLevel="1" x14ac:dyDescent="0.3">
      <c r="A985" s="294" t="s">
        <v>6028</v>
      </c>
      <c r="B985" s="294" t="s">
        <v>855</v>
      </c>
      <c r="C985" s="294" t="s">
        <v>768</v>
      </c>
      <c r="D985" s="296">
        <v>0</v>
      </c>
      <c r="E985" s="296">
        <v>0</v>
      </c>
      <c r="F985" s="296">
        <v>0</v>
      </c>
      <c r="G985" s="296">
        <v>0</v>
      </c>
      <c r="H985" s="296">
        <v>0</v>
      </c>
      <c r="I985" s="296">
        <v>0</v>
      </c>
      <c r="J985" s="294"/>
      <c r="Q985" s="367"/>
    </row>
    <row r="986" spans="1:17" hidden="1" outlineLevel="1" x14ac:dyDescent="0.3">
      <c r="A986" s="294" t="s">
        <v>6028</v>
      </c>
      <c r="B986" s="294" t="s">
        <v>855</v>
      </c>
      <c r="C986" s="294" t="s">
        <v>771</v>
      </c>
      <c r="D986" s="296">
        <v>0</v>
      </c>
      <c r="E986" s="296">
        <v>0</v>
      </c>
      <c r="F986" s="296">
        <v>0</v>
      </c>
      <c r="G986" s="296">
        <v>0</v>
      </c>
      <c r="H986" s="296">
        <v>0</v>
      </c>
      <c r="I986" s="296">
        <v>0</v>
      </c>
      <c r="J986" s="294"/>
      <c r="Q986" s="367"/>
    </row>
    <row r="987" spans="1:17" hidden="1" outlineLevel="1" x14ac:dyDescent="0.3">
      <c r="A987" s="294" t="s">
        <v>6028</v>
      </c>
      <c r="B987" s="294" t="s">
        <v>855</v>
      </c>
      <c r="C987" s="294" t="s">
        <v>772</v>
      </c>
      <c r="D987" s="296">
        <v>0</v>
      </c>
      <c r="E987" s="296">
        <v>0</v>
      </c>
      <c r="F987" s="296">
        <v>0</v>
      </c>
      <c r="G987" s="296">
        <v>0</v>
      </c>
      <c r="H987" s="296">
        <v>0</v>
      </c>
      <c r="I987" s="296">
        <v>0</v>
      </c>
      <c r="J987" s="294"/>
      <c r="Q987" s="367"/>
    </row>
    <row r="988" spans="1:17" hidden="1" outlineLevel="1" x14ac:dyDescent="0.3">
      <c r="A988" s="294" t="s">
        <v>6028</v>
      </c>
      <c r="B988" s="294" t="s">
        <v>855</v>
      </c>
      <c r="C988" s="294" t="s">
        <v>774</v>
      </c>
      <c r="D988" s="296">
        <v>0</v>
      </c>
      <c r="E988" s="296">
        <v>0</v>
      </c>
      <c r="F988" s="296">
        <v>0</v>
      </c>
      <c r="G988" s="296">
        <v>0</v>
      </c>
      <c r="H988" s="296">
        <v>0</v>
      </c>
      <c r="I988" s="296">
        <v>0</v>
      </c>
      <c r="J988" s="294"/>
      <c r="Q988" s="367"/>
    </row>
    <row r="989" spans="1:17" hidden="1" outlineLevel="1" x14ac:dyDescent="0.3">
      <c r="A989" s="294" t="s">
        <v>6028</v>
      </c>
      <c r="B989" s="294" t="s">
        <v>855</v>
      </c>
      <c r="C989" s="294" t="s">
        <v>775</v>
      </c>
      <c r="D989" s="296">
        <v>0</v>
      </c>
      <c r="E989" s="296">
        <v>0</v>
      </c>
      <c r="F989" s="296">
        <v>0</v>
      </c>
      <c r="G989" s="296">
        <v>0</v>
      </c>
      <c r="H989" s="296">
        <v>0</v>
      </c>
      <c r="I989" s="296">
        <v>0</v>
      </c>
      <c r="J989" s="294"/>
      <c r="Q989" s="367"/>
    </row>
    <row r="990" spans="1:17" hidden="1" outlineLevel="1" x14ac:dyDescent="0.3">
      <c r="A990" s="294" t="s">
        <v>6028</v>
      </c>
      <c r="B990" s="294" t="s">
        <v>855</v>
      </c>
      <c r="C990" s="294" t="s">
        <v>779</v>
      </c>
      <c r="D990" s="296">
        <v>0</v>
      </c>
      <c r="E990" s="296">
        <v>0</v>
      </c>
      <c r="F990" s="296">
        <v>0</v>
      </c>
      <c r="G990" s="296">
        <v>0</v>
      </c>
      <c r="H990" s="296">
        <v>0</v>
      </c>
      <c r="I990" s="296">
        <v>0</v>
      </c>
      <c r="J990" s="294"/>
      <c r="Q990" s="367"/>
    </row>
    <row r="991" spans="1:17" hidden="1" outlineLevel="1" x14ac:dyDescent="0.3">
      <c r="A991" s="294" t="s">
        <v>6028</v>
      </c>
      <c r="B991" s="294" t="s">
        <v>894</v>
      </c>
      <c r="C991" s="294" t="s">
        <v>781</v>
      </c>
      <c r="D991" s="296">
        <v>0</v>
      </c>
      <c r="E991" s="296">
        <v>0</v>
      </c>
      <c r="F991" s="296">
        <v>0</v>
      </c>
      <c r="G991" s="296">
        <v>0</v>
      </c>
      <c r="H991" s="296">
        <v>0</v>
      </c>
      <c r="I991" s="296">
        <v>0</v>
      </c>
      <c r="J991" s="294"/>
      <c r="Q991" s="367"/>
    </row>
    <row r="992" spans="1:17" hidden="1" outlineLevel="1" x14ac:dyDescent="0.3">
      <c r="A992" s="294" t="s">
        <v>6028</v>
      </c>
      <c r="B992" s="294" t="s">
        <v>894</v>
      </c>
      <c r="C992" s="294" t="s">
        <v>783</v>
      </c>
      <c r="D992" s="296">
        <v>0</v>
      </c>
      <c r="E992" s="296">
        <v>0</v>
      </c>
      <c r="F992" s="296">
        <v>0</v>
      </c>
      <c r="G992" s="296">
        <v>0</v>
      </c>
      <c r="H992" s="296">
        <v>0</v>
      </c>
      <c r="I992" s="296">
        <v>0</v>
      </c>
      <c r="J992" s="294"/>
      <c r="Q992" s="367"/>
    </row>
    <row r="993" spans="1:18" hidden="1" outlineLevel="1" x14ac:dyDescent="0.3">
      <c r="A993" s="294" t="s">
        <v>6028</v>
      </c>
      <c r="B993" s="294" t="s">
        <v>894</v>
      </c>
      <c r="C993" s="294" t="s">
        <v>785</v>
      </c>
      <c r="D993" s="296">
        <v>0</v>
      </c>
      <c r="E993" s="296">
        <v>0</v>
      </c>
      <c r="F993" s="296">
        <v>0</v>
      </c>
      <c r="G993" s="296">
        <v>0</v>
      </c>
      <c r="H993" s="296">
        <v>0</v>
      </c>
      <c r="I993" s="296">
        <v>0</v>
      </c>
      <c r="J993" s="294"/>
      <c r="Q993" s="367"/>
    </row>
    <row r="994" spans="1:18" hidden="1" outlineLevel="1" x14ac:dyDescent="0.3">
      <c r="A994" s="294" t="s">
        <v>6028</v>
      </c>
      <c r="B994" s="294" t="s">
        <v>894</v>
      </c>
      <c r="C994" s="294" t="s">
        <v>787</v>
      </c>
      <c r="D994" s="296">
        <v>0</v>
      </c>
      <c r="E994" s="296">
        <v>0</v>
      </c>
      <c r="F994" s="296">
        <v>0</v>
      </c>
      <c r="G994" s="296">
        <v>0</v>
      </c>
      <c r="H994" s="296">
        <v>0</v>
      </c>
      <c r="I994" s="296">
        <v>0</v>
      </c>
      <c r="J994" s="294"/>
      <c r="Q994" s="367"/>
      <c r="R994" s="413"/>
    </row>
    <row r="995" spans="1:18" hidden="1" outlineLevel="1" x14ac:dyDescent="0.3">
      <c r="A995" s="294" t="s">
        <v>6028</v>
      </c>
      <c r="B995" s="294" t="s">
        <v>894</v>
      </c>
      <c r="C995" s="294" t="s">
        <v>788</v>
      </c>
      <c r="D995" s="296">
        <v>0</v>
      </c>
      <c r="E995" s="296">
        <v>0</v>
      </c>
      <c r="F995" s="296">
        <v>0</v>
      </c>
      <c r="G995" s="296">
        <v>0</v>
      </c>
      <c r="H995" s="296">
        <v>0</v>
      </c>
      <c r="I995" s="296">
        <v>0</v>
      </c>
      <c r="J995" s="294"/>
      <c r="Q995" s="367"/>
      <c r="R995" s="413"/>
    </row>
    <row r="996" spans="1:18" hidden="1" outlineLevel="1" x14ac:dyDescent="0.3">
      <c r="A996" s="294" t="s">
        <v>6028</v>
      </c>
      <c r="B996" s="294" t="s">
        <v>894</v>
      </c>
      <c r="C996" s="294" t="s">
        <v>789</v>
      </c>
      <c r="D996" s="296">
        <v>0</v>
      </c>
      <c r="E996" s="296">
        <v>0</v>
      </c>
      <c r="F996" s="296">
        <v>0</v>
      </c>
      <c r="G996" s="296">
        <v>0</v>
      </c>
      <c r="H996" s="296">
        <v>0</v>
      </c>
      <c r="I996" s="296">
        <v>0</v>
      </c>
      <c r="J996" s="294"/>
      <c r="Q996" s="367"/>
    </row>
    <row r="997" spans="1:18" hidden="1" outlineLevel="1" x14ac:dyDescent="0.3">
      <c r="A997" s="294" t="s">
        <v>6028</v>
      </c>
      <c r="B997" s="294" t="s">
        <v>894</v>
      </c>
      <c r="C997" s="294" t="s">
        <v>790</v>
      </c>
      <c r="D997" s="296">
        <v>0</v>
      </c>
      <c r="E997" s="296">
        <v>0</v>
      </c>
      <c r="F997" s="296">
        <v>0</v>
      </c>
      <c r="G997" s="296">
        <v>0</v>
      </c>
      <c r="H997" s="296">
        <v>0</v>
      </c>
      <c r="I997" s="296">
        <v>0</v>
      </c>
      <c r="J997" s="294"/>
      <c r="Q997" s="367"/>
    </row>
    <row r="998" spans="1:18" hidden="1" outlineLevel="1" x14ac:dyDescent="0.3">
      <c r="A998" s="294" t="s">
        <v>6028</v>
      </c>
      <c r="B998" s="294" t="s">
        <v>894</v>
      </c>
      <c r="C998" s="294" t="s">
        <v>793</v>
      </c>
      <c r="D998" s="296">
        <v>0</v>
      </c>
      <c r="E998" s="296">
        <v>0</v>
      </c>
      <c r="F998" s="296">
        <v>0</v>
      </c>
      <c r="G998" s="296">
        <v>0</v>
      </c>
      <c r="H998" s="296">
        <v>0</v>
      </c>
      <c r="I998" s="296">
        <v>0</v>
      </c>
      <c r="J998" s="294"/>
      <c r="Q998" s="367"/>
    </row>
    <row r="999" spans="1:18" hidden="1" outlineLevel="1" x14ac:dyDescent="0.3">
      <c r="A999" s="294" t="s">
        <v>6028</v>
      </c>
      <c r="B999" s="294" t="s">
        <v>894</v>
      </c>
      <c r="C999" s="294" t="s">
        <v>795</v>
      </c>
      <c r="D999" s="296">
        <v>0</v>
      </c>
      <c r="E999" s="296">
        <v>0</v>
      </c>
      <c r="F999" s="296">
        <v>0</v>
      </c>
      <c r="G999" s="296">
        <v>0</v>
      </c>
      <c r="H999" s="296">
        <v>0</v>
      </c>
      <c r="I999" s="296">
        <v>0</v>
      </c>
      <c r="J999" s="294"/>
      <c r="Q999" s="367"/>
    </row>
    <row r="1000" spans="1:18" hidden="1" outlineLevel="1" x14ac:dyDescent="0.3">
      <c r="A1000" s="294" t="s">
        <v>6028</v>
      </c>
      <c r="B1000" s="294" t="s">
        <v>894</v>
      </c>
      <c r="C1000" s="294" t="s">
        <v>797</v>
      </c>
      <c r="D1000" s="296">
        <v>0</v>
      </c>
      <c r="E1000" s="296">
        <v>0</v>
      </c>
      <c r="F1000" s="296">
        <v>0</v>
      </c>
      <c r="G1000" s="296">
        <v>0</v>
      </c>
      <c r="H1000" s="296">
        <v>0</v>
      </c>
      <c r="I1000" s="296">
        <v>0</v>
      </c>
      <c r="J1000" s="294"/>
      <c r="Q1000" s="367"/>
    </row>
    <row r="1001" spans="1:18" hidden="1" outlineLevel="1" x14ac:dyDescent="0.3">
      <c r="A1001" s="294" t="s">
        <v>6028</v>
      </c>
      <c r="B1001" s="294" t="s">
        <v>915</v>
      </c>
      <c r="C1001" s="294" t="s">
        <v>799</v>
      </c>
      <c r="D1001" s="296">
        <v>0</v>
      </c>
      <c r="E1001" s="296">
        <v>0</v>
      </c>
      <c r="F1001" s="296">
        <v>0</v>
      </c>
      <c r="G1001" s="296">
        <v>0</v>
      </c>
      <c r="H1001" s="296">
        <v>0</v>
      </c>
      <c r="I1001" s="296">
        <v>0</v>
      </c>
      <c r="J1001" s="294"/>
      <c r="Q1001" s="367"/>
    </row>
    <row r="1002" spans="1:18" hidden="1" outlineLevel="1" x14ac:dyDescent="0.3">
      <c r="A1002" s="294" t="s">
        <v>6028</v>
      </c>
      <c r="B1002" s="294" t="s">
        <v>915</v>
      </c>
      <c r="C1002" s="294" t="s">
        <v>801</v>
      </c>
      <c r="D1002" s="296">
        <v>0</v>
      </c>
      <c r="E1002" s="296">
        <v>0</v>
      </c>
      <c r="F1002" s="296">
        <v>0</v>
      </c>
      <c r="G1002" s="296">
        <v>0</v>
      </c>
      <c r="H1002" s="296">
        <v>0</v>
      </c>
      <c r="I1002" s="296">
        <v>0</v>
      </c>
      <c r="J1002" s="294"/>
      <c r="Q1002" s="367"/>
    </row>
    <row r="1003" spans="1:18" hidden="1" outlineLevel="1" x14ac:dyDescent="0.3">
      <c r="A1003" s="294" t="s">
        <v>6028</v>
      </c>
      <c r="B1003" s="294" t="s">
        <v>915</v>
      </c>
      <c r="C1003" s="294" t="s">
        <v>804</v>
      </c>
      <c r="D1003" s="296">
        <v>0</v>
      </c>
      <c r="E1003" s="296">
        <v>0</v>
      </c>
      <c r="F1003" s="296">
        <v>0</v>
      </c>
      <c r="G1003" s="296">
        <v>0</v>
      </c>
      <c r="H1003" s="296">
        <v>0</v>
      </c>
      <c r="I1003" s="296">
        <v>0</v>
      </c>
      <c r="J1003" s="294"/>
      <c r="Q1003" s="367"/>
    </row>
    <row r="1004" spans="1:18" hidden="1" outlineLevel="1" x14ac:dyDescent="0.3">
      <c r="A1004" s="294" t="s">
        <v>6028</v>
      </c>
      <c r="B1004" s="294" t="s">
        <v>915</v>
      </c>
      <c r="C1004" s="294" t="s">
        <v>806</v>
      </c>
      <c r="D1004" s="296">
        <v>0</v>
      </c>
      <c r="E1004" s="296">
        <v>0</v>
      </c>
      <c r="F1004" s="296">
        <v>0</v>
      </c>
      <c r="G1004" s="296">
        <v>0</v>
      </c>
      <c r="H1004" s="296">
        <v>0</v>
      </c>
      <c r="I1004" s="296">
        <v>0</v>
      </c>
      <c r="J1004" s="294"/>
      <c r="Q1004" s="367"/>
    </row>
    <row r="1005" spans="1:18" hidden="1" outlineLevel="1" x14ac:dyDescent="0.3">
      <c r="A1005" s="294" t="s">
        <v>6028</v>
      </c>
      <c r="B1005" s="294" t="s">
        <v>915</v>
      </c>
      <c r="C1005" s="294" t="s">
        <v>808</v>
      </c>
      <c r="D1005" s="296">
        <v>0</v>
      </c>
      <c r="E1005" s="296">
        <v>0</v>
      </c>
      <c r="F1005" s="296">
        <v>0</v>
      </c>
      <c r="G1005" s="296">
        <v>0</v>
      </c>
      <c r="H1005" s="296">
        <v>0</v>
      </c>
      <c r="I1005" s="296">
        <v>0</v>
      </c>
      <c r="J1005" s="294"/>
      <c r="Q1005" s="367"/>
    </row>
    <row r="1006" spans="1:18" hidden="1" outlineLevel="1" x14ac:dyDescent="0.3">
      <c r="A1006" s="294" t="s">
        <v>6028</v>
      </c>
      <c r="B1006" s="294" t="s">
        <v>915</v>
      </c>
      <c r="C1006" s="294" t="s">
        <v>811</v>
      </c>
      <c r="D1006" s="296">
        <v>0</v>
      </c>
      <c r="E1006" s="296">
        <v>0</v>
      </c>
      <c r="F1006" s="296">
        <v>0</v>
      </c>
      <c r="G1006" s="296">
        <v>0</v>
      </c>
      <c r="H1006" s="296">
        <v>0</v>
      </c>
      <c r="I1006" s="296">
        <v>0</v>
      </c>
      <c r="J1006" s="294"/>
      <c r="Q1006" s="367"/>
    </row>
    <row r="1007" spans="1:18" hidden="1" outlineLevel="1" x14ac:dyDescent="0.3">
      <c r="A1007" s="294" t="s">
        <v>6028</v>
      </c>
      <c r="B1007" s="294" t="s">
        <v>934</v>
      </c>
      <c r="C1007" s="294" t="s">
        <v>814</v>
      </c>
      <c r="D1007" s="296">
        <v>0</v>
      </c>
      <c r="E1007" s="296">
        <v>0</v>
      </c>
      <c r="F1007" s="296">
        <v>0</v>
      </c>
      <c r="G1007" s="296">
        <v>0</v>
      </c>
      <c r="H1007" s="296">
        <v>0</v>
      </c>
      <c r="I1007" s="296">
        <v>0</v>
      </c>
      <c r="J1007" s="294"/>
      <c r="Q1007" s="367"/>
    </row>
    <row r="1008" spans="1:18" hidden="1" outlineLevel="1" x14ac:dyDescent="0.3">
      <c r="A1008" s="294" t="s">
        <v>6028</v>
      </c>
      <c r="B1008" s="294" t="s">
        <v>934</v>
      </c>
      <c r="C1008" s="294" t="s">
        <v>815</v>
      </c>
      <c r="D1008" s="296">
        <v>0</v>
      </c>
      <c r="E1008" s="296">
        <v>0</v>
      </c>
      <c r="F1008" s="296">
        <v>0</v>
      </c>
      <c r="G1008" s="296">
        <v>0</v>
      </c>
      <c r="H1008" s="296">
        <v>0</v>
      </c>
      <c r="I1008" s="296">
        <v>0</v>
      </c>
      <c r="J1008" s="294"/>
      <c r="Q1008" s="367"/>
    </row>
    <row r="1009" spans="1:17" hidden="1" outlineLevel="1" x14ac:dyDescent="0.3">
      <c r="A1009" s="294" t="s">
        <v>6028</v>
      </c>
      <c r="B1009" s="294" t="s">
        <v>940</v>
      </c>
      <c r="C1009" s="294" t="s">
        <v>817</v>
      </c>
      <c r="D1009" s="296">
        <v>0</v>
      </c>
      <c r="E1009" s="296">
        <v>0</v>
      </c>
      <c r="F1009" s="296">
        <v>0</v>
      </c>
      <c r="G1009" s="296">
        <v>0</v>
      </c>
      <c r="H1009" s="296">
        <v>0</v>
      </c>
      <c r="I1009" s="296">
        <v>0</v>
      </c>
      <c r="J1009" s="294"/>
      <c r="Q1009" s="367"/>
    </row>
    <row r="1010" spans="1:17" hidden="1" outlineLevel="1" x14ac:dyDescent="0.3">
      <c r="A1010" s="294" t="s">
        <v>6028</v>
      </c>
      <c r="B1010" s="294" t="s">
        <v>940</v>
      </c>
      <c r="C1010" s="294" t="s">
        <v>944</v>
      </c>
      <c r="D1010" s="296">
        <v>0</v>
      </c>
      <c r="E1010" s="296">
        <v>0</v>
      </c>
      <c r="F1010" s="296">
        <v>0</v>
      </c>
      <c r="G1010" s="296">
        <v>0</v>
      </c>
      <c r="H1010" s="296">
        <v>0</v>
      </c>
      <c r="I1010" s="296">
        <v>0</v>
      </c>
      <c r="J1010" s="294"/>
      <c r="Q1010" s="367"/>
    </row>
    <row r="1011" spans="1:17" hidden="1" outlineLevel="1" x14ac:dyDescent="0.3">
      <c r="A1011" s="294" t="s">
        <v>6028</v>
      </c>
      <c r="B1011" s="294" t="s">
        <v>940</v>
      </c>
      <c r="C1011" s="294" t="s">
        <v>821</v>
      </c>
      <c r="D1011" s="296">
        <v>0</v>
      </c>
      <c r="E1011" s="296">
        <v>0</v>
      </c>
      <c r="F1011" s="296">
        <v>0</v>
      </c>
      <c r="G1011" s="296">
        <v>0</v>
      </c>
      <c r="H1011" s="296">
        <v>0</v>
      </c>
      <c r="I1011" s="296">
        <v>0</v>
      </c>
      <c r="J1011" s="294"/>
      <c r="Q1011" s="367"/>
    </row>
    <row r="1012" spans="1:17" hidden="1" outlineLevel="1" x14ac:dyDescent="0.3">
      <c r="A1012" s="294" t="s">
        <v>6028</v>
      </c>
      <c r="B1012" s="294" t="s">
        <v>940</v>
      </c>
      <c r="C1012" s="294" t="s">
        <v>823</v>
      </c>
      <c r="D1012" s="296">
        <v>0</v>
      </c>
      <c r="E1012" s="296">
        <v>0</v>
      </c>
      <c r="F1012" s="296">
        <v>0</v>
      </c>
      <c r="G1012" s="296">
        <v>0</v>
      </c>
      <c r="H1012" s="296">
        <v>0</v>
      </c>
      <c r="I1012" s="296">
        <v>0</v>
      </c>
      <c r="J1012" s="294"/>
      <c r="Q1012" s="367"/>
    </row>
    <row r="1013" spans="1:17" hidden="1" outlineLevel="1" x14ac:dyDescent="0.3">
      <c r="A1013" s="294" t="s">
        <v>6028</v>
      </c>
      <c r="B1013" s="294" t="s">
        <v>940</v>
      </c>
      <c r="C1013" s="294" t="s">
        <v>825</v>
      </c>
      <c r="D1013" s="296">
        <v>0</v>
      </c>
      <c r="E1013" s="296">
        <v>0</v>
      </c>
      <c r="F1013" s="296">
        <v>0</v>
      </c>
      <c r="G1013" s="296">
        <v>0</v>
      </c>
      <c r="H1013" s="296">
        <v>0</v>
      </c>
      <c r="I1013" s="296">
        <v>0</v>
      </c>
      <c r="J1013" s="294"/>
      <c r="Q1013" s="367"/>
    </row>
    <row r="1014" spans="1:17" hidden="1" outlineLevel="1" x14ac:dyDescent="0.3">
      <c r="A1014" s="294" t="s">
        <v>6028</v>
      </c>
      <c r="B1014" s="294" t="s">
        <v>940</v>
      </c>
      <c r="C1014" s="294" t="s">
        <v>827</v>
      </c>
      <c r="D1014" s="296">
        <v>0</v>
      </c>
      <c r="E1014" s="296">
        <v>0</v>
      </c>
      <c r="F1014" s="296">
        <v>0</v>
      </c>
      <c r="G1014" s="296">
        <v>0</v>
      </c>
      <c r="H1014" s="296">
        <v>0</v>
      </c>
      <c r="I1014" s="296">
        <v>0</v>
      </c>
      <c r="J1014" s="294"/>
      <c r="Q1014" s="367"/>
    </row>
    <row r="1015" spans="1:17" hidden="1" outlineLevel="1" x14ac:dyDescent="0.3">
      <c r="A1015" s="294" t="s">
        <v>6028</v>
      </c>
      <c r="B1015" s="294" t="s">
        <v>940</v>
      </c>
      <c r="C1015" s="294" t="s">
        <v>829</v>
      </c>
      <c r="D1015" s="296">
        <v>0</v>
      </c>
      <c r="E1015" s="296">
        <v>0</v>
      </c>
      <c r="F1015" s="296">
        <v>0</v>
      </c>
      <c r="G1015" s="296">
        <v>0</v>
      </c>
      <c r="H1015" s="296">
        <v>0</v>
      </c>
      <c r="I1015" s="296">
        <v>0</v>
      </c>
      <c r="J1015" s="294"/>
      <c r="Q1015" s="367"/>
    </row>
    <row r="1016" spans="1:17" hidden="1" outlineLevel="1" x14ac:dyDescent="0.3">
      <c r="A1016" s="294" t="s">
        <v>6028</v>
      </c>
      <c r="B1016" s="294" t="s">
        <v>940</v>
      </c>
      <c r="C1016" s="294" t="s">
        <v>833</v>
      </c>
      <c r="D1016" s="296">
        <v>0</v>
      </c>
      <c r="E1016" s="296">
        <v>0</v>
      </c>
      <c r="F1016" s="296">
        <v>0</v>
      </c>
      <c r="G1016" s="296">
        <v>0</v>
      </c>
      <c r="H1016" s="296">
        <v>0</v>
      </c>
      <c r="I1016" s="296">
        <v>0</v>
      </c>
      <c r="J1016" s="294"/>
      <c r="Q1016" s="367"/>
    </row>
    <row r="1017" spans="1:17" hidden="1" outlineLevel="1" x14ac:dyDescent="0.3">
      <c r="A1017" s="294" t="s">
        <v>6028</v>
      </c>
      <c r="B1017" s="294" t="s">
        <v>940</v>
      </c>
      <c r="C1017" s="294" t="s">
        <v>836</v>
      </c>
      <c r="D1017" s="296">
        <v>0</v>
      </c>
      <c r="E1017" s="296">
        <v>0</v>
      </c>
      <c r="F1017" s="296">
        <v>0</v>
      </c>
      <c r="G1017" s="296">
        <v>0</v>
      </c>
      <c r="H1017" s="296">
        <v>0</v>
      </c>
      <c r="I1017" s="296">
        <v>0</v>
      </c>
      <c r="J1017" s="294"/>
      <c r="Q1017" s="367"/>
    </row>
    <row r="1018" spans="1:17" hidden="1" outlineLevel="1" x14ac:dyDescent="0.3">
      <c r="A1018" s="294" t="s">
        <v>6028</v>
      </c>
      <c r="B1018" s="294" t="s">
        <v>940</v>
      </c>
      <c r="C1018" s="294" t="s">
        <v>837</v>
      </c>
      <c r="D1018" s="296">
        <v>0</v>
      </c>
      <c r="E1018" s="296">
        <v>0</v>
      </c>
      <c r="F1018" s="296">
        <v>0</v>
      </c>
      <c r="G1018" s="296">
        <v>0</v>
      </c>
      <c r="H1018" s="296">
        <v>0</v>
      </c>
      <c r="I1018" s="296">
        <v>0</v>
      </c>
      <c r="J1018" s="294"/>
      <c r="Q1018" s="367"/>
    </row>
    <row r="1019" spans="1:17" hidden="1" outlineLevel="1" x14ac:dyDescent="0.3">
      <c r="A1019" s="294" t="s">
        <v>6028</v>
      </c>
      <c r="B1019" s="294" t="s">
        <v>940</v>
      </c>
      <c r="C1019" s="294" t="s">
        <v>839</v>
      </c>
      <c r="D1019" s="296">
        <v>0</v>
      </c>
      <c r="E1019" s="296">
        <v>0</v>
      </c>
      <c r="F1019" s="296">
        <v>0</v>
      </c>
      <c r="G1019" s="296">
        <v>0</v>
      </c>
      <c r="H1019" s="296">
        <v>0</v>
      </c>
      <c r="I1019" s="296">
        <v>0</v>
      </c>
      <c r="J1019" s="294"/>
      <c r="Q1019" s="367"/>
    </row>
    <row r="1020" spans="1:17" hidden="1" outlineLevel="1" x14ac:dyDescent="0.3">
      <c r="A1020" s="294" t="s">
        <v>6028</v>
      </c>
      <c r="B1020" s="294" t="s">
        <v>940</v>
      </c>
      <c r="C1020" s="294" t="s">
        <v>840</v>
      </c>
      <c r="D1020" s="296">
        <v>0</v>
      </c>
      <c r="E1020" s="296">
        <v>0</v>
      </c>
      <c r="F1020" s="296">
        <v>0</v>
      </c>
      <c r="G1020" s="296">
        <v>0</v>
      </c>
      <c r="H1020" s="296">
        <v>0</v>
      </c>
      <c r="I1020" s="296">
        <v>0</v>
      </c>
      <c r="J1020" s="294"/>
      <c r="Q1020" s="367"/>
    </row>
    <row r="1021" spans="1:17" collapsed="1" x14ac:dyDescent="0.3">
      <c r="A1021" s="294"/>
      <c r="B1021" s="294"/>
      <c r="C1021" s="293"/>
      <c r="D1021" s="295"/>
      <c r="E1021" s="295"/>
      <c r="F1021" s="294"/>
      <c r="G1021" s="294"/>
      <c r="H1021" s="294"/>
      <c r="I1021" s="294"/>
      <c r="J1021" s="294"/>
    </row>
    <row r="1022" spans="1:17" x14ac:dyDescent="0.3">
      <c r="A1022" s="293" t="s">
        <v>6029</v>
      </c>
      <c r="B1022" s="58"/>
      <c r="C1022" s="298" t="s">
        <v>4032</v>
      </c>
      <c r="D1022" s="294">
        <v>0</v>
      </c>
      <c r="E1022" s="294">
        <v>0</v>
      </c>
      <c r="F1022" s="294">
        <v>0</v>
      </c>
      <c r="G1022" s="294">
        <v>0</v>
      </c>
      <c r="H1022" s="294">
        <v>0</v>
      </c>
      <c r="I1022" s="294">
        <v>0</v>
      </c>
      <c r="J1022" s="293"/>
    </row>
    <row r="1023" spans="1:17" x14ac:dyDescent="0.3">
      <c r="A1023" s="297" t="s">
        <v>5</v>
      </c>
      <c r="B1023" s="297" t="s">
        <v>847</v>
      </c>
      <c r="C1023" s="297" t="s">
        <v>193</v>
      </c>
      <c r="D1023" s="297">
        <v>2022</v>
      </c>
      <c r="E1023" s="297">
        <v>2025</v>
      </c>
      <c r="F1023" s="297">
        <v>2030</v>
      </c>
      <c r="G1023" s="297">
        <v>2035</v>
      </c>
      <c r="H1023" s="297">
        <v>2040</v>
      </c>
      <c r="I1023" s="297">
        <v>2045</v>
      </c>
      <c r="J1023" s="297" t="s">
        <v>153</v>
      </c>
    </row>
    <row r="1024" spans="1:17" hidden="1" outlineLevel="1" x14ac:dyDescent="0.3">
      <c r="A1024" s="294" t="s">
        <v>6029</v>
      </c>
      <c r="B1024" s="294" t="s">
        <v>855</v>
      </c>
      <c r="C1024" s="294" t="s">
        <v>747</v>
      </c>
      <c r="D1024" s="296">
        <v>0</v>
      </c>
      <c r="E1024" s="296">
        <v>0</v>
      </c>
      <c r="F1024" s="296">
        <v>0</v>
      </c>
      <c r="G1024" s="296">
        <v>0</v>
      </c>
      <c r="H1024" s="296">
        <v>0</v>
      </c>
      <c r="I1024" s="296">
        <v>0</v>
      </c>
      <c r="J1024" s="294"/>
    </row>
    <row r="1025" spans="1:10" hidden="1" outlineLevel="1" x14ac:dyDescent="0.3">
      <c r="A1025" s="294" t="s">
        <v>6029</v>
      </c>
      <c r="B1025" s="294" t="s">
        <v>855</v>
      </c>
      <c r="C1025" s="294" t="s">
        <v>751</v>
      </c>
      <c r="D1025" s="296">
        <v>0</v>
      </c>
      <c r="E1025" s="296">
        <v>0</v>
      </c>
      <c r="F1025" s="296">
        <v>0</v>
      </c>
      <c r="G1025" s="296">
        <v>0</v>
      </c>
      <c r="H1025" s="296">
        <v>0</v>
      </c>
      <c r="I1025" s="296">
        <v>0</v>
      </c>
      <c r="J1025" s="294"/>
    </row>
    <row r="1026" spans="1:10" hidden="1" outlineLevel="1" x14ac:dyDescent="0.3">
      <c r="A1026" s="294" t="s">
        <v>6029</v>
      </c>
      <c r="B1026" s="294" t="s">
        <v>855</v>
      </c>
      <c r="C1026" s="294" t="s">
        <v>755</v>
      </c>
      <c r="D1026" s="296">
        <v>0</v>
      </c>
      <c r="E1026" s="296">
        <v>0</v>
      </c>
      <c r="F1026" s="296">
        <v>0</v>
      </c>
      <c r="G1026" s="296">
        <v>0</v>
      </c>
      <c r="H1026" s="296">
        <v>0</v>
      </c>
      <c r="I1026" s="296">
        <v>0</v>
      </c>
      <c r="J1026" s="294"/>
    </row>
    <row r="1027" spans="1:10" hidden="1" outlineLevel="1" x14ac:dyDescent="0.3">
      <c r="A1027" s="294" t="s">
        <v>6029</v>
      </c>
      <c r="B1027" s="294" t="s">
        <v>855</v>
      </c>
      <c r="C1027" s="294" t="s">
        <v>758</v>
      </c>
      <c r="D1027" s="296">
        <v>0</v>
      </c>
      <c r="E1027" s="296">
        <v>0</v>
      </c>
      <c r="F1027" s="296">
        <v>0</v>
      </c>
      <c r="G1027" s="296">
        <v>0</v>
      </c>
      <c r="H1027" s="296">
        <v>0</v>
      </c>
      <c r="I1027" s="296">
        <v>0</v>
      </c>
      <c r="J1027" s="294"/>
    </row>
    <row r="1028" spans="1:10" hidden="1" outlineLevel="1" x14ac:dyDescent="0.3">
      <c r="A1028" s="294" t="s">
        <v>6029</v>
      </c>
      <c r="B1028" s="294" t="s">
        <v>855</v>
      </c>
      <c r="C1028" s="294" t="s">
        <v>761</v>
      </c>
      <c r="D1028" s="296">
        <v>0</v>
      </c>
      <c r="E1028" s="296">
        <v>0</v>
      </c>
      <c r="F1028" s="296">
        <v>0</v>
      </c>
      <c r="G1028" s="296">
        <v>0</v>
      </c>
      <c r="H1028" s="296">
        <v>0</v>
      </c>
      <c r="I1028" s="296">
        <v>0</v>
      </c>
      <c r="J1028" s="294"/>
    </row>
    <row r="1029" spans="1:10" hidden="1" outlineLevel="1" x14ac:dyDescent="0.3">
      <c r="A1029" s="294" t="s">
        <v>6029</v>
      </c>
      <c r="B1029" s="294" t="s">
        <v>855</v>
      </c>
      <c r="C1029" s="294" t="s">
        <v>763</v>
      </c>
      <c r="D1029" s="296">
        <v>0</v>
      </c>
      <c r="E1029" s="296">
        <v>0</v>
      </c>
      <c r="F1029" s="296">
        <v>0</v>
      </c>
      <c r="G1029" s="296">
        <v>0</v>
      </c>
      <c r="H1029" s="296">
        <v>0</v>
      </c>
      <c r="I1029" s="296">
        <v>0</v>
      </c>
      <c r="J1029" s="294"/>
    </row>
    <row r="1030" spans="1:10" hidden="1" outlineLevel="1" x14ac:dyDescent="0.3">
      <c r="A1030" s="294" t="s">
        <v>6029</v>
      </c>
      <c r="B1030" s="294" t="s">
        <v>855</v>
      </c>
      <c r="C1030" s="294" t="s">
        <v>765</v>
      </c>
      <c r="D1030" s="296">
        <v>0</v>
      </c>
      <c r="E1030" s="296">
        <v>0</v>
      </c>
      <c r="F1030" s="296">
        <v>0</v>
      </c>
      <c r="G1030" s="296">
        <v>0</v>
      </c>
      <c r="H1030" s="296">
        <v>0</v>
      </c>
      <c r="I1030" s="296">
        <v>0</v>
      </c>
      <c r="J1030" s="294"/>
    </row>
    <row r="1031" spans="1:10" hidden="1" outlineLevel="1" x14ac:dyDescent="0.3">
      <c r="A1031" s="294" t="s">
        <v>6029</v>
      </c>
      <c r="B1031" s="294" t="s">
        <v>855</v>
      </c>
      <c r="C1031" s="294" t="s">
        <v>768</v>
      </c>
      <c r="D1031" s="296">
        <v>0</v>
      </c>
      <c r="E1031" s="296">
        <v>0</v>
      </c>
      <c r="F1031" s="296">
        <v>0</v>
      </c>
      <c r="G1031" s="296">
        <v>0</v>
      </c>
      <c r="H1031" s="296">
        <v>0</v>
      </c>
      <c r="I1031" s="296">
        <v>0</v>
      </c>
      <c r="J1031" s="294"/>
    </row>
    <row r="1032" spans="1:10" hidden="1" outlineLevel="1" x14ac:dyDescent="0.3">
      <c r="A1032" s="294" t="s">
        <v>6029</v>
      </c>
      <c r="B1032" s="294" t="s">
        <v>855</v>
      </c>
      <c r="C1032" s="294" t="s">
        <v>771</v>
      </c>
      <c r="D1032" s="296">
        <v>0</v>
      </c>
      <c r="E1032" s="296">
        <v>0</v>
      </c>
      <c r="F1032" s="296">
        <v>0</v>
      </c>
      <c r="G1032" s="296">
        <v>0</v>
      </c>
      <c r="H1032" s="296">
        <v>0</v>
      </c>
      <c r="I1032" s="296">
        <v>0</v>
      </c>
      <c r="J1032" s="294"/>
    </row>
    <row r="1033" spans="1:10" hidden="1" outlineLevel="1" x14ac:dyDescent="0.3">
      <c r="A1033" s="294" t="s">
        <v>6029</v>
      </c>
      <c r="B1033" s="294" t="s">
        <v>855</v>
      </c>
      <c r="C1033" s="294" t="s">
        <v>772</v>
      </c>
      <c r="D1033" s="296">
        <v>0</v>
      </c>
      <c r="E1033" s="296">
        <v>0</v>
      </c>
      <c r="F1033" s="296">
        <v>0</v>
      </c>
      <c r="G1033" s="296">
        <v>0</v>
      </c>
      <c r="H1033" s="296">
        <v>0</v>
      </c>
      <c r="I1033" s="296">
        <v>0</v>
      </c>
      <c r="J1033" s="294"/>
    </row>
    <row r="1034" spans="1:10" hidden="1" outlineLevel="1" x14ac:dyDescent="0.3">
      <c r="A1034" s="294" t="s">
        <v>6029</v>
      </c>
      <c r="B1034" s="294" t="s">
        <v>855</v>
      </c>
      <c r="C1034" s="294" t="s">
        <v>774</v>
      </c>
      <c r="D1034" s="296">
        <v>0</v>
      </c>
      <c r="E1034" s="296">
        <v>0</v>
      </c>
      <c r="F1034" s="296">
        <v>0</v>
      </c>
      <c r="G1034" s="296">
        <v>0</v>
      </c>
      <c r="H1034" s="296">
        <v>0</v>
      </c>
      <c r="I1034" s="296">
        <v>0</v>
      </c>
      <c r="J1034" s="294"/>
    </row>
    <row r="1035" spans="1:10" hidden="1" outlineLevel="1" x14ac:dyDescent="0.3">
      <c r="A1035" s="294" t="s">
        <v>6029</v>
      </c>
      <c r="B1035" s="294" t="s">
        <v>855</v>
      </c>
      <c r="C1035" s="294" t="s">
        <v>775</v>
      </c>
      <c r="D1035" s="296">
        <v>0</v>
      </c>
      <c r="E1035" s="296">
        <v>0</v>
      </c>
      <c r="F1035" s="296">
        <v>0</v>
      </c>
      <c r="G1035" s="296">
        <v>0</v>
      </c>
      <c r="H1035" s="296">
        <v>0</v>
      </c>
      <c r="I1035" s="296">
        <v>0</v>
      </c>
      <c r="J1035" s="294"/>
    </row>
    <row r="1036" spans="1:10" hidden="1" outlineLevel="1" x14ac:dyDescent="0.3">
      <c r="A1036" s="294" t="s">
        <v>6029</v>
      </c>
      <c r="B1036" s="294" t="s">
        <v>855</v>
      </c>
      <c r="C1036" s="294" t="s">
        <v>779</v>
      </c>
      <c r="D1036" s="296">
        <v>0</v>
      </c>
      <c r="E1036" s="296">
        <v>0</v>
      </c>
      <c r="F1036" s="296">
        <v>0</v>
      </c>
      <c r="G1036" s="296">
        <v>0</v>
      </c>
      <c r="H1036" s="296">
        <v>0</v>
      </c>
      <c r="I1036" s="296">
        <v>0</v>
      </c>
      <c r="J1036" s="294"/>
    </row>
    <row r="1037" spans="1:10" hidden="1" outlineLevel="1" x14ac:dyDescent="0.3">
      <c r="A1037" s="294" t="s">
        <v>6029</v>
      </c>
      <c r="B1037" s="294" t="s">
        <v>894</v>
      </c>
      <c r="C1037" s="294" t="s">
        <v>781</v>
      </c>
      <c r="D1037" s="296">
        <v>0</v>
      </c>
      <c r="E1037" s="296">
        <v>0</v>
      </c>
      <c r="F1037" s="296">
        <v>0</v>
      </c>
      <c r="G1037" s="296">
        <v>0</v>
      </c>
      <c r="H1037" s="296">
        <v>0</v>
      </c>
      <c r="I1037" s="296">
        <v>0</v>
      </c>
      <c r="J1037" s="294"/>
    </row>
    <row r="1038" spans="1:10" hidden="1" outlineLevel="1" x14ac:dyDescent="0.3">
      <c r="A1038" s="294" t="s">
        <v>6029</v>
      </c>
      <c r="B1038" s="294" t="s">
        <v>894</v>
      </c>
      <c r="C1038" s="294" t="s">
        <v>783</v>
      </c>
      <c r="D1038" s="296">
        <v>0</v>
      </c>
      <c r="E1038" s="296">
        <v>0</v>
      </c>
      <c r="F1038" s="296">
        <v>0</v>
      </c>
      <c r="G1038" s="296">
        <v>0</v>
      </c>
      <c r="H1038" s="296">
        <v>0</v>
      </c>
      <c r="I1038" s="296">
        <v>0</v>
      </c>
      <c r="J1038" s="294"/>
    </row>
    <row r="1039" spans="1:10" hidden="1" outlineLevel="1" x14ac:dyDescent="0.3">
      <c r="A1039" s="294" t="s">
        <v>6029</v>
      </c>
      <c r="B1039" s="294" t="s">
        <v>894</v>
      </c>
      <c r="C1039" s="294" t="s">
        <v>785</v>
      </c>
      <c r="D1039" s="296">
        <v>0</v>
      </c>
      <c r="E1039" s="296">
        <v>0</v>
      </c>
      <c r="F1039" s="296">
        <v>0</v>
      </c>
      <c r="G1039" s="296">
        <v>0</v>
      </c>
      <c r="H1039" s="296">
        <v>0</v>
      </c>
      <c r="I1039" s="296">
        <v>0</v>
      </c>
      <c r="J1039" s="294"/>
    </row>
    <row r="1040" spans="1:10" hidden="1" outlineLevel="1" x14ac:dyDescent="0.3">
      <c r="A1040" s="294" t="s">
        <v>6029</v>
      </c>
      <c r="B1040" s="294" t="s">
        <v>894</v>
      </c>
      <c r="C1040" s="294" t="s">
        <v>787</v>
      </c>
      <c r="D1040" s="296">
        <v>0</v>
      </c>
      <c r="E1040" s="296">
        <v>0</v>
      </c>
      <c r="F1040" s="296">
        <v>0</v>
      </c>
      <c r="G1040" s="296">
        <v>0</v>
      </c>
      <c r="H1040" s="296">
        <v>0</v>
      </c>
      <c r="I1040" s="296">
        <v>0</v>
      </c>
      <c r="J1040" s="294"/>
    </row>
    <row r="1041" spans="1:10" hidden="1" outlineLevel="1" x14ac:dyDescent="0.3">
      <c r="A1041" s="294" t="s">
        <v>6029</v>
      </c>
      <c r="B1041" s="294" t="s">
        <v>894</v>
      </c>
      <c r="C1041" s="294" t="s">
        <v>788</v>
      </c>
      <c r="D1041" s="296">
        <v>0</v>
      </c>
      <c r="E1041" s="296">
        <v>0</v>
      </c>
      <c r="F1041" s="296">
        <v>0</v>
      </c>
      <c r="G1041" s="296">
        <v>0</v>
      </c>
      <c r="H1041" s="296">
        <v>0</v>
      </c>
      <c r="I1041" s="296">
        <v>0</v>
      </c>
      <c r="J1041" s="294"/>
    </row>
    <row r="1042" spans="1:10" hidden="1" outlineLevel="1" x14ac:dyDescent="0.3">
      <c r="A1042" s="294" t="s">
        <v>6029</v>
      </c>
      <c r="B1042" s="294" t="s">
        <v>894</v>
      </c>
      <c r="C1042" s="294" t="s">
        <v>789</v>
      </c>
      <c r="D1042" s="296">
        <v>0</v>
      </c>
      <c r="E1042" s="296">
        <v>0</v>
      </c>
      <c r="F1042" s="296">
        <v>0</v>
      </c>
      <c r="G1042" s="296">
        <v>0</v>
      </c>
      <c r="H1042" s="296">
        <v>0</v>
      </c>
      <c r="I1042" s="296">
        <v>0</v>
      </c>
      <c r="J1042" s="294"/>
    </row>
    <row r="1043" spans="1:10" hidden="1" outlineLevel="1" x14ac:dyDescent="0.3">
      <c r="A1043" s="294" t="s">
        <v>6029</v>
      </c>
      <c r="B1043" s="294" t="s">
        <v>894</v>
      </c>
      <c r="C1043" s="294" t="s">
        <v>790</v>
      </c>
      <c r="D1043" s="296">
        <v>0</v>
      </c>
      <c r="E1043" s="296">
        <v>0</v>
      </c>
      <c r="F1043" s="296">
        <v>0</v>
      </c>
      <c r="G1043" s="296">
        <v>0</v>
      </c>
      <c r="H1043" s="296">
        <v>0</v>
      </c>
      <c r="I1043" s="296">
        <v>0</v>
      </c>
      <c r="J1043" s="294"/>
    </row>
    <row r="1044" spans="1:10" hidden="1" outlineLevel="1" x14ac:dyDescent="0.3">
      <c r="A1044" s="294" t="s">
        <v>6029</v>
      </c>
      <c r="B1044" s="294" t="s">
        <v>894</v>
      </c>
      <c r="C1044" s="294" t="s">
        <v>793</v>
      </c>
      <c r="D1044" s="296">
        <v>0</v>
      </c>
      <c r="E1044" s="296">
        <v>0</v>
      </c>
      <c r="F1044" s="296">
        <v>0</v>
      </c>
      <c r="G1044" s="296">
        <v>0</v>
      </c>
      <c r="H1044" s="296">
        <v>0</v>
      </c>
      <c r="I1044" s="296">
        <v>0</v>
      </c>
      <c r="J1044" s="294"/>
    </row>
    <row r="1045" spans="1:10" hidden="1" outlineLevel="1" x14ac:dyDescent="0.3">
      <c r="A1045" s="294" t="s">
        <v>6029</v>
      </c>
      <c r="B1045" s="294" t="s">
        <v>894</v>
      </c>
      <c r="C1045" s="294" t="s">
        <v>795</v>
      </c>
      <c r="D1045" s="296">
        <v>0</v>
      </c>
      <c r="E1045" s="296">
        <v>0</v>
      </c>
      <c r="F1045" s="296">
        <v>0</v>
      </c>
      <c r="G1045" s="296">
        <v>0</v>
      </c>
      <c r="H1045" s="296">
        <v>0</v>
      </c>
      <c r="I1045" s="296">
        <v>0</v>
      </c>
      <c r="J1045" s="294"/>
    </row>
    <row r="1046" spans="1:10" hidden="1" outlineLevel="1" x14ac:dyDescent="0.3">
      <c r="A1046" s="294" t="s">
        <v>6029</v>
      </c>
      <c r="B1046" s="294" t="s">
        <v>894</v>
      </c>
      <c r="C1046" s="294" t="s">
        <v>797</v>
      </c>
      <c r="D1046" s="296">
        <v>0</v>
      </c>
      <c r="E1046" s="296">
        <v>0</v>
      </c>
      <c r="F1046" s="296">
        <v>0</v>
      </c>
      <c r="G1046" s="296">
        <v>0</v>
      </c>
      <c r="H1046" s="296">
        <v>0</v>
      </c>
      <c r="I1046" s="296">
        <v>0</v>
      </c>
      <c r="J1046" s="294"/>
    </row>
    <row r="1047" spans="1:10" hidden="1" outlineLevel="1" x14ac:dyDescent="0.3">
      <c r="A1047" s="294" t="s">
        <v>6029</v>
      </c>
      <c r="B1047" s="294" t="s">
        <v>915</v>
      </c>
      <c r="C1047" s="294" t="s">
        <v>799</v>
      </c>
      <c r="D1047" s="296">
        <v>0</v>
      </c>
      <c r="E1047" s="296">
        <v>0</v>
      </c>
      <c r="F1047" s="296">
        <v>0</v>
      </c>
      <c r="G1047" s="296">
        <v>0</v>
      </c>
      <c r="H1047" s="296">
        <v>0</v>
      </c>
      <c r="I1047" s="296">
        <v>0</v>
      </c>
      <c r="J1047" s="294"/>
    </row>
    <row r="1048" spans="1:10" hidden="1" outlineLevel="1" x14ac:dyDescent="0.3">
      <c r="A1048" s="294" t="s">
        <v>6029</v>
      </c>
      <c r="B1048" s="294" t="s">
        <v>915</v>
      </c>
      <c r="C1048" s="294" t="s">
        <v>801</v>
      </c>
      <c r="D1048" s="296">
        <v>0</v>
      </c>
      <c r="E1048" s="296">
        <v>0</v>
      </c>
      <c r="F1048" s="296">
        <v>0</v>
      </c>
      <c r="G1048" s="296">
        <v>0</v>
      </c>
      <c r="H1048" s="296">
        <v>0</v>
      </c>
      <c r="I1048" s="296">
        <v>0</v>
      </c>
      <c r="J1048" s="294"/>
    </row>
    <row r="1049" spans="1:10" hidden="1" outlineLevel="1" x14ac:dyDescent="0.3">
      <c r="A1049" s="294" t="s">
        <v>6029</v>
      </c>
      <c r="B1049" s="294" t="s">
        <v>915</v>
      </c>
      <c r="C1049" s="294" t="s">
        <v>804</v>
      </c>
      <c r="D1049" s="296">
        <v>0</v>
      </c>
      <c r="E1049" s="296">
        <v>0</v>
      </c>
      <c r="F1049" s="296">
        <v>0</v>
      </c>
      <c r="G1049" s="296">
        <v>0</v>
      </c>
      <c r="H1049" s="296">
        <v>0</v>
      </c>
      <c r="I1049" s="296">
        <v>0</v>
      </c>
      <c r="J1049" s="294"/>
    </row>
    <row r="1050" spans="1:10" hidden="1" outlineLevel="1" x14ac:dyDescent="0.3">
      <c r="A1050" s="294" t="s">
        <v>6029</v>
      </c>
      <c r="B1050" s="294" t="s">
        <v>915</v>
      </c>
      <c r="C1050" s="294" t="s">
        <v>806</v>
      </c>
      <c r="D1050" s="296">
        <v>0</v>
      </c>
      <c r="E1050" s="296">
        <v>0</v>
      </c>
      <c r="F1050" s="296">
        <v>0</v>
      </c>
      <c r="G1050" s="296">
        <v>0</v>
      </c>
      <c r="H1050" s="296">
        <v>0</v>
      </c>
      <c r="I1050" s="296">
        <v>0</v>
      </c>
      <c r="J1050" s="294"/>
    </row>
    <row r="1051" spans="1:10" hidden="1" outlineLevel="1" x14ac:dyDescent="0.3">
      <c r="A1051" s="294" t="s">
        <v>6029</v>
      </c>
      <c r="B1051" s="294" t="s">
        <v>915</v>
      </c>
      <c r="C1051" s="294" t="s">
        <v>808</v>
      </c>
      <c r="D1051" s="296">
        <v>0</v>
      </c>
      <c r="E1051" s="296">
        <v>0</v>
      </c>
      <c r="F1051" s="296">
        <v>0</v>
      </c>
      <c r="G1051" s="296">
        <v>0</v>
      </c>
      <c r="H1051" s="296">
        <v>0</v>
      </c>
      <c r="I1051" s="296">
        <v>0</v>
      </c>
      <c r="J1051" s="294"/>
    </row>
    <row r="1052" spans="1:10" hidden="1" outlineLevel="1" x14ac:dyDescent="0.3">
      <c r="A1052" s="294" t="s">
        <v>6029</v>
      </c>
      <c r="B1052" s="294" t="s">
        <v>915</v>
      </c>
      <c r="C1052" s="294" t="s">
        <v>811</v>
      </c>
      <c r="D1052" s="296">
        <v>0</v>
      </c>
      <c r="E1052" s="296">
        <v>0</v>
      </c>
      <c r="F1052" s="296">
        <v>0</v>
      </c>
      <c r="G1052" s="296">
        <v>0</v>
      </c>
      <c r="H1052" s="296">
        <v>0</v>
      </c>
      <c r="I1052" s="296">
        <v>0</v>
      </c>
      <c r="J1052" s="294"/>
    </row>
    <row r="1053" spans="1:10" hidden="1" outlineLevel="1" x14ac:dyDescent="0.3">
      <c r="A1053" s="294" t="s">
        <v>6029</v>
      </c>
      <c r="B1053" s="294" t="s">
        <v>934</v>
      </c>
      <c r="C1053" s="294" t="s">
        <v>814</v>
      </c>
      <c r="D1053" s="296">
        <v>0</v>
      </c>
      <c r="E1053" s="296">
        <v>0</v>
      </c>
      <c r="F1053" s="296">
        <v>0</v>
      </c>
      <c r="G1053" s="296">
        <v>0</v>
      </c>
      <c r="H1053" s="296">
        <v>0</v>
      </c>
      <c r="I1053" s="296">
        <v>0</v>
      </c>
      <c r="J1053" s="294"/>
    </row>
    <row r="1054" spans="1:10" hidden="1" outlineLevel="1" x14ac:dyDescent="0.3">
      <c r="A1054" s="294" t="s">
        <v>6029</v>
      </c>
      <c r="B1054" s="294" t="s">
        <v>934</v>
      </c>
      <c r="C1054" s="294" t="s">
        <v>815</v>
      </c>
      <c r="D1054" s="296">
        <v>0</v>
      </c>
      <c r="E1054" s="296">
        <v>0</v>
      </c>
      <c r="F1054" s="296">
        <v>0</v>
      </c>
      <c r="G1054" s="296">
        <v>0</v>
      </c>
      <c r="H1054" s="296">
        <v>0</v>
      </c>
      <c r="I1054" s="296">
        <v>0</v>
      </c>
      <c r="J1054" s="294"/>
    </row>
    <row r="1055" spans="1:10" hidden="1" outlineLevel="1" x14ac:dyDescent="0.3">
      <c r="A1055" s="294" t="s">
        <v>6029</v>
      </c>
      <c r="B1055" s="294" t="s">
        <v>940</v>
      </c>
      <c r="C1055" s="294" t="s">
        <v>817</v>
      </c>
      <c r="D1055" s="296">
        <v>0</v>
      </c>
      <c r="E1055" s="296">
        <v>0</v>
      </c>
      <c r="F1055" s="296">
        <v>0</v>
      </c>
      <c r="G1055" s="296">
        <v>0</v>
      </c>
      <c r="H1055" s="296">
        <v>0</v>
      </c>
      <c r="I1055" s="296">
        <v>0</v>
      </c>
      <c r="J1055" s="294"/>
    </row>
    <row r="1056" spans="1:10" hidden="1" outlineLevel="1" x14ac:dyDescent="0.3">
      <c r="A1056" s="294" t="s">
        <v>6029</v>
      </c>
      <c r="B1056" s="294" t="s">
        <v>940</v>
      </c>
      <c r="C1056" s="294" t="s">
        <v>944</v>
      </c>
      <c r="D1056" s="296">
        <v>0</v>
      </c>
      <c r="E1056" s="296">
        <v>0</v>
      </c>
      <c r="F1056" s="296">
        <v>0</v>
      </c>
      <c r="G1056" s="296">
        <v>0</v>
      </c>
      <c r="H1056" s="296">
        <v>0</v>
      </c>
      <c r="I1056" s="296">
        <v>0</v>
      </c>
      <c r="J1056" s="294"/>
    </row>
    <row r="1057" spans="1:10" hidden="1" outlineLevel="1" x14ac:dyDescent="0.3">
      <c r="A1057" s="294" t="s">
        <v>6029</v>
      </c>
      <c r="B1057" s="294" t="s">
        <v>940</v>
      </c>
      <c r="C1057" s="294" t="s">
        <v>821</v>
      </c>
      <c r="D1057" s="296">
        <v>0</v>
      </c>
      <c r="E1057" s="296">
        <v>0</v>
      </c>
      <c r="F1057" s="296">
        <v>0</v>
      </c>
      <c r="G1057" s="296">
        <v>0</v>
      </c>
      <c r="H1057" s="296">
        <v>0</v>
      </c>
      <c r="I1057" s="296">
        <v>0</v>
      </c>
      <c r="J1057" s="294"/>
    </row>
    <row r="1058" spans="1:10" hidden="1" outlineLevel="1" x14ac:dyDescent="0.3">
      <c r="A1058" s="294" t="s">
        <v>6029</v>
      </c>
      <c r="B1058" s="294" t="s">
        <v>940</v>
      </c>
      <c r="C1058" s="294" t="s">
        <v>823</v>
      </c>
      <c r="D1058" s="296">
        <v>0</v>
      </c>
      <c r="E1058" s="296">
        <v>0</v>
      </c>
      <c r="F1058" s="296">
        <v>0</v>
      </c>
      <c r="G1058" s="296">
        <v>0</v>
      </c>
      <c r="H1058" s="296">
        <v>0</v>
      </c>
      <c r="I1058" s="296">
        <v>0</v>
      </c>
      <c r="J1058" s="294"/>
    </row>
    <row r="1059" spans="1:10" hidden="1" outlineLevel="1" x14ac:dyDescent="0.3">
      <c r="A1059" s="294" t="s">
        <v>6029</v>
      </c>
      <c r="B1059" s="294" t="s">
        <v>940</v>
      </c>
      <c r="C1059" s="294" t="s">
        <v>825</v>
      </c>
      <c r="D1059" s="296">
        <v>0</v>
      </c>
      <c r="E1059" s="296">
        <v>0</v>
      </c>
      <c r="F1059" s="296">
        <v>0</v>
      </c>
      <c r="G1059" s="296">
        <v>0</v>
      </c>
      <c r="H1059" s="296">
        <v>0</v>
      </c>
      <c r="I1059" s="296">
        <v>0</v>
      </c>
      <c r="J1059" s="294"/>
    </row>
    <row r="1060" spans="1:10" hidden="1" outlineLevel="1" x14ac:dyDescent="0.3">
      <c r="A1060" s="294" t="s">
        <v>6029</v>
      </c>
      <c r="B1060" s="294" t="s">
        <v>940</v>
      </c>
      <c r="C1060" s="294" t="s">
        <v>827</v>
      </c>
      <c r="D1060" s="296">
        <v>0</v>
      </c>
      <c r="E1060" s="296">
        <v>0</v>
      </c>
      <c r="F1060" s="296">
        <v>0</v>
      </c>
      <c r="G1060" s="296">
        <v>0</v>
      </c>
      <c r="H1060" s="296">
        <v>0</v>
      </c>
      <c r="I1060" s="296">
        <v>0</v>
      </c>
      <c r="J1060" s="294"/>
    </row>
    <row r="1061" spans="1:10" hidden="1" outlineLevel="1" x14ac:dyDescent="0.3">
      <c r="A1061" s="294" t="s">
        <v>6029</v>
      </c>
      <c r="B1061" s="294" t="s">
        <v>940</v>
      </c>
      <c r="C1061" s="294" t="s">
        <v>829</v>
      </c>
      <c r="D1061" s="296">
        <v>0</v>
      </c>
      <c r="E1061" s="296">
        <v>0</v>
      </c>
      <c r="F1061" s="296">
        <v>0</v>
      </c>
      <c r="G1061" s="296">
        <v>0</v>
      </c>
      <c r="H1061" s="296">
        <v>0</v>
      </c>
      <c r="I1061" s="296">
        <v>0</v>
      </c>
      <c r="J1061" s="294"/>
    </row>
    <row r="1062" spans="1:10" hidden="1" outlineLevel="1" x14ac:dyDescent="0.3">
      <c r="A1062" s="294" t="s">
        <v>6029</v>
      </c>
      <c r="B1062" s="294" t="s">
        <v>940</v>
      </c>
      <c r="C1062" s="294" t="s">
        <v>833</v>
      </c>
      <c r="D1062" s="296">
        <v>0</v>
      </c>
      <c r="E1062" s="296">
        <v>0</v>
      </c>
      <c r="F1062" s="296">
        <v>0</v>
      </c>
      <c r="G1062" s="296">
        <v>0</v>
      </c>
      <c r="H1062" s="296">
        <v>0</v>
      </c>
      <c r="I1062" s="296">
        <v>0</v>
      </c>
      <c r="J1062" s="294"/>
    </row>
    <row r="1063" spans="1:10" hidden="1" outlineLevel="1" x14ac:dyDescent="0.3">
      <c r="A1063" s="294" t="s">
        <v>6029</v>
      </c>
      <c r="B1063" s="294" t="s">
        <v>940</v>
      </c>
      <c r="C1063" s="294" t="s">
        <v>836</v>
      </c>
      <c r="D1063" s="296">
        <v>0</v>
      </c>
      <c r="E1063" s="296">
        <v>0</v>
      </c>
      <c r="F1063" s="296">
        <v>0</v>
      </c>
      <c r="G1063" s="296">
        <v>0</v>
      </c>
      <c r="H1063" s="296">
        <v>0</v>
      </c>
      <c r="I1063" s="296">
        <v>0</v>
      </c>
      <c r="J1063" s="294"/>
    </row>
    <row r="1064" spans="1:10" hidden="1" outlineLevel="1" x14ac:dyDescent="0.3">
      <c r="A1064" s="294" t="s">
        <v>6029</v>
      </c>
      <c r="B1064" s="294" t="s">
        <v>940</v>
      </c>
      <c r="C1064" s="294" t="s">
        <v>837</v>
      </c>
      <c r="D1064" s="296">
        <v>0</v>
      </c>
      <c r="E1064" s="296">
        <v>0</v>
      </c>
      <c r="F1064" s="296">
        <v>0</v>
      </c>
      <c r="G1064" s="296">
        <v>0</v>
      </c>
      <c r="H1064" s="296">
        <v>0</v>
      </c>
      <c r="I1064" s="296">
        <v>0</v>
      </c>
      <c r="J1064" s="294"/>
    </row>
    <row r="1065" spans="1:10" hidden="1" outlineLevel="1" x14ac:dyDescent="0.3">
      <c r="A1065" s="294" t="s">
        <v>6029</v>
      </c>
      <c r="B1065" s="294" t="s">
        <v>940</v>
      </c>
      <c r="C1065" s="294" t="s">
        <v>839</v>
      </c>
      <c r="D1065" s="296">
        <v>0</v>
      </c>
      <c r="E1065" s="296">
        <v>0</v>
      </c>
      <c r="F1065" s="296">
        <v>0</v>
      </c>
      <c r="G1065" s="296">
        <v>0</v>
      </c>
      <c r="H1065" s="296">
        <v>0</v>
      </c>
      <c r="I1065" s="296">
        <v>0</v>
      </c>
      <c r="J1065" s="294"/>
    </row>
    <row r="1066" spans="1:10" hidden="1" outlineLevel="1" x14ac:dyDescent="0.3">
      <c r="A1066" s="294" t="s">
        <v>6029</v>
      </c>
      <c r="B1066" s="294" t="s">
        <v>940</v>
      </c>
      <c r="C1066" s="294" t="s">
        <v>840</v>
      </c>
      <c r="D1066" s="296">
        <v>0</v>
      </c>
      <c r="E1066" s="296">
        <v>0</v>
      </c>
      <c r="F1066" s="296">
        <v>0</v>
      </c>
      <c r="G1066" s="296">
        <v>0</v>
      </c>
      <c r="H1066" s="296">
        <v>0</v>
      </c>
      <c r="I1066" s="296">
        <v>0</v>
      </c>
      <c r="J1066" s="294"/>
    </row>
    <row r="1067" spans="1:10" collapsed="1" x14ac:dyDescent="0.3">
      <c r="A1067" s="294"/>
      <c r="B1067" s="294"/>
      <c r="C1067" s="293"/>
      <c r="D1067" s="295"/>
      <c r="E1067" s="295"/>
      <c r="F1067" s="294"/>
      <c r="G1067" s="294"/>
      <c r="H1067" s="294"/>
      <c r="I1067" s="294"/>
      <c r="J1067" s="294"/>
    </row>
    <row r="1068" spans="1:10" x14ac:dyDescent="0.3">
      <c r="A1068" s="293" t="s">
        <v>6030</v>
      </c>
      <c r="B1068" s="58"/>
      <c r="C1068" s="298" t="s">
        <v>4032</v>
      </c>
      <c r="D1068" s="554">
        <v>16.162790697674417</v>
      </c>
      <c r="E1068" s="554">
        <v>16.162790697674417</v>
      </c>
      <c r="F1068" s="554">
        <v>16.162790697674417</v>
      </c>
      <c r="G1068" s="554">
        <v>16.162790697674417</v>
      </c>
      <c r="H1068" s="554">
        <v>16.162790697674417</v>
      </c>
      <c r="I1068" s="554">
        <v>16.162790697674417</v>
      </c>
      <c r="J1068" s="293"/>
    </row>
    <row r="1069" spans="1:10" x14ac:dyDescent="0.3">
      <c r="A1069" s="297" t="s">
        <v>5</v>
      </c>
      <c r="B1069" s="297" t="s">
        <v>847</v>
      </c>
      <c r="C1069" s="297" t="s">
        <v>193</v>
      </c>
      <c r="D1069" s="297">
        <v>2022</v>
      </c>
      <c r="E1069" s="297">
        <v>2025</v>
      </c>
      <c r="F1069" s="297">
        <v>2030</v>
      </c>
      <c r="G1069" s="297">
        <v>2035</v>
      </c>
      <c r="H1069" s="297">
        <v>2040</v>
      </c>
      <c r="I1069" s="297">
        <v>2045</v>
      </c>
      <c r="J1069" s="297" t="s">
        <v>153</v>
      </c>
    </row>
    <row r="1070" spans="1:10" hidden="1" outlineLevel="1" x14ac:dyDescent="0.3">
      <c r="A1070" s="294" t="s">
        <v>6030</v>
      </c>
      <c r="B1070" s="294" t="s">
        <v>855</v>
      </c>
      <c r="C1070" s="294" t="s">
        <v>747</v>
      </c>
      <c r="D1070" s="296">
        <v>0</v>
      </c>
      <c r="E1070" s="296">
        <v>0</v>
      </c>
      <c r="F1070" s="296">
        <v>0</v>
      </c>
      <c r="G1070" s="296">
        <v>0</v>
      </c>
      <c r="H1070" s="296">
        <v>0</v>
      </c>
      <c r="I1070" s="296">
        <v>0</v>
      </c>
      <c r="J1070" s="294"/>
    </row>
    <row r="1071" spans="1:10" hidden="1" outlineLevel="1" x14ac:dyDescent="0.3">
      <c r="A1071" s="294" t="s">
        <v>6030</v>
      </c>
      <c r="B1071" s="294" t="s">
        <v>855</v>
      </c>
      <c r="C1071" s="294" t="s">
        <v>751</v>
      </c>
      <c r="D1071" s="296">
        <v>0</v>
      </c>
      <c r="E1071" s="296">
        <v>0</v>
      </c>
      <c r="F1071" s="296">
        <v>0</v>
      </c>
      <c r="G1071" s="296">
        <v>0</v>
      </c>
      <c r="H1071" s="296">
        <v>0</v>
      </c>
      <c r="I1071" s="296">
        <v>0</v>
      </c>
      <c r="J1071" s="294"/>
    </row>
    <row r="1072" spans="1:10" hidden="1" outlineLevel="1" x14ac:dyDescent="0.3">
      <c r="A1072" s="294" t="s">
        <v>6030</v>
      </c>
      <c r="B1072" s="294" t="s">
        <v>855</v>
      </c>
      <c r="C1072" s="294" t="s">
        <v>755</v>
      </c>
      <c r="D1072" s="296">
        <v>0</v>
      </c>
      <c r="E1072" s="296">
        <v>0</v>
      </c>
      <c r="F1072" s="296">
        <v>0</v>
      </c>
      <c r="G1072" s="296">
        <v>0</v>
      </c>
      <c r="H1072" s="296">
        <v>0</v>
      </c>
      <c r="I1072" s="296">
        <v>0</v>
      </c>
      <c r="J1072" s="294"/>
    </row>
    <row r="1073" spans="1:10" hidden="1" outlineLevel="1" x14ac:dyDescent="0.3">
      <c r="A1073" s="294" t="s">
        <v>6030</v>
      </c>
      <c r="B1073" s="294" t="s">
        <v>855</v>
      </c>
      <c r="C1073" s="294" t="s">
        <v>758</v>
      </c>
      <c r="D1073" s="296">
        <v>0</v>
      </c>
      <c r="E1073" s="296">
        <v>0</v>
      </c>
      <c r="F1073" s="296">
        <v>0</v>
      </c>
      <c r="G1073" s="296">
        <v>0</v>
      </c>
      <c r="H1073" s="296">
        <v>0</v>
      </c>
      <c r="I1073" s="296">
        <v>0</v>
      </c>
      <c r="J1073" s="294"/>
    </row>
    <row r="1074" spans="1:10" hidden="1" outlineLevel="1" x14ac:dyDescent="0.3">
      <c r="A1074" s="294" t="s">
        <v>6030</v>
      </c>
      <c r="B1074" s="294" t="s">
        <v>855</v>
      </c>
      <c r="C1074" s="294" t="s">
        <v>761</v>
      </c>
      <c r="D1074" s="296">
        <v>0</v>
      </c>
      <c r="E1074" s="296">
        <v>0</v>
      </c>
      <c r="F1074" s="296">
        <v>0</v>
      </c>
      <c r="G1074" s="296">
        <v>0</v>
      </c>
      <c r="H1074" s="296">
        <v>0</v>
      </c>
      <c r="I1074" s="296">
        <v>0</v>
      </c>
      <c r="J1074" s="294"/>
    </row>
    <row r="1075" spans="1:10" hidden="1" outlineLevel="1" x14ac:dyDescent="0.3">
      <c r="A1075" s="294" t="s">
        <v>6030</v>
      </c>
      <c r="B1075" s="294" t="s">
        <v>855</v>
      </c>
      <c r="C1075" s="294" t="s">
        <v>763</v>
      </c>
      <c r="D1075" s="296">
        <v>0</v>
      </c>
      <c r="E1075" s="296">
        <v>0</v>
      </c>
      <c r="F1075" s="296">
        <v>0</v>
      </c>
      <c r="G1075" s="296">
        <v>0</v>
      </c>
      <c r="H1075" s="296">
        <v>0</v>
      </c>
      <c r="I1075" s="296">
        <v>0</v>
      </c>
      <c r="J1075" s="294"/>
    </row>
    <row r="1076" spans="1:10" hidden="1" outlineLevel="1" x14ac:dyDescent="0.3">
      <c r="A1076" s="294" t="s">
        <v>6030</v>
      </c>
      <c r="B1076" s="294" t="s">
        <v>855</v>
      </c>
      <c r="C1076" s="294" t="s">
        <v>765</v>
      </c>
      <c r="D1076" s="296">
        <v>0</v>
      </c>
      <c r="E1076" s="296">
        <v>0</v>
      </c>
      <c r="F1076" s="296">
        <v>0</v>
      </c>
      <c r="G1076" s="296">
        <v>0</v>
      </c>
      <c r="H1076" s="296">
        <v>0</v>
      </c>
      <c r="I1076" s="296">
        <v>0</v>
      </c>
      <c r="J1076" s="294"/>
    </row>
    <row r="1077" spans="1:10" hidden="1" outlineLevel="1" x14ac:dyDescent="0.3">
      <c r="A1077" s="294" t="s">
        <v>6030</v>
      </c>
      <c r="B1077" s="294" t="s">
        <v>855</v>
      </c>
      <c r="C1077" s="294" t="s">
        <v>768</v>
      </c>
      <c r="D1077" s="296">
        <v>0</v>
      </c>
      <c r="E1077" s="296">
        <v>0</v>
      </c>
      <c r="F1077" s="296">
        <v>0</v>
      </c>
      <c r="G1077" s="296">
        <v>0</v>
      </c>
      <c r="H1077" s="296">
        <v>0</v>
      </c>
      <c r="I1077" s="296">
        <v>0</v>
      </c>
      <c r="J1077" s="294"/>
    </row>
    <row r="1078" spans="1:10" hidden="1" outlineLevel="1" x14ac:dyDescent="0.3">
      <c r="A1078" s="294" t="s">
        <v>6030</v>
      </c>
      <c r="B1078" s="294" t="s">
        <v>855</v>
      </c>
      <c r="C1078" s="294" t="s">
        <v>771</v>
      </c>
      <c r="D1078" s="296">
        <v>0</v>
      </c>
      <c r="E1078" s="296">
        <v>0</v>
      </c>
      <c r="F1078" s="296">
        <v>0</v>
      </c>
      <c r="G1078" s="296">
        <v>0</v>
      </c>
      <c r="H1078" s="296">
        <v>0</v>
      </c>
      <c r="I1078" s="296">
        <v>0</v>
      </c>
      <c r="J1078" s="294"/>
    </row>
    <row r="1079" spans="1:10" hidden="1" outlineLevel="1" x14ac:dyDescent="0.3">
      <c r="A1079" s="294" t="s">
        <v>6030</v>
      </c>
      <c r="B1079" s="294" t="s">
        <v>855</v>
      </c>
      <c r="C1079" s="294" t="s">
        <v>772</v>
      </c>
      <c r="D1079" s="296">
        <v>0</v>
      </c>
      <c r="E1079" s="296">
        <v>0</v>
      </c>
      <c r="F1079" s="296">
        <v>0</v>
      </c>
      <c r="G1079" s="296">
        <v>0</v>
      </c>
      <c r="H1079" s="296">
        <v>0</v>
      </c>
      <c r="I1079" s="296">
        <v>0</v>
      </c>
      <c r="J1079" s="294"/>
    </row>
    <row r="1080" spans="1:10" hidden="1" outlineLevel="1" x14ac:dyDescent="0.3">
      <c r="A1080" s="294" t="s">
        <v>6030</v>
      </c>
      <c r="B1080" s="294" t="s">
        <v>855</v>
      </c>
      <c r="C1080" s="294" t="s">
        <v>774</v>
      </c>
      <c r="D1080" s="296">
        <v>0</v>
      </c>
      <c r="E1080" s="296">
        <v>0</v>
      </c>
      <c r="F1080" s="296">
        <v>0</v>
      </c>
      <c r="G1080" s="296">
        <v>0</v>
      </c>
      <c r="H1080" s="296">
        <v>0</v>
      </c>
      <c r="I1080" s="296">
        <v>0</v>
      </c>
      <c r="J1080" s="294"/>
    </row>
    <row r="1081" spans="1:10" hidden="1" outlineLevel="1" x14ac:dyDescent="0.3">
      <c r="A1081" s="294" t="s">
        <v>6030</v>
      </c>
      <c r="B1081" s="294" t="s">
        <v>855</v>
      </c>
      <c r="C1081" s="294" t="s">
        <v>775</v>
      </c>
      <c r="D1081" s="296">
        <v>0</v>
      </c>
      <c r="E1081" s="296">
        <v>0</v>
      </c>
      <c r="F1081" s="296">
        <v>0</v>
      </c>
      <c r="G1081" s="296">
        <v>0</v>
      </c>
      <c r="H1081" s="296">
        <v>0</v>
      </c>
      <c r="I1081" s="296">
        <v>0</v>
      </c>
      <c r="J1081" s="294"/>
    </row>
    <row r="1082" spans="1:10" hidden="1" outlineLevel="1" x14ac:dyDescent="0.3">
      <c r="A1082" s="294" t="s">
        <v>6030</v>
      </c>
      <c r="B1082" s="294" t="s">
        <v>855</v>
      </c>
      <c r="C1082" s="294" t="s">
        <v>779</v>
      </c>
      <c r="D1082" s="296">
        <v>0</v>
      </c>
      <c r="E1082" s="296">
        <v>0</v>
      </c>
      <c r="F1082" s="296">
        <v>0</v>
      </c>
      <c r="G1082" s="296">
        <v>0</v>
      </c>
      <c r="H1082" s="296">
        <v>0</v>
      </c>
      <c r="I1082" s="296">
        <v>0</v>
      </c>
      <c r="J1082" s="294"/>
    </row>
    <row r="1083" spans="1:10" hidden="1" outlineLevel="1" x14ac:dyDescent="0.3">
      <c r="A1083" s="294" t="s">
        <v>6030</v>
      </c>
      <c r="B1083" s="294" t="s">
        <v>894</v>
      </c>
      <c r="C1083" s="294" t="s">
        <v>781</v>
      </c>
      <c r="D1083" s="296">
        <v>0</v>
      </c>
      <c r="E1083" s="296">
        <v>0</v>
      </c>
      <c r="F1083" s="296">
        <v>0</v>
      </c>
      <c r="G1083" s="296">
        <v>0</v>
      </c>
      <c r="H1083" s="296">
        <v>0</v>
      </c>
      <c r="I1083" s="296">
        <v>0</v>
      </c>
      <c r="J1083" s="294"/>
    </row>
    <row r="1084" spans="1:10" hidden="1" outlineLevel="1" x14ac:dyDescent="0.3">
      <c r="A1084" s="294" t="s">
        <v>6030</v>
      </c>
      <c r="B1084" s="294" t="s">
        <v>894</v>
      </c>
      <c r="C1084" s="294" t="s">
        <v>783</v>
      </c>
      <c r="D1084" s="296">
        <v>0</v>
      </c>
      <c r="E1084" s="296">
        <v>0</v>
      </c>
      <c r="F1084" s="296">
        <v>0</v>
      </c>
      <c r="G1084" s="296">
        <v>0</v>
      </c>
      <c r="H1084" s="296">
        <v>0</v>
      </c>
      <c r="I1084" s="296">
        <v>0</v>
      </c>
      <c r="J1084" s="294"/>
    </row>
    <row r="1085" spans="1:10" hidden="1" outlineLevel="1" x14ac:dyDescent="0.3">
      <c r="A1085" s="294" t="s">
        <v>6030</v>
      </c>
      <c r="B1085" s="294" t="s">
        <v>894</v>
      </c>
      <c r="C1085" s="294" t="s">
        <v>785</v>
      </c>
      <c r="D1085" s="296">
        <v>0</v>
      </c>
      <c r="E1085" s="296">
        <v>0</v>
      </c>
      <c r="F1085" s="296">
        <v>0</v>
      </c>
      <c r="G1085" s="296">
        <v>0</v>
      </c>
      <c r="H1085" s="296">
        <v>0</v>
      </c>
      <c r="I1085" s="296">
        <v>0</v>
      </c>
      <c r="J1085" s="294"/>
    </row>
    <row r="1086" spans="1:10" hidden="1" outlineLevel="1" x14ac:dyDescent="0.3">
      <c r="A1086" s="294" t="s">
        <v>6030</v>
      </c>
      <c r="B1086" s="294" t="s">
        <v>894</v>
      </c>
      <c r="C1086" s="294" t="s">
        <v>787</v>
      </c>
      <c r="D1086" s="296">
        <v>0</v>
      </c>
      <c r="E1086" s="296">
        <v>0</v>
      </c>
      <c r="F1086" s="296">
        <v>0</v>
      </c>
      <c r="G1086" s="296">
        <v>0</v>
      </c>
      <c r="H1086" s="296">
        <v>0</v>
      </c>
      <c r="I1086" s="296">
        <v>0</v>
      </c>
      <c r="J1086" s="294"/>
    </row>
    <row r="1087" spans="1:10" hidden="1" outlineLevel="1" x14ac:dyDescent="0.3">
      <c r="A1087" s="294" t="s">
        <v>6030</v>
      </c>
      <c r="B1087" s="294" t="s">
        <v>894</v>
      </c>
      <c r="C1087" s="294" t="s">
        <v>788</v>
      </c>
      <c r="D1087" s="296">
        <v>0</v>
      </c>
      <c r="E1087" s="296">
        <v>0</v>
      </c>
      <c r="F1087" s="296">
        <v>0</v>
      </c>
      <c r="G1087" s="296">
        <v>0</v>
      </c>
      <c r="H1087" s="296">
        <v>0</v>
      </c>
      <c r="I1087" s="296">
        <v>0</v>
      </c>
      <c r="J1087" s="294"/>
    </row>
    <row r="1088" spans="1:10" hidden="1" outlineLevel="1" x14ac:dyDescent="0.3">
      <c r="A1088" s="294" t="s">
        <v>6030</v>
      </c>
      <c r="B1088" s="294" t="s">
        <v>894</v>
      </c>
      <c r="C1088" s="294" t="s">
        <v>789</v>
      </c>
      <c r="D1088" s="296">
        <v>0</v>
      </c>
      <c r="E1088" s="296">
        <v>0</v>
      </c>
      <c r="F1088" s="296">
        <v>0</v>
      </c>
      <c r="G1088" s="296">
        <v>0</v>
      </c>
      <c r="H1088" s="296">
        <v>0</v>
      </c>
      <c r="I1088" s="296">
        <v>0</v>
      </c>
      <c r="J1088" s="294"/>
    </row>
    <row r="1089" spans="1:10" hidden="1" outlineLevel="1" x14ac:dyDescent="0.3">
      <c r="A1089" s="294" t="s">
        <v>6030</v>
      </c>
      <c r="B1089" s="294" t="s">
        <v>894</v>
      </c>
      <c r="C1089" s="294" t="s">
        <v>790</v>
      </c>
      <c r="D1089" s="296">
        <v>0</v>
      </c>
      <c r="E1089" s="296">
        <v>0</v>
      </c>
      <c r="F1089" s="296">
        <v>0</v>
      </c>
      <c r="G1089" s="296">
        <v>0</v>
      </c>
      <c r="H1089" s="296">
        <v>0</v>
      </c>
      <c r="I1089" s="296">
        <v>0</v>
      </c>
      <c r="J1089" s="294"/>
    </row>
    <row r="1090" spans="1:10" hidden="1" outlineLevel="1" x14ac:dyDescent="0.3">
      <c r="A1090" s="294" t="s">
        <v>6030</v>
      </c>
      <c r="B1090" s="294" t="s">
        <v>894</v>
      </c>
      <c r="C1090" s="294" t="s">
        <v>793</v>
      </c>
      <c r="D1090" s="296">
        <v>0</v>
      </c>
      <c r="E1090" s="296">
        <v>0</v>
      </c>
      <c r="F1090" s="296">
        <v>0</v>
      </c>
      <c r="G1090" s="296">
        <v>0</v>
      </c>
      <c r="H1090" s="296">
        <v>0</v>
      </c>
      <c r="I1090" s="296">
        <v>0</v>
      </c>
      <c r="J1090" s="294"/>
    </row>
    <row r="1091" spans="1:10" hidden="1" outlineLevel="1" x14ac:dyDescent="0.3">
      <c r="A1091" s="294" t="s">
        <v>6030</v>
      </c>
      <c r="B1091" s="294" t="s">
        <v>894</v>
      </c>
      <c r="C1091" s="294" t="s">
        <v>795</v>
      </c>
      <c r="D1091" s="296">
        <v>0</v>
      </c>
      <c r="E1091" s="296">
        <v>0</v>
      </c>
      <c r="F1091" s="296">
        <v>0</v>
      </c>
      <c r="G1091" s="296">
        <v>0</v>
      </c>
      <c r="H1091" s="296">
        <v>0</v>
      </c>
      <c r="I1091" s="296">
        <v>0</v>
      </c>
      <c r="J1091" s="294"/>
    </row>
    <row r="1092" spans="1:10" hidden="1" outlineLevel="1" x14ac:dyDescent="0.3">
      <c r="A1092" s="294" t="s">
        <v>6030</v>
      </c>
      <c r="B1092" s="294" t="s">
        <v>894</v>
      </c>
      <c r="C1092" s="294" t="s">
        <v>797</v>
      </c>
      <c r="D1092" s="296">
        <v>0</v>
      </c>
      <c r="E1092" s="296">
        <v>0</v>
      </c>
      <c r="F1092" s="296">
        <v>0</v>
      </c>
      <c r="G1092" s="296">
        <v>0</v>
      </c>
      <c r="H1092" s="296">
        <v>0</v>
      </c>
      <c r="I1092" s="296">
        <v>0</v>
      </c>
      <c r="J1092" s="294"/>
    </row>
    <row r="1093" spans="1:10" hidden="1" outlineLevel="1" x14ac:dyDescent="0.3">
      <c r="A1093" s="294" t="s">
        <v>6030</v>
      </c>
      <c r="B1093" s="294" t="s">
        <v>915</v>
      </c>
      <c r="C1093" s="294" t="s">
        <v>799</v>
      </c>
      <c r="D1093" s="296">
        <v>0</v>
      </c>
      <c r="E1093" s="296">
        <v>0</v>
      </c>
      <c r="F1093" s="296">
        <v>0</v>
      </c>
      <c r="G1093" s="296">
        <v>0</v>
      </c>
      <c r="H1093" s="296">
        <v>0</v>
      </c>
      <c r="I1093" s="296">
        <v>0</v>
      </c>
      <c r="J1093" s="447"/>
    </row>
    <row r="1094" spans="1:10" hidden="1" outlineLevel="1" x14ac:dyDescent="0.3">
      <c r="A1094" s="294" t="s">
        <v>6030</v>
      </c>
      <c r="B1094" s="294" t="s">
        <v>915</v>
      </c>
      <c r="C1094" s="294" t="s">
        <v>801</v>
      </c>
      <c r="D1094" s="295">
        <v>695</v>
      </c>
      <c r="E1094" s="295">
        <v>695</v>
      </c>
      <c r="F1094" s="295">
        <v>695</v>
      </c>
      <c r="G1094" s="295">
        <v>695</v>
      </c>
      <c r="H1094" s="295">
        <v>695</v>
      </c>
      <c r="I1094" s="295">
        <v>695</v>
      </c>
      <c r="J1094" s="447" t="s">
        <v>5989</v>
      </c>
    </row>
    <row r="1095" spans="1:10" hidden="1" outlineLevel="1" x14ac:dyDescent="0.3">
      <c r="A1095" s="294" t="s">
        <v>6030</v>
      </c>
      <c r="B1095" s="294" t="s">
        <v>915</v>
      </c>
      <c r="C1095" s="294" t="s">
        <v>804</v>
      </c>
      <c r="D1095" s="296">
        <v>0</v>
      </c>
      <c r="E1095" s="296">
        <v>0</v>
      </c>
      <c r="F1095" s="296">
        <v>0</v>
      </c>
      <c r="G1095" s="296">
        <v>0</v>
      </c>
      <c r="H1095" s="296">
        <v>0</v>
      </c>
      <c r="I1095" s="296">
        <v>0</v>
      </c>
      <c r="J1095" s="294"/>
    </row>
    <row r="1096" spans="1:10" hidden="1" outlineLevel="1" x14ac:dyDescent="0.3">
      <c r="A1096" s="294" t="s">
        <v>6030</v>
      </c>
      <c r="B1096" s="294" t="s">
        <v>915</v>
      </c>
      <c r="C1096" s="294" t="s">
        <v>806</v>
      </c>
      <c r="D1096" s="296">
        <v>0</v>
      </c>
      <c r="E1096" s="296">
        <v>0</v>
      </c>
      <c r="F1096" s="296">
        <v>0</v>
      </c>
      <c r="G1096" s="296">
        <v>0</v>
      </c>
      <c r="H1096" s="296">
        <v>0</v>
      </c>
      <c r="I1096" s="296">
        <v>0</v>
      </c>
      <c r="J1096" s="294"/>
    </row>
    <row r="1097" spans="1:10" hidden="1" outlineLevel="1" x14ac:dyDescent="0.3">
      <c r="A1097" s="294" t="s">
        <v>6030</v>
      </c>
      <c r="B1097" s="294" t="s">
        <v>915</v>
      </c>
      <c r="C1097" s="294" t="s">
        <v>808</v>
      </c>
      <c r="D1097" s="296">
        <v>0</v>
      </c>
      <c r="E1097" s="296">
        <v>0</v>
      </c>
      <c r="F1097" s="296">
        <v>0</v>
      </c>
      <c r="G1097" s="296">
        <v>0</v>
      </c>
      <c r="H1097" s="296">
        <v>0</v>
      </c>
      <c r="I1097" s="296">
        <v>0</v>
      </c>
      <c r="J1097" s="294"/>
    </row>
    <row r="1098" spans="1:10" hidden="1" outlineLevel="1" x14ac:dyDescent="0.3">
      <c r="A1098" s="294" t="s">
        <v>6030</v>
      </c>
      <c r="B1098" s="294" t="s">
        <v>915</v>
      </c>
      <c r="C1098" s="294" t="s">
        <v>811</v>
      </c>
      <c r="D1098" s="296">
        <v>0</v>
      </c>
      <c r="E1098" s="296">
        <v>0</v>
      </c>
      <c r="F1098" s="296">
        <v>0</v>
      </c>
      <c r="G1098" s="296">
        <v>0</v>
      </c>
      <c r="H1098" s="296">
        <v>0</v>
      </c>
      <c r="I1098" s="296">
        <v>0</v>
      </c>
      <c r="J1098" s="294"/>
    </row>
    <row r="1099" spans="1:10" hidden="1" outlineLevel="1" x14ac:dyDescent="0.3">
      <c r="A1099" s="294" t="s">
        <v>6030</v>
      </c>
      <c r="B1099" s="294" t="s">
        <v>934</v>
      </c>
      <c r="C1099" s="294" t="s">
        <v>814</v>
      </c>
      <c r="D1099" s="296">
        <v>0</v>
      </c>
      <c r="E1099" s="296">
        <v>0</v>
      </c>
      <c r="F1099" s="296">
        <v>0</v>
      </c>
      <c r="G1099" s="296">
        <v>0</v>
      </c>
      <c r="H1099" s="296">
        <v>0</v>
      </c>
      <c r="I1099" s="296">
        <v>0</v>
      </c>
      <c r="J1099" s="294"/>
    </row>
    <row r="1100" spans="1:10" hidden="1" outlineLevel="1" x14ac:dyDescent="0.3">
      <c r="A1100" s="294" t="s">
        <v>6030</v>
      </c>
      <c r="B1100" s="294" t="s">
        <v>934</v>
      </c>
      <c r="C1100" s="294" t="s">
        <v>815</v>
      </c>
      <c r="D1100" s="296">
        <v>0</v>
      </c>
      <c r="E1100" s="296">
        <v>0</v>
      </c>
      <c r="F1100" s="296">
        <v>0</v>
      </c>
      <c r="G1100" s="296">
        <v>0</v>
      </c>
      <c r="H1100" s="296">
        <v>0</v>
      </c>
      <c r="I1100" s="296">
        <v>0</v>
      </c>
      <c r="J1100" s="294"/>
    </row>
    <row r="1101" spans="1:10" hidden="1" outlineLevel="1" x14ac:dyDescent="0.3">
      <c r="A1101" s="294" t="s">
        <v>6030</v>
      </c>
      <c r="B1101" s="294" t="s">
        <v>940</v>
      </c>
      <c r="C1101" s="294" t="s">
        <v>817</v>
      </c>
      <c r="D1101" s="296">
        <v>0</v>
      </c>
      <c r="E1101" s="296">
        <v>0</v>
      </c>
      <c r="F1101" s="296">
        <v>0</v>
      </c>
      <c r="G1101" s="296">
        <v>0</v>
      </c>
      <c r="H1101" s="296">
        <v>0</v>
      </c>
      <c r="I1101" s="296">
        <v>0</v>
      </c>
      <c r="J1101" s="294"/>
    </row>
    <row r="1102" spans="1:10" hidden="1" outlineLevel="1" x14ac:dyDescent="0.3">
      <c r="A1102" s="294" t="s">
        <v>6030</v>
      </c>
      <c r="B1102" s="294" t="s">
        <v>940</v>
      </c>
      <c r="C1102" s="294" t="s">
        <v>944</v>
      </c>
      <c r="D1102" s="296">
        <v>0</v>
      </c>
      <c r="E1102" s="296">
        <v>0</v>
      </c>
      <c r="F1102" s="296">
        <v>0</v>
      </c>
      <c r="G1102" s="296">
        <v>0</v>
      </c>
      <c r="H1102" s="296">
        <v>0</v>
      </c>
      <c r="I1102" s="296">
        <v>0</v>
      </c>
      <c r="J1102" s="294"/>
    </row>
    <row r="1103" spans="1:10" hidden="1" outlineLevel="1" x14ac:dyDescent="0.3">
      <c r="A1103" s="294" t="s">
        <v>6030</v>
      </c>
      <c r="B1103" s="294" t="s">
        <v>940</v>
      </c>
      <c r="C1103" s="294" t="s">
        <v>821</v>
      </c>
      <c r="D1103" s="296">
        <v>0</v>
      </c>
      <c r="E1103" s="296">
        <v>0</v>
      </c>
      <c r="F1103" s="296">
        <v>0</v>
      </c>
      <c r="G1103" s="296">
        <v>0</v>
      </c>
      <c r="H1103" s="296">
        <v>0</v>
      </c>
      <c r="I1103" s="296">
        <v>0</v>
      </c>
      <c r="J1103" s="294"/>
    </row>
    <row r="1104" spans="1:10" hidden="1" outlineLevel="1" x14ac:dyDescent="0.3">
      <c r="A1104" s="294" t="s">
        <v>6030</v>
      </c>
      <c r="B1104" s="294" t="s">
        <v>940</v>
      </c>
      <c r="C1104" s="294" t="s">
        <v>823</v>
      </c>
      <c r="D1104" s="296">
        <v>0</v>
      </c>
      <c r="E1104" s="296">
        <v>0</v>
      </c>
      <c r="F1104" s="296">
        <v>0</v>
      </c>
      <c r="G1104" s="296">
        <v>0</v>
      </c>
      <c r="H1104" s="296">
        <v>0</v>
      </c>
      <c r="I1104" s="296">
        <v>0</v>
      </c>
      <c r="J1104" s="294"/>
    </row>
    <row r="1105" spans="1:10" hidden="1" outlineLevel="1" x14ac:dyDescent="0.3">
      <c r="A1105" s="294" t="s">
        <v>6030</v>
      </c>
      <c r="B1105" s="294" t="s">
        <v>940</v>
      </c>
      <c r="C1105" s="294" t="s">
        <v>825</v>
      </c>
      <c r="D1105" s="296">
        <v>0</v>
      </c>
      <c r="E1105" s="296">
        <v>0</v>
      </c>
      <c r="F1105" s="296">
        <v>0</v>
      </c>
      <c r="G1105" s="296">
        <v>0</v>
      </c>
      <c r="H1105" s="296">
        <v>0</v>
      </c>
      <c r="I1105" s="296">
        <v>0</v>
      </c>
      <c r="J1105" s="294"/>
    </row>
    <row r="1106" spans="1:10" hidden="1" outlineLevel="1" x14ac:dyDescent="0.3">
      <c r="A1106" s="294" t="s">
        <v>6030</v>
      </c>
      <c r="B1106" s="294" t="s">
        <v>940</v>
      </c>
      <c r="C1106" s="294" t="s">
        <v>827</v>
      </c>
      <c r="D1106" s="296">
        <v>0</v>
      </c>
      <c r="E1106" s="296">
        <v>0</v>
      </c>
      <c r="F1106" s="296">
        <v>0</v>
      </c>
      <c r="G1106" s="296">
        <v>0</v>
      </c>
      <c r="H1106" s="296">
        <v>0</v>
      </c>
      <c r="I1106" s="296">
        <v>0</v>
      </c>
      <c r="J1106" s="294"/>
    </row>
    <row r="1107" spans="1:10" hidden="1" outlineLevel="1" x14ac:dyDescent="0.3">
      <c r="A1107" s="294" t="s">
        <v>6030</v>
      </c>
      <c r="B1107" s="294" t="s">
        <v>940</v>
      </c>
      <c r="C1107" s="294" t="s">
        <v>829</v>
      </c>
      <c r="D1107" s="296">
        <v>0</v>
      </c>
      <c r="E1107" s="296">
        <v>0</v>
      </c>
      <c r="F1107" s="296">
        <v>0</v>
      </c>
      <c r="G1107" s="296">
        <v>0</v>
      </c>
      <c r="H1107" s="296">
        <v>0</v>
      </c>
      <c r="I1107" s="296">
        <v>0</v>
      </c>
      <c r="J1107" s="294"/>
    </row>
    <row r="1108" spans="1:10" hidden="1" outlineLevel="1" x14ac:dyDescent="0.3">
      <c r="A1108" s="294" t="s">
        <v>6030</v>
      </c>
      <c r="B1108" s="294" t="s">
        <v>940</v>
      </c>
      <c r="C1108" s="294" t="s">
        <v>833</v>
      </c>
      <c r="D1108" s="296">
        <v>0</v>
      </c>
      <c r="E1108" s="296">
        <v>0</v>
      </c>
      <c r="F1108" s="296">
        <v>0</v>
      </c>
      <c r="G1108" s="296">
        <v>0</v>
      </c>
      <c r="H1108" s="296">
        <v>0</v>
      </c>
      <c r="I1108" s="296">
        <v>0</v>
      </c>
      <c r="J1108" s="294"/>
    </row>
    <row r="1109" spans="1:10" hidden="1" outlineLevel="1" x14ac:dyDescent="0.3">
      <c r="A1109" s="294" t="s">
        <v>6030</v>
      </c>
      <c r="B1109" s="294" t="s">
        <v>940</v>
      </c>
      <c r="C1109" s="294" t="s">
        <v>836</v>
      </c>
      <c r="D1109" s="296">
        <v>0</v>
      </c>
      <c r="E1109" s="296">
        <v>0</v>
      </c>
      <c r="F1109" s="296">
        <v>0</v>
      </c>
      <c r="G1109" s="296">
        <v>0</v>
      </c>
      <c r="H1109" s="296">
        <v>0</v>
      </c>
      <c r="I1109" s="296">
        <v>0</v>
      </c>
      <c r="J1109" s="294"/>
    </row>
    <row r="1110" spans="1:10" hidden="1" outlineLevel="1" x14ac:dyDescent="0.3">
      <c r="A1110" s="294" t="s">
        <v>6030</v>
      </c>
      <c r="B1110" s="294" t="s">
        <v>940</v>
      </c>
      <c r="C1110" s="294" t="s">
        <v>837</v>
      </c>
      <c r="D1110" s="296">
        <v>0</v>
      </c>
      <c r="E1110" s="296">
        <v>0</v>
      </c>
      <c r="F1110" s="296">
        <v>0</v>
      </c>
      <c r="G1110" s="296">
        <v>0</v>
      </c>
      <c r="H1110" s="296">
        <v>0</v>
      </c>
      <c r="I1110" s="296">
        <v>0</v>
      </c>
      <c r="J1110" s="294"/>
    </row>
    <row r="1111" spans="1:10" hidden="1" outlineLevel="1" x14ac:dyDescent="0.3">
      <c r="A1111" s="294" t="s">
        <v>6030</v>
      </c>
      <c r="B1111" s="294" t="s">
        <v>940</v>
      </c>
      <c r="C1111" s="294" t="s">
        <v>839</v>
      </c>
      <c r="D1111" s="296">
        <v>0</v>
      </c>
      <c r="E1111" s="296">
        <v>0</v>
      </c>
      <c r="F1111" s="296">
        <v>0</v>
      </c>
      <c r="G1111" s="296">
        <v>0</v>
      </c>
      <c r="H1111" s="296">
        <v>0</v>
      </c>
      <c r="I1111" s="296">
        <v>0</v>
      </c>
      <c r="J1111" s="294"/>
    </row>
    <row r="1112" spans="1:10" hidden="1" outlineLevel="1" x14ac:dyDescent="0.3">
      <c r="A1112" s="294" t="s">
        <v>6030</v>
      </c>
      <c r="B1112" s="294" t="s">
        <v>940</v>
      </c>
      <c r="C1112" s="294" t="s">
        <v>840</v>
      </c>
      <c r="D1112" s="296">
        <v>0</v>
      </c>
      <c r="E1112" s="296">
        <v>0</v>
      </c>
      <c r="F1112" s="296">
        <v>0</v>
      </c>
      <c r="G1112" s="296">
        <v>0</v>
      </c>
      <c r="H1112" s="296">
        <v>0</v>
      </c>
      <c r="I1112" s="296">
        <v>0</v>
      </c>
      <c r="J1112" s="294"/>
    </row>
    <row r="1113" spans="1:10" collapsed="1" x14ac:dyDescent="0.3">
      <c r="A1113" s="294"/>
      <c r="B1113" s="294"/>
      <c r="C1113" s="293"/>
      <c r="D1113" s="295"/>
      <c r="E1113" s="295"/>
      <c r="F1113" s="294"/>
      <c r="G1113" s="294"/>
      <c r="H1113" s="294"/>
      <c r="I1113" s="294"/>
      <c r="J1113" s="294"/>
    </row>
    <row r="1114" spans="1:10" x14ac:dyDescent="0.3">
      <c r="J1114"/>
    </row>
    <row r="1115" spans="1:10" x14ac:dyDescent="0.3">
      <c r="J1115"/>
    </row>
    <row r="1116" spans="1:10" x14ac:dyDescent="0.3">
      <c r="J1116"/>
    </row>
    <row r="1117" spans="1:10" x14ac:dyDescent="0.3">
      <c r="J1117"/>
    </row>
    <row r="1118" spans="1:10" x14ac:dyDescent="0.3">
      <c r="J1118"/>
    </row>
    <row r="1119" spans="1:10" x14ac:dyDescent="0.3">
      <c r="J1119"/>
    </row>
    <row r="1120" spans="1:10" x14ac:dyDescent="0.3">
      <c r="J1120"/>
    </row>
    <row r="1121" spans="10:10" x14ac:dyDescent="0.3">
      <c r="J1121"/>
    </row>
    <row r="1122" spans="10:10" x14ac:dyDescent="0.3">
      <c r="J1122"/>
    </row>
    <row r="1123" spans="10:10" x14ac:dyDescent="0.3">
      <c r="J1123"/>
    </row>
    <row r="1124" spans="10:10" x14ac:dyDescent="0.3">
      <c r="J1124"/>
    </row>
    <row r="1125" spans="10:10" x14ac:dyDescent="0.3">
      <c r="J1125"/>
    </row>
    <row r="1126" spans="10:10" x14ac:dyDescent="0.3">
      <c r="J1126"/>
    </row>
    <row r="1127" spans="10:10" x14ac:dyDescent="0.3">
      <c r="J1127"/>
    </row>
    <row r="1128" spans="10:10" x14ac:dyDescent="0.3">
      <c r="J1128"/>
    </row>
    <row r="1129" spans="10:10" x14ac:dyDescent="0.3">
      <c r="J1129"/>
    </row>
    <row r="1130" spans="10:10" x14ac:dyDescent="0.3">
      <c r="J1130"/>
    </row>
    <row r="1131" spans="10:10" x14ac:dyDescent="0.3">
      <c r="J1131"/>
    </row>
    <row r="1132" spans="10:10" x14ac:dyDescent="0.3">
      <c r="J1132"/>
    </row>
    <row r="1133" spans="10:10" x14ac:dyDescent="0.3">
      <c r="J1133"/>
    </row>
    <row r="1134" spans="10:10" x14ac:dyDescent="0.3">
      <c r="J1134"/>
    </row>
    <row r="1135" spans="10:10" x14ac:dyDescent="0.3">
      <c r="J1135"/>
    </row>
    <row r="1136" spans="10:10" x14ac:dyDescent="0.3">
      <c r="J1136"/>
    </row>
    <row r="1137" spans="10:10" x14ac:dyDescent="0.3">
      <c r="J1137"/>
    </row>
    <row r="1138" spans="10:10" x14ac:dyDescent="0.3">
      <c r="J1138"/>
    </row>
    <row r="1139" spans="10:10" x14ac:dyDescent="0.3">
      <c r="J1139"/>
    </row>
    <row r="1140" spans="10:10" x14ac:dyDescent="0.3">
      <c r="J1140"/>
    </row>
    <row r="1141" spans="10:10" x14ac:dyDescent="0.3">
      <c r="J1141"/>
    </row>
    <row r="1142" spans="10:10" x14ac:dyDescent="0.3">
      <c r="J1142"/>
    </row>
    <row r="1143" spans="10:10" x14ac:dyDescent="0.3">
      <c r="J1143"/>
    </row>
    <row r="1144" spans="10:10" x14ac:dyDescent="0.3">
      <c r="J1144"/>
    </row>
    <row r="1145" spans="10:10" x14ac:dyDescent="0.3">
      <c r="J1145"/>
    </row>
    <row r="1146" spans="10:10" x14ac:dyDescent="0.3">
      <c r="J1146"/>
    </row>
    <row r="1147" spans="10:10" x14ac:dyDescent="0.3">
      <c r="J1147"/>
    </row>
    <row r="1148" spans="10:10" x14ac:dyDescent="0.3">
      <c r="J1148"/>
    </row>
    <row r="1149" spans="10:10" x14ac:dyDescent="0.3">
      <c r="J1149"/>
    </row>
    <row r="1150" spans="10:10" x14ac:dyDescent="0.3">
      <c r="J1150"/>
    </row>
    <row r="1151" spans="10:10" x14ac:dyDescent="0.3">
      <c r="J1151"/>
    </row>
    <row r="1152" spans="10:10" x14ac:dyDescent="0.3">
      <c r="J1152"/>
    </row>
    <row r="1153" spans="10:10" x14ac:dyDescent="0.3">
      <c r="J1153"/>
    </row>
    <row r="1154" spans="10:10" x14ac:dyDescent="0.3">
      <c r="J1154"/>
    </row>
    <row r="1155" spans="10:10" x14ac:dyDescent="0.3">
      <c r="J1155"/>
    </row>
    <row r="1156" spans="10:10" x14ac:dyDescent="0.3">
      <c r="J1156"/>
    </row>
    <row r="1157" spans="10:10" x14ac:dyDescent="0.3">
      <c r="J1157"/>
    </row>
    <row r="1158" spans="10:10" x14ac:dyDescent="0.3">
      <c r="J1158"/>
    </row>
    <row r="1159" spans="10:10" x14ac:dyDescent="0.3">
      <c r="J1159"/>
    </row>
    <row r="1160" spans="10:10" x14ac:dyDescent="0.3">
      <c r="J1160"/>
    </row>
    <row r="1161" spans="10:10" x14ac:dyDescent="0.3">
      <c r="J1161"/>
    </row>
    <row r="1162" spans="10:10" x14ac:dyDescent="0.3">
      <c r="J1162"/>
    </row>
    <row r="1163" spans="10:10" x14ac:dyDescent="0.3">
      <c r="J1163"/>
    </row>
    <row r="1164" spans="10:10" x14ac:dyDescent="0.3">
      <c r="J1164"/>
    </row>
    <row r="1165" spans="10:10" x14ac:dyDescent="0.3">
      <c r="J1165"/>
    </row>
    <row r="1166" spans="10:10" x14ac:dyDescent="0.3">
      <c r="J1166"/>
    </row>
    <row r="1167" spans="10:10" x14ac:dyDescent="0.3">
      <c r="J1167"/>
    </row>
    <row r="1168" spans="10:10" x14ac:dyDescent="0.3">
      <c r="J1168"/>
    </row>
    <row r="1169" spans="10:10" x14ac:dyDescent="0.3">
      <c r="J1169"/>
    </row>
    <row r="1170" spans="10:10" x14ac:dyDescent="0.3">
      <c r="J1170"/>
    </row>
    <row r="1171" spans="10:10" x14ac:dyDescent="0.3">
      <c r="J1171"/>
    </row>
    <row r="1172" spans="10:10" x14ac:dyDescent="0.3">
      <c r="J1172"/>
    </row>
    <row r="1173" spans="10:10" x14ac:dyDescent="0.3">
      <c r="J1173"/>
    </row>
    <row r="1174" spans="10:10" x14ac:dyDescent="0.3">
      <c r="J1174"/>
    </row>
    <row r="1175" spans="10:10" x14ac:dyDescent="0.3">
      <c r="J1175"/>
    </row>
    <row r="1176" spans="10:10" x14ac:dyDescent="0.3">
      <c r="J1176"/>
    </row>
    <row r="1177" spans="10:10" x14ac:dyDescent="0.3">
      <c r="J1177"/>
    </row>
    <row r="1178" spans="10:10" x14ac:dyDescent="0.3">
      <c r="J1178"/>
    </row>
    <row r="1179" spans="10:10" x14ac:dyDescent="0.3">
      <c r="J1179"/>
    </row>
    <row r="1180" spans="10:10" x14ac:dyDescent="0.3">
      <c r="J1180"/>
    </row>
    <row r="1181" spans="10:10" x14ac:dyDescent="0.3">
      <c r="J1181"/>
    </row>
    <row r="1182" spans="10:10" x14ac:dyDescent="0.3">
      <c r="J1182"/>
    </row>
    <row r="1183" spans="10:10" x14ac:dyDescent="0.3">
      <c r="J1183"/>
    </row>
    <row r="1184" spans="10:10" x14ac:dyDescent="0.3">
      <c r="J1184"/>
    </row>
    <row r="1185" spans="10:10" x14ac:dyDescent="0.3">
      <c r="J1185"/>
    </row>
    <row r="1186" spans="10:10" x14ac:dyDescent="0.3">
      <c r="J1186"/>
    </row>
    <row r="1187" spans="10:10" x14ac:dyDescent="0.3">
      <c r="J1187"/>
    </row>
    <row r="1188" spans="10:10" x14ac:dyDescent="0.3">
      <c r="J1188"/>
    </row>
    <row r="1189" spans="10:10" x14ac:dyDescent="0.3">
      <c r="J1189"/>
    </row>
    <row r="1190" spans="10:10" x14ac:dyDescent="0.3">
      <c r="J1190"/>
    </row>
    <row r="1191" spans="10:10" x14ac:dyDescent="0.3">
      <c r="J1191"/>
    </row>
    <row r="1192" spans="10:10" x14ac:dyDescent="0.3">
      <c r="J1192"/>
    </row>
    <row r="1193" spans="10:10" x14ac:dyDescent="0.3">
      <c r="J1193"/>
    </row>
    <row r="1194" spans="10:10" x14ac:dyDescent="0.3">
      <c r="J1194"/>
    </row>
    <row r="1195" spans="10:10" x14ac:dyDescent="0.3">
      <c r="J1195"/>
    </row>
    <row r="1196" spans="10:10" x14ac:dyDescent="0.3">
      <c r="J1196"/>
    </row>
    <row r="1197" spans="10:10" x14ac:dyDescent="0.3">
      <c r="J1197"/>
    </row>
    <row r="1198" spans="10:10" x14ac:dyDescent="0.3">
      <c r="J1198"/>
    </row>
    <row r="1199" spans="10:10" x14ac:dyDescent="0.3">
      <c r="J1199"/>
    </row>
    <row r="1200" spans="10:10" x14ac:dyDescent="0.3">
      <c r="J1200"/>
    </row>
    <row r="1201" spans="10:10" x14ac:dyDescent="0.3">
      <c r="J1201"/>
    </row>
    <row r="1202" spans="10:10" x14ac:dyDescent="0.3">
      <c r="J1202"/>
    </row>
    <row r="1203" spans="10:10" x14ac:dyDescent="0.3">
      <c r="J1203"/>
    </row>
    <row r="1204" spans="10:10" x14ac:dyDescent="0.3">
      <c r="J1204"/>
    </row>
    <row r="1205" spans="10:10" x14ac:dyDescent="0.3">
      <c r="J1205"/>
    </row>
    <row r="1206" spans="10:10" x14ac:dyDescent="0.3">
      <c r="J1206"/>
    </row>
    <row r="1207" spans="10:10" x14ac:dyDescent="0.3">
      <c r="J1207"/>
    </row>
    <row r="1208" spans="10:10" x14ac:dyDescent="0.3">
      <c r="J1208"/>
    </row>
    <row r="1209" spans="10:10" x14ac:dyDescent="0.3">
      <c r="J1209"/>
    </row>
    <row r="1210" spans="10:10" x14ac:dyDescent="0.3">
      <c r="J1210"/>
    </row>
    <row r="1211" spans="10:10" x14ac:dyDescent="0.3">
      <c r="J1211"/>
    </row>
    <row r="1212" spans="10:10" x14ac:dyDescent="0.3">
      <c r="J1212"/>
    </row>
    <row r="1213" spans="10:10" x14ac:dyDescent="0.3">
      <c r="J1213"/>
    </row>
    <row r="1214" spans="10:10" x14ac:dyDescent="0.3">
      <c r="J1214"/>
    </row>
    <row r="1215" spans="10:10" x14ac:dyDescent="0.3">
      <c r="J1215"/>
    </row>
    <row r="1216" spans="10:10" x14ac:dyDescent="0.3">
      <c r="J1216"/>
    </row>
    <row r="1217" spans="10:10" x14ac:dyDescent="0.3">
      <c r="J1217"/>
    </row>
    <row r="1218" spans="10:10" x14ac:dyDescent="0.3">
      <c r="J1218"/>
    </row>
    <row r="1219" spans="10:10" x14ac:dyDescent="0.3">
      <c r="J1219"/>
    </row>
    <row r="1220" spans="10:10" x14ac:dyDescent="0.3">
      <c r="J1220"/>
    </row>
    <row r="1221" spans="10:10" x14ac:dyDescent="0.3">
      <c r="J1221"/>
    </row>
    <row r="1222" spans="10:10" x14ac:dyDescent="0.3">
      <c r="J1222"/>
    </row>
    <row r="1223" spans="10:10" x14ac:dyDescent="0.3">
      <c r="J1223"/>
    </row>
    <row r="1224" spans="10:10" x14ac:dyDescent="0.3">
      <c r="J1224"/>
    </row>
    <row r="1225" spans="10:10" x14ac:dyDescent="0.3">
      <c r="J1225"/>
    </row>
    <row r="1226" spans="10:10" x14ac:dyDescent="0.3">
      <c r="J1226"/>
    </row>
    <row r="1227" spans="10:10" x14ac:dyDescent="0.3">
      <c r="J1227"/>
    </row>
    <row r="1228" spans="10:10" x14ac:dyDescent="0.3">
      <c r="J1228"/>
    </row>
    <row r="1229" spans="10:10" x14ac:dyDescent="0.3">
      <c r="J1229"/>
    </row>
    <row r="1230" spans="10:10" x14ac:dyDescent="0.3">
      <c r="J1230"/>
    </row>
    <row r="1231" spans="10:10" x14ac:dyDescent="0.3">
      <c r="J1231"/>
    </row>
    <row r="1232" spans="10:10" x14ac:dyDescent="0.3">
      <c r="J1232"/>
    </row>
    <row r="1233" spans="10:10" x14ac:dyDescent="0.3">
      <c r="J1233"/>
    </row>
    <row r="1234" spans="10:10" x14ac:dyDescent="0.3">
      <c r="J1234"/>
    </row>
    <row r="1235" spans="10:10" x14ac:dyDescent="0.3">
      <c r="J1235"/>
    </row>
    <row r="1236" spans="10:10" x14ac:dyDescent="0.3">
      <c r="J1236"/>
    </row>
    <row r="1237" spans="10:10" x14ac:dyDescent="0.3">
      <c r="J1237"/>
    </row>
    <row r="1238" spans="10:10" x14ac:dyDescent="0.3">
      <c r="J1238"/>
    </row>
    <row r="1239" spans="10:10" x14ac:dyDescent="0.3">
      <c r="J1239"/>
    </row>
    <row r="1240" spans="10:10" x14ac:dyDescent="0.3">
      <c r="J1240"/>
    </row>
    <row r="1241" spans="10:10" x14ac:dyDescent="0.3">
      <c r="J1241"/>
    </row>
    <row r="1242" spans="10:10" x14ac:dyDescent="0.3">
      <c r="J1242"/>
    </row>
    <row r="1243" spans="10:10" x14ac:dyDescent="0.3">
      <c r="J1243"/>
    </row>
    <row r="1244" spans="10:10" x14ac:dyDescent="0.3">
      <c r="J1244"/>
    </row>
    <row r="1245" spans="10:10" x14ac:dyDescent="0.3">
      <c r="J1245"/>
    </row>
    <row r="1246" spans="10:10" x14ac:dyDescent="0.3">
      <c r="J1246"/>
    </row>
    <row r="1247" spans="10:10" x14ac:dyDescent="0.3">
      <c r="J1247"/>
    </row>
    <row r="1248" spans="10:10" x14ac:dyDescent="0.3">
      <c r="J1248"/>
    </row>
    <row r="1249" spans="10:10" x14ac:dyDescent="0.3">
      <c r="J1249"/>
    </row>
    <row r="1250" spans="10:10" x14ac:dyDescent="0.3">
      <c r="J1250"/>
    </row>
    <row r="1251" spans="10:10" x14ac:dyDescent="0.3">
      <c r="J1251"/>
    </row>
    <row r="1252" spans="10:10" x14ac:dyDescent="0.3">
      <c r="J1252"/>
    </row>
    <row r="1253" spans="10:10" x14ac:dyDescent="0.3">
      <c r="J1253"/>
    </row>
    <row r="1254" spans="10:10" x14ac:dyDescent="0.3">
      <c r="J1254"/>
    </row>
    <row r="1255" spans="10:10" x14ac:dyDescent="0.3">
      <c r="J1255"/>
    </row>
    <row r="1256" spans="10:10" x14ac:dyDescent="0.3">
      <c r="J1256"/>
    </row>
    <row r="1257" spans="10:10" x14ac:dyDescent="0.3">
      <c r="J1257"/>
    </row>
    <row r="1258" spans="10:10" x14ac:dyDescent="0.3">
      <c r="J1258"/>
    </row>
    <row r="1259" spans="10:10" x14ac:dyDescent="0.3">
      <c r="J1259"/>
    </row>
    <row r="1260" spans="10:10" x14ac:dyDescent="0.3">
      <c r="J1260"/>
    </row>
    <row r="1261" spans="10:10" x14ac:dyDescent="0.3">
      <c r="J1261"/>
    </row>
    <row r="1262" spans="10:10" x14ac:dyDescent="0.3">
      <c r="J1262"/>
    </row>
    <row r="1263" spans="10:10" x14ac:dyDescent="0.3">
      <c r="J1263"/>
    </row>
    <row r="1264" spans="10:10" x14ac:dyDescent="0.3">
      <c r="J1264"/>
    </row>
    <row r="1265" spans="10:10" x14ac:dyDescent="0.3">
      <c r="J1265"/>
    </row>
    <row r="1266" spans="10:10" x14ac:dyDescent="0.3">
      <c r="J1266"/>
    </row>
    <row r="1267" spans="10:10" x14ac:dyDescent="0.3">
      <c r="J1267"/>
    </row>
    <row r="1268" spans="10:10" x14ac:dyDescent="0.3">
      <c r="J1268"/>
    </row>
    <row r="1269" spans="10:10" x14ac:dyDescent="0.3">
      <c r="J1269"/>
    </row>
    <row r="1270" spans="10:10" x14ac:dyDescent="0.3">
      <c r="J1270"/>
    </row>
    <row r="1271" spans="10:10" x14ac:dyDescent="0.3">
      <c r="J1271"/>
    </row>
    <row r="1272" spans="10:10" x14ac:dyDescent="0.3">
      <c r="J1272"/>
    </row>
    <row r="1273" spans="10:10" x14ac:dyDescent="0.3">
      <c r="J1273"/>
    </row>
    <row r="1274" spans="10:10" x14ac:dyDescent="0.3">
      <c r="J1274"/>
    </row>
    <row r="1275" spans="10:10" x14ac:dyDescent="0.3">
      <c r="J1275"/>
    </row>
    <row r="1276" spans="10:10" x14ac:dyDescent="0.3">
      <c r="J1276"/>
    </row>
    <row r="1277" spans="10:10" x14ac:dyDescent="0.3">
      <c r="J1277"/>
    </row>
    <row r="1278" spans="10:10" x14ac:dyDescent="0.3">
      <c r="J1278"/>
    </row>
    <row r="1279" spans="10:10" x14ac:dyDescent="0.3">
      <c r="J1279"/>
    </row>
    <row r="1280" spans="10:10" x14ac:dyDescent="0.3">
      <c r="J1280"/>
    </row>
    <row r="1281" spans="10:10" x14ac:dyDescent="0.3">
      <c r="J1281"/>
    </row>
    <row r="1282" spans="10:10" x14ac:dyDescent="0.3">
      <c r="J1282"/>
    </row>
    <row r="1283" spans="10:10" x14ac:dyDescent="0.3">
      <c r="J1283"/>
    </row>
    <row r="1284" spans="10:10" x14ac:dyDescent="0.3">
      <c r="J1284"/>
    </row>
    <row r="1285" spans="10:10" x14ac:dyDescent="0.3">
      <c r="J1285"/>
    </row>
    <row r="1286" spans="10:10" x14ac:dyDescent="0.3">
      <c r="J1286"/>
    </row>
    <row r="1287" spans="10:10" x14ac:dyDescent="0.3">
      <c r="J1287"/>
    </row>
    <row r="1288" spans="10:10" x14ac:dyDescent="0.3">
      <c r="J1288"/>
    </row>
    <row r="1289" spans="10:10" x14ac:dyDescent="0.3">
      <c r="J1289"/>
    </row>
    <row r="1290" spans="10:10" x14ac:dyDescent="0.3">
      <c r="J1290"/>
    </row>
    <row r="1291" spans="10:10" x14ac:dyDescent="0.3">
      <c r="J1291"/>
    </row>
    <row r="1292" spans="10:10" x14ac:dyDescent="0.3">
      <c r="J1292"/>
    </row>
    <row r="1293" spans="10:10" x14ac:dyDescent="0.3">
      <c r="J1293"/>
    </row>
    <row r="1294" spans="10:10" x14ac:dyDescent="0.3">
      <c r="J1294"/>
    </row>
    <row r="1295" spans="10:10" x14ac:dyDescent="0.3">
      <c r="J1295"/>
    </row>
    <row r="1296" spans="10:10" x14ac:dyDescent="0.3">
      <c r="J1296"/>
    </row>
    <row r="1297" spans="10:10" x14ac:dyDescent="0.3">
      <c r="J1297"/>
    </row>
    <row r="1298" spans="10:10" x14ac:dyDescent="0.3">
      <c r="J1298"/>
    </row>
    <row r="1299" spans="10:10" x14ac:dyDescent="0.3">
      <c r="J1299"/>
    </row>
    <row r="1300" spans="10:10" x14ac:dyDescent="0.3">
      <c r="J1300"/>
    </row>
    <row r="1301" spans="10:10" x14ac:dyDescent="0.3">
      <c r="J1301"/>
    </row>
    <row r="1302" spans="10:10" x14ac:dyDescent="0.3">
      <c r="J1302"/>
    </row>
    <row r="1303" spans="10:10" x14ac:dyDescent="0.3">
      <c r="J1303"/>
    </row>
    <row r="1304" spans="10:10" x14ac:dyDescent="0.3">
      <c r="J1304"/>
    </row>
    <row r="1305" spans="10:10" x14ac:dyDescent="0.3">
      <c r="J1305"/>
    </row>
    <row r="1306" spans="10:10" x14ac:dyDescent="0.3">
      <c r="J1306"/>
    </row>
    <row r="1307" spans="10:10" x14ac:dyDescent="0.3">
      <c r="J1307"/>
    </row>
    <row r="1308" spans="10:10" x14ac:dyDescent="0.3">
      <c r="J1308"/>
    </row>
    <row r="1309" spans="10:10" x14ac:dyDescent="0.3">
      <c r="J1309"/>
    </row>
    <row r="1310" spans="10:10" x14ac:dyDescent="0.3">
      <c r="J1310"/>
    </row>
    <row r="1311" spans="10:10" x14ac:dyDescent="0.3">
      <c r="J1311"/>
    </row>
    <row r="1312" spans="10:10" x14ac:dyDescent="0.3">
      <c r="J1312"/>
    </row>
    <row r="1313" spans="10:10" x14ac:dyDescent="0.3">
      <c r="J1313"/>
    </row>
    <row r="1314" spans="10:10" x14ac:dyDescent="0.3">
      <c r="J1314"/>
    </row>
    <row r="1315" spans="10:10" x14ac:dyDescent="0.3">
      <c r="J1315"/>
    </row>
    <row r="1316" spans="10:10" x14ac:dyDescent="0.3">
      <c r="J1316"/>
    </row>
    <row r="1317" spans="10:10" x14ac:dyDescent="0.3">
      <c r="J1317"/>
    </row>
    <row r="1318" spans="10:10" x14ac:dyDescent="0.3">
      <c r="J1318"/>
    </row>
    <row r="1319" spans="10:10" x14ac:dyDescent="0.3">
      <c r="J1319"/>
    </row>
    <row r="1320" spans="10:10" x14ac:dyDescent="0.3">
      <c r="J1320"/>
    </row>
    <row r="1321" spans="10:10" x14ac:dyDescent="0.3">
      <c r="J1321"/>
    </row>
    <row r="1322" spans="10:10" x14ac:dyDescent="0.3">
      <c r="J1322"/>
    </row>
    <row r="1323" spans="10:10" x14ac:dyDescent="0.3">
      <c r="J1323"/>
    </row>
    <row r="1324" spans="10:10" x14ac:dyDescent="0.3">
      <c r="J1324"/>
    </row>
    <row r="1325" spans="10:10" x14ac:dyDescent="0.3">
      <c r="J1325"/>
    </row>
    <row r="1326" spans="10:10" x14ac:dyDescent="0.3">
      <c r="J1326"/>
    </row>
    <row r="1327" spans="10:10" x14ac:dyDescent="0.3">
      <c r="J1327"/>
    </row>
    <row r="1328" spans="10:10" x14ac:dyDescent="0.3">
      <c r="J1328"/>
    </row>
    <row r="1329" spans="10:10" x14ac:dyDescent="0.3">
      <c r="J1329"/>
    </row>
    <row r="1330" spans="10:10" x14ac:dyDescent="0.3">
      <c r="J1330"/>
    </row>
    <row r="1331" spans="10:10" x14ac:dyDescent="0.3">
      <c r="J1331"/>
    </row>
    <row r="1332" spans="10:10" x14ac:dyDescent="0.3">
      <c r="J1332"/>
    </row>
    <row r="1333" spans="10:10" x14ac:dyDescent="0.3">
      <c r="J1333"/>
    </row>
    <row r="1334" spans="10:10" x14ac:dyDescent="0.3">
      <c r="J1334"/>
    </row>
    <row r="1335" spans="10:10" x14ac:dyDescent="0.3">
      <c r="J1335"/>
    </row>
    <row r="1336" spans="10:10" x14ac:dyDescent="0.3">
      <c r="J1336"/>
    </row>
    <row r="1337" spans="10:10" x14ac:dyDescent="0.3">
      <c r="J1337"/>
    </row>
    <row r="1338" spans="10:10" x14ac:dyDescent="0.3">
      <c r="J1338"/>
    </row>
    <row r="1339" spans="10:10" x14ac:dyDescent="0.3">
      <c r="J1339"/>
    </row>
    <row r="1340" spans="10:10" x14ac:dyDescent="0.3">
      <c r="J1340"/>
    </row>
    <row r="1341" spans="10:10" x14ac:dyDescent="0.3">
      <c r="J1341"/>
    </row>
    <row r="1342" spans="10:10" x14ac:dyDescent="0.3">
      <c r="J1342"/>
    </row>
    <row r="1343" spans="10:10" x14ac:dyDescent="0.3">
      <c r="J1343"/>
    </row>
    <row r="1344" spans="10:10" x14ac:dyDescent="0.3">
      <c r="J1344"/>
    </row>
    <row r="1345" spans="10:10" x14ac:dyDescent="0.3">
      <c r="J1345"/>
    </row>
    <row r="1346" spans="10:10" x14ac:dyDescent="0.3">
      <c r="J1346"/>
    </row>
    <row r="1347" spans="10:10" x14ac:dyDescent="0.3">
      <c r="J1347"/>
    </row>
    <row r="1348" spans="10:10" x14ac:dyDescent="0.3">
      <c r="J1348"/>
    </row>
    <row r="1349" spans="10:10" x14ac:dyDescent="0.3">
      <c r="J1349"/>
    </row>
    <row r="1350" spans="10:10" x14ac:dyDescent="0.3">
      <c r="J1350"/>
    </row>
    <row r="1351" spans="10:10" x14ac:dyDescent="0.3">
      <c r="J1351"/>
    </row>
    <row r="1352" spans="10:10" x14ac:dyDescent="0.3">
      <c r="J1352"/>
    </row>
    <row r="1353" spans="10:10" x14ac:dyDescent="0.3">
      <c r="J1353"/>
    </row>
    <row r="1354" spans="10:10" x14ac:dyDescent="0.3">
      <c r="J1354"/>
    </row>
    <row r="1355" spans="10:10" x14ac:dyDescent="0.3">
      <c r="J1355"/>
    </row>
    <row r="1356" spans="10:10" x14ac:dyDescent="0.3">
      <c r="J1356"/>
    </row>
    <row r="1357" spans="10:10" x14ac:dyDescent="0.3">
      <c r="J1357"/>
    </row>
    <row r="1358" spans="10:10" x14ac:dyDescent="0.3">
      <c r="J1358"/>
    </row>
    <row r="1359" spans="10:10" x14ac:dyDescent="0.3">
      <c r="J1359"/>
    </row>
    <row r="1360" spans="10:10" x14ac:dyDescent="0.3">
      <c r="J1360"/>
    </row>
    <row r="1361" spans="10:10" x14ac:dyDescent="0.3">
      <c r="J1361"/>
    </row>
    <row r="1362" spans="10:10" x14ac:dyDescent="0.3">
      <c r="J1362"/>
    </row>
    <row r="1363" spans="10:10" x14ac:dyDescent="0.3">
      <c r="J1363"/>
    </row>
    <row r="1364" spans="10:10" x14ac:dyDescent="0.3">
      <c r="J1364"/>
    </row>
    <row r="1365" spans="10:10" x14ac:dyDescent="0.3">
      <c r="J1365"/>
    </row>
    <row r="1366" spans="10:10" x14ac:dyDescent="0.3">
      <c r="J1366"/>
    </row>
    <row r="1367" spans="10:10" x14ac:dyDescent="0.3">
      <c r="J1367"/>
    </row>
    <row r="1368" spans="10:10" x14ac:dyDescent="0.3">
      <c r="J1368"/>
    </row>
    <row r="1369" spans="10:10" x14ac:dyDescent="0.3">
      <c r="J1369"/>
    </row>
    <row r="1370" spans="10:10" x14ac:dyDescent="0.3">
      <c r="J1370"/>
    </row>
    <row r="1371" spans="10:10" x14ac:dyDescent="0.3">
      <c r="J1371"/>
    </row>
    <row r="1372" spans="10:10" x14ac:dyDescent="0.3">
      <c r="J1372"/>
    </row>
    <row r="1373" spans="10:10" x14ac:dyDescent="0.3">
      <c r="J1373"/>
    </row>
    <row r="1374" spans="10:10" x14ac:dyDescent="0.3">
      <c r="J1374"/>
    </row>
    <row r="1375" spans="10:10" x14ac:dyDescent="0.3">
      <c r="J1375"/>
    </row>
    <row r="1376" spans="10:10" x14ac:dyDescent="0.3">
      <c r="J1376"/>
    </row>
    <row r="1377" spans="10:10" x14ac:dyDescent="0.3">
      <c r="J1377"/>
    </row>
    <row r="1378" spans="10:10" x14ac:dyDescent="0.3">
      <c r="J1378"/>
    </row>
    <row r="1379" spans="10:10" x14ac:dyDescent="0.3">
      <c r="J1379"/>
    </row>
    <row r="1380" spans="10:10" x14ac:dyDescent="0.3">
      <c r="J1380"/>
    </row>
    <row r="1381" spans="10:10" x14ac:dyDescent="0.3">
      <c r="J1381"/>
    </row>
    <row r="1382" spans="10:10" x14ac:dyDescent="0.3">
      <c r="J1382"/>
    </row>
    <row r="1383" spans="10:10" x14ac:dyDescent="0.3">
      <c r="J1383"/>
    </row>
    <row r="1384" spans="10:10" x14ac:dyDescent="0.3">
      <c r="J1384"/>
    </row>
    <row r="1385" spans="10:10" x14ac:dyDescent="0.3">
      <c r="J1385"/>
    </row>
    <row r="1386" spans="10:10" x14ac:dyDescent="0.3">
      <c r="J1386"/>
    </row>
    <row r="1387" spans="10:10" x14ac:dyDescent="0.3">
      <c r="J1387"/>
    </row>
    <row r="1388" spans="10:10" x14ac:dyDescent="0.3">
      <c r="J1388"/>
    </row>
    <row r="1389" spans="10:10" x14ac:dyDescent="0.3">
      <c r="J1389"/>
    </row>
    <row r="1390" spans="10:10" x14ac:dyDescent="0.3">
      <c r="J1390"/>
    </row>
    <row r="1391" spans="10:10" x14ac:dyDescent="0.3">
      <c r="J1391"/>
    </row>
    <row r="1392" spans="10:10" x14ac:dyDescent="0.3">
      <c r="J1392"/>
    </row>
    <row r="1393" spans="10:10" x14ac:dyDescent="0.3">
      <c r="J1393"/>
    </row>
    <row r="1394" spans="10:10" x14ac:dyDescent="0.3">
      <c r="J1394"/>
    </row>
    <row r="1395" spans="10:10" x14ac:dyDescent="0.3">
      <c r="J1395"/>
    </row>
    <row r="1396" spans="10:10" x14ac:dyDescent="0.3">
      <c r="J1396"/>
    </row>
    <row r="1397" spans="10:10" x14ac:dyDescent="0.3">
      <c r="J1397"/>
    </row>
    <row r="1398" spans="10:10" x14ac:dyDescent="0.3">
      <c r="J1398"/>
    </row>
    <row r="1399" spans="10:10" x14ac:dyDescent="0.3">
      <c r="J1399"/>
    </row>
    <row r="1400" spans="10:10" x14ac:dyDescent="0.3">
      <c r="J1400"/>
    </row>
    <row r="1401" spans="10:10" x14ac:dyDescent="0.3">
      <c r="J1401"/>
    </row>
    <row r="1402" spans="10:10" x14ac:dyDescent="0.3">
      <c r="J1402"/>
    </row>
    <row r="1403" spans="10:10" x14ac:dyDescent="0.3">
      <c r="J1403"/>
    </row>
    <row r="1404" spans="10:10" x14ac:dyDescent="0.3">
      <c r="J1404"/>
    </row>
    <row r="1405" spans="10:10" x14ac:dyDescent="0.3">
      <c r="J1405"/>
    </row>
    <row r="1406" spans="10:10" x14ac:dyDescent="0.3">
      <c r="J1406"/>
    </row>
    <row r="1407" spans="10:10" x14ac:dyDescent="0.3">
      <c r="J1407"/>
    </row>
    <row r="1408" spans="10:10" x14ac:dyDescent="0.3">
      <c r="J1408"/>
    </row>
    <row r="1409" spans="10:10" x14ac:dyDescent="0.3">
      <c r="J1409"/>
    </row>
    <row r="1410" spans="10:10" x14ac:dyDescent="0.3">
      <c r="J1410"/>
    </row>
    <row r="1411" spans="10:10" x14ac:dyDescent="0.3">
      <c r="J1411"/>
    </row>
    <row r="1412" spans="10:10" x14ac:dyDescent="0.3">
      <c r="J1412"/>
    </row>
    <row r="1413" spans="10:10" x14ac:dyDescent="0.3">
      <c r="J1413"/>
    </row>
    <row r="1414" spans="10:10" x14ac:dyDescent="0.3">
      <c r="J1414"/>
    </row>
    <row r="1415" spans="10:10" x14ac:dyDescent="0.3">
      <c r="J1415"/>
    </row>
    <row r="1416" spans="10:10" x14ac:dyDescent="0.3">
      <c r="J1416"/>
    </row>
    <row r="1417" spans="10:10" x14ac:dyDescent="0.3">
      <c r="J1417"/>
    </row>
    <row r="1418" spans="10:10" x14ac:dyDescent="0.3">
      <c r="J1418"/>
    </row>
    <row r="1419" spans="10:10" x14ac:dyDescent="0.3">
      <c r="J1419"/>
    </row>
    <row r="1420" spans="10:10" x14ac:dyDescent="0.3">
      <c r="J1420"/>
    </row>
    <row r="1421" spans="10:10" x14ac:dyDescent="0.3">
      <c r="J1421"/>
    </row>
    <row r="1422" spans="10:10" x14ac:dyDescent="0.3">
      <c r="J1422"/>
    </row>
    <row r="1423" spans="10:10" x14ac:dyDescent="0.3">
      <c r="J1423"/>
    </row>
    <row r="1424" spans="10:10" x14ac:dyDescent="0.3">
      <c r="J1424"/>
    </row>
    <row r="1425" spans="10:10" x14ac:dyDescent="0.3">
      <c r="J1425"/>
    </row>
    <row r="1426" spans="10:10" x14ac:dyDescent="0.3">
      <c r="J1426"/>
    </row>
    <row r="1427" spans="10:10" x14ac:dyDescent="0.3">
      <c r="J1427"/>
    </row>
    <row r="1428" spans="10:10" x14ac:dyDescent="0.3">
      <c r="J1428"/>
    </row>
    <row r="1429" spans="10:10" x14ac:dyDescent="0.3">
      <c r="J1429"/>
    </row>
    <row r="1430" spans="10:10" x14ac:dyDescent="0.3">
      <c r="J1430"/>
    </row>
    <row r="1431" spans="10:10" x14ac:dyDescent="0.3">
      <c r="J1431"/>
    </row>
    <row r="1432" spans="10:10" x14ac:dyDescent="0.3">
      <c r="J1432"/>
    </row>
    <row r="1433" spans="10:10" x14ac:dyDescent="0.3">
      <c r="J1433"/>
    </row>
    <row r="1434" spans="10:10" x14ac:dyDescent="0.3">
      <c r="J1434"/>
    </row>
    <row r="1435" spans="10:10" x14ac:dyDescent="0.3">
      <c r="J1435"/>
    </row>
    <row r="1436" spans="10:10" x14ac:dyDescent="0.3">
      <c r="J1436"/>
    </row>
    <row r="1437" spans="10:10" x14ac:dyDescent="0.3">
      <c r="J1437"/>
    </row>
    <row r="1438" spans="10:10" x14ac:dyDescent="0.3">
      <c r="J1438"/>
    </row>
    <row r="1439" spans="10:10" x14ac:dyDescent="0.3">
      <c r="J1439"/>
    </row>
    <row r="1440" spans="10:10" x14ac:dyDescent="0.3">
      <c r="J1440"/>
    </row>
    <row r="1441" spans="10:10" x14ac:dyDescent="0.3">
      <c r="J1441"/>
    </row>
    <row r="1442" spans="10:10" x14ac:dyDescent="0.3">
      <c r="J1442"/>
    </row>
    <row r="1443" spans="10:10" x14ac:dyDescent="0.3">
      <c r="J1443"/>
    </row>
    <row r="1444" spans="10:10" x14ac:dyDescent="0.3">
      <c r="J1444"/>
    </row>
    <row r="1445" spans="10:10" x14ac:dyDescent="0.3">
      <c r="J1445"/>
    </row>
    <row r="1446" spans="10:10" x14ac:dyDescent="0.3">
      <c r="J1446"/>
    </row>
    <row r="1447" spans="10:10" x14ac:dyDescent="0.3">
      <c r="J1447"/>
    </row>
    <row r="1448" spans="10:10" x14ac:dyDescent="0.3">
      <c r="J1448"/>
    </row>
    <row r="1449" spans="10:10" x14ac:dyDescent="0.3">
      <c r="J1449"/>
    </row>
    <row r="1450" spans="10:10" x14ac:dyDescent="0.3">
      <c r="J1450"/>
    </row>
    <row r="1451" spans="10:10" x14ac:dyDescent="0.3">
      <c r="J1451"/>
    </row>
    <row r="1452" spans="10:10" x14ac:dyDescent="0.3">
      <c r="J1452"/>
    </row>
    <row r="1453" spans="10:10" x14ac:dyDescent="0.3">
      <c r="J1453"/>
    </row>
    <row r="1454" spans="10:10" x14ac:dyDescent="0.3">
      <c r="J1454"/>
    </row>
    <row r="1455" spans="10:10" x14ac:dyDescent="0.3">
      <c r="J1455"/>
    </row>
    <row r="1456" spans="10:10" x14ac:dyDescent="0.3">
      <c r="J1456"/>
    </row>
    <row r="1457" spans="10:10" x14ac:dyDescent="0.3">
      <c r="J1457"/>
    </row>
    <row r="1458" spans="10:10" x14ac:dyDescent="0.3">
      <c r="J1458"/>
    </row>
    <row r="1459" spans="10:10" x14ac:dyDescent="0.3">
      <c r="J1459"/>
    </row>
    <row r="1460" spans="10:10" x14ac:dyDescent="0.3">
      <c r="J1460"/>
    </row>
    <row r="1461" spans="10:10" x14ac:dyDescent="0.3">
      <c r="J1461"/>
    </row>
    <row r="1462" spans="10:10" x14ac:dyDescent="0.3">
      <c r="J1462"/>
    </row>
    <row r="1463" spans="10:10" x14ac:dyDescent="0.3">
      <c r="J1463"/>
    </row>
    <row r="1464" spans="10:10" x14ac:dyDescent="0.3">
      <c r="J1464"/>
    </row>
    <row r="1465" spans="10:10" x14ac:dyDescent="0.3">
      <c r="J1465"/>
    </row>
    <row r="1466" spans="10:10" x14ac:dyDescent="0.3">
      <c r="J1466"/>
    </row>
    <row r="1467" spans="10:10" x14ac:dyDescent="0.3">
      <c r="J1467"/>
    </row>
    <row r="1468" spans="10:10" x14ac:dyDescent="0.3">
      <c r="J1468"/>
    </row>
    <row r="1469" spans="10:10" x14ac:dyDescent="0.3">
      <c r="J1469"/>
    </row>
    <row r="1470" spans="10:10" x14ac:dyDescent="0.3">
      <c r="J1470"/>
    </row>
    <row r="1471" spans="10:10" x14ac:dyDescent="0.3">
      <c r="J1471"/>
    </row>
    <row r="1472" spans="10:10" x14ac:dyDescent="0.3">
      <c r="J1472"/>
    </row>
    <row r="1473" spans="10:10" x14ac:dyDescent="0.3">
      <c r="J1473"/>
    </row>
    <row r="1474" spans="10:10" x14ac:dyDescent="0.3">
      <c r="J1474"/>
    </row>
    <row r="1475" spans="10:10" x14ac:dyDescent="0.3">
      <c r="J1475"/>
    </row>
    <row r="1476" spans="10:10" x14ac:dyDescent="0.3">
      <c r="J1476"/>
    </row>
    <row r="1477" spans="10:10" x14ac:dyDescent="0.3">
      <c r="J1477"/>
    </row>
    <row r="1478" spans="10:10" x14ac:dyDescent="0.3">
      <c r="J1478"/>
    </row>
    <row r="1479" spans="10:10" x14ac:dyDescent="0.3">
      <c r="J1479"/>
    </row>
    <row r="1480" spans="10:10" x14ac:dyDescent="0.3">
      <c r="J1480"/>
    </row>
    <row r="1481" spans="10:10" x14ac:dyDescent="0.3">
      <c r="J1481"/>
    </row>
    <row r="1482" spans="10:10" x14ac:dyDescent="0.3">
      <c r="J1482"/>
    </row>
    <row r="1483" spans="10:10" x14ac:dyDescent="0.3">
      <c r="J1483"/>
    </row>
    <row r="1484" spans="10:10" x14ac:dyDescent="0.3">
      <c r="J1484"/>
    </row>
    <row r="1485" spans="10:10" x14ac:dyDescent="0.3">
      <c r="J1485"/>
    </row>
    <row r="1486" spans="10:10" x14ac:dyDescent="0.3">
      <c r="J1486"/>
    </row>
    <row r="1487" spans="10:10" x14ac:dyDescent="0.3">
      <c r="J1487"/>
    </row>
    <row r="1488" spans="10:10" x14ac:dyDescent="0.3">
      <c r="J1488"/>
    </row>
    <row r="1489" spans="10:10" x14ac:dyDescent="0.3">
      <c r="J1489"/>
    </row>
    <row r="1490" spans="10:10" x14ac:dyDescent="0.3">
      <c r="J1490"/>
    </row>
    <row r="1491" spans="10:10" x14ac:dyDescent="0.3">
      <c r="J1491"/>
    </row>
    <row r="1492" spans="10:10" x14ac:dyDescent="0.3">
      <c r="J1492"/>
    </row>
    <row r="1493" spans="10:10" x14ac:dyDescent="0.3">
      <c r="J1493"/>
    </row>
    <row r="1494" spans="10:10" x14ac:dyDescent="0.3">
      <c r="J1494"/>
    </row>
    <row r="1495" spans="10:10" x14ac:dyDescent="0.3">
      <c r="J1495"/>
    </row>
    <row r="1496" spans="10:10" x14ac:dyDescent="0.3">
      <c r="J1496"/>
    </row>
    <row r="1497" spans="10:10" x14ac:dyDescent="0.3">
      <c r="J1497"/>
    </row>
    <row r="1498" spans="10:10" x14ac:dyDescent="0.3">
      <c r="J1498"/>
    </row>
    <row r="1499" spans="10:10" x14ac:dyDescent="0.3">
      <c r="J1499"/>
    </row>
    <row r="1500" spans="10:10" x14ac:dyDescent="0.3">
      <c r="J1500"/>
    </row>
    <row r="1501" spans="10:10" x14ac:dyDescent="0.3">
      <c r="J1501"/>
    </row>
    <row r="1502" spans="10:10" x14ac:dyDescent="0.3">
      <c r="J1502"/>
    </row>
    <row r="1503" spans="10:10" x14ac:dyDescent="0.3">
      <c r="J1503"/>
    </row>
    <row r="1504" spans="10:10" x14ac:dyDescent="0.3">
      <c r="J1504"/>
    </row>
    <row r="1505" spans="10:10" x14ac:dyDescent="0.3">
      <c r="J1505"/>
    </row>
    <row r="1506" spans="10:10" x14ac:dyDescent="0.3">
      <c r="J1506"/>
    </row>
    <row r="1507" spans="10:10" x14ac:dyDescent="0.3">
      <c r="J1507"/>
    </row>
    <row r="1508" spans="10:10" x14ac:dyDescent="0.3">
      <c r="J1508"/>
    </row>
    <row r="1509" spans="10:10" x14ac:dyDescent="0.3">
      <c r="J1509"/>
    </row>
    <row r="1510" spans="10:10" x14ac:dyDescent="0.3">
      <c r="J1510"/>
    </row>
    <row r="1511" spans="10:10" x14ac:dyDescent="0.3">
      <c r="J1511"/>
    </row>
    <row r="1512" spans="10:10" x14ac:dyDescent="0.3">
      <c r="J1512"/>
    </row>
    <row r="1513" spans="10:10" x14ac:dyDescent="0.3">
      <c r="J1513"/>
    </row>
    <row r="1514" spans="10:10" x14ac:dyDescent="0.3">
      <c r="J1514"/>
    </row>
    <row r="1515" spans="10:10" x14ac:dyDescent="0.3">
      <c r="J1515"/>
    </row>
    <row r="1516" spans="10:10" x14ac:dyDescent="0.3">
      <c r="J1516"/>
    </row>
    <row r="1517" spans="10:10" x14ac:dyDescent="0.3">
      <c r="J1517"/>
    </row>
    <row r="1518" spans="10:10" x14ac:dyDescent="0.3">
      <c r="J1518"/>
    </row>
    <row r="1519" spans="10:10" x14ac:dyDescent="0.3">
      <c r="J1519"/>
    </row>
    <row r="1520" spans="10:10" x14ac:dyDescent="0.3">
      <c r="J1520"/>
    </row>
    <row r="1521" spans="10:10" x14ac:dyDescent="0.3">
      <c r="J1521"/>
    </row>
    <row r="1522" spans="10:10" x14ac:dyDescent="0.3">
      <c r="J1522"/>
    </row>
    <row r="1523" spans="10:10" x14ac:dyDescent="0.3">
      <c r="J1523"/>
    </row>
    <row r="1524" spans="10:10" x14ac:dyDescent="0.3">
      <c r="J1524"/>
    </row>
    <row r="1525" spans="10:10" x14ac:dyDescent="0.3">
      <c r="J1525"/>
    </row>
    <row r="1526" spans="10:10" x14ac:dyDescent="0.3">
      <c r="J1526"/>
    </row>
    <row r="1527" spans="10:10" x14ac:dyDescent="0.3">
      <c r="J1527"/>
    </row>
    <row r="1528" spans="10:10" x14ac:dyDescent="0.3">
      <c r="J1528"/>
    </row>
    <row r="1529" spans="10:10" x14ac:dyDescent="0.3">
      <c r="J1529"/>
    </row>
    <row r="1530" spans="10:10" x14ac:dyDescent="0.3">
      <c r="J1530"/>
    </row>
    <row r="1531" spans="10:10" x14ac:dyDescent="0.3">
      <c r="J1531"/>
    </row>
    <row r="1532" spans="10:10" x14ac:dyDescent="0.3">
      <c r="J1532"/>
    </row>
    <row r="1533" spans="10:10" x14ac:dyDescent="0.3">
      <c r="J1533"/>
    </row>
    <row r="1534" spans="10:10" x14ac:dyDescent="0.3">
      <c r="J1534"/>
    </row>
    <row r="1535" spans="10:10" x14ac:dyDescent="0.3">
      <c r="J1535"/>
    </row>
    <row r="1536" spans="10:10" x14ac:dyDescent="0.3">
      <c r="J1536"/>
    </row>
    <row r="1537" spans="10:10" x14ac:dyDescent="0.3">
      <c r="J1537"/>
    </row>
    <row r="1538" spans="10:10" x14ac:dyDescent="0.3">
      <c r="J1538"/>
    </row>
    <row r="1539" spans="10:10" x14ac:dyDescent="0.3">
      <c r="J1539"/>
    </row>
    <row r="1540" spans="10:10" x14ac:dyDescent="0.3">
      <c r="J1540"/>
    </row>
    <row r="1541" spans="10:10" x14ac:dyDescent="0.3">
      <c r="J1541"/>
    </row>
    <row r="1542" spans="10:10" x14ac:dyDescent="0.3">
      <c r="J1542"/>
    </row>
    <row r="1543" spans="10:10" x14ac:dyDescent="0.3">
      <c r="J1543"/>
    </row>
    <row r="1544" spans="10:10" x14ac:dyDescent="0.3">
      <c r="J1544"/>
    </row>
    <row r="1545" spans="10:10" x14ac:dyDescent="0.3">
      <c r="J1545"/>
    </row>
    <row r="1546" spans="10:10" x14ac:dyDescent="0.3">
      <c r="J1546"/>
    </row>
    <row r="1547" spans="10:10" x14ac:dyDescent="0.3">
      <c r="J1547"/>
    </row>
    <row r="1548" spans="10:10" x14ac:dyDescent="0.3">
      <c r="J1548"/>
    </row>
    <row r="1549" spans="10:10" x14ac:dyDescent="0.3">
      <c r="J1549"/>
    </row>
    <row r="1550" spans="10:10" x14ac:dyDescent="0.3">
      <c r="J1550"/>
    </row>
    <row r="1551" spans="10:10" x14ac:dyDescent="0.3">
      <c r="J1551"/>
    </row>
    <row r="1552" spans="10:10" x14ac:dyDescent="0.3">
      <c r="J1552"/>
    </row>
    <row r="1553" spans="10:10" x14ac:dyDescent="0.3">
      <c r="J1553"/>
    </row>
    <row r="1554" spans="10:10" x14ac:dyDescent="0.3">
      <c r="J1554"/>
    </row>
    <row r="1555" spans="10:10" x14ac:dyDescent="0.3">
      <c r="J1555"/>
    </row>
    <row r="1556" spans="10:10" x14ac:dyDescent="0.3">
      <c r="J1556"/>
    </row>
    <row r="1557" spans="10:10" x14ac:dyDescent="0.3">
      <c r="J1557"/>
    </row>
    <row r="1558" spans="10:10" x14ac:dyDescent="0.3">
      <c r="J1558"/>
    </row>
    <row r="1559" spans="10:10" x14ac:dyDescent="0.3">
      <c r="J1559"/>
    </row>
    <row r="1560" spans="10:10" x14ac:dyDescent="0.3">
      <c r="J1560"/>
    </row>
    <row r="1561" spans="10:10" x14ac:dyDescent="0.3">
      <c r="J1561"/>
    </row>
    <row r="1562" spans="10:10" x14ac:dyDescent="0.3">
      <c r="J1562"/>
    </row>
    <row r="1563" spans="10:10" x14ac:dyDescent="0.3">
      <c r="J1563"/>
    </row>
    <row r="1564" spans="10:10" x14ac:dyDescent="0.3">
      <c r="J1564"/>
    </row>
    <row r="1565" spans="10:10" x14ac:dyDescent="0.3">
      <c r="J1565"/>
    </row>
    <row r="1566" spans="10:10" x14ac:dyDescent="0.3">
      <c r="J1566"/>
    </row>
    <row r="1567" spans="10:10" x14ac:dyDescent="0.3">
      <c r="J1567"/>
    </row>
    <row r="1568" spans="10:10" x14ac:dyDescent="0.3">
      <c r="J1568"/>
    </row>
    <row r="1569" spans="10:10" x14ac:dyDescent="0.3">
      <c r="J1569"/>
    </row>
    <row r="1570" spans="10:10" x14ac:dyDescent="0.3">
      <c r="J1570"/>
    </row>
    <row r="1571" spans="10:10" x14ac:dyDescent="0.3">
      <c r="J1571"/>
    </row>
    <row r="1572" spans="10:10" x14ac:dyDescent="0.3">
      <c r="J1572"/>
    </row>
    <row r="1573" spans="10:10" x14ac:dyDescent="0.3">
      <c r="J1573"/>
    </row>
    <row r="1574" spans="10:10" x14ac:dyDescent="0.3">
      <c r="J1574"/>
    </row>
    <row r="1575" spans="10:10" x14ac:dyDescent="0.3">
      <c r="J1575"/>
    </row>
    <row r="1576" spans="10:10" x14ac:dyDescent="0.3">
      <c r="J1576"/>
    </row>
    <row r="1577" spans="10:10" x14ac:dyDescent="0.3">
      <c r="J1577"/>
    </row>
    <row r="1578" spans="10:10" x14ac:dyDescent="0.3">
      <c r="J1578"/>
    </row>
    <row r="1579" spans="10:10" x14ac:dyDescent="0.3">
      <c r="J1579"/>
    </row>
    <row r="1580" spans="10:10" x14ac:dyDescent="0.3">
      <c r="J1580"/>
    </row>
    <row r="1581" spans="10:10" x14ac:dyDescent="0.3">
      <c r="J1581"/>
    </row>
    <row r="1582" spans="10:10" x14ac:dyDescent="0.3">
      <c r="J1582"/>
    </row>
    <row r="1583" spans="10:10" x14ac:dyDescent="0.3">
      <c r="J1583"/>
    </row>
    <row r="1584" spans="10:10" x14ac:dyDescent="0.3">
      <c r="J1584"/>
    </row>
    <row r="1585" spans="10:10" x14ac:dyDescent="0.3">
      <c r="J1585"/>
    </row>
    <row r="1586" spans="10:10" x14ac:dyDescent="0.3">
      <c r="J1586"/>
    </row>
    <row r="1587" spans="10:10" x14ac:dyDescent="0.3">
      <c r="J1587"/>
    </row>
    <row r="1588" spans="10:10" x14ac:dyDescent="0.3">
      <c r="J1588"/>
    </row>
    <row r="1589" spans="10:10" x14ac:dyDescent="0.3">
      <c r="J1589"/>
    </row>
    <row r="1590" spans="10:10" x14ac:dyDescent="0.3">
      <c r="J1590"/>
    </row>
    <row r="1591" spans="10:10" x14ac:dyDescent="0.3">
      <c r="J1591"/>
    </row>
    <row r="1592" spans="10:10" x14ac:dyDescent="0.3">
      <c r="J1592"/>
    </row>
    <row r="1593" spans="10:10" x14ac:dyDescent="0.3">
      <c r="J1593"/>
    </row>
    <row r="1594" spans="10:10" x14ac:dyDescent="0.3">
      <c r="J1594"/>
    </row>
    <row r="1595" spans="10:10" x14ac:dyDescent="0.3">
      <c r="J1595"/>
    </row>
    <row r="1596" spans="10:10" x14ac:dyDescent="0.3">
      <c r="J1596"/>
    </row>
    <row r="1597" spans="10:10" x14ac:dyDescent="0.3">
      <c r="J1597"/>
    </row>
    <row r="1598" spans="10:10" x14ac:dyDescent="0.3">
      <c r="J1598"/>
    </row>
    <row r="1599" spans="10:10" x14ac:dyDescent="0.3">
      <c r="J1599"/>
    </row>
    <row r="1600" spans="10:10" x14ac:dyDescent="0.3">
      <c r="J1600"/>
    </row>
    <row r="1601" spans="10:10" x14ac:dyDescent="0.3">
      <c r="J1601"/>
    </row>
    <row r="1602" spans="10:10" x14ac:dyDescent="0.3">
      <c r="J1602"/>
    </row>
    <row r="1603" spans="10:10" x14ac:dyDescent="0.3">
      <c r="J1603"/>
    </row>
    <row r="1604" spans="10:10" x14ac:dyDescent="0.3">
      <c r="J1604"/>
    </row>
    <row r="1605" spans="10:10" x14ac:dyDescent="0.3">
      <c r="J1605"/>
    </row>
    <row r="1606" spans="10:10" x14ac:dyDescent="0.3">
      <c r="J1606"/>
    </row>
    <row r="1607" spans="10:10" x14ac:dyDescent="0.3">
      <c r="J1607"/>
    </row>
    <row r="1608" spans="10:10" x14ac:dyDescent="0.3">
      <c r="J1608"/>
    </row>
    <row r="1609" spans="10:10" x14ac:dyDescent="0.3">
      <c r="J1609"/>
    </row>
    <row r="1610" spans="10:10" x14ac:dyDescent="0.3">
      <c r="J1610"/>
    </row>
    <row r="1611" spans="10:10" x14ac:dyDescent="0.3">
      <c r="J1611"/>
    </row>
    <row r="1612" spans="10:10" x14ac:dyDescent="0.3">
      <c r="J1612"/>
    </row>
    <row r="1613" spans="10:10" x14ac:dyDescent="0.3">
      <c r="J1613"/>
    </row>
    <row r="1614" spans="10:10" x14ac:dyDescent="0.3">
      <c r="J1614"/>
    </row>
    <row r="1615" spans="10:10" x14ac:dyDescent="0.3">
      <c r="J1615"/>
    </row>
    <row r="1616" spans="10:10" x14ac:dyDescent="0.3">
      <c r="J1616"/>
    </row>
    <row r="1617" spans="10:10" x14ac:dyDescent="0.3">
      <c r="J1617"/>
    </row>
    <row r="1618" spans="10:10" x14ac:dyDescent="0.3">
      <c r="J1618"/>
    </row>
    <row r="1619" spans="10:10" x14ac:dyDescent="0.3">
      <c r="J1619"/>
    </row>
    <row r="1620" spans="10:10" x14ac:dyDescent="0.3">
      <c r="J1620"/>
    </row>
    <row r="1621" spans="10:10" x14ac:dyDescent="0.3">
      <c r="J1621"/>
    </row>
    <row r="1622" spans="10:10" x14ac:dyDescent="0.3">
      <c r="J1622"/>
    </row>
    <row r="1623" spans="10:10" x14ac:dyDescent="0.3">
      <c r="J1623"/>
    </row>
    <row r="1624" spans="10:10" x14ac:dyDescent="0.3">
      <c r="J1624"/>
    </row>
    <row r="1625" spans="10:10" x14ac:dyDescent="0.3">
      <c r="J1625"/>
    </row>
    <row r="1626" spans="10:10" x14ac:dyDescent="0.3">
      <c r="J1626"/>
    </row>
    <row r="1627" spans="10:10" x14ac:dyDescent="0.3">
      <c r="J1627"/>
    </row>
    <row r="1628" spans="10:10" x14ac:dyDescent="0.3">
      <c r="J1628"/>
    </row>
    <row r="1629" spans="10:10" x14ac:dyDescent="0.3">
      <c r="J1629"/>
    </row>
    <row r="1630" spans="10:10" x14ac:dyDescent="0.3">
      <c r="J1630"/>
    </row>
    <row r="1631" spans="10:10" x14ac:dyDescent="0.3">
      <c r="J1631"/>
    </row>
    <row r="1632" spans="10:10" x14ac:dyDescent="0.3">
      <c r="J1632"/>
    </row>
    <row r="1633" spans="10:10" x14ac:dyDescent="0.3">
      <c r="J1633"/>
    </row>
    <row r="1634" spans="10:10" x14ac:dyDescent="0.3">
      <c r="J1634"/>
    </row>
    <row r="1635" spans="10:10" x14ac:dyDescent="0.3">
      <c r="J1635"/>
    </row>
    <row r="1636" spans="10:10" x14ac:dyDescent="0.3">
      <c r="J1636"/>
    </row>
    <row r="1637" spans="10:10" x14ac:dyDescent="0.3">
      <c r="J1637"/>
    </row>
    <row r="1638" spans="10:10" x14ac:dyDescent="0.3">
      <c r="J1638"/>
    </row>
    <row r="1639" spans="10:10" x14ac:dyDescent="0.3">
      <c r="J1639"/>
    </row>
    <row r="1640" spans="10:10" x14ac:dyDescent="0.3">
      <c r="J1640"/>
    </row>
    <row r="1641" spans="10:10" x14ac:dyDescent="0.3">
      <c r="J1641"/>
    </row>
    <row r="1642" spans="10:10" x14ac:dyDescent="0.3">
      <c r="J1642"/>
    </row>
    <row r="1643" spans="10:10" x14ac:dyDescent="0.3">
      <c r="J1643"/>
    </row>
    <row r="1644" spans="10:10" x14ac:dyDescent="0.3">
      <c r="J1644"/>
    </row>
    <row r="1645" spans="10:10" x14ac:dyDescent="0.3">
      <c r="J1645"/>
    </row>
    <row r="1646" spans="10:10" x14ac:dyDescent="0.3">
      <c r="J1646"/>
    </row>
    <row r="1647" spans="10:10" x14ac:dyDescent="0.3">
      <c r="J1647"/>
    </row>
    <row r="1648" spans="10:10" x14ac:dyDescent="0.3">
      <c r="J1648"/>
    </row>
    <row r="1649" spans="10:10" x14ac:dyDescent="0.3">
      <c r="J1649"/>
    </row>
    <row r="1650" spans="10:10" x14ac:dyDescent="0.3">
      <c r="J1650"/>
    </row>
    <row r="1651" spans="10:10" x14ac:dyDescent="0.3">
      <c r="J1651"/>
    </row>
    <row r="1652" spans="10:10" x14ac:dyDescent="0.3">
      <c r="J1652"/>
    </row>
    <row r="1653" spans="10:10" x14ac:dyDescent="0.3">
      <c r="J1653"/>
    </row>
    <row r="1654" spans="10:10" x14ac:dyDescent="0.3">
      <c r="J1654"/>
    </row>
    <row r="1655" spans="10:10" x14ac:dyDescent="0.3">
      <c r="J1655"/>
    </row>
    <row r="1656" spans="10:10" x14ac:dyDescent="0.3">
      <c r="J1656"/>
    </row>
    <row r="1657" spans="10:10" x14ac:dyDescent="0.3">
      <c r="J1657"/>
    </row>
    <row r="1658" spans="10:10" x14ac:dyDescent="0.3">
      <c r="J1658"/>
    </row>
    <row r="1659" spans="10:10" x14ac:dyDescent="0.3">
      <c r="J1659"/>
    </row>
    <row r="1660" spans="10:10" x14ac:dyDescent="0.3">
      <c r="J1660"/>
    </row>
    <row r="1661" spans="10:10" x14ac:dyDescent="0.3">
      <c r="J1661"/>
    </row>
    <row r="1662" spans="10:10" x14ac:dyDescent="0.3">
      <c r="J1662"/>
    </row>
    <row r="1663" spans="10:10" x14ac:dyDescent="0.3">
      <c r="J1663"/>
    </row>
    <row r="1664" spans="10:10" x14ac:dyDescent="0.3">
      <c r="J1664"/>
    </row>
    <row r="1665" spans="10:10" x14ac:dyDescent="0.3">
      <c r="J1665"/>
    </row>
    <row r="1666" spans="10:10" x14ac:dyDescent="0.3">
      <c r="J1666"/>
    </row>
    <row r="1667" spans="10:10" x14ac:dyDescent="0.3">
      <c r="J1667"/>
    </row>
    <row r="1668" spans="10:10" x14ac:dyDescent="0.3">
      <c r="J1668"/>
    </row>
    <row r="1669" spans="10:10" x14ac:dyDescent="0.3">
      <c r="J1669"/>
    </row>
    <row r="1670" spans="10:10" x14ac:dyDescent="0.3">
      <c r="J1670"/>
    </row>
    <row r="1671" spans="10:10" x14ac:dyDescent="0.3">
      <c r="J1671"/>
    </row>
    <row r="1672" spans="10:10" x14ac:dyDescent="0.3">
      <c r="J1672"/>
    </row>
    <row r="1673" spans="10:10" x14ac:dyDescent="0.3">
      <c r="J1673"/>
    </row>
    <row r="1674" spans="10:10" x14ac:dyDescent="0.3">
      <c r="J1674"/>
    </row>
    <row r="1675" spans="10:10" x14ac:dyDescent="0.3">
      <c r="J1675"/>
    </row>
    <row r="1676" spans="10:10" x14ac:dyDescent="0.3">
      <c r="J1676"/>
    </row>
    <row r="1677" spans="10:10" x14ac:dyDescent="0.3">
      <c r="J1677"/>
    </row>
    <row r="1678" spans="10:10" x14ac:dyDescent="0.3">
      <c r="J1678"/>
    </row>
    <row r="1679" spans="10:10" x14ac:dyDescent="0.3">
      <c r="J1679"/>
    </row>
    <row r="1680" spans="10:10" x14ac:dyDescent="0.3">
      <c r="J1680"/>
    </row>
    <row r="1681" spans="10:10" x14ac:dyDescent="0.3">
      <c r="J1681"/>
    </row>
    <row r="1682" spans="10:10" x14ac:dyDescent="0.3">
      <c r="J1682"/>
    </row>
    <row r="1683" spans="10:10" x14ac:dyDescent="0.3">
      <c r="J1683"/>
    </row>
    <row r="1684" spans="10:10" x14ac:dyDescent="0.3">
      <c r="J1684"/>
    </row>
    <row r="1685" spans="10:10" x14ac:dyDescent="0.3">
      <c r="J1685"/>
    </row>
    <row r="1686" spans="10:10" x14ac:dyDescent="0.3">
      <c r="J1686"/>
    </row>
    <row r="1687" spans="10:10" x14ac:dyDescent="0.3">
      <c r="J1687"/>
    </row>
    <row r="1688" spans="10:10" x14ac:dyDescent="0.3">
      <c r="J1688"/>
    </row>
    <row r="1689" spans="10:10" x14ac:dyDescent="0.3">
      <c r="J1689"/>
    </row>
    <row r="1690" spans="10:10" x14ac:dyDescent="0.3">
      <c r="J1690"/>
    </row>
    <row r="1691" spans="10:10" x14ac:dyDescent="0.3">
      <c r="J1691"/>
    </row>
    <row r="1692" spans="10:10" x14ac:dyDescent="0.3">
      <c r="J1692"/>
    </row>
    <row r="1693" spans="10:10" x14ac:dyDescent="0.3">
      <c r="J1693"/>
    </row>
    <row r="1694" spans="10:10" x14ac:dyDescent="0.3">
      <c r="J1694"/>
    </row>
    <row r="1695" spans="10:10" x14ac:dyDescent="0.3">
      <c r="J1695"/>
    </row>
    <row r="1696" spans="10:10" x14ac:dyDescent="0.3">
      <c r="J1696"/>
    </row>
    <row r="1697" spans="10:10" x14ac:dyDescent="0.3">
      <c r="J1697"/>
    </row>
    <row r="1698" spans="10:10" x14ac:dyDescent="0.3">
      <c r="J1698"/>
    </row>
    <row r="1699" spans="10:10" x14ac:dyDescent="0.3">
      <c r="J1699"/>
    </row>
    <row r="1700" spans="10:10" x14ac:dyDescent="0.3">
      <c r="J1700"/>
    </row>
    <row r="1701" spans="10:10" x14ac:dyDescent="0.3">
      <c r="J1701"/>
    </row>
    <row r="1702" spans="10:10" x14ac:dyDescent="0.3">
      <c r="J1702"/>
    </row>
    <row r="1703" spans="10:10" x14ac:dyDescent="0.3">
      <c r="J1703"/>
    </row>
    <row r="1704" spans="10:10" x14ac:dyDescent="0.3">
      <c r="J1704"/>
    </row>
    <row r="1705" spans="10:10" x14ac:dyDescent="0.3">
      <c r="J1705"/>
    </row>
    <row r="1706" spans="10:10" x14ac:dyDescent="0.3">
      <c r="J1706"/>
    </row>
    <row r="1707" spans="10:10" x14ac:dyDescent="0.3">
      <c r="J1707"/>
    </row>
    <row r="1708" spans="10:10" x14ac:dyDescent="0.3">
      <c r="J1708"/>
    </row>
    <row r="1709" spans="10:10" x14ac:dyDescent="0.3">
      <c r="J1709"/>
    </row>
    <row r="1710" spans="10:10" x14ac:dyDescent="0.3">
      <c r="J1710"/>
    </row>
    <row r="1711" spans="10:10" x14ac:dyDescent="0.3">
      <c r="J1711"/>
    </row>
    <row r="1712" spans="10:10" x14ac:dyDescent="0.3">
      <c r="J1712"/>
    </row>
    <row r="1713" spans="10:10" x14ac:dyDescent="0.3">
      <c r="J1713"/>
    </row>
    <row r="1714" spans="10:10" x14ac:dyDescent="0.3">
      <c r="J1714"/>
    </row>
    <row r="1715" spans="10:10" x14ac:dyDescent="0.3">
      <c r="J1715"/>
    </row>
    <row r="1716" spans="10:10" x14ac:dyDescent="0.3">
      <c r="J1716"/>
    </row>
    <row r="1717" spans="10:10" x14ac:dyDescent="0.3">
      <c r="J1717"/>
    </row>
    <row r="1718" spans="10:10" x14ac:dyDescent="0.3">
      <c r="J1718"/>
    </row>
    <row r="1719" spans="10:10" x14ac:dyDescent="0.3">
      <c r="J1719"/>
    </row>
    <row r="1720" spans="10:10" x14ac:dyDescent="0.3">
      <c r="J1720"/>
    </row>
    <row r="1721" spans="10:10" x14ac:dyDescent="0.3">
      <c r="J1721"/>
    </row>
    <row r="1722" spans="10:10" x14ac:dyDescent="0.3">
      <c r="J1722"/>
    </row>
    <row r="1723" spans="10:10" x14ac:dyDescent="0.3">
      <c r="J1723"/>
    </row>
    <row r="1724" spans="10:10" x14ac:dyDescent="0.3">
      <c r="J1724"/>
    </row>
    <row r="1725" spans="10:10" x14ac:dyDescent="0.3">
      <c r="J1725"/>
    </row>
    <row r="1726" spans="10:10" x14ac:dyDescent="0.3">
      <c r="J1726"/>
    </row>
    <row r="1727" spans="10:10" x14ac:dyDescent="0.3">
      <c r="J1727"/>
    </row>
    <row r="1728" spans="10:10" x14ac:dyDescent="0.3">
      <c r="J1728"/>
    </row>
    <row r="1729" spans="10:10" x14ac:dyDescent="0.3">
      <c r="J1729"/>
    </row>
    <row r="1730" spans="10:10" x14ac:dyDescent="0.3">
      <c r="J1730"/>
    </row>
    <row r="1731" spans="10:10" x14ac:dyDescent="0.3">
      <c r="J1731"/>
    </row>
    <row r="1732" spans="10:10" x14ac:dyDescent="0.3">
      <c r="J1732"/>
    </row>
    <row r="1733" spans="10:10" x14ac:dyDescent="0.3">
      <c r="J1733"/>
    </row>
    <row r="1734" spans="10:10" x14ac:dyDescent="0.3">
      <c r="J1734"/>
    </row>
    <row r="1735" spans="10:10" x14ac:dyDescent="0.3">
      <c r="J1735"/>
    </row>
    <row r="1736" spans="10:10" x14ac:dyDescent="0.3">
      <c r="J1736"/>
    </row>
    <row r="1737" spans="10:10" x14ac:dyDescent="0.3">
      <c r="J1737"/>
    </row>
    <row r="1738" spans="10:10" x14ac:dyDescent="0.3">
      <c r="J1738"/>
    </row>
    <row r="1739" spans="10:10" x14ac:dyDescent="0.3">
      <c r="J1739"/>
    </row>
    <row r="1740" spans="10:10" x14ac:dyDescent="0.3">
      <c r="J1740"/>
    </row>
    <row r="1741" spans="10:10" x14ac:dyDescent="0.3">
      <c r="J1741"/>
    </row>
    <row r="1742" spans="10:10" x14ac:dyDescent="0.3">
      <c r="J1742"/>
    </row>
    <row r="1743" spans="10:10" x14ac:dyDescent="0.3">
      <c r="J1743"/>
    </row>
    <row r="1744" spans="10:10" x14ac:dyDescent="0.3">
      <c r="J1744"/>
    </row>
    <row r="1745" spans="10:10" x14ac:dyDescent="0.3">
      <c r="J1745"/>
    </row>
    <row r="1746" spans="10:10" x14ac:dyDescent="0.3">
      <c r="J1746"/>
    </row>
    <row r="1747" spans="10:10" x14ac:dyDescent="0.3">
      <c r="J1747"/>
    </row>
    <row r="1748" spans="10:10" x14ac:dyDescent="0.3">
      <c r="J1748"/>
    </row>
    <row r="1749" spans="10:10" x14ac:dyDescent="0.3">
      <c r="J1749"/>
    </row>
    <row r="1750" spans="10:10" x14ac:dyDescent="0.3">
      <c r="J1750"/>
    </row>
    <row r="1751" spans="10:10" x14ac:dyDescent="0.3">
      <c r="J1751"/>
    </row>
    <row r="1752" spans="10:10" x14ac:dyDescent="0.3">
      <c r="J1752"/>
    </row>
    <row r="1753" spans="10:10" x14ac:dyDescent="0.3">
      <c r="J1753"/>
    </row>
    <row r="1754" spans="10:10" x14ac:dyDescent="0.3">
      <c r="J1754"/>
    </row>
    <row r="1755" spans="10:10" x14ac:dyDescent="0.3">
      <c r="J1755"/>
    </row>
    <row r="1756" spans="10:10" x14ac:dyDescent="0.3">
      <c r="J1756"/>
    </row>
    <row r="1757" spans="10:10" x14ac:dyDescent="0.3">
      <c r="J1757"/>
    </row>
    <row r="1758" spans="10:10" x14ac:dyDescent="0.3">
      <c r="J1758"/>
    </row>
    <row r="1759" spans="10:10" x14ac:dyDescent="0.3">
      <c r="J1759"/>
    </row>
    <row r="1760" spans="10:10" x14ac:dyDescent="0.3">
      <c r="J1760"/>
    </row>
    <row r="1761" spans="10:10" x14ac:dyDescent="0.3">
      <c r="J1761"/>
    </row>
    <row r="1762" spans="10:10" x14ac:dyDescent="0.3">
      <c r="J1762"/>
    </row>
    <row r="1763" spans="10:10" x14ac:dyDescent="0.3">
      <c r="J1763"/>
    </row>
    <row r="1764" spans="10:10" x14ac:dyDescent="0.3">
      <c r="J1764"/>
    </row>
    <row r="1765" spans="10:10" x14ac:dyDescent="0.3">
      <c r="J1765"/>
    </row>
    <row r="1766" spans="10:10" x14ac:dyDescent="0.3">
      <c r="J1766"/>
    </row>
    <row r="1767" spans="10:10" x14ac:dyDescent="0.3">
      <c r="J1767"/>
    </row>
    <row r="1768" spans="10:10" x14ac:dyDescent="0.3">
      <c r="J1768"/>
    </row>
    <row r="1769" spans="10:10" x14ac:dyDescent="0.3">
      <c r="J1769"/>
    </row>
    <row r="1770" spans="10:10" x14ac:dyDescent="0.3">
      <c r="J1770"/>
    </row>
    <row r="1771" spans="10:10" x14ac:dyDescent="0.3">
      <c r="J1771"/>
    </row>
    <row r="1772" spans="10:10" x14ac:dyDescent="0.3">
      <c r="J1772"/>
    </row>
    <row r="1773" spans="10:10" x14ac:dyDescent="0.3">
      <c r="J1773"/>
    </row>
    <row r="1774" spans="10:10" x14ac:dyDescent="0.3">
      <c r="J1774"/>
    </row>
    <row r="1775" spans="10:10" x14ac:dyDescent="0.3">
      <c r="J1775"/>
    </row>
    <row r="1776" spans="10:10" x14ac:dyDescent="0.3">
      <c r="J1776"/>
    </row>
    <row r="1777" spans="10:10" x14ac:dyDescent="0.3">
      <c r="J1777"/>
    </row>
    <row r="1778" spans="10:10" x14ac:dyDescent="0.3">
      <c r="J1778"/>
    </row>
    <row r="1779" spans="10:10" x14ac:dyDescent="0.3">
      <c r="J1779"/>
    </row>
    <row r="1780" spans="10:10" x14ac:dyDescent="0.3">
      <c r="J1780"/>
    </row>
    <row r="1781" spans="10:10" x14ac:dyDescent="0.3">
      <c r="J1781"/>
    </row>
    <row r="1782" spans="10:10" x14ac:dyDescent="0.3">
      <c r="J1782"/>
    </row>
    <row r="1783" spans="10:10" x14ac:dyDescent="0.3">
      <c r="J1783"/>
    </row>
    <row r="1784" spans="10:10" x14ac:dyDescent="0.3">
      <c r="J1784"/>
    </row>
    <row r="1785" spans="10:10" x14ac:dyDescent="0.3">
      <c r="J1785"/>
    </row>
    <row r="1786" spans="10:10" x14ac:dyDescent="0.3">
      <c r="J1786"/>
    </row>
    <row r="1787" spans="10:10" x14ac:dyDescent="0.3">
      <c r="J1787"/>
    </row>
    <row r="1788" spans="10:10" x14ac:dyDescent="0.3">
      <c r="J1788"/>
    </row>
    <row r="1789" spans="10:10" x14ac:dyDescent="0.3">
      <c r="J1789"/>
    </row>
    <row r="1790" spans="10:10" x14ac:dyDescent="0.3">
      <c r="J1790"/>
    </row>
    <row r="1791" spans="10:10" x14ac:dyDescent="0.3">
      <c r="J1791"/>
    </row>
    <row r="1792" spans="10:10" x14ac:dyDescent="0.3">
      <c r="J1792"/>
    </row>
    <row r="1793" spans="10:10" x14ac:dyDescent="0.3">
      <c r="J1793"/>
    </row>
    <row r="1794" spans="10:10" x14ac:dyDescent="0.3">
      <c r="J1794"/>
    </row>
    <row r="1795" spans="10:10" x14ac:dyDescent="0.3">
      <c r="J1795"/>
    </row>
    <row r="1796" spans="10:10" x14ac:dyDescent="0.3">
      <c r="J1796"/>
    </row>
    <row r="1797" spans="10:10" x14ac:dyDescent="0.3">
      <c r="J1797"/>
    </row>
    <row r="1798" spans="10:10" x14ac:dyDescent="0.3">
      <c r="J1798"/>
    </row>
    <row r="1799" spans="10:10" x14ac:dyDescent="0.3">
      <c r="J1799"/>
    </row>
    <row r="1800" spans="10:10" x14ac:dyDescent="0.3">
      <c r="J1800"/>
    </row>
    <row r="1801" spans="10:10" x14ac:dyDescent="0.3">
      <c r="J1801"/>
    </row>
    <row r="1802" spans="10:10" x14ac:dyDescent="0.3">
      <c r="J1802"/>
    </row>
    <row r="1803" spans="10:10" x14ac:dyDescent="0.3">
      <c r="J1803"/>
    </row>
    <row r="1804" spans="10:10" x14ac:dyDescent="0.3">
      <c r="J1804"/>
    </row>
    <row r="1805" spans="10:10" x14ac:dyDescent="0.3">
      <c r="J1805"/>
    </row>
    <row r="1806" spans="10:10" x14ac:dyDescent="0.3">
      <c r="J1806"/>
    </row>
    <row r="1807" spans="10:10" x14ac:dyDescent="0.3">
      <c r="J1807"/>
    </row>
    <row r="1808" spans="10:10" x14ac:dyDescent="0.3">
      <c r="J1808"/>
    </row>
    <row r="1809" spans="10:10" x14ac:dyDescent="0.3">
      <c r="J1809"/>
    </row>
    <row r="1810" spans="10:10" x14ac:dyDescent="0.3">
      <c r="J1810"/>
    </row>
    <row r="1811" spans="10:10" x14ac:dyDescent="0.3">
      <c r="J1811"/>
    </row>
    <row r="1812" spans="10:10" x14ac:dyDescent="0.3">
      <c r="J1812"/>
    </row>
    <row r="1813" spans="10:10" x14ac:dyDescent="0.3">
      <c r="J1813"/>
    </row>
    <row r="1814" spans="10:10" x14ac:dyDescent="0.3">
      <c r="J1814"/>
    </row>
    <row r="1815" spans="10:10" x14ac:dyDescent="0.3">
      <c r="J1815"/>
    </row>
    <row r="1816" spans="10:10" x14ac:dyDescent="0.3">
      <c r="J1816"/>
    </row>
    <row r="1817" spans="10:10" x14ac:dyDescent="0.3">
      <c r="J1817"/>
    </row>
    <row r="1818" spans="10:10" x14ac:dyDescent="0.3">
      <c r="J1818"/>
    </row>
    <row r="1819" spans="10:10" x14ac:dyDescent="0.3">
      <c r="J1819"/>
    </row>
    <row r="1820" spans="10:10" x14ac:dyDescent="0.3">
      <c r="J1820"/>
    </row>
    <row r="1821" spans="10:10" x14ac:dyDescent="0.3">
      <c r="J1821"/>
    </row>
    <row r="1822" spans="10:10" x14ac:dyDescent="0.3">
      <c r="J1822"/>
    </row>
    <row r="1823" spans="10:10" x14ac:dyDescent="0.3">
      <c r="J1823"/>
    </row>
    <row r="1824" spans="10:10" x14ac:dyDescent="0.3">
      <c r="J1824"/>
    </row>
    <row r="1825" spans="10:10" x14ac:dyDescent="0.3">
      <c r="J1825"/>
    </row>
    <row r="1826" spans="10:10" x14ac:dyDescent="0.3">
      <c r="J1826"/>
    </row>
    <row r="1827" spans="10:10" x14ac:dyDescent="0.3">
      <c r="J1827"/>
    </row>
    <row r="1828" spans="10:10" x14ac:dyDescent="0.3">
      <c r="J1828"/>
    </row>
    <row r="1829" spans="10:10" x14ac:dyDescent="0.3">
      <c r="J1829"/>
    </row>
    <row r="1830" spans="10:10" x14ac:dyDescent="0.3">
      <c r="J1830"/>
    </row>
    <row r="1831" spans="10:10" x14ac:dyDescent="0.3">
      <c r="J1831"/>
    </row>
    <row r="1832" spans="10:10" x14ac:dyDescent="0.3">
      <c r="J1832"/>
    </row>
    <row r="1833" spans="10:10" x14ac:dyDescent="0.3">
      <c r="J1833"/>
    </row>
    <row r="1834" spans="10:10" x14ac:dyDescent="0.3">
      <c r="J1834"/>
    </row>
    <row r="1835" spans="10:10" x14ac:dyDescent="0.3">
      <c r="J1835"/>
    </row>
    <row r="1836" spans="10:10" x14ac:dyDescent="0.3">
      <c r="J1836"/>
    </row>
    <row r="1837" spans="10:10" x14ac:dyDescent="0.3">
      <c r="J1837"/>
    </row>
    <row r="1838" spans="10:10" x14ac:dyDescent="0.3">
      <c r="J1838"/>
    </row>
    <row r="1839" spans="10:10" x14ac:dyDescent="0.3">
      <c r="J1839"/>
    </row>
    <row r="1840" spans="10:10" x14ac:dyDescent="0.3">
      <c r="J1840"/>
    </row>
    <row r="1841" spans="10:10" x14ac:dyDescent="0.3">
      <c r="J1841"/>
    </row>
    <row r="1842" spans="10:10" x14ac:dyDescent="0.3">
      <c r="J1842"/>
    </row>
    <row r="1843" spans="10:10" x14ac:dyDescent="0.3">
      <c r="J1843"/>
    </row>
    <row r="1844" spans="10:10" x14ac:dyDescent="0.3">
      <c r="J1844"/>
    </row>
    <row r="1845" spans="10:10" x14ac:dyDescent="0.3">
      <c r="J1845"/>
    </row>
    <row r="1846" spans="10:10" x14ac:dyDescent="0.3">
      <c r="J1846"/>
    </row>
    <row r="1847" spans="10:10" x14ac:dyDescent="0.3">
      <c r="J1847"/>
    </row>
    <row r="1848" spans="10:10" x14ac:dyDescent="0.3">
      <c r="J1848"/>
    </row>
    <row r="1849" spans="10:10" x14ac:dyDescent="0.3">
      <c r="J1849"/>
    </row>
    <row r="1850" spans="10:10" x14ac:dyDescent="0.3">
      <c r="J1850"/>
    </row>
    <row r="1851" spans="10:10" x14ac:dyDescent="0.3">
      <c r="J1851"/>
    </row>
    <row r="1852" spans="10:10" x14ac:dyDescent="0.3">
      <c r="J1852"/>
    </row>
    <row r="1853" spans="10:10" x14ac:dyDescent="0.3">
      <c r="J1853"/>
    </row>
    <row r="1854" spans="10:10" x14ac:dyDescent="0.3">
      <c r="J1854"/>
    </row>
    <row r="1855" spans="10:10" x14ac:dyDescent="0.3">
      <c r="J1855"/>
    </row>
    <row r="1856" spans="10:10" x14ac:dyDescent="0.3">
      <c r="J1856"/>
    </row>
    <row r="1857" spans="10:10" x14ac:dyDescent="0.3">
      <c r="J1857"/>
    </row>
    <row r="1858" spans="10:10" x14ac:dyDescent="0.3">
      <c r="J1858"/>
    </row>
    <row r="1859" spans="10:10" x14ac:dyDescent="0.3">
      <c r="J1859"/>
    </row>
    <row r="1860" spans="10:10" x14ac:dyDescent="0.3">
      <c r="J1860"/>
    </row>
    <row r="1861" spans="10:10" x14ac:dyDescent="0.3">
      <c r="J1861"/>
    </row>
    <row r="1862" spans="10:10" x14ac:dyDescent="0.3">
      <c r="J1862"/>
    </row>
    <row r="1863" spans="10:10" x14ac:dyDescent="0.3">
      <c r="J1863"/>
    </row>
    <row r="1864" spans="10:10" x14ac:dyDescent="0.3">
      <c r="J1864"/>
    </row>
    <row r="1865" spans="10:10" x14ac:dyDescent="0.3">
      <c r="J1865"/>
    </row>
    <row r="1866" spans="10:10" x14ac:dyDescent="0.3">
      <c r="J1866"/>
    </row>
    <row r="1867" spans="10:10" x14ac:dyDescent="0.3">
      <c r="J1867"/>
    </row>
    <row r="1868" spans="10:10" x14ac:dyDescent="0.3">
      <c r="J1868"/>
    </row>
    <row r="1869" spans="10:10" x14ac:dyDescent="0.3">
      <c r="J1869"/>
    </row>
    <row r="1870" spans="10:10" x14ac:dyDescent="0.3">
      <c r="J1870"/>
    </row>
    <row r="1871" spans="10:10" x14ac:dyDescent="0.3">
      <c r="J1871"/>
    </row>
    <row r="1872" spans="10:10" x14ac:dyDescent="0.3">
      <c r="J1872"/>
    </row>
    <row r="1873" spans="10:10" x14ac:dyDescent="0.3">
      <c r="J1873"/>
    </row>
    <row r="1874" spans="10:10" x14ac:dyDescent="0.3">
      <c r="J1874"/>
    </row>
    <row r="1875" spans="10:10" x14ac:dyDescent="0.3">
      <c r="J1875"/>
    </row>
    <row r="1876" spans="10:10" x14ac:dyDescent="0.3">
      <c r="J1876"/>
    </row>
    <row r="1877" spans="10:10" x14ac:dyDescent="0.3">
      <c r="J1877"/>
    </row>
    <row r="1878" spans="10:10" x14ac:dyDescent="0.3">
      <c r="J1878"/>
    </row>
    <row r="1879" spans="10:10" x14ac:dyDescent="0.3">
      <c r="J1879"/>
    </row>
    <row r="1880" spans="10:10" x14ac:dyDescent="0.3">
      <c r="J1880"/>
    </row>
    <row r="1881" spans="10:10" x14ac:dyDescent="0.3">
      <c r="J1881"/>
    </row>
    <row r="1882" spans="10:10" x14ac:dyDescent="0.3">
      <c r="J1882"/>
    </row>
    <row r="1883" spans="10:10" x14ac:dyDescent="0.3">
      <c r="J1883"/>
    </row>
    <row r="1884" spans="10:10" x14ac:dyDescent="0.3">
      <c r="J1884"/>
    </row>
    <row r="1885" spans="10:10" x14ac:dyDescent="0.3">
      <c r="J1885"/>
    </row>
    <row r="1886" spans="10:10" x14ac:dyDescent="0.3">
      <c r="J1886"/>
    </row>
    <row r="1887" spans="10:10" x14ac:dyDescent="0.3">
      <c r="J1887"/>
    </row>
    <row r="1888" spans="10:10" x14ac:dyDescent="0.3">
      <c r="J1888"/>
    </row>
    <row r="1889" spans="10:10" x14ac:dyDescent="0.3">
      <c r="J1889"/>
    </row>
    <row r="1890" spans="10:10" x14ac:dyDescent="0.3">
      <c r="J1890"/>
    </row>
    <row r="1891" spans="10:10" x14ac:dyDescent="0.3">
      <c r="J1891"/>
    </row>
    <row r="1892" spans="10:10" x14ac:dyDescent="0.3">
      <c r="J1892"/>
    </row>
    <row r="1893" spans="10:10" x14ac:dyDescent="0.3">
      <c r="J1893"/>
    </row>
    <row r="1894" spans="10:10" x14ac:dyDescent="0.3">
      <c r="J1894"/>
    </row>
    <row r="1895" spans="10:10" x14ac:dyDescent="0.3">
      <c r="J1895"/>
    </row>
    <row r="1896" spans="10:10" x14ac:dyDescent="0.3">
      <c r="J1896"/>
    </row>
    <row r="1897" spans="10:10" x14ac:dyDescent="0.3">
      <c r="J1897"/>
    </row>
    <row r="1898" spans="10:10" x14ac:dyDescent="0.3">
      <c r="J1898"/>
    </row>
    <row r="1899" spans="10:10" x14ac:dyDescent="0.3">
      <c r="J1899"/>
    </row>
    <row r="1900" spans="10:10" x14ac:dyDescent="0.3">
      <c r="J1900"/>
    </row>
    <row r="1901" spans="10:10" x14ac:dyDescent="0.3">
      <c r="J1901"/>
    </row>
    <row r="1902" spans="10:10" x14ac:dyDescent="0.3">
      <c r="J1902"/>
    </row>
    <row r="1903" spans="10:10" x14ac:dyDescent="0.3">
      <c r="J1903"/>
    </row>
    <row r="1904" spans="10:10" x14ac:dyDescent="0.3">
      <c r="J1904"/>
    </row>
    <row r="1905" spans="10:10" x14ac:dyDescent="0.3">
      <c r="J1905"/>
    </row>
    <row r="1906" spans="10:10" x14ac:dyDescent="0.3">
      <c r="J1906"/>
    </row>
    <row r="1907" spans="10:10" x14ac:dyDescent="0.3">
      <c r="J1907"/>
    </row>
    <row r="1908" spans="10:10" x14ac:dyDescent="0.3">
      <c r="J1908"/>
    </row>
    <row r="1909" spans="10:10" x14ac:dyDescent="0.3">
      <c r="J1909"/>
    </row>
    <row r="1910" spans="10:10" x14ac:dyDescent="0.3">
      <c r="J1910"/>
    </row>
    <row r="1911" spans="10:10" x14ac:dyDescent="0.3">
      <c r="J1911"/>
    </row>
    <row r="1912" spans="10:10" x14ac:dyDescent="0.3">
      <c r="J1912"/>
    </row>
    <row r="1913" spans="10:10" x14ac:dyDescent="0.3">
      <c r="J1913"/>
    </row>
    <row r="1914" spans="10:10" x14ac:dyDescent="0.3">
      <c r="J1914"/>
    </row>
    <row r="1915" spans="10:10" x14ac:dyDescent="0.3">
      <c r="J1915"/>
    </row>
    <row r="1916" spans="10:10" x14ac:dyDescent="0.3">
      <c r="J1916"/>
    </row>
    <row r="1917" spans="10:10" x14ac:dyDescent="0.3">
      <c r="J1917"/>
    </row>
    <row r="1918" spans="10:10" x14ac:dyDescent="0.3">
      <c r="J1918"/>
    </row>
    <row r="1919" spans="10:10" x14ac:dyDescent="0.3">
      <c r="J1919"/>
    </row>
    <row r="1920" spans="10:10" x14ac:dyDescent="0.3">
      <c r="J1920"/>
    </row>
    <row r="1921" spans="10:10" x14ac:dyDescent="0.3">
      <c r="J1921"/>
    </row>
    <row r="1922" spans="10:10" x14ac:dyDescent="0.3">
      <c r="J1922"/>
    </row>
    <row r="1923" spans="10:10" x14ac:dyDescent="0.3">
      <c r="J1923"/>
    </row>
    <row r="1924" spans="10:10" x14ac:dyDescent="0.3">
      <c r="J1924"/>
    </row>
    <row r="1925" spans="10:10" x14ac:dyDescent="0.3">
      <c r="J1925"/>
    </row>
    <row r="1926" spans="10:10" x14ac:dyDescent="0.3">
      <c r="J1926"/>
    </row>
    <row r="1927" spans="10:10" x14ac:dyDescent="0.3">
      <c r="J1927"/>
    </row>
    <row r="1928" spans="10:10" x14ac:dyDescent="0.3">
      <c r="J1928"/>
    </row>
    <row r="1929" spans="10:10" x14ac:dyDescent="0.3">
      <c r="J1929"/>
    </row>
    <row r="1930" spans="10:10" x14ac:dyDescent="0.3">
      <c r="J1930"/>
    </row>
    <row r="1931" spans="10:10" x14ac:dyDescent="0.3">
      <c r="J1931"/>
    </row>
    <row r="1932" spans="10:10" x14ac:dyDescent="0.3">
      <c r="J1932"/>
    </row>
    <row r="1933" spans="10:10" x14ac:dyDescent="0.3">
      <c r="J1933"/>
    </row>
    <row r="1934" spans="10:10" x14ac:dyDescent="0.3">
      <c r="J1934"/>
    </row>
    <row r="1935" spans="10:10" x14ac:dyDescent="0.3">
      <c r="J1935"/>
    </row>
    <row r="1936" spans="10:10" x14ac:dyDescent="0.3">
      <c r="J1936"/>
    </row>
    <row r="1937" spans="10:10" x14ac:dyDescent="0.3">
      <c r="J1937"/>
    </row>
    <row r="1938" spans="10:10" x14ac:dyDescent="0.3">
      <c r="J1938"/>
    </row>
    <row r="1939" spans="10:10" x14ac:dyDescent="0.3">
      <c r="J1939"/>
    </row>
    <row r="1940" spans="10:10" x14ac:dyDescent="0.3">
      <c r="J1940"/>
    </row>
    <row r="1941" spans="10:10" x14ac:dyDescent="0.3">
      <c r="J1941"/>
    </row>
    <row r="1942" spans="10:10" x14ac:dyDescent="0.3">
      <c r="J1942"/>
    </row>
    <row r="1943" spans="10:10" x14ac:dyDescent="0.3">
      <c r="J1943"/>
    </row>
    <row r="1944" spans="10:10" x14ac:dyDescent="0.3">
      <c r="J1944"/>
    </row>
    <row r="1945" spans="10:10" x14ac:dyDescent="0.3">
      <c r="J1945"/>
    </row>
    <row r="1946" spans="10:10" x14ac:dyDescent="0.3">
      <c r="J1946"/>
    </row>
    <row r="1947" spans="10:10" x14ac:dyDescent="0.3">
      <c r="J1947"/>
    </row>
    <row r="1948" spans="10:10" x14ac:dyDescent="0.3">
      <c r="J1948"/>
    </row>
    <row r="1949" spans="10:10" x14ac:dyDescent="0.3">
      <c r="J1949"/>
    </row>
    <row r="1950" spans="10:10" x14ac:dyDescent="0.3">
      <c r="J1950"/>
    </row>
    <row r="1951" spans="10:10" x14ac:dyDescent="0.3">
      <c r="J1951"/>
    </row>
    <row r="1952" spans="10:10" x14ac:dyDescent="0.3">
      <c r="J1952"/>
    </row>
    <row r="1953" spans="10:10" x14ac:dyDescent="0.3">
      <c r="J1953"/>
    </row>
    <row r="1954" spans="10:10" x14ac:dyDescent="0.3">
      <c r="J1954"/>
    </row>
    <row r="1955" spans="10:10" x14ac:dyDescent="0.3">
      <c r="J1955"/>
    </row>
    <row r="1956" spans="10:10" x14ac:dyDescent="0.3">
      <c r="J1956"/>
    </row>
    <row r="1957" spans="10:10" x14ac:dyDescent="0.3">
      <c r="J1957"/>
    </row>
    <row r="1958" spans="10:10" x14ac:dyDescent="0.3">
      <c r="J1958"/>
    </row>
    <row r="1959" spans="10:10" x14ac:dyDescent="0.3">
      <c r="J1959"/>
    </row>
    <row r="1960" spans="10:10" x14ac:dyDescent="0.3">
      <c r="J1960"/>
    </row>
    <row r="1961" spans="10:10" x14ac:dyDescent="0.3">
      <c r="J1961"/>
    </row>
    <row r="1962" spans="10:10" x14ac:dyDescent="0.3">
      <c r="J1962"/>
    </row>
    <row r="1963" spans="10:10" x14ac:dyDescent="0.3">
      <c r="J1963"/>
    </row>
    <row r="1964" spans="10:10" x14ac:dyDescent="0.3">
      <c r="J1964"/>
    </row>
    <row r="1965" spans="10:10" x14ac:dyDescent="0.3">
      <c r="J1965"/>
    </row>
    <row r="1966" spans="10:10" x14ac:dyDescent="0.3">
      <c r="J1966"/>
    </row>
    <row r="1967" spans="10:10" x14ac:dyDescent="0.3">
      <c r="J1967"/>
    </row>
    <row r="1968" spans="10:10" x14ac:dyDescent="0.3">
      <c r="J1968"/>
    </row>
    <row r="1969" spans="10:10" x14ac:dyDescent="0.3">
      <c r="J1969"/>
    </row>
    <row r="1970" spans="10:10" x14ac:dyDescent="0.3">
      <c r="J1970"/>
    </row>
    <row r="1971" spans="10:10" x14ac:dyDescent="0.3">
      <c r="J1971"/>
    </row>
    <row r="1972" spans="10:10" x14ac:dyDescent="0.3">
      <c r="J1972"/>
    </row>
    <row r="1973" spans="10:10" x14ac:dyDescent="0.3">
      <c r="J1973"/>
    </row>
    <row r="1974" spans="10:10" x14ac:dyDescent="0.3">
      <c r="J1974"/>
    </row>
    <row r="1975" spans="10:10" x14ac:dyDescent="0.3">
      <c r="J1975"/>
    </row>
    <row r="1976" spans="10:10" x14ac:dyDescent="0.3">
      <c r="J1976"/>
    </row>
    <row r="1977" spans="10:10" x14ac:dyDescent="0.3">
      <c r="J1977"/>
    </row>
    <row r="1978" spans="10:10" x14ac:dyDescent="0.3">
      <c r="J1978"/>
    </row>
    <row r="1979" spans="10:10" x14ac:dyDescent="0.3">
      <c r="J1979"/>
    </row>
  </sheetData>
  <dataConsolidate link="1">
    <dataRefs count="1">
      <dataRef ref="A1:A1048576" sheet="DEMANDS" r:id="rId1"/>
    </dataRefs>
  </dataConsolidate>
  <mergeCells count="5">
    <mergeCell ref="A2:D2"/>
    <mergeCell ref="A4:I4"/>
    <mergeCell ref="A5:I6"/>
    <mergeCell ref="A376:J376"/>
    <mergeCell ref="A377:J377"/>
  </mergeCells>
  <hyperlinks>
    <hyperlink ref="J1094" r:id="rId2" xr:uid="{911211FD-C8C5-4632-9BB4-5B356B255243}"/>
  </hyperlinks>
  <pageMargins left="0.7" right="0.7" top="0.75" bottom="0.75" header="0.3" footer="0.3"/>
  <pageSetup scale="82"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Metadata xmlns="c8a5693f-cb4f-4469-ad8f-971ccdc8dc5c" xsi:nil="true"/>
    <Notes xmlns="c8a5693f-cb4f-4469-ad8f-971ccdc8dc5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8EEA600E73B5F498B2D4BF2CB2B4B35" ma:contentTypeVersion="" ma:contentTypeDescription="Create a new document." ma:contentTypeScope="" ma:versionID="8c869be6a52618384d604dcfef882a9b">
  <xsd:schema xmlns:xsd="http://www.w3.org/2001/XMLSchema" xmlns:xs="http://www.w3.org/2001/XMLSchema" xmlns:p="http://schemas.microsoft.com/office/2006/metadata/properties" xmlns:ns2="C8A5693F-CB4F-4469-AD8F-971CCDC8DC5C" xmlns:ns3="c8a5693f-cb4f-4469-ad8f-971ccdc8dc5c" xmlns:ns4="8ca2015b-1270-41a8-9966-06a19c2d4f3a" targetNamespace="http://schemas.microsoft.com/office/2006/metadata/properties" ma:root="true" ma:fieldsID="3320a00a9b5dbb4b1790561e0c884360" ns2:_="" ns3:_="" ns4:_="">
    <xsd:import namespace="C8A5693F-CB4F-4469-AD8F-971CCDC8DC5C"/>
    <xsd:import namespace="c8a5693f-cb4f-4469-ad8f-971ccdc8dc5c"/>
    <xsd:import namespace="8ca2015b-1270-41a8-9966-06a19c2d4f3a"/>
    <xsd:element name="properties">
      <xsd:complexType>
        <xsd:sequence>
          <xsd:element name="documentManagement">
            <xsd:complexType>
              <xsd:all>
                <xsd:element ref="ns2:MediaServiceMetadata" minOccurs="0"/>
                <xsd:element ref="ns2: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4:SharedWithUsers" minOccurs="0"/>
                <xsd:element ref="ns4:SharedWithDetails" minOccurs="0"/>
                <xsd:element ref="ns3:Metadata" minOccurs="0"/>
                <xsd:element ref="ns3:Notes" minOccurs="0"/>
                <xsd:element ref="ns3:MediaServiceDateTaken" minOccurs="0"/>
                <xsd:element ref="ns3:MediaLengthInSecond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A5693F-CB4F-4469-AD8F-971CCDC8DC5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8a5693f-cb4f-4469-ad8f-971ccdc8dc5c" elementFormDefault="qualified">
    <xsd:import namespace="http://schemas.microsoft.com/office/2006/documentManagement/types"/>
    <xsd:import namespace="http://schemas.microsoft.com/office/infopath/2007/PartnerControls"/>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tadata" ma:index="17" nillable="true" ma:displayName="Metadata" ma:description="Notes regarding references" ma:format="Dropdown" ma:internalName="Metadata">
      <xsd:simpleType>
        <xsd:restriction base="dms:Note">
          <xsd:maxLength value="255"/>
        </xsd:restriction>
      </xsd:simpleType>
    </xsd:element>
    <xsd:element name="Notes" ma:index="18" nillable="true" ma:displayName="Notes" ma:format="Dropdown" ma:internalName="Notes">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a2015b-1270-41a8-9966-06a19c2d4f3a"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32132EC-042A-4878-8C68-D3E3F73898F0}">
  <ds:schemaRefs>
    <ds:schemaRef ds:uri="http://schemas.microsoft.com/office/2006/metadata/properties"/>
    <ds:schemaRef ds:uri="http://purl.org/dc/terms/"/>
    <ds:schemaRef ds:uri="8ca2015b-1270-41a8-9966-06a19c2d4f3a"/>
    <ds:schemaRef ds:uri="http://schemas.microsoft.com/office/2006/documentManagement/types"/>
    <ds:schemaRef ds:uri="C8A5693F-CB4F-4469-AD8F-971CCDC8DC5C"/>
    <ds:schemaRef ds:uri="http://purl.org/dc/elements/1.1/"/>
    <ds:schemaRef ds:uri="http://schemas.microsoft.com/office/infopath/2007/PartnerControls"/>
    <ds:schemaRef ds:uri="http://schemas.openxmlformats.org/package/2006/metadata/core-properties"/>
    <ds:schemaRef ds:uri="c8a5693f-cb4f-4469-ad8f-971ccdc8dc5c"/>
    <ds:schemaRef ds:uri="http://www.w3.org/XML/1998/namespace"/>
    <ds:schemaRef ds:uri="http://purl.org/dc/dcmitype/"/>
  </ds:schemaRefs>
</ds:datastoreItem>
</file>

<file path=customXml/itemProps2.xml><?xml version="1.0" encoding="utf-8"?>
<ds:datastoreItem xmlns:ds="http://schemas.openxmlformats.org/officeDocument/2006/customXml" ds:itemID="{06135C64-A234-4643-B4BF-08DBAE380296}">
  <ds:schemaRefs>
    <ds:schemaRef ds:uri="http://schemas.microsoft.com/sharepoint/v3/contenttype/forms"/>
  </ds:schemaRefs>
</ds:datastoreItem>
</file>

<file path=customXml/itemProps3.xml><?xml version="1.0" encoding="utf-8"?>
<ds:datastoreItem xmlns:ds="http://schemas.openxmlformats.org/officeDocument/2006/customXml" ds:itemID="{4F48AE35-5BC0-4C1A-B701-FEC3F33017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8A5693F-CB4F-4469-AD8F-971CCDC8DC5C"/>
    <ds:schemaRef ds:uri="c8a5693f-cb4f-4469-ad8f-971ccdc8dc5c"/>
    <ds:schemaRef ds:uri="8ca2015b-1270-41a8-9966-06a19c2d4f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Input Data Checklist</vt:lpstr>
      <vt:lpstr>Legacy Models Data Inventory</vt:lpstr>
      <vt:lpstr>LookupTables</vt:lpstr>
      <vt:lpstr>Lists</vt:lpstr>
      <vt:lpstr>UWMP Table Key</vt:lpstr>
      <vt:lpstr>Agency Data Collection Tracker</vt:lpstr>
      <vt:lpstr>&gt;&gt;&gt;Contractor Assumptions</vt:lpstr>
      <vt:lpstr>Contractor Assumptions</vt:lpstr>
      <vt:lpstr>Hydrology Assumptions</vt:lpstr>
      <vt:lpstr>&gt;&gt;&gt;Demand Assumptions</vt:lpstr>
      <vt:lpstr>Demand Assumptions</vt:lpstr>
      <vt:lpstr>Demand and Conservation_Calcs</vt:lpstr>
      <vt:lpstr>Wholesaler Demands by Use Type</vt:lpstr>
      <vt:lpstr>Met 2020 UWMP Demand Data</vt:lpstr>
      <vt:lpstr>Comm_Indust_InteriorWaterUse</vt:lpstr>
      <vt:lpstr>uwmp_table_4_1_r</vt:lpstr>
      <vt:lpstr>uwmp_table_4_1_w</vt:lpstr>
      <vt:lpstr>uwmp_table_4_2_r</vt:lpstr>
      <vt:lpstr>uwmp_table_4_2_w</vt:lpstr>
      <vt:lpstr>uwmp_table_4_5_r</vt:lpstr>
      <vt:lpstr>uwmp_table_7_2_r</vt:lpstr>
      <vt:lpstr>uwmp_table_7_2_w</vt:lpstr>
      <vt:lpstr>uwmp_table_7_3_r</vt:lpstr>
      <vt:lpstr>uwmp_table_7_3_w</vt:lpstr>
      <vt:lpstr>uwmp_table_7_4_r</vt:lpstr>
      <vt:lpstr>uwmp_table_7_4_w</vt:lpstr>
      <vt:lpstr>&gt;&gt;&gt;Supply Assumptions</vt:lpstr>
      <vt:lpstr>Supply Assumptions</vt:lpstr>
      <vt:lpstr>UWMP Reported SWP CVP Supplies</vt:lpstr>
      <vt:lpstr>uwmp_table_6_9_r</vt:lpstr>
      <vt:lpstr>uwmp_table_6_9_w</vt:lpstr>
      <vt:lpstr>&gt;&gt;System Operations Assumptions</vt:lpstr>
      <vt:lpstr>System Operations Assumptions</vt:lpstr>
      <vt:lpstr>SWP_CVP Delivery Costs</vt:lpstr>
      <vt:lpstr>Energy price forecasts</vt:lpstr>
      <vt:lpstr>Put and Take Costs</vt:lpstr>
      <vt:lpstr>uwmp_table_6_3_r_conv_to_af</vt:lpstr>
      <vt:lpstr>Treatment Costs</vt:lpstr>
      <vt:lpstr>Wastewater Treatment Costs</vt:lpstr>
      <vt:lpstr>Sheet1</vt:lpstr>
      <vt:lpstr>GW Banking Costs</vt:lpstr>
      <vt:lpstr>Distribution Costs</vt:lpstr>
      <vt:lpstr>Met water rate forecast</vt:lpstr>
      <vt:lpstr>Carryover and Bank Storage Data</vt:lpstr>
      <vt:lpstr>SWP CVP Cost Calcs</vt:lpstr>
      <vt:lpstr>Groundwater Depths</vt:lpstr>
      <vt:lpstr>uwmp_table_6_2_r_conv_to_af</vt:lpstr>
      <vt:lpstr>&gt;&gt;&gt;Water Mgmt Assumptions</vt:lpstr>
      <vt:lpstr>Contingent WMOs Assumptions</vt:lpstr>
      <vt:lpstr>Long-term WMOs Assumptions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Daly, Kensey/SEA</dc:creator>
  <cp:keywords/>
  <dc:description/>
  <cp:lastModifiedBy>Daly, Kensey</cp:lastModifiedBy>
  <cp:revision/>
  <dcterms:created xsi:type="dcterms:W3CDTF">2021-02-08T17:17:13Z</dcterms:created>
  <dcterms:modified xsi:type="dcterms:W3CDTF">2023-10-12T22:02:10Z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0x010100B8EEA600E73B5F498B2D4BF2CB2B4B35</vt:lpwstr>
  </property>
</Properties>
</file>